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drawings/drawing29.xml" ContentType="application/vnd.openxmlformats-officedocument.drawing+xml"/>
  <Override PartName="/xl/charts/chart5.xml" ContentType="application/vnd.openxmlformats-officedocument.drawingml.chart+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charts/chart3.xml" ContentType="application/vnd.openxmlformats-officedocument.drawingml.chart+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externalLinks/externalLink11.xml" ContentType="application/vnd.openxmlformats-officedocument.spreadsheetml.externalLink+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externalLinks/externalLink3.xml" ContentType="application/vnd.openxmlformats-officedocument.spreadsheetml.externalLink+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120" yWindow="-120" windowWidth="15480" windowHeight="7740" tabRatio="749"/>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4." sheetId="256" r:id="rId9"/>
    <sheet name="Desglose ET_Esp" sheetId="250" state="hidden" r:id="rId10"/>
    <sheet name="D.5." sheetId="257" r:id="rId11"/>
    <sheet name="Desglose ET_Mtria" sheetId="251" state="hidden" r:id="rId12"/>
    <sheet name="D.6." sheetId="258" r:id="rId13"/>
    <sheet name="Desglose ET_Doc" sheetId="252" state="hidden"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I.21." sheetId="214" r:id="rId30"/>
    <sheet name="I.22." sheetId="215" r:id="rId31"/>
    <sheet name="I.23." sheetId="216" r:id="rId32"/>
    <sheet name="I.24." sheetId="217" r:id="rId33"/>
    <sheet name="I.25" sheetId="272" r:id="rId34"/>
    <sheet name="I.26." sheetId="261" r:id="rId35"/>
    <sheet name="I.27." sheetId="220" r:id="rId36"/>
    <sheet name="I.28." sheetId="221" r:id="rId37"/>
    <sheet name="I.29." sheetId="222" r:id="rId38"/>
    <sheet name="I.30." sheetId="223" r:id="rId39"/>
    <sheet name="C.31." sheetId="224" state="hidden" r:id="rId40"/>
    <sheet name="C.32." sheetId="273" r:id="rId41"/>
    <sheet name="C.33." sheetId="227" r:id="rId42"/>
    <sheet name="A.34." sheetId="229" r:id="rId43"/>
    <sheet name="A.35." sheetId="230" r:id="rId44"/>
    <sheet name="A.36." sheetId="231" r:id="rId45"/>
    <sheet name="A.37." sheetId="232" r:id="rId46"/>
    <sheet name="A.38." sheetId="233" r:id="rId47"/>
    <sheet name="A.39." sheetId="234" r:id="rId48"/>
    <sheet name="A.40.-42." sheetId="235" r:id="rId49"/>
    <sheet name="A.43." sheetId="236" r:id="rId50"/>
    <sheet name="A.44." sheetId="237" r:id="rId51"/>
    <sheet name="A.45." sheetId="238" r:id="rId52"/>
    <sheet name="A.46.1" sheetId="239" r:id="rId53"/>
    <sheet name="A.46.2" sheetId="240" r:id="rId54"/>
    <sheet name="A.46.3" sheetId="241" r:id="rId55"/>
    <sheet name="A.47.1" sheetId="242" state="hidden" r:id="rId56"/>
    <sheet name="A.47.2" sheetId="243"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3" hidden="1">'[1]TAB DCENTE CETI 2001'!#REF!</definedName>
    <definedName name="__123Graph_A" localSheetId="34" hidden="1">'[2]TAB DCENTE CETI 2001'!#REF!</definedName>
    <definedName name="__123Graph_A" localSheetId="0" hidden="1">'[2]TAB DCENTE CETI 2001'!#REF!</definedName>
    <definedName name="__123Graph_A" hidden="1">'[2]TAB DCENTE CETI 2001'!#REF!</definedName>
    <definedName name="__123Graph_C" localSheetId="34" hidden="1">[3]PLAZASXI!#REF!</definedName>
    <definedName name="__123Graph_C" localSheetId="0" hidden="1">[3]PLAZASXI!#REF!</definedName>
    <definedName name="__123Graph_C" hidden="1">[3]PLAZASXI!#REF!</definedName>
    <definedName name="__123Graph_D" localSheetId="34" hidden="1">[3]PLAZASXI!#REF!</definedName>
    <definedName name="__123Graph_D" localSheetId="0" hidden="1">[3]PLAZASXI!#REF!</definedName>
    <definedName name="__123Graph_D" hidden="1">[3]PLAZASXI!#REF!</definedName>
    <definedName name="__123Graph_E" localSheetId="34" hidden="1">[3]PLAZASXI!#REF!</definedName>
    <definedName name="__123Graph_E" localSheetId="0" hidden="1">[3]PLAZASXI!#REF!</definedName>
    <definedName name="__123Graph_E" hidden="1">[3]PLAZASXI!#REF!</definedName>
    <definedName name="__123Graph_F" localSheetId="34" hidden="1">[3]PLAZASXI!#REF!</definedName>
    <definedName name="__123Graph_F" localSheetId="0"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3" hidden="1">'[1]TAB DCENTE CETI 2001'!#REF!</definedName>
    <definedName name="__123Graph_X" localSheetId="34" hidden="1">'[2]TAB DCENTE CETI 2001'!#REF!</definedName>
    <definedName name="__123Graph_X" localSheetId="0"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4" hidden="1">#REF!</definedName>
    <definedName name="_Fill" localSheetId="0" hidden="1">#REF!</definedName>
    <definedName name="_Fill" hidden="1">#REF!</definedName>
    <definedName name="_xlnm._FilterDatabase" localSheetId="53" hidden="1">A.46.2!#REF!</definedName>
    <definedName name="_xlnm._FilterDatabase" localSheetId="54" hidden="1">A.46.3!#REF!</definedName>
    <definedName name="_xlnm._FilterDatabase" localSheetId="40" hidden="1">C.32.!$M$237:$S$279</definedName>
    <definedName name="_xlnm._FilterDatabase" localSheetId="21" hidden="1">D.11.!$A$477:$L$477</definedName>
    <definedName name="_xlnm._FilterDatabase" localSheetId="14" hidden="1">D.7.!$A$4:$H$4</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3" hidden="1">[4]DIRECTIVO!#REF!</definedName>
    <definedName name="_Key1" localSheetId="34" hidden="1">[4]DIRECTIVO!#REF!</definedName>
    <definedName name="_Key1" localSheetId="0"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4" hidden="1">#REF!</definedName>
    <definedName name="_Sort" localSheetId="0"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1">Indicadores!$A$1:$R$79</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3" hidden="1">#REF!</definedName>
    <definedName name="cc" localSheetId="34" hidden="1">#REF!</definedName>
    <definedName name="cc" localSheetId="0"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3" hidden="1">#REF!</definedName>
    <definedName name="GG" localSheetId="34" hidden="1">#REF!</definedName>
    <definedName name="GG" localSheetId="0"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3" hidden="1">#REF!</definedName>
    <definedName name="JVS" localSheetId="34" hidden="1">#REF!</definedName>
    <definedName name="JVS" localSheetId="0"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3" hidden="1">#REF!</definedName>
    <definedName name="rez" localSheetId="34" hidden="1">#REF!</definedName>
    <definedName name="rez" localSheetId="0" hidden="1">#REF!</definedName>
    <definedName name="rez" hidden="1">#REF!</definedName>
    <definedName name="sc" localSheetId="34" hidden="1">#REF!</definedName>
    <definedName name="sc" localSheetId="0"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3" hidden="1">#REF!</definedName>
    <definedName name="sic" localSheetId="34" hidden="1">#REF!</definedName>
    <definedName name="sic" localSheetId="0"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3" hidden="1">[8]TABCETDO298!#REF!</definedName>
    <definedName name="SIDESI" localSheetId="34" hidden="1">[8]TABCETDO298!#REF!</definedName>
    <definedName name="SIDESI" localSheetId="0" hidden="1">[8]TABCETDO298!#REF!</definedName>
    <definedName name="SIDESI" hidden="1">[8]TABCETDO298!#REF!</definedName>
    <definedName name="ss" localSheetId="7">#REF!</definedName>
    <definedName name="sssasa" localSheetId="7">#REF!</definedName>
    <definedName name="SUELDO_MENSUAL" localSheetId="7">#REF!</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3" hidden="1">'[11]TAB DCENTE CETI 2002'!#REF!</definedName>
    <definedName name="XXXXXX" localSheetId="34" hidden="1">'[11]TAB DCENTE CETI 2002'!#REF!</definedName>
    <definedName name="XXXXXX" localSheetId="0"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25725"/>
</workbook>
</file>

<file path=xl/calcChain.xml><?xml version="1.0" encoding="utf-8"?>
<calcChain xmlns="http://schemas.openxmlformats.org/spreadsheetml/2006/main">
  <c r="O14" i="228"/>
  <c r="F54" i="255"/>
  <c r="F49"/>
  <c r="F38"/>
  <c r="F10"/>
  <c r="F11"/>
  <c r="F12" s="1"/>
  <c r="F13"/>
  <c r="F14"/>
  <c r="F15" s="1"/>
  <c r="F16"/>
  <c r="F19" s="1"/>
  <c r="F17"/>
  <c r="F18"/>
  <c r="F21"/>
  <c r="F28" s="1"/>
  <c r="F22"/>
  <c r="F23"/>
  <c r="F24"/>
  <c r="F25"/>
  <c r="F26"/>
  <c r="F27"/>
  <c r="F29"/>
  <c r="F30"/>
  <c r="F31"/>
  <c r="F32"/>
  <c r="F34" s="1"/>
  <c r="F33"/>
  <c r="F35"/>
  <c r="F36"/>
  <c r="F37"/>
  <c r="F40"/>
  <c r="F41"/>
  <c r="F42"/>
  <c r="F44"/>
  <c r="F47" s="1"/>
  <c r="F45"/>
  <c r="F46"/>
  <c r="F48"/>
  <c r="F51"/>
  <c r="F52"/>
  <c r="F55" s="1"/>
  <c r="F53"/>
  <c r="F9"/>
  <c r="O13" i="228"/>
  <c r="F8" i="254"/>
  <c r="F9"/>
  <c r="F10"/>
  <c r="F11"/>
  <c r="F13"/>
  <c r="F14"/>
  <c r="F19" s="1"/>
  <c r="F25" s="1"/>
  <c r="F15"/>
  <c r="F16"/>
  <c r="F17"/>
  <c r="F18"/>
  <c r="F20"/>
  <c r="F21"/>
  <c r="F22"/>
  <c r="F23"/>
  <c r="F24"/>
  <c r="F27"/>
  <c r="F34" s="1"/>
  <c r="F28"/>
  <c r="F29"/>
  <c r="F30"/>
  <c r="F31"/>
  <c r="F32"/>
  <c r="F33"/>
  <c r="F35"/>
  <c r="F40" s="1"/>
  <c r="F36"/>
  <c r="F37"/>
  <c r="F38"/>
  <c r="F39"/>
  <c r="F41"/>
  <c r="F45" s="1"/>
  <c r="F42"/>
  <c r="F43"/>
  <c r="F44"/>
  <c r="F47"/>
  <c r="F48"/>
  <c r="F57" s="1"/>
  <c r="F49"/>
  <c r="F50"/>
  <c r="F51"/>
  <c r="F52"/>
  <c r="F53"/>
  <c r="F54"/>
  <c r="F55"/>
  <c r="F56"/>
  <c r="F58"/>
  <c r="F65" s="1"/>
  <c r="F59"/>
  <c r="F60"/>
  <c r="F61"/>
  <c r="F62"/>
  <c r="F63"/>
  <c r="F64"/>
  <c r="F66"/>
  <c r="F68" s="1"/>
  <c r="F67"/>
  <c r="F70"/>
  <c r="F71"/>
  <c r="F74"/>
  <c r="F75"/>
  <c r="F76" s="1"/>
  <c r="F6"/>
  <c r="F12" s="1"/>
  <c r="F26" s="1"/>
  <c r="O12" i="228"/>
  <c r="F7" i="253"/>
  <c r="F11" s="1"/>
  <c r="F8"/>
  <c r="F9"/>
  <c r="F10"/>
  <c r="F12"/>
  <c r="F13"/>
  <c r="F14"/>
  <c r="F16" s="1"/>
  <c r="F15"/>
  <c r="F18"/>
  <c r="F19"/>
  <c r="F20"/>
  <c r="F21"/>
  <c r="F23"/>
  <c r="F24"/>
  <c r="F25"/>
  <c r="F6"/>
  <c r="O11" i="228"/>
  <c r="W253" i="252"/>
  <c r="W244"/>
  <c r="W231"/>
  <c r="W224"/>
  <c r="W217"/>
  <c r="W211"/>
  <c r="W207"/>
  <c r="W203"/>
  <c r="W197"/>
  <c r="W193"/>
  <c r="W188"/>
  <c r="W182"/>
  <c r="W177"/>
  <c r="W172"/>
  <c r="W163"/>
  <c r="W156"/>
  <c r="W151"/>
  <c r="W144"/>
  <c r="W137"/>
  <c r="W129"/>
  <c r="W124"/>
  <c r="W117"/>
  <c r="W111"/>
  <c r="W105"/>
  <c r="W100"/>
  <c r="W94"/>
  <c r="W90"/>
  <c r="W82"/>
  <c r="W78"/>
  <c r="W74"/>
  <c r="W69"/>
  <c r="W64"/>
  <c r="W57"/>
  <c r="W50"/>
  <c r="W42"/>
  <c r="W31"/>
  <c r="W26"/>
  <c r="W21"/>
  <c r="W15"/>
  <c r="W8"/>
  <c r="O10" i="228"/>
  <c r="P341" i="251"/>
  <c r="P331"/>
  <c r="P326"/>
  <c r="P321"/>
  <c r="P306"/>
  <c r="P298"/>
  <c r="P292"/>
  <c r="P286"/>
  <c r="P279"/>
  <c r="P275"/>
  <c r="P269"/>
  <c r="P263"/>
  <c r="P259"/>
  <c r="P254"/>
  <c r="P246"/>
  <c r="P242"/>
  <c r="P238"/>
  <c r="P230"/>
  <c r="P228"/>
  <c r="P226"/>
  <c r="P220"/>
  <c r="P213"/>
  <c r="P210"/>
  <c r="P205"/>
  <c r="P196"/>
  <c r="P189"/>
  <c r="P185"/>
  <c r="P181"/>
  <c r="P175"/>
  <c r="P170"/>
  <c r="P162"/>
  <c r="P158"/>
  <c r="P152"/>
  <c r="P145"/>
  <c r="P137"/>
  <c r="P132"/>
  <c r="P127"/>
  <c r="P122"/>
  <c r="P115"/>
  <c r="P105"/>
  <c r="P99"/>
  <c r="P90"/>
  <c r="P81"/>
  <c r="P68"/>
  <c r="P65"/>
  <c r="P57"/>
  <c r="P51"/>
  <c r="P44"/>
  <c r="P36"/>
  <c r="P29"/>
  <c r="P23"/>
  <c r="P17"/>
  <c r="P12"/>
  <c r="O9" i="228"/>
  <c r="N95" i="250"/>
  <c r="N79"/>
  <c r="N75"/>
  <c r="N71"/>
  <c r="N67"/>
  <c r="N59"/>
  <c r="N54"/>
  <c r="N52"/>
  <c r="N47"/>
  <c r="N41"/>
  <c r="N35"/>
  <c r="N28"/>
  <c r="N21"/>
  <c r="N18"/>
  <c r="N12"/>
  <c r="F69" i="254" l="1"/>
  <c r="F20" i="255"/>
  <c r="F46" i="254"/>
  <c r="F77" s="1"/>
  <c r="F39" i="255"/>
  <c r="F22" i="253"/>
  <c r="F43" i="255"/>
  <c r="F50" s="1"/>
  <c r="F17" i="253"/>
  <c r="F26" s="1"/>
  <c r="O7" i="228"/>
  <c r="S103" i="262"/>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O6" i="228"/>
  <c r="F56" i="255" l="1"/>
  <c r="F106" i="274"/>
  <c r="F107"/>
  <c r="F108"/>
  <c r="F109"/>
  <c r="F110"/>
  <c r="F111"/>
  <c r="F105"/>
  <c r="F7" l="1"/>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6"/>
  <c r="O8" i="228"/>
  <c r="D12" i="227" l="1"/>
  <c r="D11"/>
  <c r="O64" i="228" l="1"/>
  <c r="C60" i="238"/>
  <c r="B60"/>
  <c r="C28"/>
  <c r="B28"/>
  <c r="E28" s="1"/>
  <c r="O63" i="228" s="1"/>
  <c r="H12" i="238"/>
  <c r="G12"/>
  <c r="G71"/>
  <c r="H71"/>
  <c r="B89"/>
  <c r="E89" s="1"/>
  <c r="C89"/>
  <c r="F89" l="1"/>
  <c r="AH12" i="243"/>
  <c r="AH20"/>
  <c r="AH28"/>
  <c r="AA83" i="214"/>
  <c r="AA84" s="1"/>
  <c r="AA82"/>
  <c r="BI103" i="267"/>
  <c r="AG30" i="243"/>
  <c r="AH13" s="1"/>
  <c r="AI28"/>
  <c r="AI27"/>
  <c r="AI26"/>
  <c r="AI25"/>
  <c r="AI24"/>
  <c r="AI23"/>
  <c r="AI22"/>
  <c r="AI21"/>
  <c r="AI20"/>
  <c r="AI19"/>
  <c r="AI18"/>
  <c r="AI17"/>
  <c r="AI16"/>
  <c r="AI15"/>
  <c r="AI14"/>
  <c r="AI13"/>
  <c r="AI12"/>
  <c r="AI11"/>
  <c r="AI10"/>
  <c r="AI8"/>
  <c r="AI7"/>
  <c r="AI6"/>
  <c r="E9" i="271"/>
  <c r="F9"/>
  <c r="D9"/>
  <c r="J9" i="230"/>
  <c r="O53" i="228" s="1"/>
  <c r="H5" i="217"/>
  <c r="O33" i="228" s="1"/>
  <c r="D43" i="272"/>
  <c r="E19" i="229"/>
  <c r="E20" s="1"/>
  <c r="F20" s="1"/>
  <c r="C19"/>
  <c r="D20"/>
  <c r="F18"/>
  <c r="D18"/>
  <c r="F17"/>
  <c r="D17"/>
  <c r="F16"/>
  <c r="G16" s="1"/>
  <c r="D16"/>
  <c r="F15"/>
  <c r="D15"/>
  <c r="F14"/>
  <c r="G15" s="1"/>
  <c r="D14"/>
  <c r="F13"/>
  <c r="G14" s="1"/>
  <c r="C12"/>
  <c r="D13" s="1"/>
  <c r="F11"/>
  <c r="D11"/>
  <c r="F10"/>
  <c r="G11" s="1"/>
  <c r="D10"/>
  <c r="F9"/>
  <c r="G9" s="1"/>
  <c r="D9"/>
  <c r="F8"/>
  <c r="D8"/>
  <c r="F7"/>
  <c r="G8" s="1"/>
  <c r="D12"/>
  <c r="F12"/>
  <c r="G12" s="1"/>
  <c r="G18"/>
  <c r="D19"/>
  <c r="AA82" i="220"/>
  <c r="AA82" i="261"/>
  <c r="AB82" i="221"/>
  <c r="AC82" s="1"/>
  <c r="O37" i="228" s="1"/>
  <c r="AA82" i="221"/>
  <c r="AC81"/>
  <c r="AC80"/>
  <c r="AC79"/>
  <c r="AC78"/>
  <c r="AC77"/>
  <c r="AC76"/>
  <c r="AC75"/>
  <c r="AC74"/>
  <c r="AC73"/>
  <c r="AC72"/>
  <c r="AC71"/>
  <c r="AC70"/>
  <c r="AC69"/>
  <c r="AC68"/>
  <c r="AC67"/>
  <c r="AC66"/>
  <c r="AC65"/>
  <c r="AC64"/>
  <c r="AC63"/>
  <c r="AC60"/>
  <c r="AC58"/>
  <c r="AC57"/>
  <c r="AC56"/>
  <c r="AC55"/>
  <c r="AC54"/>
  <c r="AC52"/>
  <c r="AC51"/>
  <c r="AC50"/>
  <c r="AC49"/>
  <c r="AC48"/>
  <c r="AC47"/>
  <c r="AC46"/>
  <c r="AC45"/>
  <c r="AC44"/>
  <c r="AC43"/>
  <c r="AC42"/>
  <c r="AC41"/>
  <c r="AC40"/>
  <c r="AC39"/>
  <c r="AC38"/>
  <c r="AC37"/>
  <c r="AC36"/>
  <c r="AC35"/>
  <c r="AC34"/>
  <c r="AC33"/>
  <c r="AC32"/>
  <c r="AC31"/>
  <c r="AC30"/>
  <c r="AC29"/>
  <c r="AC28"/>
  <c r="AC27"/>
  <c r="AC26"/>
  <c r="AC25"/>
  <c r="AC24"/>
  <c r="AC23"/>
  <c r="AC22"/>
  <c r="AC21"/>
  <c r="AC20"/>
  <c r="AC19"/>
  <c r="AC18"/>
  <c r="AC17"/>
  <c r="AC16"/>
  <c r="AC15"/>
  <c r="AC14"/>
  <c r="AC13"/>
  <c r="AC12"/>
  <c r="AC11"/>
  <c r="AC10"/>
  <c r="AC9"/>
  <c r="AC8"/>
  <c r="AC7"/>
  <c r="AC6"/>
  <c r="AC5"/>
  <c r="AC4"/>
  <c r="O38" i="228"/>
  <c r="D44" i="234"/>
  <c r="E44"/>
  <c r="F44"/>
  <c r="C44"/>
  <c r="G44"/>
  <c r="O57" i="228" s="1"/>
  <c r="G42" i="234"/>
  <c r="G40"/>
  <c r="G39"/>
  <c r="G38"/>
  <c r="G37"/>
  <c r="G36"/>
  <c r="G35"/>
  <c r="G33"/>
  <c r="G32"/>
  <c r="G31"/>
  <c r="G30"/>
  <c r="G29"/>
  <c r="G28"/>
  <c r="G26"/>
  <c r="G25"/>
  <c r="G24"/>
  <c r="G23"/>
  <c r="G22"/>
  <c r="G21"/>
  <c r="G19"/>
  <c r="G18"/>
  <c r="G17"/>
  <c r="G16"/>
  <c r="G15"/>
  <c r="G14"/>
  <c r="G12"/>
  <c r="G11"/>
  <c r="G10"/>
  <c r="G9"/>
  <c r="G8"/>
  <c r="G7"/>
  <c r="E44" i="233"/>
  <c r="F44" s="1"/>
  <c r="O56" i="228" s="1"/>
  <c r="D44" i="233"/>
  <c r="F7"/>
  <c r="F8"/>
  <c r="F9"/>
  <c r="F10"/>
  <c r="F11"/>
  <c r="F12"/>
  <c r="F14"/>
  <c r="F15"/>
  <c r="F16"/>
  <c r="F17"/>
  <c r="F18"/>
  <c r="F19"/>
  <c r="F21"/>
  <c r="F22"/>
  <c r="F23"/>
  <c r="F24"/>
  <c r="F25"/>
  <c r="F26"/>
  <c r="F28"/>
  <c r="F29"/>
  <c r="F30"/>
  <c r="F31"/>
  <c r="F32"/>
  <c r="F33"/>
  <c r="F35"/>
  <c r="F36"/>
  <c r="F37"/>
  <c r="F38"/>
  <c r="F39"/>
  <c r="F40"/>
  <c r="F42"/>
  <c r="F34" i="271"/>
  <c r="E34"/>
  <c r="O46" i="228"/>
  <c r="BI101" i="267"/>
  <c r="O19" i="228"/>
  <c r="BH140" i="268"/>
  <c r="BH142" s="1"/>
  <c r="O20" i="228" s="1"/>
  <c r="O16"/>
  <c r="F165" i="213"/>
  <c r="G165" s="1"/>
  <c r="E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C18"/>
  <c r="D18" s="1"/>
  <c r="D17"/>
  <c r="D16"/>
  <c r="D15"/>
  <c r="D14"/>
  <c r="O15" i="228"/>
  <c r="F105" i="212"/>
  <c r="G105" s="1"/>
  <c r="E105"/>
  <c r="D105"/>
  <c r="G104"/>
  <c r="G103"/>
  <c r="G102"/>
  <c r="G101"/>
  <c r="G100"/>
  <c r="G99"/>
  <c r="G98"/>
  <c r="G84"/>
  <c r="G83"/>
  <c r="G82"/>
  <c r="G81"/>
  <c r="G80"/>
  <c r="G79"/>
  <c r="G78"/>
  <c r="G77"/>
  <c r="G76"/>
  <c r="G75"/>
  <c r="G74"/>
  <c r="G73"/>
  <c r="G71"/>
  <c r="G70"/>
  <c r="G68"/>
  <c r="G67"/>
  <c r="G66"/>
  <c r="G65"/>
  <c r="G64"/>
  <c r="G63"/>
  <c r="G62"/>
  <c r="G61"/>
  <c r="G60"/>
  <c r="G59"/>
  <c r="G58"/>
  <c r="G57"/>
  <c r="G56"/>
  <c r="G55"/>
  <c r="G54"/>
  <c r="G53"/>
  <c r="G52"/>
  <c r="G51"/>
  <c r="G49"/>
  <c r="G48"/>
  <c r="G47"/>
  <c r="G46"/>
  <c r="G45"/>
  <c r="G44"/>
  <c r="G42"/>
  <c r="G41"/>
  <c r="G39"/>
  <c r="G38"/>
  <c r="G37"/>
  <c r="G36"/>
  <c r="G35"/>
  <c r="G34"/>
  <c r="G33"/>
  <c r="G32"/>
  <c r="G31"/>
  <c r="D25"/>
  <c r="E25" s="1"/>
  <c r="C25"/>
  <c r="B25"/>
  <c r="E24"/>
  <c r="E23"/>
  <c r="E22"/>
  <c r="E21"/>
  <c r="E20"/>
  <c r="K13" i="273"/>
  <c r="K22"/>
  <c r="K8"/>
  <c r="E18" i="271"/>
  <c r="F18"/>
  <c r="D18"/>
  <c r="E26"/>
  <c r="F26"/>
  <c r="D26"/>
  <c r="K18" i="273"/>
  <c r="K27"/>
  <c r="D11" i="237"/>
  <c r="C11"/>
  <c r="B11"/>
  <c r="E10"/>
  <c r="E9"/>
  <c r="E8"/>
  <c r="E7"/>
  <c r="E6"/>
  <c r="E5"/>
  <c r="E12" i="231"/>
  <c r="F14"/>
  <c r="D14"/>
  <c r="C14"/>
  <c r="B14"/>
  <c r="G14" s="1"/>
  <c r="O54" i="228" s="1"/>
  <c r="G13" i="231"/>
  <c r="E13"/>
  <c r="G12"/>
  <c r="G11"/>
  <c r="E11"/>
  <c r="G10"/>
  <c r="E10"/>
  <c r="G9"/>
  <c r="E9"/>
  <c r="G8"/>
  <c r="E8"/>
  <c r="E50" i="271"/>
  <c r="E51"/>
  <c r="E52"/>
  <c r="F52"/>
  <c r="D52"/>
  <c r="F51"/>
  <c r="D51"/>
  <c r="D53" s="1"/>
  <c r="F50"/>
  <c r="D50"/>
  <c r="E45"/>
  <c r="F45"/>
  <c r="D45"/>
  <c r="E34" i="186"/>
  <c r="J30"/>
  <c r="I30"/>
  <c r="H30"/>
  <c r="G30"/>
  <c r="D30"/>
  <c r="C30"/>
  <c r="B30"/>
  <c r="K29"/>
  <c r="L29"/>
  <c r="O29" s="1"/>
  <c r="E29"/>
  <c r="N29"/>
  <c r="K28"/>
  <c r="K30"/>
  <c r="E28"/>
  <c r="J26"/>
  <c r="I26"/>
  <c r="H26"/>
  <c r="G26"/>
  <c r="D26"/>
  <c r="C26"/>
  <c r="B26"/>
  <c r="K25"/>
  <c r="L25" s="1"/>
  <c r="O25" s="1"/>
  <c r="E25"/>
  <c r="N25" s="1"/>
  <c r="K24"/>
  <c r="E24"/>
  <c r="K23"/>
  <c r="E23"/>
  <c r="N23" s="1"/>
  <c r="J21"/>
  <c r="I21"/>
  <c r="I32" s="1"/>
  <c r="H21"/>
  <c r="G21"/>
  <c r="G32" s="1"/>
  <c r="D21"/>
  <c r="C21"/>
  <c r="B21"/>
  <c r="K20"/>
  <c r="E20"/>
  <c r="K19"/>
  <c r="L19" s="1"/>
  <c r="O19" s="1"/>
  <c r="E19"/>
  <c r="N19" s="1"/>
  <c r="K18"/>
  <c r="E18"/>
  <c r="N18" s="1"/>
  <c r="K17"/>
  <c r="E17"/>
  <c r="J15"/>
  <c r="I15"/>
  <c r="H15"/>
  <c r="G15"/>
  <c r="D15"/>
  <c r="C15"/>
  <c r="B15"/>
  <c r="K14"/>
  <c r="L14" s="1"/>
  <c r="O14" s="1"/>
  <c r="E14"/>
  <c r="K13"/>
  <c r="L13" s="1"/>
  <c r="O13" s="1"/>
  <c r="E13"/>
  <c r="K12"/>
  <c r="E12"/>
  <c r="N12"/>
  <c r="J10"/>
  <c r="J32" s="1"/>
  <c r="I10"/>
  <c r="H10"/>
  <c r="G10"/>
  <c r="D10"/>
  <c r="D32" s="1"/>
  <c r="C10"/>
  <c r="C32"/>
  <c r="B10"/>
  <c r="B32"/>
  <c r="K9"/>
  <c r="E9"/>
  <c r="N9"/>
  <c r="K8"/>
  <c r="E8"/>
  <c r="N8" s="1"/>
  <c r="L8"/>
  <c r="O8" s="1"/>
  <c r="K7"/>
  <c r="E7"/>
  <c r="L23"/>
  <c r="O23"/>
  <c r="N28"/>
  <c r="L12"/>
  <c r="O12" s="1"/>
  <c r="F30" i="184"/>
  <c r="G30" s="1"/>
  <c r="J30" s="1"/>
  <c r="D30"/>
  <c r="C30"/>
  <c r="I29"/>
  <c r="G29"/>
  <c r="J29"/>
  <c r="I28"/>
  <c r="G28"/>
  <c r="J28"/>
  <c r="I27"/>
  <c r="G27"/>
  <c r="J27"/>
  <c r="F25"/>
  <c r="D25"/>
  <c r="I25" s="1"/>
  <c r="C25"/>
  <c r="I24"/>
  <c r="G24"/>
  <c r="J24"/>
  <c r="I23"/>
  <c r="G23"/>
  <c r="J23"/>
  <c r="I22"/>
  <c r="G22"/>
  <c r="J22"/>
  <c r="F20"/>
  <c r="D20"/>
  <c r="I20"/>
  <c r="C20"/>
  <c r="I19"/>
  <c r="G19"/>
  <c r="J19"/>
  <c r="I18"/>
  <c r="G18"/>
  <c r="J18"/>
  <c r="I17"/>
  <c r="G17"/>
  <c r="J17"/>
  <c r="F15"/>
  <c r="G15" s="1"/>
  <c r="J15" s="1"/>
  <c r="D15"/>
  <c r="C15"/>
  <c r="I14"/>
  <c r="G14"/>
  <c r="J14"/>
  <c r="I13"/>
  <c r="G13"/>
  <c r="J13"/>
  <c r="I12"/>
  <c r="G12"/>
  <c r="J12"/>
  <c r="F10"/>
  <c r="F32"/>
  <c r="D10"/>
  <c r="I10"/>
  <c r="C10"/>
  <c r="I9"/>
  <c r="G9"/>
  <c r="J9"/>
  <c r="I8"/>
  <c r="G8"/>
  <c r="J8" s="1"/>
  <c r="I7"/>
  <c r="G7"/>
  <c r="J7" s="1"/>
  <c r="C32"/>
  <c r="G25"/>
  <c r="J25" s="1"/>
  <c r="I15"/>
  <c r="C12" i="236"/>
  <c r="AN45" i="235"/>
  <c r="AM45"/>
  <c r="AO45" s="1"/>
  <c r="O60" i="228" s="1"/>
  <c r="AN44" i="235"/>
  <c r="AM44"/>
  <c r="AN43"/>
  <c r="AM43"/>
  <c r="AO39"/>
  <c r="AO33"/>
  <c r="AO32"/>
  <c r="AO31"/>
  <c r="AO27"/>
  <c r="AO26"/>
  <c r="AO25"/>
  <c r="AO21"/>
  <c r="AO20"/>
  <c r="AO19"/>
  <c r="AO15"/>
  <c r="AO14"/>
  <c r="AO13"/>
  <c r="AO9"/>
  <c r="AO8"/>
  <c r="AO7"/>
  <c r="F7" i="272"/>
  <c r="F8"/>
  <c r="F9"/>
  <c r="F10"/>
  <c r="F13"/>
  <c r="F14"/>
  <c r="F15"/>
  <c r="F16"/>
  <c r="F17"/>
  <c r="F18"/>
  <c r="F20"/>
  <c r="F21"/>
  <c r="F22"/>
  <c r="F23"/>
  <c r="F24"/>
  <c r="F27"/>
  <c r="F28"/>
  <c r="F29"/>
  <c r="F30"/>
  <c r="F31"/>
  <c r="F34"/>
  <c r="F35"/>
  <c r="F36"/>
  <c r="F37"/>
  <c r="F38"/>
  <c r="F41"/>
  <c r="F43"/>
  <c r="O34" i="228"/>
  <c r="F6" i="272"/>
  <c r="F32"/>
  <c r="F25"/>
  <c r="F39"/>
  <c r="F11"/>
  <c r="O31" i="269"/>
  <c r="N31"/>
  <c r="M31"/>
  <c r="L31"/>
  <c r="P30"/>
  <c r="R30"/>
  <c r="P29"/>
  <c r="P28"/>
  <c r="O26"/>
  <c r="N26"/>
  <c r="P26"/>
  <c r="P25"/>
  <c r="R25"/>
  <c r="P24"/>
  <c r="P23"/>
  <c r="O21"/>
  <c r="N21"/>
  <c r="M21"/>
  <c r="L21"/>
  <c r="P21" s="1"/>
  <c r="P20"/>
  <c r="P19"/>
  <c r="P18"/>
  <c r="O16"/>
  <c r="N16"/>
  <c r="L16"/>
  <c r="P15"/>
  <c r="P16" s="1"/>
  <c r="R16" s="1"/>
  <c r="R15"/>
  <c r="P14"/>
  <c r="R14"/>
  <c r="P13"/>
  <c r="R13"/>
  <c r="O11"/>
  <c r="N11"/>
  <c r="M11"/>
  <c r="L11"/>
  <c r="L33" s="1"/>
  <c r="P10"/>
  <c r="P9"/>
  <c r="R9" s="1"/>
  <c r="P8"/>
  <c r="Q29"/>
  <c r="Q25"/>
  <c r="O33"/>
  <c r="R29"/>
  <c r="R26"/>
  <c r="Q13"/>
  <c r="Q8"/>
  <c r="R8"/>
  <c r="Q9"/>
  <c r="Q14"/>
  <c r="Q30"/>
  <c r="M33"/>
  <c r="Q15"/>
  <c r="AB80" i="220"/>
  <c r="AC80" s="1"/>
  <c r="AB75"/>
  <c r="AC75"/>
  <c r="AB70"/>
  <c r="AC70" s="1"/>
  <c r="AB64"/>
  <c r="AC64" s="1"/>
  <c r="AB60"/>
  <c r="AC60" s="1"/>
  <c r="AB56"/>
  <c r="AC56"/>
  <c r="AB51"/>
  <c r="AC51" s="1"/>
  <c r="AB46"/>
  <c r="AC46" s="1"/>
  <c r="AB40"/>
  <c r="AC40" s="1"/>
  <c r="AB33"/>
  <c r="AC33" s="1"/>
  <c r="AB29"/>
  <c r="AC29"/>
  <c r="AB25"/>
  <c r="AB20"/>
  <c r="AC20" s="1"/>
  <c r="AB15"/>
  <c r="AC15" s="1"/>
  <c r="AB9"/>
  <c r="AC9"/>
  <c r="AC79"/>
  <c r="AC78"/>
  <c r="AC77"/>
  <c r="AC76"/>
  <c r="AC74"/>
  <c r="AC73"/>
  <c r="AC72"/>
  <c r="AC71"/>
  <c r="AC69"/>
  <c r="AC68"/>
  <c r="AC67"/>
  <c r="AC66"/>
  <c r="AC63"/>
  <c r="AC58"/>
  <c r="AC57"/>
  <c r="AC55"/>
  <c r="AC54"/>
  <c r="AC50"/>
  <c r="AC49"/>
  <c r="AC48"/>
  <c r="AC47"/>
  <c r="AC45"/>
  <c r="AC44"/>
  <c r="AC43"/>
  <c r="AC42"/>
  <c r="AC41"/>
  <c r="AC39"/>
  <c r="AC38"/>
  <c r="AC37"/>
  <c r="AC36"/>
  <c r="AC35"/>
  <c r="AC32"/>
  <c r="AC31"/>
  <c r="AC30"/>
  <c r="AC28"/>
  <c r="AC27"/>
  <c r="AC26"/>
  <c r="AC25"/>
  <c r="AC24"/>
  <c r="AC23"/>
  <c r="AC22"/>
  <c r="AC19"/>
  <c r="AC18"/>
  <c r="AC17"/>
  <c r="AC16"/>
  <c r="AC14"/>
  <c r="AC13"/>
  <c r="AC12"/>
  <c r="AC11"/>
  <c r="AC10"/>
  <c r="AC8"/>
  <c r="AC7"/>
  <c r="AC6"/>
  <c r="AC5"/>
  <c r="AC4"/>
  <c r="AC80" i="261"/>
  <c r="AC79"/>
  <c r="AC78"/>
  <c r="AC77"/>
  <c r="AC76"/>
  <c r="AC74"/>
  <c r="AC73"/>
  <c r="AC72"/>
  <c r="AC71"/>
  <c r="AC70"/>
  <c r="AC69"/>
  <c r="AC68"/>
  <c r="AC67"/>
  <c r="AC66"/>
  <c r="AC64"/>
  <c r="AC63"/>
  <c r="AC60"/>
  <c r="AC58"/>
  <c r="AC57"/>
  <c r="AC65"/>
  <c r="AC55"/>
  <c r="AC54"/>
  <c r="AC51"/>
  <c r="AC50"/>
  <c r="AC49"/>
  <c r="AC48"/>
  <c r="AC47"/>
  <c r="AC46"/>
  <c r="AC45"/>
  <c r="AC44"/>
  <c r="AC43"/>
  <c r="AC42"/>
  <c r="AC41"/>
  <c r="AC40"/>
  <c r="AC39"/>
  <c r="AC38"/>
  <c r="AC37"/>
  <c r="AC36"/>
  <c r="AC35"/>
  <c r="AC33"/>
  <c r="AC32"/>
  <c r="AC31"/>
  <c r="AC30"/>
  <c r="AC29"/>
  <c r="AC34"/>
  <c r="AC28"/>
  <c r="AC27"/>
  <c r="AC26"/>
  <c r="AC25"/>
  <c r="AC24"/>
  <c r="AC23"/>
  <c r="AC22"/>
  <c r="AC20"/>
  <c r="AC19"/>
  <c r="AC18"/>
  <c r="AC17"/>
  <c r="AC16"/>
  <c r="AC15"/>
  <c r="AC14"/>
  <c r="AC13"/>
  <c r="AC12"/>
  <c r="AC11"/>
  <c r="AC10"/>
  <c r="AC9"/>
  <c r="AC8"/>
  <c r="AC7"/>
  <c r="AC6"/>
  <c r="AC5"/>
  <c r="AC4"/>
  <c r="AC81" i="214"/>
  <c r="AC80"/>
  <c r="AC79"/>
  <c r="AC78"/>
  <c r="AC76"/>
  <c r="AC75"/>
  <c r="AC74"/>
  <c r="AC73"/>
  <c r="AC71"/>
  <c r="AC70"/>
  <c r="AC69"/>
  <c r="AC68"/>
  <c r="AC65"/>
  <c r="AC64"/>
  <c r="AC63"/>
  <c r="AC61"/>
  <c r="AC60"/>
  <c r="AC59"/>
  <c r="AC57"/>
  <c r="AC56"/>
  <c r="AC55"/>
  <c r="AC52"/>
  <c r="AC51"/>
  <c r="AC50"/>
  <c r="AC49"/>
  <c r="AC47"/>
  <c r="AC46"/>
  <c r="AC45"/>
  <c r="AC44"/>
  <c r="AC43"/>
  <c r="AC41"/>
  <c r="AC40"/>
  <c r="AC39"/>
  <c r="AC38"/>
  <c r="AC37"/>
  <c r="AC34"/>
  <c r="AC33"/>
  <c r="AC32"/>
  <c r="AC30"/>
  <c r="AC29"/>
  <c r="AC28"/>
  <c r="AC26"/>
  <c r="AC25"/>
  <c r="AC24"/>
  <c r="AC21"/>
  <c r="AC20"/>
  <c r="AC19"/>
  <c r="AC18"/>
  <c r="AC16"/>
  <c r="AC15"/>
  <c r="AC14"/>
  <c r="AC13"/>
  <c r="AC12"/>
  <c r="AC10"/>
  <c r="AC9"/>
  <c r="AC8"/>
  <c r="AC7"/>
  <c r="AC6"/>
  <c r="AB82"/>
  <c r="AC82"/>
  <c r="AB77"/>
  <c r="AC77"/>
  <c r="AB72"/>
  <c r="AC72" s="1"/>
  <c r="AB66"/>
  <c r="AC66" s="1"/>
  <c r="AB62"/>
  <c r="AC62"/>
  <c r="AB58"/>
  <c r="AC58"/>
  <c r="AB53"/>
  <c r="AC53" s="1"/>
  <c r="AB48"/>
  <c r="AB42"/>
  <c r="AB35"/>
  <c r="AC35" s="1"/>
  <c r="AB31"/>
  <c r="AC31" s="1"/>
  <c r="AB27"/>
  <c r="AC27"/>
  <c r="AB22"/>
  <c r="AC22" s="1"/>
  <c r="AB17"/>
  <c r="AB11"/>
  <c r="AC11" s="1"/>
  <c r="AC82" i="261"/>
  <c r="O35" i="228"/>
  <c r="AC52" i="261"/>
  <c r="AC75"/>
  <c r="AC81"/>
  <c r="AC56"/>
  <c r="J22" i="232"/>
  <c r="K22" s="1"/>
  <c r="I22"/>
  <c r="F22"/>
  <c r="E22"/>
  <c r="D22"/>
  <c r="K20"/>
  <c r="G20"/>
  <c r="M20" s="1"/>
  <c r="K18"/>
  <c r="G18"/>
  <c r="K16"/>
  <c r="G16"/>
  <c r="M16" s="1"/>
  <c r="K14"/>
  <c r="G14"/>
  <c r="M14" s="1"/>
  <c r="K12"/>
  <c r="G12"/>
  <c r="M12" s="1"/>
  <c r="K10"/>
  <c r="G10"/>
  <c r="M10" s="1"/>
  <c r="AC21" i="261"/>
  <c r="D11" i="270"/>
  <c r="G11"/>
  <c r="J11"/>
  <c r="M11"/>
  <c r="P11"/>
  <c r="S11"/>
  <c r="V11"/>
  <c r="V33" s="1"/>
  <c r="D16"/>
  <c r="G16"/>
  <c r="J16"/>
  <c r="M16"/>
  <c r="P16"/>
  <c r="S16"/>
  <c r="S33" s="1"/>
  <c r="V16"/>
  <c r="D21"/>
  <c r="G21"/>
  <c r="J21"/>
  <c r="J33" s="1"/>
  <c r="M21"/>
  <c r="P21"/>
  <c r="S21"/>
  <c r="V21"/>
  <c r="G26"/>
  <c r="J26"/>
  <c r="M26"/>
  <c r="P26"/>
  <c r="S26"/>
  <c r="V26"/>
  <c r="D31"/>
  <c r="G31"/>
  <c r="J31"/>
  <c r="M31"/>
  <c r="P31"/>
  <c r="S31"/>
  <c r="V31"/>
  <c r="BE84" i="216"/>
  <c r="O32" i="228" s="1"/>
  <c r="BE83" i="216"/>
  <c r="BE82"/>
  <c r="BE80"/>
  <c r="BE78"/>
  <c r="BE77"/>
  <c r="BE76"/>
  <c r="BE75"/>
  <c r="BE74"/>
  <c r="BE73"/>
  <c r="BE72"/>
  <c r="BE71"/>
  <c r="BE70"/>
  <c r="BE69"/>
  <c r="BE68"/>
  <c r="BE67"/>
  <c r="BE66"/>
  <c r="BE65"/>
  <c r="BE64"/>
  <c r="BE63"/>
  <c r="BE62"/>
  <c r="BE61"/>
  <c r="BE60"/>
  <c r="BE59"/>
  <c r="BE58"/>
  <c r="BE56"/>
  <c r="BE54"/>
  <c r="BE53"/>
  <c r="BE52"/>
  <c r="BE50"/>
  <c r="BE48"/>
  <c r="BE47"/>
  <c r="BE46"/>
  <c r="BE45"/>
  <c r="BE44"/>
  <c r="BE43"/>
  <c r="BE42"/>
  <c r="BE41"/>
  <c r="BE40"/>
  <c r="BE39"/>
  <c r="BE38"/>
  <c r="BE36"/>
  <c r="BE35"/>
  <c r="BE34"/>
  <c r="BE33"/>
  <c r="BE32"/>
  <c r="BE31"/>
  <c r="BE30"/>
  <c r="BE29"/>
  <c r="BE28"/>
  <c r="BE27"/>
  <c r="BE26"/>
  <c r="BE25"/>
  <c r="BE24"/>
  <c r="BE23"/>
  <c r="BE22"/>
  <c r="BE21"/>
  <c r="BE20"/>
  <c r="BE19"/>
  <c r="BE18"/>
  <c r="BE17"/>
  <c r="BE16"/>
  <c r="BE15"/>
  <c r="BE14"/>
  <c r="BE13"/>
  <c r="BE12"/>
  <c r="BE11"/>
  <c r="BE10"/>
  <c r="BE9"/>
  <c r="BE8"/>
  <c r="BE7"/>
  <c r="BE6"/>
  <c r="H83" i="215"/>
  <c r="O31" i="228"/>
  <c r="H82" i="215"/>
  <c r="H81"/>
  <c r="H80"/>
  <c r="H79"/>
  <c r="H78"/>
  <c r="H77"/>
  <c r="H76"/>
  <c r="H75"/>
  <c r="H74"/>
  <c r="H73"/>
  <c r="H72"/>
  <c r="H71"/>
  <c r="H70"/>
  <c r="H69"/>
  <c r="H68"/>
  <c r="H67"/>
  <c r="H66"/>
  <c r="H63"/>
  <c r="H62"/>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BA36" i="223"/>
  <c r="AZ36"/>
  <c r="AY36"/>
  <c r="BA35"/>
  <c r="AZ35"/>
  <c r="AY35"/>
  <c r="BA34"/>
  <c r="AZ34"/>
  <c r="AY34"/>
  <c r="BA33"/>
  <c r="AZ33"/>
  <c r="AY33"/>
  <c r="BA32"/>
  <c r="AZ32"/>
  <c r="AY32"/>
  <c r="BA31"/>
  <c r="AZ31"/>
  <c r="AY31"/>
  <c r="BA29"/>
  <c r="BB29" s="1"/>
  <c r="BC29" s="1"/>
  <c r="AZ29"/>
  <c r="AY29"/>
  <c r="BB28"/>
  <c r="BC28"/>
  <c r="BB27"/>
  <c r="BC27"/>
  <c r="BB26"/>
  <c r="BC26"/>
  <c r="BA24"/>
  <c r="AZ24"/>
  <c r="AY24"/>
  <c r="BB23"/>
  <c r="BC23" s="1"/>
  <c r="BB22"/>
  <c r="BC22" s="1"/>
  <c r="BB21"/>
  <c r="BC21"/>
  <c r="BA19"/>
  <c r="AZ19"/>
  <c r="AY19"/>
  <c r="BB18"/>
  <c r="BC18"/>
  <c r="BB17"/>
  <c r="BC17"/>
  <c r="BB16"/>
  <c r="BC16"/>
  <c r="BA14"/>
  <c r="AZ14"/>
  <c r="AY14"/>
  <c r="BB14" s="1"/>
  <c r="BB13"/>
  <c r="BC13"/>
  <c r="BB12"/>
  <c r="BC12" s="1"/>
  <c r="BB11"/>
  <c r="BC11"/>
  <c r="BA9"/>
  <c r="AZ9"/>
  <c r="BB9" s="1"/>
  <c r="BC9" s="1"/>
  <c r="AY9"/>
  <c r="BB8"/>
  <c r="BC8" s="1"/>
  <c r="BB7"/>
  <c r="BC7" s="1"/>
  <c r="BB6"/>
  <c r="BC6" s="1"/>
  <c r="BB24"/>
  <c r="AB33" i="270"/>
  <c r="O23" i="228"/>
  <c r="AB31" i="270"/>
  <c r="AC31"/>
  <c r="AB30"/>
  <c r="AC30" s="1"/>
  <c r="AB29"/>
  <c r="AC29" s="1"/>
  <c r="AB28"/>
  <c r="AC28"/>
  <c r="AB26"/>
  <c r="AC26"/>
  <c r="AB25"/>
  <c r="AC25" s="1"/>
  <c r="AB24"/>
  <c r="AB23"/>
  <c r="AB21"/>
  <c r="AC21"/>
  <c r="AB20"/>
  <c r="AC20"/>
  <c r="AB19"/>
  <c r="AC19" s="1"/>
  <c r="AB18"/>
  <c r="AC18" s="1"/>
  <c r="AB16"/>
  <c r="AC16"/>
  <c r="AB15"/>
  <c r="AC15"/>
  <c r="AB14"/>
  <c r="AC14" s="1"/>
  <c r="AB13"/>
  <c r="AC13" s="1"/>
  <c r="AB11"/>
  <c r="AC11"/>
  <c r="AB10"/>
  <c r="AC10"/>
  <c r="AB9"/>
  <c r="AC9" s="1"/>
  <c r="AB8"/>
  <c r="AC8" s="1"/>
  <c r="AZ194"/>
  <c r="AZ196"/>
  <c r="BH101" i="267"/>
  <c r="BH103"/>
  <c r="BG140" i="268"/>
  <c r="E19" i="237"/>
  <c r="D6" i="227"/>
  <c r="W88" i="222"/>
  <c r="L11" i="217"/>
  <c r="L12"/>
  <c r="L17"/>
  <c r="J52" i="271"/>
  <c r="J51"/>
  <c r="J56" s="1"/>
  <c r="J58" s="1"/>
  <c r="H39" i="272"/>
  <c r="H32"/>
  <c r="H25"/>
  <c r="J25" s="1"/>
  <c r="H18"/>
  <c r="H11"/>
  <c r="J6"/>
  <c r="N7"/>
  <c r="N8"/>
  <c r="N9"/>
  <c r="N10"/>
  <c r="N13"/>
  <c r="N14"/>
  <c r="N15"/>
  <c r="N16"/>
  <c r="N17"/>
  <c r="N20"/>
  <c r="N21"/>
  <c r="N22"/>
  <c r="N23"/>
  <c r="N24"/>
  <c r="N27"/>
  <c r="N28"/>
  <c r="N29"/>
  <c r="N30"/>
  <c r="N31"/>
  <c r="N34"/>
  <c r="N35"/>
  <c r="N36"/>
  <c r="N37"/>
  <c r="N38"/>
  <c r="N6"/>
  <c r="M41"/>
  <c r="N41"/>
  <c r="M39"/>
  <c r="N39" s="1"/>
  <c r="L39"/>
  <c r="M32"/>
  <c r="L32"/>
  <c r="M25"/>
  <c r="L25"/>
  <c r="N25" s="1"/>
  <c r="M18"/>
  <c r="L18"/>
  <c r="M11"/>
  <c r="M43" s="1"/>
  <c r="L11"/>
  <c r="L43" s="1"/>
  <c r="N43" s="1"/>
  <c r="I41"/>
  <c r="J41" s="1"/>
  <c r="I39"/>
  <c r="I32"/>
  <c r="I25"/>
  <c r="I18"/>
  <c r="I11"/>
  <c r="N32"/>
  <c r="N18"/>
  <c r="N11"/>
  <c r="P42" i="234"/>
  <c r="Q42"/>
  <c r="S42" s="1"/>
  <c r="R40"/>
  <c r="O40"/>
  <c r="P39"/>
  <c r="Q39"/>
  <c r="S39"/>
  <c r="P38"/>
  <c r="Q38"/>
  <c r="S38" s="1"/>
  <c r="P37"/>
  <c r="Q37"/>
  <c r="S37" s="1"/>
  <c r="P36"/>
  <c r="Q36"/>
  <c r="S36" s="1"/>
  <c r="P35"/>
  <c r="Q35" s="1"/>
  <c r="R33"/>
  <c r="O33"/>
  <c r="Q32"/>
  <c r="S32" s="1"/>
  <c r="P31"/>
  <c r="Q30"/>
  <c r="S30" s="1"/>
  <c r="Q29"/>
  <c r="S29" s="1"/>
  <c r="Q28"/>
  <c r="S28"/>
  <c r="R26"/>
  <c r="O26"/>
  <c r="O44" s="1"/>
  <c r="Q25"/>
  <c r="S25" s="1"/>
  <c r="P24"/>
  <c r="Q24" s="1"/>
  <c r="S24" s="1"/>
  <c r="P23"/>
  <c r="P22"/>
  <c r="Q22" s="1"/>
  <c r="S22" s="1"/>
  <c r="P21"/>
  <c r="Q21"/>
  <c r="R19"/>
  <c r="R44" s="1"/>
  <c r="O19"/>
  <c r="Q18"/>
  <c r="S18" s="1"/>
  <c r="P17"/>
  <c r="Q17"/>
  <c r="S17" s="1"/>
  <c r="P16"/>
  <c r="Q16"/>
  <c r="S16" s="1"/>
  <c r="P15"/>
  <c r="Q14"/>
  <c r="S14"/>
  <c r="R12"/>
  <c r="O12"/>
  <c r="P11"/>
  <c r="P10"/>
  <c r="Q10" s="1"/>
  <c r="S10" s="1"/>
  <c r="P9"/>
  <c r="Q9" s="1"/>
  <c r="S9" s="1"/>
  <c r="P8"/>
  <c r="Q8"/>
  <c r="P7"/>
  <c r="K42"/>
  <c r="M42"/>
  <c r="L40"/>
  <c r="J40"/>
  <c r="I40"/>
  <c r="K39"/>
  <c r="M39"/>
  <c r="K38"/>
  <c r="M38" s="1"/>
  <c r="K37"/>
  <c r="M37" s="1"/>
  <c r="K36"/>
  <c r="M36"/>
  <c r="K35"/>
  <c r="L33"/>
  <c r="J33"/>
  <c r="I33"/>
  <c r="K32"/>
  <c r="M32" s="1"/>
  <c r="K31"/>
  <c r="M31"/>
  <c r="K30"/>
  <c r="K29"/>
  <c r="K28"/>
  <c r="M28"/>
  <c r="L26"/>
  <c r="I26"/>
  <c r="K25"/>
  <c r="M25" s="1"/>
  <c r="J24"/>
  <c r="J23"/>
  <c r="K22"/>
  <c r="M22" s="1"/>
  <c r="K21"/>
  <c r="M21" s="1"/>
  <c r="L19"/>
  <c r="J19"/>
  <c r="I19"/>
  <c r="K18"/>
  <c r="M18" s="1"/>
  <c r="K17"/>
  <c r="M17"/>
  <c r="K16"/>
  <c r="K15"/>
  <c r="K14"/>
  <c r="M14"/>
  <c r="L12"/>
  <c r="J12"/>
  <c r="I12"/>
  <c r="I44" s="1"/>
  <c r="K11"/>
  <c r="K10"/>
  <c r="M10"/>
  <c r="K9"/>
  <c r="K8"/>
  <c r="M8"/>
  <c r="K7"/>
  <c r="M7"/>
  <c r="N42" i="233"/>
  <c r="M40"/>
  <c r="L40"/>
  <c r="N39"/>
  <c r="N38"/>
  <c r="N37"/>
  <c r="N36"/>
  <c r="N35"/>
  <c r="M33"/>
  <c r="L33"/>
  <c r="N32"/>
  <c r="N31"/>
  <c r="N30"/>
  <c r="N29"/>
  <c r="N28"/>
  <c r="M26"/>
  <c r="L26"/>
  <c r="N25"/>
  <c r="N24"/>
  <c r="N23"/>
  <c r="N22"/>
  <c r="N21"/>
  <c r="M19"/>
  <c r="L19"/>
  <c r="N19" s="1"/>
  <c r="N18"/>
  <c r="N17"/>
  <c r="N16"/>
  <c r="N15"/>
  <c r="N14"/>
  <c r="M12"/>
  <c r="L12"/>
  <c r="N11"/>
  <c r="N10"/>
  <c r="N9"/>
  <c r="N8"/>
  <c r="N7"/>
  <c r="I42"/>
  <c r="J42"/>
  <c r="I40"/>
  <c r="H40"/>
  <c r="J39"/>
  <c r="J38"/>
  <c r="J37"/>
  <c r="J36"/>
  <c r="J35"/>
  <c r="I33"/>
  <c r="H33"/>
  <c r="J32"/>
  <c r="J31"/>
  <c r="J30"/>
  <c r="J29"/>
  <c r="J28"/>
  <c r="I26"/>
  <c r="H26"/>
  <c r="J26" s="1"/>
  <c r="J25"/>
  <c r="J24"/>
  <c r="J23"/>
  <c r="J22"/>
  <c r="J21"/>
  <c r="I19"/>
  <c r="H19"/>
  <c r="J19" s="1"/>
  <c r="J18"/>
  <c r="J17"/>
  <c r="J16"/>
  <c r="J15"/>
  <c r="J14"/>
  <c r="I12"/>
  <c r="I44" s="1"/>
  <c r="H12"/>
  <c r="J11"/>
  <c r="J10"/>
  <c r="J9"/>
  <c r="J8"/>
  <c r="J7"/>
  <c r="L44" i="234"/>
  <c r="N33" i="233"/>
  <c r="K23" i="234"/>
  <c r="M23"/>
  <c r="J40" i="233"/>
  <c r="M30" i="234"/>
  <c r="J33" i="233"/>
  <c r="Q7" i="234"/>
  <c r="S7"/>
  <c r="L44" i="233"/>
  <c r="M16" i="234"/>
  <c r="N40" i="233"/>
  <c r="K40" i="234"/>
  <c r="M40" s="1"/>
  <c r="M9"/>
  <c r="M35"/>
  <c r="Y82" i="221"/>
  <c r="X82"/>
  <c r="X81" i="220"/>
  <c r="X81" i="261"/>
  <c r="L18" i="217"/>
  <c r="M17"/>
  <c r="I7" i="230"/>
  <c r="I9" s="1"/>
  <c r="N52" i="255"/>
  <c r="N51"/>
  <c r="N50"/>
  <c r="N47"/>
  <c r="N42"/>
  <c r="N43"/>
  <c r="N45" s="1"/>
  <c r="N44"/>
  <c r="N40"/>
  <c r="N35"/>
  <c r="N36"/>
  <c r="N29"/>
  <c r="N30"/>
  <c r="N31"/>
  <c r="N32"/>
  <c r="N25"/>
  <c r="N26"/>
  <c r="N18"/>
  <c r="N19"/>
  <c r="N10"/>
  <c r="N13"/>
  <c r="N16" s="1"/>
  <c r="N14"/>
  <c r="N15"/>
  <c r="N11"/>
  <c r="N7"/>
  <c r="N9"/>
  <c r="N8"/>
  <c r="N49"/>
  <c r="N46"/>
  <c r="N39"/>
  <c r="N41" s="1"/>
  <c r="N34"/>
  <c r="N28"/>
  <c r="N24"/>
  <c r="N23"/>
  <c r="N22"/>
  <c r="N17"/>
  <c r="N7" i="254"/>
  <c r="N8"/>
  <c r="N9"/>
  <c r="N10"/>
  <c r="N11"/>
  <c r="N13"/>
  <c r="N14"/>
  <c r="N15"/>
  <c r="N16"/>
  <c r="N17"/>
  <c r="N19"/>
  <c r="N20"/>
  <c r="N21"/>
  <c r="N22"/>
  <c r="N23"/>
  <c r="N24"/>
  <c r="N27"/>
  <c r="N28"/>
  <c r="N29"/>
  <c r="N30"/>
  <c r="N31"/>
  <c r="N32"/>
  <c r="N33"/>
  <c r="N35"/>
  <c r="N36"/>
  <c r="N40" s="1"/>
  <c r="N37"/>
  <c r="N38"/>
  <c r="N39"/>
  <c r="N41"/>
  <c r="N42"/>
  <c r="N43"/>
  <c r="N44"/>
  <c r="N47"/>
  <c r="N48"/>
  <c r="N49"/>
  <c r="N50"/>
  <c r="N51"/>
  <c r="N52"/>
  <c r="N53"/>
  <c r="N55"/>
  <c r="N56"/>
  <c r="N57"/>
  <c r="N58"/>
  <c r="N59"/>
  <c r="N60"/>
  <c r="N61"/>
  <c r="N62"/>
  <c r="N63"/>
  <c r="N65"/>
  <c r="N66"/>
  <c r="N67"/>
  <c r="N70"/>
  <c r="N71"/>
  <c r="N72"/>
  <c r="N73"/>
  <c r="N74"/>
  <c r="N75"/>
  <c r="N6"/>
  <c r="N24" i="253"/>
  <c r="N25"/>
  <c r="N23"/>
  <c r="N19"/>
  <c r="N22" s="1"/>
  <c r="N20"/>
  <c r="N21"/>
  <c r="N18"/>
  <c r="N15"/>
  <c r="N13"/>
  <c r="N14"/>
  <c r="N12"/>
  <c r="N8"/>
  <c r="N10" s="1"/>
  <c r="N11" s="1"/>
  <c r="N9"/>
  <c r="N7"/>
  <c r="N6"/>
  <c r="AU213" i="252"/>
  <c r="AU203"/>
  <c r="AU195"/>
  <c r="AU191"/>
  <c r="AU187"/>
  <c r="AU180"/>
  <c r="AU173"/>
  <c r="AU165"/>
  <c r="AU161"/>
  <c r="AU157"/>
  <c r="AU151"/>
  <c r="AU145"/>
  <c r="AU139"/>
  <c r="AU132"/>
  <c r="AU126"/>
  <c r="AU120"/>
  <c r="AU113"/>
  <c r="AU106"/>
  <c r="AU101"/>
  <c r="AU95"/>
  <c r="AU89"/>
  <c r="AU84"/>
  <c r="AU79"/>
  <c r="AU74"/>
  <c r="AU67"/>
  <c r="AU63"/>
  <c r="AU59"/>
  <c r="AU55"/>
  <c r="AU50"/>
  <c r="AU43"/>
  <c r="AU36"/>
  <c r="AU30"/>
  <c r="AU24"/>
  <c r="AU16"/>
  <c r="AU14"/>
  <c r="AU9"/>
  <c r="AH337" i="251"/>
  <c r="AH328"/>
  <c r="AH322"/>
  <c r="AH317"/>
  <c r="AH312"/>
  <c r="AH308"/>
  <c r="AH304"/>
  <c r="AH298"/>
  <c r="AH292"/>
  <c r="AH283"/>
  <c r="AH276"/>
  <c r="AH272"/>
  <c r="AH267"/>
  <c r="AH258"/>
  <c r="AH254"/>
  <c r="AH248"/>
  <c r="AH244"/>
  <c r="AH238"/>
  <c r="AH229"/>
  <c r="AH224"/>
  <c r="AH219"/>
  <c r="AH217"/>
  <c r="AH212"/>
  <c r="AH208"/>
  <c r="AH206"/>
  <c r="AH198"/>
  <c r="AH193"/>
  <c r="AH189"/>
  <c r="AH185"/>
  <c r="AH181"/>
  <c r="AH178"/>
  <c r="AH172"/>
  <c r="AH168"/>
  <c r="AH162"/>
  <c r="AH158"/>
  <c r="AH150"/>
  <c r="AH144"/>
  <c r="AH135"/>
  <c r="AH130"/>
  <c r="AH124"/>
  <c r="AH117"/>
  <c r="AH110"/>
  <c r="AH101"/>
  <c r="AH89"/>
  <c r="AH84"/>
  <c r="AH79"/>
  <c r="AH69"/>
  <c r="AH63"/>
  <c r="AH61"/>
  <c r="AH54"/>
  <c r="AH50"/>
  <c r="AH44"/>
  <c r="AH41"/>
  <c r="AH34"/>
  <c r="AH27"/>
  <c r="AH23"/>
  <c r="AH17"/>
  <c r="AH13"/>
  <c r="AH11"/>
  <c r="AA79" i="250"/>
  <c r="AA69"/>
  <c r="AA65"/>
  <c r="AA61"/>
  <c r="AA57"/>
  <c r="AA50"/>
  <c r="AA42"/>
  <c r="AA37"/>
  <c r="AA35"/>
  <c r="AA30"/>
  <c r="AA24"/>
  <c r="AA19"/>
  <c r="AA14"/>
  <c r="AA10"/>
  <c r="N33" i="255"/>
  <c r="J39" i="272"/>
  <c r="J38"/>
  <c r="J37"/>
  <c r="J36"/>
  <c r="J35"/>
  <c r="J34"/>
  <c r="J31"/>
  <c r="J30"/>
  <c r="J29"/>
  <c r="J28"/>
  <c r="J27"/>
  <c r="J24"/>
  <c r="J23"/>
  <c r="J22"/>
  <c r="J21"/>
  <c r="J20"/>
  <c r="J17"/>
  <c r="J16"/>
  <c r="J15"/>
  <c r="J14"/>
  <c r="J13"/>
  <c r="J10"/>
  <c r="J9"/>
  <c r="J8"/>
  <c r="J7"/>
  <c r="J32"/>
  <c r="J18"/>
  <c r="AD30" i="243"/>
  <c r="AE7"/>
  <c r="AF27"/>
  <c r="AF26"/>
  <c r="AF25"/>
  <c r="AF24"/>
  <c r="AF23"/>
  <c r="AF22"/>
  <c r="AF21"/>
  <c r="AF20"/>
  <c r="AF19"/>
  <c r="AF18"/>
  <c r="AF17"/>
  <c r="AF16"/>
  <c r="AF15"/>
  <c r="AF14"/>
  <c r="AF13"/>
  <c r="AF12"/>
  <c r="AF11"/>
  <c r="AF10"/>
  <c r="AF8"/>
  <c r="AF7"/>
  <c r="AF6"/>
  <c r="AE23"/>
  <c r="AE15"/>
  <c r="AE22"/>
  <c r="AE14"/>
  <c r="AE6"/>
  <c r="AE21"/>
  <c r="AE13"/>
  <c r="AE28"/>
  <c r="AE20"/>
  <c r="AE12"/>
  <c r="AE27"/>
  <c r="AE19"/>
  <c r="AE11"/>
  <c r="AE26"/>
  <c r="AE18"/>
  <c r="AE10"/>
  <c r="AE25"/>
  <c r="AE17"/>
  <c r="AE9"/>
  <c r="AE24"/>
  <c r="AE16"/>
  <c r="AE8"/>
  <c r="N105" i="274"/>
  <c r="N106"/>
  <c r="N107"/>
  <c r="N108"/>
  <c r="N109"/>
  <c r="N110"/>
  <c r="N111"/>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6"/>
  <c r="AB100"/>
  <c r="U100"/>
  <c r="AM102" i="262"/>
  <c r="AM101"/>
  <c r="AM100"/>
  <c r="AM99"/>
  <c r="AM98"/>
  <c r="AM97"/>
  <c r="AM96"/>
  <c r="AM95"/>
  <c r="AM94"/>
  <c r="AM93"/>
  <c r="AM92"/>
  <c r="AM91"/>
  <c r="AM90"/>
  <c r="AM89"/>
  <c r="AM88"/>
  <c r="AM87"/>
  <c r="AM86"/>
  <c r="AM85"/>
  <c r="AM84"/>
  <c r="AM83"/>
  <c r="AM82"/>
  <c r="AM81"/>
  <c r="AM80"/>
  <c r="AM79"/>
  <c r="AM78"/>
  <c r="AM77"/>
  <c r="AM76"/>
  <c r="AM75"/>
  <c r="AM74"/>
  <c r="AM73"/>
  <c r="AM72"/>
  <c r="AM71"/>
  <c r="AM70"/>
  <c r="AM69"/>
  <c r="AM68"/>
  <c r="AM67"/>
  <c r="AM66"/>
  <c r="AM65"/>
  <c r="AM64"/>
  <c r="AM63"/>
  <c r="AM62"/>
  <c r="AM61"/>
  <c r="AM60"/>
  <c r="AM59"/>
  <c r="AM58"/>
  <c r="AM57"/>
  <c r="AM56"/>
  <c r="AM55"/>
  <c r="AM54"/>
  <c r="AM53"/>
  <c r="AM52"/>
  <c r="AM51"/>
  <c r="AM50"/>
  <c r="AM49"/>
  <c r="AM48"/>
  <c r="AM47"/>
  <c r="AM46"/>
  <c r="AM45"/>
  <c r="AM44"/>
  <c r="AM43"/>
  <c r="AM42"/>
  <c r="AM41"/>
  <c r="AM40"/>
  <c r="AM39"/>
  <c r="AM38"/>
  <c r="AM37"/>
  <c r="AM36"/>
  <c r="AM35"/>
  <c r="AM34"/>
  <c r="AM33"/>
  <c r="AM32"/>
  <c r="AM31"/>
  <c r="AM30"/>
  <c r="AM29"/>
  <c r="AM28"/>
  <c r="AM27"/>
  <c r="AM26"/>
  <c r="AM25"/>
  <c r="AM24"/>
  <c r="AM23"/>
  <c r="AM22"/>
  <c r="AM21"/>
  <c r="AM20"/>
  <c r="AM19"/>
  <c r="AM18"/>
  <c r="AM17"/>
  <c r="AM16"/>
  <c r="AM15"/>
  <c r="AM14"/>
  <c r="AM13"/>
  <c r="AM12"/>
  <c r="AM11"/>
  <c r="AM10"/>
  <c r="AM9"/>
  <c r="AM8"/>
  <c r="AM7"/>
  <c r="J13" i="273"/>
  <c r="J8"/>
  <c r="J18"/>
  <c r="J27"/>
  <c r="J22"/>
  <c r="C121" i="238"/>
  <c r="B121"/>
  <c r="E20" i="231"/>
  <c r="D179" i="213"/>
  <c r="D180"/>
  <c r="D181"/>
  <c r="D182"/>
  <c r="B183"/>
  <c r="C183"/>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E294"/>
  <c r="F294"/>
  <c r="G294"/>
  <c r="F198" i="212"/>
  <c r="E198"/>
  <c r="D198"/>
  <c r="G197"/>
  <c r="G196"/>
  <c r="G195"/>
  <c r="D121"/>
  <c r="C121"/>
  <c r="B121"/>
  <c r="E120"/>
  <c r="C21" i="237"/>
  <c r="B21"/>
  <c r="E20"/>
  <c r="E18"/>
  <c r="E17"/>
  <c r="E16"/>
  <c r="E15"/>
  <c r="D21"/>
  <c r="AK45" i="235"/>
  <c r="AJ45"/>
  <c r="AL45" s="1"/>
  <c r="AK44"/>
  <c r="AL44" s="1"/>
  <c r="AJ44"/>
  <c r="AK43"/>
  <c r="AJ43"/>
  <c r="AL39"/>
  <c r="AL33"/>
  <c r="AL32"/>
  <c r="AL31"/>
  <c r="AL27"/>
  <c r="AL26"/>
  <c r="AL25"/>
  <c r="AL21"/>
  <c r="AL20"/>
  <c r="AL19"/>
  <c r="AL15"/>
  <c r="AL14"/>
  <c r="AL13"/>
  <c r="AL9"/>
  <c r="AL8"/>
  <c r="AL7"/>
  <c r="F26" i="231"/>
  <c r="D26"/>
  <c r="C26"/>
  <c r="B26"/>
  <c r="G26" s="1"/>
  <c r="G25"/>
  <c r="E25"/>
  <c r="G24"/>
  <c r="E24"/>
  <c r="G23"/>
  <c r="E23"/>
  <c r="G22"/>
  <c r="E22"/>
  <c r="G21"/>
  <c r="E21"/>
  <c r="G20"/>
  <c r="AG52" i="271"/>
  <c r="AH52"/>
  <c r="AF52"/>
  <c r="AG51"/>
  <c r="AH51"/>
  <c r="AH56" s="1"/>
  <c r="AF51"/>
  <c r="AG50"/>
  <c r="AH50"/>
  <c r="AF50"/>
  <c r="I52"/>
  <c r="H52"/>
  <c r="I51"/>
  <c r="H51"/>
  <c r="J50"/>
  <c r="I50"/>
  <c r="H50"/>
  <c r="H53" s="1"/>
  <c r="J45"/>
  <c r="I45"/>
  <c r="H45"/>
  <c r="J34"/>
  <c r="I34"/>
  <c r="H34"/>
  <c r="J26"/>
  <c r="I26"/>
  <c r="H26"/>
  <c r="J18"/>
  <c r="I18"/>
  <c r="H18"/>
  <c r="J9"/>
  <c r="I9"/>
  <c r="H9"/>
  <c r="E21" i="237"/>
  <c r="AL43" i="235"/>
  <c r="AG26" i="271"/>
  <c r="AH26"/>
  <c r="AF26"/>
  <c r="J53"/>
  <c r="I53"/>
  <c r="BG142" i="268"/>
  <c r="Y80" i="220"/>
  <c r="Z80" s="1"/>
  <c r="Y75"/>
  <c r="Y70"/>
  <c r="Z70"/>
  <c r="Y64"/>
  <c r="Z64" s="1"/>
  <c r="Y60"/>
  <c r="Z60"/>
  <c r="Y56"/>
  <c r="Y51"/>
  <c r="Z51"/>
  <c r="Y46"/>
  <c r="Z46"/>
  <c r="Y40"/>
  <c r="Z40" s="1"/>
  <c r="Y33"/>
  <c r="Y29"/>
  <c r="Z29" s="1"/>
  <c r="Y25"/>
  <c r="Y20"/>
  <c r="Z20" s="1"/>
  <c r="Y15"/>
  <c r="Z15"/>
  <c r="Y9"/>
  <c r="Z9" s="1"/>
  <c r="Y80" i="261"/>
  <c r="Y75"/>
  <c r="Z75"/>
  <c r="Y70"/>
  <c r="Z70" s="1"/>
  <c r="Y64"/>
  <c r="Y60"/>
  <c r="Z60" s="1"/>
  <c r="Y56"/>
  <c r="Z56" s="1"/>
  <c r="Y51"/>
  <c r="Y46"/>
  <c r="Z46"/>
  <c r="Y40"/>
  <c r="Y33"/>
  <c r="Z33" s="1"/>
  <c r="Y29"/>
  <c r="Z29" s="1"/>
  <c r="Y25"/>
  <c r="Z25"/>
  <c r="Y20"/>
  <c r="Z20" s="1"/>
  <c r="Y15"/>
  <c r="Z15"/>
  <c r="Y9"/>
  <c r="Z9"/>
  <c r="Y53" i="214"/>
  <c r="Z53" s="1"/>
  <c r="Z82" i="221"/>
  <c r="Z81"/>
  <c r="Z80"/>
  <c r="Z79"/>
  <c r="Z78"/>
  <c r="Z77"/>
  <c r="Z76"/>
  <c r="Z75"/>
  <c r="Z74"/>
  <c r="Z73"/>
  <c r="Z72"/>
  <c r="Z71"/>
  <c r="Z70"/>
  <c r="Z69"/>
  <c r="Z68"/>
  <c r="Z67"/>
  <c r="Z66"/>
  <c r="Z65"/>
  <c r="Z64"/>
  <c r="Z63"/>
  <c r="Z60"/>
  <c r="Z58"/>
  <c r="Z57"/>
  <c r="Z56"/>
  <c r="Z55"/>
  <c r="Z54"/>
  <c r="Z52"/>
  <c r="Z51"/>
  <c r="Z50"/>
  <c r="Z49"/>
  <c r="Z48"/>
  <c r="Z47"/>
  <c r="Z46"/>
  <c r="Z45"/>
  <c r="Z44"/>
  <c r="Z43"/>
  <c r="Z42"/>
  <c r="Z41"/>
  <c r="Z40"/>
  <c r="Z39"/>
  <c r="Z38"/>
  <c r="Z37"/>
  <c r="Z36"/>
  <c r="Z35"/>
  <c r="Z34"/>
  <c r="Z33"/>
  <c r="Z32"/>
  <c r="Z31"/>
  <c r="Z30"/>
  <c r="Z29"/>
  <c r="Z28"/>
  <c r="Z27"/>
  <c r="Z26"/>
  <c r="Z25"/>
  <c r="Z24"/>
  <c r="Z23"/>
  <c r="Z22"/>
  <c r="Z21"/>
  <c r="Z20"/>
  <c r="Z19"/>
  <c r="Z18"/>
  <c r="Z17"/>
  <c r="Z16"/>
  <c r="Z15"/>
  <c r="Z14"/>
  <c r="Z13"/>
  <c r="Z12"/>
  <c r="Z11"/>
  <c r="Z10"/>
  <c r="Z9"/>
  <c r="Z8"/>
  <c r="Z7"/>
  <c r="Z6"/>
  <c r="Z5"/>
  <c r="Z4"/>
  <c r="Z79" i="220"/>
  <c r="Z78"/>
  <c r="Z77"/>
  <c r="Z76"/>
  <c r="Z75"/>
  <c r="Z74"/>
  <c r="Z73"/>
  <c r="Z72"/>
  <c r="Z71"/>
  <c r="Z69"/>
  <c r="Z68"/>
  <c r="Z67"/>
  <c r="Z66"/>
  <c r="Z63"/>
  <c r="Z58"/>
  <c r="Z57"/>
  <c r="Z55"/>
  <c r="Z54"/>
  <c r="Z50"/>
  <c r="Z49"/>
  <c r="Z48"/>
  <c r="Z47"/>
  <c r="Z45"/>
  <c r="Z44"/>
  <c r="Z43"/>
  <c r="Z42"/>
  <c r="Z41"/>
  <c r="Z39"/>
  <c r="Z38"/>
  <c r="Z37"/>
  <c r="Z36"/>
  <c r="Z35"/>
  <c r="Z33"/>
  <c r="Z32"/>
  <c r="Z31"/>
  <c r="Z30"/>
  <c r="Z28"/>
  <c r="Z27"/>
  <c r="Z26"/>
  <c r="Z24"/>
  <c r="Z23"/>
  <c r="Z22"/>
  <c r="Z19"/>
  <c r="Z18"/>
  <c r="Z17"/>
  <c r="Z16"/>
  <c r="Z14"/>
  <c r="Z13"/>
  <c r="Z12"/>
  <c r="Z11"/>
  <c r="Z10"/>
  <c r="Z8"/>
  <c r="Z7"/>
  <c r="Z6"/>
  <c r="Z5"/>
  <c r="Z4"/>
  <c r="Z79" i="261"/>
  <c r="Z78"/>
  <c r="Z77"/>
  <c r="Z76"/>
  <c r="Z74"/>
  <c r="Z73"/>
  <c r="Z72"/>
  <c r="Z71"/>
  <c r="Z69"/>
  <c r="Z68"/>
  <c r="Z67"/>
  <c r="Z66"/>
  <c r="Z63"/>
  <c r="Z58"/>
  <c r="Z57"/>
  <c r="Z55"/>
  <c r="Z54"/>
  <c r="Z51"/>
  <c r="Z50"/>
  <c r="Z49"/>
  <c r="Z48"/>
  <c r="Z47"/>
  <c r="Z45"/>
  <c r="Z44"/>
  <c r="Z43"/>
  <c r="Z42"/>
  <c r="Z41"/>
  <c r="Z39"/>
  <c r="Z38"/>
  <c r="Z37"/>
  <c r="Z36"/>
  <c r="Z35"/>
  <c r="Z32"/>
  <c r="Z31"/>
  <c r="Z30"/>
  <c r="Z28"/>
  <c r="Z27"/>
  <c r="Z26"/>
  <c r="Z24"/>
  <c r="Z23"/>
  <c r="Z22"/>
  <c r="Z19"/>
  <c r="Z18"/>
  <c r="Z17"/>
  <c r="Z16"/>
  <c r="Z14"/>
  <c r="Z13"/>
  <c r="Z12"/>
  <c r="Z11"/>
  <c r="Z10"/>
  <c r="Z8"/>
  <c r="Z7"/>
  <c r="Z6"/>
  <c r="Z5"/>
  <c r="Z4"/>
  <c r="AY82" i="216"/>
  <c r="AX81"/>
  <c r="AY80"/>
  <c r="AX80"/>
  <c r="AX79"/>
  <c r="AY78"/>
  <c r="AX78"/>
  <c r="AX77"/>
  <c r="AY76"/>
  <c r="AX76"/>
  <c r="AY75"/>
  <c r="AX75"/>
  <c r="AY74"/>
  <c r="AX74"/>
  <c r="AY73"/>
  <c r="AX73"/>
  <c r="AT83"/>
  <c r="AT84" s="1"/>
  <c r="AY71"/>
  <c r="AX71"/>
  <c r="AY70"/>
  <c r="AX70"/>
  <c r="AY69"/>
  <c r="AX69"/>
  <c r="AY68"/>
  <c r="AX68"/>
  <c r="AY65"/>
  <c r="AX65"/>
  <c r="AY64"/>
  <c r="AX64"/>
  <c r="AY63"/>
  <c r="AX63"/>
  <c r="AY62"/>
  <c r="AY61"/>
  <c r="AX61"/>
  <c r="AY60"/>
  <c r="AX60"/>
  <c r="AY59"/>
  <c r="AX59"/>
  <c r="AX57"/>
  <c r="AY56"/>
  <c r="AX56"/>
  <c r="AX58" s="1"/>
  <c r="AX55"/>
  <c r="AY53"/>
  <c r="AY52"/>
  <c r="AX52"/>
  <c r="AX51"/>
  <c r="AY50"/>
  <c r="AX50"/>
  <c r="AX49"/>
  <c r="AY48"/>
  <c r="AY47"/>
  <c r="AX47"/>
  <c r="AY46"/>
  <c r="AX46"/>
  <c r="AY45"/>
  <c r="AX45"/>
  <c r="AY44"/>
  <c r="AX44"/>
  <c r="AY43"/>
  <c r="AX43"/>
  <c r="AY41"/>
  <c r="AX41"/>
  <c r="AY40"/>
  <c r="AX40"/>
  <c r="AY39"/>
  <c r="AX39"/>
  <c r="AY38"/>
  <c r="AX38"/>
  <c r="AX37"/>
  <c r="AY35"/>
  <c r="AY34"/>
  <c r="AX34"/>
  <c r="AY33"/>
  <c r="AX33"/>
  <c r="AY32"/>
  <c r="AX32"/>
  <c r="AX35"/>
  <c r="AY31"/>
  <c r="AY30"/>
  <c r="AX30"/>
  <c r="AY29"/>
  <c r="AX29"/>
  <c r="AY28"/>
  <c r="AX28"/>
  <c r="AY26"/>
  <c r="AX26"/>
  <c r="AY25"/>
  <c r="AX25"/>
  <c r="AX27" s="1"/>
  <c r="AY24"/>
  <c r="AX24"/>
  <c r="AY21"/>
  <c r="AX21"/>
  <c r="AY20"/>
  <c r="AX20"/>
  <c r="AX22" s="1"/>
  <c r="AY19"/>
  <c r="AX19"/>
  <c r="AY18"/>
  <c r="AX18"/>
  <c r="AY16"/>
  <c r="AX16"/>
  <c r="AY15"/>
  <c r="AX15"/>
  <c r="AY14"/>
  <c r="AX14"/>
  <c r="AY13"/>
  <c r="AX13"/>
  <c r="AY12"/>
  <c r="AX12"/>
  <c r="AX17" s="1"/>
  <c r="AY10"/>
  <c r="AX10"/>
  <c r="AY9"/>
  <c r="AX9"/>
  <c r="AY8"/>
  <c r="AX8"/>
  <c r="AY7"/>
  <c r="AX7"/>
  <c r="AY6"/>
  <c r="AX6"/>
  <c r="E81" i="215"/>
  <c r="E80"/>
  <c r="E79"/>
  <c r="E78"/>
  <c r="E77"/>
  <c r="E76"/>
  <c r="E75"/>
  <c r="E74"/>
  <c r="E73"/>
  <c r="E72"/>
  <c r="E71"/>
  <c r="E70"/>
  <c r="E69"/>
  <c r="E68"/>
  <c r="E67"/>
  <c r="E63"/>
  <c r="E62"/>
  <c r="E60"/>
  <c r="E59"/>
  <c r="E58"/>
  <c r="E56"/>
  <c r="E55"/>
  <c r="E54"/>
  <c r="E52"/>
  <c r="E51"/>
  <c r="E50"/>
  <c r="E49"/>
  <c r="E48"/>
  <c r="E47"/>
  <c r="E46"/>
  <c r="E45"/>
  <c r="E44"/>
  <c r="E43"/>
  <c r="E42"/>
  <c r="E40"/>
  <c r="E39"/>
  <c r="E38"/>
  <c r="E37"/>
  <c r="E36"/>
  <c r="E34"/>
  <c r="E33"/>
  <c r="E32"/>
  <c r="E31"/>
  <c r="E30"/>
  <c r="E29"/>
  <c r="E28"/>
  <c r="E27"/>
  <c r="E25"/>
  <c r="E24"/>
  <c r="E23"/>
  <c r="E21"/>
  <c r="E20"/>
  <c r="E19"/>
  <c r="E18"/>
  <c r="E17"/>
  <c r="E16"/>
  <c r="E15"/>
  <c r="E14"/>
  <c r="E13"/>
  <c r="E12"/>
  <c r="E11"/>
  <c r="E9"/>
  <c r="E8"/>
  <c r="E7"/>
  <c r="E6"/>
  <c r="E5"/>
  <c r="Y82" i="214"/>
  <c r="Z81"/>
  <c r="Z80"/>
  <c r="Z79"/>
  <c r="Z78"/>
  <c r="Y77"/>
  <c r="Z77" s="1"/>
  <c r="Z76"/>
  <c r="Z75"/>
  <c r="Z74"/>
  <c r="Z73"/>
  <c r="Y72"/>
  <c r="Z72" s="1"/>
  <c r="Z71"/>
  <c r="Z70"/>
  <c r="Z69"/>
  <c r="Z68"/>
  <c r="Y66"/>
  <c r="Z66" s="1"/>
  <c r="Z65"/>
  <c r="Z64"/>
  <c r="Z63"/>
  <c r="Y62"/>
  <c r="Z62" s="1"/>
  <c r="Z61"/>
  <c r="Z60"/>
  <c r="Z59"/>
  <c r="Y58"/>
  <c r="Z58"/>
  <c r="Z57"/>
  <c r="Z56"/>
  <c r="Z55"/>
  <c r="Z52"/>
  <c r="Z51"/>
  <c r="Z50"/>
  <c r="Z49"/>
  <c r="Y48"/>
  <c r="Z48"/>
  <c r="Z47"/>
  <c r="Z46"/>
  <c r="Z45"/>
  <c r="Z44"/>
  <c r="Z43"/>
  <c r="Y42"/>
  <c r="Y54"/>
  <c r="Z54"/>
  <c r="Z41"/>
  <c r="Z40"/>
  <c r="Z39"/>
  <c r="Z38"/>
  <c r="Z37"/>
  <c r="Y35"/>
  <c r="Z35"/>
  <c r="Z34"/>
  <c r="Z33"/>
  <c r="Z32"/>
  <c r="Y31"/>
  <c r="Z31"/>
  <c r="Z30"/>
  <c r="Z29"/>
  <c r="Z28"/>
  <c r="Y27"/>
  <c r="Z27" s="1"/>
  <c r="Z26"/>
  <c r="Z25"/>
  <c r="Z24"/>
  <c r="Y22"/>
  <c r="Z22"/>
  <c r="Z21"/>
  <c r="Z20"/>
  <c r="Z19"/>
  <c r="Z18"/>
  <c r="Y17"/>
  <c r="Z17"/>
  <c r="Z16"/>
  <c r="Z15"/>
  <c r="Z14"/>
  <c r="Z13"/>
  <c r="Z12"/>
  <c r="Y11"/>
  <c r="Z10"/>
  <c r="Z9"/>
  <c r="Z8"/>
  <c r="Z7"/>
  <c r="Z6"/>
  <c r="Z25" i="220"/>
  <c r="Z80" i="261"/>
  <c r="AV83" i="216"/>
  <c r="AV84" s="1"/>
  <c r="AW83"/>
  <c r="AX82"/>
  <c r="AU83"/>
  <c r="AU84"/>
  <c r="AY77"/>
  <c r="AY72"/>
  <c r="AY66"/>
  <c r="AY42"/>
  <c r="AY22"/>
  <c r="AY17"/>
  <c r="AY54"/>
  <c r="AX72"/>
  <c r="AY11"/>
  <c r="AY27"/>
  <c r="AY58"/>
  <c r="E66" i="215"/>
  <c r="E57"/>
  <c r="E53"/>
  <c r="E41"/>
  <c r="E35"/>
  <c r="C82"/>
  <c r="E82"/>
  <c r="E22"/>
  <c r="E10"/>
  <c r="E26"/>
  <c r="X83" i="214"/>
  <c r="X84"/>
  <c r="Z11"/>
  <c r="G31" i="269"/>
  <c r="F31"/>
  <c r="E31"/>
  <c r="D31"/>
  <c r="H30"/>
  <c r="I30"/>
  <c r="H29"/>
  <c r="J29" s="1"/>
  <c r="H28"/>
  <c r="I28"/>
  <c r="G26"/>
  <c r="F26"/>
  <c r="H25"/>
  <c r="J25"/>
  <c r="H24"/>
  <c r="J24"/>
  <c r="H23"/>
  <c r="J23"/>
  <c r="G21"/>
  <c r="F21"/>
  <c r="E21"/>
  <c r="D21"/>
  <c r="H20"/>
  <c r="J20"/>
  <c r="H19"/>
  <c r="J19"/>
  <c r="H18"/>
  <c r="J18" s="1"/>
  <c r="G16"/>
  <c r="F16"/>
  <c r="D16"/>
  <c r="H15"/>
  <c r="H14"/>
  <c r="I14"/>
  <c r="H13"/>
  <c r="I13" s="1"/>
  <c r="G11"/>
  <c r="F11"/>
  <c r="E11"/>
  <c r="D11"/>
  <c r="H10"/>
  <c r="H9"/>
  <c r="J9"/>
  <c r="H8"/>
  <c r="AY67" i="216"/>
  <c r="AY36"/>
  <c r="AW84"/>
  <c r="AY23"/>
  <c r="I29" i="269"/>
  <c r="I24"/>
  <c r="I23"/>
  <c r="AU29" i="223"/>
  <c r="AT29"/>
  <c r="AS29"/>
  <c r="AU24"/>
  <c r="AT24"/>
  <c r="AS24"/>
  <c r="AU19"/>
  <c r="AT19"/>
  <c r="AS19"/>
  <c r="AU14"/>
  <c r="AT14"/>
  <c r="AS14"/>
  <c r="AU9"/>
  <c r="AT9"/>
  <c r="AS9"/>
  <c r="AU36"/>
  <c r="AT36"/>
  <c r="AS36"/>
  <c r="AU35"/>
  <c r="AT35"/>
  <c r="AS35"/>
  <c r="AU34"/>
  <c r="AT34"/>
  <c r="AS34"/>
  <c r="AU33"/>
  <c r="AT33"/>
  <c r="AS33"/>
  <c r="AU32"/>
  <c r="AT32"/>
  <c r="AS32"/>
  <c r="AU31"/>
  <c r="AT31"/>
  <c r="AS31"/>
  <c r="AV7"/>
  <c r="AW7"/>
  <c r="AV8"/>
  <c r="AW8" s="1"/>
  <c r="AV11"/>
  <c r="AW11" s="1"/>
  <c r="AV12"/>
  <c r="AW12"/>
  <c r="AV13"/>
  <c r="AW13"/>
  <c r="AV16"/>
  <c r="AW16"/>
  <c r="AV17"/>
  <c r="AW17" s="1"/>
  <c r="AV18"/>
  <c r="AW18"/>
  <c r="AV21"/>
  <c r="AW21"/>
  <c r="AV22"/>
  <c r="AW22"/>
  <c r="AV23"/>
  <c r="AW23" s="1"/>
  <c r="AV26"/>
  <c r="AW26"/>
  <c r="AV27"/>
  <c r="AW27" s="1"/>
  <c r="AV28"/>
  <c r="AW28"/>
  <c r="AV6"/>
  <c r="AW6" s="1"/>
  <c r="J43" i="232"/>
  <c r="I43"/>
  <c r="K43" s="1"/>
  <c r="F43"/>
  <c r="E43"/>
  <c r="D43"/>
  <c r="K41"/>
  <c r="G41"/>
  <c r="K39"/>
  <c r="G39"/>
  <c r="M39" s="1"/>
  <c r="K37"/>
  <c r="G37"/>
  <c r="K35"/>
  <c r="G35"/>
  <c r="K33"/>
  <c r="G33"/>
  <c r="K31"/>
  <c r="G31"/>
  <c r="M31" s="1"/>
  <c r="AG47" i="270"/>
  <c r="AH47"/>
  <c r="AH57" s="1"/>
  <c r="AI47"/>
  <c r="AJ47"/>
  <c r="AK47"/>
  <c r="AK57" s="1"/>
  <c r="AL47"/>
  <c r="AM47"/>
  <c r="AF47"/>
  <c r="AY186"/>
  <c r="Y15" s="1"/>
  <c r="AX186"/>
  <c r="AW186"/>
  <c r="AV186"/>
  <c r="AU186"/>
  <c r="AT186"/>
  <c r="AY181"/>
  <c r="AX181"/>
  <c r="AW181"/>
  <c r="AV181"/>
  <c r="AU181"/>
  <c r="AT181"/>
  <c r="AY179"/>
  <c r="AX179"/>
  <c r="AW179"/>
  <c r="AV179"/>
  <c r="AU179"/>
  <c r="AT179"/>
  <c r="AS179"/>
  <c r="AS187" s="1"/>
  <c r="AY175"/>
  <c r="AX175"/>
  <c r="AW175"/>
  <c r="AV175"/>
  <c r="AU175"/>
  <c r="AT175"/>
  <c r="AS175"/>
  <c r="AR175"/>
  <c r="AY170"/>
  <c r="AX170"/>
  <c r="AW170"/>
  <c r="AV170"/>
  <c r="AU170"/>
  <c r="AT170"/>
  <c r="AS170"/>
  <c r="AR170"/>
  <c r="AY154"/>
  <c r="AY176"/>
  <c r="AX154"/>
  <c r="AW154"/>
  <c r="AV154"/>
  <c r="AV176" s="1"/>
  <c r="AU154"/>
  <c r="AT154"/>
  <c r="AS154"/>
  <c r="AR154"/>
  <c r="AY132"/>
  <c r="AX132"/>
  <c r="AW132"/>
  <c r="AV132"/>
  <c r="AU132"/>
  <c r="AT132"/>
  <c r="AS132"/>
  <c r="AR132"/>
  <c r="AY121"/>
  <c r="AX121"/>
  <c r="AW121"/>
  <c r="AV121"/>
  <c r="AU121"/>
  <c r="AT121"/>
  <c r="AS121"/>
  <c r="AR121"/>
  <c r="AY103"/>
  <c r="AY133"/>
  <c r="AX103"/>
  <c r="AW103"/>
  <c r="AV103"/>
  <c r="AU103"/>
  <c r="AT103"/>
  <c r="AS103"/>
  <c r="AR103"/>
  <c r="AY85"/>
  <c r="Y10" s="1"/>
  <c r="AX85"/>
  <c r="AW85"/>
  <c r="AV85"/>
  <c r="AU85"/>
  <c r="AT85"/>
  <c r="AS85"/>
  <c r="AR85"/>
  <c r="AY67"/>
  <c r="AX67"/>
  <c r="AW67"/>
  <c r="AV67"/>
  <c r="AU67"/>
  <c r="AT67"/>
  <c r="AS67"/>
  <c r="AS86" s="1"/>
  <c r="AR67"/>
  <c r="AR86" s="1"/>
  <c r="AY50"/>
  <c r="Y8" s="1"/>
  <c r="AX50"/>
  <c r="AX86" s="1"/>
  <c r="AW50"/>
  <c r="AW86"/>
  <c r="AV50"/>
  <c r="AV86"/>
  <c r="AU50"/>
  <c r="AU86"/>
  <c r="AT50"/>
  <c r="AS50"/>
  <c r="AR50"/>
  <c r="AM137"/>
  <c r="Y30"/>
  <c r="AL137"/>
  <c r="AK137"/>
  <c r="AJ137"/>
  <c r="AI137"/>
  <c r="AH137"/>
  <c r="AG137"/>
  <c r="AF137"/>
  <c r="AM132"/>
  <c r="Y29" s="1"/>
  <c r="AL132"/>
  <c r="AK132"/>
  <c r="AJ132"/>
  <c r="AI132"/>
  <c r="AH132"/>
  <c r="AG132"/>
  <c r="AF132"/>
  <c r="AM123"/>
  <c r="Y28" s="1"/>
  <c r="AL123"/>
  <c r="AK123"/>
  <c r="AJ123"/>
  <c r="AI123"/>
  <c r="AH123"/>
  <c r="AG123"/>
  <c r="AF123"/>
  <c r="AM115"/>
  <c r="Y25"/>
  <c r="AM111"/>
  <c r="Y24" s="1"/>
  <c r="AL111"/>
  <c r="AL116"/>
  <c r="AK111"/>
  <c r="AK116"/>
  <c r="AJ111"/>
  <c r="AJ116"/>
  <c r="AI111"/>
  <c r="AI116" s="1"/>
  <c r="AH111"/>
  <c r="AH116"/>
  <c r="AG111"/>
  <c r="AG116"/>
  <c r="AM107"/>
  <c r="Y23"/>
  <c r="AM102"/>
  <c r="Y20" s="1"/>
  <c r="AL102"/>
  <c r="AK102"/>
  <c r="AJ102"/>
  <c r="AI102"/>
  <c r="AH102"/>
  <c r="AG102"/>
  <c r="AG103"/>
  <c r="AF102"/>
  <c r="AF103" s="1"/>
  <c r="AM95"/>
  <c r="Y19"/>
  <c r="AL95"/>
  <c r="AK95"/>
  <c r="AJ95"/>
  <c r="AI95"/>
  <c r="AH95"/>
  <c r="AH103" s="1"/>
  <c r="AG95"/>
  <c r="AF95"/>
  <c r="AM83"/>
  <c r="Y18" s="1"/>
  <c r="AL83"/>
  <c r="AK83"/>
  <c r="AJ83"/>
  <c r="AI83"/>
  <c r="AH83"/>
  <c r="AG83"/>
  <c r="AF83"/>
  <c r="AM71"/>
  <c r="AL71"/>
  <c r="AK71"/>
  <c r="AJ71"/>
  <c r="AI71"/>
  <c r="AH71"/>
  <c r="AG71"/>
  <c r="AF71"/>
  <c r="AM66"/>
  <c r="Y14"/>
  <c r="AL66"/>
  <c r="AK66"/>
  <c r="AJ66"/>
  <c r="AI66"/>
  <c r="AH66"/>
  <c r="AG66"/>
  <c r="AF66"/>
  <c r="AM62"/>
  <c r="Y13"/>
  <c r="Y16" s="1"/>
  <c r="AL62"/>
  <c r="AK62"/>
  <c r="AJ62"/>
  <c r="AI62"/>
  <c r="AH62"/>
  <c r="AG62"/>
  <c r="AF62"/>
  <c r="AM56"/>
  <c r="AL56"/>
  <c r="AL57" s="1"/>
  <c r="AK56"/>
  <c r="AJ56"/>
  <c r="AI56"/>
  <c r="AH56"/>
  <c r="AG56"/>
  <c r="AF56"/>
  <c r="AM52"/>
  <c r="Y9"/>
  <c r="AL52"/>
  <c r="AK52"/>
  <c r="AJ52"/>
  <c r="AI52"/>
  <c r="AI57"/>
  <c r="AH52"/>
  <c r="AG52"/>
  <c r="AF52"/>
  <c r="AJ138"/>
  <c r="AL138"/>
  <c r="L26" i="217"/>
  <c r="L25"/>
  <c r="J40"/>
  <c r="J39"/>
  <c r="K39" s="1"/>
  <c r="H438" i="213"/>
  <c r="H437"/>
  <c r="H436"/>
  <c r="H435"/>
  <c r="H434"/>
  <c r="H433"/>
  <c r="H431"/>
  <c r="H430"/>
  <c r="H429"/>
  <c r="H428"/>
  <c r="H427"/>
  <c r="H426"/>
  <c r="H425"/>
  <c r="H424"/>
  <c r="H422"/>
  <c r="H421"/>
  <c r="H420"/>
  <c r="H419"/>
  <c r="H418"/>
  <c r="H417"/>
  <c r="H416"/>
  <c r="H415"/>
  <c r="H414"/>
  <c r="H413"/>
  <c r="H412"/>
  <c r="H411"/>
  <c r="H410"/>
  <c r="H409"/>
  <c r="H408"/>
  <c r="H406"/>
  <c r="H405"/>
  <c r="H404"/>
  <c r="H403"/>
  <c r="H402"/>
  <c r="H401"/>
  <c r="H400"/>
  <c r="H399"/>
  <c r="H398"/>
  <c r="H397"/>
  <c r="H396"/>
  <c r="H395"/>
  <c r="H394"/>
  <c r="H393"/>
  <c r="H392"/>
  <c r="H391"/>
  <c r="H390"/>
  <c r="H389"/>
  <c r="H388"/>
  <c r="H387"/>
  <c r="H386"/>
  <c r="H385"/>
  <c r="H384"/>
  <c r="H383"/>
  <c r="H381"/>
  <c r="H380"/>
  <c r="H379"/>
  <c r="H378"/>
  <c r="H377"/>
  <c r="H376"/>
  <c r="H375"/>
  <c r="H374"/>
  <c r="H373"/>
  <c r="H372"/>
  <c r="H371"/>
  <c r="H370"/>
  <c r="H369"/>
  <c r="H368"/>
  <c r="H367"/>
  <c r="H365"/>
  <c r="H364"/>
  <c r="H363"/>
  <c r="H362"/>
  <c r="H361"/>
  <c r="H360"/>
  <c r="H358"/>
  <c r="H357"/>
  <c r="H356"/>
  <c r="H353"/>
  <c r="H352"/>
  <c r="H351"/>
  <c r="H350"/>
  <c r="H349"/>
  <c r="H348"/>
  <c r="H347"/>
  <c r="H346"/>
  <c r="H345"/>
  <c r="H344"/>
  <c r="H343"/>
  <c r="H342"/>
  <c r="H341"/>
  <c r="H340"/>
  <c r="H339"/>
  <c r="H338"/>
  <c r="H337"/>
  <c r="H336"/>
  <c r="H335"/>
  <c r="H334"/>
  <c r="H333"/>
  <c r="H332"/>
  <c r="H331"/>
  <c r="H330"/>
  <c r="H329"/>
  <c r="H328"/>
  <c r="H327"/>
  <c r="H325"/>
  <c r="H323"/>
  <c r="H322"/>
  <c r="H321"/>
  <c r="H320"/>
  <c r="C314"/>
  <c r="K313"/>
  <c r="D308"/>
  <c r="F308" s="1"/>
  <c r="F307"/>
  <c r="F306"/>
  <c r="F305"/>
  <c r="F304"/>
  <c r="F297" i="212"/>
  <c r="E297"/>
  <c r="D297"/>
  <c r="J296"/>
  <c r="J295"/>
  <c r="J294"/>
  <c r="J293"/>
  <c r="J292"/>
  <c r="J291"/>
  <c r="J290"/>
  <c r="J289"/>
  <c r="J288"/>
  <c r="J287"/>
  <c r="J286"/>
  <c r="J285"/>
  <c r="J284"/>
  <c r="J283"/>
  <c r="J282"/>
  <c r="J281"/>
  <c r="J280"/>
  <c r="J279"/>
  <c r="J278"/>
  <c r="J277"/>
  <c r="J276"/>
  <c r="J275"/>
  <c r="J274"/>
  <c r="J273"/>
  <c r="J272"/>
  <c r="J271"/>
  <c r="J270"/>
  <c r="J269"/>
  <c r="J268"/>
  <c r="J267"/>
  <c r="J266"/>
  <c r="J265"/>
  <c r="J264"/>
  <c r="J263"/>
  <c r="J262"/>
  <c r="J261"/>
  <c r="J260"/>
  <c r="J259"/>
  <c r="J258"/>
  <c r="J257"/>
  <c r="J256"/>
  <c r="J255"/>
  <c r="J254"/>
  <c r="J253"/>
  <c r="J252"/>
  <c r="J251"/>
  <c r="J250"/>
  <c r="J249"/>
  <c r="J248"/>
  <c r="J247"/>
  <c r="J246"/>
  <c r="J245"/>
  <c r="J244"/>
  <c r="J243"/>
  <c r="J242"/>
  <c r="J241"/>
  <c r="J240"/>
  <c r="J239"/>
  <c r="J238"/>
  <c r="J237"/>
  <c r="J236"/>
  <c r="J235"/>
  <c r="J234"/>
  <c r="J233"/>
  <c r="J232"/>
  <c r="J231"/>
  <c r="J230"/>
  <c r="J229"/>
  <c r="J228"/>
  <c r="J227"/>
  <c r="C223"/>
  <c r="D219"/>
  <c r="E219" s="1"/>
  <c r="E218"/>
  <c r="E217"/>
  <c r="E216"/>
  <c r="E215"/>
  <c r="E211"/>
  <c r="I27" i="273"/>
  <c r="I22"/>
  <c r="I18"/>
  <c r="I13"/>
  <c r="I8"/>
  <c r="C588" i="238"/>
  <c r="C578"/>
  <c r="B578"/>
  <c r="B577"/>
  <c r="B576"/>
  <c r="B574"/>
  <c r="C573"/>
  <c r="B573"/>
  <c r="C571"/>
  <c r="B571"/>
  <c r="C561"/>
  <c r="B561"/>
  <c r="C559"/>
  <c r="B559"/>
  <c r="C556"/>
  <c r="C554"/>
  <c r="C552"/>
  <c r="C550"/>
  <c r="H547"/>
  <c r="G547"/>
  <c r="C547"/>
  <c r="B547"/>
  <c r="C543"/>
  <c r="B543"/>
  <c r="B530"/>
  <c r="B525"/>
  <c r="B517"/>
  <c r="C516"/>
  <c r="C533" s="1"/>
  <c r="B516"/>
  <c r="B515"/>
  <c r="B511"/>
  <c r="B508"/>
  <c r="B500"/>
  <c r="F500" s="1"/>
  <c r="C497"/>
  <c r="C500" s="1"/>
  <c r="C493"/>
  <c r="G480"/>
  <c r="H474"/>
  <c r="H480" s="1"/>
  <c r="C463"/>
  <c r="B463"/>
  <c r="C462"/>
  <c r="B462"/>
  <c r="C461"/>
  <c r="B461"/>
  <c r="C460"/>
  <c r="B460"/>
  <c r="C459"/>
  <c r="B459"/>
  <c r="C458"/>
  <c r="B458"/>
  <c r="C452"/>
  <c r="B452"/>
  <c r="C450"/>
  <c r="B450"/>
  <c r="C449"/>
  <c r="B449"/>
  <c r="C448"/>
  <c r="B448"/>
  <c r="C445"/>
  <c r="B445"/>
  <c r="C444"/>
  <c r="B444"/>
  <c r="C438"/>
  <c r="B438"/>
  <c r="C437"/>
  <c r="B437"/>
  <c r="C435"/>
  <c r="B435"/>
  <c r="B429"/>
  <c r="F430" s="1"/>
  <c r="C427"/>
  <c r="C425"/>
  <c r="G424"/>
  <c r="C424"/>
  <c r="C423"/>
  <c r="H422"/>
  <c r="H427" s="1"/>
  <c r="G422"/>
  <c r="C422"/>
  <c r="C421"/>
  <c r="C420"/>
  <c r="C417"/>
  <c r="C416"/>
  <c r="C415"/>
  <c r="C414"/>
  <c r="C413"/>
  <c r="C412"/>
  <c r="C411"/>
  <c r="C410"/>
  <c r="C409"/>
  <c r="C408"/>
  <c r="C407"/>
  <c r="C406"/>
  <c r="C404"/>
  <c r="C403"/>
  <c r="C402"/>
  <c r="C401"/>
  <c r="C393"/>
  <c r="B393"/>
  <c r="C392"/>
  <c r="B392"/>
  <c r="C391"/>
  <c r="B391"/>
  <c r="C390"/>
  <c r="B390"/>
  <c r="C389"/>
  <c r="B389"/>
  <c r="C388"/>
  <c r="B388"/>
  <c r="C387"/>
  <c r="B387"/>
  <c r="C386"/>
  <c r="B386"/>
  <c r="C383"/>
  <c r="B383"/>
  <c r="C379"/>
  <c r="B379"/>
  <c r="C378"/>
  <c r="B378"/>
  <c r="C377"/>
  <c r="B377"/>
  <c r="C376"/>
  <c r="B376"/>
  <c r="C373"/>
  <c r="B373"/>
  <c r="C372"/>
  <c r="B372"/>
  <c r="C371"/>
  <c r="B371"/>
  <c r="C366"/>
  <c r="B366"/>
  <c r="C365"/>
  <c r="B365"/>
  <c r="B363"/>
  <c r="C363" s="1"/>
  <c r="C362"/>
  <c r="B362"/>
  <c r="C361"/>
  <c r="B361"/>
  <c r="C360"/>
  <c r="B360"/>
  <c r="C359"/>
  <c r="B359"/>
  <c r="C353"/>
  <c r="B353"/>
  <c r="E353" s="1"/>
  <c r="G345"/>
  <c r="H329"/>
  <c r="H345" s="1"/>
  <c r="C320"/>
  <c r="B320"/>
  <c r="C318"/>
  <c r="B318"/>
  <c r="C317"/>
  <c r="B317"/>
  <c r="C312"/>
  <c r="B312"/>
  <c r="C307"/>
  <c r="B307"/>
  <c r="C305"/>
  <c r="B305"/>
  <c r="C304"/>
  <c r="B304"/>
  <c r="C303"/>
  <c r="B303"/>
  <c r="C302"/>
  <c r="B302"/>
  <c r="C300"/>
  <c r="B300"/>
  <c r="C294"/>
  <c r="B294"/>
  <c r="H286"/>
  <c r="G286"/>
  <c r="C285"/>
  <c r="B285"/>
  <c r="C281"/>
  <c r="B281"/>
  <c r="C275"/>
  <c r="B275"/>
  <c r="C274"/>
  <c r="B274"/>
  <c r="C273"/>
  <c r="B273"/>
  <c r="C272"/>
  <c r="B272"/>
  <c r="C269"/>
  <c r="B269"/>
  <c r="C268"/>
  <c r="B268"/>
  <c r="C259"/>
  <c r="B259"/>
  <c r="C223"/>
  <c r="B223"/>
  <c r="E223" s="1"/>
  <c r="H209"/>
  <c r="G209"/>
  <c r="U24" i="255"/>
  <c r="U25"/>
  <c r="U49"/>
  <c r="U53" s="1"/>
  <c r="U48"/>
  <c r="U46"/>
  <c r="U45"/>
  <c r="U43"/>
  <c r="U44" s="1"/>
  <c r="U47" s="1"/>
  <c r="U42"/>
  <c r="U41"/>
  <c r="U39"/>
  <c r="U38"/>
  <c r="U40" s="1"/>
  <c r="U35"/>
  <c r="U34"/>
  <c r="U33"/>
  <c r="U31"/>
  <c r="U30"/>
  <c r="U29"/>
  <c r="U28"/>
  <c r="U27"/>
  <c r="U23"/>
  <c r="U22"/>
  <c r="U21"/>
  <c r="U20"/>
  <c r="U17"/>
  <c r="U11"/>
  <c r="U16"/>
  <c r="U12"/>
  <c r="U7"/>
  <c r="U9" s="1"/>
  <c r="U81" i="254"/>
  <c r="U80"/>
  <c r="U68"/>
  <c r="U69"/>
  <c r="U70"/>
  <c r="U66"/>
  <c r="U61"/>
  <c r="U62"/>
  <c r="U56"/>
  <c r="U57"/>
  <c r="U58"/>
  <c r="U59"/>
  <c r="U50"/>
  <c r="U51"/>
  <c r="U40"/>
  <c r="U41"/>
  <c r="U35"/>
  <c r="U30"/>
  <c r="U15"/>
  <c r="U14"/>
  <c r="U13"/>
  <c r="U12"/>
  <c r="U11"/>
  <c r="U17"/>
  <c r="U21"/>
  <c r="U24"/>
  <c r="U67"/>
  <c r="U65"/>
  <c r="U55"/>
  <c r="U54"/>
  <c r="U53"/>
  <c r="U49"/>
  <c r="U48"/>
  <c r="U47"/>
  <c r="U46"/>
  <c r="U45"/>
  <c r="U44"/>
  <c r="U39"/>
  <c r="U38"/>
  <c r="U36"/>
  <c r="U34"/>
  <c r="U33"/>
  <c r="U32"/>
  <c r="U29"/>
  <c r="U28"/>
  <c r="U27"/>
  <c r="U26"/>
  <c r="U25"/>
  <c r="U20"/>
  <c r="U19"/>
  <c r="U18"/>
  <c r="U9"/>
  <c r="U8"/>
  <c r="U7"/>
  <c r="U6"/>
  <c r="U15" i="253"/>
  <c r="U7"/>
  <c r="U12"/>
  <c r="U13"/>
  <c r="U14"/>
  <c r="U16" s="1"/>
  <c r="U18"/>
  <c r="U19"/>
  <c r="U20"/>
  <c r="U22"/>
  <c r="U24"/>
  <c r="U25"/>
  <c r="U26"/>
  <c r="U6"/>
  <c r="BS202" i="252"/>
  <c r="BS192"/>
  <c r="BS187"/>
  <c r="BS183"/>
  <c r="BS179"/>
  <c r="BS174"/>
  <c r="BS169"/>
  <c r="BS163"/>
  <c r="BS159"/>
  <c r="BS155"/>
  <c r="BS149"/>
  <c r="BS143"/>
  <c r="BS139"/>
  <c r="BS130"/>
  <c r="BS123"/>
  <c r="BS119"/>
  <c r="BS114"/>
  <c r="BS107"/>
  <c r="BS101"/>
  <c r="BS96"/>
  <c r="BS90"/>
  <c r="BS85"/>
  <c r="BS79"/>
  <c r="BS75"/>
  <c r="BS67"/>
  <c r="BS61"/>
  <c r="BS58"/>
  <c r="BS51"/>
  <c r="BS47"/>
  <c r="BS45"/>
  <c r="BS38"/>
  <c r="BS34"/>
  <c r="BS31"/>
  <c r="BS24"/>
  <c r="BS22"/>
  <c r="BS20"/>
  <c r="BS16"/>
  <c r="BS12"/>
  <c r="BS9"/>
  <c r="AZ346" i="251"/>
  <c r="AZ337"/>
  <c r="AZ328"/>
  <c r="AZ321"/>
  <c r="AZ314"/>
  <c r="AZ309"/>
  <c r="AZ304"/>
  <c r="AZ298"/>
  <c r="AZ292"/>
  <c r="AZ285"/>
  <c r="AZ280"/>
  <c r="AZ275"/>
  <c r="AZ268"/>
  <c r="AZ264"/>
  <c r="AZ258"/>
  <c r="AZ252"/>
  <c r="AZ247"/>
  <c r="AZ245"/>
  <c r="AZ239"/>
  <c r="AZ234"/>
  <c r="AZ230"/>
  <c r="AZ225"/>
  <c r="AZ220"/>
  <c r="AZ218"/>
  <c r="AZ210"/>
  <c r="AZ206"/>
  <c r="AZ201"/>
  <c r="AZ193"/>
  <c r="AZ186"/>
  <c r="AZ181"/>
  <c r="AZ176"/>
  <c r="AZ170"/>
  <c r="AZ163"/>
  <c r="AZ156"/>
  <c r="AZ152"/>
  <c r="AZ146"/>
  <c r="AZ140"/>
  <c r="AZ135"/>
  <c r="AZ127"/>
  <c r="AZ121"/>
  <c r="AZ115"/>
  <c r="AZ111"/>
  <c r="AZ107"/>
  <c r="AZ101"/>
  <c r="AZ94"/>
  <c r="AZ89"/>
  <c r="AZ67"/>
  <c r="AZ58"/>
  <c r="AZ51"/>
  <c r="AZ45"/>
  <c r="AZ41"/>
  <c r="AZ27"/>
  <c r="AZ19"/>
  <c r="AZ13"/>
  <c r="AN94" i="250"/>
  <c r="AN86"/>
  <c r="AN81"/>
  <c r="AN76"/>
  <c r="AN71"/>
  <c r="AN66"/>
  <c r="AN62"/>
  <c r="AN52"/>
  <c r="AN46"/>
  <c r="AN40"/>
  <c r="AN34"/>
  <c r="AN29"/>
  <c r="AN24"/>
  <c r="AN19"/>
  <c r="AN14"/>
  <c r="AN11"/>
  <c r="U106" i="274"/>
  <c r="U107"/>
  <c r="U108"/>
  <c r="U109"/>
  <c r="U110"/>
  <c r="U111"/>
  <c r="U105"/>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7"/>
  <c r="U98"/>
  <c r="U99"/>
  <c r="U101"/>
  <c r="U6"/>
  <c r="BG101" i="262"/>
  <c r="BG100"/>
  <c r="BG99"/>
  <c r="BG98"/>
  <c r="BG97"/>
  <c r="BG96"/>
  <c r="BG95"/>
  <c r="BG94"/>
  <c r="BG93"/>
  <c r="BG92"/>
  <c r="BG91"/>
  <c r="BG90"/>
  <c r="BG89"/>
  <c r="BG88"/>
  <c r="BG87"/>
  <c r="BG86"/>
  <c r="BG85"/>
  <c r="BG84"/>
  <c r="BG83"/>
  <c r="BG82"/>
  <c r="BG81"/>
  <c r="BG80"/>
  <c r="BG79"/>
  <c r="BG78"/>
  <c r="BG77"/>
  <c r="BG76"/>
  <c r="BG75"/>
  <c r="BG74"/>
  <c r="BG73"/>
  <c r="BG72"/>
  <c r="BG71"/>
  <c r="BG70"/>
  <c r="BG69"/>
  <c r="BG68"/>
  <c r="BG67"/>
  <c r="BG66"/>
  <c r="BG65"/>
  <c r="BG64"/>
  <c r="BG63"/>
  <c r="BG62"/>
  <c r="BG61"/>
  <c r="BG60"/>
  <c r="BG59"/>
  <c r="BG58"/>
  <c r="BG57"/>
  <c r="BG56"/>
  <c r="BG55"/>
  <c r="BG54"/>
  <c r="BG53"/>
  <c r="BG52"/>
  <c r="BG51"/>
  <c r="BG50"/>
  <c r="BG49"/>
  <c r="BG48"/>
  <c r="BG47"/>
  <c r="BG46"/>
  <c r="BG45"/>
  <c r="BG44"/>
  <c r="BG43"/>
  <c r="BG42"/>
  <c r="BG41"/>
  <c r="BG40"/>
  <c r="BG39"/>
  <c r="BG38"/>
  <c r="BG37"/>
  <c r="BG36"/>
  <c r="BG35"/>
  <c r="BG34"/>
  <c r="BG33"/>
  <c r="BG32"/>
  <c r="BG31"/>
  <c r="BG30"/>
  <c r="BG29"/>
  <c r="BG28"/>
  <c r="BG27"/>
  <c r="BG26"/>
  <c r="BG25"/>
  <c r="BG24"/>
  <c r="BG23"/>
  <c r="BG22"/>
  <c r="BG21"/>
  <c r="BG20"/>
  <c r="BG19"/>
  <c r="BG18"/>
  <c r="BG17"/>
  <c r="BG16"/>
  <c r="BG15"/>
  <c r="BG14"/>
  <c r="BG13"/>
  <c r="BG12"/>
  <c r="BG11"/>
  <c r="BG10"/>
  <c r="BG9"/>
  <c r="BG8"/>
  <c r="BG7"/>
  <c r="BF140" i="268"/>
  <c r="BF142"/>
  <c r="BG101" i="267"/>
  <c r="BG103" s="1"/>
  <c r="A34"/>
  <c r="AA30" i="243"/>
  <c r="AB11" s="1"/>
  <c r="AF30"/>
  <c r="AC27"/>
  <c r="AC26"/>
  <c r="AC25"/>
  <c r="AC24"/>
  <c r="AC23"/>
  <c r="AC22"/>
  <c r="AC21"/>
  <c r="AC20"/>
  <c r="AC19"/>
  <c r="AC18"/>
  <c r="AC17"/>
  <c r="AC16"/>
  <c r="AC15"/>
  <c r="AC14"/>
  <c r="AC13"/>
  <c r="AC12"/>
  <c r="AC11"/>
  <c r="AC10"/>
  <c r="AC8"/>
  <c r="AC7"/>
  <c r="AC6"/>
  <c r="AB18"/>
  <c r="AB26"/>
  <c r="AB17"/>
  <c r="AB25"/>
  <c r="H9" i="230"/>
  <c r="AR69" i="216"/>
  <c r="AR70"/>
  <c r="AR71"/>
  <c r="AR73"/>
  <c r="AR74"/>
  <c r="AR75"/>
  <c r="AR76"/>
  <c r="AR78"/>
  <c r="AR79"/>
  <c r="AR80"/>
  <c r="AR81"/>
  <c r="AR68"/>
  <c r="AO82"/>
  <c r="AP82"/>
  <c r="AQ82"/>
  <c r="AN82"/>
  <c r="AO77"/>
  <c r="AP77"/>
  <c r="AS77" s="1"/>
  <c r="AQ77"/>
  <c r="AN77"/>
  <c r="AO72"/>
  <c r="AO83"/>
  <c r="AP72"/>
  <c r="AQ72"/>
  <c r="AN72"/>
  <c r="AN83"/>
  <c r="AS64"/>
  <c r="AS61"/>
  <c r="AO66"/>
  <c r="AP66"/>
  <c r="AQ66"/>
  <c r="AQ67" s="1"/>
  <c r="AN66"/>
  <c r="AO62"/>
  <c r="AP62"/>
  <c r="AS62" s="1"/>
  <c r="AQ62"/>
  <c r="AN62"/>
  <c r="AO58"/>
  <c r="AO67"/>
  <c r="AP58"/>
  <c r="AQ58"/>
  <c r="AN58"/>
  <c r="AR56"/>
  <c r="AR57"/>
  <c r="AR59"/>
  <c r="AR60"/>
  <c r="AR61"/>
  <c r="AR63"/>
  <c r="AR64"/>
  <c r="AR65"/>
  <c r="AR55"/>
  <c r="AR58" s="1"/>
  <c r="AO53"/>
  <c r="AP53"/>
  <c r="AQ53"/>
  <c r="AN53"/>
  <c r="AO48"/>
  <c r="AP48"/>
  <c r="AQ48"/>
  <c r="AN48"/>
  <c r="AO42"/>
  <c r="AP42"/>
  <c r="AQ42"/>
  <c r="AQ54" s="1"/>
  <c r="AN42"/>
  <c r="AR38"/>
  <c r="AR39"/>
  <c r="AR40"/>
  <c r="AR41"/>
  <c r="AR42" s="1"/>
  <c r="AR43"/>
  <c r="AR44"/>
  <c r="AR45"/>
  <c r="AR46"/>
  <c r="AR47"/>
  <c r="AR49"/>
  <c r="AR50"/>
  <c r="AR51"/>
  <c r="AR52"/>
  <c r="AR37"/>
  <c r="AO35"/>
  <c r="AP35"/>
  <c r="AQ35"/>
  <c r="AN35"/>
  <c r="AO31"/>
  <c r="AP31"/>
  <c r="AQ31"/>
  <c r="AN31"/>
  <c r="AO27"/>
  <c r="AP27"/>
  <c r="AQ27"/>
  <c r="AQ36"/>
  <c r="AN27"/>
  <c r="AR25"/>
  <c r="AR26"/>
  <c r="AR28"/>
  <c r="AR31" s="1"/>
  <c r="AR29"/>
  <c r="AR30"/>
  <c r="AR32"/>
  <c r="AR33"/>
  <c r="AR34"/>
  <c r="AR24"/>
  <c r="AR27" s="1"/>
  <c r="AO22"/>
  <c r="AP22"/>
  <c r="AQ22"/>
  <c r="AS22" s="1"/>
  <c r="AN22"/>
  <c r="AO17"/>
  <c r="AP17"/>
  <c r="AQ17"/>
  <c r="AN17"/>
  <c r="AN11"/>
  <c r="AP11"/>
  <c r="AQ11"/>
  <c r="AQ23" s="1"/>
  <c r="AO11"/>
  <c r="AR77"/>
  <c r="AB111" i="274"/>
  <c r="AB110"/>
  <c r="AB109"/>
  <c r="AB108"/>
  <c r="AB107"/>
  <c r="AB106"/>
  <c r="AB105"/>
  <c r="BL111"/>
  <c r="BD111"/>
  <c r="AW111"/>
  <c r="AP111"/>
  <c r="AI111"/>
  <c r="AI110"/>
  <c r="BL110"/>
  <c r="BD110"/>
  <c r="AW110"/>
  <c r="AP110"/>
  <c r="AI109"/>
  <c r="AB99"/>
  <c r="BL109"/>
  <c r="BD109"/>
  <c r="AW109"/>
  <c r="AP109"/>
  <c r="AI108"/>
  <c r="AB98"/>
  <c r="BL108"/>
  <c r="BD108"/>
  <c r="AW108"/>
  <c r="AP108"/>
  <c r="AI107"/>
  <c r="AB97"/>
  <c r="BL107"/>
  <c r="BD107"/>
  <c r="AW107"/>
  <c r="AP107"/>
  <c r="AI106"/>
  <c r="AB95"/>
  <c r="BL106"/>
  <c r="BD106"/>
  <c r="AW106"/>
  <c r="AP106"/>
  <c r="AI105"/>
  <c r="AB94"/>
  <c r="BL105"/>
  <c r="BD105"/>
  <c r="AW105"/>
  <c r="AP105"/>
  <c r="AB93"/>
  <c r="AI92"/>
  <c r="AB92"/>
  <c r="AW91"/>
  <c r="AP91"/>
  <c r="AI91"/>
  <c r="AB91"/>
  <c r="BL90"/>
  <c r="BD90"/>
  <c r="AW90"/>
  <c r="AP90"/>
  <c r="AN90"/>
  <c r="AI90"/>
  <c r="AB90"/>
  <c r="BL89"/>
  <c r="BD89"/>
  <c r="AW89"/>
  <c r="AP89"/>
  <c r="AI89"/>
  <c r="AB89"/>
  <c r="BL88"/>
  <c r="BD88"/>
  <c r="AW88"/>
  <c r="AP88"/>
  <c r="AI88"/>
  <c r="AB88"/>
  <c r="BL87"/>
  <c r="BD87"/>
  <c r="AW87"/>
  <c r="AP87"/>
  <c r="AI87"/>
  <c r="AB87"/>
  <c r="BL86"/>
  <c r="BD86"/>
  <c r="AW86"/>
  <c r="AP86"/>
  <c r="AN86"/>
  <c r="AN109" s="1"/>
  <c r="AI86"/>
  <c r="AB86"/>
  <c r="BD85"/>
  <c r="AW85"/>
  <c r="AP85"/>
  <c r="AI85"/>
  <c r="AB85"/>
  <c r="BD84"/>
  <c r="AW84"/>
  <c r="AI84"/>
  <c r="AB84"/>
  <c r="BL83"/>
  <c r="BD83"/>
  <c r="AW83"/>
  <c r="AP83"/>
  <c r="AI83"/>
  <c r="AB83"/>
  <c r="BL82"/>
  <c r="BD82"/>
  <c r="AW82"/>
  <c r="AP82"/>
  <c r="AN82"/>
  <c r="AI82"/>
  <c r="AB82"/>
  <c r="BD81"/>
  <c r="AW81"/>
  <c r="AP81"/>
  <c r="AI81"/>
  <c r="AB81"/>
  <c r="BL80"/>
  <c r="BD80"/>
  <c r="AW80"/>
  <c r="AP80"/>
  <c r="AI80"/>
  <c r="AB80"/>
  <c r="BL79"/>
  <c r="BD79"/>
  <c r="AW79"/>
  <c r="AP79"/>
  <c r="AI79"/>
  <c r="AB79"/>
  <c r="BL78"/>
  <c r="BD78"/>
  <c r="AW78"/>
  <c r="AP78"/>
  <c r="AI78"/>
  <c r="AB78"/>
  <c r="BL77"/>
  <c r="BD77"/>
  <c r="AW77"/>
  <c r="AP77"/>
  <c r="AN77"/>
  <c r="AI77"/>
  <c r="AB77"/>
  <c r="BL76"/>
  <c r="BD76"/>
  <c r="AW76"/>
  <c r="AP76"/>
  <c r="AI76"/>
  <c r="AB76"/>
  <c r="BL75"/>
  <c r="BD75"/>
  <c r="AW75"/>
  <c r="AP75"/>
  <c r="AI75"/>
  <c r="AB75"/>
  <c r="BL74"/>
  <c r="BD74"/>
  <c r="AW74"/>
  <c r="AP74"/>
  <c r="AI74"/>
  <c r="AB74"/>
  <c r="BL73"/>
  <c r="BD73"/>
  <c r="AW73"/>
  <c r="AP73"/>
  <c r="AI73"/>
  <c r="AB73"/>
  <c r="BL72"/>
  <c r="BD72"/>
  <c r="AW72"/>
  <c r="AP72"/>
  <c r="AN72"/>
  <c r="AI72"/>
  <c r="AB72"/>
  <c r="BL71"/>
  <c r="BD71"/>
  <c r="AW71"/>
  <c r="AP71"/>
  <c r="AI71"/>
  <c r="AB71"/>
  <c r="BL70"/>
  <c r="BD70"/>
  <c r="AW70"/>
  <c r="AP70"/>
  <c r="AI70"/>
  <c r="AB70"/>
  <c r="BL69"/>
  <c r="BD69"/>
  <c r="AW69"/>
  <c r="AP69"/>
  <c r="AI69"/>
  <c r="AB69"/>
  <c r="BL68"/>
  <c r="BD68"/>
  <c r="AW68"/>
  <c r="AP68"/>
  <c r="AI68"/>
  <c r="AB68"/>
  <c r="BL67"/>
  <c r="BD67"/>
  <c r="AW67"/>
  <c r="AP67"/>
  <c r="AI67"/>
  <c r="AB67"/>
  <c r="BL66"/>
  <c r="BD66"/>
  <c r="AW66"/>
  <c r="AP66"/>
  <c r="AI66"/>
  <c r="AB66"/>
  <c r="BL65"/>
  <c r="BD65"/>
  <c r="AW65"/>
  <c r="AP65"/>
  <c r="AI65"/>
  <c r="AB65"/>
  <c r="BL64"/>
  <c r="BD64"/>
  <c r="AW64"/>
  <c r="AP64"/>
  <c r="AI64"/>
  <c r="AB64"/>
  <c r="BL63"/>
  <c r="BD63"/>
  <c r="AW63"/>
  <c r="AP63"/>
  <c r="AN63"/>
  <c r="AI63"/>
  <c r="AB63"/>
  <c r="BL62"/>
  <c r="BD62"/>
  <c r="AW62"/>
  <c r="AP62"/>
  <c r="AI62"/>
  <c r="AB62"/>
  <c r="BL61"/>
  <c r="BD61"/>
  <c r="AW61"/>
  <c r="AP61"/>
  <c r="AI61"/>
  <c r="AB61"/>
  <c r="BL60"/>
  <c r="BD60"/>
  <c r="AW60"/>
  <c r="AP60"/>
  <c r="AI60"/>
  <c r="AB60"/>
  <c r="BL59"/>
  <c r="BD59"/>
  <c r="AW59"/>
  <c r="AP59"/>
  <c r="AI59"/>
  <c r="AB59"/>
  <c r="BL58"/>
  <c r="BD58"/>
  <c r="AW58"/>
  <c r="AP58"/>
  <c r="AI58"/>
  <c r="AB58"/>
  <c r="BL57"/>
  <c r="BD57"/>
  <c r="AW57"/>
  <c r="AP57"/>
  <c r="AI57"/>
  <c r="AB57"/>
  <c r="BL56"/>
  <c r="BD56"/>
  <c r="AW56"/>
  <c r="AP56"/>
  <c r="AI56"/>
  <c r="AB56"/>
  <c r="BL55"/>
  <c r="BD55"/>
  <c r="AW55"/>
  <c r="AP55"/>
  <c r="AN55"/>
  <c r="AN107" s="1"/>
  <c r="AI55"/>
  <c r="AB55"/>
  <c r="BL54"/>
  <c r="BD54"/>
  <c r="AW54"/>
  <c r="AP54"/>
  <c r="AI54"/>
  <c r="AB54"/>
  <c r="BL53"/>
  <c r="BD53"/>
  <c r="AW53"/>
  <c r="AP53"/>
  <c r="AI53"/>
  <c r="AB53"/>
  <c r="BL52"/>
  <c r="BD52"/>
  <c r="AW52"/>
  <c r="AP52"/>
  <c r="AI52"/>
  <c r="AB52"/>
  <c r="BL51"/>
  <c r="BD51"/>
  <c r="AW51"/>
  <c r="AP51"/>
  <c r="AI51"/>
  <c r="AB51"/>
  <c r="BL50"/>
  <c r="BD50"/>
  <c r="AW50"/>
  <c r="AP50"/>
  <c r="AI50"/>
  <c r="AB50"/>
  <c r="BL49"/>
  <c r="BD49"/>
  <c r="AW49"/>
  <c r="AP49"/>
  <c r="AI49"/>
  <c r="AB49"/>
  <c r="BL48"/>
  <c r="BD48"/>
  <c r="AW48"/>
  <c r="AP48"/>
  <c r="AN48"/>
  <c r="AI48"/>
  <c r="AB48"/>
  <c r="BL47"/>
  <c r="BD47"/>
  <c r="AW47"/>
  <c r="AP47"/>
  <c r="AI47"/>
  <c r="AB47"/>
  <c r="BL46"/>
  <c r="BD46"/>
  <c r="AW46"/>
  <c r="AP46"/>
  <c r="AI46"/>
  <c r="AB46"/>
  <c r="BL45"/>
  <c r="BD45"/>
  <c r="AW45"/>
  <c r="AP45"/>
  <c r="AI45"/>
  <c r="AB45"/>
  <c r="BL44"/>
  <c r="BD44"/>
  <c r="AW44"/>
  <c r="AP44"/>
  <c r="AI44"/>
  <c r="AB44"/>
  <c r="BL43"/>
  <c r="BD43"/>
  <c r="AW43"/>
  <c r="AP43"/>
  <c r="AI43"/>
  <c r="AB43"/>
  <c r="BL42"/>
  <c r="BD42"/>
  <c r="AW42"/>
  <c r="AP42"/>
  <c r="AI42"/>
  <c r="AB42"/>
  <c r="BL41"/>
  <c r="BD41"/>
  <c r="AW41"/>
  <c r="AP41"/>
  <c r="AI41"/>
  <c r="AB41"/>
  <c r="BL40"/>
  <c r="BD40"/>
  <c r="AW40"/>
  <c r="AP40"/>
  <c r="AI40"/>
  <c r="AB40"/>
  <c r="BL39"/>
  <c r="BD39"/>
  <c r="AW39"/>
  <c r="AP39"/>
  <c r="AI39"/>
  <c r="AB39"/>
  <c r="BL38"/>
  <c r="BD38"/>
  <c r="AW38"/>
  <c r="AP38"/>
  <c r="AI38"/>
  <c r="AB38"/>
  <c r="BL37"/>
  <c r="BD37"/>
  <c r="AW37"/>
  <c r="AP37"/>
  <c r="AI37"/>
  <c r="AB37"/>
  <c r="BL36"/>
  <c r="BD36"/>
  <c r="AW36"/>
  <c r="AP36"/>
  <c r="AN36"/>
  <c r="AI36"/>
  <c r="AB36"/>
  <c r="BL35"/>
  <c r="BD35"/>
  <c r="AW35"/>
  <c r="AP35"/>
  <c r="AI35"/>
  <c r="AB35"/>
  <c r="BL34"/>
  <c r="BD34"/>
  <c r="AW34"/>
  <c r="AP34"/>
  <c r="AI34"/>
  <c r="AB34"/>
  <c r="BL33"/>
  <c r="BD33"/>
  <c r="AW33"/>
  <c r="AP33"/>
  <c r="AI33"/>
  <c r="AB33"/>
  <c r="BL32"/>
  <c r="BD32"/>
  <c r="AW32"/>
  <c r="AP32"/>
  <c r="AI32"/>
  <c r="AB32"/>
  <c r="BL31"/>
  <c r="BD31"/>
  <c r="AW31"/>
  <c r="AP31"/>
  <c r="AI31"/>
  <c r="AB31"/>
  <c r="BL30"/>
  <c r="BD30"/>
  <c r="AW30"/>
  <c r="AP30"/>
  <c r="AI30"/>
  <c r="AB30"/>
  <c r="BL29"/>
  <c r="BD29"/>
  <c r="AW29"/>
  <c r="AP29"/>
  <c r="AI29"/>
  <c r="AB29"/>
  <c r="BL28"/>
  <c r="BD28"/>
  <c r="AW28"/>
  <c r="AI28"/>
  <c r="AB28"/>
  <c r="BL27"/>
  <c r="BD27"/>
  <c r="AW27"/>
  <c r="AP27"/>
  <c r="AI27"/>
  <c r="AB27"/>
  <c r="BL26"/>
  <c r="BD26"/>
  <c r="AW26"/>
  <c r="AP26"/>
  <c r="AI26"/>
  <c r="AB26"/>
  <c r="BL25"/>
  <c r="BD25"/>
  <c r="AW25"/>
  <c r="AP25"/>
  <c r="AN25"/>
  <c r="AI25"/>
  <c r="AB25"/>
  <c r="BL24"/>
  <c r="BD24"/>
  <c r="AW24"/>
  <c r="AP24"/>
  <c r="AI24"/>
  <c r="AB24"/>
  <c r="BL23"/>
  <c r="BD23"/>
  <c r="AW23"/>
  <c r="AP23"/>
  <c r="AI23"/>
  <c r="AB23"/>
  <c r="BL22"/>
  <c r="BD22"/>
  <c r="AW22"/>
  <c r="AP22"/>
  <c r="AI22"/>
  <c r="AB22"/>
  <c r="BL21"/>
  <c r="BD21"/>
  <c r="AW21"/>
  <c r="AP21"/>
  <c r="AN21"/>
  <c r="AI21"/>
  <c r="AB21"/>
  <c r="BL20"/>
  <c r="BD20"/>
  <c r="AW20"/>
  <c r="AP20"/>
  <c r="AI20"/>
  <c r="AB20"/>
  <c r="BL19"/>
  <c r="BD19"/>
  <c r="AW19"/>
  <c r="AP19"/>
  <c r="AI19"/>
  <c r="AB19"/>
  <c r="BL18"/>
  <c r="BD18"/>
  <c r="AW18"/>
  <c r="AP18"/>
  <c r="AI18"/>
  <c r="AB18"/>
  <c r="BL17"/>
  <c r="BD17"/>
  <c r="AW17"/>
  <c r="AP17"/>
  <c r="AI17"/>
  <c r="AB17"/>
  <c r="BL16"/>
  <c r="BD16"/>
  <c r="AW16"/>
  <c r="AP16"/>
  <c r="AN16"/>
  <c r="AI16"/>
  <c r="AB16"/>
  <c r="BL15"/>
  <c r="BD15"/>
  <c r="AW15"/>
  <c r="AP15"/>
  <c r="AI15"/>
  <c r="AB15"/>
  <c r="BL14"/>
  <c r="BD14"/>
  <c r="AW14"/>
  <c r="AP14"/>
  <c r="AI14"/>
  <c r="AB14"/>
  <c r="BL13"/>
  <c r="BD13"/>
  <c r="AW13"/>
  <c r="AP13"/>
  <c r="AI13"/>
  <c r="AB13"/>
  <c r="BL12"/>
  <c r="BD12"/>
  <c r="AW12"/>
  <c r="AP12"/>
  <c r="AI12"/>
  <c r="AB12"/>
  <c r="BL11"/>
  <c r="BD11"/>
  <c r="AW11"/>
  <c r="AP11"/>
  <c r="AI11"/>
  <c r="AB11"/>
  <c r="BL10"/>
  <c r="BD10"/>
  <c r="AW10"/>
  <c r="AP10"/>
  <c r="AI10"/>
  <c r="AB10"/>
  <c r="BL9"/>
  <c r="BD9"/>
  <c r="AW9"/>
  <c r="AP9"/>
  <c r="AI9"/>
  <c r="AB9"/>
  <c r="BL8"/>
  <c r="BD8"/>
  <c r="AW8"/>
  <c r="AP8"/>
  <c r="AI8"/>
  <c r="AB8"/>
  <c r="BL7"/>
  <c r="BD7"/>
  <c r="AW7"/>
  <c r="AP7"/>
  <c r="AI7"/>
  <c r="AB7"/>
  <c r="BL6"/>
  <c r="BD6"/>
  <c r="AW6"/>
  <c r="AP6"/>
  <c r="AI6"/>
  <c r="AB6"/>
  <c r="AB51" i="255"/>
  <c r="AB50"/>
  <c r="AB49"/>
  <c r="AB48"/>
  <c r="AB46"/>
  <c r="AB45"/>
  <c r="AB42"/>
  <c r="AB41"/>
  <c r="AB39"/>
  <c r="AB38"/>
  <c r="AB35"/>
  <c r="AB34"/>
  <c r="AB33"/>
  <c r="AB31"/>
  <c r="AB30"/>
  <c r="AB29"/>
  <c r="AB28"/>
  <c r="AB27"/>
  <c r="AB24"/>
  <c r="AB23"/>
  <c r="AB22"/>
  <c r="AB21"/>
  <c r="AB20"/>
  <c r="AB17"/>
  <c r="AB16"/>
  <c r="AB15"/>
  <c r="AB14"/>
  <c r="AB12"/>
  <c r="AB11"/>
  <c r="AB10"/>
  <c r="AB13" s="1"/>
  <c r="AB8"/>
  <c r="AB7"/>
  <c r="AB79" i="254"/>
  <c r="AB78"/>
  <c r="AB68"/>
  <c r="AB67"/>
  <c r="AB66"/>
  <c r="AB65"/>
  <c r="AB64"/>
  <c r="AB63"/>
  <c r="AB60"/>
  <c r="AB59"/>
  <c r="AB58"/>
  <c r="AB56"/>
  <c r="AB55"/>
  <c r="AB54"/>
  <c r="AB53"/>
  <c r="AB52"/>
  <c r="AB51"/>
  <c r="AB49"/>
  <c r="AB48"/>
  <c r="AB47"/>
  <c r="AB46"/>
  <c r="AB45"/>
  <c r="AB44"/>
  <c r="AB43"/>
  <c r="AB42"/>
  <c r="AB39"/>
  <c r="AB38"/>
  <c r="AB37"/>
  <c r="AB36"/>
  <c r="AB34"/>
  <c r="AB33"/>
  <c r="AB32"/>
  <c r="AB31"/>
  <c r="AB29"/>
  <c r="AB28"/>
  <c r="AB27"/>
  <c r="AB26"/>
  <c r="AB25"/>
  <c r="AB24"/>
  <c r="AB23"/>
  <c r="AB20"/>
  <c r="AB19"/>
  <c r="AB18"/>
  <c r="AB16"/>
  <c r="AB15"/>
  <c r="AB14"/>
  <c r="AB13"/>
  <c r="AB12"/>
  <c r="AB9"/>
  <c r="AB8"/>
  <c r="AB7"/>
  <c r="AB6"/>
  <c r="AB26" i="253"/>
  <c r="AB25"/>
  <c r="AB24"/>
  <c r="AB34" s="1"/>
  <c r="AB22"/>
  <c r="AB20"/>
  <c r="AB19"/>
  <c r="AB18"/>
  <c r="AB15"/>
  <c r="AB14"/>
  <c r="AB13"/>
  <c r="AB12"/>
  <c r="AB11"/>
  <c r="AB8"/>
  <c r="AB6"/>
  <c r="CO194" i="252"/>
  <c r="CO185"/>
  <c r="CO180"/>
  <c r="CO175"/>
  <c r="CO170"/>
  <c r="CO163"/>
  <c r="CO159"/>
  <c r="CO155"/>
  <c r="CO148"/>
  <c r="CO141"/>
  <c r="CO135"/>
  <c r="CO131"/>
  <c r="CO125"/>
  <c r="CO117"/>
  <c r="CO111"/>
  <c r="CO106"/>
  <c r="CO100"/>
  <c r="CO94"/>
  <c r="CO87"/>
  <c r="CO83"/>
  <c r="CO81"/>
  <c r="CO74"/>
  <c r="CO68"/>
  <c r="CO64"/>
  <c r="CO52"/>
  <c r="CO48"/>
  <c r="CO44"/>
  <c r="CO32"/>
  <c r="CO22"/>
  <c r="CO17"/>
  <c r="CO12"/>
  <c r="CO9"/>
  <c r="BQ333" i="251"/>
  <c r="BQ324"/>
  <c r="BQ315"/>
  <c r="BQ310"/>
  <c r="BQ305"/>
  <c r="BQ300"/>
  <c r="BQ295"/>
  <c r="BQ288"/>
  <c r="BQ281"/>
  <c r="BQ272"/>
  <c r="BQ258"/>
  <c r="BQ253"/>
  <c r="BQ246"/>
  <c r="BQ239"/>
  <c r="BQ232"/>
  <c r="BQ226"/>
  <c r="BQ220"/>
  <c r="BQ214"/>
  <c r="BQ209"/>
  <c r="BQ205"/>
  <c r="BQ196"/>
  <c r="BQ190"/>
  <c r="BQ185"/>
  <c r="BQ180"/>
  <c r="BQ174"/>
  <c r="BQ170"/>
  <c r="BQ163"/>
  <c r="BQ156"/>
  <c r="BQ152"/>
  <c r="BQ144"/>
  <c r="BQ137"/>
  <c r="BQ130"/>
  <c r="BQ123"/>
  <c r="BQ116"/>
  <c r="BQ109"/>
  <c r="BQ103"/>
  <c r="BQ98"/>
  <c r="BQ89"/>
  <c r="BQ82"/>
  <c r="BQ79"/>
  <c r="BQ75"/>
  <c r="BQ72"/>
  <c r="BQ66"/>
  <c r="BQ61"/>
  <c r="BQ53"/>
  <c r="BQ48"/>
  <c r="BQ43"/>
  <c r="BQ39"/>
  <c r="BQ27"/>
  <c r="BQ22"/>
  <c r="BQ14"/>
  <c r="BA88" i="250"/>
  <c r="BA79"/>
  <c r="BA74"/>
  <c r="BA69"/>
  <c r="BA64"/>
  <c r="BA57"/>
  <c r="BA51"/>
  <c r="BA47"/>
  <c r="BA41"/>
  <c r="BA37"/>
  <c r="BA33"/>
  <c r="BA18"/>
  <c r="BA12"/>
  <c r="CA102" i="262"/>
  <c r="CA101"/>
  <c r="CA100"/>
  <c r="CA99"/>
  <c r="CA98"/>
  <c r="CA97"/>
  <c r="CA96"/>
  <c r="CA95"/>
  <c r="CA94"/>
  <c r="CA93"/>
  <c r="CA92"/>
  <c r="CA91"/>
  <c r="CA90"/>
  <c r="CA89"/>
  <c r="CA88"/>
  <c r="CA87"/>
  <c r="CA86"/>
  <c r="CA85"/>
  <c r="CA84"/>
  <c r="CA83"/>
  <c r="CA82"/>
  <c r="CA81"/>
  <c r="CA80"/>
  <c r="CA79"/>
  <c r="CA78"/>
  <c r="CA77"/>
  <c r="CA76"/>
  <c r="CA75"/>
  <c r="CA74"/>
  <c r="CA73"/>
  <c r="CA72"/>
  <c r="CA71"/>
  <c r="CA70"/>
  <c r="CA69"/>
  <c r="CA68"/>
  <c r="CA67"/>
  <c r="CA66"/>
  <c r="CA65"/>
  <c r="CA64"/>
  <c r="CA63"/>
  <c r="CA62"/>
  <c r="CA61"/>
  <c r="CA60"/>
  <c r="CA59"/>
  <c r="CA58"/>
  <c r="CA57"/>
  <c r="CA56"/>
  <c r="CA55"/>
  <c r="CA54"/>
  <c r="CA53"/>
  <c r="CA52"/>
  <c r="CA51"/>
  <c r="CA50"/>
  <c r="CA49"/>
  <c r="CA48"/>
  <c r="CA47"/>
  <c r="CA46"/>
  <c r="CA45"/>
  <c r="CA44"/>
  <c r="CA43"/>
  <c r="CA42"/>
  <c r="CA41"/>
  <c r="CA40"/>
  <c r="CA39"/>
  <c r="CA38"/>
  <c r="CA37"/>
  <c r="CA36"/>
  <c r="CA35"/>
  <c r="CA34"/>
  <c r="CA33"/>
  <c r="CA32"/>
  <c r="CA31"/>
  <c r="CA30"/>
  <c r="CA29"/>
  <c r="CA28"/>
  <c r="CA27"/>
  <c r="CA26"/>
  <c r="CA25"/>
  <c r="CA24"/>
  <c r="CA23"/>
  <c r="CA22"/>
  <c r="CA21"/>
  <c r="CA20"/>
  <c r="CA19"/>
  <c r="CA18"/>
  <c r="CA17"/>
  <c r="CA16"/>
  <c r="CA15"/>
  <c r="CA14"/>
  <c r="CA13"/>
  <c r="CA12"/>
  <c r="CA11"/>
  <c r="CA10"/>
  <c r="CA9"/>
  <c r="CA8"/>
  <c r="CA7"/>
  <c r="AI31" i="235"/>
  <c r="AI7"/>
  <c r="AI19"/>
  <c r="G42" i="231"/>
  <c r="G43"/>
  <c r="G44"/>
  <c r="G45"/>
  <c r="G46"/>
  <c r="G47"/>
  <c r="D10" i="227"/>
  <c r="B193" i="238"/>
  <c r="B149"/>
  <c r="E149" s="1"/>
  <c r="G131"/>
  <c r="H131"/>
  <c r="C193"/>
  <c r="C149"/>
  <c r="E32" i="231"/>
  <c r="G31"/>
  <c r="B37"/>
  <c r="B48"/>
  <c r="F37"/>
  <c r="G37" s="1"/>
  <c r="D37"/>
  <c r="C37"/>
  <c r="G36"/>
  <c r="E36"/>
  <c r="G35"/>
  <c r="E35"/>
  <c r="G34"/>
  <c r="E34"/>
  <c r="G33"/>
  <c r="E33"/>
  <c r="G32"/>
  <c r="E43"/>
  <c r="E44"/>
  <c r="E45"/>
  <c r="E46"/>
  <c r="E47"/>
  <c r="E42"/>
  <c r="D48"/>
  <c r="C48"/>
  <c r="F48"/>
  <c r="N52" i="271"/>
  <c r="M52"/>
  <c r="L52"/>
  <c r="N51"/>
  <c r="N56" s="1"/>
  <c r="N58" s="1"/>
  <c r="M51"/>
  <c r="L51"/>
  <c r="N50"/>
  <c r="M50"/>
  <c r="L50"/>
  <c r="N45"/>
  <c r="M45"/>
  <c r="L45"/>
  <c r="N34"/>
  <c r="M34"/>
  <c r="L34"/>
  <c r="N26"/>
  <c r="M26"/>
  <c r="L26"/>
  <c r="N18"/>
  <c r="M18"/>
  <c r="L18"/>
  <c r="N9"/>
  <c r="M9"/>
  <c r="L9"/>
  <c r="D29" i="236"/>
  <c r="D30"/>
  <c r="D31"/>
  <c r="D32"/>
  <c r="D33"/>
  <c r="D28"/>
  <c r="D29" i="237"/>
  <c r="E29"/>
  <c r="D28"/>
  <c r="E28"/>
  <c r="D27"/>
  <c r="D26"/>
  <c r="D25"/>
  <c r="C31"/>
  <c r="B31"/>
  <c r="E30"/>
  <c r="J64" i="232"/>
  <c r="I64"/>
  <c r="F64"/>
  <c r="E64"/>
  <c r="D64"/>
  <c r="K62"/>
  <c r="G62"/>
  <c r="M62" s="1"/>
  <c r="K60"/>
  <c r="G60"/>
  <c r="K58"/>
  <c r="G58"/>
  <c r="M58" s="1"/>
  <c r="K56"/>
  <c r="G56"/>
  <c r="K54"/>
  <c r="G54"/>
  <c r="G64" s="1"/>
  <c r="M64" s="1"/>
  <c r="K52"/>
  <c r="G52"/>
  <c r="C34" i="236"/>
  <c r="D34" s="1"/>
  <c r="AH45" i="235"/>
  <c r="AG45"/>
  <c r="AH44"/>
  <c r="AG44"/>
  <c r="AH43"/>
  <c r="AG43"/>
  <c r="AI39"/>
  <c r="AI33"/>
  <c r="AI32"/>
  <c r="AI27"/>
  <c r="AI26"/>
  <c r="AI25"/>
  <c r="AI21"/>
  <c r="AI20"/>
  <c r="AI15"/>
  <c r="AI14"/>
  <c r="AI13"/>
  <c r="AI9"/>
  <c r="AI8"/>
  <c r="AP6" i="223"/>
  <c r="AQ6"/>
  <c r="AS80" i="216"/>
  <c r="AS78"/>
  <c r="AS76"/>
  <c r="AS75"/>
  <c r="AS74"/>
  <c r="AS73"/>
  <c r="AS71"/>
  <c r="AS70"/>
  <c r="AS69"/>
  <c r="AS68"/>
  <c r="AS65"/>
  <c r="AS63"/>
  <c r="AS60"/>
  <c r="AS59"/>
  <c r="AS56"/>
  <c r="AS52"/>
  <c r="AS50"/>
  <c r="AS47"/>
  <c r="AS46"/>
  <c r="AS45"/>
  <c r="AS44"/>
  <c r="AS43"/>
  <c r="AS41"/>
  <c r="AS40"/>
  <c r="AS39"/>
  <c r="AS38"/>
  <c r="AS35"/>
  <c r="AS34"/>
  <c r="AS33"/>
  <c r="AS32"/>
  <c r="AS30"/>
  <c r="AS29"/>
  <c r="AS28"/>
  <c r="AS26"/>
  <c r="AS25"/>
  <c r="AS24"/>
  <c r="AS21"/>
  <c r="AR21"/>
  <c r="AS20"/>
  <c r="AR20"/>
  <c r="AS19"/>
  <c r="AR19"/>
  <c r="AS18"/>
  <c r="AR18"/>
  <c r="AS16"/>
  <c r="AR16"/>
  <c r="AS15"/>
  <c r="AR15"/>
  <c r="AS14"/>
  <c r="AR14"/>
  <c r="AS13"/>
  <c r="AR13"/>
  <c r="AS12"/>
  <c r="AR12"/>
  <c r="AS10"/>
  <c r="AR10"/>
  <c r="AS9"/>
  <c r="AR9"/>
  <c r="AS8"/>
  <c r="AR8"/>
  <c r="AS7"/>
  <c r="AR7"/>
  <c r="AS6"/>
  <c r="AR6"/>
  <c r="W80" i="221"/>
  <c r="W79"/>
  <c r="W78"/>
  <c r="W77"/>
  <c r="W76"/>
  <c r="W75"/>
  <c r="W74"/>
  <c r="W73"/>
  <c r="W72"/>
  <c r="W71"/>
  <c r="W70"/>
  <c r="W69"/>
  <c r="W68"/>
  <c r="W67"/>
  <c r="W66"/>
  <c r="W65"/>
  <c r="W64"/>
  <c r="W63"/>
  <c r="W60"/>
  <c r="W58"/>
  <c r="W57"/>
  <c r="W56"/>
  <c r="W55"/>
  <c r="W54"/>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W7"/>
  <c r="W6"/>
  <c r="W5"/>
  <c r="W4"/>
  <c r="V80" i="220"/>
  <c r="W80" s="1"/>
  <c r="V75"/>
  <c r="V70"/>
  <c r="W70"/>
  <c r="V64"/>
  <c r="W64" s="1"/>
  <c r="V60"/>
  <c r="V56"/>
  <c r="W56"/>
  <c r="V51"/>
  <c r="W51"/>
  <c r="V46"/>
  <c r="V40"/>
  <c r="W40"/>
  <c r="V33"/>
  <c r="W33"/>
  <c r="V29"/>
  <c r="V25"/>
  <c r="W25"/>
  <c r="V20"/>
  <c r="W20" s="1"/>
  <c r="V15"/>
  <c r="W15"/>
  <c r="V9"/>
  <c r="W79"/>
  <c r="W78"/>
  <c r="W77"/>
  <c r="W76"/>
  <c r="W74"/>
  <c r="W73"/>
  <c r="W72"/>
  <c r="W71"/>
  <c r="W69"/>
  <c r="W68"/>
  <c r="W67"/>
  <c r="W66"/>
  <c r="W63"/>
  <c r="W58"/>
  <c r="W57"/>
  <c r="W55"/>
  <c r="W54"/>
  <c r="W50"/>
  <c r="W49"/>
  <c r="W48"/>
  <c r="W47"/>
  <c r="W45"/>
  <c r="W44"/>
  <c r="W43"/>
  <c r="W42"/>
  <c r="W41"/>
  <c r="W39"/>
  <c r="W38"/>
  <c r="W37"/>
  <c r="W36"/>
  <c r="W35"/>
  <c r="W32"/>
  <c r="W31"/>
  <c r="W30"/>
  <c r="W28"/>
  <c r="W27"/>
  <c r="W26"/>
  <c r="W24"/>
  <c r="W23"/>
  <c r="W22"/>
  <c r="W19"/>
  <c r="W18"/>
  <c r="W17"/>
  <c r="W16"/>
  <c r="W14"/>
  <c r="W13"/>
  <c r="W12"/>
  <c r="W11"/>
  <c r="W10"/>
  <c r="W8"/>
  <c r="W7"/>
  <c r="W6"/>
  <c r="W5"/>
  <c r="W4"/>
  <c r="V80" i="261"/>
  <c r="W80"/>
  <c r="V75"/>
  <c r="W75"/>
  <c r="V70"/>
  <c r="W70"/>
  <c r="V64"/>
  <c r="W64" s="1"/>
  <c r="V60"/>
  <c r="W60" s="1"/>
  <c r="V56"/>
  <c r="V51"/>
  <c r="W51"/>
  <c r="V46"/>
  <c r="V40"/>
  <c r="V33"/>
  <c r="V29"/>
  <c r="V25"/>
  <c r="W25"/>
  <c r="V20"/>
  <c r="V15"/>
  <c r="W15" s="1"/>
  <c r="V9"/>
  <c r="W9"/>
  <c r="W79"/>
  <c r="W78"/>
  <c r="W77"/>
  <c r="W76"/>
  <c r="W74"/>
  <c r="W73"/>
  <c r="W72"/>
  <c r="W71"/>
  <c r="W69"/>
  <c r="W68"/>
  <c r="W67"/>
  <c r="W66"/>
  <c r="W63"/>
  <c r="W58"/>
  <c r="W57"/>
  <c r="W56"/>
  <c r="W55"/>
  <c r="W54"/>
  <c r="W50"/>
  <c r="W49"/>
  <c r="W48"/>
  <c r="W47"/>
  <c r="W46"/>
  <c r="W45"/>
  <c r="W44"/>
  <c r="W43"/>
  <c r="W42"/>
  <c r="W41"/>
  <c r="W39"/>
  <c r="W38"/>
  <c r="W37"/>
  <c r="W36"/>
  <c r="W35"/>
  <c r="W32"/>
  <c r="W31"/>
  <c r="W30"/>
  <c r="W28"/>
  <c r="W27"/>
  <c r="W26"/>
  <c r="W24"/>
  <c r="W23"/>
  <c r="W22"/>
  <c r="W19"/>
  <c r="W18"/>
  <c r="W17"/>
  <c r="W16"/>
  <c r="W14"/>
  <c r="W13"/>
  <c r="W12"/>
  <c r="W11"/>
  <c r="W10"/>
  <c r="W8"/>
  <c r="W7"/>
  <c r="W6"/>
  <c r="W5"/>
  <c r="W4"/>
  <c r="V82" i="214"/>
  <c r="V77"/>
  <c r="V72"/>
  <c r="V66"/>
  <c r="V62"/>
  <c r="V58"/>
  <c r="V53"/>
  <c r="V48"/>
  <c r="V42"/>
  <c r="V35"/>
  <c r="V31"/>
  <c r="V27"/>
  <c r="V36" s="1"/>
  <c r="V22"/>
  <c r="V17"/>
  <c r="V11"/>
  <c r="V23"/>
  <c r="U82"/>
  <c r="W81"/>
  <c r="W80"/>
  <c r="W79"/>
  <c r="W78"/>
  <c r="U77"/>
  <c r="W76"/>
  <c r="W75"/>
  <c r="W74"/>
  <c r="W73"/>
  <c r="U72"/>
  <c r="W71"/>
  <c r="W70"/>
  <c r="W69"/>
  <c r="W68"/>
  <c r="U66"/>
  <c r="W65"/>
  <c r="W64"/>
  <c r="W63"/>
  <c r="U62"/>
  <c r="W62"/>
  <c r="W61"/>
  <c r="W60"/>
  <c r="W59"/>
  <c r="U58"/>
  <c r="W57"/>
  <c r="W56"/>
  <c r="W55"/>
  <c r="U53"/>
  <c r="W52"/>
  <c r="W51"/>
  <c r="W50"/>
  <c r="W49"/>
  <c r="U48"/>
  <c r="W47"/>
  <c r="W46"/>
  <c r="W45"/>
  <c r="W44"/>
  <c r="W43"/>
  <c r="U42"/>
  <c r="W42" s="1"/>
  <c r="W41"/>
  <c r="W40"/>
  <c r="W39"/>
  <c r="W38"/>
  <c r="W37"/>
  <c r="U35"/>
  <c r="W34"/>
  <c r="W33"/>
  <c r="W32"/>
  <c r="U31"/>
  <c r="W30"/>
  <c r="W29"/>
  <c r="W28"/>
  <c r="U27"/>
  <c r="W27"/>
  <c r="W26"/>
  <c r="W25"/>
  <c r="W24"/>
  <c r="U22"/>
  <c r="W21"/>
  <c r="W20"/>
  <c r="W19"/>
  <c r="W18"/>
  <c r="U17"/>
  <c r="W17" s="1"/>
  <c r="W16"/>
  <c r="W15"/>
  <c r="W14"/>
  <c r="W13"/>
  <c r="W12"/>
  <c r="U11"/>
  <c r="W10"/>
  <c r="W9"/>
  <c r="W8"/>
  <c r="W7"/>
  <c r="W6"/>
  <c r="W29" i="261"/>
  <c r="W82" i="221"/>
  <c r="W81"/>
  <c r="AO36" i="223"/>
  <c r="AN36"/>
  <c r="AM36"/>
  <c r="AO35"/>
  <c r="AN35"/>
  <c r="AM35"/>
  <c r="AO34"/>
  <c r="AN34"/>
  <c r="AM34"/>
  <c r="AO33"/>
  <c r="AN33"/>
  <c r="AM33"/>
  <c r="AO32"/>
  <c r="AN32"/>
  <c r="AM32"/>
  <c r="AO31"/>
  <c r="AN31"/>
  <c r="AM31"/>
  <c r="AO29"/>
  <c r="AN29"/>
  <c r="AM29"/>
  <c r="AP28"/>
  <c r="AQ28"/>
  <c r="AP27"/>
  <c r="AQ27" s="1"/>
  <c r="AP26"/>
  <c r="AO24"/>
  <c r="AN24"/>
  <c r="AM24"/>
  <c r="AP23"/>
  <c r="AP22"/>
  <c r="AQ22" s="1"/>
  <c r="AP21"/>
  <c r="AQ21" s="1"/>
  <c r="AO19"/>
  <c r="AN19"/>
  <c r="AM19"/>
  <c r="AP18"/>
  <c r="AQ18"/>
  <c r="AP17"/>
  <c r="AQ17" s="1"/>
  <c r="AP16"/>
  <c r="AO14"/>
  <c r="AN14"/>
  <c r="AM14"/>
  <c r="AP13"/>
  <c r="AQ13"/>
  <c r="AP12"/>
  <c r="AQ12" s="1"/>
  <c r="AP11"/>
  <c r="AQ11" s="1"/>
  <c r="AO9"/>
  <c r="AN9"/>
  <c r="AM9"/>
  <c r="AP8"/>
  <c r="AQ8"/>
  <c r="AP7"/>
  <c r="AQ7" s="1"/>
  <c r="AH31"/>
  <c r="AI31"/>
  <c r="AH32"/>
  <c r="AI32"/>
  <c r="AH33"/>
  <c r="AI33"/>
  <c r="AG33"/>
  <c r="AG32"/>
  <c r="AG31"/>
  <c r="AI24"/>
  <c r="AH24"/>
  <c r="AG24"/>
  <c r="AJ23"/>
  <c r="AJ22"/>
  <c r="AJ21"/>
  <c r="AK21" s="1"/>
  <c r="P83" i="222"/>
  <c r="O83"/>
  <c r="P78"/>
  <c r="O78"/>
  <c r="P73"/>
  <c r="O73"/>
  <c r="P54"/>
  <c r="O54"/>
  <c r="P49"/>
  <c r="O49"/>
  <c r="O55" s="1"/>
  <c r="P43"/>
  <c r="P55"/>
  <c r="O43"/>
  <c r="P36"/>
  <c r="O36"/>
  <c r="P32"/>
  <c r="O32"/>
  <c r="P28"/>
  <c r="O28"/>
  <c r="P23"/>
  <c r="O23"/>
  <c r="P17"/>
  <c r="O17"/>
  <c r="P11"/>
  <c r="O11"/>
  <c r="W42" i="234"/>
  <c r="Y42" s="1"/>
  <c r="X40"/>
  <c r="V40"/>
  <c r="U40"/>
  <c r="W39"/>
  <c r="Y39"/>
  <c r="W38"/>
  <c r="Y38" s="1"/>
  <c r="W37"/>
  <c r="Y37"/>
  <c r="W36"/>
  <c r="Y36" s="1"/>
  <c r="W35"/>
  <c r="Y35"/>
  <c r="X33"/>
  <c r="V33"/>
  <c r="U33"/>
  <c r="W32"/>
  <c r="W31"/>
  <c r="Y31" s="1"/>
  <c r="W30"/>
  <c r="W29"/>
  <c r="W28"/>
  <c r="W33"/>
  <c r="Y33" s="1"/>
  <c r="X26"/>
  <c r="V26"/>
  <c r="U26"/>
  <c r="W25"/>
  <c r="Y25" s="1"/>
  <c r="W24"/>
  <c r="Y24"/>
  <c r="W23"/>
  <c r="Y23" s="1"/>
  <c r="W22"/>
  <c r="Y22" s="1"/>
  <c r="W21"/>
  <c r="Y21"/>
  <c r="X19"/>
  <c r="V19"/>
  <c r="U19"/>
  <c r="W18"/>
  <c r="Y18" s="1"/>
  <c r="W17"/>
  <c r="Y17"/>
  <c r="W16"/>
  <c r="Y16"/>
  <c r="W15"/>
  <c r="W14"/>
  <c r="Y14"/>
  <c r="X12"/>
  <c r="V12"/>
  <c r="U12"/>
  <c r="W11"/>
  <c r="Y11"/>
  <c r="W10"/>
  <c r="Y10"/>
  <c r="W9"/>
  <c r="Y9" s="1"/>
  <c r="W8"/>
  <c r="Y8"/>
  <c r="W7"/>
  <c r="Y7"/>
  <c r="R42" i="233"/>
  <c r="Q40"/>
  <c r="P40"/>
  <c r="R39"/>
  <c r="R38"/>
  <c r="R37"/>
  <c r="R36"/>
  <c r="R35"/>
  <c r="Q33"/>
  <c r="Q44" s="1"/>
  <c r="P33"/>
  <c r="R32"/>
  <c r="R31"/>
  <c r="R30"/>
  <c r="R29"/>
  <c r="R28"/>
  <c r="Q26"/>
  <c r="P26"/>
  <c r="R26" s="1"/>
  <c r="R25"/>
  <c r="R24"/>
  <c r="R23"/>
  <c r="R22"/>
  <c r="R21"/>
  <c r="Q19"/>
  <c r="P19"/>
  <c r="R18"/>
  <c r="R17"/>
  <c r="R16"/>
  <c r="R15"/>
  <c r="R14"/>
  <c r="Q12"/>
  <c r="P12"/>
  <c r="R11"/>
  <c r="R10"/>
  <c r="R9"/>
  <c r="R8"/>
  <c r="R7"/>
  <c r="X30" i="243"/>
  <c r="Z27"/>
  <c r="Z26"/>
  <c r="Z25"/>
  <c r="Z24"/>
  <c r="Z23"/>
  <c r="Z22"/>
  <c r="Z21"/>
  <c r="Z20"/>
  <c r="Z19"/>
  <c r="Z18"/>
  <c r="Z17"/>
  <c r="Z16"/>
  <c r="Z15"/>
  <c r="Z14"/>
  <c r="Z13"/>
  <c r="Z12"/>
  <c r="Z11"/>
  <c r="Z10"/>
  <c r="Z8"/>
  <c r="Z7"/>
  <c r="Z6"/>
  <c r="S18" i="242"/>
  <c r="U17"/>
  <c r="U14"/>
  <c r="U13"/>
  <c r="U11"/>
  <c r="U10"/>
  <c r="U9"/>
  <c r="U8"/>
  <c r="U7"/>
  <c r="C41" i="237"/>
  <c r="B41"/>
  <c r="D40"/>
  <c r="E40"/>
  <c r="D39"/>
  <c r="E39"/>
  <c r="D38"/>
  <c r="E38"/>
  <c r="D37"/>
  <c r="E37" s="1"/>
  <c r="D36"/>
  <c r="E36"/>
  <c r="D35"/>
  <c r="E35"/>
  <c r="C45" i="236"/>
  <c r="AE45" i="235"/>
  <c r="AD45"/>
  <c r="AE44"/>
  <c r="AD44"/>
  <c r="AE43"/>
  <c r="AD43"/>
  <c r="AF39"/>
  <c r="AF33"/>
  <c r="AF32"/>
  <c r="AF31"/>
  <c r="AF27"/>
  <c r="AF26"/>
  <c r="AF25"/>
  <c r="AF21"/>
  <c r="AF20"/>
  <c r="AF19"/>
  <c r="AF15"/>
  <c r="AF14"/>
  <c r="AF13"/>
  <c r="AF9"/>
  <c r="AF8"/>
  <c r="AF7"/>
  <c r="J85" i="232"/>
  <c r="I85"/>
  <c r="F85"/>
  <c r="E85"/>
  <c r="D85"/>
  <c r="K83"/>
  <c r="G83"/>
  <c r="M83" s="1"/>
  <c r="K81"/>
  <c r="G81"/>
  <c r="K79"/>
  <c r="G79"/>
  <c r="M79" s="1"/>
  <c r="K77"/>
  <c r="G77"/>
  <c r="K75"/>
  <c r="G75"/>
  <c r="M75" s="1"/>
  <c r="K73"/>
  <c r="G73"/>
  <c r="G9" i="230"/>
  <c r="H27" i="273"/>
  <c r="G27"/>
  <c r="F27"/>
  <c r="E27"/>
  <c r="D27"/>
  <c r="C27"/>
  <c r="H22"/>
  <c r="G22"/>
  <c r="F22"/>
  <c r="E22"/>
  <c r="D22"/>
  <c r="C22"/>
  <c r="H18"/>
  <c r="G18"/>
  <c r="F18"/>
  <c r="E18"/>
  <c r="D18"/>
  <c r="C18"/>
  <c r="H13"/>
  <c r="G13"/>
  <c r="F13"/>
  <c r="E13"/>
  <c r="D13"/>
  <c r="C13"/>
  <c r="H8"/>
  <c r="G8"/>
  <c r="F8"/>
  <c r="E8"/>
  <c r="D8"/>
  <c r="C8"/>
  <c r="AI36" i="223"/>
  <c r="AH36"/>
  <c r="AG36"/>
  <c r="AI35"/>
  <c r="AH35"/>
  <c r="AG35"/>
  <c r="AI34"/>
  <c r="AH34"/>
  <c r="AG34"/>
  <c r="AI29"/>
  <c r="AH29"/>
  <c r="AG29"/>
  <c r="AJ28"/>
  <c r="AK28"/>
  <c r="AJ27"/>
  <c r="AK27" s="1"/>
  <c r="AJ26"/>
  <c r="AI19"/>
  <c r="AH19"/>
  <c r="AG19"/>
  <c r="AJ18"/>
  <c r="AK18"/>
  <c r="AJ17"/>
  <c r="AJ16"/>
  <c r="AJ19" s="1"/>
  <c r="AI14"/>
  <c r="AH14"/>
  <c r="AG14"/>
  <c r="AJ13"/>
  <c r="AJ12"/>
  <c r="AK12"/>
  <c r="AJ11"/>
  <c r="AI9"/>
  <c r="AH9"/>
  <c r="AG9"/>
  <c r="AJ8"/>
  <c r="AJ7"/>
  <c r="AK7"/>
  <c r="AJ6"/>
  <c r="AK6" s="1"/>
  <c r="AK8"/>
  <c r="AK13"/>
  <c r="T9" i="242"/>
  <c r="Y43" i="272"/>
  <c r="X43"/>
  <c r="Z43"/>
  <c r="Z41"/>
  <c r="V41"/>
  <c r="R41"/>
  <c r="Z39"/>
  <c r="U39"/>
  <c r="T39"/>
  <c r="Q39"/>
  <c r="Z38"/>
  <c r="V38"/>
  <c r="R38"/>
  <c r="Z37"/>
  <c r="V37"/>
  <c r="R37"/>
  <c r="AL41"/>
  <c r="AH41"/>
  <c r="AD41"/>
  <c r="Z36"/>
  <c r="V36"/>
  <c r="R36"/>
  <c r="Z35"/>
  <c r="V35"/>
  <c r="R35"/>
  <c r="AL39"/>
  <c r="AG39"/>
  <c r="AH39"/>
  <c r="AD39"/>
  <c r="Z34"/>
  <c r="V34"/>
  <c r="R34"/>
  <c r="AJ32"/>
  <c r="AG32"/>
  <c r="AF32"/>
  <c r="AC32"/>
  <c r="AB32"/>
  <c r="Z32"/>
  <c r="U32"/>
  <c r="T32"/>
  <c r="Q32"/>
  <c r="AL31"/>
  <c r="AH31"/>
  <c r="AD31"/>
  <c r="Z31"/>
  <c r="V31"/>
  <c r="R31"/>
  <c r="AK30"/>
  <c r="AL30"/>
  <c r="AH30"/>
  <c r="AD30"/>
  <c r="Z30"/>
  <c r="V30"/>
  <c r="R30"/>
  <c r="AL29"/>
  <c r="AH29"/>
  <c r="AD29"/>
  <c r="Z29"/>
  <c r="V29"/>
  <c r="R29"/>
  <c r="AL28"/>
  <c r="AH28"/>
  <c r="AD28"/>
  <c r="Z28"/>
  <c r="V28"/>
  <c r="R28"/>
  <c r="AL27"/>
  <c r="AH27"/>
  <c r="AD27"/>
  <c r="Z27"/>
  <c r="V27"/>
  <c r="P32"/>
  <c r="AJ25"/>
  <c r="AG25"/>
  <c r="AF25"/>
  <c r="AC25"/>
  <c r="AB25"/>
  <c r="Z25"/>
  <c r="U25"/>
  <c r="T25"/>
  <c r="Q25"/>
  <c r="AL24"/>
  <c r="AH24"/>
  <c r="AD24"/>
  <c r="Z24"/>
  <c r="V24"/>
  <c r="R24"/>
  <c r="AK23"/>
  <c r="AK25"/>
  <c r="AH23"/>
  <c r="AD23"/>
  <c r="Z23"/>
  <c r="V23"/>
  <c r="R23"/>
  <c r="AL22"/>
  <c r="AH22"/>
  <c r="AD22"/>
  <c r="Z22"/>
  <c r="V22"/>
  <c r="R22"/>
  <c r="AL21"/>
  <c r="AH21"/>
  <c r="AD21"/>
  <c r="Z21"/>
  <c r="V21"/>
  <c r="R21"/>
  <c r="AL20"/>
  <c r="AH20"/>
  <c r="AD20"/>
  <c r="Z20"/>
  <c r="V20"/>
  <c r="R20"/>
  <c r="AJ18"/>
  <c r="AG18"/>
  <c r="AF18"/>
  <c r="AC18"/>
  <c r="AB18"/>
  <c r="Z18"/>
  <c r="U18"/>
  <c r="T18"/>
  <c r="Q18"/>
  <c r="AL17"/>
  <c r="AH17"/>
  <c r="AD17"/>
  <c r="Z17"/>
  <c r="V17"/>
  <c r="R17"/>
  <c r="AK16"/>
  <c r="AL16"/>
  <c r="AH16"/>
  <c r="AD16"/>
  <c r="Z16"/>
  <c r="V16"/>
  <c r="R16"/>
  <c r="AL15"/>
  <c r="AH15"/>
  <c r="AD15"/>
  <c r="Z15"/>
  <c r="V15"/>
  <c r="R15"/>
  <c r="AL14"/>
  <c r="AH14"/>
  <c r="AD14"/>
  <c r="Z14"/>
  <c r="V14"/>
  <c r="R14"/>
  <c r="AL13"/>
  <c r="AH13"/>
  <c r="AD13"/>
  <c r="Z13"/>
  <c r="V13"/>
  <c r="AJ11"/>
  <c r="AF11"/>
  <c r="AC11"/>
  <c r="AB11"/>
  <c r="Z11"/>
  <c r="U11"/>
  <c r="T11"/>
  <c r="Q11"/>
  <c r="AL10"/>
  <c r="AH10"/>
  <c r="AD10"/>
  <c r="Z10"/>
  <c r="V10"/>
  <c r="R10"/>
  <c r="AK9"/>
  <c r="AK11"/>
  <c r="AG9"/>
  <c r="AH9"/>
  <c r="AD9"/>
  <c r="Z9"/>
  <c r="V9"/>
  <c r="R9"/>
  <c r="AL8"/>
  <c r="AH8"/>
  <c r="AD8"/>
  <c r="Z8"/>
  <c r="V8"/>
  <c r="R8"/>
  <c r="AL7"/>
  <c r="AG7"/>
  <c r="AH7"/>
  <c r="AD7"/>
  <c r="Z7"/>
  <c r="V7"/>
  <c r="R7"/>
  <c r="AL6"/>
  <c r="AG6"/>
  <c r="AH6" s="1"/>
  <c r="AD6"/>
  <c r="Z6"/>
  <c r="V6"/>
  <c r="P11"/>
  <c r="K34" i="217"/>
  <c r="K33"/>
  <c r="AD52" i="271"/>
  <c r="AD56" s="1"/>
  <c r="AD58" s="1"/>
  <c r="AC52"/>
  <c r="AB52"/>
  <c r="Z52"/>
  <c r="Y52"/>
  <c r="X52"/>
  <c r="V52"/>
  <c r="V56" s="1"/>
  <c r="V58" s="1"/>
  <c r="U52"/>
  <c r="T52"/>
  <c r="R52"/>
  <c r="Q52"/>
  <c r="P52"/>
  <c r="AF53"/>
  <c r="AD51"/>
  <c r="AC51"/>
  <c r="AB51"/>
  <c r="Z51"/>
  <c r="Z56" s="1"/>
  <c r="Z58" s="1"/>
  <c r="Y51"/>
  <c r="X51"/>
  <c r="V51"/>
  <c r="U51"/>
  <c r="U53"/>
  <c r="T51"/>
  <c r="R51"/>
  <c r="R56" s="1"/>
  <c r="R58" s="1"/>
  <c r="Q51"/>
  <c r="P51"/>
  <c r="AG53"/>
  <c r="AD50"/>
  <c r="AC50"/>
  <c r="AB50"/>
  <c r="AB53" s="1"/>
  <c r="Z50"/>
  <c r="Z53"/>
  <c r="Y50"/>
  <c r="X50"/>
  <c r="V50"/>
  <c r="U50"/>
  <c r="T50"/>
  <c r="R50"/>
  <c r="Q50"/>
  <c r="Q53"/>
  <c r="P50"/>
  <c r="P53"/>
  <c r="AH45"/>
  <c r="AG45"/>
  <c r="AF45"/>
  <c r="AD45"/>
  <c r="AC45"/>
  <c r="AB45"/>
  <c r="Z45"/>
  <c r="Y45"/>
  <c r="X45"/>
  <c r="V45"/>
  <c r="U45"/>
  <c r="T45"/>
  <c r="R45"/>
  <c r="Q45"/>
  <c r="P45"/>
  <c r="Z34"/>
  <c r="Y34"/>
  <c r="X34"/>
  <c r="V34"/>
  <c r="U34"/>
  <c r="T34"/>
  <c r="R34"/>
  <c r="Q34"/>
  <c r="P34"/>
  <c r="AD26"/>
  <c r="AC26"/>
  <c r="AB26"/>
  <c r="Z26"/>
  <c r="Y26"/>
  <c r="X26"/>
  <c r="V26"/>
  <c r="U26"/>
  <c r="T26"/>
  <c r="R26"/>
  <c r="Q26"/>
  <c r="P26"/>
  <c r="AH18"/>
  <c r="AG18"/>
  <c r="AF18"/>
  <c r="AD18"/>
  <c r="AC18"/>
  <c r="AB18"/>
  <c r="Z18"/>
  <c r="Y18"/>
  <c r="X18"/>
  <c r="V18"/>
  <c r="U18"/>
  <c r="T18"/>
  <c r="R18"/>
  <c r="Q18"/>
  <c r="P18"/>
  <c r="AH9"/>
  <c r="AG9"/>
  <c r="AF9"/>
  <c r="AD9"/>
  <c r="AC9"/>
  <c r="AB9"/>
  <c r="Z9"/>
  <c r="Y9"/>
  <c r="X9"/>
  <c r="V9"/>
  <c r="U9"/>
  <c r="T9"/>
  <c r="R9"/>
  <c r="Q9"/>
  <c r="P9"/>
  <c r="BC140" i="268"/>
  <c r="BC142" s="1"/>
  <c r="AZ142"/>
  <c r="BE140"/>
  <c r="BE142" s="1"/>
  <c r="BD140"/>
  <c r="BD142"/>
  <c r="BB140"/>
  <c r="BB142"/>
  <c r="BA140"/>
  <c r="BA142"/>
  <c r="BB101" i="267"/>
  <c r="BB103" s="1"/>
  <c r="BF101"/>
  <c r="BF103"/>
  <c r="BE101"/>
  <c r="BE103"/>
  <c r="BD101"/>
  <c r="BD103"/>
  <c r="BC101"/>
  <c r="BC103" s="1"/>
  <c r="BA101"/>
  <c r="BA103"/>
  <c r="R6" i="272"/>
  <c r="P18"/>
  <c r="P25"/>
  <c r="P39"/>
  <c r="R13"/>
  <c r="R27"/>
  <c r="AH58" i="271"/>
  <c r="T81" i="214"/>
  <c r="T80"/>
  <c r="T79"/>
  <c r="T78"/>
  <c r="T76"/>
  <c r="T75"/>
  <c r="T74"/>
  <c r="T73"/>
  <c r="T71"/>
  <c r="T70"/>
  <c r="T69"/>
  <c r="T68"/>
  <c r="T65"/>
  <c r="T64"/>
  <c r="T63"/>
  <c r="T61"/>
  <c r="T60"/>
  <c r="T59"/>
  <c r="T57"/>
  <c r="T56"/>
  <c r="T55"/>
  <c r="T52"/>
  <c r="T51"/>
  <c r="T50"/>
  <c r="T49"/>
  <c r="T47"/>
  <c r="T46"/>
  <c r="T45"/>
  <c r="T44"/>
  <c r="T43"/>
  <c r="T41"/>
  <c r="T40"/>
  <c r="T39"/>
  <c r="T38"/>
  <c r="T37"/>
  <c r="T34"/>
  <c r="T33"/>
  <c r="T32"/>
  <c r="T30"/>
  <c r="T29"/>
  <c r="T28"/>
  <c r="T26"/>
  <c r="T25"/>
  <c r="T24"/>
  <c r="T21"/>
  <c r="T20"/>
  <c r="T19"/>
  <c r="T18"/>
  <c r="T16"/>
  <c r="T15"/>
  <c r="T14"/>
  <c r="T13"/>
  <c r="T12"/>
  <c r="T10"/>
  <c r="T9"/>
  <c r="T8"/>
  <c r="T7"/>
  <c r="T6"/>
  <c r="S82"/>
  <c r="S83"/>
  <c r="S84" s="1"/>
  <c r="S80" i="221"/>
  <c r="S81"/>
  <c r="T79"/>
  <c r="T78"/>
  <c r="T77"/>
  <c r="T76"/>
  <c r="T75"/>
  <c r="T74"/>
  <c r="T73"/>
  <c r="T72"/>
  <c r="T71"/>
  <c r="T70"/>
  <c r="T69"/>
  <c r="T68"/>
  <c r="T67"/>
  <c r="T66"/>
  <c r="T64"/>
  <c r="T63"/>
  <c r="T60"/>
  <c r="T58"/>
  <c r="T57"/>
  <c r="T65"/>
  <c r="T55"/>
  <c r="T54"/>
  <c r="T52"/>
  <c r="T51"/>
  <c r="T50"/>
  <c r="T49"/>
  <c r="T48"/>
  <c r="T47"/>
  <c r="T46"/>
  <c r="T45"/>
  <c r="T44"/>
  <c r="T43"/>
  <c r="T42"/>
  <c r="T41"/>
  <c r="T40"/>
  <c r="T39"/>
  <c r="T38"/>
  <c r="T37"/>
  <c r="T36"/>
  <c r="T35"/>
  <c r="T33"/>
  <c r="T32"/>
  <c r="T31"/>
  <c r="T30"/>
  <c r="T29"/>
  <c r="T28"/>
  <c r="T27"/>
  <c r="T26"/>
  <c r="T25"/>
  <c r="T24"/>
  <c r="T23"/>
  <c r="T22"/>
  <c r="T20"/>
  <c r="T19"/>
  <c r="T18"/>
  <c r="T17"/>
  <c r="T16"/>
  <c r="T15"/>
  <c r="T14"/>
  <c r="T13"/>
  <c r="T12"/>
  <c r="T11"/>
  <c r="T10"/>
  <c r="T9"/>
  <c r="T8"/>
  <c r="T7"/>
  <c r="T6"/>
  <c r="T5"/>
  <c r="T4"/>
  <c r="R75" i="261"/>
  <c r="R70"/>
  <c r="T70"/>
  <c r="R46"/>
  <c r="T46"/>
  <c r="R40"/>
  <c r="T40"/>
  <c r="R33"/>
  <c r="R29"/>
  <c r="T29"/>
  <c r="R25"/>
  <c r="T25" s="1"/>
  <c r="R15"/>
  <c r="T15" s="1"/>
  <c r="R9"/>
  <c r="T9"/>
  <c r="R20"/>
  <c r="T20"/>
  <c r="R51"/>
  <c r="R56"/>
  <c r="R60"/>
  <c r="T60" s="1"/>
  <c r="R64"/>
  <c r="T64"/>
  <c r="R20" i="220"/>
  <c r="R15"/>
  <c r="T15"/>
  <c r="R9"/>
  <c r="T9"/>
  <c r="R75"/>
  <c r="T75"/>
  <c r="R70"/>
  <c r="T70" s="1"/>
  <c r="R64"/>
  <c r="T64"/>
  <c r="R60"/>
  <c r="T60" s="1"/>
  <c r="R56"/>
  <c r="R51"/>
  <c r="R46"/>
  <c r="T46"/>
  <c r="R40"/>
  <c r="T40"/>
  <c r="R33"/>
  <c r="T33" s="1"/>
  <c r="R29"/>
  <c r="T29" s="1"/>
  <c r="R25"/>
  <c r="T25" s="1"/>
  <c r="S80"/>
  <c r="S81" s="1"/>
  <c r="S82" s="1"/>
  <c r="R80"/>
  <c r="T79"/>
  <c r="T78"/>
  <c r="T77"/>
  <c r="T76"/>
  <c r="T74"/>
  <c r="T73"/>
  <c r="T72"/>
  <c r="T71"/>
  <c r="T69"/>
  <c r="T68"/>
  <c r="T67"/>
  <c r="T66"/>
  <c r="T63"/>
  <c r="T58"/>
  <c r="T57"/>
  <c r="T55"/>
  <c r="T54"/>
  <c r="T50"/>
  <c r="T49"/>
  <c r="T48"/>
  <c r="T47"/>
  <c r="T45"/>
  <c r="T44"/>
  <c r="T43"/>
  <c r="T42"/>
  <c r="T41"/>
  <c r="T39"/>
  <c r="T38"/>
  <c r="T37"/>
  <c r="T36"/>
  <c r="T35"/>
  <c r="T32"/>
  <c r="T31"/>
  <c r="T30"/>
  <c r="T28"/>
  <c r="T27"/>
  <c r="T26"/>
  <c r="T24"/>
  <c r="T23"/>
  <c r="T22"/>
  <c r="T19"/>
  <c r="T18"/>
  <c r="T17"/>
  <c r="T16"/>
  <c r="T14"/>
  <c r="T13"/>
  <c r="T12"/>
  <c r="T11"/>
  <c r="T10"/>
  <c r="T8"/>
  <c r="T7"/>
  <c r="T6"/>
  <c r="T5"/>
  <c r="T4"/>
  <c r="S80" i="261"/>
  <c r="S81"/>
  <c r="S82" s="1"/>
  <c r="R80"/>
  <c r="T79"/>
  <c r="T78"/>
  <c r="T77"/>
  <c r="T76"/>
  <c r="T74"/>
  <c r="T73"/>
  <c r="T72"/>
  <c r="T71"/>
  <c r="T69"/>
  <c r="T68"/>
  <c r="T67"/>
  <c r="T66"/>
  <c r="T63"/>
  <c r="T58"/>
  <c r="T57"/>
  <c r="T55"/>
  <c r="T54"/>
  <c r="T50"/>
  <c r="T49"/>
  <c r="T48"/>
  <c r="T47"/>
  <c r="T45"/>
  <c r="T44"/>
  <c r="T43"/>
  <c r="T42"/>
  <c r="T41"/>
  <c r="T39"/>
  <c r="T38"/>
  <c r="T37"/>
  <c r="T36"/>
  <c r="T35"/>
  <c r="T32"/>
  <c r="T31"/>
  <c r="T30"/>
  <c r="T28"/>
  <c r="T27"/>
  <c r="T26"/>
  <c r="T24"/>
  <c r="T23"/>
  <c r="T22"/>
  <c r="T19"/>
  <c r="T18"/>
  <c r="T17"/>
  <c r="T16"/>
  <c r="T14"/>
  <c r="T13"/>
  <c r="T12"/>
  <c r="T11"/>
  <c r="T10"/>
  <c r="T8"/>
  <c r="T7"/>
  <c r="T6"/>
  <c r="T5"/>
  <c r="T4"/>
  <c r="T56" i="221"/>
  <c r="T56" i="220"/>
  <c r="T56" i="261"/>
  <c r="AM83" i="216"/>
  <c r="AM82"/>
  <c r="AM80"/>
  <c r="AM78"/>
  <c r="AM77"/>
  <c r="AM76"/>
  <c r="AM75"/>
  <c r="AM74"/>
  <c r="AM73"/>
  <c r="AM72"/>
  <c r="AM71"/>
  <c r="AM70"/>
  <c r="AM69"/>
  <c r="AM68"/>
  <c r="AM67"/>
  <c r="AM66"/>
  <c r="AM65"/>
  <c r="AM63"/>
  <c r="AM62"/>
  <c r="AM60"/>
  <c r="AM59"/>
  <c r="AM58"/>
  <c r="AM56"/>
  <c r="AM55"/>
  <c r="AM54"/>
  <c r="AM53"/>
  <c r="AM52"/>
  <c r="AM50"/>
  <c r="AM48"/>
  <c r="AM47"/>
  <c r="AM46"/>
  <c r="AM45"/>
  <c r="AM44"/>
  <c r="AM43"/>
  <c r="AM42"/>
  <c r="AM41"/>
  <c r="AM40"/>
  <c r="AM39"/>
  <c r="AM38"/>
  <c r="AM36"/>
  <c r="AM35"/>
  <c r="AM34"/>
  <c r="AM33"/>
  <c r="AM32"/>
  <c r="AM31"/>
  <c r="AM30"/>
  <c r="AM29"/>
  <c r="AM28"/>
  <c r="AM27"/>
  <c r="AM26"/>
  <c r="AM25"/>
  <c r="AM24"/>
  <c r="AM23"/>
  <c r="AM22"/>
  <c r="AM21"/>
  <c r="AM20"/>
  <c r="AM19"/>
  <c r="AM18"/>
  <c r="AM17"/>
  <c r="AM16"/>
  <c r="AM15"/>
  <c r="AM14"/>
  <c r="AM13"/>
  <c r="AM12"/>
  <c r="AM11"/>
  <c r="AM10"/>
  <c r="AM9"/>
  <c r="AM8"/>
  <c r="AM7"/>
  <c r="AM6"/>
  <c r="AL83"/>
  <c r="AL82"/>
  <c r="AL81"/>
  <c r="AL80"/>
  <c r="AL79"/>
  <c r="AL78"/>
  <c r="AL77"/>
  <c r="AL76"/>
  <c r="AL75"/>
  <c r="AL74"/>
  <c r="AL73"/>
  <c r="AL72"/>
  <c r="AL71"/>
  <c r="AL70"/>
  <c r="AL69"/>
  <c r="AL68"/>
  <c r="AL67"/>
  <c r="AL66"/>
  <c r="AL65"/>
  <c r="AL64"/>
  <c r="AL63"/>
  <c r="AL62"/>
  <c r="AL61"/>
  <c r="AL60"/>
  <c r="AL59"/>
  <c r="AL58"/>
  <c r="AL57"/>
  <c r="AL56"/>
  <c r="AL55"/>
  <c r="AL54"/>
  <c r="AL53"/>
  <c r="AL52"/>
  <c r="AL51"/>
  <c r="AL50"/>
  <c r="AL49"/>
  <c r="AL48"/>
  <c r="AL47"/>
  <c r="AL46"/>
  <c r="AL45"/>
  <c r="AL44"/>
  <c r="AL43"/>
  <c r="AL42"/>
  <c r="AL41"/>
  <c r="AL40"/>
  <c r="AL39"/>
  <c r="AL38"/>
  <c r="AL37"/>
  <c r="AL36"/>
  <c r="AL35"/>
  <c r="AL34"/>
  <c r="AL33"/>
  <c r="AL32"/>
  <c r="AL31"/>
  <c r="AL30"/>
  <c r="AL29"/>
  <c r="AL28"/>
  <c r="AL27"/>
  <c r="AL26"/>
  <c r="AL25"/>
  <c r="AL24"/>
  <c r="AL23"/>
  <c r="AL84" s="1"/>
  <c r="AL22"/>
  <c r="AL21"/>
  <c r="AL20"/>
  <c r="AL19"/>
  <c r="AL18"/>
  <c r="AL17"/>
  <c r="AL16"/>
  <c r="AL15"/>
  <c r="AL14"/>
  <c r="AL13"/>
  <c r="AL12"/>
  <c r="AL11"/>
  <c r="AL10"/>
  <c r="AL9"/>
  <c r="AL8"/>
  <c r="AL7"/>
  <c r="AL6"/>
  <c r="AI84"/>
  <c r="AJ84"/>
  <c r="AK84"/>
  <c r="AH84"/>
  <c r="T34" i="221"/>
  <c r="T21"/>
  <c r="Q63" i="214"/>
  <c r="Q64"/>
  <c r="R82"/>
  <c r="T82"/>
  <c r="R77"/>
  <c r="T77" s="1"/>
  <c r="R72"/>
  <c r="T72"/>
  <c r="R66"/>
  <c r="T66"/>
  <c r="R62"/>
  <c r="R58"/>
  <c r="T58"/>
  <c r="R53"/>
  <c r="T53"/>
  <c r="R48"/>
  <c r="T48" s="1"/>
  <c r="R42"/>
  <c r="T42" s="1"/>
  <c r="R35"/>
  <c r="T35"/>
  <c r="R31"/>
  <c r="T31"/>
  <c r="R27"/>
  <c r="R22"/>
  <c r="T22"/>
  <c r="R17"/>
  <c r="T17"/>
  <c r="R11"/>
  <c r="C306" i="212"/>
  <c r="D571" i="213"/>
  <c r="Q81" i="214"/>
  <c r="Q80"/>
  <c r="Q79"/>
  <c r="Q78"/>
  <c r="Q76"/>
  <c r="Q75"/>
  <c r="Q74"/>
  <c r="Q73"/>
  <c r="Q71"/>
  <c r="Q70"/>
  <c r="Q69"/>
  <c r="Q68"/>
  <c r="Q65"/>
  <c r="Q61"/>
  <c r="Q60"/>
  <c r="Q59"/>
  <c r="Q57"/>
  <c r="Q56"/>
  <c r="Q55"/>
  <c r="Q52"/>
  <c r="Q51"/>
  <c r="Q50"/>
  <c r="Q49"/>
  <c r="Q47"/>
  <c r="Q46"/>
  <c r="Q45"/>
  <c r="Q44"/>
  <c r="Q43"/>
  <c r="Q41"/>
  <c r="Q40"/>
  <c r="Q39"/>
  <c r="Q38"/>
  <c r="Q37"/>
  <c r="Q34"/>
  <c r="Q33"/>
  <c r="Q32"/>
  <c r="Q30"/>
  <c r="Q29"/>
  <c r="Q28"/>
  <c r="Q26"/>
  <c r="Q25"/>
  <c r="Q24"/>
  <c r="Q21"/>
  <c r="Q20"/>
  <c r="Q19"/>
  <c r="Q18"/>
  <c r="Q16"/>
  <c r="Q15"/>
  <c r="Q14"/>
  <c r="Q13"/>
  <c r="Q12"/>
  <c r="Q10"/>
  <c r="Q9"/>
  <c r="Q8"/>
  <c r="Q7"/>
  <c r="Q6"/>
  <c r="N81"/>
  <c r="N80"/>
  <c r="N79"/>
  <c r="N78"/>
  <c r="N76"/>
  <c r="N75"/>
  <c r="N74"/>
  <c r="N73"/>
  <c r="N71"/>
  <c r="N70"/>
  <c r="N69"/>
  <c r="N68"/>
  <c r="N65"/>
  <c r="N61"/>
  <c r="N60"/>
  <c r="N59"/>
  <c r="N57"/>
  <c r="N56"/>
  <c r="N55"/>
  <c r="N52"/>
  <c r="N51"/>
  <c r="N50"/>
  <c r="N49"/>
  <c r="N47"/>
  <c r="N46"/>
  <c r="N45"/>
  <c r="N44"/>
  <c r="N43"/>
  <c r="N41"/>
  <c r="N40"/>
  <c r="N39"/>
  <c r="N38"/>
  <c r="N37"/>
  <c r="N34"/>
  <c r="N33"/>
  <c r="N32"/>
  <c r="N30"/>
  <c r="N29"/>
  <c r="N28"/>
  <c r="N26"/>
  <c r="N25"/>
  <c r="N24"/>
  <c r="N21"/>
  <c r="N20"/>
  <c r="N19"/>
  <c r="N18"/>
  <c r="N16"/>
  <c r="N15"/>
  <c r="N14"/>
  <c r="N13"/>
  <c r="N12"/>
  <c r="N10"/>
  <c r="N9"/>
  <c r="N8"/>
  <c r="N7"/>
  <c r="N6"/>
  <c r="K81"/>
  <c r="K80"/>
  <c r="K79"/>
  <c r="K78"/>
  <c r="K76"/>
  <c r="K75"/>
  <c r="K74"/>
  <c r="K73"/>
  <c r="K71"/>
  <c r="K70"/>
  <c r="K69"/>
  <c r="K68"/>
  <c r="K65"/>
  <c r="K61"/>
  <c r="K60"/>
  <c r="K59"/>
  <c r="K57"/>
  <c r="K56"/>
  <c r="K55"/>
  <c r="K52"/>
  <c r="K51"/>
  <c r="K50"/>
  <c r="K49"/>
  <c r="K47"/>
  <c r="K46"/>
  <c r="K45"/>
  <c r="K44"/>
  <c r="K43"/>
  <c r="K41"/>
  <c r="K40"/>
  <c r="K39"/>
  <c r="K38"/>
  <c r="K37"/>
  <c r="K34"/>
  <c r="K33"/>
  <c r="K32"/>
  <c r="K30"/>
  <c r="K29"/>
  <c r="K28"/>
  <c r="K26"/>
  <c r="K25"/>
  <c r="K24"/>
  <c r="K21"/>
  <c r="K20"/>
  <c r="K19"/>
  <c r="K18"/>
  <c r="K16"/>
  <c r="K15"/>
  <c r="K14"/>
  <c r="K13"/>
  <c r="K12"/>
  <c r="K10"/>
  <c r="K9"/>
  <c r="K8"/>
  <c r="K7"/>
  <c r="K6"/>
  <c r="H81"/>
  <c r="H80"/>
  <c r="H79"/>
  <c r="H78"/>
  <c r="H76"/>
  <c r="H75"/>
  <c r="H74"/>
  <c r="H73"/>
  <c r="H71"/>
  <c r="H70"/>
  <c r="H69"/>
  <c r="H68"/>
  <c r="H65"/>
  <c r="H61"/>
  <c r="H60"/>
  <c r="H59"/>
  <c r="H57"/>
  <c r="H56"/>
  <c r="H55"/>
  <c r="H52"/>
  <c r="H51"/>
  <c r="H50"/>
  <c r="H49"/>
  <c r="H47"/>
  <c r="H46"/>
  <c r="H45"/>
  <c r="H44"/>
  <c r="H43"/>
  <c r="H41"/>
  <c r="H40"/>
  <c r="H39"/>
  <c r="H38"/>
  <c r="H37"/>
  <c r="H34"/>
  <c r="H33"/>
  <c r="H32"/>
  <c r="H30"/>
  <c r="H29"/>
  <c r="H28"/>
  <c r="H26"/>
  <c r="H25"/>
  <c r="H24"/>
  <c r="H21"/>
  <c r="H20"/>
  <c r="H19"/>
  <c r="H18"/>
  <c r="H16"/>
  <c r="H15"/>
  <c r="H14"/>
  <c r="H13"/>
  <c r="H12"/>
  <c r="H10"/>
  <c r="H9"/>
  <c r="H8"/>
  <c r="H7"/>
  <c r="H6"/>
  <c r="C82"/>
  <c r="C77"/>
  <c r="C72"/>
  <c r="C66"/>
  <c r="C62"/>
  <c r="C58"/>
  <c r="E58" s="1"/>
  <c r="C53"/>
  <c r="C48"/>
  <c r="C54" s="1"/>
  <c r="C42"/>
  <c r="C35"/>
  <c r="C31"/>
  <c r="C27"/>
  <c r="C22"/>
  <c r="E22" s="1"/>
  <c r="C17"/>
  <c r="D11"/>
  <c r="C11"/>
  <c r="E24"/>
  <c r="E25"/>
  <c r="E26"/>
  <c r="E28"/>
  <c r="E29"/>
  <c r="E30"/>
  <c r="E32"/>
  <c r="E33"/>
  <c r="E34"/>
  <c r="E37"/>
  <c r="E38"/>
  <c r="E39"/>
  <c r="E40"/>
  <c r="E41"/>
  <c r="E43"/>
  <c r="E44"/>
  <c r="E45"/>
  <c r="E46"/>
  <c r="E47"/>
  <c r="E49"/>
  <c r="E50"/>
  <c r="E51"/>
  <c r="E52"/>
  <c r="E55"/>
  <c r="E56"/>
  <c r="E57"/>
  <c r="E59"/>
  <c r="E60"/>
  <c r="E61"/>
  <c r="E65"/>
  <c r="E68"/>
  <c r="E69"/>
  <c r="E70"/>
  <c r="E71"/>
  <c r="E73"/>
  <c r="E74"/>
  <c r="E75"/>
  <c r="E76"/>
  <c r="E78"/>
  <c r="E79"/>
  <c r="E80"/>
  <c r="E81"/>
  <c r="E7"/>
  <c r="E6"/>
  <c r="E8"/>
  <c r="E9"/>
  <c r="E10"/>
  <c r="E12"/>
  <c r="E13"/>
  <c r="E14"/>
  <c r="E15"/>
  <c r="E16"/>
  <c r="E18"/>
  <c r="E19"/>
  <c r="E20"/>
  <c r="E21"/>
  <c r="P82"/>
  <c r="Q82"/>
  <c r="P77"/>
  <c r="Q77"/>
  <c r="P72"/>
  <c r="Q72" s="1"/>
  <c r="P66"/>
  <c r="Q66"/>
  <c r="P62"/>
  <c r="Q62"/>
  <c r="P58"/>
  <c r="P53"/>
  <c r="Q53"/>
  <c r="P48"/>
  <c r="Q48"/>
  <c r="P42"/>
  <c r="Q42" s="1"/>
  <c r="P35"/>
  <c r="Q35" s="1"/>
  <c r="P31"/>
  <c r="P27"/>
  <c r="Q27" s="1"/>
  <c r="P22"/>
  <c r="Q22"/>
  <c r="P17"/>
  <c r="Q17"/>
  <c r="P11"/>
  <c r="M82"/>
  <c r="N82"/>
  <c r="M77"/>
  <c r="N77"/>
  <c r="M72"/>
  <c r="N72" s="1"/>
  <c r="M66"/>
  <c r="N66" s="1"/>
  <c r="M62"/>
  <c r="M58"/>
  <c r="N58" s="1"/>
  <c r="M53"/>
  <c r="M48"/>
  <c r="N48" s="1"/>
  <c r="M42"/>
  <c r="N42" s="1"/>
  <c r="M35"/>
  <c r="N35"/>
  <c r="M31"/>
  <c r="N31"/>
  <c r="M27"/>
  <c r="N27" s="1"/>
  <c r="M22"/>
  <c r="N22" s="1"/>
  <c r="M17"/>
  <c r="N17"/>
  <c r="M11"/>
  <c r="N11"/>
  <c r="J82"/>
  <c r="K82" s="1"/>
  <c r="J77"/>
  <c r="K77" s="1"/>
  <c r="J72"/>
  <c r="K72"/>
  <c r="J66"/>
  <c r="K66"/>
  <c r="J62"/>
  <c r="K62" s="1"/>
  <c r="J58"/>
  <c r="J53"/>
  <c r="K53"/>
  <c r="J48"/>
  <c r="K48" s="1"/>
  <c r="J42"/>
  <c r="K42"/>
  <c r="J35"/>
  <c r="K35"/>
  <c r="J31"/>
  <c r="K31"/>
  <c r="J27"/>
  <c r="K27" s="1"/>
  <c r="J22"/>
  <c r="K22"/>
  <c r="J17"/>
  <c r="J11"/>
  <c r="K11" s="1"/>
  <c r="G82"/>
  <c r="H82"/>
  <c r="G77"/>
  <c r="H77"/>
  <c r="G72"/>
  <c r="H72" s="1"/>
  <c r="G66"/>
  <c r="G62"/>
  <c r="H62" s="1"/>
  <c r="G58"/>
  <c r="G67" s="1"/>
  <c r="H67" s="1"/>
  <c r="H58"/>
  <c r="G53"/>
  <c r="G48"/>
  <c r="H48" s="1"/>
  <c r="G42"/>
  <c r="H42"/>
  <c r="G35"/>
  <c r="G31"/>
  <c r="H31"/>
  <c r="G27"/>
  <c r="H27"/>
  <c r="G22"/>
  <c r="G17"/>
  <c r="H17"/>
  <c r="G11"/>
  <c r="H11"/>
  <c r="D82"/>
  <c r="D77"/>
  <c r="D72"/>
  <c r="D66"/>
  <c r="E66"/>
  <c r="D62"/>
  <c r="D67" s="1"/>
  <c r="E67" s="1"/>
  <c r="D58"/>
  <c r="D53"/>
  <c r="D54" s="1"/>
  <c r="D48"/>
  <c r="D42"/>
  <c r="E42"/>
  <c r="D35"/>
  <c r="D31"/>
  <c r="D27"/>
  <c r="E27"/>
  <c r="D22"/>
  <c r="D17"/>
  <c r="E17"/>
  <c r="I7" i="216"/>
  <c r="I8"/>
  <c r="I9"/>
  <c r="I10"/>
  <c r="I12"/>
  <c r="I13"/>
  <c r="I14"/>
  <c r="I15"/>
  <c r="I16"/>
  <c r="I18"/>
  <c r="I19"/>
  <c r="I24"/>
  <c r="I25"/>
  <c r="I26"/>
  <c r="I28"/>
  <c r="I29"/>
  <c r="I30"/>
  <c r="I32"/>
  <c r="I33"/>
  <c r="I34"/>
  <c r="I37"/>
  <c r="I38"/>
  <c r="I39"/>
  <c r="I40"/>
  <c r="I41"/>
  <c r="I43"/>
  <c r="I44"/>
  <c r="I45"/>
  <c r="I46"/>
  <c r="I47"/>
  <c r="I49"/>
  <c r="I50"/>
  <c r="I51"/>
  <c r="I52"/>
  <c r="I56"/>
  <c r="I59"/>
  <c r="I68"/>
  <c r="I69"/>
  <c r="I70"/>
  <c r="I71"/>
  <c r="I74"/>
  <c r="I75"/>
  <c r="I76"/>
  <c r="I78"/>
  <c r="I80"/>
  <c r="I6"/>
  <c r="O7"/>
  <c r="O8"/>
  <c r="O9"/>
  <c r="O10"/>
  <c r="O12"/>
  <c r="O13"/>
  <c r="O14"/>
  <c r="O15"/>
  <c r="O16"/>
  <c r="O18"/>
  <c r="O19"/>
  <c r="O24"/>
  <c r="O25"/>
  <c r="O26"/>
  <c r="O28"/>
  <c r="O29"/>
  <c r="O30"/>
  <c r="O32"/>
  <c r="O33"/>
  <c r="O34"/>
  <c r="O37"/>
  <c r="O38"/>
  <c r="O39"/>
  <c r="O40"/>
  <c r="O41"/>
  <c r="O43"/>
  <c r="O44"/>
  <c r="O45"/>
  <c r="O46"/>
  <c r="O47"/>
  <c r="O49"/>
  <c r="O50"/>
  <c r="O51"/>
  <c r="O52"/>
  <c r="O56"/>
  <c r="O59"/>
  <c r="O60"/>
  <c r="O61"/>
  <c r="O68"/>
  <c r="O69"/>
  <c r="O70"/>
  <c r="O71"/>
  <c r="O74"/>
  <c r="O75"/>
  <c r="O76"/>
  <c r="O78"/>
  <c r="O80"/>
  <c r="O6"/>
  <c r="U7"/>
  <c r="U8"/>
  <c r="U9"/>
  <c r="U10"/>
  <c r="U12"/>
  <c r="U13"/>
  <c r="U14"/>
  <c r="U15"/>
  <c r="U16"/>
  <c r="U18"/>
  <c r="U19"/>
  <c r="U20"/>
  <c r="U24"/>
  <c r="U25"/>
  <c r="U26"/>
  <c r="U28"/>
  <c r="U29"/>
  <c r="U30"/>
  <c r="U32"/>
  <c r="U33"/>
  <c r="U34"/>
  <c r="U37"/>
  <c r="U38"/>
  <c r="U39"/>
  <c r="U40"/>
  <c r="U41"/>
  <c r="U43"/>
  <c r="U44"/>
  <c r="U45"/>
  <c r="U46"/>
  <c r="U47"/>
  <c r="U49"/>
  <c r="U50"/>
  <c r="U51"/>
  <c r="U52"/>
  <c r="U56"/>
  <c r="U57"/>
  <c r="U59"/>
  <c r="U60"/>
  <c r="U61"/>
  <c r="U65"/>
  <c r="U68"/>
  <c r="U69"/>
  <c r="U70"/>
  <c r="U71"/>
  <c r="U73"/>
  <c r="U74"/>
  <c r="U75"/>
  <c r="U76"/>
  <c r="U78"/>
  <c r="U80"/>
  <c r="U81"/>
  <c r="U6"/>
  <c r="AA7"/>
  <c r="AA8"/>
  <c r="AA9"/>
  <c r="AA10"/>
  <c r="AA12"/>
  <c r="AA13"/>
  <c r="AA14"/>
  <c r="AA15"/>
  <c r="AA16"/>
  <c r="AA18"/>
  <c r="AA19"/>
  <c r="AA20"/>
  <c r="AA24"/>
  <c r="AA25"/>
  <c r="AA26"/>
  <c r="AA28"/>
  <c r="AA29"/>
  <c r="AA30"/>
  <c r="AA32"/>
  <c r="AA33"/>
  <c r="AA34"/>
  <c r="AA37"/>
  <c r="AA38"/>
  <c r="AA39"/>
  <c r="AA40"/>
  <c r="AA41"/>
  <c r="AA43"/>
  <c r="AA44"/>
  <c r="AA45"/>
  <c r="AA46"/>
  <c r="AA47"/>
  <c r="AA49"/>
  <c r="AA50"/>
  <c r="AA51"/>
  <c r="AA52"/>
  <c r="AA55"/>
  <c r="AA56"/>
  <c r="AA57"/>
  <c r="AA59"/>
  <c r="AA60"/>
  <c r="AA61"/>
  <c r="AA63"/>
  <c r="AA65"/>
  <c r="AA68"/>
  <c r="AA69"/>
  <c r="AA70"/>
  <c r="AA71"/>
  <c r="AA73"/>
  <c r="AA74"/>
  <c r="AA75"/>
  <c r="AA76"/>
  <c r="AA78"/>
  <c r="AA79"/>
  <c r="AA80"/>
  <c r="AA81"/>
  <c r="AA6"/>
  <c r="AG7"/>
  <c r="AG8"/>
  <c r="AG9"/>
  <c r="AG10"/>
  <c r="AG12"/>
  <c r="AG13"/>
  <c r="AG14"/>
  <c r="AG15"/>
  <c r="AG16"/>
  <c r="AG18"/>
  <c r="AG19"/>
  <c r="AG20"/>
  <c r="AG21"/>
  <c r="AG24"/>
  <c r="AG25"/>
  <c r="AG26"/>
  <c r="AG28"/>
  <c r="AG29"/>
  <c r="AG30"/>
  <c r="AG32"/>
  <c r="AG33"/>
  <c r="AG34"/>
  <c r="AG38"/>
  <c r="AG39"/>
  <c r="AG40"/>
  <c r="AG41"/>
  <c r="AG43"/>
  <c r="AG44"/>
  <c r="AG45"/>
  <c r="AG46"/>
  <c r="AG47"/>
  <c r="AG50"/>
  <c r="AG52"/>
  <c r="AG55"/>
  <c r="AG56"/>
  <c r="AG57"/>
  <c r="AG59"/>
  <c r="AG60"/>
  <c r="AG63"/>
  <c r="AG65"/>
  <c r="AG68"/>
  <c r="AG69"/>
  <c r="AG70"/>
  <c r="AG71"/>
  <c r="AG73"/>
  <c r="AG74"/>
  <c r="AG75"/>
  <c r="AG76"/>
  <c r="AG78"/>
  <c r="AG80"/>
  <c r="AG6"/>
  <c r="AE82"/>
  <c r="AD82"/>
  <c r="AC82"/>
  <c r="AC83" s="1"/>
  <c r="AB82"/>
  <c r="AF81"/>
  <c r="AF80"/>
  <c r="AF79"/>
  <c r="AF78"/>
  <c r="AE77"/>
  <c r="AD77"/>
  <c r="AC77"/>
  <c r="AB77"/>
  <c r="AF76"/>
  <c r="AF75"/>
  <c r="AF74"/>
  <c r="AF73"/>
  <c r="AE72"/>
  <c r="AD72"/>
  <c r="AC72"/>
  <c r="AB72"/>
  <c r="AF71"/>
  <c r="AF70"/>
  <c r="AF69"/>
  <c r="AF68"/>
  <c r="AE66"/>
  <c r="AD66"/>
  <c r="AC66"/>
  <c r="AB66"/>
  <c r="AF65"/>
  <c r="AF64"/>
  <c r="AF63"/>
  <c r="AE62"/>
  <c r="AD62"/>
  <c r="AC62"/>
  <c r="AB62"/>
  <c r="AF61"/>
  <c r="AF60"/>
  <c r="AF59"/>
  <c r="AE58"/>
  <c r="AD58"/>
  <c r="AC58"/>
  <c r="AB58"/>
  <c r="AF57"/>
  <c r="AF56"/>
  <c r="AF55"/>
  <c r="AE53"/>
  <c r="AD53"/>
  <c r="AC53"/>
  <c r="AB53"/>
  <c r="AF53" s="1"/>
  <c r="AF52"/>
  <c r="AF51"/>
  <c r="AF50"/>
  <c r="AF49"/>
  <c r="AE48"/>
  <c r="AD48"/>
  <c r="AC48"/>
  <c r="AB48"/>
  <c r="AF47"/>
  <c r="AF46"/>
  <c r="AF45"/>
  <c r="AF44"/>
  <c r="AF43"/>
  <c r="AE42"/>
  <c r="AD42"/>
  <c r="AC42"/>
  <c r="AB42"/>
  <c r="AF41"/>
  <c r="AF40"/>
  <c r="AF39"/>
  <c r="AF38"/>
  <c r="AF37"/>
  <c r="AE35"/>
  <c r="AD35"/>
  <c r="AC35"/>
  <c r="AB35"/>
  <c r="AB36" s="1"/>
  <c r="AF34"/>
  <c r="AF33"/>
  <c r="AF32"/>
  <c r="AE31"/>
  <c r="AD31"/>
  <c r="AC31"/>
  <c r="AB31"/>
  <c r="AF30"/>
  <c r="AF29"/>
  <c r="AF28"/>
  <c r="AE27"/>
  <c r="AD27"/>
  <c r="AC27"/>
  <c r="AB27"/>
  <c r="AF26"/>
  <c r="AF25"/>
  <c r="AF24"/>
  <c r="AE22"/>
  <c r="AD22"/>
  <c r="AC22"/>
  <c r="AB22"/>
  <c r="AF21"/>
  <c r="AF20"/>
  <c r="AF19"/>
  <c r="AF18"/>
  <c r="AE17"/>
  <c r="AD17"/>
  <c r="AC17"/>
  <c r="AB17"/>
  <c r="AF16"/>
  <c r="AF15"/>
  <c r="AF14"/>
  <c r="AF13"/>
  <c r="AF12"/>
  <c r="AE11"/>
  <c r="AD11"/>
  <c r="AC11"/>
  <c r="AB11"/>
  <c r="AF10"/>
  <c r="AF9"/>
  <c r="AF8"/>
  <c r="AF7"/>
  <c r="AF6"/>
  <c r="Y82"/>
  <c r="X82"/>
  <c r="W82"/>
  <c r="V82"/>
  <c r="Z81"/>
  <c r="Z80"/>
  <c r="Z79"/>
  <c r="Z78"/>
  <c r="Y77"/>
  <c r="X77"/>
  <c r="W77"/>
  <c r="V77"/>
  <c r="Z76"/>
  <c r="Z75"/>
  <c r="Z74"/>
  <c r="Z73"/>
  <c r="Y72"/>
  <c r="X72"/>
  <c r="W72"/>
  <c r="V72"/>
  <c r="Z71"/>
  <c r="Z70"/>
  <c r="Z69"/>
  <c r="Z68"/>
  <c r="Y66"/>
  <c r="X66"/>
  <c r="W66"/>
  <c r="V66"/>
  <c r="Z65"/>
  <c r="Z64"/>
  <c r="Z66" s="1"/>
  <c r="Z63"/>
  <c r="Y62"/>
  <c r="AA62" s="1"/>
  <c r="X62"/>
  <c r="W62"/>
  <c r="V62"/>
  <c r="Z61"/>
  <c r="Z60"/>
  <c r="Z59"/>
  <c r="Y58"/>
  <c r="X58"/>
  <c r="W58"/>
  <c r="V58"/>
  <c r="Z57"/>
  <c r="Z56"/>
  <c r="Z55"/>
  <c r="Y53"/>
  <c r="X53"/>
  <c r="W53"/>
  <c r="V53"/>
  <c r="Z52"/>
  <c r="Z51"/>
  <c r="Z50"/>
  <c r="Z49"/>
  <c r="Y48"/>
  <c r="X48"/>
  <c r="W48"/>
  <c r="V48"/>
  <c r="Z47"/>
  <c r="Z46"/>
  <c r="Z45"/>
  <c r="Z44"/>
  <c r="Z43"/>
  <c r="Y42"/>
  <c r="X42"/>
  <c r="W42"/>
  <c r="V42"/>
  <c r="AA42"/>
  <c r="Z41"/>
  <c r="Z40"/>
  <c r="Z39"/>
  <c r="Z38"/>
  <c r="Z37"/>
  <c r="Z42" s="1"/>
  <c r="Y35"/>
  <c r="X35"/>
  <c r="W35"/>
  <c r="V35"/>
  <c r="Z34"/>
  <c r="Z33"/>
  <c r="Z32"/>
  <c r="Z35" s="1"/>
  <c r="Y31"/>
  <c r="X31"/>
  <c r="W31"/>
  <c r="V31"/>
  <c r="Z30"/>
  <c r="Z29"/>
  <c r="Z28"/>
  <c r="Y27"/>
  <c r="X27"/>
  <c r="W27"/>
  <c r="V27"/>
  <c r="Z26"/>
  <c r="Z25"/>
  <c r="Z24"/>
  <c r="Y22"/>
  <c r="X22"/>
  <c r="W22"/>
  <c r="V22"/>
  <c r="Z21"/>
  <c r="Z20"/>
  <c r="Z19"/>
  <c r="Z18"/>
  <c r="Y17"/>
  <c r="X17"/>
  <c r="W17"/>
  <c r="V17"/>
  <c r="Z16"/>
  <c r="Z15"/>
  <c r="Z14"/>
  <c r="Z13"/>
  <c r="Z12"/>
  <c r="Y11"/>
  <c r="X11"/>
  <c r="X23"/>
  <c r="W11"/>
  <c r="V11"/>
  <c r="Z10"/>
  <c r="Z9"/>
  <c r="Z8"/>
  <c r="Z7"/>
  <c r="Z6"/>
  <c r="AD23"/>
  <c r="Y83"/>
  <c r="AD83"/>
  <c r="AE36"/>
  <c r="S82"/>
  <c r="R82"/>
  <c r="Q82"/>
  <c r="P82"/>
  <c r="T81"/>
  <c r="T80"/>
  <c r="T79"/>
  <c r="T78"/>
  <c r="T82" s="1"/>
  <c r="S77"/>
  <c r="R77"/>
  <c r="U77" s="1"/>
  <c r="Q77"/>
  <c r="P77"/>
  <c r="T76"/>
  <c r="T75"/>
  <c r="T74"/>
  <c r="T73"/>
  <c r="S72"/>
  <c r="R72"/>
  <c r="Q72"/>
  <c r="P72"/>
  <c r="T71"/>
  <c r="T70"/>
  <c r="T69"/>
  <c r="T68"/>
  <c r="S66"/>
  <c r="R66"/>
  <c r="Q66"/>
  <c r="Q67" s="1"/>
  <c r="P66"/>
  <c r="T65"/>
  <c r="T64"/>
  <c r="T63"/>
  <c r="S62"/>
  <c r="R62"/>
  <c r="Q62"/>
  <c r="P62"/>
  <c r="T61"/>
  <c r="T60"/>
  <c r="T59"/>
  <c r="S58"/>
  <c r="R58"/>
  <c r="Q58"/>
  <c r="P58"/>
  <c r="T57"/>
  <c r="T56"/>
  <c r="T55"/>
  <c r="S53"/>
  <c r="R53"/>
  <c r="Q53"/>
  <c r="P53"/>
  <c r="T52"/>
  <c r="T51"/>
  <c r="T50"/>
  <c r="T49"/>
  <c r="S48"/>
  <c r="R48"/>
  <c r="Q48"/>
  <c r="P48"/>
  <c r="T47"/>
  <c r="T46"/>
  <c r="T45"/>
  <c r="T44"/>
  <c r="T43"/>
  <c r="T48" s="1"/>
  <c r="S42"/>
  <c r="R42"/>
  <c r="Q42"/>
  <c r="P42"/>
  <c r="U42" s="1"/>
  <c r="T41"/>
  <c r="T40"/>
  <c r="T39"/>
  <c r="T38"/>
  <c r="T37"/>
  <c r="S35"/>
  <c r="R35"/>
  <c r="Q35"/>
  <c r="Q36" s="1"/>
  <c r="P35"/>
  <c r="T34"/>
  <c r="T33"/>
  <c r="T32"/>
  <c r="S31"/>
  <c r="R31"/>
  <c r="Q31"/>
  <c r="P31"/>
  <c r="U31" s="1"/>
  <c r="T30"/>
  <c r="T29"/>
  <c r="T28"/>
  <c r="S27"/>
  <c r="R27"/>
  <c r="Q27"/>
  <c r="P27"/>
  <c r="T26"/>
  <c r="T25"/>
  <c r="T24"/>
  <c r="S22"/>
  <c r="R22"/>
  <c r="Q22"/>
  <c r="Q23" s="1"/>
  <c r="P22"/>
  <c r="T21"/>
  <c r="T20"/>
  <c r="T19"/>
  <c r="T18"/>
  <c r="S17"/>
  <c r="R17"/>
  <c r="Q17"/>
  <c r="P17"/>
  <c r="T16"/>
  <c r="T15"/>
  <c r="T17" s="1"/>
  <c r="T14"/>
  <c r="T13"/>
  <c r="T12"/>
  <c r="S11"/>
  <c r="R11"/>
  <c r="Q11"/>
  <c r="P11"/>
  <c r="T10"/>
  <c r="T9"/>
  <c r="T8"/>
  <c r="T7"/>
  <c r="T6"/>
  <c r="M82"/>
  <c r="L82"/>
  <c r="J82"/>
  <c r="K81"/>
  <c r="N81"/>
  <c r="N80"/>
  <c r="N79"/>
  <c r="N78"/>
  <c r="M77"/>
  <c r="J77"/>
  <c r="N76"/>
  <c r="N75"/>
  <c r="N74"/>
  <c r="L73"/>
  <c r="L77" s="1"/>
  <c r="K73"/>
  <c r="K77" s="1"/>
  <c r="M72"/>
  <c r="L72"/>
  <c r="K72"/>
  <c r="J72"/>
  <c r="N71"/>
  <c r="N72" s="1"/>
  <c r="N70"/>
  <c r="N69"/>
  <c r="N68"/>
  <c r="M66"/>
  <c r="L66"/>
  <c r="K66"/>
  <c r="J66"/>
  <c r="N63"/>
  <c r="N66" s="1"/>
  <c r="M62"/>
  <c r="L62"/>
  <c r="K62"/>
  <c r="J62"/>
  <c r="N61"/>
  <c r="N60"/>
  <c r="N59"/>
  <c r="N62" s="1"/>
  <c r="M58"/>
  <c r="L58"/>
  <c r="K58"/>
  <c r="J58"/>
  <c r="N56"/>
  <c r="N58"/>
  <c r="M53"/>
  <c r="O53" s="1"/>
  <c r="L53"/>
  <c r="K53"/>
  <c r="J53"/>
  <c r="N52"/>
  <c r="N51"/>
  <c r="N50"/>
  <c r="N49"/>
  <c r="N53" s="1"/>
  <c r="M48"/>
  <c r="L48"/>
  <c r="K48"/>
  <c r="J48"/>
  <c r="N47"/>
  <c r="N46"/>
  <c r="N45"/>
  <c r="N44"/>
  <c r="N43"/>
  <c r="M42"/>
  <c r="L42"/>
  <c r="K42"/>
  <c r="J42"/>
  <c r="N41"/>
  <c r="N40"/>
  <c r="N39"/>
  <c r="N38"/>
  <c r="N37"/>
  <c r="M35"/>
  <c r="L35"/>
  <c r="K35"/>
  <c r="J35"/>
  <c r="J36" s="1"/>
  <c r="N34"/>
  <c r="N33"/>
  <c r="N32"/>
  <c r="M31"/>
  <c r="L31"/>
  <c r="K31"/>
  <c r="J31"/>
  <c r="N30"/>
  <c r="N29"/>
  <c r="N28"/>
  <c r="M27"/>
  <c r="L27"/>
  <c r="K27"/>
  <c r="J27"/>
  <c r="N26"/>
  <c r="N25"/>
  <c r="N24"/>
  <c r="M22"/>
  <c r="L22"/>
  <c r="K22"/>
  <c r="J22"/>
  <c r="O22" s="1"/>
  <c r="N21"/>
  <c r="N20"/>
  <c r="N19"/>
  <c r="N22" s="1"/>
  <c r="N18"/>
  <c r="M17"/>
  <c r="L17"/>
  <c r="K17"/>
  <c r="J17"/>
  <c r="N16"/>
  <c r="N15"/>
  <c r="N14"/>
  <c r="N13"/>
  <c r="N12"/>
  <c r="M11"/>
  <c r="L11"/>
  <c r="K11"/>
  <c r="J11"/>
  <c r="N10"/>
  <c r="N9"/>
  <c r="N8"/>
  <c r="N7"/>
  <c r="N6"/>
  <c r="S83"/>
  <c r="H19"/>
  <c r="H20"/>
  <c r="H21"/>
  <c r="H18"/>
  <c r="H13"/>
  <c r="H14"/>
  <c r="H15"/>
  <c r="H16"/>
  <c r="H12"/>
  <c r="H7"/>
  <c r="H8"/>
  <c r="H9"/>
  <c r="H10"/>
  <c r="H6"/>
  <c r="E22"/>
  <c r="F22"/>
  <c r="G22"/>
  <c r="D22"/>
  <c r="E17"/>
  <c r="F17"/>
  <c r="G17"/>
  <c r="D17"/>
  <c r="E11"/>
  <c r="F11"/>
  <c r="G11"/>
  <c r="D11"/>
  <c r="G82"/>
  <c r="G83" s="1"/>
  <c r="F82"/>
  <c r="D82"/>
  <c r="E81"/>
  <c r="E82"/>
  <c r="H80"/>
  <c r="H79"/>
  <c r="H78"/>
  <c r="G77"/>
  <c r="D77"/>
  <c r="H76"/>
  <c r="H75"/>
  <c r="H74"/>
  <c r="F73"/>
  <c r="E73"/>
  <c r="G72"/>
  <c r="F72"/>
  <c r="E72"/>
  <c r="D72"/>
  <c r="H71"/>
  <c r="H70"/>
  <c r="H69"/>
  <c r="H68"/>
  <c r="G66"/>
  <c r="F66"/>
  <c r="E66"/>
  <c r="D66"/>
  <c r="H63"/>
  <c r="H66"/>
  <c r="G62"/>
  <c r="F62"/>
  <c r="E62"/>
  <c r="D62"/>
  <c r="H60"/>
  <c r="H62" s="1"/>
  <c r="H59"/>
  <c r="G58"/>
  <c r="G67" s="1"/>
  <c r="F58"/>
  <c r="E58"/>
  <c r="D58"/>
  <c r="H56"/>
  <c r="H58"/>
  <c r="G53"/>
  <c r="F53"/>
  <c r="E53"/>
  <c r="E54" s="1"/>
  <c r="D53"/>
  <c r="H52"/>
  <c r="H51"/>
  <c r="H50"/>
  <c r="H49"/>
  <c r="G48"/>
  <c r="F48"/>
  <c r="E48"/>
  <c r="I48" s="1"/>
  <c r="D48"/>
  <c r="H47"/>
  <c r="H46"/>
  <c r="H45"/>
  <c r="H44"/>
  <c r="H43"/>
  <c r="G42"/>
  <c r="G54"/>
  <c r="G84" s="1"/>
  <c r="F42"/>
  <c r="I42"/>
  <c r="E42"/>
  <c r="D42"/>
  <c r="H41"/>
  <c r="H40"/>
  <c r="H39"/>
  <c r="H38"/>
  <c r="H37"/>
  <c r="G35"/>
  <c r="G36" s="1"/>
  <c r="F35"/>
  <c r="E35"/>
  <c r="D35"/>
  <c r="H34"/>
  <c r="H33"/>
  <c r="H32"/>
  <c r="G31"/>
  <c r="F31"/>
  <c r="E31"/>
  <c r="D31"/>
  <c r="H30"/>
  <c r="H29"/>
  <c r="H28"/>
  <c r="G27"/>
  <c r="F27"/>
  <c r="E27"/>
  <c r="D27"/>
  <c r="H26"/>
  <c r="H25"/>
  <c r="H24"/>
  <c r="F77"/>
  <c r="F23"/>
  <c r="E5" i="221"/>
  <c r="E6"/>
  <c r="E7"/>
  <c r="E8"/>
  <c r="E10"/>
  <c r="E11"/>
  <c r="E12"/>
  <c r="E13"/>
  <c r="E14"/>
  <c r="E16"/>
  <c r="E17"/>
  <c r="E18"/>
  <c r="E19"/>
  <c r="E22"/>
  <c r="E23"/>
  <c r="E24"/>
  <c r="E26"/>
  <c r="E27"/>
  <c r="E28"/>
  <c r="E30"/>
  <c r="E31"/>
  <c r="E32"/>
  <c r="E35"/>
  <c r="E36"/>
  <c r="E37"/>
  <c r="E38"/>
  <c r="E39"/>
  <c r="E41"/>
  <c r="E42"/>
  <c r="E43"/>
  <c r="E44"/>
  <c r="E45"/>
  <c r="E47"/>
  <c r="E48"/>
  <c r="E49"/>
  <c r="E50"/>
  <c r="E66"/>
  <c r="E67"/>
  <c r="E68"/>
  <c r="E69"/>
  <c r="E71"/>
  <c r="E72"/>
  <c r="E73"/>
  <c r="E74"/>
  <c r="E76"/>
  <c r="E77"/>
  <c r="E78"/>
  <c r="E79"/>
  <c r="E5" i="220"/>
  <c r="E6"/>
  <c r="E7"/>
  <c r="E8"/>
  <c r="E10"/>
  <c r="E11"/>
  <c r="E12"/>
  <c r="E13"/>
  <c r="E14"/>
  <c r="E16"/>
  <c r="E17"/>
  <c r="E18"/>
  <c r="E19"/>
  <c r="E22"/>
  <c r="E23"/>
  <c r="E24"/>
  <c r="E26"/>
  <c r="E27"/>
  <c r="E28"/>
  <c r="E30"/>
  <c r="E31"/>
  <c r="E32"/>
  <c r="E35"/>
  <c r="E36"/>
  <c r="E37"/>
  <c r="E38"/>
  <c r="E39"/>
  <c r="E41"/>
  <c r="E42"/>
  <c r="E43"/>
  <c r="E44"/>
  <c r="E45"/>
  <c r="E47"/>
  <c r="E48"/>
  <c r="E49"/>
  <c r="E50"/>
  <c r="E53"/>
  <c r="E54"/>
  <c r="E55"/>
  <c r="E57"/>
  <c r="E58"/>
  <c r="E59"/>
  <c r="E63"/>
  <c r="E66"/>
  <c r="E67"/>
  <c r="E68"/>
  <c r="E69"/>
  <c r="E71"/>
  <c r="E72"/>
  <c r="E73"/>
  <c r="E74"/>
  <c r="E76"/>
  <c r="E77"/>
  <c r="E78"/>
  <c r="E79"/>
  <c r="E4"/>
  <c r="P80"/>
  <c r="P75"/>
  <c r="P70"/>
  <c r="P81" s="1"/>
  <c r="P64"/>
  <c r="P60"/>
  <c r="P65" s="1"/>
  <c r="P56"/>
  <c r="P51"/>
  <c r="P46"/>
  <c r="P40"/>
  <c r="P33"/>
  <c r="P29"/>
  <c r="P25"/>
  <c r="P20"/>
  <c r="P15"/>
  <c r="P9"/>
  <c r="M80"/>
  <c r="M75"/>
  <c r="M70"/>
  <c r="N70"/>
  <c r="M64"/>
  <c r="M60"/>
  <c r="M56"/>
  <c r="M65" s="1"/>
  <c r="M51"/>
  <c r="M46"/>
  <c r="N46" s="1"/>
  <c r="M40"/>
  <c r="N40"/>
  <c r="M33"/>
  <c r="M29"/>
  <c r="N29"/>
  <c r="M25"/>
  <c r="N25"/>
  <c r="M20"/>
  <c r="N20" s="1"/>
  <c r="M15"/>
  <c r="N15"/>
  <c r="M9"/>
  <c r="J80"/>
  <c r="K80"/>
  <c r="J75"/>
  <c r="K75"/>
  <c r="J70"/>
  <c r="J64"/>
  <c r="J60"/>
  <c r="J56"/>
  <c r="J51"/>
  <c r="K51"/>
  <c r="J46"/>
  <c r="J40"/>
  <c r="K40"/>
  <c r="J33"/>
  <c r="K33"/>
  <c r="J29"/>
  <c r="K29"/>
  <c r="J25"/>
  <c r="K25" s="1"/>
  <c r="J20"/>
  <c r="K20"/>
  <c r="J15"/>
  <c r="K15"/>
  <c r="J9"/>
  <c r="K9"/>
  <c r="G80"/>
  <c r="G75"/>
  <c r="H75"/>
  <c r="G70"/>
  <c r="H70" s="1"/>
  <c r="G64"/>
  <c r="G60"/>
  <c r="G65" s="1"/>
  <c r="G56"/>
  <c r="G51"/>
  <c r="G46"/>
  <c r="H46"/>
  <c r="G40"/>
  <c r="G33"/>
  <c r="H33"/>
  <c r="G29"/>
  <c r="G25"/>
  <c r="H25" s="1"/>
  <c r="G20"/>
  <c r="H20" s="1"/>
  <c r="G15"/>
  <c r="H15" s="1"/>
  <c r="G9"/>
  <c r="D80"/>
  <c r="D75"/>
  <c r="D70"/>
  <c r="D64"/>
  <c r="E64" s="1"/>
  <c r="D60"/>
  <c r="D56"/>
  <c r="E56"/>
  <c r="D51"/>
  <c r="E51" s="1"/>
  <c r="D46"/>
  <c r="D40"/>
  <c r="D33"/>
  <c r="D29"/>
  <c r="D25"/>
  <c r="D20"/>
  <c r="D15"/>
  <c r="D9"/>
  <c r="E9" s="1"/>
  <c r="O80" i="261"/>
  <c r="O75"/>
  <c r="O70"/>
  <c r="O64"/>
  <c r="O60"/>
  <c r="O56"/>
  <c r="O51"/>
  <c r="O46"/>
  <c r="O40"/>
  <c r="O33"/>
  <c r="O29"/>
  <c r="O25"/>
  <c r="O20"/>
  <c r="O15"/>
  <c r="O9"/>
  <c r="L80"/>
  <c r="L75"/>
  <c r="L70"/>
  <c r="L56"/>
  <c r="L65" s="1"/>
  <c r="L51"/>
  <c r="L46"/>
  <c r="L40"/>
  <c r="N40"/>
  <c r="L33"/>
  <c r="L29"/>
  <c r="L25"/>
  <c r="L20"/>
  <c r="L15"/>
  <c r="L9"/>
  <c r="N9"/>
  <c r="I51"/>
  <c r="I46"/>
  <c r="I40"/>
  <c r="I33"/>
  <c r="I29"/>
  <c r="I25"/>
  <c r="I20"/>
  <c r="I15"/>
  <c r="I21"/>
  <c r="I9"/>
  <c r="F82"/>
  <c r="H5"/>
  <c r="H6"/>
  <c r="H7"/>
  <c r="H8"/>
  <c r="H10"/>
  <c r="H11"/>
  <c r="H12"/>
  <c r="H13"/>
  <c r="H14"/>
  <c r="H16"/>
  <c r="H17"/>
  <c r="H18"/>
  <c r="H19"/>
  <c r="H22"/>
  <c r="H23"/>
  <c r="H24"/>
  <c r="H26"/>
  <c r="H27"/>
  <c r="H28"/>
  <c r="H30"/>
  <c r="H31"/>
  <c r="H32"/>
  <c r="H35"/>
  <c r="H36"/>
  <c r="H37"/>
  <c r="H38"/>
  <c r="H39"/>
  <c r="H41"/>
  <c r="H42"/>
  <c r="H43"/>
  <c r="H44"/>
  <c r="H45"/>
  <c r="H47"/>
  <c r="H48"/>
  <c r="H49"/>
  <c r="H50"/>
  <c r="H66"/>
  <c r="H67"/>
  <c r="H68"/>
  <c r="H69"/>
  <c r="H71"/>
  <c r="H72"/>
  <c r="H73"/>
  <c r="H74"/>
  <c r="H76"/>
  <c r="H77"/>
  <c r="H78"/>
  <c r="H79"/>
  <c r="E5"/>
  <c r="E6"/>
  <c r="E7"/>
  <c r="E8"/>
  <c r="E10"/>
  <c r="E11"/>
  <c r="E12"/>
  <c r="E13"/>
  <c r="E14"/>
  <c r="E16"/>
  <c r="E17"/>
  <c r="E18"/>
  <c r="E19"/>
  <c r="E22"/>
  <c r="E23"/>
  <c r="E24"/>
  <c r="E26"/>
  <c r="E27"/>
  <c r="E28"/>
  <c r="E30"/>
  <c r="E31"/>
  <c r="E32"/>
  <c r="E35"/>
  <c r="E36"/>
  <c r="E37"/>
  <c r="E38"/>
  <c r="E39"/>
  <c r="E41"/>
  <c r="E42"/>
  <c r="E43"/>
  <c r="E44"/>
  <c r="E45"/>
  <c r="E47"/>
  <c r="E48"/>
  <c r="E49"/>
  <c r="E50"/>
  <c r="E53"/>
  <c r="E54"/>
  <c r="E55"/>
  <c r="E57"/>
  <c r="E58"/>
  <c r="E59"/>
  <c r="E63"/>
  <c r="E66"/>
  <c r="E67"/>
  <c r="E68"/>
  <c r="E69"/>
  <c r="E71"/>
  <c r="E72"/>
  <c r="E73"/>
  <c r="E74"/>
  <c r="E76"/>
  <c r="E77"/>
  <c r="E78"/>
  <c r="E79"/>
  <c r="E4"/>
  <c r="C82"/>
  <c r="P80"/>
  <c r="P75"/>
  <c r="P70"/>
  <c r="P64"/>
  <c r="Q64" s="1"/>
  <c r="P60"/>
  <c r="P56"/>
  <c r="Q56"/>
  <c r="P51"/>
  <c r="P46"/>
  <c r="P40"/>
  <c r="P33"/>
  <c r="P29"/>
  <c r="P25"/>
  <c r="P20"/>
  <c r="P15"/>
  <c r="P9"/>
  <c r="M80"/>
  <c r="M75"/>
  <c r="M70"/>
  <c r="M64"/>
  <c r="M60"/>
  <c r="M56"/>
  <c r="M51"/>
  <c r="M46"/>
  <c r="M40"/>
  <c r="M33"/>
  <c r="M29"/>
  <c r="M25"/>
  <c r="M20"/>
  <c r="M15"/>
  <c r="M9"/>
  <c r="J80"/>
  <c r="J75"/>
  <c r="J70"/>
  <c r="K70"/>
  <c r="J64"/>
  <c r="J60"/>
  <c r="J56"/>
  <c r="J65" s="1"/>
  <c r="J51"/>
  <c r="J46"/>
  <c r="J40"/>
  <c r="J33"/>
  <c r="J29"/>
  <c r="K29"/>
  <c r="J25"/>
  <c r="J20"/>
  <c r="J15"/>
  <c r="J9"/>
  <c r="G80"/>
  <c r="G75"/>
  <c r="H75" s="1"/>
  <c r="G70"/>
  <c r="H70"/>
  <c r="G64"/>
  <c r="G60"/>
  <c r="G56"/>
  <c r="G51"/>
  <c r="G46"/>
  <c r="H46" s="1"/>
  <c r="G40"/>
  <c r="H40"/>
  <c r="G33"/>
  <c r="H33"/>
  <c r="G29"/>
  <c r="H29"/>
  <c r="G25"/>
  <c r="H25" s="1"/>
  <c r="G20"/>
  <c r="H20"/>
  <c r="G15"/>
  <c r="H15"/>
  <c r="G9"/>
  <c r="D80"/>
  <c r="E80"/>
  <c r="D75"/>
  <c r="E75"/>
  <c r="D70"/>
  <c r="E70" s="1"/>
  <c r="D64"/>
  <c r="E64" s="1"/>
  <c r="D60"/>
  <c r="E60"/>
  <c r="D56"/>
  <c r="E56"/>
  <c r="D51"/>
  <c r="E51" s="1"/>
  <c r="D46"/>
  <c r="E46" s="1"/>
  <c r="D40"/>
  <c r="E40"/>
  <c r="D33"/>
  <c r="D29"/>
  <c r="E29"/>
  <c r="D25"/>
  <c r="E25"/>
  <c r="D20"/>
  <c r="E20"/>
  <c r="D15"/>
  <c r="D9"/>
  <c r="E9"/>
  <c r="L82" i="220"/>
  <c r="I82"/>
  <c r="F82"/>
  <c r="O80"/>
  <c r="Q80"/>
  <c r="C80"/>
  <c r="Q79"/>
  <c r="N79"/>
  <c r="K79"/>
  <c r="H79"/>
  <c r="Q78"/>
  <c r="N78"/>
  <c r="K78"/>
  <c r="H78"/>
  <c r="Q77"/>
  <c r="N77"/>
  <c r="K77"/>
  <c r="H77"/>
  <c r="Q76"/>
  <c r="N76"/>
  <c r="K76"/>
  <c r="H76"/>
  <c r="O75"/>
  <c r="Q75"/>
  <c r="C75"/>
  <c r="E75" s="1"/>
  <c r="Q74"/>
  <c r="N74"/>
  <c r="K74"/>
  <c r="H74"/>
  <c r="Q73"/>
  <c r="N73"/>
  <c r="K73"/>
  <c r="H73"/>
  <c r="Q72"/>
  <c r="N72"/>
  <c r="K72"/>
  <c r="H72"/>
  <c r="Q71"/>
  <c r="N71"/>
  <c r="K71"/>
  <c r="H71"/>
  <c r="O70"/>
  <c r="C70"/>
  <c r="Q69"/>
  <c r="N69"/>
  <c r="K69"/>
  <c r="H69"/>
  <c r="Q68"/>
  <c r="N68"/>
  <c r="K68"/>
  <c r="H68"/>
  <c r="Q67"/>
  <c r="N67"/>
  <c r="K67"/>
  <c r="H67"/>
  <c r="Q66"/>
  <c r="N66"/>
  <c r="K66"/>
  <c r="H66"/>
  <c r="O64"/>
  <c r="Q63"/>
  <c r="O60"/>
  <c r="Q60" s="1"/>
  <c r="Q58"/>
  <c r="Q57"/>
  <c r="O56"/>
  <c r="Q56"/>
  <c r="Q55"/>
  <c r="Q54"/>
  <c r="O51"/>
  <c r="C51"/>
  <c r="Q50"/>
  <c r="N50"/>
  <c r="K50"/>
  <c r="H50"/>
  <c r="Q49"/>
  <c r="N49"/>
  <c r="K49"/>
  <c r="H49"/>
  <c r="Q48"/>
  <c r="N48"/>
  <c r="K48"/>
  <c r="H48"/>
  <c r="Q47"/>
  <c r="N47"/>
  <c r="K47"/>
  <c r="H47"/>
  <c r="O46"/>
  <c r="C46"/>
  <c r="Q45"/>
  <c r="N45"/>
  <c r="K45"/>
  <c r="H45"/>
  <c r="Q44"/>
  <c r="N44"/>
  <c r="K44"/>
  <c r="H44"/>
  <c r="Q43"/>
  <c r="N43"/>
  <c r="K43"/>
  <c r="H43"/>
  <c r="Q42"/>
  <c r="N42"/>
  <c r="K42"/>
  <c r="H42"/>
  <c r="Q41"/>
  <c r="N41"/>
  <c r="K41"/>
  <c r="H41"/>
  <c r="O40"/>
  <c r="Q40" s="1"/>
  <c r="C40"/>
  <c r="Q39"/>
  <c r="N39"/>
  <c r="K39"/>
  <c r="H39"/>
  <c r="Q38"/>
  <c r="N38"/>
  <c r="K38"/>
  <c r="H38"/>
  <c r="Q37"/>
  <c r="N37"/>
  <c r="K37"/>
  <c r="H37"/>
  <c r="Q36"/>
  <c r="N36"/>
  <c r="K36"/>
  <c r="H36"/>
  <c r="Q35"/>
  <c r="N35"/>
  <c r="K35"/>
  <c r="H35"/>
  <c r="O33"/>
  <c r="C33"/>
  <c r="Q32"/>
  <c r="N32"/>
  <c r="K32"/>
  <c r="H32"/>
  <c r="Q31"/>
  <c r="N31"/>
  <c r="K31"/>
  <c r="H31"/>
  <c r="Q30"/>
  <c r="N30"/>
  <c r="K30"/>
  <c r="H30"/>
  <c r="O29"/>
  <c r="Q29" s="1"/>
  <c r="H29"/>
  <c r="C29"/>
  <c r="E29"/>
  <c r="Q28"/>
  <c r="N28"/>
  <c r="K28"/>
  <c r="H28"/>
  <c r="Q27"/>
  <c r="N27"/>
  <c r="K27"/>
  <c r="H27"/>
  <c r="Q26"/>
  <c r="N26"/>
  <c r="K26"/>
  <c r="H26"/>
  <c r="O25"/>
  <c r="Q25"/>
  <c r="C25"/>
  <c r="Q24"/>
  <c r="N24"/>
  <c r="K24"/>
  <c r="H24"/>
  <c r="Q23"/>
  <c r="N23"/>
  <c r="K23"/>
  <c r="H23"/>
  <c r="Q22"/>
  <c r="N22"/>
  <c r="K22"/>
  <c r="H22"/>
  <c r="O20"/>
  <c r="C20"/>
  <c r="E20"/>
  <c r="Q19"/>
  <c r="N19"/>
  <c r="K19"/>
  <c r="H19"/>
  <c r="Q18"/>
  <c r="N18"/>
  <c r="K18"/>
  <c r="H18"/>
  <c r="Q17"/>
  <c r="N17"/>
  <c r="K17"/>
  <c r="H17"/>
  <c r="Q16"/>
  <c r="N16"/>
  <c r="K16"/>
  <c r="H16"/>
  <c r="O15"/>
  <c r="C15"/>
  <c r="E15"/>
  <c r="Q14"/>
  <c r="N14"/>
  <c r="K14"/>
  <c r="H14"/>
  <c r="Q13"/>
  <c r="N13"/>
  <c r="K13"/>
  <c r="H13"/>
  <c r="Q12"/>
  <c r="N12"/>
  <c r="K12"/>
  <c r="H12"/>
  <c r="Q11"/>
  <c r="N11"/>
  <c r="K11"/>
  <c r="H11"/>
  <c r="Q10"/>
  <c r="N10"/>
  <c r="K10"/>
  <c r="H10"/>
  <c r="O9"/>
  <c r="C9"/>
  <c r="Q8"/>
  <c r="N8"/>
  <c r="K8"/>
  <c r="H8"/>
  <c r="Q7"/>
  <c r="N7"/>
  <c r="K7"/>
  <c r="H7"/>
  <c r="Q6"/>
  <c r="N6"/>
  <c r="K6"/>
  <c r="H6"/>
  <c r="Q5"/>
  <c r="N5"/>
  <c r="K5"/>
  <c r="H5"/>
  <c r="Q4"/>
  <c r="N4"/>
  <c r="K4"/>
  <c r="H4"/>
  <c r="Q79" i="261"/>
  <c r="N79"/>
  <c r="K79"/>
  <c r="Q78"/>
  <c r="N78"/>
  <c r="K78"/>
  <c r="Q77"/>
  <c r="N77"/>
  <c r="K77"/>
  <c r="Q76"/>
  <c r="N76"/>
  <c r="K76"/>
  <c r="K75"/>
  <c r="Q74"/>
  <c r="N74"/>
  <c r="K74"/>
  <c r="Q73"/>
  <c r="N73"/>
  <c r="K73"/>
  <c r="Q72"/>
  <c r="N72"/>
  <c r="K72"/>
  <c r="Q71"/>
  <c r="N71"/>
  <c r="K71"/>
  <c r="Q69"/>
  <c r="N69"/>
  <c r="K69"/>
  <c r="Q68"/>
  <c r="N68"/>
  <c r="K68"/>
  <c r="Q67"/>
  <c r="N67"/>
  <c r="K67"/>
  <c r="Q66"/>
  <c r="N66"/>
  <c r="K66"/>
  <c r="Q63"/>
  <c r="Q58"/>
  <c r="Q57"/>
  <c r="Q55"/>
  <c r="Q54"/>
  <c r="Q50"/>
  <c r="N50"/>
  <c r="K50"/>
  <c r="Q49"/>
  <c r="N49"/>
  <c r="K49"/>
  <c r="Q48"/>
  <c r="N48"/>
  <c r="K48"/>
  <c r="Q47"/>
  <c r="N47"/>
  <c r="K47"/>
  <c r="Q45"/>
  <c r="N45"/>
  <c r="K45"/>
  <c r="Q44"/>
  <c r="N44"/>
  <c r="K44"/>
  <c r="Q43"/>
  <c r="N43"/>
  <c r="K43"/>
  <c r="Q42"/>
  <c r="N42"/>
  <c r="K42"/>
  <c r="Q41"/>
  <c r="N41"/>
  <c r="K41"/>
  <c r="Q39"/>
  <c r="N39"/>
  <c r="K39"/>
  <c r="Q38"/>
  <c r="N38"/>
  <c r="K38"/>
  <c r="Q37"/>
  <c r="N37"/>
  <c r="K37"/>
  <c r="Q36"/>
  <c r="N36"/>
  <c r="K36"/>
  <c r="Q35"/>
  <c r="N35"/>
  <c r="K35"/>
  <c r="Q32"/>
  <c r="N32"/>
  <c r="K32"/>
  <c r="Q31"/>
  <c r="N31"/>
  <c r="K31"/>
  <c r="Q30"/>
  <c r="N30"/>
  <c r="K30"/>
  <c r="Q28"/>
  <c r="N28"/>
  <c r="K28"/>
  <c r="Q27"/>
  <c r="N27"/>
  <c r="K27"/>
  <c r="Q26"/>
  <c r="N26"/>
  <c r="K26"/>
  <c r="Q24"/>
  <c r="N24"/>
  <c r="K24"/>
  <c r="Q23"/>
  <c r="N23"/>
  <c r="K23"/>
  <c r="Q22"/>
  <c r="N22"/>
  <c r="K22"/>
  <c r="Q19"/>
  <c r="N19"/>
  <c r="K19"/>
  <c r="Q18"/>
  <c r="N18"/>
  <c r="K18"/>
  <c r="Q17"/>
  <c r="N17"/>
  <c r="K17"/>
  <c r="Q16"/>
  <c r="N16"/>
  <c r="K16"/>
  <c r="Q14"/>
  <c r="N14"/>
  <c r="K14"/>
  <c r="Q13"/>
  <c r="N13"/>
  <c r="K13"/>
  <c r="Q12"/>
  <c r="N12"/>
  <c r="K12"/>
  <c r="Q11"/>
  <c r="N11"/>
  <c r="K11"/>
  <c r="Q10"/>
  <c r="N10"/>
  <c r="K10"/>
  <c r="Q8"/>
  <c r="N8"/>
  <c r="K8"/>
  <c r="Q7"/>
  <c r="N7"/>
  <c r="K7"/>
  <c r="Q6"/>
  <c r="N6"/>
  <c r="K6"/>
  <c r="Q5"/>
  <c r="N5"/>
  <c r="K5"/>
  <c r="Q4"/>
  <c r="N4"/>
  <c r="K4"/>
  <c r="H4"/>
  <c r="DM109" i="262"/>
  <c r="DM108"/>
  <c r="DM107"/>
  <c r="DM106"/>
  <c r="DM105"/>
  <c r="DM104"/>
  <c r="DM103"/>
  <c r="FS99"/>
  <c r="FT99"/>
  <c r="FA99"/>
  <c r="EG99"/>
  <c r="FS98"/>
  <c r="FT98" s="1"/>
  <c r="FA98"/>
  <c r="EG98"/>
  <c r="FS97"/>
  <c r="FT97" s="1"/>
  <c r="FA97"/>
  <c r="EG97"/>
  <c r="FS96"/>
  <c r="FT96" s="1"/>
  <c r="FA96"/>
  <c r="EG96"/>
  <c r="FS95"/>
  <c r="FT95" s="1"/>
  <c r="FA95"/>
  <c r="EG95"/>
  <c r="DM95"/>
  <c r="CT95"/>
  <c r="DM94"/>
  <c r="CT94"/>
  <c r="DM93"/>
  <c r="CT93"/>
  <c r="DM92"/>
  <c r="CT92"/>
  <c r="DM91"/>
  <c r="CT91"/>
  <c r="FA90"/>
  <c r="EG90"/>
  <c r="DM90"/>
  <c r="CT90"/>
  <c r="FA89"/>
  <c r="EG89"/>
  <c r="DM89"/>
  <c r="CT89"/>
  <c r="FA88"/>
  <c r="EG88"/>
  <c r="DM88"/>
  <c r="CT88"/>
  <c r="FA87"/>
  <c r="EG87"/>
  <c r="DM87"/>
  <c r="CT87"/>
  <c r="FS86"/>
  <c r="FT86" s="1"/>
  <c r="FA86"/>
  <c r="EG86"/>
  <c r="DM86"/>
  <c r="CT86"/>
  <c r="FS85"/>
  <c r="FT85" s="1"/>
  <c r="FA85"/>
  <c r="EG85"/>
  <c r="DM85"/>
  <c r="CT85"/>
  <c r="FS84"/>
  <c r="FT84" s="1"/>
  <c r="FA84"/>
  <c r="EG84"/>
  <c r="DM84"/>
  <c r="CT84"/>
  <c r="FS83"/>
  <c r="FT83" s="1"/>
  <c r="FA83"/>
  <c r="EG83"/>
  <c r="DM83"/>
  <c r="CT83"/>
  <c r="FS82"/>
  <c r="FT82" s="1"/>
  <c r="FA82"/>
  <c r="EG82"/>
  <c r="DM82"/>
  <c r="CT82"/>
  <c r="FS81"/>
  <c r="FT81" s="1"/>
  <c r="FA81"/>
  <c r="EG81"/>
  <c r="DM81"/>
  <c r="CT81"/>
  <c r="FS80"/>
  <c r="FT80" s="1"/>
  <c r="FA80"/>
  <c r="EG80"/>
  <c r="DM80"/>
  <c r="CT80"/>
  <c r="FS79"/>
  <c r="FT79" s="1"/>
  <c r="FA79"/>
  <c r="EG79"/>
  <c r="DM79"/>
  <c r="CT79"/>
  <c r="FS78"/>
  <c r="FT78" s="1"/>
  <c r="FA78"/>
  <c r="EG78"/>
  <c r="DM78"/>
  <c r="CT78"/>
  <c r="FS77"/>
  <c r="FT77" s="1"/>
  <c r="FA77"/>
  <c r="EG77"/>
  <c r="DM77"/>
  <c r="CT77"/>
  <c r="FS76"/>
  <c r="FT76" s="1"/>
  <c r="FA76"/>
  <c r="EG76"/>
  <c r="DM76"/>
  <c r="CT76"/>
  <c r="FS75"/>
  <c r="FT75" s="1"/>
  <c r="FA75"/>
  <c r="EG75"/>
  <c r="DM75"/>
  <c r="CT75"/>
  <c r="FS74"/>
  <c r="FT74"/>
  <c r="FA74"/>
  <c r="EG74"/>
  <c r="DM74"/>
  <c r="CT74"/>
  <c r="FS73"/>
  <c r="FT73" s="1"/>
  <c r="FA73"/>
  <c r="EG73"/>
  <c r="DM73"/>
  <c r="CT73"/>
  <c r="FS72"/>
  <c r="FT72" s="1"/>
  <c r="FA72"/>
  <c r="EG72"/>
  <c r="DM72"/>
  <c r="CT72"/>
  <c r="FS71"/>
  <c r="FT71"/>
  <c r="FA71"/>
  <c r="EG71"/>
  <c r="DM71"/>
  <c r="CT71"/>
  <c r="FS70"/>
  <c r="FT70" s="1"/>
  <c r="FA70"/>
  <c r="EG70"/>
  <c r="DM70"/>
  <c r="CT70"/>
  <c r="FS69"/>
  <c r="FT69" s="1"/>
  <c r="FA69"/>
  <c r="EG69"/>
  <c r="DM69"/>
  <c r="CT69"/>
  <c r="FS68"/>
  <c r="FT68" s="1"/>
  <c r="FA68"/>
  <c r="EG68"/>
  <c r="DM68"/>
  <c r="CT68"/>
  <c r="FS67"/>
  <c r="FT67" s="1"/>
  <c r="FA67"/>
  <c r="EG67"/>
  <c r="DM67"/>
  <c r="CT67"/>
  <c r="FS66"/>
  <c r="FT66" s="1"/>
  <c r="FA66"/>
  <c r="EG66"/>
  <c r="DM66"/>
  <c r="CT66"/>
  <c r="FS65"/>
  <c r="FT65" s="1"/>
  <c r="FA65"/>
  <c r="EG65"/>
  <c r="DM65"/>
  <c r="CT65"/>
  <c r="FS64"/>
  <c r="FT64" s="1"/>
  <c r="FA64"/>
  <c r="EG64"/>
  <c r="DM64"/>
  <c r="CT64"/>
  <c r="FS63"/>
  <c r="FT63" s="1"/>
  <c r="FA63"/>
  <c r="EG63"/>
  <c r="DM63"/>
  <c r="CT63"/>
  <c r="FS62"/>
  <c r="FT62" s="1"/>
  <c r="FA62"/>
  <c r="EG62"/>
  <c r="DM62"/>
  <c r="CT62"/>
  <c r="FS61"/>
  <c r="FT61" s="1"/>
  <c r="FA61"/>
  <c r="EG61"/>
  <c r="DM61"/>
  <c r="CT61"/>
  <c r="FS60"/>
  <c r="FT60" s="1"/>
  <c r="FA60"/>
  <c r="EG60"/>
  <c r="DM60"/>
  <c r="CT60"/>
  <c r="FS59"/>
  <c r="FT59" s="1"/>
  <c r="FA59"/>
  <c r="EG59"/>
  <c r="DM59"/>
  <c r="CT59"/>
  <c r="FS58"/>
  <c r="FT58" s="1"/>
  <c r="FA58"/>
  <c r="EG58"/>
  <c r="DM58"/>
  <c r="CT58"/>
  <c r="FS57"/>
  <c r="FT57" s="1"/>
  <c r="FA57"/>
  <c r="EG57"/>
  <c r="DM57"/>
  <c r="CT57"/>
  <c r="FS56"/>
  <c r="FT56" s="1"/>
  <c r="FA56"/>
  <c r="EG56"/>
  <c r="DM56"/>
  <c r="CT56"/>
  <c r="FS55"/>
  <c r="FT55" s="1"/>
  <c r="FA55"/>
  <c r="EG55"/>
  <c r="DM55"/>
  <c r="CT55"/>
  <c r="FS54"/>
  <c r="FT54" s="1"/>
  <c r="FA54"/>
  <c r="EG54"/>
  <c r="DM54"/>
  <c r="CT54"/>
  <c r="FS53"/>
  <c r="FT53" s="1"/>
  <c r="FA53"/>
  <c r="EG53"/>
  <c r="DM53"/>
  <c r="CT53"/>
  <c r="FS52"/>
  <c r="FT52" s="1"/>
  <c r="FA52"/>
  <c r="EG52"/>
  <c r="DM52"/>
  <c r="CT52"/>
  <c r="FS51"/>
  <c r="FT51" s="1"/>
  <c r="FA51"/>
  <c r="EG51"/>
  <c r="DM51"/>
  <c r="CT51"/>
  <c r="FS50"/>
  <c r="FT50" s="1"/>
  <c r="FA50"/>
  <c r="EG50"/>
  <c r="DM50"/>
  <c r="CT50"/>
  <c r="FS49"/>
  <c r="FT49" s="1"/>
  <c r="FA49"/>
  <c r="EG49"/>
  <c r="DM49"/>
  <c r="CT49"/>
  <c r="FS48"/>
  <c r="FT48" s="1"/>
  <c r="FA48"/>
  <c r="EG48"/>
  <c r="DM48"/>
  <c r="CT48"/>
  <c r="FS47"/>
  <c r="FT47"/>
  <c r="FA47"/>
  <c r="EG47"/>
  <c r="DM47"/>
  <c r="CT47"/>
  <c r="FS46"/>
  <c r="FT46" s="1"/>
  <c r="FA46"/>
  <c r="EG46"/>
  <c r="DM46"/>
  <c r="CT46"/>
  <c r="FS45"/>
  <c r="FT45" s="1"/>
  <c r="FA45"/>
  <c r="EG45"/>
  <c r="DM45"/>
  <c r="CT45"/>
  <c r="FS44"/>
  <c r="FT44" s="1"/>
  <c r="FA44"/>
  <c r="EG44"/>
  <c r="DM44"/>
  <c r="CT44"/>
  <c r="FS43"/>
  <c r="FT43" s="1"/>
  <c r="FA43"/>
  <c r="EG43"/>
  <c r="DM43"/>
  <c r="CT43"/>
  <c r="FS42"/>
  <c r="FT42" s="1"/>
  <c r="FA42"/>
  <c r="EG42"/>
  <c r="DM42"/>
  <c r="CT42"/>
  <c r="FS41"/>
  <c r="FT41" s="1"/>
  <c r="FA41"/>
  <c r="EG41"/>
  <c r="DM41"/>
  <c r="CT41"/>
  <c r="FS40"/>
  <c r="FT40" s="1"/>
  <c r="FA40"/>
  <c r="EG40"/>
  <c r="DM40"/>
  <c r="CT40"/>
  <c r="FS39"/>
  <c r="FT39" s="1"/>
  <c r="FA39"/>
  <c r="EG39"/>
  <c r="DM39"/>
  <c r="CT39"/>
  <c r="FS38"/>
  <c r="FT38" s="1"/>
  <c r="FA38"/>
  <c r="EG38"/>
  <c r="DM38"/>
  <c r="CT38"/>
  <c r="FS37"/>
  <c r="FT37" s="1"/>
  <c r="FA37"/>
  <c r="EG37"/>
  <c r="DM37"/>
  <c r="CT37"/>
  <c r="FS36"/>
  <c r="FT36" s="1"/>
  <c r="FA36"/>
  <c r="EG36"/>
  <c r="DM36"/>
  <c r="CT36"/>
  <c r="FS35"/>
  <c r="FT35" s="1"/>
  <c r="FA35"/>
  <c r="EG35"/>
  <c r="DM35"/>
  <c r="CT35"/>
  <c r="FS34"/>
  <c r="FT34" s="1"/>
  <c r="FA34"/>
  <c r="EG34"/>
  <c r="DM34"/>
  <c r="CT34"/>
  <c r="FS33"/>
  <c r="FT33" s="1"/>
  <c r="FA33"/>
  <c r="EG33"/>
  <c r="DM33"/>
  <c r="CT33"/>
  <c r="FS32"/>
  <c r="FT32" s="1"/>
  <c r="FA32"/>
  <c r="EG32"/>
  <c r="DM32"/>
  <c r="CT32"/>
  <c r="FS31"/>
  <c r="FT31" s="1"/>
  <c r="FA31"/>
  <c r="EG31"/>
  <c r="DM31"/>
  <c r="CT31"/>
  <c r="FS30"/>
  <c r="FT30" s="1"/>
  <c r="FA30"/>
  <c r="EG30"/>
  <c r="DM30"/>
  <c r="CT30"/>
  <c r="FS29"/>
  <c r="FT29" s="1"/>
  <c r="FA29"/>
  <c r="EG29"/>
  <c r="DM29"/>
  <c r="CT29"/>
  <c r="FS28"/>
  <c r="FT28" s="1"/>
  <c r="FA28"/>
  <c r="EG28"/>
  <c r="DM28"/>
  <c r="CT28"/>
  <c r="FS27"/>
  <c r="FT27" s="1"/>
  <c r="FA27"/>
  <c r="EG27"/>
  <c r="DM27"/>
  <c r="CT27"/>
  <c r="FS26"/>
  <c r="FT26" s="1"/>
  <c r="FA26"/>
  <c r="EG26"/>
  <c r="DM26"/>
  <c r="CT26"/>
  <c r="FS25"/>
  <c r="FT25" s="1"/>
  <c r="FA25"/>
  <c r="EG25"/>
  <c r="DM25"/>
  <c r="CT25"/>
  <c r="FS24"/>
  <c r="FT24" s="1"/>
  <c r="FA24"/>
  <c r="EG24"/>
  <c r="DM24"/>
  <c r="CT24"/>
  <c r="FS23"/>
  <c r="FT23" s="1"/>
  <c r="FA23"/>
  <c r="EG23"/>
  <c r="DM23"/>
  <c r="CT23"/>
  <c r="FS22"/>
  <c r="FT22" s="1"/>
  <c r="FA22"/>
  <c r="EG22"/>
  <c r="DM22"/>
  <c r="CT22"/>
  <c r="FS21"/>
  <c r="FT21" s="1"/>
  <c r="FA21"/>
  <c r="EG21"/>
  <c r="DM21"/>
  <c r="CT21"/>
  <c r="FS20"/>
  <c r="FT20" s="1"/>
  <c r="FA20"/>
  <c r="EG20"/>
  <c r="DM20"/>
  <c r="CT20"/>
  <c r="FS19"/>
  <c r="FT19" s="1"/>
  <c r="FA19"/>
  <c r="EG19"/>
  <c r="DM19"/>
  <c r="CT19"/>
  <c r="FS18"/>
  <c r="FT18" s="1"/>
  <c r="FA18"/>
  <c r="EG18"/>
  <c r="DM18"/>
  <c r="CT18"/>
  <c r="FS17"/>
  <c r="FT17" s="1"/>
  <c r="FA17"/>
  <c r="EG17"/>
  <c r="DM17"/>
  <c r="CT17"/>
  <c r="FS16"/>
  <c r="FT16" s="1"/>
  <c r="FA16"/>
  <c r="EG16"/>
  <c r="DM16"/>
  <c r="CT16"/>
  <c r="FS15"/>
  <c r="FT15" s="1"/>
  <c r="FA15"/>
  <c r="EG15"/>
  <c r="DM15"/>
  <c r="CT15"/>
  <c r="FS14"/>
  <c r="FT14" s="1"/>
  <c r="FA14"/>
  <c r="EG14"/>
  <c r="DM14"/>
  <c r="CT14"/>
  <c r="FS13"/>
  <c r="FT13" s="1"/>
  <c r="FA13"/>
  <c r="EG13"/>
  <c r="DM13"/>
  <c r="CT13"/>
  <c r="FS12"/>
  <c r="FT12" s="1"/>
  <c r="FA12"/>
  <c r="EG12"/>
  <c r="DM12"/>
  <c r="CT12"/>
  <c r="FS11"/>
  <c r="FT11" s="1"/>
  <c r="FA11"/>
  <c r="EG11"/>
  <c r="DM11"/>
  <c r="CT11"/>
  <c r="FS10"/>
  <c r="FT10" s="1"/>
  <c r="FA10"/>
  <c r="EG10"/>
  <c r="DM10"/>
  <c r="CT10"/>
  <c r="FS9"/>
  <c r="FT9" s="1"/>
  <c r="FA9"/>
  <c r="EG9"/>
  <c r="DM9"/>
  <c r="CT9"/>
  <c r="FS8"/>
  <c r="FT8" s="1"/>
  <c r="FA8"/>
  <c r="EG8"/>
  <c r="DM8"/>
  <c r="CT8"/>
  <c r="FS7"/>
  <c r="FT7" s="1"/>
  <c r="FA7"/>
  <c r="EG7"/>
  <c r="DM7"/>
  <c r="CT7"/>
  <c r="AI44" i="255"/>
  <c r="AI43"/>
  <c r="BR42"/>
  <c r="AI42"/>
  <c r="BR41"/>
  <c r="BI41"/>
  <c r="BI42" s="1"/>
  <c r="BA41"/>
  <c r="BA42" s="1"/>
  <c r="AX41"/>
  <c r="AX42" s="1"/>
  <c r="AI40"/>
  <c r="BR39"/>
  <c r="BI39"/>
  <c r="BA39"/>
  <c r="BA40" s="1"/>
  <c r="AX39"/>
  <c r="AR39"/>
  <c r="AR40"/>
  <c r="AI39"/>
  <c r="BR38"/>
  <c r="BI38"/>
  <c r="BI40" s="1"/>
  <c r="BA38"/>
  <c r="AX38"/>
  <c r="AR37"/>
  <c r="AI37"/>
  <c r="BI36"/>
  <c r="BA36"/>
  <c r="AX36"/>
  <c r="AR36"/>
  <c r="AI36"/>
  <c r="BR35"/>
  <c r="BI35"/>
  <c r="BA35"/>
  <c r="AX35"/>
  <c r="AI35"/>
  <c r="BR34"/>
  <c r="BI34"/>
  <c r="BA34"/>
  <c r="AX34"/>
  <c r="AR34"/>
  <c r="AI34"/>
  <c r="AR33"/>
  <c r="AI33"/>
  <c r="AR32"/>
  <c r="AI32"/>
  <c r="BR31"/>
  <c r="BI31"/>
  <c r="BA31"/>
  <c r="AX31"/>
  <c r="AI31"/>
  <c r="BR30"/>
  <c r="BI30"/>
  <c r="BA30"/>
  <c r="AX30"/>
  <c r="AI30"/>
  <c r="BR29"/>
  <c r="BI29"/>
  <c r="BA29"/>
  <c r="AX29"/>
  <c r="AR29"/>
  <c r="AI29"/>
  <c r="AR28"/>
  <c r="AI28"/>
  <c r="BR27"/>
  <c r="BI27"/>
  <c r="BA27"/>
  <c r="AX27"/>
  <c r="AR27"/>
  <c r="AR30" s="1"/>
  <c r="AI27"/>
  <c r="BR26"/>
  <c r="BI26"/>
  <c r="BA26"/>
  <c r="AX26"/>
  <c r="AI26"/>
  <c r="BR25"/>
  <c r="BI25"/>
  <c r="BA25"/>
  <c r="BA28" s="1"/>
  <c r="AX25"/>
  <c r="AR25"/>
  <c r="AI25"/>
  <c r="BR24"/>
  <c r="BI24"/>
  <c r="BA24"/>
  <c r="AX24"/>
  <c r="AR24"/>
  <c r="AI24"/>
  <c r="BR23"/>
  <c r="BI23"/>
  <c r="BA23"/>
  <c r="AX23"/>
  <c r="AR23"/>
  <c r="AI23"/>
  <c r="AR22"/>
  <c r="AR26" s="1"/>
  <c r="AI22"/>
  <c r="BR21"/>
  <c r="AR21"/>
  <c r="AI21"/>
  <c r="BR20"/>
  <c r="BA20"/>
  <c r="AX20"/>
  <c r="AI20"/>
  <c r="BR19"/>
  <c r="BI19"/>
  <c r="BA19"/>
  <c r="AX19"/>
  <c r="AR19"/>
  <c r="AI19"/>
  <c r="BR18"/>
  <c r="BI18"/>
  <c r="BA18"/>
  <c r="AX18"/>
  <c r="AR18"/>
  <c r="AI18"/>
  <c r="BR17"/>
  <c r="BI17"/>
  <c r="BA17"/>
  <c r="AX17"/>
  <c r="AR17"/>
  <c r="AI17"/>
  <c r="BR16"/>
  <c r="BI16"/>
  <c r="BA16"/>
  <c r="AX16"/>
  <c r="AR16"/>
  <c r="AI16"/>
  <c r="AR15"/>
  <c r="AI15"/>
  <c r="BR14"/>
  <c r="BR13"/>
  <c r="BI13"/>
  <c r="BI14" s="1"/>
  <c r="BA13"/>
  <c r="BA14" s="1"/>
  <c r="AX13"/>
  <c r="AX14" s="1"/>
  <c r="AI13"/>
  <c r="AR12"/>
  <c r="AR13" s="1"/>
  <c r="AI12"/>
  <c r="BR11"/>
  <c r="BI11"/>
  <c r="BA11"/>
  <c r="AX11"/>
  <c r="BR10"/>
  <c r="BI10"/>
  <c r="BJ12" s="1"/>
  <c r="BA10"/>
  <c r="AX10"/>
  <c r="AX12" s="1"/>
  <c r="AR10"/>
  <c r="AR11" s="1"/>
  <c r="AI10"/>
  <c r="AI9"/>
  <c r="AI11" s="1"/>
  <c r="BR8"/>
  <c r="BI8"/>
  <c r="BA8"/>
  <c r="AX8"/>
  <c r="AR8"/>
  <c r="AI8"/>
  <c r="BR7"/>
  <c r="BI7"/>
  <c r="BA7"/>
  <c r="AX7"/>
  <c r="AR7"/>
  <c r="AI7"/>
  <c r="AI67" i="254"/>
  <c r="AI66"/>
  <c r="AI65"/>
  <c r="AI64"/>
  <c r="AI63"/>
  <c r="AI62"/>
  <c r="AI61"/>
  <c r="AI59"/>
  <c r="BI58"/>
  <c r="BA58"/>
  <c r="AX58"/>
  <c r="AI58"/>
  <c r="BR57"/>
  <c r="BI57"/>
  <c r="BJ55" s="1"/>
  <c r="BA57"/>
  <c r="BA59" s="1"/>
  <c r="AX57"/>
  <c r="AI57"/>
  <c r="BR56"/>
  <c r="AI56"/>
  <c r="AR55"/>
  <c r="AR56" s="1"/>
  <c r="BR54"/>
  <c r="BG54"/>
  <c r="BI54" s="1"/>
  <c r="BA54"/>
  <c r="AX54"/>
  <c r="AI54"/>
  <c r="BR53"/>
  <c r="BI53"/>
  <c r="BA53"/>
  <c r="AX53"/>
  <c r="AI53"/>
  <c r="BR52"/>
  <c r="BI52"/>
  <c r="BA52"/>
  <c r="AX52"/>
  <c r="AR52"/>
  <c r="AI52"/>
  <c r="BR51"/>
  <c r="BI51"/>
  <c r="BA51"/>
  <c r="AX51"/>
  <c r="AR51"/>
  <c r="AI51"/>
  <c r="BR50"/>
  <c r="BI50"/>
  <c r="BA50"/>
  <c r="AX50"/>
  <c r="AR50"/>
  <c r="AR53" s="1"/>
  <c r="AI50"/>
  <c r="BR49"/>
  <c r="BA49"/>
  <c r="AX49"/>
  <c r="AI49"/>
  <c r="AR48"/>
  <c r="BA47"/>
  <c r="AX47"/>
  <c r="AR47"/>
  <c r="AI47"/>
  <c r="BG46"/>
  <c r="BI46" s="1"/>
  <c r="BA46"/>
  <c r="AX46"/>
  <c r="AR46"/>
  <c r="AI46"/>
  <c r="BR45"/>
  <c r="BI45"/>
  <c r="BA45"/>
  <c r="AX45"/>
  <c r="AR45"/>
  <c r="AI45"/>
  <c r="BR44"/>
  <c r="BI44"/>
  <c r="BA44"/>
  <c r="AX44"/>
  <c r="AR44"/>
  <c r="AI44"/>
  <c r="BR43"/>
  <c r="BI43"/>
  <c r="BA43"/>
  <c r="AX43"/>
  <c r="AR43"/>
  <c r="AI43"/>
  <c r="BR42"/>
  <c r="BI42"/>
  <c r="BA42"/>
  <c r="AX42"/>
  <c r="AI42"/>
  <c r="BR41"/>
  <c r="BI41"/>
  <c r="BA41"/>
  <c r="AX41"/>
  <c r="AR41"/>
  <c r="AI41"/>
  <c r="BR40"/>
  <c r="BI40"/>
  <c r="BA40"/>
  <c r="AX40"/>
  <c r="AR40"/>
  <c r="AI40"/>
  <c r="BR39"/>
  <c r="BG39"/>
  <c r="BI39" s="1"/>
  <c r="AR39"/>
  <c r="AR38"/>
  <c r="AI38"/>
  <c r="AR37"/>
  <c r="AI37"/>
  <c r="BR36"/>
  <c r="AR36"/>
  <c r="AI36"/>
  <c r="BR35"/>
  <c r="BI35"/>
  <c r="BA35"/>
  <c r="AX35"/>
  <c r="AR35"/>
  <c r="AI35"/>
  <c r="BR34"/>
  <c r="BI34"/>
  <c r="BA34"/>
  <c r="AX34"/>
  <c r="AR34"/>
  <c r="AI34"/>
  <c r="BR33"/>
  <c r="BI33"/>
  <c r="BA33"/>
  <c r="AX33"/>
  <c r="AI32"/>
  <c r="BR31"/>
  <c r="BI31"/>
  <c r="BA31"/>
  <c r="AX31"/>
  <c r="AR31"/>
  <c r="AI31"/>
  <c r="BR30"/>
  <c r="BI30"/>
  <c r="BA30"/>
  <c r="AX30"/>
  <c r="AR30"/>
  <c r="AI30"/>
  <c r="BR29"/>
  <c r="BI29"/>
  <c r="BA29"/>
  <c r="AX29"/>
  <c r="AR29"/>
  <c r="AI29"/>
  <c r="BR28"/>
  <c r="BI28"/>
  <c r="BA28"/>
  <c r="AX28"/>
  <c r="AI28"/>
  <c r="BR27"/>
  <c r="BG27"/>
  <c r="BI27" s="1"/>
  <c r="BA27"/>
  <c r="AX27"/>
  <c r="AR27"/>
  <c r="AI27"/>
  <c r="BR26"/>
  <c r="BI26"/>
  <c r="AR26"/>
  <c r="AI26"/>
  <c r="AR25"/>
  <c r="AI25"/>
  <c r="BR24"/>
  <c r="BI24"/>
  <c r="BA24"/>
  <c r="AX24"/>
  <c r="AR24"/>
  <c r="AI24"/>
  <c r="BR23"/>
  <c r="BI23"/>
  <c r="BA23"/>
  <c r="AX23"/>
  <c r="AI23"/>
  <c r="BR22"/>
  <c r="BI22"/>
  <c r="BA22"/>
  <c r="AX22"/>
  <c r="AR22"/>
  <c r="AI22"/>
  <c r="BR21"/>
  <c r="BI21"/>
  <c r="BA21"/>
  <c r="AX21"/>
  <c r="AR21"/>
  <c r="AI21"/>
  <c r="BR20"/>
  <c r="BI20"/>
  <c r="BA20"/>
  <c r="AX20"/>
  <c r="AR20"/>
  <c r="BR19"/>
  <c r="BI19"/>
  <c r="AR19"/>
  <c r="AI19"/>
  <c r="AR18"/>
  <c r="AI18"/>
  <c r="BR17"/>
  <c r="AR17"/>
  <c r="BR16"/>
  <c r="BG16"/>
  <c r="BG17" s="1"/>
  <c r="BA16"/>
  <c r="BA17" s="1"/>
  <c r="AX16"/>
  <c r="AX17" s="1"/>
  <c r="AI16"/>
  <c r="AI15"/>
  <c r="BI14"/>
  <c r="BA14"/>
  <c r="AX14"/>
  <c r="AR14"/>
  <c r="AR15" s="1"/>
  <c r="AI14"/>
  <c r="AI17" s="1"/>
  <c r="BR13"/>
  <c r="BI13"/>
  <c r="BA13"/>
  <c r="AX13"/>
  <c r="AI13"/>
  <c r="BR12"/>
  <c r="BI12"/>
  <c r="BA12"/>
  <c r="BA15" s="1"/>
  <c r="AX12"/>
  <c r="AR12"/>
  <c r="AI12"/>
  <c r="BR11"/>
  <c r="BI11"/>
  <c r="AR11"/>
  <c r="AR13" s="1"/>
  <c r="BR10"/>
  <c r="BI10"/>
  <c r="BA10"/>
  <c r="AX10"/>
  <c r="AR10"/>
  <c r="AI10"/>
  <c r="AI9"/>
  <c r="BR8"/>
  <c r="BR9" s="1"/>
  <c r="BI8"/>
  <c r="BA8"/>
  <c r="AX8"/>
  <c r="AR8"/>
  <c r="AI8"/>
  <c r="BR7"/>
  <c r="BI7"/>
  <c r="BA7"/>
  <c r="AX7"/>
  <c r="AR7"/>
  <c r="AI7"/>
  <c r="BR6"/>
  <c r="BI6"/>
  <c r="BA6"/>
  <c r="AX6"/>
  <c r="AR6"/>
  <c r="AI6"/>
  <c r="AX38" i="253"/>
  <c r="AR29"/>
  <c r="AR28"/>
  <c r="AI26"/>
  <c r="AI25"/>
  <c r="AI24"/>
  <c r="BR21"/>
  <c r="BI21"/>
  <c r="AI21"/>
  <c r="BR20"/>
  <c r="BI20"/>
  <c r="BA20"/>
  <c r="AX20"/>
  <c r="AI20"/>
  <c r="BA19"/>
  <c r="AX19"/>
  <c r="AI19"/>
  <c r="BI18"/>
  <c r="BA18"/>
  <c r="AX18"/>
  <c r="AI18"/>
  <c r="BR17"/>
  <c r="BI17"/>
  <c r="BA17"/>
  <c r="AX17"/>
  <c r="AR17"/>
  <c r="AR18" s="1"/>
  <c r="BI15"/>
  <c r="BA15"/>
  <c r="AX15"/>
  <c r="AR15"/>
  <c r="AR16" s="1"/>
  <c r="AI15"/>
  <c r="BR14"/>
  <c r="BI14"/>
  <c r="BI16" s="1"/>
  <c r="BA14"/>
  <c r="BA16" s="1"/>
  <c r="BA27" s="1"/>
  <c r="AX14"/>
  <c r="AI14"/>
  <c r="BR13"/>
  <c r="BA13"/>
  <c r="AX13"/>
  <c r="AI13"/>
  <c r="BR12"/>
  <c r="BI12"/>
  <c r="BI13" s="1"/>
  <c r="BA12"/>
  <c r="AX12"/>
  <c r="AR12"/>
  <c r="AI12"/>
  <c r="AR11"/>
  <c r="AR13" s="1"/>
  <c r="AR27" s="1"/>
  <c r="BR10"/>
  <c r="BI10"/>
  <c r="BJ28" s="1"/>
  <c r="BA10"/>
  <c r="BA28" s="1"/>
  <c r="AX10"/>
  <c r="AX28" s="1"/>
  <c r="AR10"/>
  <c r="AI10"/>
  <c r="BR9"/>
  <c r="BI9"/>
  <c r="BA9"/>
  <c r="AX9"/>
  <c r="AI9"/>
  <c r="AX8"/>
  <c r="AR8"/>
  <c r="BI7"/>
  <c r="BA7"/>
  <c r="AX7"/>
  <c r="AI7"/>
  <c r="BR6"/>
  <c r="BI6"/>
  <c r="BA6"/>
  <c r="AX6"/>
  <c r="AR6"/>
  <c r="AI6"/>
  <c r="AI8" s="1"/>
  <c r="HB211" i="252"/>
  <c r="HA211"/>
  <c r="GD211"/>
  <c r="FF211"/>
  <c r="GD196"/>
  <c r="FF195"/>
  <c r="HB194"/>
  <c r="HA194"/>
  <c r="GD189"/>
  <c r="FF189"/>
  <c r="HB188"/>
  <c r="HA188"/>
  <c r="EL187"/>
  <c r="GD181"/>
  <c r="FF181"/>
  <c r="HB180"/>
  <c r="HA180"/>
  <c r="DM179"/>
  <c r="EL178"/>
  <c r="EL172"/>
  <c r="DM170"/>
  <c r="FF168"/>
  <c r="EL168"/>
  <c r="GD165"/>
  <c r="EL164"/>
  <c r="HB162"/>
  <c r="HA162"/>
  <c r="FF162"/>
  <c r="DM162"/>
  <c r="GD159"/>
  <c r="EL159"/>
  <c r="HB157"/>
  <c r="HA157"/>
  <c r="FF156"/>
  <c r="DM155"/>
  <c r="EL154"/>
  <c r="GD153"/>
  <c r="HA152"/>
  <c r="FF152"/>
  <c r="HB149"/>
  <c r="HA149"/>
  <c r="EL149"/>
  <c r="GD148"/>
  <c r="DM148"/>
  <c r="FF145"/>
  <c r="HB144"/>
  <c r="HA144"/>
  <c r="EL143"/>
  <c r="DM142"/>
  <c r="GD140"/>
  <c r="EL139"/>
  <c r="DM138"/>
  <c r="FF137"/>
  <c r="EL137"/>
  <c r="HB136"/>
  <c r="HA136"/>
  <c r="DM133"/>
  <c r="GD131"/>
  <c r="EL131"/>
  <c r="HB130"/>
  <c r="HA130"/>
  <c r="HA126"/>
  <c r="GD125"/>
  <c r="FF125"/>
  <c r="DM125"/>
  <c r="HB124"/>
  <c r="HA124"/>
  <c r="EL123"/>
  <c r="DM119"/>
  <c r="EL117"/>
  <c r="DM114"/>
  <c r="EL112"/>
  <c r="GD109"/>
  <c r="DM108"/>
  <c r="EL107"/>
  <c r="FF106"/>
  <c r="GD104"/>
  <c r="EL102"/>
  <c r="DM102"/>
  <c r="FF100"/>
  <c r="GD99"/>
  <c r="GD97"/>
  <c r="EL95"/>
  <c r="GD94"/>
  <c r="DM94"/>
  <c r="HB92"/>
  <c r="HA92"/>
  <c r="FF91"/>
  <c r="EL90"/>
  <c r="DM90"/>
  <c r="HA87"/>
  <c r="EL86"/>
  <c r="GD85"/>
  <c r="HB84"/>
  <c r="HA84"/>
  <c r="DM83"/>
  <c r="FF82"/>
  <c r="HB81"/>
  <c r="HA81"/>
  <c r="GD81"/>
  <c r="EL80"/>
  <c r="GD79"/>
  <c r="HA78"/>
  <c r="FF78"/>
  <c r="DM77"/>
  <c r="GD76"/>
  <c r="EL76"/>
  <c r="HA75"/>
  <c r="FF74"/>
  <c r="HB73"/>
  <c r="HA73"/>
  <c r="DM72"/>
  <c r="GD71"/>
  <c r="HB70"/>
  <c r="HA70"/>
  <c r="EL70"/>
  <c r="GD69"/>
  <c r="DM68"/>
  <c r="HB67"/>
  <c r="HA67"/>
  <c r="FF65"/>
  <c r="GD63"/>
  <c r="HA62"/>
  <c r="EL61"/>
  <c r="HB60"/>
  <c r="HA60"/>
  <c r="FF59"/>
  <c r="DM59"/>
  <c r="GD58"/>
  <c r="EL57"/>
  <c r="DM56"/>
  <c r="HB55"/>
  <c r="HA55"/>
  <c r="FF53"/>
  <c r="EL51"/>
  <c r="DM51"/>
  <c r="HB50"/>
  <c r="HA50"/>
  <c r="GD48"/>
  <c r="FF48"/>
  <c r="EL46"/>
  <c r="DM46"/>
  <c r="HB45"/>
  <c r="HA45"/>
  <c r="GD43"/>
  <c r="DM43"/>
  <c r="FF42"/>
  <c r="EL41"/>
  <c r="HB39"/>
  <c r="HA39"/>
  <c r="DM36"/>
  <c r="HB35"/>
  <c r="HA35"/>
  <c r="FF35"/>
  <c r="EL35"/>
  <c r="GD34"/>
  <c r="DM31"/>
  <c r="HB30"/>
  <c r="HA30"/>
  <c r="EL30"/>
  <c r="HB26"/>
  <c r="HA26"/>
  <c r="GD26"/>
  <c r="DM26"/>
  <c r="HA22"/>
  <c r="GD21"/>
  <c r="HB20"/>
  <c r="HA20"/>
  <c r="DM20"/>
  <c r="GD17"/>
  <c r="EL17"/>
  <c r="HA16"/>
  <c r="FF16"/>
  <c r="HB14"/>
  <c r="HA14"/>
  <c r="DM14"/>
  <c r="GD13"/>
  <c r="FF13"/>
  <c r="HB10"/>
  <c r="HA10"/>
  <c r="DM10"/>
  <c r="EL9"/>
  <c r="CH333" i="251"/>
  <c r="CH324"/>
  <c r="CH315"/>
  <c r="CH311"/>
  <c r="CH307"/>
  <c r="CH301"/>
  <c r="CH295"/>
  <c r="CH289"/>
  <c r="FA286"/>
  <c r="EZ286"/>
  <c r="EH286"/>
  <c r="DQ286"/>
  <c r="CH283"/>
  <c r="EH274"/>
  <c r="DQ274"/>
  <c r="CH274"/>
  <c r="FA273"/>
  <c r="EZ273"/>
  <c r="CH269"/>
  <c r="DQ266"/>
  <c r="FA265"/>
  <c r="EZ265"/>
  <c r="EH265"/>
  <c r="CH264"/>
  <c r="CZ262"/>
  <c r="FA257"/>
  <c r="EZ257"/>
  <c r="EH257"/>
  <c r="DQ257"/>
  <c r="CH254"/>
  <c r="CZ253"/>
  <c r="CH251"/>
  <c r="CZ247"/>
  <c r="FA244"/>
  <c r="EZ244"/>
  <c r="EH244"/>
  <c r="CH244"/>
  <c r="DQ243"/>
  <c r="CZ241"/>
  <c r="FA238"/>
  <c r="EZ238"/>
  <c r="DQ238"/>
  <c r="EH237"/>
  <c r="CH236"/>
  <c r="CZ235"/>
  <c r="FA231"/>
  <c r="EZ231"/>
  <c r="CH231"/>
  <c r="DQ230"/>
  <c r="EH228"/>
  <c r="CZ228"/>
  <c r="CH227"/>
  <c r="FA223"/>
  <c r="EZ223"/>
  <c r="EH223"/>
  <c r="DQ223"/>
  <c r="FA218"/>
  <c r="EZ218"/>
  <c r="CZ218"/>
  <c r="CH218"/>
  <c r="EH217"/>
  <c r="DQ217"/>
  <c r="CH213"/>
  <c r="CZ212"/>
  <c r="FA210"/>
  <c r="EZ210"/>
  <c r="EH210"/>
  <c r="DQ208"/>
  <c r="CZ207"/>
  <c r="CH207"/>
  <c r="EH203"/>
  <c r="FA202"/>
  <c r="EZ202"/>
  <c r="CH202"/>
  <c r="DQ201"/>
  <c r="CZ199"/>
  <c r="FA196"/>
  <c r="EZ196"/>
  <c r="EH196"/>
  <c r="CZ193"/>
  <c r="CH193"/>
  <c r="FA190"/>
  <c r="EZ190"/>
  <c r="EH190"/>
  <c r="DQ190"/>
  <c r="CZ188"/>
  <c r="CH187"/>
  <c r="CZ183"/>
  <c r="CH180"/>
  <c r="ER179"/>
  <c r="EQ179"/>
  <c r="EP179"/>
  <c r="EO179"/>
  <c r="EN179"/>
  <c r="DQ178"/>
  <c r="CZ178"/>
  <c r="FA177"/>
  <c r="EZ177"/>
  <c r="CH175"/>
  <c r="DQ173"/>
  <c r="CZ173"/>
  <c r="FA171"/>
  <c r="EZ171"/>
  <c r="DQ169"/>
  <c r="CZ168"/>
  <c r="CH167"/>
  <c r="FA166"/>
  <c r="EZ166"/>
  <c r="CZ166"/>
  <c r="DQ164"/>
  <c r="CZ164"/>
  <c r="FA160"/>
  <c r="EZ160"/>
  <c r="CH159"/>
  <c r="DQ157"/>
  <c r="FA155"/>
  <c r="EZ155"/>
  <c r="CZ155"/>
  <c r="CH154"/>
  <c r="DQ151"/>
  <c r="EZ149"/>
  <c r="CH149"/>
  <c r="CZ148"/>
  <c r="FA146"/>
  <c r="EZ146"/>
  <c r="EH144"/>
  <c r="CH144"/>
  <c r="CZ143"/>
  <c r="FA142"/>
  <c r="EZ142"/>
  <c r="DQ142"/>
  <c r="EH139"/>
  <c r="CZ139"/>
  <c r="CH138"/>
  <c r="FA137"/>
  <c r="EZ137"/>
  <c r="DQ137"/>
  <c r="EH134"/>
  <c r="CH134"/>
  <c r="FA133"/>
  <c r="EZ133"/>
  <c r="CZ132"/>
  <c r="DQ131"/>
  <c r="FA128"/>
  <c r="EZ128"/>
  <c r="EH128"/>
  <c r="CH128"/>
  <c r="DQ125"/>
  <c r="CZ125"/>
  <c r="FA122"/>
  <c r="EZ122"/>
  <c r="CH122"/>
  <c r="EH121"/>
  <c r="DQ120"/>
  <c r="CZ119"/>
  <c r="FA115"/>
  <c r="EZ115"/>
  <c r="DQ115"/>
  <c r="CZ115"/>
  <c r="CH114"/>
  <c r="FA111"/>
  <c r="EZ111"/>
  <c r="EH110"/>
  <c r="FA107"/>
  <c r="EZ107"/>
  <c r="DQ107"/>
  <c r="CZ107"/>
  <c r="CH107"/>
  <c r="EH105"/>
  <c r="DQ103"/>
  <c r="FA102"/>
  <c r="EZ102"/>
  <c r="EH101"/>
  <c r="CZ101"/>
  <c r="CH100"/>
  <c r="DQ98"/>
  <c r="FA97"/>
  <c r="EZ97"/>
  <c r="EH96"/>
  <c r="CZ94"/>
  <c r="CH94"/>
  <c r="DQ93"/>
  <c r="FA90"/>
  <c r="EZ90"/>
  <c r="EH90"/>
  <c r="CZ88"/>
  <c r="CH88"/>
  <c r="DQ86"/>
  <c r="EH85"/>
  <c r="FA83"/>
  <c r="EZ83"/>
  <c r="CZ83"/>
  <c r="EH81"/>
  <c r="CH81"/>
  <c r="DQ79"/>
  <c r="FA78"/>
  <c r="EZ78"/>
  <c r="EH76"/>
  <c r="CZ76"/>
  <c r="DQ75"/>
  <c r="CH74"/>
  <c r="FA73"/>
  <c r="EZ73"/>
  <c r="CZ71"/>
  <c r="EH70"/>
  <c r="FA69"/>
  <c r="EZ69"/>
  <c r="DQ69"/>
  <c r="FA66"/>
  <c r="EZ66"/>
  <c r="EH65"/>
  <c r="CH65"/>
  <c r="DQ64"/>
  <c r="CZ62"/>
  <c r="CH62"/>
  <c r="FA61"/>
  <c r="EZ61"/>
  <c r="DQ59"/>
  <c r="CH59"/>
  <c r="FA57"/>
  <c r="EZ57"/>
  <c r="EH55"/>
  <c r="DQ55"/>
  <c r="CZ55"/>
  <c r="CH52"/>
  <c r="FA51"/>
  <c r="EZ51"/>
  <c r="CZ48"/>
  <c r="CH47"/>
  <c r="EH46"/>
  <c r="DQ45"/>
  <c r="EZ43"/>
  <c r="FA39"/>
  <c r="EZ39"/>
  <c r="EH39"/>
  <c r="CH38"/>
  <c r="CZ35"/>
  <c r="EH34"/>
  <c r="EZ33"/>
  <c r="EH31"/>
  <c r="FA30"/>
  <c r="EZ30"/>
  <c r="CH29"/>
  <c r="EH27"/>
  <c r="CZ27"/>
  <c r="FA26"/>
  <c r="EZ26"/>
  <c r="CH26"/>
  <c r="DQ24"/>
  <c r="EH22"/>
  <c r="EZ21"/>
  <c r="CZ20"/>
  <c r="CH19"/>
  <c r="FA18"/>
  <c r="EZ18"/>
  <c r="EH17"/>
  <c r="DQ17"/>
  <c r="CZ14"/>
  <c r="CH13"/>
  <c r="EZ11"/>
  <c r="DL128" i="250"/>
  <c r="DK128"/>
  <c r="CX128"/>
  <c r="CL127"/>
  <c r="DL115"/>
  <c r="DK115"/>
  <c r="CL115"/>
  <c r="CX112"/>
  <c r="CX108"/>
  <c r="DL107"/>
  <c r="DK107"/>
  <c r="CL107"/>
  <c r="BM105"/>
  <c r="CX100"/>
  <c r="DL99"/>
  <c r="DK99"/>
  <c r="CL96"/>
  <c r="BM96"/>
  <c r="BM93"/>
  <c r="BM90"/>
  <c r="CL88"/>
  <c r="BZ105"/>
  <c r="BM87"/>
  <c r="DL84"/>
  <c r="DK84"/>
  <c r="CX82"/>
  <c r="BM80"/>
  <c r="DL79"/>
  <c r="DK79"/>
  <c r="BZ96"/>
  <c r="CX78"/>
  <c r="CL77"/>
  <c r="BZ93"/>
  <c r="BL75"/>
  <c r="BJ75"/>
  <c r="BL74"/>
  <c r="BJ74"/>
  <c r="DL73"/>
  <c r="DK73"/>
  <c r="BZ90"/>
  <c r="CX71"/>
  <c r="CL70"/>
  <c r="BZ71"/>
  <c r="BM69"/>
  <c r="DL67"/>
  <c r="DK67"/>
  <c r="CX65"/>
  <c r="BM65"/>
  <c r="DL62"/>
  <c r="DK62"/>
  <c r="BZ63"/>
  <c r="BM61"/>
  <c r="CX57"/>
  <c r="CL56"/>
  <c r="DL55"/>
  <c r="DK55"/>
  <c r="BM54"/>
  <c r="BZ53"/>
  <c r="CL48"/>
  <c r="BM48"/>
  <c r="BZ46"/>
  <c r="BM43"/>
  <c r="BZ43"/>
  <c r="DL41"/>
  <c r="DK41"/>
  <c r="CX41"/>
  <c r="BZ40"/>
  <c r="BM38"/>
  <c r="DK37"/>
  <c r="DL35"/>
  <c r="DK35"/>
  <c r="CX35"/>
  <c r="CL34"/>
  <c r="BZ33"/>
  <c r="BM31"/>
  <c r="DK29"/>
  <c r="CX29"/>
  <c r="CL28"/>
  <c r="DL27"/>
  <c r="DK27"/>
  <c r="BZ26"/>
  <c r="BM24"/>
  <c r="CX23"/>
  <c r="DL22"/>
  <c r="DK22"/>
  <c r="BM19"/>
  <c r="BZ19"/>
  <c r="DL17"/>
  <c r="DK17"/>
  <c r="CL16"/>
  <c r="CX15"/>
  <c r="BM14"/>
  <c r="CX12"/>
  <c r="CL11"/>
  <c r="BZ11"/>
  <c r="BM11"/>
  <c r="DL10"/>
  <c r="DK10"/>
  <c r="U30" i="243"/>
  <c r="R30"/>
  <c r="S27"/>
  <c r="O30"/>
  <c r="P18" s="1"/>
  <c r="L30"/>
  <c r="M11" s="1"/>
  <c r="I30"/>
  <c r="G30"/>
  <c r="F30"/>
  <c r="E30"/>
  <c r="D30"/>
  <c r="W27"/>
  <c r="W26"/>
  <c r="T26"/>
  <c r="Q26"/>
  <c r="N26"/>
  <c r="K26"/>
  <c r="W25"/>
  <c r="T25"/>
  <c r="Q25"/>
  <c r="N25"/>
  <c r="K25"/>
  <c r="W24"/>
  <c r="T24"/>
  <c r="Q24"/>
  <c r="N24"/>
  <c r="K24"/>
  <c r="W23"/>
  <c r="T23"/>
  <c r="Q23"/>
  <c r="N23"/>
  <c r="K23"/>
  <c r="W22"/>
  <c r="T22"/>
  <c r="Q22"/>
  <c r="N22"/>
  <c r="K22"/>
  <c r="W21"/>
  <c r="T21"/>
  <c r="Q21"/>
  <c r="N21"/>
  <c r="K21"/>
  <c r="H21"/>
  <c r="W20"/>
  <c r="T20"/>
  <c r="Q20"/>
  <c r="H20"/>
  <c r="W19"/>
  <c r="T19"/>
  <c r="Q19"/>
  <c r="N19"/>
  <c r="K19"/>
  <c r="W18"/>
  <c r="T18"/>
  <c r="Q18"/>
  <c r="N18"/>
  <c r="K18"/>
  <c r="W17"/>
  <c r="T17"/>
  <c r="Q17"/>
  <c r="N17"/>
  <c r="K17"/>
  <c r="W16"/>
  <c r="T16"/>
  <c r="Q16"/>
  <c r="N16"/>
  <c r="K16"/>
  <c r="W15"/>
  <c r="T15"/>
  <c r="Q15"/>
  <c r="N15"/>
  <c r="K15"/>
  <c r="W14"/>
  <c r="T14"/>
  <c r="Q14"/>
  <c r="N14"/>
  <c r="K14"/>
  <c r="H14"/>
  <c r="W13"/>
  <c r="T13"/>
  <c r="Q13"/>
  <c r="N13"/>
  <c r="K13"/>
  <c r="H13"/>
  <c r="W12"/>
  <c r="T12"/>
  <c r="Q12"/>
  <c r="N12"/>
  <c r="K12"/>
  <c r="H12"/>
  <c r="W11"/>
  <c r="T11"/>
  <c r="Q11"/>
  <c r="N11"/>
  <c r="K11"/>
  <c r="W10"/>
  <c r="T10"/>
  <c r="Q10"/>
  <c r="N10"/>
  <c r="K10"/>
  <c r="H10"/>
  <c r="K9"/>
  <c r="W8"/>
  <c r="T8"/>
  <c r="Q8"/>
  <c r="N8"/>
  <c r="K8"/>
  <c r="H8"/>
  <c r="W7"/>
  <c r="T7"/>
  <c r="Q7"/>
  <c r="N7"/>
  <c r="K7"/>
  <c r="H7"/>
  <c r="W6"/>
  <c r="T6"/>
  <c r="Q6"/>
  <c r="N6"/>
  <c r="K6"/>
  <c r="H6"/>
  <c r="P18" i="242"/>
  <c r="Q14" s="1"/>
  <c r="M18"/>
  <c r="O18" s="1"/>
  <c r="J18"/>
  <c r="K14" s="1"/>
  <c r="I18"/>
  <c r="H18"/>
  <c r="F18"/>
  <c r="E18"/>
  <c r="C18"/>
  <c r="R17"/>
  <c r="O17"/>
  <c r="L17"/>
  <c r="I17"/>
  <c r="H17"/>
  <c r="F17"/>
  <c r="E17"/>
  <c r="C17"/>
  <c r="H16"/>
  <c r="F16"/>
  <c r="E16"/>
  <c r="C16"/>
  <c r="R15"/>
  <c r="O15"/>
  <c r="L15"/>
  <c r="I15"/>
  <c r="H15"/>
  <c r="F15"/>
  <c r="E15"/>
  <c r="C15"/>
  <c r="R14"/>
  <c r="O14"/>
  <c r="N14"/>
  <c r="L14"/>
  <c r="H14"/>
  <c r="F14"/>
  <c r="E14"/>
  <c r="C14"/>
  <c r="R13"/>
  <c r="O13"/>
  <c r="L13"/>
  <c r="I13"/>
  <c r="H13"/>
  <c r="F13"/>
  <c r="E13"/>
  <c r="C13"/>
  <c r="R12"/>
  <c r="O12"/>
  <c r="L12"/>
  <c r="I12"/>
  <c r="H12"/>
  <c r="F12"/>
  <c r="E12"/>
  <c r="C12"/>
  <c r="R11"/>
  <c r="O11"/>
  <c r="L11"/>
  <c r="I11"/>
  <c r="H11"/>
  <c r="F11"/>
  <c r="E11"/>
  <c r="C11"/>
  <c r="R10"/>
  <c r="O10"/>
  <c r="L10"/>
  <c r="I10"/>
  <c r="H10"/>
  <c r="F10"/>
  <c r="E10"/>
  <c r="C10"/>
  <c r="R9"/>
  <c r="O9"/>
  <c r="L9"/>
  <c r="I9"/>
  <c r="H9"/>
  <c r="F9"/>
  <c r="E9"/>
  <c r="C9"/>
  <c r="R8"/>
  <c r="O8"/>
  <c r="L8"/>
  <c r="I8"/>
  <c r="H8"/>
  <c r="F8"/>
  <c r="E8"/>
  <c r="C8"/>
  <c r="R7"/>
  <c r="O7"/>
  <c r="L7"/>
  <c r="I7"/>
  <c r="H7"/>
  <c r="F7"/>
  <c r="E7"/>
  <c r="C7"/>
  <c r="D81" i="237"/>
  <c r="C81"/>
  <c r="B81"/>
  <c r="E80"/>
  <c r="E79"/>
  <c r="E78"/>
  <c r="E77"/>
  <c r="E76"/>
  <c r="E75"/>
  <c r="C71"/>
  <c r="B71"/>
  <c r="D70"/>
  <c r="E70"/>
  <c r="D69"/>
  <c r="E69" s="1"/>
  <c r="D68"/>
  <c r="E68"/>
  <c r="D67"/>
  <c r="E67"/>
  <c r="D66"/>
  <c r="E66"/>
  <c r="D65"/>
  <c r="E65" s="1"/>
  <c r="C61"/>
  <c r="B61"/>
  <c r="D60"/>
  <c r="E60"/>
  <c r="D59"/>
  <c r="E59"/>
  <c r="D58"/>
  <c r="E58" s="1"/>
  <c r="D57"/>
  <c r="E57"/>
  <c r="D56"/>
  <c r="E56"/>
  <c r="D55"/>
  <c r="C51"/>
  <c r="B51"/>
  <c r="D50"/>
  <c r="E50"/>
  <c r="D49"/>
  <c r="D48"/>
  <c r="E48"/>
  <c r="D47"/>
  <c r="E47"/>
  <c r="D46"/>
  <c r="D45"/>
  <c r="C97" i="236"/>
  <c r="C78"/>
  <c r="C67"/>
  <c r="C56"/>
  <c r="AB45" i="235"/>
  <c r="AA45"/>
  <c r="Y45"/>
  <c r="Z45" s="1"/>
  <c r="X45"/>
  <c r="V45"/>
  <c r="U45"/>
  <c r="W45" s="1"/>
  <c r="S45"/>
  <c r="R45"/>
  <c r="N45"/>
  <c r="K45"/>
  <c r="J45"/>
  <c r="G45"/>
  <c r="F45"/>
  <c r="C45"/>
  <c r="B45"/>
  <c r="AB44"/>
  <c r="AA44"/>
  <c r="Y44"/>
  <c r="X44"/>
  <c r="V44"/>
  <c r="U44"/>
  <c r="S44"/>
  <c r="T44" s="1"/>
  <c r="R44"/>
  <c r="O44"/>
  <c r="N44"/>
  <c r="K44"/>
  <c r="J44"/>
  <c r="G44"/>
  <c r="F44"/>
  <c r="C44"/>
  <c r="B44"/>
  <c r="AB43"/>
  <c r="AA43"/>
  <c r="Y43"/>
  <c r="X43"/>
  <c r="U43"/>
  <c r="R43"/>
  <c r="N43"/>
  <c r="J43"/>
  <c r="F43"/>
  <c r="B43"/>
  <c r="AC39"/>
  <c r="Z39"/>
  <c r="W39"/>
  <c r="T39"/>
  <c r="O39"/>
  <c r="AC33"/>
  <c r="Z33"/>
  <c r="W33"/>
  <c r="T33"/>
  <c r="Q33"/>
  <c r="P33"/>
  <c r="M33"/>
  <c r="L33"/>
  <c r="I33"/>
  <c r="H33"/>
  <c r="E33"/>
  <c r="D33"/>
  <c r="AC32"/>
  <c r="Z32"/>
  <c r="W32"/>
  <c r="T32"/>
  <c r="Q32"/>
  <c r="P32"/>
  <c r="M32"/>
  <c r="L32"/>
  <c r="I32"/>
  <c r="H32"/>
  <c r="E32"/>
  <c r="D32"/>
  <c r="AC31"/>
  <c r="Z31"/>
  <c r="W31"/>
  <c r="S31"/>
  <c r="T31"/>
  <c r="O31"/>
  <c r="Q31"/>
  <c r="K31"/>
  <c r="G31"/>
  <c r="H31"/>
  <c r="C31"/>
  <c r="U28"/>
  <c r="R28"/>
  <c r="AC27"/>
  <c r="Z27"/>
  <c r="W27"/>
  <c r="T27"/>
  <c r="M27"/>
  <c r="L27"/>
  <c r="I27"/>
  <c r="H27"/>
  <c r="E27"/>
  <c r="D27"/>
  <c r="AC26"/>
  <c r="Z26"/>
  <c r="W26"/>
  <c r="T26"/>
  <c r="M26"/>
  <c r="L26"/>
  <c r="I26"/>
  <c r="H26"/>
  <c r="E26"/>
  <c r="D26"/>
  <c r="AC25"/>
  <c r="Z25"/>
  <c r="W25"/>
  <c r="T25"/>
  <c r="K25"/>
  <c r="L25"/>
  <c r="G25"/>
  <c r="C25"/>
  <c r="D25"/>
  <c r="AC21"/>
  <c r="Z21"/>
  <c r="W21"/>
  <c r="T21"/>
  <c r="Q21"/>
  <c r="P21"/>
  <c r="M21"/>
  <c r="L21"/>
  <c r="I21"/>
  <c r="H21"/>
  <c r="E21"/>
  <c r="D21"/>
  <c r="AC20"/>
  <c r="Z20"/>
  <c r="W20"/>
  <c r="T20"/>
  <c r="Q20"/>
  <c r="P20"/>
  <c r="M20"/>
  <c r="L20"/>
  <c r="I20"/>
  <c r="H20"/>
  <c r="E20"/>
  <c r="D20"/>
  <c r="AC19"/>
  <c r="Z19"/>
  <c r="W19"/>
  <c r="S19"/>
  <c r="T19"/>
  <c r="O19"/>
  <c r="Q19" s="1"/>
  <c r="K19"/>
  <c r="G19"/>
  <c r="I19"/>
  <c r="C19"/>
  <c r="D19"/>
  <c r="AC15"/>
  <c r="Z15"/>
  <c r="W15"/>
  <c r="T15"/>
  <c r="Q15"/>
  <c r="P15"/>
  <c r="M15"/>
  <c r="L15"/>
  <c r="I15"/>
  <c r="H15"/>
  <c r="E15"/>
  <c r="D15"/>
  <c r="AC14"/>
  <c r="Z14"/>
  <c r="W14"/>
  <c r="T14"/>
  <c r="Q14"/>
  <c r="P14"/>
  <c r="M14"/>
  <c r="L14"/>
  <c r="I14"/>
  <c r="H14"/>
  <c r="E14"/>
  <c r="D14"/>
  <c r="AC13"/>
  <c r="Z13"/>
  <c r="W13"/>
  <c r="S13"/>
  <c r="T13" s="1"/>
  <c r="Q13"/>
  <c r="P13"/>
  <c r="M13"/>
  <c r="L13"/>
  <c r="I13"/>
  <c r="H13"/>
  <c r="E13"/>
  <c r="D13"/>
  <c r="AC9"/>
  <c r="Z9"/>
  <c r="W9"/>
  <c r="T9"/>
  <c r="Q9"/>
  <c r="P9"/>
  <c r="M9"/>
  <c r="L9"/>
  <c r="I9"/>
  <c r="H9"/>
  <c r="E9"/>
  <c r="D9"/>
  <c r="AC8"/>
  <c r="Z8"/>
  <c r="W8"/>
  <c r="T8"/>
  <c r="Q8"/>
  <c r="P8"/>
  <c r="M8"/>
  <c r="L8"/>
  <c r="I8"/>
  <c r="H8"/>
  <c r="E8"/>
  <c r="D8"/>
  <c r="AC7"/>
  <c r="Z7"/>
  <c r="V7"/>
  <c r="W7"/>
  <c r="S7"/>
  <c r="T7"/>
  <c r="O7"/>
  <c r="K7"/>
  <c r="M7" s="1"/>
  <c r="G7"/>
  <c r="I7" s="1"/>
  <c r="C7"/>
  <c r="C43"/>
  <c r="E43" s="1"/>
  <c r="BA42" i="234"/>
  <c r="BC42"/>
  <c r="AU42"/>
  <c r="AW42"/>
  <c r="AO42"/>
  <c r="AQ42" s="1"/>
  <c r="AI42"/>
  <c r="AK42"/>
  <c r="AB42"/>
  <c r="AC42"/>
  <c r="AE42" s="1"/>
  <c r="BB40"/>
  <c r="AZ40"/>
  <c r="AZ44" s="1"/>
  <c r="AY40"/>
  <c r="AV40"/>
  <c r="AT40"/>
  <c r="AS40"/>
  <c r="AP40"/>
  <c r="AN40"/>
  <c r="AM40"/>
  <c r="AJ40"/>
  <c r="AH40"/>
  <c r="AG40"/>
  <c r="AD40"/>
  <c r="AB40"/>
  <c r="AA40"/>
  <c r="AA44" s="1"/>
  <c r="BA39"/>
  <c r="BC39" s="1"/>
  <c r="AU39"/>
  <c r="AW39" s="1"/>
  <c r="AO39"/>
  <c r="AQ39"/>
  <c r="AI39"/>
  <c r="AK39"/>
  <c r="AC39"/>
  <c r="AE39" s="1"/>
  <c r="BA38"/>
  <c r="BC38" s="1"/>
  <c r="AU38"/>
  <c r="AW38" s="1"/>
  <c r="AO38"/>
  <c r="AI38"/>
  <c r="AK38" s="1"/>
  <c r="AC38"/>
  <c r="AE38" s="1"/>
  <c r="BA37"/>
  <c r="BC37"/>
  <c r="AU37"/>
  <c r="AO37"/>
  <c r="AQ37"/>
  <c r="AI37"/>
  <c r="AK37"/>
  <c r="AC37"/>
  <c r="AE37" s="1"/>
  <c r="BA36"/>
  <c r="BC36"/>
  <c r="AU36"/>
  <c r="AW36"/>
  <c r="AO36"/>
  <c r="AQ36" s="1"/>
  <c r="AI36"/>
  <c r="AC36"/>
  <c r="AE36" s="1"/>
  <c r="BA35"/>
  <c r="BC35"/>
  <c r="AU35"/>
  <c r="AO35"/>
  <c r="AQ35" s="1"/>
  <c r="AI35"/>
  <c r="AC35"/>
  <c r="BB33"/>
  <c r="AZ33"/>
  <c r="AY33"/>
  <c r="AV33"/>
  <c r="AT33"/>
  <c r="AS33"/>
  <c r="AP33"/>
  <c r="AN33"/>
  <c r="AM33"/>
  <c r="AJ33"/>
  <c r="AH33"/>
  <c r="AG33"/>
  <c r="AD33"/>
  <c r="AA33"/>
  <c r="BA32"/>
  <c r="AU32"/>
  <c r="AO32"/>
  <c r="AI32"/>
  <c r="AC32"/>
  <c r="BA31"/>
  <c r="BC31"/>
  <c r="AU31"/>
  <c r="AW31" s="1"/>
  <c r="AO31"/>
  <c r="AO33" s="1"/>
  <c r="AI31"/>
  <c r="AK31" s="1"/>
  <c r="AB31"/>
  <c r="AC31"/>
  <c r="AE31" s="1"/>
  <c r="BA30"/>
  <c r="AU30"/>
  <c r="AO30"/>
  <c r="AI30"/>
  <c r="AI33" s="1"/>
  <c r="AC30"/>
  <c r="BA29"/>
  <c r="AU29"/>
  <c r="AU33" s="1"/>
  <c r="AW33" s="1"/>
  <c r="AO29"/>
  <c r="AI29"/>
  <c r="AC29"/>
  <c r="BA28"/>
  <c r="AU28"/>
  <c r="AO28"/>
  <c r="AI28"/>
  <c r="AC28"/>
  <c r="BB26"/>
  <c r="AZ26"/>
  <c r="AY26"/>
  <c r="AV26"/>
  <c r="AT26"/>
  <c r="AS26"/>
  <c r="AP26"/>
  <c r="AN26"/>
  <c r="AM26"/>
  <c r="AJ26"/>
  <c r="AH26"/>
  <c r="AG26"/>
  <c r="AD26"/>
  <c r="AA26"/>
  <c r="BA25"/>
  <c r="BC25"/>
  <c r="AU25"/>
  <c r="AW25"/>
  <c r="AO25"/>
  <c r="AQ25"/>
  <c r="AI25"/>
  <c r="AK25" s="1"/>
  <c r="AC25"/>
  <c r="AE25" s="1"/>
  <c r="BA24"/>
  <c r="BC24" s="1"/>
  <c r="AU24"/>
  <c r="AW24"/>
  <c r="AO24"/>
  <c r="AQ24" s="1"/>
  <c r="AI24"/>
  <c r="AK24" s="1"/>
  <c r="AC24"/>
  <c r="AE24"/>
  <c r="BA23"/>
  <c r="BC23"/>
  <c r="AU23"/>
  <c r="AW23" s="1"/>
  <c r="AO23"/>
  <c r="AQ23"/>
  <c r="AI23"/>
  <c r="AK23" s="1"/>
  <c r="AB23"/>
  <c r="AC23"/>
  <c r="AE23"/>
  <c r="BA22"/>
  <c r="BC22"/>
  <c r="AU22"/>
  <c r="AO22"/>
  <c r="AQ22" s="1"/>
  <c r="AI22"/>
  <c r="AK22" s="1"/>
  <c r="AC22"/>
  <c r="AE22"/>
  <c r="BA21"/>
  <c r="BC21"/>
  <c r="AU21"/>
  <c r="AW21" s="1"/>
  <c r="AO21"/>
  <c r="AQ21"/>
  <c r="AI21"/>
  <c r="AC21"/>
  <c r="AE21"/>
  <c r="BB19"/>
  <c r="AZ19"/>
  <c r="AY19"/>
  <c r="AV19"/>
  <c r="AT19"/>
  <c r="AS19"/>
  <c r="AP19"/>
  <c r="AN19"/>
  <c r="AM19"/>
  <c r="AJ19"/>
  <c r="AH19"/>
  <c r="AG19"/>
  <c r="AD19"/>
  <c r="AB19"/>
  <c r="AA19"/>
  <c r="BA18"/>
  <c r="BC18" s="1"/>
  <c r="AU18"/>
  <c r="AW18" s="1"/>
  <c r="AO18"/>
  <c r="AQ18" s="1"/>
  <c r="AI18"/>
  <c r="AK18"/>
  <c r="AC18"/>
  <c r="AE18"/>
  <c r="BA17"/>
  <c r="BC17" s="1"/>
  <c r="AU17"/>
  <c r="AW17" s="1"/>
  <c r="AO17"/>
  <c r="AI17"/>
  <c r="AK17" s="1"/>
  <c r="AC17"/>
  <c r="AE17"/>
  <c r="BA16"/>
  <c r="BC16"/>
  <c r="AU16"/>
  <c r="AO16"/>
  <c r="AQ16"/>
  <c r="AI16"/>
  <c r="AK16"/>
  <c r="AC16"/>
  <c r="AE16" s="1"/>
  <c r="BA15"/>
  <c r="BC15"/>
  <c r="AU15"/>
  <c r="AW15"/>
  <c r="AO15"/>
  <c r="AQ15" s="1"/>
  <c r="AI15"/>
  <c r="AC15"/>
  <c r="BA14"/>
  <c r="AU14"/>
  <c r="AW14" s="1"/>
  <c r="AO14"/>
  <c r="AQ14" s="1"/>
  <c r="AI14"/>
  <c r="AC14"/>
  <c r="AE14" s="1"/>
  <c r="BB12"/>
  <c r="AZ12"/>
  <c r="AY12"/>
  <c r="AY44" s="1"/>
  <c r="AV12"/>
  <c r="AV44" s="1"/>
  <c r="AT12"/>
  <c r="AS12"/>
  <c r="AP12"/>
  <c r="AP44"/>
  <c r="AN12"/>
  <c r="AM12"/>
  <c r="AJ12"/>
  <c r="AH12"/>
  <c r="AG12"/>
  <c r="AD12"/>
  <c r="AA12"/>
  <c r="BA11"/>
  <c r="BC11"/>
  <c r="AU11"/>
  <c r="AW11" s="1"/>
  <c r="AO11"/>
  <c r="AI11"/>
  <c r="AK11" s="1"/>
  <c r="AC11"/>
  <c r="AE11"/>
  <c r="BA10"/>
  <c r="BC10" s="1"/>
  <c r="AU10"/>
  <c r="AW10"/>
  <c r="AO10"/>
  <c r="AQ10"/>
  <c r="AI10"/>
  <c r="AK10"/>
  <c r="AB10"/>
  <c r="AC10" s="1"/>
  <c r="AE10" s="1"/>
  <c r="BA9"/>
  <c r="BC9"/>
  <c r="AU9"/>
  <c r="AO9"/>
  <c r="AQ9"/>
  <c r="AI9"/>
  <c r="AK9" s="1"/>
  <c r="AB9"/>
  <c r="AC9" s="1"/>
  <c r="AE9" s="1"/>
  <c r="BA8"/>
  <c r="BC8" s="1"/>
  <c r="AU8"/>
  <c r="AW8"/>
  <c r="AO8"/>
  <c r="AQ8"/>
  <c r="AI8"/>
  <c r="AK8" s="1"/>
  <c r="AB8"/>
  <c r="BA7"/>
  <c r="BC7"/>
  <c r="AU7"/>
  <c r="AW7" s="1"/>
  <c r="AO7"/>
  <c r="AQ7" s="1"/>
  <c r="AI7"/>
  <c r="AK7" s="1"/>
  <c r="AB7"/>
  <c r="AL42" i="233"/>
  <c r="AH42"/>
  <c r="AD42"/>
  <c r="Z42"/>
  <c r="V42"/>
  <c r="AK40"/>
  <c r="AJ40"/>
  <c r="AG40"/>
  <c r="AF40"/>
  <c r="AH40" s="1"/>
  <c r="AC40"/>
  <c r="AB40"/>
  <c r="AD40" s="1"/>
  <c r="Y40"/>
  <c r="X40"/>
  <c r="T40"/>
  <c r="V40" s="1"/>
  <c r="AL39"/>
  <c r="AH39"/>
  <c r="AD39"/>
  <c r="Z39"/>
  <c r="V39"/>
  <c r="AL38"/>
  <c r="AH38"/>
  <c r="AD38"/>
  <c r="Z38"/>
  <c r="V38"/>
  <c r="AL37"/>
  <c r="AH37"/>
  <c r="AD37"/>
  <c r="Z37"/>
  <c r="V37"/>
  <c r="AL36"/>
  <c r="AH36"/>
  <c r="AD36"/>
  <c r="Z36"/>
  <c r="V36"/>
  <c r="AL35"/>
  <c r="AH35"/>
  <c r="AD35"/>
  <c r="Z35"/>
  <c r="V35"/>
  <c r="AK33"/>
  <c r="AJ33"/>
  <c r="AG33"/>
  <c r="AF33"/>
  <c r="AH33" s="1"/>
  <c r="AC33"/>
  <c r="AB33"/>
  <c r="Y33"/>
  <c r="X33"/>
  <c r="Z33" s="1"/>
  <c r="T33"/>
  <c r="V33" s="1"/>
  <c r="AL32"/>
  <c r="AH32"/>
  <c r="AD32"/>
  <c r="Z32"/>
  <c r="V32"/>
  <c r="AL31"/>
  <c r="AH31"/>
  <c r="AD31"/>
  <c r="Z31"/>
  <c r="V31"/>
  <c r="AL30"/>
  <c r="AH30"/>
  <c r="AD30"/>
  <c r="Z30"/>
  <c r="V30"/>
  <c r="AL29"/>
  <c r="AH29"/>
  <c r="AD29"/>
  <c r="Z29"/>
  <c r="V29"/>
  <c r="AL28"/>
  <c r="AH28"/>
  <c r="AD28"/>
  <c r="Z28"/>
  <c r="V28"/>
  <c r="AK26"/>
  <c r="AJ26"/>
  <c r="AG26"/>
  <c r="AH26" s="1"/>
  <c r="AF26"/>
  <c r="AC26"/>
  <c r="AB26"/>
  <c r="AD26" s="1"/>
  <c r="Y26"/>
  <c r="X26"/>
  <c r="X44" s="1"/>
  <c r="U26"/>
  <c r="T26"/>
  <c r="AL25"/>
  <c r="AH25"/>
  <c r="AD25"/>
  <c r="Z25"/>
  <c r="V25"/>
  <c r="AL24"/>
  <c r="AH24"/>
  <c r="AD24"/>
  <c r="Z24"/>
  <c r="V24"/>
  <c r="AL23"/>
  <c r="AH23"/>
  <c r="AD23"/>
  <c r="Z23"/>
  <c r="V23"/>
  <c r="AL22"/>
  <c r="AH22"/>
  <c r="AD22"/>
  <c r="Z22"/>
  <c r="V22"/>
  <c r="AL21"/>
  <c r="AH21"/>
  <c r="AD21"/>
  <c r="Z21"/>
  <c r="V21"/>
  <c r="AK19"/>
  <c r="AJ19"/>
  <c r="AG19"/>
  <c r="AH19" s="1"/>
  <c r="AF19"/>
  <c r="AC19"/>
  <c r="AB19"/>
  <c r="Y19"/>
  <c r="X19"/>
  <c r="U19"/>
  <c r="T19"/>
  <c r="V19" s="1"/>
  <c r="AL18"/>
  <c r="AH18"/>
  <c r="AD18"/>
  <c r="Z18"/>
  <c r="V18"/>
  <c r="AL17"/>
  <c r="AH17"/>
  <c r="AD17"/>
  <c r="Z17"/>
  <c r="V17"/>
  <c r="AL16"/>
  <c r="AH16"/>
  <c r="AD16"/>
  <c r="Z16"/>
  <c r="V16"/>
  <c r="AL15"/>
  <c r="AH15"/>
  <c r="AD15"/>
  <c r="Z15"/>
  <c r="V15"/>
  <c r="AL14"/>
  <c r="AH14"/>
  <c r="AD14"/>
  <c r="Z14"/>
  <c r="V14"/>
  <c r="AK12"/>
  <c r="AJ12"/>
  <c r="AG12"/>
  <c r="AF12"/>
  <c r="AC12"/>
  <c r="AB12"/>
  <c r="Y12"/>
  <c r="X12"/>
  <c r="Z12"/>
  <c r="U12"/>
  <c r="T12"/>
  <c r="T44"/>
  <c r="AL11"/>
  <c r="AH11"/>
  <c r="AD11"/>
  <c r="Z11"/>
  <c r="V11"/>
  <c r="AL10"/>
  <c r="AH10"/>
  <c r="AD10"/>
  <c r="Z10"/>
  <c r="V10"/>
  <c r="AL9"/>
  <c r="AH9"/>
  <c r="AD9"/>
  <c r="Z9"/>
  <c r="V9"/>
  <c r="AL8"/>
  <c r="AH8"/>
  <c r="AD8"/>
  <c r="Z8"/>
  <c r="V8"/>
  <c r="AL7"/>
  <c r="AH7"/>
  <c r="AD7"/>
  <c r="Z7"/>
  <c r="V7"/>
  <c r="J189" i="232"/>
  <c r="I189"/>
  <c r="K189" s="1"/>
  <c r="F189"/>
  <c r="K187"/>
  <c r="D187"/>
  <c r="G187" s="1"/>
  <c r="M187" s="1"/>
  <c r="K185"/>
  <c r="E185"/>
  <c r="E189" s="1"/>
  <c r="D185"/>
  <c r="K183"/>
  <c r="D183"/>
  <c r="G183" s="1"/>
  <c r="K181"/>
  <c r="D181"/>
  <c r="G181" s="1"/>
  <c r="M181" s="1"/>
  <c r="K179"/>
  <c r="D179"/>
  <c r="G179"/>
  <c r="M179" s="1"/>
  <c r="K177"/>
  <c r="D177"/>
  <c r="J167"/>
  <c r="I167"/>
  <c r="F167"/>
  <c r="E167"/>
  <c r="K165"/>
  <c r="D165"/>
  <c r="G165" s="1"/>
  <c r="M165"/>
  <c r="K163"/>
  <c r="G163"/>
  <c r="M163"/>
  <c r="K161"/>
  <c r="G161"/>
  <c r="M161" s="1"/>
  <c r="K159"/>
  <c r="G159"/>
  <c r="M159" s="1"/>
  <c r="K157"/>
  <c r="G157"/>
  <c r="K155"/>
  <c r="G155"/>
  <c r="J146"/>
  <c r="I146"/>
  <c r="F146"/>
  <c r="E146"/>
  <c r="D146"/>
  <c r="K144"/>
  <c r="G83" i="231"/>
  <c r="G144" i="232"/>
  <c r="K142"/>
  <c r="G82" i="231"/>
  <c r="G142" i="232"/>
  <c r="M142" s="1"/>
  <c r="K140"/>
  <c r="M140" s="1"/>
  <c r="G140"/>
  <c r="K138"/>
  <c r="G80" i="231"/>
  <c r="G138" i="232"/>
  <c r="M138"/>
  <c r="K136"/>
  <c r="G136"/>
  <c r="K134"/>
  <c r="M134" s="1"/>
  <c r="G134"/>
  <c r="J125"/>
  <c r="I125"/>
  <c r="K125" s="1"/>
  <c r="F125"/>
  <c r="E125"/>
  <c r="K123"/>
  <c r="G123"/>
  <c r="K121"/>
  <c r="D121"/>
  <c r="K119"/>
  <c r="D119"/>
  <c r="G119" s="1"/>
  <c r="M119" s="1"/>
  <c r="K117"/>
  <c r="D117"/>
  <c r="G117" s="1"/>
  <c r="K115"/>
  <c r="D115"/>
  <c r="G115" s="1"/>
  <c r="M115" s="1"/>
  <c r="K113"/>
  <c r="M113" s="1"/>
  <c r="D113"/>
  <c r="G113"/>
  <c r="J105"/>
  <c r="I105"/>
  <c r="F105"/>
  <c r="E105"/>
  <c r="D105"/>
  <c r="K103"/>
  <c r="G103"/>
  <c r="K101"/>
  <c r="G101"/>
  <c r="M101" s="1"/>
  <c r="K99"/>
  <c r="G57" i="231"/>
  <c r="G99" i="232"/>
  <c r="K97"/>
  <c r="G97"/>
  <c r="M97" s="1"/>
  <c r="K95"/>
  <c r="G55" i="231"/>
  <c r="G95" i="232"/>
  <c r="M95" s="1"/>
  <c r="K93"/>
  <c r="M93" s="1"/>
  <c r="G54" i="231"/>
  <c r="G93" i="232"/>
  <c r="Y190" i="231"/>
  <c r="X190"/>
  <c r="W190"/>
  <c r="Z189"/>
  <c r="Z188"/>
  <c r="Z187"/>
  <c r="Z186"/>
  <c r="R186"/>
  <c r="Q186"/>
  <c r="P186"/>
  <c r="Z185"/>
  <c r="S185"/>
  <c r="Z184"/>
  <c r="S184"/>
  <c r="N183"/>
  <c r="N182"/>
  <c r="F109"/>
  <c r="G109" s="1"/>
  <c r="B109"/>
  <c r="G108"/>
  <c r="G107"/>
  <c r="G106"/>
  <c r="G105"/>
  <c r="G104"/>
  <c r="G103"/>
  <c r="F96"/>
  <c r="D96"/>
  <c r="C96"/>
  <c r="B96"/>
  <c r="G95"/>
  <c r="G94"/>
  <c r="E94"/>
  <c r="G93"/>
  <c r="E93"/>
  <c r="G92"/>
  <c r="E92"/>
  <c r="G91"/>
  <c r="G90"/>
  <c r="D84"/>
  <c r="C84"/>
  <c r="E83"/>
  <c r="E82"/>
  <c r="G81"/>
  <c r="E81"/>
  <c r="E80"/>
  <c r="G79"/>
  <c r="E79"/>
  <c r="E78"/>
  <c r="B84"/>
  <c r="G71"/>
  <c r="D60"/>
  <c r="C60"/>
  <c r="B60"/>
  <c r="G59"/>
  <c r="G58"/>
  <c r="E57"/>
  <c r="G56"/>
  <c r="E56"/>
  <c r="E55"/>
  <c r="E54"/>
  <c r="D9" i="230"/>
  <c r="B9"/>
  <c r="E8"/>
  <c r="F7"/>
  <c r="F9" s="1"/>
  <c r="E7"/>
  <c r="C7"/>
  <c r="C9" s="1"/>
  <c r="F18" i="224"/>
  <c r="F15"/>
  <c r="F12"/>
  <c r="AC36" i="223"/>
  <c r="AB36"/>
  <c r="AA36"/>
  <c r="W36"/>
  <c r="W37" s="1"/>
  <c r="V36"/>
  <c r="U36"/>
  <c r="Q36"/>
  <c r="P36"/>
  <c r="O36"/>
  <c r="K36"/>
  <c r="J36"/>
  <c r="I36"/>
  <c r="E36"/>
  <c r="D36"/>
  <c r="C36"/>
  <c r="AC35"/>
  <c r="AB35"/>
  <c r="AA35"/>
  <c r="W35"/>
  <c r="V35"/>
  <c r="U35"/>
  <c r="Q35"/>
  <c r="P35"/>
  <c r="O35"/>
  <c r="K35"/>
  <c r="J35"/>
  <c r="I35"/>
  <c r="E35"/>
  <c r="D35"/>
  <c r="C35"/>
  <c r="AC34"/>
  <c r="AB34"/>
  <c r="AA34"/>
  <c r="W34"/>
  <c r="V34"/>
  <c r="U34"/>
  <c r="U37" s="1"/>
  <c r="Q34"/>
  <c r="P34"/>
  <c r="O34"/>
  <c r="K34"/>
  <c r="J34"/>
  <c r="I34"/>
  <c r="E34"/>
  <c r="D34"/>
  <c r="C34"/>
  <c r="AC33"/>
  <c r="AB33"/>
  <c r="AA33"/>
  <c r="W33"/>
  <c r="V33"/>
  <c r="U33"/>
  <c r="Q33"/>
  <c r="P33"/>
  <c r="O33"/>
  <c r="K33"/>
  <c r="J33"/>
  <c r="I33"/>
  <c r="E33"/>
  <c r="D33"/>
  <c r="C33"/>
  <c r="C37" s="1"/>
  <c r="AC32"/>
  <c r="AB32"/>
  <c r="AA32"/>
  <c r="W32"/>
  <c r="V32"/>
  <c r="U32"/>
  <c r="Q32"/>
  <c r="P32"/>
  <c r="O32"/>
  <c r="K32"/>
  <c r="J32"/>
  <c r="I32"/>
  <c r="E32"/>
  <c r="D32"/>
  <c r="C32"/>
  <c r="AC31"/>
  <c r="AB31"/>
  <c r="AA31"/>
  <c r="W31"/>
  <c r="V31"/>
  <c r="U31"/>
  <c r="Q31"/>
  <c r="P31"/>
  <c r="O31"/>
  <c r="K31"/>
  <c r="J31"/>
  <c r="I31"/>
  <c r="E31"/>
  <c r="D31"/>
  <c r="C31"/>
  <c r="AC29"/>
  <c r="AB29"/>
  <c r="AA29"/>
  <c r="W29"/>
  <c r="V29"/>
  <c r="U29"/>
  <c r="Q29"/>
  <c r="P29"/>
  <c r="O29"/>
  <c r="K29"/>
  <c r="J29"/>
  <c r="I29"/>
  <c r="E29"/>
  <c r="D29"/>
  <c r="C29"/>
  <c r="AD28"/>
  <c r="AE28" s="1"/>
  <c r="X28"/>
  <c r="Y28"/>
  <c r="R28"/>
  <c r="S28"/>
  <c r="L28"/>
  <c r="L34" s="1"/>
  <c r="F28"/>
  <c r="G28"/>
  <c r="AD27"/>
  <c r="AE27" s="1"/>
  <c r="X27"/>
  <c r="R27"/>
  <c r="S27"/>
  <c r="L27"/>
  <c r="M27"/>
  <c r="F27"/>
  <c r="G27" s="1"/>
  <c r="AD26"/>
  <c r="AE26" s="1"/>
  <c r="X26"/>
  <c r="Y26"/>
  <c r="R26"/>
  <c r="S26"/>
  <c r="L26"/>
  <c r="M26" s="1"/>
  <c r="F26"/>
  <c r="F29" s="1"/>
  <c r="AC19"/>
  <c r="AB19"/>
  <c r="AA19"/>
  <c r="W19"/>
  <c r="V19"/>
  <c r="U19"/>
  <c r="Q19"/>
  <c r="P19"/>
  <c r="O19"/>
  <c r="K19"/>
  <c r="J19"/>
  <c r="I19"/>
  <c r="E19"/>
  <c r="D19"/>
  <c r="C19"/>
  <c r="AD18"/>
  <c r="X18"/>
  <c r="Y18"/>
  <c r="R18"/>
  <c r="L18"/>
  <c r="F18"/>
  <c r="F33"/>
  <c r="AD17"/>
  <c r="AE17"/>
  <c r="X17"/>
  <c r="Y17" s="1"/>
  <c r="R17"/>
  <c r="L17"/>
  <c r="F17"/>
  <c r="AD16"/>
  <c r="X16"/>
  <c r="R16"/>
  <c r="L16"/>
  <c r="L31" s="1"/>
  <c r="F16"/>
  <c r="AC14"/>
  <c r="AB14"/>
  <c r="AA14"/>
  <c r="W14"/>
  <c r="V14"/>
  <c r="U14"/>
  <c r="Q14"/>
  <c r="P14"/>
  <c r="O14"/>
  <c r="K14"/>
  <c r="J14"/>
  <c r="I14"/>
  <c r="E14"/>
  <c r="D14"/>
  <c r="C14"/>
  <c r="AD13"/>
  <c r="X13"/>
  <c r="Y13"/>
  <c r="R13"/>
  <c r="S13"/>
  <c r="L13"/>
  <c r="M13" s="1"/>
  <c r="F13"/>
  <c r="AD12"/>
  <c r="X12"/>
  <c r="R12"/>
  <c r="S12" s="1"/>
  <c r="L12"/>
  <c r="M12"/>
  <c r="F12"/>
  <c r="G12"/>
  <c r="AD11"/>
  <c r="AE11" s="1"/>
  <c r="X11"/>
  <c r="Y11" s="1"/>
  <c r="R11"/>
  <c r="L11"/>
  <c r="M11" s="1"/>
  <c r="F11"/>
  <c r="AC9"/>
  <c r="AB9"/>
  <c r="AA9"/>
  <c r="W9"/>
  <c r="V9"/>
  <c r="X9" s="1"/>
  <c r="U9"/>
  <c r="Q9"/>
  <c r="R9" s="1"/>
  <c r="S9" s="1"/>
  <c r="P9"/>
  <c r="O9"/>
  <c r="K9"/>
  <c r="J9"/>
  <c r="L9" s="1"/>
  <c r="M9" s="1"/>
  <c r="I9"/>
  <c r="E9"/>
  <c r="D9"/>
  <c r="C9"/>
  <c r="AD8"/>
  <c r="X8"/>
  <c r="R8"/>
  <c r="S8"/>
  <c r="L8"/>
  <c r="F8"/>
  <c r="AD7"/>
  <c r="X7"/>
  <c r="R7"/>
  <c r="S7"/>
  <c r="L7"/>
  <c r="M7" s="1"/>
  <c r="F7"/>
  <c r="G7" s="1"/>
  <c r="AD6"/>
  <c r="AE6"/>
  <c r="X6"/>
  <c r="R6"/>
  <c r="S6"/>
  <c r="L6"/>
  <c r="M6"/>
  <c r="F6"/>
  <c r="M83" i="222"/>
  <c r="L83"/>
  <c r="N83" s="1"/>
  <c r="J83"/>
  <c r="I83"/>
  <c r="G83"/>
  <c r="F83"/>
  <c r="D83"/>
  <c r="C83"/>
  <c r="M78"/>
  <c r="L78"/>
  <c r="J78"/>
  <c r="I78"/>
  <c r="K78" s="1"/>
  <c r="G78"/>
  <c r="F78"/>
  <c r="H78" s="1"/>
  <c r="D78"/>
  <c r="E78" s="1"/>
  <c r="C78"/>
  <c r="M73"/>
  <c r="L73"/>
  <c r="J73"/>
  <c r="I73"/>
  <c r="G73"/>
  <c r="G84" s="1"/>
  <c r="F73"/>
  <c r="D73"/>
  <c r="C73"/>
  <c r="E73" s="1"/>
  <c r="M67"/>
  <c r="L67"/>
  <c r="J67"/>
  <c r="I67"/>
  <c r="I68" s="1"/>
  <c r="G67"/>
  <c r="F67"/>
  <c r="D67"/>
  <c r="E67" s="1"/>
  <c r="C67"/>
  <c r="M63"/>
  <c r="L63"/>
  <c r="J63"/>
  <c r="K63" s="1"/>
  <c r="I63"/>
  <c r="G63"/>
  <c r="F63"/>
  <c r="D63"/>
  <c r="C63"/>
  <c r="M59"/>
  <c r="L59"/>
  <c r="J59"/>
  <c r="K59" s="1"/>
  <c r="I59"/>
  <c r="G59"/>
  <c r="G68"/>
  <c r="F59"/>
  <c r="D59"/>
  <c r="C59"/>
  <c r="C68" s="1"/>
  <c r="M54"/>
  <c r="L54"/>
  <c r="N54" s="1"/>
  <c r="J54"/>
  <c r="J55" s="1"/>
  <c r="I54"/>
  <c r="G54"/>
  <c r="F54"/>
  <c r="D54"/>
  <c r="C54"/>
  <c r="M49"/>
  <c r="L49"/>
  <c r="N49" s="1"/>
  <c r="J49"/>
  <c r="I49"/>
  <c r="G49"/>
  <c r="F49"/>
  <c r="D49"/>
  <c r="C49"/>
  <c r="M43"/>
  <c r="M55"/>
  <c r="L43"/>
  <c r="J43"/>
  <c r="I43"/>
  <c r="G43"/>
  <c r="F43"/>
  <c r="D43"/>
  <c r="C43"/>
  <c r="E43"/>
  <c r="M36"/>
  <c r="N36" s="1"/>
  <c r="L36"/>
  <c r="J36"/>
  <c r="I36"/>
  <c r="G36"/>
  <c r="F36"/>
  <c r="D36"/>
  <c r="C36"/>
  <c r="M32"/>
  <c r="L32"/>
  <c r="N32" s="1"/>
  <c r="J32"/>
  <c r="I32"/>
  <c r="K32" s="1"/>
  <c r="G32"/>
  <c r="F32"/>
  <c r="H32" s="1"/>
  <c r="D32"/>
  <c r="C32"/>
  <c r="M28"/>
  <c r="N28" s="1"/>
  <c r="L28"/>
  <c r="J28"/>
  <c r="I28"/>
  <c r="G28"/>
  <c r="F28"/>
  <c r="H28" s="1"/>
  <c r="D28"/>
  <c r="C28"/>
  <c r="E28" s="1"/>
  <c r="M23"/>
  <c r="L23"/>
  <c r="J23"/>
  <c r="I23"/>
  <c r="G23"/>
  <c r="F23"/>
  <c r="D23"/>
  <c r="E23" s="1"/>
  <c r="C23"/>
  <c r="M17"/>
  <c r="L17"/>
  <c r="J17"/>
  <c r="I17"/>
  <c r="K17" s="1"/>
  <c r="G17"/>
  <c r="F17"/>
  <c r="D17"/>
  <c r="C17"/>
  <c r="M11"/>
  <c r="L11"/>
  <c r="J11"/>
  <c r="I11"/>
  <c r="G11"/>
  <c r="F11"/>
  <c r="D11"/>
  <c r="E11" s="1"/>
  <c r="C11"/>
  <c r="L82" i="221"/>
  <c r="I82"/>
  <c r="G82"/>
  <c r="F82"/>
  <c r="D82"/>
  <c r="K81"/>
  <c r="H81"/>
  <c r="P80"/>
  <c r="O80"/>
  <c r="M80"/>
  <c r="N80"/>
  <c r="K80"/>
  <c r="H80"/>
  <c r="C80"/>
  <c r="E80" s="1"/>
  <c r="Q79"/>
  <c r="N79"/>
  <c r="K79"/>
  <c r="H79"/>
  <c r="Q78"/>
  <c r="N78"/>
  <c r="K78"/>
  <c r="H78"/>
  <c r="Q77"/>
  <c r="N77"/>
  <c r="K77"/>
  <c r="H77"/>
  <c r="Q76"/>
  <c r="N76"/>
  <c r="K76"/>
  <c r="H76"/>
  <c r="P75"/>
  <c r="O75"/>
  <c r="M75"/>
  <c r="N75"/>
  <c r="K75"/>
  <c r="H75"/>
  <c r="C75"/>
  <c r="E75" s="1"/>
  <c r="Q74"/>
  <c r="N74"/>
  <c r="K74"/>
  <c r="H74"/>
  <c r="Q73"/>
  <c r="N73"/>
  <c r="K73"/>
  <c r="H73"/>
  <c r="Q72"/>
  <c r="N72"/>
  <c r="K72"/>
  <c r="H72"/>
  <c r="Q71"/>
  <c r="N71"/>
  <c r="K71"/>
  <c r="H71"/>
  <c r="P70"/>
  <c r="O70"/>
  <c r="O81" s="1"/>
  <c r="M70"/>
  <c r="N70" s="1"/>
  <c r="K70"/>
  <c r="H70"/>
  <c r="C70"/>
  <c r="E70"/>
  <c r="Q69"/>
  <c r="N69"/>
  <c r="K69"/>
  <c r="H69"/>
  <c r="Q68"/>
  <c r="N68"/>
  <c r="K68"/>
  <c r="H68"/>
  <c r="Q67"/>
  <c r="N67"/>
  <c r="K67"/>
  <c r="H67"/>
  <c r="Q66"/>
  <c r="N66"/>
  <c r="K66"/>
  <c r="H66"/>
  <c r="P64"/>
  <c r="O64"/>
  <c r="Q64"/>
  <c r="Q63"/>
  <c r="P60"/>
  <c r="O60"/>
  <c r="Q60" s="1"/>
  <c r="Q58"/>
  <c r="Q57"/>
  <c r="P56"/>
  <c r="P65" s="1"/>
  <c r="O56"/>
  <c r="M56"/>
  <c r="M65" s="1"/>
  <c r="Q55"/>
  <c r="Q54"/>
  <c r="H52"/>
  <c r="P51"/>
  <c r="O51"/>
  <c r="M51"/>
  <c r="N51"/>
  <c r="J51"/>
  <c r="K51"/>
  <c r="H51"/>
  <c r="C51"/>
  <c r="Q50"/>
  <c r="N50"/>
  <c r="K50"/>
  <c r="H50"/>
  <c r="Q49"/>
  <c r="N49"/>
  <c r="K49"/>
  <c r="H49"/>
  <c r="Q48"/>
  <c r="N48"/>
  <c r="K48"/>
  <c r="H48"/>
  <c r="Q47"/>
  <c r="N47"/>
  <c r="K47"/>
  <c r="H47"/>
  <c r="P46"/>
  <c r="O46"/>
  <c r="M46"/>
  <c r="N46"/>
  <c r="J46"/>
  <c r="K46"/>
  <c r="H46"/>
  <c r="C46"/>
  <c r="E46"/>
  <c r="Q45"/>
  <c r="N45"/>
  <c r="K45"/>
  <c r="H45"/>
  <c r="Q44"/>
  <c r="N44"/>
  <c r="K44"/>
  <c r="H44"/>
  <c r="Q43"/>
  <c r="N43"/>
  <c r="K43"/>
  <c r="H43"/>
  <c r="Q42"/>
  <c r="N42"/>
  <c r="K42"/>
  <c r="H42"/>
  <c r="Q41"/>
  <c r="N41"/>
  <c r="K41"/>
  <c r="H41"/>
  <c r="P40"/>
  <c r="O40"/>
  <c r="M40"/>
  <c r="N40"/>
  <c r="J40"/>
  <c r="H40"/>
  <c r="C40"/>
  <c r="E40" s="1"/>
  <c r="Q39"/>
  <c r="N39"/>
  <c r="K39"/>
  <c r="H39"/>
  <c r="Q38"/>
  <c r="N38"/>
  <c r="K38"/>
  <c r="H38"/>
  <c r="Q37"/>
  <c r="N37"/>
  <c r="K37"/>
  <c r="H37"/>
  <c r="Q36"/>
  <c r="N36"/>
  <c r="K36"/>
  <c r="H36"/>
  <c r="Q35"/>
  <c r="N35"/>
  <c r="K35"/>
  <c r="H35"/>
  <c r="H34"/>
  <c r="P33"/>
  <c r="O33"/>
  <c r="Q33"/>
  <c r="M33"/>
  <c r="N33"/>
  <c r="J33"/>
  <c r="K33" s="1"/>
  <c r="H33"/>
  <c r="C33"/>
  <c r="E33" s="1"/>
  <c r="Q32"/>
  <c r="N32"/>
  <c r="K32"/>
  <c r="H32"/>
  <c r="Q31"/>
  <c r="N31"/>
  <c r="K31"/>
  <c r="H31"/>
  <c r="Q30"/>
  <c r="N30"/>
  <c r="K30"/>
  <c r="H30"/>
  <c r="P29"/>
  <c r="O29"/>
  <c r="M29"/>
  <c r="N29" s="1"/>
  <c r="J29"/>
  <c r="K29" s="1"/>
  <c r="H29"/>
  <c r="C29"/>
  <c r="Q28"/>
  <c r="N28"/>
  <c r="K28"/>
  <c r="H28"/>
  <c r="Q27"/>
  <c r="N27"/>
  <c r="K27"/>
  <c r="H27"/>
  <c r="Q26"/>
  <c r="N26"/>
  <c r="K26"/>
  <c r="H26"/>
  <c r="P25"/>
  <c r="O25"/>
  <c r="M25"/>
  <c r="N25"/>
  <c r="J25"/>
  <c r="K25" s="1"/>
  <c r="H25"/>
  <c r="C25"/>
  <c r="E25" s="1"/>
  <c r="Q24"/>
  <c r="N24"/>
  <c r="K24"/>
  <c r="H24"/>
  <c r="Q23"/>
  <c r="N23"/>
  <c r="K23"/>
  <c r="H23"/>
  <c r="Q22"/>
  <c r="N22"/>
  <c r="K22"/>
  <c r="H22"/>
  <c r="H21"/>
  <c r="P20"/>
  <c r="Q20"/>
  <c r="O20"/>
  <c r="M20"/>
  <c r="N20" s="1"/>
  <c r="J20"/>
  <c r="H20"/>
  <c r="C20"/>
  <c r="Q19"/>
  <c r="N19"/>
  <c r="K19"/>
  <c r="H19"/>
  <c r="Q18"/>
  <c r="N18"/>
  <c r="K18"/>
  <c r="H18"/>
  <c r="Q17"/>
  <c r="N17"/>
  <c r="K17"/>
  <c r="H17"/>
  <c r="Q16"/>
  <c r="N16"/>
  <c r="K16"/>
  <c r="H16"/>
  <c r="P15"/>
  <c r="O15"/>
  <c r="Q15" s="1"/>
  <c r="M15"/>
  <c r="J15"/>
  <c r="H15"/>
  <c r="C15"/>
  <c r="E15" s="1"/>
  <c r="Q14"/>
  <c r="N14"/>
  <c r="K14"/>
  <c r="H14"/>
  <c r="Q13"/>
  <c r="N13"/>
  <c r="K13"/>
  <c r="H13"/>
  <c r="Q12"/>
  <c r="N12"/>
  <c r="K12"/>
  <c r="H12"/>
  <c r="Q11"/>
  <c r="N11"/>
  <c r="K11"/>
  <c r="H11"/>
  <c r="Q10"/>
  <c r="N10"/>
  <c r="K10"/>
  <c r="H10"/>
  <c r="P9"/>
  <c r="O9"/>
  <c r="M9"/>
  <c r="N9" s="1"/>
  <c r="J9"/>
  <c r="K9"/>
  <c r="H9"/>
  <c r="C9"/>
  <c r="Q8"/>
  <c r="N8"/>
  <c r="K8"/>
  <c r="H8"/>
  <c r="Q7"/>
  <c r="N7"/>
  <c r="K7"/>
  <c r="H7"/>
  <c r="Q6"/>
  <c r="N6"/>
  <c r="K6"/>
  <c r="H6"/>
  <c r="Q5"/>
  <c r="N5"/>
  <c r="K5"/>
  <c r="H5"/>
  <c r="Q4"/>
  <c r="N4"/>
  <c r="K4"/>
  <c r="H4"/>
  <c r="E4"/>
  <c r="D124" i="217"/>
  <c r="D123"/>
  <c r="D122"/>
  <c r="D121"/>
  <c r="D120"/>
  <c r="D119"/>
  <c r="D118"/>
  <c r="D117"/>
  <c r="D116"/>
  <c r="D115"/>
  <c r="D114"/>
  <c r="D107"/>
  <c r="D106"/>
  <c r="D105"/>
  <c r="D104"/>
  <c r="D103"/>
  <c r="D102"/>
  <c r="D101"/>
  <c r="D100"/>
  <c r="D99"/>
  <c r="D98"/>
  <c r="G70" i="231"/>
  <c r="G67"/>
  <c r="L37" i="222"/>
  <c r="G69" i="231"/>
  <c r="Q9" i="242"/>
  <c r="E68" i="231"/>
  <c r="Q15" i="242"/>
  <c r="Q17"/>
  <c r="N17" i="222"/>
  <c r="AK14" i="234"/>
  <c r="R35" i="223"/>
  <c r="S35"/>
  <c r="D8" i="227"/>
  <c r="D9"/>
  <c r="H83" i="222"/>
  <c r="E59"/>
  <c r="P19" i="235"/>
  <c r="E25"/>
  <c r="I45"/>
  <c r="D7"/>
  <c r="E7"/>
  <c r="M123" i="232"/>
  <c r="M155"/>
  <c r="AD31" i="223"/>
  <c r="P24" i="243"/>
  <c r="P23"/>
  <c r="P17"/>
  <c r="P12"/>
  <c r="P16"/>
  <c r="P25"/>
  <c r="P13"/>
  <c r="AE16" i="223"/>
  <c r="K15" i="242"/>
  <c r="K12"/>
  <c r="K18"/>
  <c r="K17"/>
  <c r="P8" i="243"/>
  <c r="S19"/>
  <c r="M25"/>
  <c r="M20"/>
  <c r="M7"/>
  <c r="M19"/>
  <c r="M24"/>
  <c r="M30"/>
  <c r="M21"/>
  <c r="M14"/>
  <c r="M8"/>
  <c r="H25" i="235"/>
  <c r="I25"/>
  <c r="K11" i="242"/>
  <c r="P10" i="243"/>
  <c r="P14"/>
  <c r="M22"/>
  <c r="P26"/>
  <c r="R14" i="223"/>
  <c r="S14" s="1"/>
  <c r="F72" i="231"/>
  <c r="G16" i="223"/>
  <c r="R29"/>
  <c r="S29" s="1"/>
  <c r="X33"/>
  <c r="Y33" s="1"/>
  <c r="R34"/>
  <c r="F36"/>
  <c r="R36"/>
  <c r="S36" s="1"/>
  <c r="P20" i="243"/>
  <c r="M23"/>
  <c r="Q30"/>
  <c r="E69" i="231"/>
  <c r="P11" i="243"/>
  <c r="P15"/>
  <c r="S16"/>
  <c r="S11"/>
  <c r="S10"/>
  <c r="G68" i="231"/>
  <c r="Q44" i="235"/>
  <c r="AC44"/>
  <c r="S13" i="243"/>
  <c r="P19"/>
  <c r="P22"/>
  <c r="S25"/>
  <c r="S26"/>
  <c r="Z190" i="231"/>
  <c r="S186"/>
  <c r="W44" i="235"/>
  <c r="AG44" i="234"/>
  <c r="S43" i="235"/>
  <c r="H30" i="243"/>
  <c r="E70" i="231"/>
  <c r="P31" i="235"/>
  <c r="E19"/>
  <c r="K40" i="221"/>
  <c r="D7" i="227"/>
  <c r="D72" i="231"/>
  <c r="E67"/>
  <c r="B72"/>
  <c r="G72" s="1"/>
  <c r="G66"/>
  <c r="E66"/>
  <c r="C72"/>
  <c r="F60"/>
  <c r="G78"/>
  <c r="F84"/>
  <c r="AC7" i="234"/>
  <c r="AE7"/>
  <c r="AK35"/>
  <c r="AW35"/>
  <c r="H7" i="235"/>
  <c r="M25"/>
  <c r="I31"/>
  <c r="R18" i="242"/>
  <c r="J14" i="243"/>
  <c r="V43" i="235"/>
  <c r="W43" s="1"/>
  <c r="J9" i="243"/>
  <c r="J30"/>
  <c r="N30"/>
  <c r="J26"/>
  <c r="K20" i="221"/>
  <c r="AE31" i="223"/>
  <c r="C598" i="213"/>
  <c r="C596"/>
  <c r="C595"/>
  <c r="B585"/>
  <c r="D584"/>
  <c r="C474"/>
  <c r="C473"/>
  <c r="D472"/>
  <c r="C472"/>
  <c r="D471"/>
  <c r="C471"/>
  <c r="D470"/>
  <c r="C470"/>
  <c r="G34" i="261"/>
  <c r="H34" s="1"/>
  <c r="G65"/>
  <c r="P21"/>
  <c r="Q75"/>
  <c r="Q9"/>
  <c r="T80"/>
  <c r="V11" i="243"/>
  <c r="V15"/>
  <c r="V19"/>
  <c r="V23"/>
  <c r="V27"/>
  <c r="V7"/>
  <c r="V12"/>
  <c r="V16"/>
  <c r="V20"/>
  <c r="V24"/>
  <c r="V6"/>
  <c r="V8"/>
  <c r="V13"/>
  <c r="V17"/>
  <c r="V21"/>
  <c r="V25"/>
  <c r="V10"/>
  <c r="V14"/>
  <c r="V18"/>
  <c r="V22"/>
  <c r="V26"/>
  <c r="Y7"/>
  <c r="Y12"/>
  <c r="Y16"/>
  <c r="Y20"/>
  <c r="Y24"/>
  <c r="Y6"/>
  <c r="Y8"/>
  <c r="Y13"/>
  <c r="Y30" s="1"/>
  <c r="Y17"/>
  <c r="Y21"/>
  <c r="Y25"/>
  <c r="Y10"/>
  <c r="Y14"/>
  <c r="Y18"/>
  <c r="Y22"/>
  <c r="Y26"/>
  <c r="Y11"/>
  <c r="Y15"/>
  <c r="Y19"/>
  <c r="Y23"/>
  <c r="Y27"/>
  <c r="AC30"/>
  <c r="P21"/>
  <c r="P7"/>
  <c r="P30" s="1"/>
  <c r="P6"/>
  <c r="Z30"/>
  <c r="AE7" i="223"/>
  <c r="G121" i="232"/>
  <c r="E46" i="237"/>
  <c r="AD34" i="223"/>
  <c r="AE8"/>
  <c r="F35"/>
  <c r="G35" s="1"/>
  <c r="R31"/>
  <c r="S16"/>
  <c r="H80" i="261"/>
  <c r="M21"/>
  <c r="M52"/>
  <c r="N51"/>
  <c r="Q33"/>
  <c r="N75"/>
  <c r="Q40"/>
  <c r="O65"/>
  <c r="Q80"/>
  <c r="O81"/>
  <c r="Y6" i="223"/>
  <c r="J37" i="222"/>
  <c r="K36"/>
  <c r="H9" i="261"/>
  <c r="M68" i="222"/>
  <c r="H54"/>
  <c r="Y7" i="223"/>
  <c r="M8"/>
  <c r="Z43" i="235"/>
  <c r="K13" i="242"/>
  <c r="L18"/>
  <c r="K16"/>
  <c r="K8"/>
  <c r="K7"/>
  <c r="K9"/>
  <c r="K10"/>
  <c r="Q7"/>
  <c r="Q8"/>
  <c r="Q11"/>
  <c r="Q18"/>
  <c r="Q10"/>
  <c r="Q16"/>
  <c r="Q13"/>
  <c r="U18"/>
  <c r="J10" i="243"/>
  <c r="H51" i="261"/>
  <c r="K20"/>
  <c r="J21"/>
  <c r="J81"/>
  <c r="K81" s="1"/>
  <c r="K80"/>
  <c r="P52"/>
  <c r="L21"/>
  <c r="N21"/>
  <c r="N20"/>
  <c r="N70"/>
  <c r="S36" i="216"/>
  <c r="L54"/>
  <c r="O62"/>
  <c r="G185" i="232"/>
  <c r="M185"/>
  <c r="Z44" i="235"/>
  <c r="M45"/>
  <c r="D65" i="261"/>
  <c r="E65" s="1"/>
  <c r="I34"/>
  <c r="J21" i="220"/>
  <c r="K21" s="1"/>
  <c r="H80"/>
  <c r="N9"/>
  <c r="N51"/>
  <c r="J8" i="243"/>
  <c r="J6"/>
  <c r="J17"/>
  <c r="J21"/>
  <c r="S6"/>
  <c r="S20"/>
  <c r="S7"/>
  <c r="S23"/>
  <c r="S22"/>
  <c r="S21"/>
  <c r="S24"/>
  <c r="W30"/>
  <c r="S12"/>
  <c r="S17"/>
  <c r="T30"/>
  <c r="S15"/>
  <c r="S14"/>
  <c r="S8"/>
  <c r="S18"/>
  <c r="E33" i="261"/>
  <c r="D34"/>
  <c r="E34" s="1"/>
  <c r="K70" i="220"/>
  <c r="N33"/>
  <c r="N75"/>
  <c r="J23" i="216"/>
  <c r="O31"/>
  <c r="L36"/>
  <c r="O36" s="1"/>
  <c r="M36"/>
  <c r="O35"/>
  <c r="J67"/>
  <c r="O73"/>
  <c r="N73"/>
  <c r="N77" s="1"/>
  <c r="L83"/>
  <c r="P23"/>
  <c r="R36"/>
  <c r="U36" s="1"/>
  <c r="R54"/>
  <c r="Q54"/>
  <c r="P83"/>
  <c r="U82"/>
  <c r="F67"/>
  <c r="O11"/>
  <c r="O27"/>
  <c r="N42"/>
  <c r="AF77"/>
  <c r="AA11"/>
  <c r="AG72"/>
  <c r="G36" i="214"/>
  <c r="H36" s="1"/>
  <c r="H35"/>
  <c r="T11"/>
  <c r="R23"/>
  <c r="T33" i="261"/>
  <c r="R34"/>
  <c r="T34" s="1"/>
  <c r="T75"/>
  <c r="R81"/>
  <c r="T81" s="1"/>
  <c r="W46" i="220"/>
  <c r="M26" i="243"/>
  <c r="M17"/>
  <c r="M15"/>
  <c r="J52" i="261"/>
  <c r="M81"/>
  <c r="P81"/>
  <c r="Q81" s="1"/>
  <c r="N29"/>
  <c r="I81" i="216"/>
  <c r="G23"/>
  <c r="O17"/>
  <c r="L23"/>
  <c r="L84" s="1"/>
  <c r="K36"/>
  <c r="N48"/>
  <c r="N54" s="1"/>
  <c r="Y54"/>
  <c r="AC36"/>
  <c r="W67"/>
  <c r="AC67"/>
  <c r="AB54"/>
  <c r="AF54" s="1"/>
  <c r="AG31"/>
  <c r="Z11"/>
  <c r="AA17"/>
  <c r="AA22"/>
  <c r="Y23"/>
  <c r="Z31"/>
  <c r="X36"/>
  <c r="Z48"/>
  <c r="Z54" s="1"/>
  <c r="Z58"/>
  <c r="AA77"/>
  <c r="AA82"/>
  <c r="AF17"/>
  <c r="AC23"/>
  <c r="AG27"/>
  <c r="AF35"/>
  <c r="AG42"/>
  <c r="AG53"/>
  <c r="AD54"/>
  <c r="AG58"/>
  <c r="AF82"/>
  <c r="C23" i="214"/>
  <c r="T51" i="261"/>
  <c r="M10" i="243"/>
  <c r="M18"/>
  <c r="M13"/>
  <c r="M12"/>
  <c r="M16"/>
  <c r="K33" i="261"/>
  <c r="H81" i="216"/>
  <c r="H82"/>
  <c r="H42"/>
  <c r="H54" s="1"/>
  <c r="D67"/>
  <c r="F83"/>
  <c r="I11"/>
  <c r="N67"/>
  <c r="N82"/>
  <c r="J83"/>
  <c r="U11"/>
  <c r="U22"/>
  <c r="S23"/>
  <c r="T31"/>
  <c r="T35"/>
  <c r="T53"/>
  <c r="T58"/>
  <c r="T67" s="1"/>
  <c r="U62"/>
  <c r="R67"/>
  <c r="AE54"/>
  <c r="AG54" s="1"/>
  <c r="K17" i="214"/>
  <c r="N62"/>
  <c r="Q31"/>
  <c r="D41" i="237"/>
  <c r="E41" s="1"/>
  <c r="X54" i="216"/>
  <c r="W83"/>
  <c r="AF11"/>
  <c r="AB23"/>
  <c r="AF23" s="1"/>
  <c r="AE67"/>
  <c r="AG66"/>
  <c r="AE83"/>
  <c r="P23" i="214"/>
  <c r="Q23"/>
  <c r="Q11"/>
  <c r="C67"/>
  <c r="E62"/>
  <c r="Q11" i="222"/>
  <c r="L67" i="216"/>
  <c r="T11"/>
  <c r="T23" s="1"/>
  <c r="U53"/>
  <c r="T62"/>
  <c r="U72"/>
  <c r="R83"/>
  <c r="Z22"/>
  <c r="V23"/>
  <c r="AA31"/>
  <c r="Z77"/>
  <c r="AG22"/>
  <c r="AD67"/>
  <c r="AG82"/>
  <c r="T62" i="214"/>
  <c r="R67"/>
  <c r="T67"/>
  <c r="AM84" i="216"/>
  <c r="P24" i="222"/>
  <c r="AK16" i="223"/>
  <c r="G85" i="232"/>
  <c r="M73"/>
  <c r="AQ16" i="223"/>
  <c r="AK26"/>
  <c r="AJ29"/>
  <c r="AK29" s="1"/>
  <c r="U44" i="234"/>
  <c r="W58" i="214"/>
  <c r="U67"/>
  <c r="W29" i="220"/>
  <c r="U81"/>
  <c r="U82"/>
  <c r="W60"/>
  <c r="AK22" i="223"/>
  <c r="AJ24"/>
  <c r="AK24" s="1"/>
  <c r="W11" i="214"/>
  <c r="M54" i="232"/>
  <c r="E25" i="237"/>
  <c r="AI44" i="235"/>
  <c r="AR11" i="216"/>
  <c r="W22" i="214"/>
  <c r="V30" i="243"/>
  <c r="T23" i="214"/>
  <c r="E17" i="222"/>
  <c r="N73"/>
  <c r="M144" i="232"/>
  <c r="J13" i="243"/>
  <c r="K51" i="261"/>
  <c r="N46"/>
  <c r="E36" i="216"/>
  <c r="D54"/>
  <c r="M54"/>
  <c r="O54" s="1"/>
  <c r="O48"/>
  <c r="K54"/>
  <c r="Z53"/>
  <c r="AG17"/>
  <c r="M77" i="232"/>
  <c r="K64"/>
  <c r="AR35" i="216"/>
  <c r="AR36" s="1"/>
  <c r="K43" i="222"/>
  <c r="T10" i="242"/>
  <c r="M157" i="232"/>
  <c r="K167"/>
  <c r="M44" i="235"/>
  <c r="N7" i="242"/>
  <c r="E67" i="216"/>
  <c r="H11"/>
  <c r="N27"/>
  <c r="N36" s="1"/>
  <c r="N31"/>
  <c r="O72"/>
  <c r="P36"/>
  <c r="P67"/>
  <c r="W36"/>
  <c r="W84" s="1"/>
  <c r="V54"/>
  <c r="V44" i="234"/>
  <c r="AN23" i="216"/>
  <c r="AS23" s="1"/>
  <c r="N8" i="242"/>
  <c r="Q70" i="261"/>
  <c r="H31" i="216"/>
  <c r="U35"/>
  <c r="U66"/>
  <c r="W23"/>
  <c r="AA35"/>
  <c r="V67"/>
  <c r="AN91" i="274"/>
  <c r="AR48" i="216"/>
  <c r="AR82"/>
  <c r="AD9" i="223"/>
  <c r="BB44" i="234"/>
  <c r="AC43" i="235"/>
  <c r="O34" i="261"/>
  <c r="H27" i="216"/>
  <c r="H48"/>
  <c r="I72"/>
  <c r="H17"/>
  <c r="H23" s="1"/>
  <c r="H22"/>
  <c r="S67"/>
  <c r="U67" s="1"/>
  <c r="AA72"/>
  <c r="AF66"/>
  <c r="AF72"/>
  <c r="G48" i="231"/>
  <c r="D36" i="216"/>
  <c r="H72"/>
  <c r="M83"/>
  <c r="D36" i="214"/>
  <c r="N18" i="242"/>
  <c r="D34" i="220"/>
  <c r="I62" i="216"/>
  <c r="N11"/>
  <c r="K23"/>
  <c r="U27"/>
  <c r="T66"/>
  <c r="AA53"/>
  <c r="AF22"/>
  <c r="AF48"/>
  <c r="AF58"/>
  <c r="AG77"/>
  <c r="AJ9" i="223"/>
  <c r="AK9" s="1"/>
  <c r="M53" i="271"/>
  <c r="K46" i="261"/>
  <c r="O58" i="216"/>
  <c r="U48"/>
  <c r="S54"/>
  <c r="Z17"/>
  <c r="Z23" s="1"/>
  <c r="Z84" s="1"/>
  <c r="AD36"/>
  <c r="AF36"/>
  <c r="AG62"/>
  <c r="AR53"/>
  <c r="AR54"/>
  <c r="AN54"/>
  <c r="L33" i="217"/>
  <c r="B587" i="213"/>
  <c r="H67" i="222"/>
  <c r="E9" i="221"/>
  <c r="E29"/>
  <c r="AL19" i="233"/>
  <c r="E31" i="235"/>
  <c r="D31"/>
  <c r="AE35" i="234"/>
  <c r="Q64" i="220"/>
  <c r="I27" i="216"/>
  <c r="O81"/>
  <c r="T72"/>
  <c r="N13" i="242"/>
  <c r="K82" i="216"/>
  <c r="J54"/>
  <c r="BA36" i="253"/>
  <c r="F54" i="216"/>
  <c r="I54" s="1"/>
  <c r="T27" i="214"/>
  <c r="V54"/>
  <c r="W53"/>
  <c r="V65" i="261"/>
  <c r="W65"/>
  <c r="AB67" i="216"/>
  <c r="AG67"/>
  <c r="W20" i="261"/>
  <c r="X67" i="216"/>
  <c r="AP31" i="223"/>
  <c r="W82" i="214"/>
  <c r="M52" i="232"/>
  <c r="R40" i="233"/>
  <c r="HP12" i="184"/>
  <c r="AR72" i="216"/>
  <c r="AR83"/>
  <c r="L53" i="271"/>
  <c r="AN110" i="274"/>
  <c r="Z26" i="233"/>
  <c r="AD33"/>
  <c r="AL33"/>
  <c r="Z40"/>
  <c r="AK44"/>
  <c r="V26"/>
  <c r="R19"/>
  <c r="R33"/>
  <c r="AL12"/>
  <c r="AL26"/>
  <c r="R12"/>
  <c r="AN106" i="274"/>
  <c r="AN56"/>
  <c r="AN26"/>
  <c r="AN105"/>
  <c r="BJ36" i="255"/>
  <c r="AI38"/>
  <c r="BJ33"/>
  <c r="AR9"/>
  <c r="BR32"/>
  <c r="AB9"/>
  <c r="AX32"/>
  <c r="AB40"/>
  <c r="AX9"/>
  <c r="BI12"/>
  <c r="BA32"/>
  <c r="AB18"/>
  <c r="AB52"/>
  <c r="AB53" s="1"/>
  <c r="BA9"/>
  <c r="BR9"/>
  <c r="BI37"/>
  <c r="BA37"/>
  <c r="AR38"/>
  <c r="AB44"/>
  <c r="AB21" i="254"/>
  <c r="AB40"/>
  <c r="BR37"/>
  <c r="AX59"/>
  <c r="AX9"/>
  <c r="BI15"/>
  <c r="BR25"/>
  <c r="BI9"/>
  <c r="AB11"/>
  <c r="AB61"/>
  <c r="AB69"/>
  <c r="AR26" i="253"/>
  <c r="AR9"/>
  <c r="AX16"/>
  <c r="AX27" s="1"/>
  <c r="BI19"/>
  <c r="AX36"/>
  <c r="AG36" i="216"/>
  <c r="AD84"/>
  <c r="AF67"/>
  <c r="J84"/>
  <c r="D71" i="237"/>
  <c r="E71" s="1"/>
  <c r="G60" i="231"/>
  <c r="AD11" i="272"/>
  <c r="R32"/>
  <c r="AK32"/>
  <c r="AL32" s="1"/>
  <c r="AM44" i="234"/>
  <c r="BA12"/>
  <c r="BC12" s="1"/>
  <c r="AQ33"/>
  <c r="AD44"/>
  <c r="X44"/>
  <c r="BA26"/>
  <c r="BC26" s="1"/>
  <c r="AK33"/>
  <c r="AH44"/>
  <c r="BA33"/>
  <c r="P44" i="233"/>
  <c r="R44" s="1"/>
  <c r="AH12"/>
  <c r="AJ44"/>
  <c r="AL44"/>
  <c r="AS44" i="234"/>
  <c r="AQ31"/>
  <c r="W26"/>
  <c r="Y26" s="1"/>
  <c r="AC40"/>
  <c r="AE40" s="1"/>
  <c r="AB26"/>
  <c r="AC26"/>
  <c r="AE26" s="1"/>
  <c r="AO26"/>
  <c r="AQ26"/>
  <c r="AB33"/>
  <c r="W40"/>
  <c r="Y40" s="1"/>
  <c r="W12"/>
  <c r="Y12"/>
  <c r="D83" i="214"/>
  <c r="E82"/>
  <c r="R83"/>
  <c r="T83"/>
  <c r="G83"/>
  <c r="H83" s="1"/>
  <c r="N53"/>
  <c r="W72"/>
  <c r="W31"/>
  <c r="W35"/>
  <c r="J36"/>
  <c r="K36" s="1"/>
  <c r="E53"/>
  <c r="W77"/>
  <c r="H53"/>
  <c r="M37" i="232"/>
  <c r="K85"/>
  <c r="M85" s="1"/>
  <c r="M60"/>
  <c r="AV24" i="223"/>
  <c r="AW24" s="1"/>
  <c r="AQ31"/>
  <c r="AJ72" i="270"/>
  <c r="AJ103"/>
  <c r="AT133"/>
  <c r="AI138"/>
  <c r="AF57"/>
  <c r="AH138"/>
  <c r="AG57"/>
  <c r="AI72"/>
  <c r="AI103"/>
  <c r="AV187"/>
  <c r="AH72"/>
  <c r="AW187"/>
  <c r="AW176"/>
  <c r="AX176"/>
  <c r="AG138"/>
  <c r="AL72"/>
  <c r="AL140" s="1"/>
  <c r="AX194" s="1"/>
  <c r="AL103"/>
  <c r="AS176"/>
  <c r="AX187"/>
  <c r="AM138"/>
  <c r="AF72"/>
  <c r="AT176"/>
  <c r="AU187"/>
  <c r="AG72"/>
  <c r="AG140" s="1"/>
  <c r="AS194" s="1"/>
  <c r="R39" i="272"/>
  <c r="R25"/>
  <c r="AL9"/>
  <c r="V32"/>
  <c r="AL11"/>
  <c r="V39"/>
  <c r="AL23"/>
  <c r="R11"/>
  <c r="I9" i="269"/>
  <c r="I19"/>
  <c r="J28"/>
  <c r="F24" i="222"/>
  <c r="M99" i="232"/>
  <c r="R23" i="216"/>
  <c r="U23" s="1"/>
  <c r="Y36"/>
  <c r="Z82"/>
  <c r="AF27"/>
  <c r="AR66"/>
  <c r="AS66"/>
  <c r="U36" i="255"/>
  <c r="AS133" i="270"/>
  <c r="AS192" s="1"/>
  <c r="M33" i="232"/>
  <c r="M41"/>
  <c r="AX62" i="216"/>
  <c r="G37" i="222"/>
  <c r="E44" i="235"/>
  <c r="E45"/>
  <c r="L52" i="261"/>
  <c r="N52"/>
  <c r="Q15"/>
  <c r="H53" i="216"/>
  <c r="O42"/>
  <c r="AA48"/>
  <c r="Z62"/>
  <c r="Z67" s="1"/>
  <c r="AO36"/>
  <c r="U37" i="254"/>
  <c r="U22"/>
  <c r="AR176" i="270"/>
  <c r="AY187"/>
  <c r="Z16" s="1"/>
  <c r="AX31" i="216"/>
  <c r="AX53"/>
  <c r="Y34" i="261"/>
  <c r="Z34" s="1"/>
  <c r="O77" i="216"/>
  <c r="Z27"/>
  <c r="Z36" s="1"/>
  <c r="Q36" i="222"/>
  <c r="O84"/>
  <c r="AP9" i="223"/>
  <c r="AR17" i="216"/>
  <c r="AU133" i="270"/>
  <c r="AU192" s="1"/>
  <c r="AJ57"/>
  <c r="AJ140" s="1"/>
  <c r="AV194" s="1"/>
  <c r="AV14" i="223"/>
  <c r="AW14"/>
  <c r="K73" i="222"/>
  <c r="R32" i="223"/>
  <c r="BR12" i="255"/>
  <c r="BR15" s="1"/>
  <c r="N15" i="261"/>
  <c r="E60" i="220"/>
  <c r="H67" i="216"/>
  <c r="T42"/>
  <c r="T54" s="1"/>
  <c r="V36"/>
  <c r="V84" s="1"/>
  <c r="E31" i="214"/>
  <c r="T53" i="271"/>
  <c r="W48" i="214"/>
  <c r="AV133" i="270"/>
  <c r="AV192"/>
  <c r="AT187"/>
  <c r="Y81" i="261"/>
  <c r="L68" i="222"/>
  <c r="F36" i="216"/>
  <c r="N17"/>
  <c r="N23" s="1"/>
  <c r="N35"/>
  <c r="V83"/>
  <c r="AA83" s="1"/>
  <c r="E77" i="214"/>
  <c r="X53" i="271"/>
  <c r="AH32" i="272"/>
  <c r="AW133" i="270"/>
  <c r="K67" i="216"/>
  <c r="T22"/>
  <c r="U58"/>
  <c r="AF62"/>
  <c r="R53" i="271"/>
  <c r="AC53"/>
  <c r="AF44" i="235"/>
  <c r="Q54" i="222"/>
  <c r="AM116" i="270"/>
  <c r="AX133"/>
  <c r="AU176"/>
  <c r="H31" i="269"/>
  <c r="J31"/>
  <c r="J21" i="221"/>
  <c r="K21" s="1"/>
  <c r="H35" i="216"/>
  <c r="H36" s="1"/>
  <c r="T77"/>
  <c r="AA66"/>
  <c r="X83"/>
  <c r="X84"/>
  <c r="AG48"/>
  <c r="M56" i="232"/>
  <c r="AN67" i="216"/>
  <c r="Y23" i="214"/>
  <c r="Z23" s="1"/>
  <c r="AX42" i="216"/>
  <c r="AX48"/>
  <c r="Z56" i="220"/>
  <c r="D23" i="216"/>
  <c r="Y67"/>
  <c r="AA67" s="1"/>
  <c r="D23" i="214"/>
  <c r="AF45" i="235"/>
  <c r="Q73" i="222"/>
  <c r="AR133" i="270"/>
  <c r="M25" i="217"/>
  <c r="Q43" i="222"/>
  <c r="N67"/>
  <c r="H11"/>
  <c r="H17"/>
  <c r="N63"/>
  <c r="F55"/>
  <c r="K23"/>
  <c r="H43"/>
  <c r="G55"/>
  <c r="H55"/>
  <c r="M37"/>
  <c r="N37" s="1"/>
  <c r="K49"/>
  <c r="N59"/>
  <c r="E15" i="261"/>
  <c r="C24" i="222"/>
  <c r="G11" i="223"/>
  <c r="AC8" i="234"/>
  <c r="AB12"/>
  <c r="AQ17"/>
  <c r="AO19"/>
  <c r="AQ19" s="1"/>
  <c r="AK21"/>
  <c r="AI26"/>
  <c r="AK26"/>
  <c r="AQ38"/>
  <c r="AO40"/>
  <c r="AQ40" s="1"/>
  <c r="O45" i="235"/>
  <c r="Q45"/>
  <c r="Q39"/>
  <c r="N17" i="242"/>
  <c r="N16"/>
  <c r="N12"/>
  <c r="N11"/>
  <c r="K9" i="261"/>
  <c r="D52" i="220"/>
  <c r="D24" i="222"/>
  <c r="E24" s="1"/>
  <c r="K67"/>
  <c r="J68"/>
  <c r="BC33" i="234"/>
  <c r="E23" i="216"/>
  <c r="I23" s="1"/>
  <c r="BC14" i="234"/>
  <c r="BA19"/>
  <c r="M31" i="235"/>
  <c r="K43"/>
  <c r="M43" s="1"/>
  <c r="L31"/>
  <c r="K25" i="261"/>
  <c r="J34"/>
  <c r="AA23" i="216"/>
  <c r="D55" i="222"/>
  <c r="E49"/>
  <c r="AE12" i="223"/>
  <c r="AD35"/>
  <c r="AD14"/>
  <c r="AE14"/>
  <c r="AW9" i="234"/>
  <c r="AU12"/>
  <c r="E55" i="237"/>
  <c r="D61"/>
  <c r="E61" s="1"/>
  <c r="AW16" i="234"/>
  <c r="AU19"/>
  <c r="AW19" s="1"/>
  <c r="AW37"/>
  <c r="AU40"/>
  <c r="AW40" s="1"/>
  <c r="E20" i="221"/>
  <c r="C21"/>
  <c r="H36" i="222"/>
  <c r="M28" i="223"/>
  <c r="L29"/>
  <c r="M29" s="1"/>
  <c r="J23" i="243"/>
  <c r="J25"/>
  <c r="J12"/>
  <c r="J15"/>
  <c r="K30"/>
  <c r="J19"/>
  <c r="J7"/>
  <c r="J16"/>
  <c r="J22"/>
  <c r="J18"/>
  <c r="J24"/>
  <c r="J11"/>
  <c r="AC54" i="216"/>
  <c r="AC84"/>
  <c r="E83" i="222"/>
  <c r="D84"/>
  <c r="G6" i="223"/>
  <c r="F31"/>
  <c r="O52" i="220"/>
  <c r="Q52" s="1"/>
  <c r="M81" i="221"/>
  <c r="N81" s="1"/>
  <c r="K15"/>
  <c r="T43" i="235"/>
  <c r="I44"/>
  <c r="Q12" i="242"/>
  <c r="U17" i="216"/>
  <c r="AA27"/>
  <c r="W54"/>
  <c r="AA54" s="1"/>
  <c r="P83" i="214"/>
  <c r="Q83" s="1"/>
  <c r="J52" i="221"/>
  <c r="K52" s="1"/>
  <c r="S11" i="223"/>
  <c r="E9" i="230"/>
  <c r="AI19" i="234"/>
  <c r="BJ19" i="255"/>
  <c r="T27" i="216"/>
  <c r="T36" s="1"/>
  <c r="AA58"/>
  <c r="Z72"/>
  <c r="Z83"/>
  <c r="Q58" i="214"/>
  <c r="P67"/>
  <c r="Q67" s="1"/>
  <c r="AV29" i="223"/>
  <c r="AW29" s="1"/>
  <c r="I17" i="216"/>
  <c r="M23"/>
  <c r="M84" s="1"/>
  <c r="AE23"/>
  <c r="T13" i="242"/>
  <c r="T16"/>
  <c r="T18"/>
  <c r="T8"/>
  <c r="T14"/>
  <c r="T15"/>
  <c r="T17"/>
  <c r="T12"/>
  <c r="T7"/>
  <c r="T11"/>
  <c r="Q83" i="216"/>
  <c r="U83" s="1"/>
  <c r="AC45" i="235"/>
  <c r="I22" i="216"/>
  <c r="M67"/>
  <c r="O67"/>
  <c r="AF31"/>
  <c r="AF42"/>
  <c r="AN36"/>
  <c r="AS36" s="1"/>
  <c r="AN84"/>
  <c r="AS27"/>
  <c r="T45" i="235"/>
  <c r="BJ8" i="253"/>
  <c r="H22" i="214"/>
  <c r="AF43" i="235"/>
  <c r="U23" i="214"/>
  <c r="Y53" i="271"/>
  <c r="AT37" i="223"/>
  <c r="AV36"/>
  <c r="AW36"/>
  <c r="AD53" i="271"/>
  <c r="W19" i="234"/>
  <c r="AO23" i="216"/>
  <c r="AO84" s="1"/>
  <c r="AS11"/>
  <c r="AS72"/>
  <c r="AP83"/>
  <c r="AQ83"/>
  <c r="AQ84"/>
  <c r="AS82"/>
  <c r="J15" i="269"/>
  <c r="I15"/>
  <c r="E33"/>
  <c r="H21"/>
  <c r="I21" s="1"/>
  <c r="Z82" i="214"/>
  <c r="Y83"/>
  <c r="Z83" s="1"/>
  <c r="Y34" i="220"/>
  <c r="Z34" s="1"/>
  <c r="J10" i="269"/>
  <c r="I10"/>
  <c r="E11" i="214"/>
  <c r="T43" i="272"/>
  <c r="AK72" i="270"/>
  <c r="AK103"/>
  <c r="AK140" s="1"/>
  <c r="AW194" s="1"/>
  <c r="AK138"/>
  <c r="AJ43" i="272"/>
  <c r="AJ33" i="223"/>
  <c r="AK33" s="1"/>
  <c r="AP14"/>
  <c r="AQ14" s="1"/>
  <c r="AR22" i="216"/>
  <c r="AR23" s="1"/>
  <c r="AP23"/>
  <c r="AP36"/>
  <c r="AS31"/>
  <c r="AO54"/>
  <c r="AS42"/>
  <c r="AY86" i="270"/>
  <c r="M35" i="232"/>
  <c r="AB36" i="255"/>
  <c r="AQ9" i="223"/>
  <c r="AX11" i="216"/>
  <c r="AX23" s="1"/>
  <c r="AX66"/>
  <c r="AX67"/>
  <c r="D33" i="269"/>
  <c r="H11"/>
  <c r="J11" s="1"/>
  <c r="AX54" i="216"/>
  <c r="U32" i="255"/>
  <c r="U32" i="253"/>
  <c r="B286" i="238"/>
  <c r="E291" s="1"/>
  <c r="F33" i="269"/>
  <c r="H26"/>
  <c r="J26"/>
  <c r="I25"/>
  <c r="J21"/>
  <c r="H16"/>
  <c r="J16" s="1"/>
  <c r="J14"/>
  <c r="J13"/>
  <c r="G33"/>
  <c r="I8"/>
  <c r="J8"/>
  <c r="U23" i="253"/>
  <c r="U34" s="1"/>
  <c r="AI16"/>
  <c r="BI8"/>
  <c r="AX26"/>
  <c r="AX34"/>
  <c r="AX36" i="216"/>
  <c r="AY83"/>
  <c r="AG11" i="272"/>
  <c r="AG43" s="1"/>
  <c r="AH43" s="1"/>
  <c r="V18"/>
  <c r="AK18"/>
  <c r="AL18" s="1"/>
  <c r="AD18"/>
  <c r="V25"/>
  <c r="AB43"/>
  <c r="AD43" s="1"/>
  <c r="U43"/>
  <c r="V43" s="1"/>
  <c r="AD25"/>
  <c r="AH25"/>
  <c r="AH18"/>
  <c r="Q43"/>
  <c r="AD32"/>
  <c r="V11"/>
  <c r="AL25"/>
  <c r="AF43"/>
  <c r="AC43"/>
  <c r="R18"/>
  <c r="P43"/>
  <c r="R43" s="1"/>
  <c r="AN78" i="274"/>
  <c r="AN108"/>
  <c r="AN111"/>
  <c r="E45" i="237"/>
  <c r="E27"/>
  <c r="G43" i="235"/>
  <c r="I43" s="1"/>
  <c r="H19"/>
  <c r="AI43"/>
  <c r="V53" i="271"/>
  <c r="N53"/>
  <c r="AB44" i="234"/>
  <c r="AH140" i="270"/>
  <c r="AT194" s="1"/>
  <c r="AX192"/>
  <c r="AX196" s="1"/>
  <c r="AI140"/>
  <c r="AU194" s="1"/>
  <c r="AR192"/>
  <c r="AV196"/>
  <c r="AW192"/>
  <c r="AS196"/>
  <c r="I31" i="269"/>
  <c r="F84" i="216"/>
  <c r="AS83"/>
  <c r="G31" i="223"/>
  <c r="Y19" i="234"/>
  <c r="W44"/>
  <c r="Y44" s="1"/>
  <c r="E21" i="221"/>
  <c r="BC19" i="234"/>
  <c r="AE8"/>
  <c r="AC12"/>
  <c r="AE84" i="216"/>
  <c r="AG23"/>
  <c r="AE35" i="223"/>
  <c r="AY192" i="270"/>
  <c r="K68" i="222"/>
  <c r="O23" i="216"/>
  <c r="AK19" i="234"/>
  <c r="AW12"/>
  <c r="I26" i="269"/>
  <c r="I16"/>
  <c r="AH11" i="272"/>
  <c r="M117" i="232"/>
  <c r="Q80" i="221"/>
  <c r="H23" i="222"/>
  <c r="K28"/>
  <c r="D37"/>
  <c r="H49"/>
  <c r="E54"/>
  <c r="E63"/>
  <c r="H63"/>
  <c r="Y9" i="223"/>
  <c r="X31"/>
  <c r="G29"/>
  <c r="K21" i="261"/>
  <c r="O21"/>
  <c r="Q60"/>
  <c r="L55" i="222"/>
  <c r="I55"/>
  <c r="F68"/>
  <c r="H73"/>
  <c r="L84"/>
  <c r="D51" i="237"/>
  <c r="E51" s="1"/>
  <c r="E81"/>
  <c r="E33" i="220"/>
  <c r="E46"/>
  <c r="C81"/>
  <c r="Q29" i="261"/>
  <c r="Q51"/>
  <c r="L81"/>
  <c r="Q25"/>
  <c r="O52"/>
  <c r="Q52" s="1"/>
  <c r="G81" i="220"/>
  <c r="H81" s="1"/>
  <c r="M81"/>
  <c r="N81" s="1"/>
  <c r="P52"/>
  <c r="J67" i="214"/>
  <c r="K67" s="1"/>
  <c r="T80" i="220"/>
  <c r="R21"/>
  <c r="AJ35" i="223"/>
  <c r="AK35"/>
  <c r="AJ36"/>
  <c r="AK36" s="1"/>
  <c r="O24" i="222"/>
  <c r="Q24" s="1"/>
  <c r="Q28"/>
  <c r="Q78"/>
  <c r="Q83"/>
  <c r="AP34" i="223"/>
  <c r="AQ34" s="1"/>
  <c r="AP35"/>
  <c r="AP36"/>
  <c r="AQ36"/>
  <c r="W66" i="214"/>
  <c r="V83"/>
  <c r="V34" i="261"/>
  <c r="W34"/>
  <c r="V21" i="220"/>
  <c r="V81"/>
  <c r="W81"/>
  <c r="D31" i="237"/>
  <c r="E31" s="1"/>
  <c r="AB6" i="243"/>
  <c r="AB21"/>
  <c r="AB8"/>
  <c r="AB20"/>
  <c r="AB12"/>
  <c r="AB23"/>
  <c r="AB15"/>
  <c r="AB27"/>
  <c r="AB22"/>
  <c r="AB14"/>
  <c r="AB13"/>
  <c r="AM72" i="270"/>
  <c r="AM57"/>
  <c r="Y26"/>
  <c r="Z8"/>
  <c r="Z9"/>
  <c r="Z10"/>
  <c r="AV33" i="223"/>
  <c r="AW33"/>
  <c r="AV35"/>
  <c r="AW35" s="1"/>
  <c r="I18" i="269"/>
  <c r="I20"/>
  <c r="J30"/>
  <c r="C83" i="215"/>
  <c r="E83" s="1"/>
  <c r="S8" i="234"/>
  <c r="S21"/>
  <c r="C36" i="214"/>
  <c r="E36"/>
  <c r="E72"/>
  <c r="R52" i="220"/>
  <c r="T52" s="1"/>
  <c r="O37" i="222"/>
  <c r="V67" i="214"/>
  <c r="W67"/>
  <c r="Z18" i="270"/>
  <c r="Z19"/>
  <c r="Z20"/>
  <c r="Z28"/>
  <c r="Z29"/>
  <c r="Z30"/>
  <c r="Z13"/>
  <c r="Z14"/>
  <c r="Z15"/>
  <c r="Y11"/>
  <c r="Q40" i="234"/>
  <c r="S40" s="1"/>
  <c r="S35"/>
  <c r="AC33" i="270"/>
  <c r="O24" i="228" s="1"/>
  <c r="N33" i="269"/>
  <c r="R19"/>
  <c r="Q19"/>
  <c r="R23"/>
  <c r="Q23"/>
  <c r="R28"/>
  <c r="Q28"/>
  <c r="Y65" i="220"/>
  <c r="Z65" s="1"/>
  <c r="Y81"/>
  <c r="AI30" i="243"/>
  <c r="O69" i="228" s="1"/>
  <c r="M11" i="217"/>
  <c r="BB31" i="223"/>
  <c r="BC31" s="1"/>
  <c r="AB34" i="220"/>
  <c r="AC34" s="1"/>
  <c r="AB65"/>
  <c r="AC65"/>
  <c r="Q18" i="269"/>
  <c r="R18"/>
  <c r="R20"/>
  <c r="Q20"/>
  <c r="Q26"/>
  <c r="P31"/>
  <c r="AO44" i="235"/>
  <c r="O59" i="228" s="1"/>
  <c r="D32" i="184"/>
  <c r="I32" s="1"/>
  <c r="G10"/>
  <c r="J10" s="1"/>
  <c r="I30"/>
  <c r="G20"/>
  <c r="J20" s="1"/>
  <c r="N24" i="186"/>
  <c r="E21"/>
  <c r="K26"/>
  <c r="L17"/>
  <c r="O17" s="1"/>
  <c r="L9"/>
  <c r="O9" s="1"/>
  <c r="E11" i="237"/>
  <c r="O62" i="228" s="1"/>
  <c r="E49" i="237"/>
  <c r="E26"/>
  <c r="E53" i="271"/>
  <c r="F53"/>
  <c r="F56"/>
  <c r="F58" s="1"/>
  <c r="O25" i="228" s="1"/>
  <c r="E54" i="214"/>
  <c r="M54"/>
  <c r="N54" s="1"/>
  <c r="E48"/>
  <c r="AB36"/>
  <c r="AC36"/>
  <c r="AB67"/>
  <c r="AC67" s="1"/>
  <c r="AC48"/>
  <c r="G23"/>
  <c r="E35"/>
  <c r="U36"/>
  <c r="R54"/>
  <c r="T54"/>
  <c r="M67"/>
  <c r="N67" s="1"/>
  <c r="J23"/>
  <c r="U54"/>
  <c r="W54" s="1"/>
  <c r="AC17"/>
  <c r="K58"/>
  <c r="M23"/>
  <c r="C83"/>
  <c r="C84" s="1"/>
  <c r="H66"/>
  <c r="Z42"/>
  <c r="Y36"/>
  <c r="Z36" s="1"/>
  <c r="R36"/>
  <c r="P36"/>
  <c r="AB83"/>
  <c r="AC83" s="1"/>
  <c r="J83"/>
  <c r="K83"/>
  <c r="Y67"/>
  <c r="G54"/>
  <c r="H54" s="1"/>
  <c r="Y21" i="261"/>
  <c r="Z21"/>
  <c r="R52"/>
  <c r="T52" s="1"/>
  <c r="Y65"/>
  <c r="Z65" s="1"/>
  <c r="Z81"/>
  <c r="K15"/>
  <c r="Q20"/>
  <c r="W33"/>
  <c r="Y52"/>
  <c r="Z52"/>
  <c r="D21"/>
  <c r="K40"/>
  <c r="N33"/>
  <c r="N81"/>
  <c r="J82"/>
  <c r="M34"/>
  <c r="N34" s="1"/>
  <c r="M65"/>
  <c r="Z40"/>
  <c r="N80"/>
  <c r="N25"/>
  <c r="X82"/>
  <c r="V81"/>
  <c r="W81" s="1"/>
  <c r="L34"/>
  <c r="V21"/>
  <c r="W21" s="1"/>
  <c r="D52"/>
  <c r="E52" s="1"/>
  <c r="R21"/>
  <c r="T21" s="1"/>
  <c r="G81"/>
  <c r="Z64"/>
  <c r="G21"/>
  <c r="I52"/>
  <c r="I82" s="1"/>
  <c r="K82" s="1"/>
  <c r="W40"/>
  <c r="K34"/>
  <c r="D81"/>
  <c r="E81" s="1"/>
  <c r="Q46"/>
  <c r="R65"/>
  <c r="T65" s="1"/>
  <c r="G52"/>
  <c r="H52" s="1"/>
  <c r="O21" i="221"/>
  <c r="M34"/>
  <c r="N34" s="1"/>
  <c r="Q46"/>
  <c r="C81"/>
  <c r="E81" s="1"/>
  <c r="Q9"/>
  <c r="P34"/>
  <c r="C52"/>
  <c r="E52" s="1"/>
  <c r="O52"/>
  <c r="O34"/>
  <c r="Q56"/>
  <c r="Q51"/>
  <c r="H82"/>
  <c r="J52" i="220"/>
  <c r="K52" s="1"/>
  <c r="Q9"/>
  <c r="Q46"/>
  <c r="AB21"/>
  <c r="AC21" s="1"/>
  <c r="W75"/>
  <c r="N80"/>
  <c r="O21"/>
  <c r="E25"/>
  <c r="M52"/>
  <c r="N52" s="1"/>
  <c r="Q51"/>
  <c r="E70"/>
  <c r="O81"/>
  <c r="Q81" s="1"/>
  <c r="AB52"/>
  <c r="AB82" s="1"/>
  <c r="AC82" s="1"/>
  <c r="O36" i="228" s="1"/>
  <c r="T51" i="220"/>
  <c r="V52"/>
  <c r="W52" s="1"/>
  <c r="R65"/>
  <c r="T65" s="1"/>
  <c r="Z81"/>
  <c r="C21"/>
  <c r="C82" s="1"/>
  <c r="C52"/>
  <c r="E52" s="1"/>
  <c r="O65"/>
  <c r="Q65" s="1"/>
  <c r="D81"/>
  <c r="E81" s="1"/>
  <c r="H40"/>
  <c r="J65"/>
  <c r="G21"/>
  <c r="J81"/>
  <c r="K81" s="1"/>
  <c r="D21"/>
  <c r="T21"/>
  <c r="E21"/>
  <c r="W21"/>
  <c r="Y52"/>
  <c r="Z52" s="1"/>
  <c r="Y21"/>
  <c r="V34"/>
  <c r="W34" s="1"/>
  <c r="R34"/>
  <c r="T34"/>
  <c r="P21"/>
  <c r="H9"/>
  <c r="X82"/>
  <c r="M21"/>
  <c r="N21" s="1"/>
  <c r="R81"/>
  <c r="T81" s="1"/>
  <c r="AB81"/>
  <c r="AC81"/>
  <c r="T20"/>
  <c r="E40"/>
  <c r="Q20"/>
  <c r="M34"/>
  <c r="N34" s="1"/>
  <c r="E80"/>
  <c r="O34"/>
  <c r="G34"/>
  <c r="H34" s="1"/>
  <c r="W9"/>
  <c r="C34"/>
  <c r="E34" s="1"/>
  <c r="J34"/>
  <c r="K34"/>
  <c r="K46"/>
  <c r="D65"/>
  <c r="E65" s="1"/>
  <c r="T81" i="221"/>
  <c r="S82"/>
  <c r="T82" s="1"/>
  <c r="T80"/>
  <c r="P52"/>
  <c r="Q52" s="1"/>
  <c r="Q40"/>
  <c r="E51"/>
  <c r="Q25"/>
  <c r="O65"/>
  <c r="Q70"/>
  <c r="P21"/>
  <c r="M52"/>
  <c r="N52" s="1"/>
  <c r="Q29"/>
  <c r="Q55" i="222"/>
  <c r="K55"/>
  <c r="H68"/>
  <c r="E32"/>
  <c r="F37"/>
  <c r="H37" s="1"/>
  <c r="N78"/>
  <c r="G24"/>
  <c r="G86" s="1"/>
  <c r="P84"/>
  <c r="Q84" s="1"/>
  <c r="C55"/>
  <c r="E55" s="1"/>
  <c r="Q32"/>
  <c r="Q17"/>
  <c r="C84"/>
  <c r="K54"/>
  <c r="H59"/>
  <c r="Q49"/>
  <c r="N43"/>
  <c r="J84"/>
  <c r="J30" i="273"/>
  <c r="E30"/>
  <c r="G30"/>
  <c r="C30"/>
  <c r="I30"/>
  <c r="D30"/>
  <c r="F30"/>
  <c r="H30"/>
  <c r="AE34" i="223"/>
  <c r="AP29"/>
  <c r="AQ29" s="1"/>
  <c r="AY37"/>
  <c r="BB37" s="1"/>
  <c r="S34"/>
  <c r="AD29"/>
  <c r="AE29" s="1"/>
  <c r="AP32"/>
  <c r="AQ32"/>
  <c r="AD32"/>
  <c r="AE32" s="1"/>
  <c r="AM37"/>
  <c r="AV31"/>
  <c r="AW31" s="1"/>
  <c r="BC24"/>
  <c r="X19"/>
  <c r="Y19"/>
  <c r="Y16"/>
  <c r="P37"/>
  <c r="AS37"/>
  <c r="AV19"/>
  <c r="AW19" s="1"/>
  <c r="BB19"/>
  <c r="BC19" s="1"/>
  <c r="AU37"/>
  <c r="AD19"/>
  <c r="AE19" s="1"/>
  <c r="AG37"/>
  <c r="S32"/>
  <c r="AP19"/>
  <c r="AQ19" s="1"/>
  <c r="AJ31"/>
  <c r="AK31"/>
  <c r="AJ14"/>
  <c r="AK14" s="1"/>
  <c r="AZ37"/>
  <c r="BB35"/>
  <c r="BC35" s="1"/>
  <c r="L32"/>
  <c r="M32" s="1"/>
  <c r="BC14"/>
  <c r="X14"/>
  <c r="Y14"/>
  <c r="K37"/>
  <c r="AB37"/>
  <c r="X36"/>
  <c r="Y36" s="1"/>
  <c r="L35"/>
  <c r="M35"/>
  <c r="AJ34"/>
  <c r="AK34" s="1"/>
  <c r="BB33"/>
  <c r="BC33" s="1"/>
  <c r="O37"/>
  <c r="AO37"/>
  <c r="AQ26"/>
  <c r="AP24"/>
  <c r="AQ24" s="1"/>
  <c r="BA37"/>
  <c r="AP33"/>
  <c r="AP37" s="1"/>
  <c r="G33"/>
  <c r="M17"/>
  <c r="G18"/>
  <c r="AE18"/>
  <c r="AC37"/>
  <c r="AK17"/>
  <c r="AN37"/>
  <c r="S31"/>
  <c r="AD33"/>
  <c r="AE33" s="1"/>
  <c r="J37"/>
  <c r="M16"/>
  <c r="F19"/>
  <c r="G19" s="1"/>
  <c r="AI37"/>
  <c r="AV32"/>
  <c r="AW32" s="1"/>
  <c r="AQ35"/>
  <c r="AH37"/>
  <c r="L36"/>
  <c r="M36" s="1"/>
  <c r="I37"/>
  <c r="AK11"/>
  <c r="AA37"/>
  <c r="AJ32"/>
  <c r="BB32"/>
  <c r="BC32"/>
  <c r="L14"/>
  <c r="M14"/>
  <c r="D34" i="184"/>
  <c r="R31" i="269"/>
  <c r="Q31"/>
  <c r="Z11" i="270"/>
  <c r="G32" i="184"/>
  <c r="J32" s="1"/>
  <c r="V84" i="214"/>
  <c r="Z67"/>
  <c r="E83"/>
  <c r="W36"/>
  <c r="N23"/>
  <c r="Q36"/>
  <c r="T36"/>
  <c r="R84"/>
  <c r="T84" s="1"/>
  <c r="H21" i="261"/>
  <c r="R82"/>
  <c r="T82" s="1"/>
  <c r="L82"/>
  <c r="D82" i="220"/>
  <c r="M82"/>
  <c r="N82" s="1"/>
  <c r="Z21"/>
  <c r="Y82"/>
  <c r="Z82" s="1"/>
  <c r="Q21" i="221"/>
  <c r="E84" i="222"/>
  <c r="AV37" i="223"/>
  <c r="BC37"/>
  <c r="O39" i="228" s="1"/>
  <c r="AK32" i="223"/>
  <c r="O17" i="228"/>
  <c r="E82" i="220"/>
  <c r="M136" i="232" l="1"/>
  <c r="K146"/>
  <c r="G105"/>
  <c r="K105"/>
  <c r="G43"/>
  <c r="M43" s="1"/>
  <c r="D125"/>
  <c r="M18"/>
  <c r="G125"/>
  <c r="M103"/>
  <c r="M81"/>
  <c r="G22"/>
  <c r="M22" s="1"/>
  <c r="O55" i="228" s="1"/>
  <c r="M33" i="270"/>
  <c r="Q65" i="221"/>
  <c r="O82"/>
  <c r="H21" i="220"/>
  <c r="G82"/>
  <c r="H82" s="1"/>
  <c r="Y82" i="261"/>
  <c r="Z82" s="1"/>
  <c r="AW37" i="223"/>
  <c r="E21" i="261"/>
  <c r="D82"/>
  <c r="E82" s="1"/>
  <c r="AW196" i="270"/>
  <c r="W23" i="214"/>
  <c r="Y84"/>
  <c r="Z84" s="1"/>
  <c r="O86" i="222"/>
  <c r="O82" i="220"/>
  <c r="Q21"/>
  <c r="G84" i="214"/>
  <c r="H84" s="1"/>
  <c r="E36" i="222"/>
  <c r="C37"/>
  <c r="C86" s="1"/>
  <c r="N55"/>
  <c r="AW22" i="234"/>
  <c r="AU26"/>
  <c r="H24" i="222"/>
  <c r="AC52" i="220"/>
  <c r="M82" i="261"/>
  <c r="N82" s="1"/>
  <c r="Y31" i="223"/>
  <c r="AR196" i="270"/>
  <c r="I11" i="269"/>
  <c r="H33"/>
  <c r="I33" s="1"/>
  <c r="AU196" i="270"/>
  <c r="N15" i="221"/>
  <c r="M21"/>
  <c r="Q81"/>
  <c r="Q75"/>
  <c r="P81"/>
  <c r="V37" i="223"/>
  <c r="H23" i="214"/>
  <c r="J33" i="269"/>
  <c r="Q84" i="216"/>
  <c r="G177" i="232"/>
  <c r="M177" s="1"/>
  <c r="D189"/>
  <c r="G189" s="1"/>
  <c r="M189" s="1"/>
  <c r="K23" i="214"/>
  <c r="E23"/>
  <c r="D84"/>
  <c r="E84" s="1"/>
  <c r="AA36" i="216"/>
  <c r="Y84"/>
  <c r="AA84" s="1"/>
  <c r="O83"/>
  <c r="AJ37" i="223"/>
  <c r="AK37" s="1"/>
  <c r="Q34" i="221"/>
  <c r="P82"/>
  <c r="AQ37" i="223"/>
  <c r="H81" i="261"/>
  <c r="G82"/>
  <c r="H82" s="1"/>
  <c r="O82"/>
  <c r="K84" i="216"/>
  <c r="O84" s="1"/>
  <c r="G17" i="223"/>
  <c r="F32"/>
  <c r="L33"/>
  <c r="M18"/>
  <c r="L19"/>
  <c r="M19" s="1"/>
  <c r="Y27"/>
  <c r="X29"/>
  <c r="Y29" s="1"/>
  <c r="Q37"/>
  <c r="K83" i="216"/>
  <c r="O82"/>
  <c r="S30" i="243"/>
  <c r="G8" i="223"/>
  <c r="F34"/>
  <c r="S18"/>
  <c r="R33"/>
  <c r="D37"/>
  <c r="AC44" i="233"/>
  <c r="AD19"/>
  <c r="AQ11" i="234"/>
  <c r="AO12"/>
  <c r="AJ44"/>
  <c r="AC33"/>
  <c r="AE33" s="1"/>
  <c r="AK36"/>
  <c r="AI40"/>
  <c r="AK40" s="1"/>
  <c r="H51" i="220"/>
  <c r="G52"/>
  <c r="H52" s="1"/>
  <c r="H73" i="216"/>
  <c r="H77" s="1"/>
  <c r="H83" s="1"/>
  <c r="H84" s="1"/>
  <c r="I73"/>
  <c r="E77"/>
  <c r="N83"/>
  <c r="N84" s="1"/>
  <c r="J82" i="220"/>
  <c r="K82" s="1"/>
  <c r="R82"/>
  <c r="T82" s="1"/>
  <c r="AQ33" i="223"/>
  <c r="AE12" i="234"/>
  <c r="I36" i="216"/>
  <c r="C34" i="221"/>
  <c r="J34"/>
  <c r="M84" i="222"/>
  <c r="R19" i="223"/>
  <c r="S19" s="1"/>
  <c r="S17"/>
  <c r="M34"/>
  <c r="AF44" i="233"/>
  <c r="AH44" s="1"/>
  <c r="Q21" i="261"/>
  <c r="AK43" i="272"/>
  <c r="AL43" s="1"/>
  <c r="T83" i="216"/>
  <c r="T84" s="1"/>
  <c r="D167" i="232"/>
  <c r="G167" s="1"/>
  <c r="M167" s="1"/>
  <c r="G84" i="231"/>
  <c r="X35" i="223"/>
  <c r="Y35" s="1"/>
  <c r="Y12"/>
  <c r="AE13"/>
  <c r="AD36"/>
  <c r="AE36" s="1"/>
  <c r="E37"/>
  <c r="AB44" i="233"/>
  <c r="AD44" s="1"/>
  <c r="AD12"/>
  <c r="R84" i="216"/>
  <c r="N68" i="222"/>
  <c r="I24"/>
  <c r="M31" i="223"/>
  <c r="V44" i="233"/>
  <c r="AN44" i="234"/>
  <c r="BJ19" i="253"/>
  <c r="AX15" i="254"/>
  <c r="K52" i="261"/>
  <c r="AC19" i="234"/>
  <c r="AE19" s="1"/>
  <c r="I37" i="222"/>
  <c r="K37" s="1"/>
  <c r="S84" i="216"/>
  <c r="M121" i="232"/>
  <c r="D68" i="222"/>
  <c r="K11"/>
  <c r="J24"/>
  <c r="J86" s="1"/>
  <c r="F84"/>
  <c r="Y8" i="223"/>
  <c r="X34"/>
  <c r="Y34" s="1"/>
  <c r="AE9"/>
  <c r="G13"/>
  <c r="F14"/>
  <c r="G14" s="1"/>
  <c r="G36"/>
  <c r="AI12" i="234"/>
  <c r="C584" i="213"/>
  <c r="C586"/>
  <c r="C583"/>
  <c r="C585" s="1"/>
  <c r="I67" i="216"/>
  <c r="G26" i="223"/>
  <c r="L24" i="222"/>
  <c r="L86" s="1"/>
  <c r="N23"/>
  <c r="E96" i="231"/>
  <c r="U44" i="233"/>
  <c r="V12"/>
  <c r="L19" i="235"/>
  <c r="M19"/>
  <c r="Q34" i="261"/>
  <c r="C597" i="213"/>
  <c r="C599" s="1"/>
  <c r="M24" i="222"/>
  <c r="N11"/>
  <c r="K83"/>
  <c r="I84"/>
  <c r="X32" i="223"/>
  <c r="Y32" s="1"/>
  <c r="F9"/>
  <c r="G9" s="1"/>
  <c r="G34"/>
  <c r="G146" i="232"/>
  <c r="AG44" i="233"/>
  <c r="Z19"/>
  <c r="Y44"/>
  <c r="Z44" s="1"/>
  <c r="AT44" i="234"/>
  <c r="Q7" i="235"/>
  <c r="P7"/>
  <c r="O43"/>
  <c r="Q43" s="1"/>
  <c r="K30" i="273"/>
  <c r="O45" i="228" s="1"/>
  <c r="I58" i="216"/>
  <c r="I53"/>
  <c r="N15" i="242"/>
  <c r="BA40" i="234"/>
  <c r="BC40" s="1"/>
  <c r="L7" i="235"/>
  <c r="M6" i="243"/>
  <c r="P34" i="261"/>
  <c r="Q33" i="220"/>
  <c r="P34"/>
  <c r="Q34" s="1"/>
  <c r="AB83" i="216"/>
  <c r="AS53"/>
  <c r="AP54"/>
  <c r="AR62"/>
  <c r="AR67" s="1"/>
  <c r="AR84" s="1"/>
  <c r="G96" i="231"/>
  <c r="I31" i="216"/>
  <c r="L7" i="186"/>
  <c r="O7" s="1"/>
  <c r="K10"/>
  <c r="M36" i="214"/>
  <c r="N36" s="1"/>
  <c r="Q15" i="220"/>
  <c r="D83" i="216"/>
  <c r="Q70" i="220"/>
  <c r="I82" i="216"/>
  <c r="AG35"/>
  <c r="P54" i="214"/>
  <c r="P54" i="216"/>
  <c r="U54" s="1"/>
  <c r="N10" i="242"/>
  <c r="M183" i="232"/>
  <c r="BM75" i="250"/>
  <c r="P65" i="261"/>
  <c r="Q65" s="1"/>
  <c r="AG11" i="216"/>
  <c r="AP67"/>
  <c r="AS67" s="1"/>
  <c r="AS58"/>
  <c r="AV9" i="223"/>
  <c r="AW9" s="1"/>
  <c r="N9" i="242"/>
  <c r="M83" i="214"/>
  <c r="N83" s="1"/>
  <c r="J54"/>
  <c r="K54" s="1"/>
  <c r="AL40" i="233"/>
  <c r="BJ15" i="254"/>
  <c r="AI20"/>
  <c r="AX25"/>
  <c r="AX65" s="1"/>
  <c r="AR28"/>
  <c r="AI33"/>
  <c r="AI39" s="1"/>
  <c r="AX32"/>
  <c r="AX72" s="1"/>
  <c r="BA36"/>
  <c r="BA48"/>
  <c r="AX55"/>
  <c r="AI55"/>
  <c r="AR20" i="255"/>
  <c r="AR35"/>
  <c r="BR40"/>
  <c r="I35" i="216"/>
  <c r="Q23" i="222"/>
  <c r="V65" i="220"/>
  <c r="E37" i="231"/>
  <c r="AS17" i="216"/>
  <c r="U63" i="254"/>
  <c r="U79" s="1"/>
  <c r="AM103" i="270"/>
  <c r="AM140" s="1"/>
  <c r="AY194" s="1"/>
  <c r="AY196" s="1"/>
  <c r="AF138"/>
  <c r="AF140" s="1"/>
  <c r="AR194" s="1"/>
  <c r="N44" i="233"/>
  <c r="J12"/>
  <c r="H44"/>
  <c r="J44" s="1"/>
  <c r="Q31" i="234"/>
  <c r="P33"/>
  <c r="P33" i="270"/>
  <c r="Q10" i="269"/>
  <c r="R10"/>
  <c r="P11"/>
  <c r="L18" i="186"/>
  <c r="O18" s="1"/>
  <c r="L24"/>
  <c r="O24" s="1"/>
  <c r="AI11" i="254"/>
  <c r="BJ9"/>
  <c r="BJ24"/>
  <c r="BA25"/>
  <c r="AR32"/>
  <c r="BR32"/>
  <c r="BR38" s="1"/>
  <c r="AX36"/>
  <c r="BI36"/>
  <c r="AR49"/>
  <c r="U83" i="214"/>
  <c r="W83" s="1"/>
  <c r="AI45" i="235"/>
  <c r="F149" i="238"/>
  <c r="AS48" i="216"/>
  <c r="AB7" i="243"/>
  <c r="AB30" s="1"/>
  <c r="U71" i="254"/>
  <c r="U18" i="255"/>
  <c r="U62" s="1"/>
  <c r="Y21" i="270"/>
  <c r="Z21" s="1"/>
  <c r="M15" i="234"/>
  <c r="K19"/>
  <c r="M19" s="1"/>
  <c r="Q21" i="269"/>
  <c r="R21"/>
  <c r="G20" i="229"/>
  <c r="AI14" i="255"/>
  <c r="AK19" i="223"/>
  <c r="AB19" i="243"/>
  <c r="C286" i="238"/>
  <c r="P40" i="234"/>
  <c r="K33"/>
  <c r="M33" s="1"/>
  <c r="M29"/>
  <c r="P19"/>
  <c r="Q15"/>
  <c r="H43" i="272"/>
  <c r="J11"/>
  <c r="BB36" i="223"/>
  <c r="BC36" s="1"/>
  <c r="AC42" i="214"/>
  <c r="AB54"/>
  <c r="AC54" s="1"/>
  <c r="E30" i="186"/>
  <c r="L28"/>
  <c r="O28" s="1"/>
  <c r="AI11" i="253"/>
  <c r="AH53" i="271"/>
  <c r="AV34" i="223"/>
  <c r="AW34" s="1"/>
  <c r="AY84" i="216"/>
  <c r="N26" i="233"/>
  <c r="M11" i="234"/>
  <c r="K12"/>
  <c r="N13" i="186"/>
  <c r="K15"/>
  <c r="N20"/>
  <c r="L20"/>
  <c r="O20" s="1"/>
  <c r="U26" i="255"/>
  <c r="U37" s="1"/>
  <c r="AT86" i="270"/>
  <c r="AT192" s="1"/>
  <c r="AT196" s="1"/>
  <c r="K24" i="234"/>
  <c r="J26"/>
  <c r="J44" s="1"/>
  <c r="BB34" i="223"/>
  <c r="BC34" s="1"/>
  <c r="AB23" i="214"/>
  <c r="Q16" i="269"/>
  <c r="H32" i="186"/>
  <c r="N14"/>
  <c r="E15"/>
  <c r="N15" s="1"/>
  <c r="BI21" i="255"/>
  <c r="BR22"/>
  <c r="BR33" s="1"/>
  <c r="BR44" s="1"/>
  <c r="BR28"/>
  <c r="BJ29"/>
  <c r="AX40"/>
  <c r="AX49" s="1"/>
  <c r="BA49"/>
  <c r="AB26"/>
  <c r="AB32"/>
  <c r="AB37" s="1"/>
  <c r="AB16" i="243"/>
  <c r="AB24"/>
  <c r="Q11" i="234"/>
  <c r="P12"/>
  <c r="D33" i="270"/>
  <c r="AR50" i="255"/>
  <c r="P37" i="222"/>
  <c r="V52" i="261"/>
  <c r="AB10" i="243"/>
  <c r="Y31" i="270"/>
  <c r="Z31" s="1"/>
  <c r="AX83" i="216"/>
  <c r="AX84" s="1"/>
  <c r="D183" i="213"/>
  <c r="AE30" i="243"/>
  <c r="M44" i="233"/>
  <c r="N12"/>
  <c r="Q23" i="234"/>
  <c r="P26"/>
  <c r="I43" i="272"/>
  <c r="R24" i="269"/>
  <c r="Q24"/>
  <c r="N7" i="186"/>
  <c r="K21"/>
  <c r="N17"/>
  <c r="N12" i="255"/>
  <c r="E26" i="186"/>
  <c r="N26" s="1"/>
  <c r="AH27" i="243"/>
  <c r="AH19"/>
  <c r="AH11"/>
  <c r="G13" i="229"/>
  <c r="G10"/>
  <c r="AH26" i="243"/>
  <c r="AH18"/>
  <c r="AH10"/>
  <c r="N76" i="254"/>
  <c r="N12"/>
  <c r="AH25" i="243"/>
  <c r="AH17"/>
  <c r="AH9"/>
  <c r="E10" i="186"/>
  <c r="G17" i="229"/>
  <c r="AH24" i="243"/>
  <c r="AH16"/>
  <c r="AH8"/>
  <c r="AH23"/>
  <c r="AH15"/>
  <c r="AH7"/>
  <c r="AO43" i="235"/>
  <c r="O58" i="228" s="1"/>
  <c r="AH6" i="243"/>
  <c r="AH30" s="1"/>
  <c r="AH22"/>
  <c r="AH14"/>
  <c r="F19" i="229"/>
  <c r="G19" s="1"/>
  <c r="O52" i="228" s="1"/>
  <c r="AH29" i="243"/>
  <c r="AH21"/>
  <c r="BA21" i="255"/>
  <c r="BA47" s="1"/>
  <c r="AX21"/>
  <c r="AX47" s="1"/>
  <c r="AX28"/>
  <c r="AX57" s="1"/>
  <c r="BJ25"/>
  <c r="BI32"/>
  <c r="BI49" s="1"/>
  <c r="BR36"/>
  <c r="BR43" s="1"/>
  <c r="AX37"/>
  <c r="AX58" s="1"/>
  <c r="N27"/>
  <c r="AB47"/>
  <c r="AX56"/>
  <c r="BA57"/>
  <c r="AR49"/>
  <c r="AR41"/>
  <c r="BJ9"/>
  <c r="BA12"/>
  <c r="BA48" s="1"/>
  <c r="N37"/>
  <c r="U13"/>
  <c r="U60" s="1"/>
  <c r="N20"/>
  <c r="N53"/>
  <c r="AR47"/>
  <c r="AR31"/>
  <c r="BI9"/>
  <c r="BI28"/>
  <c r="AI41"/>
  <c r="AI45" s="1"/>
  <c r="N48"/>
  <c r="AB19"/>
  <c r="U61"/>
  <c r="BA58"/>
  <c r="BJ38"/>
  <c r="BI50"/>
  <c r="BJ45"/>
  <c r="BJ53"/>
  <c r="BI58"/>
  <c r="BA50"/>
  <c r="AX50"/>
  <c r="AR48"/>
  <c r="AR14"/>
  <c r="BA55" i="254"/>
  <c r="BA65" s="1"/>
  <c r="BR55"/>
  <c r="AB17"/>
  <c r="AB22" s="1"/>
  <c r="AB30"/>
  <c r="AB35"/>
  <c r="AB50"/>
  <c r="BA73"/>
  <c r="AR23"/>
  <c r="BA32"/>
  <c r="BA72" s="1"/>
  <c r="AR9"/>
  <c r="AR63" s="1"/>
  <c r="BA9"/>
  <c r="BA63" s="1"/>
  <c r="BR14"/>
  <c r="BR18" s="1"/>
  <c r="U42"/>
  <c r="U78" s="1"/>
  <c r="BI59"/>
  <c r="AB77"/>
  <c r="U52"/>
  <c r="U60"/>
  <c r="N54"/>
  <c r="N45"/>
  <c r="N34"/>
  <c r="N25"/>
  <c r="AR42"/>
  <c r="AR54" s="1"/>
  <c r="BR46"/>
  <c r="AX48"/>
  <c r="AX73" s="1"/>
  <c r="AI48"/>
  <c r="AI60" s="1"/>
  <c r="AI68" s="1"/>
  <c r="AX66"/>
  <c r="N68"/>
  <c r="BI47"/>
  <c r="BJ44"/>
  <c r="AR33"/>
  <c r="AR65"/>
  <c r="AB57"/>
  <c r="AB76" s="1"/>
  <c r="N64"/>
  <c r="U31"/>
  <c r="AX71"/>
  <c r="AB75"/>
  <c r="AB41"/>
  <c r="AB74"/>
  <c r="AX63"/>
  <c r="N18"/>
  <c r="BI16"/>
  <c r="BI17" s="1"/>
  <c r="BI25"/>
  <c r="BJ59" s="1"/>
  <c r="BJ35"/>
  <c r="U10"/>
  <c r="U16"/>
  <c r="BI32"/>
  <c r="BJ31"/>
  <c r="BI55"/>
  <c r="BJ52"/>
  <c r="AR57"/>
  <c r="AR16"/>
  <c r="AR66"/>
  <c r="BA71"/>
  <c r="BA66"/>
  <c r="BA8" i="253"/>
  <c r="BA34" s="1"/>
  <c r="N16"/>
  <c r="N17" s="1"/>
  <c r="N26" s="1"/>
  <c r="AB32"/>
  <c r="BR15"/>
  <c r="BJ22"/>
  <c r="AB16"/>
  <c r="AB17" s="1"/>
  <c r="U33"/>
  <c r="BJ16"/>
  <c r="BA35"/>
  <c r="BA26"/>
  <c r="U8"/>
  <c r="U11" s="1"/>
  <c r="BJ11"/>
  <c r="AB23"/>
  <c r="AX35"/>
  <c r="AX30" s="1"/>
  <c r="BI22"/>
  <c r="BJ27" s="1"/>
  <c r="AI17"/>
  <c r="U17"/>
  <c r="BR16"/>
  <c r="BR22" s="1"/>
  <c r="BI11"/>
  <c r="AB33"/>
  <c r="AR14"/>
  <c r="AR30" s="1"/>
  <c r="AI22"/>
  <c r="AI23" s="1"/>
  <c r="BI35"/>
  <c r="BJ13"/>
  <c r="BI26"/>
  <c r="BJ35"/>
  <c r="BJ26"/>
  <c r="E84" i="231"/>
  <c r="E72"/>
  <c r="E60"/>
  <c r="E48"/>
  <c r="E26"/>
  <c r="E14"/>
  <c r="B464" i="238"/>
  <c r="C593"/>
  <c r="B321"/>
  <c r="B394"/>
  <c r="B533"/>
  <c r="C563"/>
  <c r="B593"/>
  <c r="B563"/>
  <c r="C321"/>
  <c r="C464"/>
  <c r="G427"/>
  <c r="C429"/>
  <c r="C394"/>
  <c r="O125" i="232" l="1"/>
  <c r="M125"/>
  <c r="M105"/>
  <c r="E34" i="221"/>
  <c r="C82"/>
  <c r="E82" s="1"/>
  <c r="BJ44" i="255"/>
  <c r="N10" i="186"/>
  <c r="E32"/>
  <c r="N32" s="1"/>
  <c r="Q37" i="222"/>
  <c r="P86"/>
  <c r="Q86" s="1"/>
  <c r="I86"/>
  <c r="K86" s="1"/>
  <c r="K88" s="1"/>
  <c r="K84"/>
  <c r="C587" i="213"/>
  <c r="M33" i="223"/>
  <c r="L37"/>
  <c r="M37" s="1"/>
  <c r="AC44" i="234"/>
  <c r="AE44" s="1"/>
  <c r="M24"/>
  <c r="K26"/>
  <c r="M26" s="1"/>
  <c r="I83" i="216"/>
  <c r="D84"/>
  <c r="I84" s="1"/>
  <c r="AQ12" i="234"/>
  <c r="AO44"/>
  <c r="AQ44" s="1"/>
  <c r="N21" i="186"/>
  <c r="L21"/>
  <c r="O21" s="1"/>
  <c r="AF83" i="216"/>
  <c r="AF84" s="1"/>
  <c r="AB84"/>
  <c r="AG84" s="1"/>
  <c r="F37" i="223"/>
  <c r="G37" s="1"/>
  <c r="G32"/>
  <c r="M82" i="221"/>
  <c r="N82" s="1"/>
  <c r="N21"/>
  <c r="Q82"/>
  <c r="W52" i="261"/>
  <c r="V82"/>
  <c r="W82" s="1"/>
  <c r="AS54" i="216"/>
  <c r="AP84"/>
  <c r="AS84" s="1"/>
  <c r="Q82" i="220"/>
  <c r="N38" i="255"/>
  <c r="N46" i="254"/>
  <c r="U59" i="255"/>
  <c r="P84" i="214"/>
  <c r="Q84" s="1"/>
  <c r="Q54"/>
  <c r="L10" i="186"/>
  <c r="O10" s="1"/>
  <c r="K32"/>
  <c r="Y33" i="270"/>
  <c r="Z33" s="1"/>
  <c r="P82" i="220"/>
  <c r="X37" i="223"/>
  <c r="Y37" s="1"/>
  <c r="R11" i="269"/>
  <c r="P33"/>
  <c r="Q11"/>
  <c r="P44" i="234"/>
  <c r="AB84" i="214"/>
  <c r="AC84" s="1"/>
  <c r="O30" i="228" s="1"/>
  <c r="AC23" i="214"/>
  <c r="M146" i="232"/>
  <c r="O146"/>
  <c r="N24" i="222"/>
  <c r="AK12" i="234"/>
  <c r="AI44"/>
  <c r="AK44" s="1"/>
  <c r="H84" i="222"/>
  <c r="F86"/>
  <c r="H86" s="1"/>
  <c r="H88" s="1"/>
  <c r="AG83" i="216"/>
  <c r="S23" i="234"/>
  <c r="Q26"/>
  <c r="S26" s="1"/>
  <c r="N69" i="254"/>
  <c r="S11" i="234"/>
  <c r="Q12"/>
  <c r="L15" i="186"/>
  <c r="O15" s="1"/>
  <c r="Q33" i="234"/>
  <c r="S33" s="1"/>
  <c r="S31"/>
  <c r="P82" i="261"/>
  <c r="AD37" i="223"/>
  <c r="AE37" s="1"/>
  <c r="K24" i="222"/>
  <c r="U84" i="216"/>
  <c r="S33" i="223"/>
  <c r="R37"/>
  <c r="S37" s="1"/>
  <c r="P84" i="216"/>
  <c r="J84" i="214"/>
  <c r="K84" s="1"/>
  <c r="E37" i="222"/>
  <c r="BA44" i="234"/>
  <c r="BC44" s="1"/>
  <c r="M84" i="214"/>
  <c r="N84" s="1"/>
  <c r="N21" i="255"/>
  <c r="J43" i="272"/>
  <c r="W65" i="220"/>
  <c r="V82"/>
  <c r="W82" s="1"/>
  <c r="N84" i="222"/>
  <c r="M86"/>
  <c r="N86" s="1"/>
  <c r="L26" i="186"/>
  <c r="O26" s="1"/>
  <c r="U84" i="214"/>
  <c r="W84" s="1"/>
  <c r="N30" i="186"/>
  <c r="L30"/>
  <c r="O30" s="1"/>
  <c r="U23" i="254"/>
  <c r="BA64"/>
  <c r="U64"/>
  <c r="M12" i="234"/>
  <c r="S15"/>
  <c r="Q19"/>
  <c r="S19" s="1"/>
  <c r="E68" i="222"/>
  <c r="D86"/>
  <c r="E86" s="1"/>
  <c r="K34" i="221"/>
  <c r="J82"/>
  <c r="K82" s="1"/>
  <c r="E83" i="216"/>
  <c r="E84" s="1"/>
  <c r="I77"/>
  <c r="Q82" i="261"/>
  <c r="AW26" i="234"/>
  <c r="AU44"/>
  <c r="AW44" s="1"/>
  <c r="AR42" i="255"/>
  <c r="U19"/>
  <c r="U54" s="1"/>
  <c r="N54"/>
  <c r="AX48"/>
  <c r="AB54"/>
  <c r="BA56"/>
  <c r="AR51"/>
  <c r="AX52"/>
  <c r="BJ43"/>
  <c r="BI48"/>
  <c r="BI57"/>
  <c r="BJ52"/>
  <c r="AX60"/>
  <c r="BJ51"/>
  <c r="BJ42"/>
  <c r="BI47"/>
  <c r="BI56"/>
  <c r="BA60"/>
  <c r="BA52"/>
  <c r="U76" i="254"/>
  <c r="U77"/>
  <c r="N26"/>
  <c r="N77" s="1"/>
  <c r="U43"/>
  <c r="BR58"/>
  <c r="BR59" s="1"/>
  <c r="BI63"/>
  <c r="AR64"/>
  <c r="AR67" s="1"/>
  <c r="BA75"/>
  <c r="AX64"/>
  <c r="AX67" s="1"/>
  <c r="BA67"/>
  <c r="AR58"/>
  <c r="AX75"/>
  <c r="AB62"/>
  <c r="AB70" s="1"/>
  <c r="BI66"/>
  <c r="BI71"/>
  <c r="BJ17"/>
  <c r="BJ62"/>
  <c r="BJ68"/>
  <c r="BI65"/>
  <c r="BJ61"/>
  <c r="BI73"/>
  <c r="BJ70"/>
  <c r="BJ69"/>
  <c r="BI72"/>
  <c r="BI64"/>
  <c r="BJ60"/>
  <c r="BA38" i="253"/>
  <c r="BI27"/>
  <c r="U27"/>
  <c r="BA30"/>
  <c r="BJ36"/>
  <c r="BI36"/>
  <c r="AB27"/>
  <c r="AI27"/>
  <c r="BI28"/>
  <c r="BJ34"/>
  <c r="BI34"/>
  <c r="AR19"/>
  <c r="BI60" i="255" l="1"/>
  <c r="T88" i="222"/>
  <c r="Q88"/>
  <c r="BJ47" i="255"/>
  <c r="Q44" i="234"/>
  <c r="S44" s="1"/>
  <c r="S12"/>
  <c r="R33" i="269"/>
  <c r="O22" i="228" s="1"/>
  <c r="Q33" i="269"/>
  <c r="O21" i="228" s="1"/>
  <c r="BJ55" i="255"/>
  <c r="K44" i="234"/>
  <c r="M44" s="1"/>
  <c r="N88" i="222"/>
  <c r="L32" i="186"/>
  <c r="BI52" i="255"/>
  <c r="BJ64" i="254"/>
  <c r="BI67"/>
  <c r="BI74"/>
  <c r="BJ72"/>
  <c r="BJ30" i="253"/>
  <c r="BI38"/>
  <c r="BJ38"/>
  <c r="BI30"/>
  <c r="O18" i="228" l="1"/>
  <c r="O32" i="186"/>
</calcChain>
</file>

<file path=xl/sharedStrings.xml><?xml version="1.0" encoding="utf-8"?>
<sst xmlns="http://schemas.openxmlformats.org/spreadsheetml/2006/main" count="23585" uniqueCount="3978">
  <si>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</si>
  <si>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</si>
  <si>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</si>
  <si>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</si>
  <si>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</si>
  <si>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</si>
  <si>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</si>
  <si>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</si>
  <si>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</si>
  <si>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</si>
  <si>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</si>
  <si>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</si>
  <si>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</si>
  <si>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</si>
  <si>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</si>
  <si>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</si>
  <si>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</si>
  <si>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</si>
  <si>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</si>
  <si>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</si>
  <si>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</si>
  <si>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</si>
  <si>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</si>
  <si>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</si>
  <si>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</si>
  <si>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</si>
  <si>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</si>
  <si>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</si>
  <si>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</si>
  <si>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</si>
  <si>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</si>
  <si>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</si>
  <si>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</si>
  <si>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</si>
  <si>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</si>
  <si>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</si>
  <si>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</si>
  <si>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</si>
  <si>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</si>
  <si>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</si>
  <si>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</si>
  <si>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</si>
  <si>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</si>
  <si>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</si>
  <si>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</si>
  <si>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</si>
  <si>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</si>
  <si>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</si>
  <si>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</si>
  <si>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</si>
  <si>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</si>
  <si>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</si>
  <si>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</si>
  <si>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</si>
  <si>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</si>
  <si>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</si>
  <si>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</si>
  <si>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</si>
  <si>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</si>
  <si>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</si>
  <si>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</si>
  <si>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</si>
  <si>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</si>
  <si>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</si>
  <si>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</si>
  <si>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</si>
  <si>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</si>
  <si>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</si>
  <si>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</si>
  <si>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</si>
  <si>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</si>
  <si>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</si>
  <si>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</si>
  <si>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</si>
  <si>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</si>
  <si>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</si>
  <si>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</si>
  <si>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</si>
  <si>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</si>
  <si>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</si>
  <si>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</si>
  <si>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</si>
  <si>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</si>
  <si>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</si>
  <si>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</si>
  <si>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</si>
  <si>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</si>
  <si>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</si>
  <si>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</si>
  <si>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</si>
  <si>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</si>
  <si>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</si>
  <si>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</si>
  <si>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</si>
  <si>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</si>
  <si>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</si>
  <si>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</si>
  <si>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</si>
  <si>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</si>
  <si>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(Miles de Pesos)</t>
  </si>
  <si>
    <t>Concepto</t>
  </si>
  <si>
    <t>Subsidio Federal</t>
  </si>
  <si>
    <t>Ingresos diferentes al 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</si>
  <si>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</si>
  <si>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</si>
  <si>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</si>
  <si>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</si>
  <si>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</si>
  <si>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</si>
  <si>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</si>
  <si>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</si>
  <si>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</si>
  <si>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</si>
  <si>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</si>
  <si>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</si>
  <si>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</si>
  <si>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</si>
  <si>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</si>
  <si>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</si>
  <si>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</si>
  <si>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</si>
  <si>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</si>
  <si>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</si>
  <si>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</si>
  <si>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</si>
  <si>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</si>
  <si>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</si>
  <si>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</si>
  <si>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</si>
  <si>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</si>
  <si>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</si>
  <si>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</si>
  <si>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</si>
  <si>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</si>
  <si>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</si>
  <si>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</si>
  <si>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</si>
  <si>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</si>
  <si>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</si>
  <si>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</si>
  <si>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</si>
  <si>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</si>
  <si>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</si>
  <si>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</si>
  <si>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</si>
  <si>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</si>
  <si>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</si>
  <si>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</si>
  <si>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</si>
  <si>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</si>
  <si>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</si>
  <si>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</si>
  <si>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</si>
  <si>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</si>
  <si>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</si>
  <si>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</si>
  <si>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</si>
  <si>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</si>
  <si>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</si>
  <si>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</si>
  <si>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</si>
  <si>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</si>
  <si>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Nombre del curso</t>
  </si>
  <si>
    <t>Duración en horas</t>
  </si>
  <si>
    <t>Total de participantes atendidos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</si>
  <si>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</si>
  <si>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</si>
  <si>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</si>
  <si>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</si>
  <si>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</si>
  <si>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</si>
  <si>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</si>
  <si>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</si>
  <si>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</si>
  <si>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</si>
  <si>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</si>
  <si>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</si>
  <si>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</si>
  <si>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</si>
  <si>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</si>
  <si>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</si>
  <si>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</si>
  <si>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</si>
  <si>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</si>
  <si>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</si>
  <si>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</si>
  <si>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</si>
  <si>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</si>
  <si>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</si>
  <si>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</si>
  <si>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</si>
  <si>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</si>
  <si>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</si>
  <si>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</si>
  <si>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</si>
  <si>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</si>
  <si>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</si>
  <si>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</si>
  <si>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</si>
  <si>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</si>
  <si>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</si>
  <si>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</si>
  <si>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</si>
  <si>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</si>
  <si>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</si>
  <si>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</si>
  <si>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</si>
  <si>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</si>
  <si>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</si>
  <si>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</si>
  <si>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</si>
  <si>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</si>
  <si>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</si>
  <si>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</si>
  <si>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</si>
  <si>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</si>
  <si>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</si>
  <si>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</si>
  <si>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TIEMPO DE DEDICACIÓN</t>
  </si>
  <si>
    <t>BASE</t>
  </si>
  <si>
    <t>CONFIANZA</t>
  </si>
  <si>
    <t>TC</t>
  </si>
  <si>
    <t>MT</t>
  </si>
  <si>
    <t>TP</t>
  </si>
  <si>
    <t>ELABORACIÓN: Dirección de Planeación.</t>
  </si>
  <si>
    <t>COMPÚTADORAS</t>
  </si>
  <si>
    <t>COBERTURA</t>
  </si>
  <si>
    <t>Dedicadas a los profesores</t>
  </si>
  <si>
    <t>NÚMERO</t>
  </si>
  <si>
    <t>RELACIÓN</t>
  </si>
  <si>
    <t>INFRAESTRUCTURA: CÓMPUTO CUAJIMALPA</t>
  </si>
  <si>
    <t>INFRAESTRUCTURA: CÓMPUTO IZTAPALAPA</t>
  </si>
  <si>
    <t>INFRAESTRUCTURA: CÓMPUTO XOCHIMILCO</t>
  </si>
  <si>
    <t>FUENTE: INDICADORES DEL PIFI</t>
  </si>
  <si>
    <t>M 296.7</t>
  </si>
  <si>
    <t>A336</t>
  </si>
  <si>
    <t>C 260.3</t>
  </si>
  <si>
    <t>C 281.11</t>
  </si>
  <si>
    <t>A 290</t>
  </si>
  <si>
    <t>A 336</t>
  </si>
  <si>
    <t>A 252</t>
  </si>
  <si>
    <t>A 327</t>
  </si>
  <si>
    <t>A 287</t>
  </si>
  <si>
    <t>A260</t>
  </si>
  <si>
    <t>A 241</t>
  </si>
  <si>
    <t>CUAJIMALPA CNI</t>
  </si>
  <si>
    <t>C 325.5</t>
  </si>
  <si>
    <t>Mtría en Economía</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</si>
  <si>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</si>
  <si>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</si>
  <si>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</si>
  <si>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</si>
  <si>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</si>
  <si>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</si>
  <si>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</si>
  <si>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</si>
  <si>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</si>
  <si>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</si>
  <si>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</si>
  <si>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</si>
  <si>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</si>
  <si>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</si>
  <si>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</si>
  <si>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</si>
  <si>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</si>
  <si>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</si>
  <si>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Competencia internacional</t>
  </si>
  <si>
    <t>Consolidado</t>
  </si>
  <si>
    <t>En desarrollo</t>
  </si>
  <si>
    <t>Reciente creación</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</si>
  <si>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</si>
  <si>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</si>
  <si>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</si>
  <si>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</si>
  <si>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</si>
  <si>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</si>
  <si>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</si>
  <si>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</si>
  <si>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</si>
  <si>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</si>
  <si>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</si>
  <si>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</si>
  <si>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</si>
  <si>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</si>
  <si>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</si>
  <si>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</si>
  <si>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</si>
  <si>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Maestría en Ciencias (Matemáticas Aplicadas e Industriales)</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</si>
  <si>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</si>
  <si>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</si>
  <si>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</si>
  <si>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</si>
  <si>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</si>
  <si>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</si>
  <si>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</si>
  <si>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</si>
  <si>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</si>
  <si>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</si>
  <si>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</si>
  <si>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</si>
  <si>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</si>
  <si>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</si>
  <si>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</si>
  <si>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</si>
  <si>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</si>
  <si>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Maestría en Economía y Gestión de la Innovación</t>
  </si>
  <si>
    <t>Doctorado en Desarrollo Rural</t>
  </si>
  <si>
    <t>Doctorado en Ciencias Sociales</t>
  </si>
  <si>
    <t>Especialización en Medicina Social</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</si>
  <si>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</si>
  <si>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</si>
  <si>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</si>
  <si>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</si>
  <si>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</si>
  <si>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</si>
  <si>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</si>
  <si>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</si>
  <si>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</si>
  <si>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</si>
  <si>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</si>
  <si>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</si>
  <si>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</si>
  <si>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</si>
  <si>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</si>
  <si>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</si>
  <si>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</si>
  <si>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</si>
  <si>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</si>
  <si>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</si>
  <si>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</si>
  <si>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</si>
  <si>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</si>
  <si>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</si>
  <si>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</si>
  <si>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</si>
  <si>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</si>
  <si>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</si>
  <si>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ISBN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</si>
  <si>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</si>
  <si>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</si>
  <si>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</si>
  <si>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</si>
  <si>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</si>
  <si>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</si>
  <si>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</si>
  <si>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</si>
  <si>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</si>
  <si>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</si>
  <si>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</si>
  <si>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</si>
  <si>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</si>
  <si>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</si>
  <si>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</si>
  <si>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</si>
  <si>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No. de participantes de base</t>
  </si>
  <si>
    <t>No. de participantes de confianza</t>
  </si>
  <si>
    <t>PREPRACIÓN Y MANEJO DE REACTIVOS Y SOLUCIONES</t>
  </si>
  <si>
    <t>ARCHIVO</t>
  </si>
  <si>
    <t>STOCKWARE</t>
  </si>
  <si>
    <t>AUTOCONOCIMIENTO Y DESARROLLO HUMANO</t>
  </si>
  <si>
    <t>TOTAL UNIDAD XOCHIMILCO</t>
  </si>
  <si>
    <t>FUENTE: Base de Datos de Nómina, Quincena 20 de 2011. Incluye Mandos Medios Académicos, Mandos Medios Administrativos con Base Académica y Funcionarios Académicos.</t>
  </si>
  <si>
    <t>CEU</t>
  </si>
  <si>
    <t>TOTAL UNIDAD LERMA</t>
  </si>
  <si>
    <t>Incluye personal administrativo definitivo y temporal</t>
  </si>
  <si>
    <t>INFRAESTRUCTURA: CÓMPUTO LERMA</t>
  </si>
  <si>
    <t>TOTAL UNIDAD CUAJIMALPA</t>
  </si>
  <si>
    <t>Word básico</t>
  </si>
  <si>
    <t>Power point básico</t>
  </si>
  <si>
    <t>Curso Delta Metropolitana</t>
  </si>
  <si>
    <t>Curso en secretariado con computación</t>
  </si>
  <si>
    <t>Curso de telefonía (VOIP)</t>
  </si>
  <si>
    <t>Curso de mantenimiento de laptops</t>
  </si>
  <si>
    <t>Taller vivencial: La trascendencia del autocuidado en nuestro entormo</t>
  </si>
  <si>
    <t>Las gráficas y líneas de tendencia en excel</t>
  </si>
  <si>
    <t>FUENTE: Coordinaciones Administrativas y Direcciones de División UAMI</t>
  </si>
  <si>
    <t>AZC. CBI.</t>
  </si>
  <si>
    <t>AZC. CSH.</t>
  </si>
  <si>
    <t>AZC. CAD.</t>
  </si>
  <si>
    <t>IZT. CBI.</t>
  </si>
  <si>
    <t>IZT. CSH.</t>
  </si>
  <si>
    <t>IZT. CBS.</t>
  </si>
  <si>
    <t>XOC. CSH.</t>
  </si>
  <si>
    <t>XOC. CBS</t>
  </si>
  <si>
    <t>XOC. CAD</t>
  </si>
  <si>
    <t xml:space="preserve"> 2007 A 2011</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</si>
  <si>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</si>
  <si>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</si>
  <si>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</si>
  <si>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</si>
  <si>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</si>
  <si>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</si>
  <si>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</si>
  <si>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</si>
  <si>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</si>
  <si>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</si>
  <si>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</si>
  <si>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</si>
  <si>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</si>
  <si>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</si>
  <si>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</si>
  <si>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</si>
  <si>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</si>
  <si>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</si>
  <si>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</si>
  <si>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</si>
  <si>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</si>
  <si>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</si>
  <si>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</si>
  <si>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</si>
  <si>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</si>
  <si>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</si>
  <si>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</si>
  <si>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</si>
  <si>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</si>
  <si>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</si>
  <si>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</si>
  <si>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</si>
  <si>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</si>
  <si>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</si>
  <si>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</si>
  <si>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</si>
  <si>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</si>
  <si>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</si>
  <si>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</si>
  <si>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</si>
  <si>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</si>
  <si>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</si>
  <si>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</si>
  <si>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</si>
  <si>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INFRAESTRUCTURA: CÓMPUTO AZCAPOTZALCO</t>
  </si>
  <si>
    <t>100 MB</t>
  </si>
  <si>
    <t>U. Azcapotzalco</t>
  </si>
  <si>
    <t>U. Cuajimalpa</t>
  </si>
  <si>
    <t>40 MB</t>
  </si>
  <si>
    <t>U. Iztapalapa</t>
  </si>
  <si>
    <t>U. Lerma</t>
  </si>
  <si>
    <t>4 MB</t>
  </si>
  <si>
    <t>U. Xochimilco</t>
  </si>
  <si>
    <t xml:space="preserve">Mide el porcentaje del tiempo de  transmisión radiofónica en programas hablados. </t>
  </si>
  <si>
    <t>Ext. Univer.</t>
  </si>
  <si>
    <t>PRODUCCIÓN EDITORIAL</t>
  </si>
  <si>
    <t>CAPACITACIÓN</t>
  </si>
  <si>
    <t>FUENTE: Base de Datos de Nómina, Quincena 20 de 2010. Incluye Mandos Medios Académicos, Mandos Medios Administrativos con Base Académica y Funcionarios Académicos.</t>
  </si>
  <si>
    <t>INFRAESTRUCTURA: TOTAL UAM</t>
  </si>
  <si>
    <t>Rectoría (Azc, Cua, Xoc)</t>
  </si>
  <si>
    <t>INFRAESTRUCTURA: RECTORÍA GENERAL</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</si>
  <si>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</si>
  <si>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</si>
  <si>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</si>
  <si>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</si>
  <si>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</si>
  <si>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</si>
  <si>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</si>
  <si>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</si>
  <si>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</si>
  <si>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</si>
  <si>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</si>
  <si>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</si>
  <si>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</si>
  <si>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</si>
  <si>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</si>
  <si>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</si>
  <si>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</si>
  <si>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</si>
  <si>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Porcentaje de planes actualizados en los últimos 5 años</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</si>
  <si>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</si>
  <si>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</si>
  <si>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</si>
  <si>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</si>
  <si>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</si>
  <si>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</si>
  <si>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</si>
  <si>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</si>
  <si>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</si>
  <si>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</si>
  <si>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NIVEL</t>
  </si>
  <si>
    <t>ENERO DE 2011</t>
  </si>
  <si>
    <t>TIEMPO  PROMEDIO EXCEDENTE PARA CONCLUIR ESTUDIOS DE LICENCIATURA</t>
  </si>
  <si>
    <t>2006 A 2010</t>
  </si>
  <si>
    <t>HABILITACIÓN DE LA PLANTA ACADÉMICA</t>
  </si>
  <si>
    <t>Capacidad académica de los profesores definitivos de tiempo completo</t>
  </si>
  <si>
    <t>MATRÍCULA TOTAL Y SU DISTRIBUCIÓN DE LA MATRÍCULA DE POSGRADO EN RELACIÓN CON LA MATRÍCULA TOTAL</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</si>
  <si>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</si>
  <si>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</si>
  <si>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</si>
  <si>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</si>
  <si>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</si>
  <si>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</si>
  <si>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TASA DE CRECIMIENTO  DE CONSULTAS DE LA INFORMACIÓN INSTITUCIONAL</t>
  </si>
  <si>
    <t>ANCHO DE BANDA</t>
  </si>
  <si>
    <t>COMPUTADORAS ACTUALIZADAS DEDICADAS A LOS ALUMNOS Y PERSONAL</t>
  </si>
  <si>
    <t>Especialización en Literatura Mexicana del siglo XX</t>
  </si>
  <si>
    <t>Posgrado en Historiografía (Maestría)</t>
  </si>
  <si>
    <t>Posgrado en Historiografía (Doctorado)</t>
  </si>
  <si>
    <t>Maestría en Historiografía de México</t>
  </si>
  <si>
    <t>Maestría en Sociología</t>
  </si>
  <si>
    <t>Especialización en diseño</t>
  </si>
  <si>
    <t>Maestría en diseño</t>
  </si>
  <si>
    <t>Doctorado en diseño</t>
  </si>
  <si>
    <t>Doctorado en Ciencias y Tecnologías de la Información</t>
  </si>
  <si>
    <t>Maestría en Filosofía de la Ciencia</t>
  </si>
  <si>
    <t>Maestría en sociología del trabajo</t>
  </si>
  <si>
    <t>Maestría en Biología de la Reproducción Animal</t>
  </si>
  <si>
    <t>Posgrado en Biología Experimental (Maestría)</t>
  </si>
  <si>
    <t>Posgrado en Biología Experimental (Doctorado)</t>
  </si>
  <si>
    <t>Doctorado en Ciencias Biológicas</t>
  </si>
  <si>
    <t>Especialización en Desarrollo Rural</t>
  </si>
  <si>
    <t>Maestría en Desarrollo Rural</t>
  </si>
  <si>
    <t>Maestría en Comunicación y Política</t>
  </si>
  <si>
    <t>Especialización en Patología y Medicina Bucal</t>
  </si>
  <si>
    <t>Maestria en Patologia y Medicina Bucal</t>
  </si>
  <si>
    <t>Especialización en Diagnóstico Integral y Patología Bucal</t>
  </si>
  <si>
    <t>Maestría en Ciencias en Salud en el Trabajo</t>
  </si>
  <si>
    <t>Maestria en Reutilizacion del Patrimonio Edificado</t>
  </si>
  <si>
    <t>Maestria en Diseño y Produccion Editorial</t>
  </si>
  <si>
    <t>Maestria en Ciencias Sociales y Humanidades</t>
  </si>
  <si>
    <t>Doctorado en Ciencias Sociales y Humanidades</t>
  </si>
  <si>
    <t>444 MB</t>
  </si>
  <si>
    <t>Indice de crecimiento</t>
  </si>
  <si>
    <t>Ind. crec.</t>
  </si>
  <si>
    <t>Total personal Administrativo</t>
  </si>
  <si>
    <t>Participantes</t>
  </si>
  <si>
    <r>
      <t xml:space="preserve">No. de horas por persona </t>
    </r>
    <r>
      <rPr>
        <b/>
        <sz val="8"/>
        <color indexed="8"/>
        <rFont val="Arial"/>
        <family val="2"/>
      </rPr>
      <t>(B / F)</t>
    </r>
  </si>
  <si>
    <t>de base</t>
  </si>
  <si>
    <t>de confianza</t>
  </si>
  <si>
    <t>PROGRAMAS DE ACTIVIDADES DEPORTIVAS</t>
  </si>
  <si>
    <t>FUENTE: Base de Datos de Nómina, Quincena 20 de 2012. Incluye Mandos Medios Académicos, Mandos Medios Administrativos con Base Académica y Funcionarios Académicos.</t>
  </si>
  <si>
    <t>Crecimiento real del Subsidio Federal</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</si>
  <si>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</si>
  <si>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</si>
  <si>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</si>
  <si>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</si>
  <si>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Mtría en Literatura Mexicana Contemporánea</t>
  </si>
  <si>
    <t>Mtría en Relaciones Internacionales</t>
  </si>
  <si>
    <t>2008 A 2012</t>
  </si>
  <si>
    <t>A343</t>
  </si>
  <si>
    <t>A 348</t>
  </si>
  <si>
    <t>A 346</t>
  </si>
  <si>
    <t>M 348.1</t>
  </si>
  <si>
    <t>S 348</t>
  </si>
  <si>
    <t>A344</t>
  </si>
  <si>
    <t>CBS Y CNI</t>
  </si>
  <si>
    <t>TITULO DEL LIBRO</t>
  </si>
  <si>
    <t>AUTOR</t>
  </si>
  <si>
    <t>EDITORIAL</t>
  </si>
  <si>
    <t>No. de participantes *</t>
  </si>
  <si>
    <t>División / Secretaría</t>
  </si>
  <si>
    <t>UAM-A</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</si>
  <si>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</si>
  <si>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</si>
  <si>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</si>
  <si>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</si>
  <si>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</si>
  <si>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</si>
  <si>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</si>
  <si>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</si>
  <si>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</si>
  <si>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</si>
  <si>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</si>
  <si>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</si>
  <si>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Introducción al video para la realización de material didáctico</t>
  </si>
  <si>
    <t>Posproducción en la elaboración de material didáctico</t>
  </si>
  <si>
    <t>TOTALES</t>
  </si>
  <si>
    <t>Instancia</t>
  </si>
  <si>
    <t>MB</t>
  </si>
  <si>
    <t>Rec Humanos</t>
  </si>
  <si>
    <t>Word Intermedio</t>
  </si>
  <si>
    <t>Electricidad</t>
  </si>
  <si>
    <t>Manejo de Desechos Residuales</t>
  </si>
  <si>
    <t>Word Avanzado</t>
  </si>
  <si>
    <t>Manejo y Almacenamiento de Productos Químicos</t>
  </si>
  <si>
    <t>Total CBI</t>
  </si>
  <si>
    <t>Total CSH</t>
  </si>
  <si>
    <t>Total CAD</t>
  </si>
  <si>
    <t>Total CBS</t>
  </si>
  <si>
    <t>Total CCD</t>
  </si>
  <si>
    <t>Total CNI</t>
  </si>
  <si>
    <t>Servicio Médico</t>
  </si>
  <si>
    <t>Arte y Comunicación Digitales</t>
  </si>
  <si>
    <t>Voleibol de Playa</t>
  </si>
  <si>
    <t>Evaluaciones Físicas</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</si>
  <si>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</si>
  <si>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</si>
  <si>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</si>
  <si>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</si>
  <si>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</si>
  <si>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</si>
  <si>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</si>
  <si>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</si>
  <si>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</si>
  <si>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</si>
  <si>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</si>
  <si>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</si>
  <si>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</si>
  <si>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</si>
  <si>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</si>
  <si>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</si>
  <si>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</si>
  <si>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</si>
  <si>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</si>
  <si>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</si>
  <si>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</si>
  <si>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</si>
  <si>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</si>
  <si>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</si>
  <si>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</si>
  <si>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</si>
  <si>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</si>
  <si>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</si>
  <si>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</si>
  <si>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</si>
  <si>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</si>
  <si>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</si>
  <si>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</si>
  <si>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</si>
  <si>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</si>
  <si>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Porcentaje 2012</t>
  </si>
  <si>
    <t>Porcentaje 2011</t>
  </si>
  <si>
    <t>Medicina (*)</t>
  </si>
  <si>
    <t>Esp en Acupuntura y Fitoterapia (*)</t>
  </si>
  <si>
    <t>Mtría en Estudios de la Mujer</t>
  </si>
  <si>
    <t>C</t>
  </si>
  <si>
    <t>COMPUTADORAS</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</si>
  <si>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</si>
  <si>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</si>
  <si>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</si>
  <si>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</si>
  <si>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</si>
  <si>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</si>
  <si>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</si>
  <si>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</si>
  <si>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</si>
  <si>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</si>
  <si>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</si>
  <si>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</si>
  <si>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</si>
  <si>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</si>
  <si>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</si>
  <si>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</si>
  <si>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</si>
  <si>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</si>
  <si>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</si>
  <si>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</si>
  <si>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</si>
  <si>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r>
      <t xml:space="preserve">TOTAL </t>
    </r>
    <r>
      <rPr>
        <sz val="10"/>
        <color theme="1"/>
        <rFont val="Arial"/>
        <family val="2"/>
      </rPr>
      <t>(A)</t>
    </r>
  </si>
  <si>
    <r>
      <t xml:space="preserve">TOTAL </t>
    </r>
    <r>
      <rPr>
        <sz val="10"/>
        <color theme="1"/>
        <rFont val="Arial"/>
        <family val="2"/>
      </rPr>
      <t>(B)</t>
    </r>
  </si>
  <si>
    <t>FUENTE: Base de Datos de Nómina, Quincena 20 de 2013. Incluye Mandos Medios Académicos, Mandos Medios Administrativos con Base Académica y Funcionarios Académicos.</t>
  </si>
  <si>
    <r>
      <t>TOTAL</t>
    </r>
    <r>
      <rPr>
        <sz val="10"/>
        <color theme="1"/>
        <rFont val="Arial"/>
        <family val="2"/>
      </rPr>
      <t xml:space="preserve"> (A)</t>
    </r>
  </si>
  <si>
    <r>
      <t>TOTAL</t>
    </r>
    <r>
      <rPr>
        <sz val="10"/>
        <color theme="1"/>
        <rFont val="Arial"/>
        <family val="2"/>
      </rPr>
      <t xml:space="preserve"> (B)</t>
    </r>
  </si>
  <si>
    <t>Porcentaje 2013</t>
  </si>
  <si>
    <t>271113. En proceso de activación 100MB en sede escorpión.</t>
  </si>
  <si>
    <t>271113. En proceso de entrega 50 MB adicionales, se espera recibir antes del 20 de diciembre</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</si>
  <si>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</si>
  <si>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</si>
  <si>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</si>
  <si>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</si>
  <si>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</si>
  <si>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</si>
  <si>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</si>
  <si>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</si>
  <si>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</si>
  <si>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</si>
  <si>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</si>
  <si>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</si>
  <si>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</si>
  <si>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</si>
  <si>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</si>
  <si>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</si>
  <si>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</si>
  <si>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</si>
  <si>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</si>
  <si>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</si>
  <si>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</si>
  <si>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</si>
  <si>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</si>
  <si>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</si>
  <si>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</si>
  <si>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</si>
  <si>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</si>
  <si>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</si>
  <si>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</si>
  <si>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</si>
  <si>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</si>
  <si>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</si>
  <si>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</si>
  <si>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</si>
  <si>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</si>
  <si>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</si>
  <si>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</si>
  <si>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</si>
  <si>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</si>
  <si>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</si>
  <si>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</si>
  <si>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</si>
  <si>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</si>
  <si>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</si>
  <si>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</si>
  <si>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</si>
  <si>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</si>
  <si>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</si>
  <si>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</si>
  <si>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</si>
  <si>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</si>
  <si>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</si>
  <si>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</si>
  <si>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2009 A 2013</t>
  </si>
  <si>
    <t>Posgrado en Optimización</t>
  </si>
  <si>
    <t>Posgrado en Ingeniería de Procesos</t>
  </si>
  <si>
    <t>Posgrado en Ciencias Sociales y Humanidades</t>
  </si>
  <si>
    <t>Posgrado en Ciencias Naturales e Ingeniería</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</si>
  <si>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</si>
  <si>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</si>
  <si>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</si>
  <si>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</si>
  <si>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</si>
  <si>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</si>
  <si>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</si>
  <si>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</si>
  <si>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</si>
  <si>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</si>
  <si>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</si>
  <si>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(Monto en miles)</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</si>
  <si>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</si>
  <si>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</si>
  <si>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</si>
  <si>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</si>
  <si>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</si>
  <si>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</si>
  <si>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</si>
  <si>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</si>
  <si>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</si>
  <si>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</si>
  <si>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</si>
  <si>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</si>
  <si>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</si>
  <si>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</si>
  <si>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</si>
  <si>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</si>
  <si>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</si>
  <si>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</si>
  <si>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</si>
  <si>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</si>
  <si>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</si>
  <si>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</si>
  <si>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</si>
  <si>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</si>
  <si>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</si>
  <si>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</si>
  <si>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</si>
  <si>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</si>
  <si>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</si>
  <si>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</si>
  <si>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87-O</t>
  </si>
  <si>
    <t>00-P</t>
  </si>
  <si>
    <t>14-P</t>
  </si>
  <si>
    <t>Maestría. en Ciencias de la Computación</t>
  </si>
  <si>
    <t>Maestría en Ciencias e Ingeniería (Ambientales y de Materiales)</t>
  </si>
  <si>
    <t>Doctorado en Ciencias e Ingeniería (Ambientales y de Materiales)</t>
  </si>
  <si>
    <t>Especialidad en Literatura Mexicana del Siglo XX</t>
  </si>
  <si>
    <t>Especialidad en Sociología de la Educación Superior</t>
  </si>
  <si>
    <t>Maestría en Economía (Historia Económica, Empresas, Finanzas e Innovación)</t>
  </si>
  <si>
    <t>Maestría  en Planeación y Políticas Metropolitanas</t>
  </si>
  <si>
    <t>Posgrado en Historiografía (Especialización)</t>
  </si>
  <si>
    <t>Posgrado  en Física (Maestría)</t>
  </si>
  <si>
    <t>Posgrado  en Física (Doctorado)</t>
  </si>
  <si>
    <t>Posgrado  en Química (Maestría)</t>
  </si>
  <si>
    <t>Posgrado  en Química (Doctorado)</t>
  </si>
  <si>
    <t>Posgrado  en Ingeniería Biomédica (Maestría)</t>
  </si>
  <si>
    <t>Posgrado  en Ingeniería Biomédica (Doctorado)</t>
  </si>
  <si>
    <t>Posgrado  en Matemáticas (Maestría)</t>
  </si>
  <si>
    <t>Posgrado  en Matemáticas (Doctorado)</t>
  </si>
  <si>
    <r>
      <t xml:space="preserve">Posgrado  en Ingeniería Química (Maestría)  </t>
    </r>
    <r>
      <rPr>
        <sz val="11"/>
        <color rgb="FFFF0000"/>
        <rFont val="Calibri"/>
        <family val="2"/>
        <scheme val="minor"/>
      </rPr>
      <t>(C,99-0, Sesión 208.7, 16/07/99)</t>
    </r>
  </si>
  <si>
    <r>
      <t xml:space="preserve">Posgrado  en Ingeniería Química (Doctorado) </t>
    </r>
    <r>
      <rPr>
        <sz val="11"/>
        <color rgb="FFFF0000"/>
        <rFont val="Calibri"/>
        <family val="2"/>
        <scheme val="minor"/>
      </rPr>
      <t>(C,99-0, Sesión 208.7, 16/07/99)</t>
    </r>
  </si>
  <si>
    <t>Posgrado en Ciencias y Tecnologías de la Información  (Maestría)</t>
  </si>
  <si>
    <t>Posgrado en Ciencias y Tecnologías de la Información  ( Doctorado)</t>
  </si>
  <si>
    <r>
      <t xml:space="preserve">Posgrado en Energía y Medio Ambiente (Maestría) </t>
    </r>
    <r>
      <rPr>
        <sz val="11"/>
        <color rgb="FFFF0000"/>
        <rFont val="Calibri"/>
        <family val="2"/>
        <scheme val="minor"/>
      </rPr>
      <t>Entra en Operación en 13-I,</t>
    </r>
    <r>
      <rPr>
        <b/>
        <i/>
        <sz val="11"/>
        <color rgb="FFFF0000"/>
        <rFont val="Calibri"/>
        <family val="2"/>
        <scheme val="minor"/>
      </rPr>
      <t xml:space="preserve"> </t>
    </r>
    <r>
      <rPr>
        <b/>
        <i/>
        <sz val="11"/>
        <color rgb="FF00B050"/>
        <rFont val="Calibri"/>
        <family val="2"/>
        <scheme val="minor"/>
      </rPr>
      <t>Compartido con CBS</t>
    </r>
  </si>
  <si>
    <r>
      <t xml:space="preserve">Posgrado en Energía y Medio Ambiente (Doctorado) </t>
    </r>
    <r>
      <rPr>
        <sz val="11"/>
        <color rgb="FFFF0000"/>
        <rFont val="Calibri"/>
        <family val="2"/>
        <scheme val="minor"/>
      </rPr>
      <t xml:space="preserve"> (Entra en Operación en 13-) </t>
    </r>
    <r>
      <rPr>
        <b/>
        <i/>
        <sz val="11"/>
        <color rgb="FF00B050"/>
        <rFont val="Calibri"/>
        <family val="2"/>
        <scheme val="minor"/>
      </rPr>
      <t>Compartido con CBS</t>
    </r>
  </si>
  <si>
    <t>Especialidad en Ciencias Antropológicas</t>
  </si>
  <si>
    <t>Maestría  en Ciencias Antropológicas</t>
  </si>
  <si>
    <r>
      <t xml:space="preserve">Maestría en Humanidades </t>
    </r>
    <r>
      <rPr>
        <sz val="11"/>
        <color rgb="FFFF0000"/>
        <rFont val="Calibri"/>
        <family val="2"/>
        <scheme val="minor"/>
      </rPr>
      <t>(A, 99-O, Sesión 206)</t>
    </r>
  </si>
  <si>
    <r>
      <t xml:space="preserve">Doctorado en  Humanidades </t>
    </r>
    <r>
      <rPr>
        <sz val="11"/>
        <color rgb="FFFF0000"/>
        <rFont val="Calibri"/>
        <family val="2"/>
        <scheme val="minor"/>
      </rPr>
      <t>(A, 99-O, Sesión 206)</t>
    </r>
  </si>
  <si>
    <t>Maestría en Historia (A, 99-O, Sesión 206)</t>
  </si>
  <si>
    <t>Maestría en Filosofía de la Ciencia (A, 99-O, Sesión 206)</t>
  </si>
  <si>
    <t>Maestría en Sociología del Trabajo (A, 99-O, Sesión 206)</t>
  </si>
  <si>
    <r>
      <t xml:space="preserve">Especialización en Biotecnología </t>
    </r>
    <r>
      <rPr>
        <sz val="11"/>
        <color rgb="FFFF0000"/>
        <rFont val="Calibri"/>
        <family val="2"/>
        <scheme val="minor"/>
      </rPr>
      <t>(C, 91-O,Sesión 115.7)</t>
    </r>
  </si>
  <si>
    <r>
      <t>Especialización en Acupuntura y Fitoterapía</t>
    </r>
    <r>
      <rPr>
        <sz val="11"/>
        <color rgb="FFFF0000"/>
        <rFont val="Calibri"/>
        <family val="2"/>
        <scheme val="minor"/>
      </rPr>
      <t xml:space="preserve"> (C, 99-O, Sesión 204.4)</t>
    </r>
  </si>
  <si>
    <r>
      <t xml:space="preserve">Maestría.  en Biología </t>
    </r>
    <r>
      <rPr>
        <sz val="11"/>
        <color rgb="FFFF0000"/>
        <rFont val="Calibri"/>
        <family val="2"/>
        <scheme val="minor"/>
      </rPr>
      <t>(C,01-O, Sesión 223.6)</t>
    </r>
  </si>
  <si>
    <r>
      <t>Posgrado en Energía y Medio Ambiente (Maestría)</t>
    </r>
    <r>
      <rPr>
        <b/>
        <i/>
        <sz val="11"/>
        <color rgb="FF00B050"/>
        <rFont val="Calibri"/>
        <family val="2"/>
        <scheme val="minor"/>
      </rPr>
      <t xml:space="preserve"> No se cuentan ya se hizo en CBI</t>
    </r>
  </si>
  <si>
    <r>
      <t xml:space="preserve">Posgrado en Energía y Medio Ambiente (Doctorado) </t>
    </r>
    <r>
      <rPr>
        <sz val="11"/>
        <color rgb="FF00B050"/>
        <rFont val="Calibri"/>
        <family val="2"/>
        <scheme val="minor"/>
      </rPr>
      <t xml:space="preserve"> </t>
    </r>
    <r>
      <rPr>
        <b/>
        <i/>
        <sz val="11"/>
        <color rgb="FF00B050"/>
        <rFont val="Calibri"/>
        <family val="2"/>
        <scheme val="minor"/>
      </rPr>
      <t>No se cuentan ya se hizo en CBI</t>
    </r>
  </si>
  <si>
    <t>Especialización en Desarrollo  Rural</t>
  </si>
  <si>
    <t>Maestría en Desarrollo  Rural</t>
  </si>
  <si>
    <t>Doctorado en Desarrollo  Rural</t>
  </si>
  <si>
    <t>Maestría en Psicología Social De Grupos e Instituciones</t>
  </si>
  <si>
    <r>
      <t xml:space="preserve">Especialización en Estudios de la Mujer </t>
    </r>
    <r>
      <rPr>
        <b/>
        <i/>
        <sz val="11"/>
        <color rgb="FFFF0000"/>
        <rFont val="Calibri"/>
        <family val="2"/>
        <scheme val="minor"/>
      </rPr>
      <t>(Suprimido)</t>
    </r>
  </si>
  <si>
    <r>
      <t>Maestría en Relaciones Internacionales</t>
    </r>
    <r>
      <rPr>
        <sz val="11"/>
        <color rgb="FF4F81BD"/>
        <rFont val="Calibri"/>
        <family val="2"/>
        <scheme val="minor"/>
      </rPr>
      <t xml:space="preserve"> (Entra en Operación en 12-I)</t>
    </r>
  </si>
  <si>
    <t>Maestría en Rehabilitación Neurológica (Área de Salud Inf. y Prev. de Sec. del Des.)</t>
  </si>
  <si>
    <t>Maestría en Ciencias en Salud de los Trabajadores</t>
  </si>
  <si>
    <r>
      <t xml:space="preserve">Maestría en Ciencias Farmacéuticas </t>
    </r>
    <r>
      <rPr>
        <sz val="11"/>
        <color rgb="FFFF0000"/>
        <rFont val="Calibri"/>
        <family val="2"/>
        <scheme val="minor"/>
      </rPr>
      <t xml:space="preserve"> (A, 02 P, Sesión 233)</t>
    </r>
  </si>
  <si>
    <t>Especialización en Población y Salud (C, 97-O , Sesión 177.5)</t>
  </si>
  <si>
    <r>
      <t>Maestría en Población y Salud</t>
    </r>
    <r>
      <rPr>
        <sz val="11"/>
        <color rgb="FFFF0000"/>
        <rFont val="Calibri"/>
        <family val="2"/>
        <scheme val="minor"/>
      </rPr>
      <t xml:space="preserve"> (C,177.5 y A, 01-P, Sesión 226)</t>
    </r>
  </si>
  <si>
    <r>
      <t>Especialización en Medicina Social</t>
    </r>
    <r>
      <rPr>
        <sz val="11"/>
        <color rgb="FFFF0000"/>
        <rFont val="Calibri"/>
        <family val="2"/>
        <scheme val="minor"/>
      </rPr>
      <t xml:space="preserve"> (C, 25.11 y M,83.4,  26-11-87)</t>
    </r>
  </si>
  <si>
    <r>
      <t>Maestría  en Medicina Social</t>
    </r>
    <r>
      <rPr>
        <sz val="11"/>
        <color rgb="FFFF0000"/>
        <rFont val="Calibri"/>
        <family val="2"/>
        <scheme val="minor"/>
      </rPr>
      <t xml:space="preserve"> (C, 25.11 y M,  83.4, 26-11-87)</t>
    </r>
  </si>
  <si>
    <t xml:space="preserve">Especialización en Patología y Medicina Bucal </t>
  </si>
  <si>
    <t xml:space="preserve">Maestría en Patología y Medicina Bucal </t>
  </si>
  <si>
    <r>
      <t>Doctorado en Ciencias Agropecuarias</t>
    </r>
    <r>
      <rPr>
        <sz val="11"/>
        <color rgb="FF4F81BD"/>
        <rFont val="Calibri"/>
        <family val="2"/>
        <scheme val="minor"/>
      </rPr>
      <t xml:space="preserve"> </t>
    </r>
    <r>
      <rPr>
        <sz val="11"/>
        <color rgb="FF0070C0"/>
        <rFont val="Calibri"/>
        <family val="2"/>
        <scheme val="minor"/>
      </rPr>
      <t>(Entra en Operación en 13-I)</t>
    </r>
  </si>
  <si>
    <r>
      <t>Maestría en Ecología Aplicada</t>
    </r>
    <r>
      <rPr>
        <b/>
        <sz val="11"/>
        <color rgb="FF00B050"/>
        <rFont val="Calibri"/>
        <family val="2"/>
        <scheme val="minor"/>
      </rPr>
      <t xml:space="preserve"> </t>
    </r>
    <r>
      <rPr>
        <b/>
        <sz val="11"/>
        <color rgb="FF0070C0"/>
        <rFont val="Calibri"/>
        <family val="2"/>
        <scheme val="minor"/>
      </rPr>
      <t>(Nueva, C 365.6, en 13-O)</t>
    </r>
  </si>
  <si>
    <r>
      <t>Maestría en Ciencias y Artes para el Diseño</t>
    </r>
    <r>
      <rPr>
        <sz val="11"/>
        <color rgb="FFFF0000"/>
        <rFont val="Calibri"/>
        <family val="2"/>
        <scheme val="minor"/>
      </rPr>
      <t xml:space="preserve"> (A, 00-P, Sesión 212.4)</t>
    </r>
  </si>
  <si>
    <r>
      <t xml:space="preserve">Doctorado en Ciencias y Artes para el Diseño </t>
    </r>
    <r>
      <rPr>
        <sz val="11"/>
        <color rgb="FFFF0000"/>
        <rFont val="Calibri"/>
        <family val="2"/>
        <scheme val="minor"/>
      </rPr>
      <t>(A, 02- P, Sesión 212.4)</t>
    </r>
  </si>
  <si>
    <r>
      <t xml:space="preserve">Maestría en Reutilización del Patrimonio Edificado </t>
    </r>
    <r>
      <rPr>
        <sz val="11"/>
        <color rgb="FFFF0000"/>
        <rFont val="Calibri"/>
        <family val="2"/>
        <scheme val="minor"/>
      </rPr>
      <t>(A, 09 P, Sesión 299)</t>
    </r>
  </si>
  <si>
    <r>
      <t xml:space="preserve">Maestría en Diseño y Producción Editorial </t>
    </r>
    <r>
      <rPr>
        <sz val="11"/>
        <color rgb="FFFF0000"/>
        <rFont val="Calibri"/>
        <family val="2"/>
        <scheme val="minor"/>
      </rPr>
      <t>(C, Sesión 306.4 16-02-09)</t>
    </r>
  </si>
  <si>
    <r>
      <t>Posgrado en Ciencias Naturales e Ingeniería-Especialidad</t>
    </r>
    <r>
      <rPr>
        <sz val="11"/>
        <color rgb="FFF08200"/>
        <rFont val="Calibri"/>
        <family val="2"/>
        <scheme val="minor"/>
      </rPr>
      <t xml:space="preserve"> (Entra En Operación En 12-P)</t>
    </r>
  </si>
  <si>
    <r>
      <t xml:space="preserve">Posgrado en Ciencias Naturales e Ingeniería-Maestría </t>
    </r>
    <r>
      <rPr>
        <sz val="11"/>
        <color rgb="FFF08200"/>
        <rFont val="Calibri"/>
        <family val="2"/>
        <scheme val="minor"/>
      </rPr>
      <t xml:space="preserve"> (Entra En Operación En 12-P)</t>
    </r>
  </si>
  <si>
    <r>
      <t xml:space="preserve">Posgrado en Ciencias Naturales e Ingeniería-Doctorado </t>
    </r>
    <r>
      <rPr>
        <sz val="11"/>
        <color rgb="FFF08200"/>
        <rFont val="Calibri"/>
        <family val="2"/>
        <scheme val="minor"/>
      </rPr>
      <t xml:space="preserve"> (Entra En Operación En 12-P)</t>
    </r>
  </si>
  <si>
    <r>
      <t xml:space="preserve">Posgrado en Ciencias Sociales  y Humanidades </t>
    </r>
    <r>
      <rPr>
        <b/>
        <sz val="11"/>
        <color theme="1"/>
        <rFont val="Calibri"/>
        <family val="2"/>
        <scheme val="minor"/>
      </rPr>
      <t>(Maestría)</t>
    </r>
  </si>
  <si>
    <r>
      <t xml:space="preserve">Posgrado en Ciencias Sociales  y Humanidades </t>
    </r>
    <r>
      <rPr>
        <b/>
        <sz val="11"/>
        <color theme="1"/>
        <rFont val="Calibri"/>
        <family val="2"/>
        <scheme val="minor"/>
      </rPr>
      <t>(Doctorado)</t>
    </r>
  </si>
  <si>
    <r>
      <t>Maestría en Diseño, Información y Comunicación</t>
    </r>
    <r>
      <rPr>
        <sz val="11"/>
        <color rgb="FFF08200"/>
        <rFont val="Calibri"/>
        <family val="2"/>
        <scheme val="minor"/>
      </rPr>
      <t xml:space="preserve"> (Entra En Operación En 12-O)</t>
    </r>
  </si>
  <si>
    <t>Maestría en Ciencias Económicas**</t>
  </si>
  <si>
    <t>Doctorado en Ciencias Económicas**</t>
  </si>
  <si>
    <t>Doctorado en Ciencias Biológicas y de la Salud***</t>
  </si>
  <si>
    <t>Computadoras, cifra del año anterior</t>
  </si>
  <si>
    <t>Número de torneos y actividades organizados para la práctica del deporte</t>
  </si>
  <si>
    <t>Ingeniería Eléctrica</t>
  </si>
  <si>
    <t>Ingeniería Industrial</t>
  </si>
  <si>
    <t>Ingeniería Mecánica</t>
  </si>
  <si>
    <t>Ingeniería Metalúrgica</t>
  </si>
  <si>
    <t>Ingeniería Electrónica</t>
  </si>
  <si>
    <t>Ingeniería En Computación</t>
  </si>
  <si>
    <t>Estudios Humanísticos</t>
  </si>
  <si>
    <t>Ingeniería Hidrológica</t>
  </si>
  <si>
    <t>Políticas Públicas</t>
  </si>
  <si>
    <t>Biología Ambiental</t>
  </si>
  <si>
    <t>Doct.</t>
  </si>
  <si>
    <t>Posgrado en historiografía</t>
  </si>
  <si>
    <t>Posgrado en Energía y Medio Ambiente</t>
  </si>
  <si>
    <t>Especialización en Estudios de la Mujer</t>
  </si>
  <si>
    <t>Posgrado en Ciencias Naturales e Ingeniería (especialidad)</t>
  </si>
  <si>
    <t>Posgrado en Ciencias Naturales e Ingeniería (maestría)</t>
  </si>
  <si>
    <t>Posgrado en Ciencias Naturales e Ingeniería (doctorado)</t>
  </si>
  <si>
    <t>FUENTE: Base de Datos de Nómina, Quincena 20 de 2014. Incluye Mandos Medios Académicos, Mandos Medios Administrativos con Base Académica y Funcionarios Académicos.</t>
  </si>
  <si>
    <t>Porcentaje 2014</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</si>
  <si>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</si>
  <si>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</si>
  <si>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</si>
  <si>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rPr>
        <vertAlign val="superscript"/>
        <sz val="8"/>
        <rFont val="Calibri"/>
        <family val="2"/>
        <scheme val="minor"/>
      </rPr>
      <t xml:space="preserve">2 </t>
    </r>
    <r>
      <rPr>
        <sz val="8"/>
        <rFont val="Calibri"/>
        <family val="2"/>
        <scheme val="minor"/>
      </rPr>
      <t>UNICAMENTE CONSIDERA PERSONAL ADMINISTRATIVO DE CONFIANZA y BASE</t>
    </r>
  </si>
  <si>
    <r>
      <t>C3.17</t>
    </r>
    <r>
      <rPr>
        <sz val="11"/>
        <color rgb="FF000000"/>
        <rFont val="Calibri"/>
        <family val="2"/>
        <scheme val="minor"/>
      </rPr>
      <t xml:space="preserve"> Horas de transmisión de eventos culturales por radio y video streamming.</t>
    </r>
  </si>
  <si>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</si>
  <si>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</si>
  <si>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</si>
  <si>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</si>
  <si>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</si>
  <si>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</si>
  <si>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</si>
  <si>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</si>
  <si>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</si>
  <si>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</si>
  <si>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</si>
  <si>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</si>
  <si>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</si>
  <si>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</si>
  <si>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</si>
  <si>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</si>
  <si>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</si>
  <si>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</si>
  <si>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</si>
  <si>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</si>
  <si>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</si>
  <si>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</si>
  <si>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</si>
  <si>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</si>
  <si>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</si>
  <si>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</si>
  <si>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</si>
  <si>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</si>
  <si>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</si>
  <si>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</si>
  <si>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</si>
  <si>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</si>
  <si>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</si>
  <si>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</si>
  <si>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</si>
  <si>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</si>
  <si>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</si>
  <si>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</si>
  <si>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</si>
  <si>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Notas:</t>
  </si>
  <si>
    <t>(*) El ingreso de Medicina es un año antes</t>
  </si>
  <si>
    <t>Hay Unidades y Planes de Estudio que no tienen ingreso en Primavera, como la Unidad Cuajimalpa y algunos Planes de Iztapalapa. Los casos que aparecen son cambios de Unidad, División y/o plan de estudios.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</si>
  <si>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</si>
  <si>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</si>
  <si>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</si>
  <si>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</si>
  <si>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</si>
  <si>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</si>
  <si>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</si>
  <si>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</si>
  <si>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</si>
  <si>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</si>
  <si>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</si>
  <si>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2008 A 2010</t>
  </si>
  <si>
    <t>2009 A 2011</t>
  </si>
  <si>
    <t>2010 A 2012</t>
  </si>
  <si>
    <t>2011 A 2013</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</si>
  <si>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</si>
  <si>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</si>
  <si>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</si>
  <si>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</si>
  <si>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</si>
  <si>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</si>
  <si>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</si>
  <si>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</si>
  <si>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</si>
  <si>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</si>
  <si>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</si>
  <si>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</si>
  <si>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</si>
  <si>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</si>
  <si>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</si>
  <si>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</si>
  <si>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</si>
  <si>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</si>
  <si>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</si>
  <si>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</si>
  <si>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</si>
  <si>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</si>
  <si>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</si>
  <si>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</si>
  <si>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</si>
  <si>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</si>
  <si>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</si>
  <si>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</si>
  <si>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</si>
  <si>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</si>
  <si>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</si>
  <si>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</si>
  <si>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</si>
  <si>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</si>
  <si>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</si>
  <si>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</si>
  <si>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</si>
  <si>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</si>
  <si>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</si>
  <si>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</si>
  <si>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</si>
  <si>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</si>
  <si>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</si>
  <si>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</si>
  <si>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</si>
  <si>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</si>
  <si>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</si>
  <si>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</si>
  <si>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</si>
  <si>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</si>
  <si>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</si>
  <si>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</si>
  <si>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</si>
  <si>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</si>
  <si>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</si>
  <si>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</si>
  <si>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</si>
  <si>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</si>
  <si>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</si>
  <si>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</si>
  <si>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</si>
  <si>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</si>
  <si>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</si>
  <si>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</si>
  <si>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</si>
  <si>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</si>
  <si>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</si>
  <si>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</si>
  <si>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</si>
  <si>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</si>
  <si>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</si>
  <si>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</si>
  <si>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</si>
  <si>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</si>
  <si>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</si>
  <si>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</si>
  <si>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</si>
  <si>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</si>
  <si>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</si>
  <si>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</si>
  <si>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</si>
  <si>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</si>
  <si>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</si>
  <si>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</si>
  <si>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</si>
  <si>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</si>
  <si>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</si>
  <si>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</si>
  <si>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</si>
  <si>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</si>
  <si>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</si>
  <si>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r>
      <t xml:space="preserve">Lic. en Biología </t>
    </r>
    <r>
      <rPr>
        <sz val="11"/>
        <color rgb="FFFF0000"/>
        <rFont val="Calibri"/>
        <family val="2"/>
        <scheme val="minor"/>
      </rPr>
      <t xml:space="preserve"> (M, 01-I, Sesión 217.13)</t>
    </r>
  </si>
  <si>
    <r>
      <t>Lic. en Enfermería</t>
    </r>
    <r>
      <rPr>
        <sz val="11"/>
        <color rgb="FFFF0000"/>
        <rFont val="Calibri"/>
        <family val="2"/>
        <scheme val="minor"/>
      </rPr>
      <t xml:space="preserve"> (A ,98-O,Sesión 194)</t>
    </r>
  </si>
  <si>
    <t>98-O</t>
  </si>
  <si>
    <t>M 371.5</t>
  </si>
  <si>
    <r>
      <t xml:space="preserve">Lic. en Estomatología </t>
    </r>
    <r>
      <rPr>
        <sz val="11"/>
        <color rgb="FFFF0000"/>
        <rFont val="Calibri"/>
        <family val="2"/>
        <scheme val="minor"/>
      </rPr>
      <t>A 98-O,194</t>
    </r>
  </si>
  <si>
    <t>Lic. en Química Farmacéutica Biológica</t>
  </si>
  <si>
    <t>M 305</t>
  </si>
  <si>
    <t>M 314.7</t>
  </si>
  <si>
    <r>
      <t>Lic. en Medicina Veterinaria y Zootecnia</t>
    </r>
    <r>
      <rPr>
        <sz val="11"/>
        <color rgb="FFFF0000"/>
        <rFont val="Calibri"/>
        <family val="2"/>
        <scheme val="minor"/>
      </rPr>
      <t xml:space="preserve"> (A, 98-O, Sesión 194)</t>
    </r>
  </si>
  <si>
    <r>
      <t>Lic. en Agronomía (</t>
    </r>
    <r>
      <rPr>
        <sz val="11"/>
        <color rgb="FFFF0000"/>
        <rFont val="Calibri"/>
        <family val="2"/>
        <scheme val="minor"/>
      </rPr>
      <t>M, 02p, Sesión 233.7)</t>
    </r>
  </si>
  <si>
    <t>Lic. en Medicina</t>
  </si>
  <si>
    <t>Lic. en Nutrición Humana</t>
  </si>
  <si>
    <t>M 299.6</t>
  </si>
  <si>
    <r>
      <t xml:space="preserve">Lic. en Arquitectura </t>
    </r>
    <r>
      <rPr>
        <sz val="11"/>
        <color rgb="FFFF0000"/>
        <rFont val="Calibri"/>
        <family val="2"/>
        <scheme val="minor"/>
      </rPr>
      <t xml:space="preserve"> (A, 97-O, Sesión 182.5)</t>
    </r>
  </si>
  <si>
    <r>
      <t xml:space="preserve">Lic. en Diseño de la Comunicación Gráfica </t>
    </r>
    <r>
      <rPr>
        <sz val="11"/>
        <color rgb="FFFF0000"/>
        <rFont val="Calibri"/>
        <family val="2"/>
        <scheme val="minor"/>
      </rPr>
      <t xml:space="preserve"> (A ,97-0, Sesión 182.5)</t>
    </r>
  </si>
  <si>
    <r>
      <t>Lic. en Diseño Industrial</t>
    </r>
    <r>
      <rPr>
        <sz val="11"/>
        <color rgb="FFFF0000"/>
        <rFont val="Calibri"/>
        <family val="2"/>
        <scheme val="minor"/>
      </rPr>
      <t xml:space="preserve"> (M, 98-O, Sesion 193.9)</t>
    </r>
  </si>
  <si>
    <r>
      <t xml:space="preserve">Lic. en Planeación Territorial </t>
    </r>
    <r>
      <rPr>
        <sz val="11"/>
        <color rgb="FFFF0000"/>
        <rFont val="Calibri"/>
        <family val="2"/>
        <scheme val="minor"/>
      </rPr>
      <t xml:space="preserve"> (A,  98-O, Sesión 200)</t>
    </r>
  </si>
  <si>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</si>
  <si>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</si>
  <si>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</si>
  <si>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</si>
  <si>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</si>
  <si>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</si>
  <si>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</si>
  <si>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</si>
  <si>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</si>
  <si>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</si>
  <si>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</si>
  <si>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</si>
  <si>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</si>
  <si>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</si>
  <si>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</si>
  <si>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</si>
  <si>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</si>
  <si>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</si>
  <si>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</si>
  <si>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</si>
  <si>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</si>
  <si>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</si>
  <si>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r>
      <t>Lic. en Recursos Hídricos</t>
    </r>
    <r>
      <rPr>
        <sz val="11"/>
        <color rgb="FFFF0000"/>
        <rFont val="Calibri"/>
        <family val="2"/>
        <scheme val="minor"/>
      </rPr>
      <t xml:space="preserve"> (C, 14-02-11, Sesión 331.4)</t>
    </r>
  </si>
  <si>
    <t>C331.4</t>
  </si>
  <si>
    <t>AP 344.3 AP 346.9</t>
  </si>
  <si>
    <t>CBS-LER</t>
  </si>
  <si>
    <t>C331.5</t>
  </si>
  <si>
    <t>AP 344.3</t>
  </si>
  <si>
    <t>CSH-LER</t>
  </si>
  <si>
    <r>
      <t xml:space="preserve">Lic. en Políticas Públicas  </t>
    </r>
    <r>
      <rPr>
        <sz val="11"/>
        <color rgb="FFFF0000"/>
        <rFont val="Calibri"/>
        <family val="2"/>
        <scheme val="minor"/>
      </rPr>
      <t>(C, 24-02-11, Sesión 331.6)</t>
    </r>
  </si>
  <si>
    <t>C331.6</t>
  </si>
  <si>
    <t>Lic. en Arte y Comunicación Digitales</t>
  </si>
  <si>
    <t>C 354.9</t>
  </si>
  <si>
    <t>Porcentaje de planes actualizados en los últimos 3 años</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</si>
  <si>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</si>
  <si>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</si>
  <si>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</si>
  <si>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</si>
  <si>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</si>
  <si>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</si>
  <si>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</si>
  <si>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</si>
  <si>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</si>
  <si>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</si>
  <si>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</si>
  <si>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</si>
  <si>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</si>
  <si>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</si>
  <si>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</si>
  <si>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LICENCIATURA 2014</t>
  </si>
  <si>
    <t>LICENCIATURA 2013</t>
  </si>
  <si>
    <t>LICENCIATURA 2012</t>
  </si>
  <si>
    <t>LICENCIATURA 2011</t>
  </si>
  <si>
    <t>INV</t>
  </si>
  <si>
    <t>PRIM</t>
  </si>
  <si>
    <t>OTO</t>
  </si>
  <si>
    <t>Inglés</t>
  </si>
  <si>
    <t>Principiante</t>
  </si>
  <si>
    <t>Intermedio</t>
  </si>
  <si>
    <t>Avanzado</t>
  </si>
  <si>
    <t>TOTAL AZCAPOTZALCO</t>
  </si>
  <si>
    <t>FUENTE: División de Ciencias Sociales y Humanidades</t>
  </si>
  <si>
    <t>OTO/ver</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</si>
  <si>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</si>
  <si>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</si>
  <si>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</si>
  <si>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</si>
  <si>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</si>
  <si>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</si>
  <si>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</si>
  <si>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</si>
  <si>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</si>
  <si>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</si>
  <si>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</si>
  <si>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</si>
  <si>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</si>
  <si>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</si>
  <si>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</si>
  <si>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</si>
  <si>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</si>
  <si>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</si>
  <si>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</si>
  <si>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</si>
  <si>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r>
      <t xml:space="preserve">Empleo de los egresados: </t>
    </r>
    <r>
      <rPr>
        <sz val="10"/>
        <color theme="1"/>
        <rFont val="Arial"/>
        <family val="2"/>
      </rPr>
      <t>Mide la tasa de inserción laboral al tercer y quinto año de egreso,</t>
    </r>
  </si>
  <si>
    <r>
      <t xml:space="preserve">Nivel: </t>
    </r>
    <r>
      <rPr>
        <sz val="10"/>
        <color theme="1"/>
        <rFont val="Arial"/>
        <family val="2"/>
      </rPr>
      <t>Licenciatura</t>
    </r>
  </si>
  <si>
    <r>
      <t>Fuente:</t>
    </r>
    <r>
      <rPr>
        <sz val="10"/>
        <color theme="1"/>
        <rFont val="Arial"/>
        <family val="2"/>
      </rPr>
      <t xml:space="preserve"> Estudio de seguimiento de egresados de las generaciones 2005 y 2008 publicado en septiembre de 2013</t>
    </r>
  </si>
  <si>
    <t>Variable: Trabaja actualmente/ ut_aa</t>
  </si>
  <si>
    <r>
      <t xml:space="preserve">Fuente: </t>
    </r>
    <r>
      <rPr>
        <sz val="10"/>
        <color theme="1"/>
        <rFont val="Arial"/>
        <family val="2"/>
      </rPr>
      <t>Estudio de Seguimiento de Egresados de las Generaciones 2005 y 2008</t>
    </r>
  </si>
  <si>
    <r>
      <t>Fuente:</t>
    </r>
    <r>
      <rPr>
        <sz val="10"/>
        <color theme="1"/>
        <rFont val="Arial"/>
        <family val="2"/>
      </rPr>
      <t xml:space="preserve"> Estudio de seguimiento de egresados de las generaciones 2005 y 2006 el cual se encuentra en etapa de localización y levantamiento de información. Se estima concluirlo en junio del año en curso.</t>
    </r>
  </si>
  <si>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</si>
  <si>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</si>
  <si>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</si>
  <si>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</si>
  <si>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</si>
  <si>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</si>
  <si>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</si>
  <si>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r>
      <t>Población de estudio:</t>
    </r>
    <r>
      <rPr>
        <sz val="8"/>
        <color indexed="8"/>
        <rFont val="Arial"/>
        <family val="2"/>
      </rPr>
      <t xml:space="preserve"> Egresados que han concluido el 100% de créditos del plan de estudios o bien se encuentren titulándose. Para determinar la muestra se utilizó el AGA 2010 Invierno generado en la segunda semana de </t>
    </r>
    <r>
      <rPr>
        <sz val="8"/>
        <color indexed="63"/>
        <rFont val="Arial"/>
        <family val="2"/>
      </rPr>
      <t xml:space="preserve">enero </t>
    </r>
    <r>
      <rPr>
        <sz val="8"/>
        <color indexed="8"/>
        <rFont val="Arial"/>
        <family val="2"/>
      </rPr>
      <t>de 2010.</t>
    </r>
  </si>
  <si>
    <r>
      <t>Nivel de confianza:</t>
    </r>
    <r>
      <rPr>
        <sz val="8"/>
        <color indexed="8"/>
        <rFont val="Arial"/>
        <family val="2"/>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</si>
  <si>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8"/>
        <color indexed="8"/>
        <rFont val="Arial"/>
        <family val="2"/>
      </rPr>
      <t xml:space="preserve">   8637</t>
    </r>
  </si>
  <si>
    <r>
      <t>Método de aplicación:</t>
    </r>
    <r>
      <rPr>
        <sz val="8"/>
        <color indexed="8"/>
        <rFont val="Arial"/>
        <family val="2"/>
      </rPr>
      <t xml:space="preserve"> Entrevista telefónica y aplicación vía Web.</t>
    </r>
  </si>
  <si>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</si>
  <si>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</si>
  <si>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</si>
  <si>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</si>
  <si>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</si>
  <si>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</si>
  <si>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</si>
  <si>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</si>
  <si>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</si>
  <si>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</si>
  <si>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</si>
  <si>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</si>
  <si>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</si>
  <si>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</si>
  <si>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</si>
  <si>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</si>
  <si>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</si>
  <si>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</si>
  <si>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</si>
  <si>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</si>
  <si>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</si>
  <si>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</si>
  <si>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</si>
  <si>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</si>
  <si>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</si>
  <si>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</si>
  <si>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</si>
  <si>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</si>
  <si>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</si>
  <si>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</si>
  <si>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  (2+3 / C+1)</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</si>
  <si>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</si>
  <si>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</si>
  <si>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</si>
  <si>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</si>
  <si>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</si>
  <si>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</si>
  <si>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</si>
  <si>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</si>
  <si>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</si>
  <si>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</si>
  <si>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</si>
  <si>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</si>
  <si>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</si>
  <si>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ADMINISTRACION</t>
  </si>
  <si>
    <t>DERECHO</t>
  </si>
  <si>
    <t>ECONOMIA</t>
  </si>
  <si>
    <t>SOCIOLOGIA</t>
  </si>
  <si>
    <t>CYAD</t>
  </si>
  <si>
    <t>EVALUAC. DISENO EN EL TIEMPO</t>
  </si>
  <si>
    <t>INVESTIGACION CONOCIMIENTO DISENO</t>
  </si>
  <si>
    <t>MEDIO AMBIENTE</t>
  </si>
  <si>
    <t>PROCESOS TEC.REALIZACION</t>
  </si>
  <si>
    <t>TOTAL UNIDAD AZCAPOTZALCO</t>
  </si>
  <si>
    <t>CIENCIAS DE LA COMUNICACION</t>
  </si>
  <si>
    <t>TECNOLOGIAS DE LA INFORMACION</t>
  </si>
  <si>
    <t>TEORIA Y PROCESOS DEL DISEÑO</t>
  </si>
  <si>
    <t>CIENCIAS NATURALES</t>
  </si>
  <si>
    <t>MATEMATICAS APLICADAS Y SISTEMAS</t>
  </si>
  <si>
    <t>PROCESOS Y TECNOLOGIA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</si>
  <si>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</si>
  <si>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</si>
  <si>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</si>
  <si>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</si>
  <si>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</si>
  <si>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</si>
  <si>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</si>
  <si>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</si>
  <si>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</si>
  <si>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</si>
  <si>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</si>
  <si>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</si>
  <si>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</si>
  <si>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</si>
  <si>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</si>
  <si>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</si>
  <si>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</si>
  <si>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</si>
  <si>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</si>
  <si>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</si>
  <si>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</si>
  <si>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</si>
  <si>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</si>
  <si>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</si>
  <si>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</si>
  <si>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</si>
  <si>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</si>
  <si>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</si>
  <si>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</si>
  <si>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</si>
  <si>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</si>
  <si>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</si>
  <si>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</si>
  <si>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</si>
  <si>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</si>
  <si>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Recuento</t>
  </si>
  <si>
    <t>Suma</t>
  </si>
  <si>
    <t>Media</t>
  </si>
  <si>
    <t>CIENCIAS Y ARTES PARA EL DISEÑO</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</si>
  <si>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</si>
  <si>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</si>
  <si>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</si>
  <si>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</si>
  <si>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</si>
  <si>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</si>
  <si>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</si>
  <si>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</si>
  <si>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</si>
  <si>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</si>
  <si>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</si>
  <si>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</si>
  <si>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</si>
  <si>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</si>
  <si>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</si>
  <si>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</si>
  <si>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</si>
  <si>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</si>
  <si>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</si>
  <si>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</si>
  <si>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Encuesta de percepción del cultivo de valores en la comunidad universitaria.</t>
  </si>
  <si>
    <t>Mide el crecimiento real del subsidio federal en relación con el periodo inmediato anterior.</t>
  </si>
  <si>
    <t>Subsidio real en el año (n) sobre el subsidio real del año (n-1) - 1 por 100.</t>
  </si>
  <si>
    <t>Mide el total de ingresos adicionales al subsidio federal.</t>
  </si>
  <si>
    <t>Ingresos adicionales entre el subsidio federal * 100.</t>
  </si>
  <si>
    <t>Mide las horas que se destinan para cada trabajador al año a programas de capacitación.</t>
  </si>
  <si>
    <t>Número de horas persona en actividades destinadas a capacitación al año.</t>
  </si>
  <si>
    <t>.9 horas persona</t>
  </si>
  <si>
    <t>.8 horas persona</t>
  </si>
  <si>
    <t>1.1 horas persona</t>
  </si>
  <si>
    <t>.6 horas persona</t>
  </si>
  <si>
    <t>1.5 horas persona</t>
  </si>
  <si>
    <t>20 horas persona</t>
  </si>
  <si>
    <t>Mide la relación entre el personal que colabora en los procesos sustantivos en relación con el personal en los procesos de apoyo.</t>
  </si>
  <si>
    <t xml:space="preserve">Personal académico entre personal administrativo. </t>
  </si>
  <si>
    <t>Mide la proporción del presupuesto ejercido en equipamiento.</t>
  </si>
  <si>
    <t>Presupuesto ejercido en equipamiento en el año (n) entre el presupuesto total ajustado en otros gastos de operación, mantenimiento e inversión en el año (n) por 100.</t>
  </si>
  <si>
    <t>Mide la proporción del presupuesto ejercido en mantenimiento.</t>
  </si>
  <si>
    <t>Presupuesto ejercido en mantenimiento en el año (n) entre el presupuesto total ajustado en otros gastos de operación, mantenimiento e inversión en el año (n) por 100.</t>
  </si>
  <si>
    <t>Alumnos por computadora.</t>
  </si>
  <si>
    <t>Número de alumnos en el año (n) entre número de computadoras destinadas a los alumnos en el año (n).</t>
  </si>
  <si>
    <t>Personal académico por computadora.</t>
  </si>
  <si>
    <t>Número de personal académico en el año (n) entre el total de computadoras destinadas al personal académico en el año (n).</t>
  </si>
  <si>
    <t>Personal administrativo por computadora.</t>
  </si>
  <si>
    <t>Número de personal administrativo en el año (n) entre el total de computadoras destinadas a personal administrativo en el año (n).</t>
  </si>
  <si>
    <t>Ancho de banda en red.</t>
  </si>
  <si>
    <t>Suma de las salidas a internet e internet 2.</t>
  </si>
  <si>
    <t>136 MB</t>
  </si>
  <si>
    <t>544 MB</t>
  </si>
  <si>
    <t>700 MB</t>
  </si>
  <si>
    <t>810 MB</t>
  </si>
  <si>
    <t>1684 MB</t>
  </si>
  <si>
    <t>60 GB</t>
  </si>
  <si>
    <t>Mide el número de miembros de la comunidad que participan en programas de salud.</t>
  </si>
  <si>
    <t>Porcentaje de beneficiarios.</t>
  </si>
  <si>
    <t>Mide el número de torneos y actividades organizados para la práctica del deporte.</t>
  </si>
  <si>
    <t>Número de torneos y actividades deportivas.</t>
  </si>
  <si>
    <t>Mide el número de servicios proporcionados para la práctica diaria.</t>
  </si>
  <si>
    <t>Número de servicios diarios proporcionados  a la comunidad universitaria por usuario atendido.</t>
  </si>
  <si>
    <t>Webometrics.</t>
  </si>
  <si>
    <t>SIR latinoamericano.</t>
  </si>
  <si>
    <t>Lugar.</t>
  </si>
  <si>
    <t>SIR universidades mexicanas.</t>
  </si>
  <si>
    <t>Mide la tasa de crecimiento de solicitudes de transparencia.</t>
  </si>
  <si>
    <t>Número de solicitudes de transparencia del año (n) entre el número de solicitudes de transparencia del año (n-1) - 1 por 100.</t>
  </si>
  <si>
    <t>Mide la tasa de crecimiento  de consultas de la información institucional.</t>
  </si>
  <si>
    <t>Número de consultas de información institucional en el año (n) entre el  número de consultas de información institucional en el año (n-1) - 1 por 100.</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</si>
  <si>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</si>
  <si>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</si>
  <si>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</si>
  <si>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</si>
  <si>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</si>
  <si>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</si>
  <si>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</si>
  <si>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</si>
  <si>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</si>
  <si>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</si>
  <si>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</si>
  <si>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</si>
  <si>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</si>
  <si>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</si>
  <si>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</si>
  <si>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</si>
  <si>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</si>
  <si>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</si>
  <si>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</si>
  <si>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</si>
  <si>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</si>
  <si>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</si>
  <si>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</si>
  <si>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Número de alumnos de licenciatura con 100% de créditos de acuerdo con su cohorte generacional entre el número total de alumnos de la misma cohorte por 100.</t>
  </si>
  <si>
    <t>Mide el porcentaje de alumnos de licenciatura que terminó con éxito sus estudios  dentro del plazo que permite el Reglamento de Estudios Superiores (entre 4 y 10 años).</t>
  </si>
  <si>
    <t>Número de alumnos que acreditaron el plan de estudios dentro del plazo máximo reglamentado  entre el total de alumnos cuyo ingreso se dio dentro del mismo plazo por 100.</t>
  </si>
  <si>
    <t>Mide el tiempo promedio que excede en trimestres la conclusión de los planes de estudio de licenciatura en relación con la duración normal establecida.</t>
  </si>
  <si>
    <t>Total de trimestres  realmente cursados por los egresados en el año entre el total de egresados en el año menos el número de trimestres establecidos en la duración normal prevista de cada plan de estudio.</t>
  </si>
  <si>
    <t>Número de alumnos de especialidad  con 100% de créditos de acuerdo a su cohorte generacional entre el numero total de alumnos de la misma cohorte por 100.</t>
  </si>
  <si>
    <t>Número de alumnos de maestría de la cohorte con 100% de créditos de acuerdo a su cohorte generacional entre el numero total de alumnos de la misma cohorte por 100.</t>
  </si>
  <si>
    <t>Número de alumnos de doctorado de la cohorte con 100% de créditos de acuerdo a su cohorte generacional entre el numero total de alumnos de la misma cohorte por 100.</t>
  </si>
  <si>
    <t>Total de trimestres  realmente cursados por los egresados de especialidad en el año entre el total de egresados de especialidad en el año menos el número de trimestres establecidos en la duración normal prevista de cada uno de los planes de estudio de esp</t>
  </si>
  <si>
    <t>Total de trimestres  realmente cursados por los egresados de maestría en el año entre el total de egresados de maestría en el año menos el número de trimestres establecidos en la duración normal prevista de cada uno de los planes de estudio de maestría.</t>
  </si>
  <si>
    <t>Total de trimestres  realmente cursados por los egresados de doctorado en el año entre el total de egresados de doctorado en el año menos el número de trimestres establecidos en la duración normal prevista de cada uno de los planes de estudio de doctorado</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</si>
  <si>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</si>
  <si>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</si>
  <si>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</si>
  <si>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</si>
  <si>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Total de planes de estudio acreditados por COPAES y evaluados por CIEES Nivel 1 entre el total de planes evaluables  por 100 (licenciatura).</t>
  </si>
  <si>
    <t>Mide el porcentaje de los planes de estudio de posgrado considerados de calidad, respecto del total de los planes.</t>
  </si>
  <si>
    <t>Total de planes de estudio registrados en el PNPC entre el total de planes de estudio por 100 (posgrado).</t>
  </si>
  <si>
    <t xml:space="preserve">Mide el grado en el que se actualizan los planes de estudio de licenciatura. </t>
  </si>
  <si>
    <t>Número de planes de estudio de licenciatura con adecuaciones, modificaciones y de nueva creación  en los últimos 3 años entre el número total de planes de estudio por 100.</t>
  </si>
  <si>
    <t>Mide el grado en el que se actualizan los planes de estudio de posgrado.</t>
  </si>
  <si>
    <t>Número de planes de estudio de posgrado con adecuaciones, modificaciones y de nueva creación en los últimos 5 años entre el número total de planes de estudio por 100.</t>
  </si>
  <si>
    <t>Mide la capacidad académica de los profesores definitivos de tiempo completo.</t>
  </si>
  <si>
    <t xml:space="preserve">Número total de alumnos atendidos en el año (n). </t>
  </si>
  <si>
    <t>Mide la proporción de alumnos de posgrado respecto del total de la matrícula.</t>
  </si>
  <si>
    <t>Número de alumnos de posgrado en el año (n) entre el total de alumnos por 100.</t>
  </si>
  <si>
    <t>Número de alumnos que poseen al menos el nivel intermedio B1 del MCE  de Referencia para las Lenguas en el idioma inglés entre el número de alumnos inscritos con más de 75% de créditos aprobados de su plan de estudio por 100.</t>
  </si>
  <si>
    <t>Investigación (I)</t>
  </si>
  <si>
    <t>Número de profesores de tiempo completo inscritos en el (SNI) entre el total de profesores de tiempo completo por 100.</t>
  </si>
  <si>
    <t>Mide el número de citas promedio por artículo publicado.</t>
  </si>
  <si>
    <t>Número de citas a los artículos publicados entre el número de artículos publicados.</t>
  </si>
  <si>
    <t>Monto total del financiamiento externo a proyectos de investigación entre el monto total del presupuesto aprobado en Otros Gastos de Operación e Inversión del año (n) por 100.</t>
  </si>
  <si>
    <t>Mide el porcentaje del tiempo de transmisión radiofónica en programas hablados.</t>
  </si>
  <si>
    <t>Horas de transmisión en programas hablados entre horas de transmisión radiofónica por 100.</t>
  </si>
  <si>
    <t>Conteo simple.</t>
  </si>
  <si>
    <t>Indicadores y Metas</t>
  </si>
  <si>
    <t>x 100</t>
  </si>
  <si>
    <t>Número total de alumnos de la misma cohorte</t>
  </si>
  <si>
    <t>Número de alumnos con 100% de créditos de acuerdo con su cohorte generacional</t>
  </si>
  <si>
    <t>(</t>
  </si>
  <si>
    <t>)</t>
  </si>
  <si>
    <t>No considera alumnos con cero créditos</t>
  </si>
  <si>
    <t>Plan de Estudios / año de ingreso</t>
  </si>
  <si>
    <t>2004 - 2010</t>
  </si>
  <si>
    <t>2003 - 2009</t>
  </si>
  <si>
    <t>2001 - 2007</t>
  </si>
  <si>
    <t>2000 - 2006</t>
  </si>
  <si>
    <t>EFICIENCIA TERMINAL SEGÚN EL TIEMPO MÁXIMO ESTABLECIDO EN LA NORMATIVIDAD VIGENTE</t>
  </si>
  <si>
    <r>
      <t xml:space="preserve">EFICIENCIA TERMINAL POR COHORTE GENERACIONAL </t>
    </r>
    <r>
      <rPr>
        <sz val="12"/>
        <color theme="1"/>
        <rFont val="Arial"/>
        <family val="2"/>
      </rPr>
      <t>(12 trimestres)</t>
    </r>
  </si>
  <si>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</si>
  <si>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</si>
  <si>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</si>
  <si>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</si>
  <si>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</si>
  <si>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</si>
  <si>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</si>
  <si>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</si>
  <si>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</si>
  <si>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</si>
  <si>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</si>
  <si>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</si>
  <si>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</si>
  <si>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</si>
  <si>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</si>
  <si>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r>
      <rPr>
        <b/>
        <i/>
        <sz val="11"/>
        <color rgb="FFFF0000"/>
        <rFont val="Arial"/>
        <family val="2"/>
      </rPr>
      <t>NIVEL ESPECIALIZACIÓN</t>
    </r>
    <r>
      <rPr>
        <b/>
        <i/>
        <sz val="11"/>
        <rFont val="Arial"/>
        <family val="2"/>
      </rPr>
      <t xml:space="preserve"> AÑO DE INGRESO 2010</t>
    </r>
  </si>
  <si>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</si>
  <si>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</si>
  <si>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</si>
  <si>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</si>
  <si>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</si>
  <si>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</si>
  <si>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</si>
  <si>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</si>
  <si>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</si>
  <si>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</si>
  <si>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</si>
  <si>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</si>
  <si>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</si>
  <si>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</si>
  <si>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</si>
  <si>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</si>
  <si>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</si>
  <si>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</si>
  <si>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</si>
  <si>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</si>
  <si>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</si>
  <si>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</si>
  <si>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</si>
  <si>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</si>
  <si>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</si>
  <si>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</si>
  <si>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</si>
  <si>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</si>
  <si>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</si>
  <si>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</si>
  <si>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</si>
  <si>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</si>
  <si>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</si>
  <si>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</si>
  <si>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</si>
  <si>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</si>
  <si>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</si>
  <si>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</si>
  <si>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</si>
  <si>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</si>
  <si>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</si>
  <si>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</si>
  <si>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</si>
  <si>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</si>
  <si>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</si>
  <si>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</si>
  <si>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</si>
  <si>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</si>
  <si>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</si>
  <si>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</si>
  <si>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</si>
  <si>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</si>
  <si>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</si>
  <si>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</si>
  <si>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</si>
  <si>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</si>
  <si>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</si>
  <si>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</si>
  <si>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</si>
  <si>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</si>
  <si>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</si>
  <si>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</si>
  <si>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</si>
  <si>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</si>
  <si>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</si>
  <si>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</si>
  <si>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</si>
  <si>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</si>
  <si>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</si>
  <si>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</si>
  <si>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</si>
  <si>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</si>
  <si>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</si>
  <si>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</si>
  <si>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</si>
  <si>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</si>
  <si>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</si>
  <si>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</si>
  <si>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</si>
  <si>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</si>
  <si>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</si>
  <si>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</si>
  <si>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</si>
  <si>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</si>
  <si>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</si>
  <si>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</si>
  <si>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</si>
  <si>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</si>
  <si>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</si>
  <si>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</si>
  <si>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</si>
  <si>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</si>
  <si>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</si>
  <si>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</si>
  <si>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</si>
  <si>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</si>
  <si>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</si>
  <si>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</si>
  <si>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</si>
  <si>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</si>
  <si>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</si>
  <si>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</si>
  <si>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</si>
  <si>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</si>
  <si>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</si>
  <si>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</si>
  <si>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</si>
  <si>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</si>
  <si>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</si>
  <si>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</si>
  <si>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</si>
  <si>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</si>
  <si>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</si>
  <si>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</si>
  <si>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</si>
  <si>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</si>
  <si>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</si>
  <si>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</si>
  <si>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</si>
  <si>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</si>
  <si>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</si>
  <si>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</si>
  <si>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</si>
  <si>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</si>
  <si>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</si>
  <si>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</si>
  <si>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</si>
  <si>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</si>
  <si>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</si>
  <si>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</si>
  <si>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</si>
  <si>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</si>
  <si>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</si>
  <si>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</si>
  <si>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</si>
  <si>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</si>
  <si>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</si>
  <si>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</si>
  <si>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TASA DE CRECIMIENTO DE ACTIVIDADES ARTÍSTICAS Y CULTURALES REALIZADAS</t>
  </si>
  <si>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</si>
  <si>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</si>
  <si>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</si>
  <si>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</si>
  <si>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</si>
  <si>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</si>
  <si>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</si>
  <si>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</si>
  <si>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</si>
  <si>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</si>
  <si>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</si>
  <si>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</si>
  <si>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</si>
  <si>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</si>
  <si>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</si>
  <si>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</si>
  <si>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</si>
  <si>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</si>
  <si>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</si>
  <si>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</si>
  <si>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</si>
  <si>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</si>
  <si>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</si>
  <si>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</si>
  <si>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</si>
  <si>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</si>
  <si>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</si>
  <si>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</si>
  <si>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</si>
  <si>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 xml:space="preserve"> (columna a quitar)</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</si>
  <si>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</si>
  <si>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</si>
  <si>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</si>
  <si>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</si>
  <si>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</si>
  <si>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</si>
  <si>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</si>
  <si>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</si>
  <si>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</si>
  <si>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</si>
  <si>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</si>
  <si>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</si>
  <si>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</si>
  <si>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</si>
  <si>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</si>
  <si>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</si>
  <si>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</si>
  <si>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</si>
  <si>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</si>
  <si>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</si>
  <si>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</si>
  <si>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</si>
  <si>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</si>
  <si>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</si>
  <si>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</si>
  <si>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</si>
  <si>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</si>
  <si>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</si>
  <si>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</si>
  <si>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</si>
  <si>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</si>
  <si>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</si>
  <si>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</si>
  <si>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</si>
  <si>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</si>
  <si>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</si>
  <si>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</si>
  <si>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</si>
  <si>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</si>
  <si>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</si>
  <si>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</si>
  <si>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</si>
  <si>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</si>
  <si>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</si>
  <si>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</si>
  <si>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</si>
  <si>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</si>
  <si>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</si>
  <si>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</si>
  <si>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</si>
  <si>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</si>
  <si>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</si>
  <si>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</si>
  <si>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</si>
  <si>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</si>
  <si>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</si>
  <si>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</si>
  <si>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</si>
  <si>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</si>
  <si>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</si>
  <si>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</si>
  <si>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</si>
  <si>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</si>
  <si>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</si>
  <si>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</si>
  <si>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</si>
  <si>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</si>
  <si>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</si>
  <si>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</si>
  <si>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</si>
  <si>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</si>
  <si>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</si>
  <si>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</si>
  <si>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</si>
  <si>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</si>
  <si>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</si>
  <si>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</si>
  <si>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</si>
  <si>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</si>
  <si>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</si>
  <si>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</si>
  <si>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</si>
  <si>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</si>
  <si>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</si>
  <si>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</si>
  <si>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</si>
  <si>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</si>
  <si>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</si>
  <si>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</si>
  <si>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</si>
  <si>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</si>
  <si>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</si>
  <si>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</si>
  <si>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</si>
  <si>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</si>
  <si>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</si>
  <si>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</si>
  <si>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</si>
  <si>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</si>
  <si>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</si>
  <si>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</si>
  <si>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</si>
  <si>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</si>
  <si>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</si>
  <si>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</si>
  <si>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</si>
  <si>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</si>
  <si>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</si>
  <si>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</si>
  <si>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</si>
  <si>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</si>
  <si>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</si>
  <si>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</si>
  <si>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</si>
  <si>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</si>
  <si>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</si>
  <si>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</si>
  <si>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</si>
  <si>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</si>
  <si>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</si>
  <si>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</si>
  <si>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</si>
  <si>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</si>
  <si>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</si>
  <si>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</si>
  <si>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</si>
  <si>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</si>
  <si>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</si>
  <si>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</si>
  <si>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</si>
  <si>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</si>
  <si>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</si>
  <si>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</si>
  <si>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</si>
  <si>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</si>
  <si>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</si>
  <si>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</si>
  <si>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</si>
  <si>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</si>
  <si>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</si>
  <si>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</si>
  <si>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</si>
  <si>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</si>
  <si>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</si>
  <si>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</si>
  <si>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</si>
  <si>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</si>
  <si>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</si>
  <si>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</si>
  <si>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</si>
  <si>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</si>
  <si>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</si>
  <si>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</si>
  <si>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</si>
  <si>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</si>
  <si>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</si>
  <si>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</si>
  <si>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</si>
  <si>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</si>
  <si>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</si>
  <si>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</si>
  <si>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</si>
  <si>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</si>
  <si>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</si>
  <si>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</si>
  <si>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</si>
  <si>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</si>
  <si>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</si>
  <si>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</si>
  <si>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</si>
  <si>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D6. Tasa de planes de estudio evaluables y matrícula considerados de calidad</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</si>
  <si>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</si>
  <si>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</si>
  <si>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</si>
  <si>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</si>
  <si>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</si>
  <si>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</si>
  <si>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</si>
  <si>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</si>
  <si>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</si>
  <si>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</si>
  <si>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</si>
  <si>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</si>
  <si>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</si>
  <si>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r>
      <t xml:space="preserve">ACTUALIZACIÓN DE PLANES DE ESTUDIO DE </t>
    </r>
    <r>
      <rPr>
        <b/>
        <sz val="14"/>
        <color rgb="FFFF0000"/>
        <rFont val="Calibri"/>
        <family val="2"/>
        <scheme val="minor"/>
      </rPr>
      <t>LICENCIATURA</t>
    </r>
  </si>
  <si>
    <t>*Trim. de operación en que entrará vigente la última actualización y fecha de sesión Colegio Académico en que se aprobó:</t>
  </si>
  <si>
    <t>15-I</t>
  </si>
  <si>
    <t>15-P</t>
  </si>
  <si>
    <t>15-O</t>
  </si>
  <si>
    <t>2012 a 2014</t>
  </si>
  <si>
    <t>2013 a 2015</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</si>
  <si>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</si>
  <si>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</si>
  <si>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</si>
  <si>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</si>
  <si>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</si>
  <si>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</si>
  <si>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</si>
  <si>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</si>
  <si>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</si>
  <si>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</si>
  <si>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</si>
  <si>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</si>
  <si>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</si>
  <si>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</si>
  <si>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</si>
  <si>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</si>
  <si>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</si>
  <si>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</si>
  <si>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</si>
  <si>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</si>
  <si>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</si>
  <si>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</si>
  <si>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r>
      <t xml:space="preserve">Lic. en Biología Ambiental  </t>
    </r>
    <r>
      <rPr>
        <sz val="11"/>
        <color rgb="FFFF0000"/>
        <rFont val="Calibri"/>
        <family val="2"/>
        <scheme val="minor"/>
      </rPr>
      <t>(C, 24-02-11, Sesión 331.5)</t>
    </r>
  </si>
  <si>
    <t>*Donde no hay fecha de sesión, no se indica el trimestre en que opera la actualñización en Colegio Académico.</t>
  </si>
  <si>
    <t>Actualizado al 09-12-2015</t>
  </si>
  <si>
    <r>
      <t xml:space="preserve">ACTUALIZACIÓN DE PLANES DE ESTUDIO DE </t>
    </r>
    <r>
      <rPr>
        <b/>
        <sz val="14"/>
        <color rgb="FFFF0000"/>
        <rFont val="Calibri"/>
        <family val="2"/>
        <scheme val="minor"/>
      </rPr>
      <t>POSGRADO</t>
    </r>
  </si>
  <si>
    <t>*Trim. en que entra en operación la  última actualización marcada por Colegio Academ. y fecha de sesion :</t>
  </si>
  <si>
    <t>2010 a 2014</t>
  </si>
  <si>
    <t>2011 a 2015</t>
  </si>
  <si>
    <t>A383</t>
  </si>
  <si>
    <t>C 252.4</t>
  </si>
  <si>
    <t>15-O y 17-O</t>
  </si>
  <si>
    <t>M378.9</t>
  </si>
  <si>
    <t>Diseño, Planificación y Conservación de Paisajes y Jardines (Especialidad)</t>
  </si>
  <si>
    <t>C378.9</t>
  </si>
  <si>
    <t xml:space="preserve">Diseño, Planificación y Conservación de Paisajes y Jardines (Maestría) </t>
  </si>
  <si>
    <t>17-O</t>
  </si>
  <si>
    <t>Diseño y Estudios Urbanos  (Maestría)</t>
  </si>
  <si>
    <t>Diseño y Estudios Urbanos  (Doctorado)</t>
  </si>
  <si>
    <t>Diseño Bioclimático (Maestría)</t>
  </si>
  <si>
    <t>Diseño Bioclimático (Doctorado)</t>
  </si>
  <si>
    <t>Diseño y  Desarrollo de Productos (Maestría)                  (M,09-10-86, Sesión 70.23)</t>
  </si>
  <si>
    <t>Diseño y Visualización de la Información (Maestría)</t>
  </si>
  <si>
    <t>Diseño y Visualización de la Información (Doctorado)</t>
  </si>
  <si>
    <t xml:space="preserve">Diseño para la Rehabilitación, Recuperación y Conservación del Patrimonio  Construido (Maestría) </t>
  </si>
  <si>
    <t>C 346.7</t>
  </si>
  <si>
    <t>A381</t>
  </si>
  <si>
    <r>
      <t xml:space="preserve">Maestría en  Estudios Sociales </t>
    </r>
    <r>
      <rPr>
        <sz val="11"/>
        <color rgb="FFFF0000"/>
        <rFont val="Calibri"/>
        <family val="2"/>
        <scheme val="minor"/>
      </rPr>
      <t>(A, 99-O, Sesión 206)</t>
    </r>
  </si>
  <si>
    <t>M 369.5</t>
  </si>
  <si>
    <r>
      <t xml:space="preserve">Doctorado en  Estudios Sociales </t>
    </r>
    <r>
      <rPr>
        <sz val="11"/>
        <color rgb="FFFF0000"/>
        <rFont val="Calibri"/>
        <family val="2"/>
        <scheme val="minor"/>
      </rPr>
      <t>(A, 99-O, Sesión 206)</t>
    </r>
  </si>
  <si>
    <t>A 243</t>
  </si>
  <si>
    <t>A 354</t>
  </si>
  <si>
    <t>Maestría  en Biología de la Reproducción Animal (A, 99-P, Sesión 204)</t>
  </si>
  <si>
    <t>M381</t>
  </si>
  <si>
    <t>C 309</t>
  </si>
  <si>
    <t>D7. Actualización de planes de estudio</t>
  </si>
  <si>
    <t>D.7.14 Licenciatura</t>
  </si>
  <si>
    <t>D.7.15 Posgrado</t>
  </si>
  <si>
    <t>D8. Planta académica</t>
  </si>
  <si>
    <t>D.8.16 Grado académico</t>
  </si>
  <si>
    <t>D.8.17 Doctorado</t>
  </si>
  <si>
    <t>(PERSONAL REGISTRADO EN LA BASE DE DATOS DE PROMEP)</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</si>
  <si>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</si>
  <si>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</si>
  <si>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</si>
  <si>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</si>
  <si>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</si>
  <si>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</si>
  <si>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LICENCIATURA 2015</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</si>
  <si>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</si>
  <si>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</si>
  <si>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</si>
  <si>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</si>
  <si>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</si>
  <si>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</si>
  <si>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</si>
  <si>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</si>
  <si>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</si>
  <si>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</si>
  <si>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</si>
  <si>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</si>
  <si>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</si>
  <si>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</si>
  <si>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</si>
  <si>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</si>
  <si>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</si>
  <si>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</si>
  <si>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</si>
  <si>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</si>
  <si>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</si>
  <si>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</si>
  <si>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</si>
  <si>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Bartra, Armando</t>
  </si>
  <si>
    <t>No. de horas por persona (B / F)</t>
  </si>
  <si>
    <t>FUENTE: Base de Datos de Nómina, Quincena 20 de 2015. Incluye Mandos Medios Académicos, Mandos Medios Administrativos con Base Académica y Funcionarios Académicos.</t>
  </si>
  <si>
    <t>Presupuesto ejercido 2015</t>
  </si>
  <si>
    <t>Porcentaje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</si>
  <si>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</si>
  <si>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</si>
  <si>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</si>
  <si>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</si>
  <si>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</si>
  <si>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</si>
  <si>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</si>
  <si>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</si>
  <si>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</si>
  <si>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</si>
  <si>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</si>
  <si>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</si>
  <si>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</si>
  <si>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</si>
  <si>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</si>
  <si>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</si>
  <si>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</si>
  <si>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</si>
  <si>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</si>
  <si>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</si>
  <si>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</si>
  <si>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</si>
  <si>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</si>
  <si>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</si>
  <si>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</si>
  <si>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</si>
  <si>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</si>
  <si>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</si>
  <si>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</si>
  <si>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</si>
  <si>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</si>
  <si>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</si>
  <si>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</si>
  <si>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</si>
  <si>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</si>
  <si>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</si>
  <si>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</si>
  <si>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</si>
  <si>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</si>
  <si>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</si>
  <si>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</si>
  <si>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</si>
  <si>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</si>
  <si>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</si>
  <si>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</si>
  <si>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</si>
  <si>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</si>
  <si>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</si>
  <si>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</si>
  <si>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</si>
  <si>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</si>
  <si>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</si>
  <si>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</si>
  <si>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</si>
  <si>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</si>
  <si>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</si>
  <si>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</si>
  <si>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</si>
  <si>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</si>
  <si>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</si>
  <si>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</si>
  <si>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</si>
  <si>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Total Licenciatura</t>
  </si>
  <si>
    <t>Matrícula Total</t>
  </si>
  <si>
    <t>S N I - 2016</t>
  </si>
  <si>
    <t>14.3 GB</t>
  </si>
  <si>
    <t>Porcentaje 2016</t>
  </si>
  <si>
    <t>Comunidad Universitaria susceptible de beneficiarse con los programas salud*</t>
  </si>
  <si>
    <t>* Activos de Licenciatura y Posgrado + pnal. Académico y pnal. Admvo.</t>
  </si>
  <si>
    <t>GB</t>
  </si>
  <si>
    <t>1 MB=</t>
  </si>
  <si>
    <t>1 GB=</t>
  </si>
  <si>
    <t>LICENCIATURA 2016</t>
  </si>
  <si>
    <t>En linea</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</si>
  <si>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</si>
  <si>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</si>
  <si>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</si>
  <si>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</si>
  <si>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</si>
  <si>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</si>
  <si>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</si>
  <si>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</si>
  <si>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</si>
  <si>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</si>
  <si>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</si>
  <si>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</si>
  <si>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</si>
  <si>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</si>
  <si>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</si>
  <si>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</si>
  <si>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</si>
  <si>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</si>
  <si>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</si>
  <si>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</si>
  <si>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</si>
  <si>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</si>
  <si>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</si>
  <si>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</si>
  <si>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</si>
  <si>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</si>
  <si>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</si>
  <si>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</si>
  <si>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</si>
  <si>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</si>
  <si>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</si>
  <si>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</si>
  <si>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</si>
  <si>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</si>
  <si>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</si>
  <si>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</si>
  <si>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</si>
  <si>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</si>
  <si>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</si>
  <si>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</si>
  <si>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</si>
  <si>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</si>
  <si>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</si>
  <si>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</si>
  <si>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</si>
  <si>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</si>
  <si>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</si>
  <si>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</si>
  <si>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</si>
  <si>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</si>
  <si>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</si>
  <si>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</si>
  <si>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</si>
  <si>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</si>
  <si>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</si>
  <si>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</si>
  <si>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</si>
  <si>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</si>
  <si>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</si>
  <si>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</si>
  <si>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</si>
  <si>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</si>
  <si>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</si>
  <si>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</si>
  <si>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</si>
  <si>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</si>
  <si>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</si>
  <si>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</si>
  <si>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</si>
  <si>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</si>
  <si>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</si>
  <si>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</si>
  <si>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</si>
  <si>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</si>
  <si>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</si>
  <si>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</si>
  <si>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2014 a 2016</t>
  </si>
  <si>
    <t>Lic. Ciencias Atmosféricas</t>
  </si>
  <si>
    <t>A 387</t>
  </si>
  <si>
    <t>A 402</t>
  </si>
  <si>
    <t>2012 a 2016</t>
  </si>
  <si>
    <t>M 390.6</t>
  </si>
  <si>
    <r>
      <t xml:space="preserve">Diseño para la Rehabilitación, Recuperación y Conservación del Patrimonio  Construido                           </t>
    </r>
    <r>
      <rPr>
        <b/>
        <i/>
        <sz val="11"/>
        <rFont val="Calibri"/>
        <family val="2"/>
        <scheme val="minor"/>
      </rPr>
      <t xml:space="preserve">(Doctorado) </t>
    </r>
    <r>
      <rPr>
        <b/>
        <sz val="11"/>
        <rFont val="Calibri"/>
        <family val="2"/>
        <scheme val="minor"/>
      </rPr>
      <t>Se ofrecerá a partir de 2017-O, No se cuenta</t>
    </r>
  </si>
  <si>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</si>
  <si>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</si>
  <si>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</si>
  <si>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</si>
  <si>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</si>
  <si>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</si>
  <si>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</si>
  <si>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</si>
  <si>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r>
      <t xml:space="preserve"> Especialización en Física Médica Clínica</t>
    </r>
    <r>
      <rPr>
        <b/>
        <i/>
        <sz val="11"/>
        <rFont val="Calibri"/>
        <family val="2"/>
      </rPr>
      <t xml:space="preserve"> </t>
    </r>
  </si>
  <si>
    <t>C 387.6</t>
  </si>
  <si>
    <t>C 402.9</t>
  </si>
  <si>
    <t xml:space="preserve"> Especialización en Física Médica Clínica. </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</si>
  <si>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</si>
  <si>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</si>
  <si>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</si>
  <si>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</si>
  <si>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</si>
  <si>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</si>
  <si>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</si>
  <si>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</si>
  <si>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</si>
  <si>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</si>
  <si>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</si>
  <si>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</si>
  <si>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</si>
  <si>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</si>
  <si>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</si>
  <si>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</si>
  <si>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</si>
  <si>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</si>
  <si>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</si>
  <si>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</si>
  <si>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</si>
  <si>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</si>
  <si>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</si>
  <si>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r>
      <t>EFICIENCIA TERMINAL DE ALUMNOS DE</t>
    </r>
    <r>
      <rPr>
        <b/>
        <sz val="11"/>
        <color rgb="FFCC3300"/>
        <rFont val="Arial"/>
        <family val="2"/>
      </rPr>
      <t xml:space="preserve"> ESPECIALIDAD</t>
    </r>
  </si>
  <si>
    <r>
      <t xml:space="preserve">EFICIENCIA TERMINAL DE ALUMNOS DE </t>
    </r>
    <r>
      <rPr>
        <b/>
        <sz val="11"/>
        <color rgb="FFCC3300"/>
        <rFont val="Arial"/>
        <family val="2"/>
      </rPr>
      <t xml:space="preserve">MAESTRÍA </t>
    </r>
  </si>
  <si>
    <r>
      <t xml:space="preserve">EFICIENCIA TERMINAL DE ALUMNOS DE </t>
    </r>
    <r>
      <rPr>
        <b/>
        <sz val="11"/>
        <color rgb="FFCC3300"/>
        <rFont val="Arial"/>
        <family val="2"/>
      </rPr>
      <t>DOCTORADO</t>
    </r>
    <r>
      <rPr>
        <b/>
        <sz val="11"/>
        <color theme="1"/>
        <rFont val="Arial"/>
        <family val="2"/>
      </rPr>
      <t xml:space="preserve"> </t>
    </r>
  </si>
  <si>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</si>
  <si>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</si>
  <si>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</si>
  <si>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</si>
  <si>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</si>
  <si>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</si>
  <si>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</si>
  <si>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</si>
  <si>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</si>
  <si>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</si>
  <si>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</si>
  <si>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</si>
  <si>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t>UAM-C</t>
  </si>
  <si>
    <t>Biblioteca Nueva</t>
  </si>
  <si>
    <t>978-607-477-950-9</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</si>
  <si>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</si>
  <si>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Datos del año pasado, falto infomación de la unidad</t>
  </si>
  <si>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</si>
  <si>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</si>
  <si>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</si>
  <si>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</si>
  <si>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</si>
  <si>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</si>
  <si>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</si>
  <si>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</si>
  <si>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</si>
  <si>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</si>
  <si>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</si>
  <si>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</si>
  <si>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</si>
  <si>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</si>
  <si>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</si>
  <si>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</si>
  <si>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</si>
  <si>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</si>
  <si>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</si>
  <si>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</si>
  <si>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</si>
  <si>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</si>
  <si>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</si>
  <si>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</si>
  <si>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</si>
  <si>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</si>
  <si>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</si>
  <si>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</si>
  <si>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</si>
  <si>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</si>
  <si>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</si>
  <si>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</si>
  <si>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</si>
  <si>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</si>
  <si>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</si>
  <si>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</si>
  <si>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</si>
  <si>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</si>
  <si>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</si>
  <si>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</si>
  <si>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</si>
  <si>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</si>
  <si>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</si>
  <si>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</si>
  <si>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</si>
  <si>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</si>
  <si>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</si>
  <si>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</si>
  <si>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</si>
  <si>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</si>
  <si>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</si>
  <si>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</si>
  <si>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</si>
  <si>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</si>
  <si>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</si>
  <si>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</si>
  <si>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</si>
  <si>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</si>
  <si>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</si>
  <si>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</si>
  <si>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</si>
  <si>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</si>
  <si>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</si>
  <si>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</si>
  <si>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</si>
  <si>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</si>
  <si>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</si>
  <si>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</si>
  <si>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</si>
  <si>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</si>
  <si>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</si>
  <si>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</si>
  <si>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</si>
  <si>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</si>
  <si>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</si>
  <si>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</si>
  <si>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</si>
  <si>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</si>
  <si>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</si>
  <si>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</si>
  <si>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</si>
  <si>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</si>
  <si>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</si>
  <si>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</si>
  <si>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</si>
  <si>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</si>
  <si>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</si>
  <si>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</si>
  <si>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</si>
  <si>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</si>
  <si>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</si>
  <si>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</si>
  <si>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</si>
  <si>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</si>
  <si>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</si>
  <si>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</si>
  <si>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</si>
  <si>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</si>
  <si>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</si>
  <si>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</si>
  <si>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</si>
  <si>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</si>
  <si>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</si>
  <si>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</si>
  <si>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</si>
  <si>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</si>
  <si>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</si>
  <si>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</si>
  <si>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</si>
  <si>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</si>
  <si>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</si>
  <si>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</si>
  <si>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</si>
  <si>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</si>
  <si>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</si>
  <si>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</si>
  <si>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</si>
  <si>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</si>
  <si>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</si>
  <si>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</si>
  <si>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</si>
  <si>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</si>
  <si>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</si>
  <si>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</si>
  <si>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</si>
  <si>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</si>
  <si>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</si>
  <si>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</si>
  <si>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</si>
  <si>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</si>
  <si>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</si>
  <si>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</si>
  <si>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</si>
  <si>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</si>
  <si>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</si>
  <si>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</si>
  <si>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</si>
  <si>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</si>
  <si>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</si>
  <si>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</si>
  <si>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</si>
  <si>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DIVISÓN</t>
  </si>
  <si>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</si>
  <si>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</si>
  <si>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</si>
  <si>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</si>
  <si>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</si>
  <si>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</si>
  <si>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</si>
  <si>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Porcentaje de respuesta por Unidad</t>
  </si>
  <si>
    <t>Unidades</t>
  </si>
  <si>
    <t>Encuestados</t>
  </si>
  <si>
    <t>% de efectividad</t>
  </si>
  <si>
    <t>Porcentaje total</t>
  </si>
  <si>
    <t>De los egresados que declararon no laborar actualmente, el 42.7% continuó con sus estudios. En casos específicos como la licenciatura en Química de la Unidad Iztapalapa, el 88.9% continuó con sus estudios.</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</si>
  <si>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</si>
  <si>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</si>
  <si>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</si>
  <si>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</si>
  <si>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</si>
  <si>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</si>
  <si>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</si>
  <si>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</si>
  <si>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</si>
  <si>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</si>
  <si>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</si>
  <si>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</si>
  <si>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</si>
  <si>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</si>
  <si>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</si>
  <si>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</si>
  <si>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</si>
  <si>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</si>
  <si>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</si>
  <si>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</si>
  <si>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</si>
  <si>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</si>
  <si>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</si>
  <si>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</si>
  <si>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</si>
  <si>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</si>
  <si>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</si>
  <si>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</si>
  <si>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</si>
  <si>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</si>
  <si>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</si>
  <si>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</si>
  <si>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r>
      <t xml:space="preserve">Fuente: </t>
    </r>
    <r>
      <rPr>
        <sz val="8"/>
        <color theme="1"/>
        <rFont val="Arial"/>
        <family val="2"/>
      </rPr>
      <t>Estudio de Seguimiento de Egresados de Licenciatura: Generación 2012</t>
    </r>
  </si>
  <si>
    <r>
      <t xml:space="preserve">Empleo de los egresados: </t>
    </r>
    <r>
      <rPr>
        <sz val="8"/>
        <color theme="1"/>
        <rFont val="Calibri"/>
        <family val="2"/>
        <scheme val="minor"/>
      </rPr>
      <t>Mide la tasa de inserción laboral al tercer año de egreso</t>
    </r>
  </si>
  <si>
    <r>
      <rPr>
        <b/>
        <sz val="8"/>
        <color theme="1"/>
        <rFont val="Arial"/>
        <family val="2"/>
      </rPr>
      <t>*</t>
    </r>
    <r>
      <rPr>
        <sz val="8"/>
        <color theme="1"/>
        <rFont val="Arial"/>
        <family val="2"/>
      </rPr>
      <t>Ingeniería Civil</t>
    </r>
  </si>
  <si>
    <r>
      <rPr>
        <b/>
        <sz val="8"/>
        <color theme="1"/>
        <rFont val="Arial"/>
        <family val="2"/>
      </rPr>
      <t>*</t>
    </r>
    <r>
      <rPr>
        <sz val="8"/>
        <color theme="1"/>
        <rFont val="Arial"/>
        <family val="2"/>
      </rPr>
      <t>Ingeniería Eléctrica</t>
    </r>
  </si>
  <si>
    <r>
      <t>Fuente:</t>
    </r>
    <r>
      <rPr>
        <sz val="8"/>
        <color theme="1"/>
        <rFont val="Calibri"/>
        <family val="2"/>
        <scheme val="minor"/>
      </rPr>
      <t xml:space="preserve"> Estudio de seguimiento de egresados de las generaciones 2005 y 2008 publicado en septiembre de 2013</t>
    </r>
  </si>
  <si>
    <r>
      <t xml:space="preserve">Empleo de los egresados: </t>
    </r>
    <r>
      <rPr>
        <sz val="8"/>
        <color theme="1"/>
        <rFont val="Calibri"/>
        <family val="2"/>
        <scheme val="minor"/>
      </rPr>
      <t>Mide la tasa de inserción laboral al tercer y quinto año de egreso</t>
    </r>
  </si>
  <si>
    <r>
      <t xml:space="preserve">Nota metodológica: </t>
    </r>
    <r>
      <rPr>
        <sz val="8"/>
        <color theme="1"/>
        <rFont val="Arial"/>
        <family val="2"/>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8"/>
        <color theme="1"/>
        <rFont val="Arial"/>
        <family val="2"/>
      </rPr>
      <t xml:space="preserve">
</t>
    </r>
    <r>
      <rPr>
        <sz val="8"/>
        <color theme="1"/>
        <rFont val="Arial"/>
        <family val="2"/>
      </rPr>
      <t>De las cinco unidades universitarias, cuentan con la generación de estudio Azcapotzalco, Iztapalapa,  Xochimilco y Cuajimalpa; de ésta última las licenciaturas en Derecho y Biología Molecular no registraron egresados en 2012.</t>
    </r>
  </si>
  <si>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</si>
  <si>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</si>
  <si>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</si>
  <si>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</si>
  <si>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</si>
  <si>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</si>
  <si>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</si>
  <si>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</si>
  <si>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</si>
  <si>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</si>
  <si>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</si>
  <si>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</si>
  <si>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</si>
  <si>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</si>
  <si>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</si>
  <si>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</si>
  <si>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</si>
  <si>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</si>
  <si>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</si>
  <si>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</si>
  <si>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</si>
  <si>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</si>
  <si>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</si>
  <si>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</si>
  <si>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</si>
  <si>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</si>
  <si>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</si>
  <si>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</si>
  <si>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</si>
  <si>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</si>
  <si>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</si>
  <si>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</si>
  <si>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</si>
  <si>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</si>
  <si>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</si>
  <si>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</si>
  <si>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</si>
  <si>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</si>
  <si>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</si>
  <si>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</si>
  <si>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</si>
  <si>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</si>
  <si>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</si>
  <si>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</si>
  <si>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</si>
  <si>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</si>
  <si>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</si>
  <si>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</si>
  <si>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</si>
  <si>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</si>
  <si>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</si>
  <si>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</si>
  <si>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</si>
  <si>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</si>
  <si>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</si>
  <si>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</si>
  <si>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</si>
  <si>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</si>
  <si>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</si>
  <si>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</si>
  <si>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</si>
  <si>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</si>
  <si>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</si>
  <si>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</si>
  <si>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</si>
  <si>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</si>
  <si>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</si>
  <si>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</si>
  <si>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</si>
  <si>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</si>
  <si>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</si>
  <si>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</si>
  <si>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</si>
  <si>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</si>
  <si>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</si>
  <si>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</si>
  <si>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</si>
  <si>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</si>
  <si>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</si>
  <si>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Citas a artículos publicados por personal académico de la UAM</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</si>
  <si>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</si>
  <si>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</si>
  <si>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</si>
  <si>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</si>
  <si>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</si>
  <si>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</si>
  <si>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</si>
  <si>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</si>
  <si>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</si>
  <si>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</si>
  <si>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</si>
  <si>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</si>
  <si>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</si>
  <si>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</si>
  <si>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Lugar Latinoamerica 2013</t>
  </si>
  <si>
    <t>Fuente: http://www.topuniversities.com/university-rankings/latin-american-university-rankings/2012</t>
  </si>
  <si>
    <t xml:space="preserve"> Fuente: http://www.topuniversities.com/university-rankings/latin-american-university-rankings/2012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</si>
  <si>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</si>
  <si>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</si>
  <si>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</si>
  <si>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</si>
  <si>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</si>
  <si>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</si>
  <si>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</si>
  <si>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Lugar Latinoamerica 2010</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</si>
  <si>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</si>
  <si>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</si>
  <si>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</si>
  <si>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</si>
  <si>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</si>
  <si>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</si>
  <si>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</si>
  <si>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</si>
  <si>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</si>
  <si>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</si>
  <si>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</si>
  <si>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</si>
  <si>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</si>
  <si>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</si>
  <si>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</si>
  <si>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</si>
  <si>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</si>
  <si>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</si>
  <si>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</si>
  <si>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</si>
  <si>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</si>
  <si>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 xml:space="preserve">Clasificación por país: México,  QS Ranking Latin America 2011, Universidades Mexicanas. </t>
  </si>
  <si>
    <t>Indicador omitido en modulo del 2016 por falta de información del área</t>
  </si>
  <si>
    <t>Ingeniería en Recursos Hídricos</t>
  </si>
  <si>
    <t>Ingeniería en Computación y Telecomunicaciones</t>
  </si>
  <si>
    <t>Psicología Biomédica</t>
  </si>
  <si>
    <r>
      <t>Especialización en Ciencias e Ingeniería</t>
    </r>
    <r>
      <rPr>
        <i/>
        <sz val="10"/>
        <color rgb="FF000000"/>
        <rFont val="Calibri"/>
        <family val="2"/>
        <scheme val="minor"/>
      </rPr>
      <t xml:space="preserve"> (ambientales, de materiales)</t>
    </r>
  </si>
  <si>
    <r>
      <t>Maestría  en Ciencias e Ingeniería</t>
    </r>
    <r>
      <rPr>
        <i/>
        <sz val="10"/>
        <color rgb="FF000000"/>
        <rFont val="Calibri"/>
        <family val="2"/>
        <scheme val="minor"/>
      </rPr>
      <t xml:space="preserve"> </t>
    </r>
    <r>
      <rPr>
        <i/>
        <sz val="9"/>
        <color rgb="FF000000"/>
        <rFont val="Calibri"/>
        <family val="2"/>
        <scheme val="minor"/>
      </rPr>
      <t>(ambientales, de materiales)</t>
    </r>
  </si>
  <si>
    <r>
      <t>Posgrado en Ciencias e Ingeniería</t>
    </r>
    <r>
      <rPr>
        <i/>
        <sz val="9"/>
        <rFont val="Calibri"/>
        <family val="2"/>
        <scheme val="minor"/>
      </rPr>
      <t xml:space="preserve"> (Ambientales, Materiales)</t>
    </r>
  </si>
  <si>
    <r>
      <t>Doctorado en Ciencias e Ingeniería</t>
    </r>
    <r>
      <rPr>
        <sz val="9"/>
        <rFont val="Calibri"/>
        <family val="2"/>
        <scheme val="minor"/>
      </rPr>
      <t xml:space="preserve"> </t>
    </r>
    <r>
      <rPr>
        <i/>
        <sz val="9"/>
        <color rgb="FF000000"/>
        <rFont val="Calibri"/>
        <family val="2"/>
        <scheme val="minor"/>
      </rPr>
      <t>(ambientales, de materiales)</t>
    </r>
  </si>
  <si>
    <t>Mtría en Derecho</t>
  </si>
  <si>
    <t>Posgrado Integral en Ciencias Administrativas</t>
  </si>
  <si>
    <t>Especialización en Diseño Ambiental</t>
  </si>
  <si>
    <t>Doctorado en ciencias</t>
  </si>
  <si>
    <t>Mtría y Doc en Psicología Social</t>
  </si>
  <si>
    <t>Maestría en Economía, Gestión y Políticas de Innovación</t>
  </si>
  <si>
    <t>Mtría. en Sociedades Sustentables</t>
  </si>
  <si>
    <t>Doc en Humanidades</t>
  </si>
  <si>
    <t>PLANES de estudio de LICENCIATURA de buena calidad</t>
  </si>
  <si>
    <r>
      <rPr>
        <b/>
        <sz val="14"/>
        <rFont val="Calibri"/>
        <family val="2"/>
        <scheme val="minor"/>
      </rPr>
      <t>PLANES</t>
    </r>
    <r>
      <rPr>
        <b/>
        <sz val="14"/>
        <color indexed="8"/>
        <rFont val="Calibri"/>
        <family val="2"/>
        <scheme val="minor"/>
      </rPr>
      <t xml:space="preserve"> de estudio de </t>
    </r>
    <r>
      <rPr>
        <b/>
        <sz val="14"/>
        <color indexed="10"/>
        <rFont val="Calibri"/>
        <family val="2"/>
        <scheme val="minor"/>
      </rPr>
      <t>POSGRADO</t>
    </r>
  </si>
  <si>
    <t>PLAN DE ESTUDIOS</t>
  </si>
  <si>
    <t>NIVEL PNPC</t>
  </si>
  <si>
    <t>OBSERVACIONES</t>
  </si>
  <si>
    <t>Ciencias Básicas e Ingeniería (CBI)</t>
  </si>
  <si>
    <t>Maestría en Optimización</t>
  </si>
  <si>
    <t>Maestría en Ingeniería de Procesos</t>
  </si>
  <si>
    <t>Doctorado en Optimización</t>
  </si>
  <si>
    <t>Doctorado en Ingeniería de Procesos</t>
  </si>
  <si>
    <t>Ciencias Sociales y Humanidades (CSH)</t>
  </si>
  <si>
    <t xml:space="preserve">Especialización en Historiografía </t>
  </si>
  <si>
    <t>Especialización en Literatura Mexicana del Siglo XX</t>
  </si>
  <si>
    <t>Maestría en Historiografía</t>
  </si>
  <si>
    <t>Maestría  en Sociología</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</si>
  <si>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</si>
  <si>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</si>
  <si>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Doctorado en Historiografía</t>
  </si>
  <si>
    <t>Ciencias y Artes para el Diseño (CAD)</t>
  </si>
  <si>
    <t>Ciencias de la Comunicación y Diseño (CCD)</t>
  </si>
  <si>
    <t>Ciencias Naturales e Ingeniería (CNI)</t>
  </si>
  <si>
    <t>Especialización en Ciencias Naturales e Ingeniería</t>
  </si>
  <si>
    <t>Maestría en Ciencias Naturales e Ingeniería</t>
  </si>
  <si>
    <t>Doctorado en Ciencias Naturales e Ingeniería</t>
  </si>
  <si>
    <t>Especialización en Física Médica Clinica</t>
  </si>
  <si>
    <t>Compartido con CBS</t>
  </si>
  <si>
    <t>Maestría en Ciencias (Física)</t>
  </si>
  <si>
    <t>Maestría en Ciencias (Matemáticas)</t>
  </si>
  <si>
    <t>Maestría en Ciencias (Ingeniería Química)</t>
  </si>
  <si>
    <t>Maestría en Ciencias (Ingeniería Biomédica)</t>
  </si>
  <si>
    <t>Maestría en Ciencias (Química)</t>
  </si>
  <si>
    <t>Maestría en Energía y Medio Ambiente</t>
  </si>
  <si>
    <t>Doctorado en Ciencias (Física)</t>
  </si>
  <si>
    <t>Doctorado en Ciencias (Matemáticas)</t>
  </si>
  <si>
    <t>Doctorado en Ciencias (Ingeniería Química)</t>
  </si>
  <si>
    <t>Doctorado en Ciencias (Ingeniería Biomédica)</t>
  </si>
  <si>
    <t>Doctorado en Ciencias (Química)</t>
  </si>
  <si>
    <t>Doctorado en Energía y Medio Ambiente</t>
  </si>
  <si>
    <t>Ciencias Biológicas y de la Salud (CBS)</t>
  </si>
  <si>
    <t>Compartido con CBI</t>
  </si>
  <si>
    <t>Maestría en Biología Experimental</t>
  </si>
  <si>
    <t>Doctorado en Biología Experimental</t>
  </si>
  <si>
    <t xml:space="preserve">Especialización en Desarrollo Rural </t>
  </si>
  <si>
    <t xml:space="preserve">Maestría en Comunicación y Política </t>
  </si>
  <si>
    <t>Competencia Internacional</t>
  </si>
  <si>
    <t xml:space="preserve">Maestría en Desarrollo Rural </t>
  </si>
  <si>
    <t>Maestría en Relaciones Internacionales</t>
  </si>
  <si>
    <t>Maestría en Sociedades Sustentables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</si>
  <si>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</si>
  <si>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</si>
  <si>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</si>
  <si>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</si>
  <si>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</si>
  <si>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CBS y CNI</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</si>
  <si>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</si>
  <si>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</si>
  <si>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</si>
  <si>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</si>
  <si>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</si>
  <si>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</si>
  <si>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</si>
  <si>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</si>
  <si>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</si>
  <si>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</si>
  <si>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</si>
  <si>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</si>
  <si>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</si>
  <si>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</si>
  <si>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COMAPROD</t>
  </si>
  <si>
    <t xml:space="preserve">CACEI: Consejo de Acreditación de la Enseñanza de la Ingeniería,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</si>
  <si>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</si>
  <si>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</si>
  <si>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</si>
  <si>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 xml:space="preserve">Administración </t>
  </si>
  <si>
    <t xml:space="preserve">Estudios Socioterritoriales </t>
  </si>
  <si>
    <t xml:space="preserve">Tecnologías y Sistemas de Información </t>
  </si>
  <si>
    <t xml:space="preserve">Ingeniería en Computación </t>
  </si>
  <si>
    <t>CONAIC</t>
  </si>
  <si>
    <t>nueva</t>
  </si>
  <si>
    <t xml:space="preserve">Ingeniería Biológica </t>
  </si>
  <si>
    <t>CACEB</t>
  </si>
  <si>
    <t>10 febrero,2022</t>
  </si>
  <si>
    <t>CACEB: Comité de Acreditación y Certificación de la Licenciatura en Biología, A.C.</t>
  </si>
  <si>
    <t xml:space="preserve">Ingeniería Biomédica </t>
  </si>
  <si>
    <t xml:space="preserve">Ingeniería Hidrológica </t>
  </si>
  <si>
    <t> CONAECQ</t>
  </si>
  <si>
    <t xml:space="preserve">Matemáticas  </t>
  </si>
  <si>
    <t>Ciencias Sociales y Humanidades CSH)</t>
  </si>
  <si>
    <t xml:space="preserve">Lingüística </t>
  </si>
  <si>
    <t xml:space="preserve">Geografía Humana </t>
  </si>
  <si>
    <t xml:space="preserve">Biología Experimental </t>
  </si>
  <si>
    <t xml:space="preserve">CONAIC: Consejo Nacional de Acreditación en Informática y Computación, A.C. </t>
  </si>
  <si>
    <t xml:space="preserve">Ingeniería en Recursos Hidrícos </t>
  </si>
  <si>
    <t xml:space="preserve">Políticas Públicas </t>
  </si>
  <si>
    <r>
      <rPr>
        <b/>
        <sz val="8"/>
        <rFont val="Calibri"/>
        <family val="2"/>
      </rPr>
      <t>FUENTE:</t>
    </r>
    <r>
      <rPr>
        <sz val="8"/>
        <rFont val="Calibri"/>
        <family val="2"/>
      </rPr>
      <t xml:space="preserve"> Colegio Académico</t>
    </r>
  </si>
  <si>
    <t xml:space="preserve">Psicología </t>
  </si>
  <si>
    <t>COMACE</t>
  </si>
  <si>
    <t>Estomatología (Odontología)</t>
  </si>
  <si>
    <t>Química Farmaceútica Biológica</t>
  </si>
  <si>
    <t>COMAEF</t>
  </si>
  <si>
    <t>Medicina (Médico Cirujano)</t>
  </si>
  <si>
    <t>COMAEM</t>
  </si>
  <si>
    <t>CONCAPREN</t>
  </si>
  <si>
    <t xml:space="preserve">Planeación Territorial </t>
  </si>
  <si>
    <t xml:space="preserve">COMACE: Consejo Mexicano para la  Acreditación y Certificación de la Enfermería,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</si>
  <si>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</si>
  <si>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</si>
  <si>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</si>
  <si>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</si>
  <si>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</si>
  <si>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</si>
  <si>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t>Acreditados</t>
  </si>
  <si>
    <t>S N I - 2017</t>
  </si>
  <si>
    <t>Profesores en el S N I con respecto al Personal Académico definitivo de tiempo completo</t>
  </si>
  <si>
    <r>
      <t xml:space="preserve">Profesores en el  S N I en relación al Personal Académico definitivo de Tiempo Completo </t>
    </r>
    <r>
      <rPr>
        <sz val="12"/>
        <rFont val="Arial"/>
        <family val="2"/>
      </rPr>
      <t>(PADTC)</t>
    </r>
    <r>
      <rPr>
        <b/>
        <sz val="12"/>
        <rFont val="Arial"/>
        <family val="2"/>
      </rPr>
      <t xml:space="preserve"> con doctorado</t>
    </r>
  </si>
  <si>
    <t>Profesores en el S N I nivel 2 y 3 en relación con profesores S N I nivel 1 y candidato</t>
  </si>
  <si>
    <t>Artículo especializado de investigación por Unidad y año de evaluación en relación al  Personal Académico definitivo de tiempo completo</t>
  </si>
  <si>
    <t>Artículos especiales de Investigación (Puntaje = 3300) en relación al  Personal Académico definitivo de tiempo completo</t>
  </si>
  <si>
    <t>Artículos especiales de investigación (puntaje = 3300) en relación con artículos especializados de investigación</t>
  </si>
  <si>
    <t>Cuerpos Académicos</t>
  </si>
  <si>
    <t>17-P</t>
  </si>
  <si>
    <t>2015 a 2017</t>
  </si>
  <si>
    <t>Lic. en Psicología Biomédica</t>
  </si>
  <si>
    <t>Lic. en Computación y Telecomunicaciones</t>
  </si>
  <si>
    <t>18-P</t>
  </si>
  <si>
    <t>no indica</t>
  </si>
  <si>
    <t>2013 a 2017</t>
  </si>
  <si>
    <t xml:space="preserve">Maestría en Ciencias e Ingeniería Electrómagnética </t>
  </si>
  <si>
    <t>18-O</t>
  </si>
  <si>
    <t>En AGA aparece un nuevo Posgrado en Ciencias e Ingeniería ( Ambientales, Materiales) con clave 180 y los marcados en verde tienen otra clave que es la 105.</t>
  </si>
  <si>
    <t xml:space="preserve">Maestría en Derecho </t>
  </si>
  <si>
    <t xml:space="preserve">Diseño, Planificación y Conservación de Paisajes y Jardines (Doctorado) </t>
  </si>
  <si>
    <t>Diseño y Desarrollo de Productos (Doctorado)</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</si>
  <si>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</si>
  <si>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</si>
  <si>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</si>
  <si>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</si>
  <si>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</si>
  <si>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</si>
  <si>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</si>
  <si>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</si>
  <si>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</si>
  <si>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</si>
  <si>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</si>
  <si>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Posgrado Integral en Ciencias Administrativas (Maestría)</t>
  </si>
  <si>
    <t>Posgrado Integral en Ciencias Administrativas (Doctorado)</t>
  </si>
  <si>
    <t>A 412.7</t>
  </si>
  <si>
    <t>A 419</t>
  </si>
  <si>
    <t>C 432.8</t>
  </si>
  <si>
    <t>A 411</t>
  </si>
  <si>
    <t>A 432</t>
  </si>
  <si>
    <t>A 412</t>
  </si>
  <si>
    <t>C 419.9</t>
  </si>
  <si>
    <t>C412.8</t>
  </si>
  <si>
    <t>LICENCIATURA 2017</t>
  </si>
  <si>
    <t>Porcentaje 2017</t>
  </si>
  <si>
    <t xml:space="preserve">Clasificación por país: México,  QS Ranking Latin America 2018, Universidades Mexicanas. </t>
  </si>
  <si>
    <t>801-1000</t>
  </si>
  <si>
    <t>QS Ranking Mundial 2018, Clasificación por país: México.</t>
  </si>
  <si>
    <t>751-800</t>
  </si>
  <si>
    <t>EMPLEO DE LOS EGRESADOS Y TASA DE RESPUESTA POR UNIDAD</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</si>
  <si>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</si>
  <si>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</si>
  <si>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</si>
  <si>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</si>
  <si>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</si>
  <si>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</si>
  <si>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</si>
  <si>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</si>
  <si>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</si>
  <si>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</si>
  <si>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</si>
  <si>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El universo de estudio corresponde a los egresados de licenciatura en el año 2012 (Unidad Azcapotzalco, Cujimalpa, Iztapalapa y Xochimilco) y de egresados en 2015 y en 2016 de la Unidad Lerma; que tienen una inserción reciente al mercado laboral, util para valorar el impacto inmediato de la formación profesional recibida en la institución. Se realizó un muestreo aleatorio proporcional por estratos. Para las licenciaturas menores a 30 registros se tomó el total de egresados con la finalidad de contar con una representatividad confiable.</t>
  </si>
  <si>
    <r>
      <t>EMPLEO DE LOS EGRESADOS DE LICENCIATURA</t>
    </r>
    <r>
      <rPr>
        <b/>
        <sz val="12"/>
        <color rgb="FFFF0000"/>
        <rFont val="Arial"/>
        <family val="2"/>
      </rPr>
      <t xml:space="preserve"> 2017</t>
    </r>
  </si>
  <si>
    <t>EMPLEO DE LOS EGRESADOS DE POSGRADO 2017</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</si>
  <si>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</si>
  <si>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11 de enero de 2018</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</si>
  <si>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</si>
  <si>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</si>
  <si>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</si>
  <si>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</si>
  <si>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</si>
  <si>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</si>
  <si>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</si>
  <si>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</si>
  <si>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</si>
  <si>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</si>
  <si>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</si>
  <si>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</si>
  <si>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</si>
  <si>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</si>
  <si>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</si>
  <si>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</si>
  <si>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</si>
  <si>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</si>
  <si>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</si>
  <si>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</si>
  <si>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</si>
  <si>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</si>
  <si>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</si>
  <si>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</si>
  <si>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</si>
  <si>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</si>
  <si>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</si>
  <si>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</si>
  <si>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</si>
  <si>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</si>
  <si>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</si>
  <si>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</si>
  <si>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</si>
  <si>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</si>
  <si>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</si>
  <si>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</si>
  <si>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</si>
  <si>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</si>
  <si>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</si>
  <si>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</si>
  <si>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</si>
  <si>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</si>
  <si>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</si>
  <si>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</si>
  <si>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</si>
  <si>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</si>
  <si>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</si>
  <si>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</si>
  <si>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</si>
  <si>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</si>
  <si>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</si>
  <si>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</si>
  <si>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</si>
  <si>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</si>
  <si>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</si>
  <si>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</si>
  <si>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</si>
  <si>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</si>
  <si>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</si>
  <si>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</si>
  <si>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</si>
  <si>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</si>
  <si>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</si>
  <si>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</si>
  <si>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</si>
  <si>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</si>
  <si>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</si>
  <si>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</si>
  <si>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</si>
  <si>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</si>
  <si>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TEMA</t>
  </si>
  <si>
    <t>¿Es posible innovar y mejorar laboralmente? Estudio de trayectorias de empresas multinacionales en México</t>
  </si>
  <si>
    <t>978-607-28-1119-5</t>
  </si>
  <si>
    <t>Biblioteca de Ciencias Sociales y Humanidades. Colección Administración. Serie Estudios</t>
  </si>
  <si>
    <t>Urbanismo</t>
  </si>
  <si>
    <t>Fotografía</t>
  </si>
  <si>
    <t>Educación</t>
  </si>
  <si>
    <t>978-607-28-1248-2</t>
  </si>
  <si>
    <t>978-607-28-1103-4</t>
  </si>
  <si>
    <t>Biblioteca de Ciencias Sociales y Humanidades. Colección Derecho. Serie Estudios</t>
  </si>
  <si>
    <t>978-607-28-1172-0</t>
  </si>
  <si>
    <t>Mecanismos</t>
  </si>
  <si>
    <t>Política</t>
  </si>
  <si>
    <t>978-607-28-1051-8</t>
  </si>
  <si>
    <t>Política latinoamericana contemporánea</t>
  </si>
  <si>
    <t>Resistencias y alternativas. Relación histórico-política de movimientos sociales en educación</t>
  </si>
  <si>
    <t>Ensayo Literario</t>
  </si>
  <si>
    <t>Ingeniería</t>
  </si>
  <si>
    <t>Ediciones del Lirio</t>
  </si>
  <si>
    <t>Metodología</t>
  </si>
  <si>
    <t>Poesía</t>
  </si>
  <si>
    <t>Antropología</t>
  </si>
  <si>
    <t>UNAM</t>
  </si>
  <si>
    <t>978-607-28-1096-9</t>
  </si>
  <si>
    <t>978-607-28-1150-8</t>
  </si>
  <si>
    <t>978-607-28-1164-5</t>
  </si>
  <si>
    <t>Dilemas de la representación: presencias, performance, poder</t>
  </si>
  <si>
    <t>978-607-28-1074-7</t>
  </si>
  <si>
    <t>Escritos sobre la idea de la historia en Federico Chabod</t>
  </si>
  <si>
    <t>UAM/Del Lirio</t>
  </si>
  <si>
    <t>978-607-28-1213-0</t>
  </si>
  <si>
    <t>Juan Pablos Editor</t>
  </si>
  <si>
    <t>978-607-28-0921-5</t>
  </si>
  <si>
    <t>978-607-28-1063-1</t>
  </si>
  <si>
    <t>978-607-28-1105-8</t>
  </si>
  <si>
    <t>978-607-28-1163-8</t>
  </si>
  <si>
    <t>Paleontología de invertebrados</t>
  </si>
  <si>
    <t>978-607-28-1166-9</t>
  </si>
  <si>
    <t>Literatura Infantil y Juvenil</t>
  </si>
  <si>
    <t>978-607-28-1167-6</t>
  </si>
  <si>
    <t>Soñar en la antigüedad Los soñadores y su experiencia</t>
  </si>
  <si>
    <t>978-607-28-1159-1</t>
  </si>
  <si>
    <t>978-607-28-1162-1</t>
  </si>
  <si>
    <t>Una introducción a la filosofía del lenguaje</t>
  </si>
  <si>
    <t>978-607-28-1220-8</t>
  </si>
  <si>
    <t>Arte</t>
  </si>
  <si>
    <t>Siglo XXI Editores</t>
  </si>
  <si>
    <t>Ciencias Agropecuarias</t>
  </si>
  <si>
    <t>978-607-28-1153-9</t>
  </si>
  <si>
    <t>978-607-28-1198-0</t>
  </si>
  <si>
    <t>Ciencias Médicas</t>
  </si>
  <si>
    <t>Teoría y Análisis</t>
  </si>
  <si>
    <t>Editorial Terracota</t>
  </si>
  <si>
    <t>978-607-28-1078-5</t>
  </si>
  <si>
    <t>Diseño en cerámica</t>
  </si>
  <si>
    <t>978-607-28-1223-9</t>
  </si>
  <si>
    <t>978-607-28-1201-7</t>
  </si>
  <si>
    <t>978-607-28-1187-4</t>
  </si>
  <si>
    <t>Género</t>
  </si>
  <si>
    <t>978-607-28-1158-4</t>
  </si>
  <si>
    <t>978-607-28-1200-0</t>
  </si>
  <si>
    <t>978-607-28-1197-3</t>
  </si>
  <si>
    <t>Narrativa</t>
  </si>
  <si>
    <t>978-607-28-1222-2</t>
  </si>
  <si>
    <t>978-607-28-1054-9</t>
  </si>
  <si>
    <t>978-607-28-1192-8</t>
  </si>
  <si>
    <t>978-607-28-1230-7</t>
  </si>
  <si>
    <t>978-607-28-1217-8</t>
  </si>
  <si>
    <t>978-607-28-1234-5</t>
  </si>
  <si>
    <t>Varios autores</t>
  </si>
  <si>
    <t>Sociedad civil rural en México</t>
  </si>
  <si>
    <t>978-607-28-1177-5</t>
  </si>
  <si>
    <t>978-607-28-1196-6</t>
  </si>
  <si>
    <t>RG</t>
  </si>
  <si>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</si>
  <si>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</si>
  <si>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</si>
  <si>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</si>
  <si>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</si>
  <si>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</si>
  <si>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</si>
  <si>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</si>
  <si>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</si>
  <si>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</si>
  <si>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</si>
  <si>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</si>
  <si>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</si>
  <si>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</si>
  <si>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</si>
  <si>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</si>
  <si>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</si>
  <si>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</si>
  <si>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</si>
  <si>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</si>
  <si>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</si>
  <si>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</si>
  <si>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</si>
  <si>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</si>
  <si>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</si>
  <si>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</si>
  <si>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</si>
  <si>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</si>
  <si>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</si>
  <si>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</si>
  <si>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</si>
  <si>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</si>
  <si>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</si>
  <si>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</si>
  <si>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</si>
  <si>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</si>
  <si>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</si>
  <si>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</si>
  <si>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</si>
  <si>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Datos del año anterior</t>
  </si>
  <si>
    <t>Presupuesto ejercido 2017</t>
  </si>
  <si>
    <t>Total de presupuesto ejercido 2017 de otros gastos de operación, mantenimiento e inversión</t>
  </si>
  <si>
    <r>
      <t xml:space="preserve">Información de artículos publicados y citados del personal académico de la UAM </t>
    </r>
    <r>
      <rPr>
        <b/>
        <vertAlign val="superscript"/>
        <sz val="12"/>
        <rFont val="Calibri"/>
        <family val="2"/>
        <scheme val="minor"/>
      </rPr>
      <t>[1]</t>
    </r>
  </si>
  <si>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</si>
  <si>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</si>
  <si>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</si>
  <si>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</si>
  <si>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</si>
  <si>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</si>
  <si>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</si>
  <si>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</si>
  <si>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</si>
  <si>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Adaptaciones</t>
  </si>
  <si>
    <t xml:space="preserve">(*) Planes de dos años, el ingreso debe ser un año antes; para Acupuntura y Fitoterapia no hubo nuevo ingreso en 2015 y Física Médica Clínica todavía no cumple dos años la primera generación
</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</si>
  <si>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</si>
  <si>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</si>
  <si>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</si>
  <si>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</si>
  <si>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</si>
  <si>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</si>
  <si>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</si>
  <si>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</si>
  <si>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No se cuenta</t>
  </si>
  <si>
    <t>PLANES DE ESTUDIO</t>
  </si>
  <si>
    <t xml:space="preserve">Ingeniería en Sistemas Mecatrónicos Industriales </t>
  </si>
  <si>
    <t>Educación y Tecnologías Digitales</t>
  </si>
  <si>
    <t>Ingeniería en Ciencia y Tecnología de Alimentos</t>
  </si>
  <si>
    <t>Maestría en Ciencias en Ing. Electromagnética</t>
  </si>
  <si>
    <t>Mtría en Ciencias Odontológicas</t>
  </si>
  <si>
    <t>DoC.</t>
  </si>
  <si>
    <t>S N I - 2018</t>
  </si>
  <si>
    <t>Unidad / División</t>
  </si>
  <si>
    <t>FUENTE: Base de Datos de Nómina, Quincena 18 de 2018.</t>
  </si>
  <si>
    <t>Total de presupuesto ejercido 2018 de otros gastos de operación, mantenimiento e inversión</t>
  </si>
  <si>
    <t>Presupuesto ejercido 2018</t>
  </si>
  <si>
    <r>
      <t>PRESUPUESTO AUTORIZADO TOTAL</t>
    </r>
    <r>
      <rPr>
        <b/>
        <sz val="11"/>
        <color rgb="FFFF0000"/>
        <rFont val="Calibri"/>
        <family val="2"/>
        <scheme val="minor"/>
      </rPr>
      <t xml:space="preserve"> 2018</t>
    </r>
  </si>
  <si>
    <t>Planes de Estudios</t>
  </si>
  <si>
    <t>División / Unidad</t>
  </si>
  <si>
    <t>Planes 2018</t>
  </si>
  <si>
    <t>No acreditados</t>
  </si>
  <si>
    <t>Evaluables</t>
  </si>
  <si>
    <t>No evaluables</t>
  </si>
  <si>
    <t>UNIDAD AZCAPOTZALCO 2018</t>
  </si>
  <si>
    <t>ORGANISMO ACREDITADOR</t>
  </si>
  <si>
    <t>Prorroga</t>
  </si>
  <si>
    <t>CACECA</t>
  </si>
  <si>
    <r>
      <rPr>
        <b/>
        <sz val="8"/>
        <rFont val="Calibri"/>
        <family val="2"/>
        <scheme val="minor"/>
      </rPr>
      <t>FUENTE:</t>
    </r>
    <r>
      <rPr>
        <sz val="8"/>
        <rFont val="Calibri"/>
        <family val="2"/>
        <scheme val="minor"/>
      </rPr>
      <t xml:space="preserve"> Consejo para la Acreditación de la Educación Superior (COPAES)</t>
    </r>
  </si>
  <si>
    <t>CACECA: Consejo de Acreditación de la Enseñanza en Contaduría y Administración, A.C.</t>
  </si>
  <si>
    <t>UNIDAD CUAJIMALPA 2018</t>
  </si>
  <si>
    <t>Nueva</t>
  </si>
  <si>
    <t>6 diciembre,2022</t>
  </si>
  <si>
    <t>UNIDAD IZTAPALAPA 2018</t>
  </si>
  <si>
    <t>CAPEM</t>
  </si>
  <si>
    <t>CONAECQ</t>
  </si>
  <si>
    <t>Ciencias Biológicas y de la Salud
(CBS)</t>
  </si>
  <si>
    <r>
      <t xml:space="preserve">CONAECQ: </t>
    </r>
    <r>
      <rPr>
        <sz val="8"/>
        <color theme="1"/>
        <rFont val="Calibri"/>
        <family val="2"/>
        <scheme val="minor"/>
      </rPr>
      <t>Consejo Nacional de la Enseñanza y del Ejercicio Profesional de las Ciencias Químicas, A.C.</t>
    </r>
  </si>
  <si>
    <t>CAPEM: Consejo de Acreditación de Programas Educativos en Matemáticas A.C.</t>
  </si>
  <si>
    <t>UNIDAD LERMA 2018</t>
  </si>
  <si>
    <r>
      <t xml:space="preserve">OBSERVACIONES
</t>
    </r>
    <r>
      <rPr>
        <sz val="11"/>
        <rFont val="Calibri"/>
        <family val="2"/>
        <scheme val="minor"/>
      </rPr>
      <t>(Fecha de creación)</t>
    </r>
  </si>
  <si>
    <t>Nov 2018 - Dic 2021</t>
  </si>
  <si>
    <t>Nivel 1</t>
  </si>
  <si>
    <t>Ingeniería en Sistemas Mecatrónicos Industriales</t>
  </si>
  <si>
    <t>Ciencia y Tecnología de Alimentos</t>
  </si>
  <si>
    <t>UNIDAD XOCHIMILCO 2018</t>
  </si>
  <si>
    <t>CNEIP</t>
  </si>
  <si>
    <t>COMEAA</t>
  </si>
  <si>
    <t>Ciencias y Artes para el Diseño
(CAD)</t>
  </si>
  <si>
    <t>CNEIP: Consejo Nacional para la Enseñanza e Investigación en Psicología, A.C.</t>
  </si>
  <si>
    <t>COMEAA: Comité Mexicano de Acreditación de la Educación Agronómica, A. C.</t>
  </si>
  <si>
    <t>Planes de estudios por nivel</t>
  </si>
  <si>
    <t>Nivel en el PNPC 2018</t>
  </si>
  <si>
    <t>No incorporados</t>
  </si>
  <si>
    <t>CBI y CBS</t>
  </si>
  <si>
    <t>Interunidades</t>
  </si>
  <si>
    <t>En el PNPC</t>
  </si>
  <si>
    <r>
      <t xml:space="preserve">Posgrado en Ciencias e Ingeniería </t>
    </r>
    <r>
      <rPr>
        <i/>
        <sz val="9"/>
        <rFont val="Calibri"/>
        <family val="2"/>
        <scheme val="minor"/>
      </rPr>
      <t>(de Materiales)</t>
    </r>
  </si>
  <si>
    <r>
      <t xml:space="preserve">Posgrado en Ciencias e Ingeniería </t>
    </r>
    <r>
      <rPr>
        <i/>
        <sz val="9"/>
        <rFont val="Calibri"/>
        <family val="2"/>
        <scheme val="minor"/>
      </rPr>
      <t>(Ambientales)</t>
    </r>
  </si>
  <si>
    <t>Especiali-zación</t>
  </si>
  <si>
    <t>Posgrado en Diseño Bioclimatico</t>
  </si>
  <si>
    <r>
      <rPr>
        <b/>
        <sz val="9"/>
        <rFont val="Calibri"/>
        <family val="2"/>
        <scheme val="minor"/>
      </rPr>
      <t>FUENTE:</t>
    </r>
    <r>
      <rPr>
        <sz val="9"/>
        <rFont val="Calibri"/>
        <family val="2"/>
        <scheme val="minor"/>
      </rPr>
      <t xml:space="preserve"> Padrón del Programa Nacional de Posgrados de Calidad (PNPC) del CONACYT</t>
    </r>
  </si>
  <si>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Cuajimalpa</t>
    </r>
    <r>
      <rPr>
        <sz val="11"/>
        <rFont val="Calibri"/>
        <family val="2"/>
        <scheme val="minor"/>
      </rPr>
      <t xml:space="preserve"> y</t>
    </r>
    <r>
      <rPr>
        <sz val="11"/>
        <color rgb="FFF08200"/>
        <rFont val="Calibri"/>
        <family val="2"/>
        <scheme val="minor"/>
      </rPr>
      <t xml:space="preserve"> </t>
    </r>
    <r>
      <rPr>
        <sz val="11"/>
        <color rgb="FFAD25A8"/>
        <rFont val="Calibri"/>
        <family val="2"/>
        <scheme val="minor"/>
      </rPr>
      <t>Lerma</t>
    </r>
  </si>
  <si>
    <t>Maestría y Doctorado en Psicología Social</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</si>
  <si>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 xml:space="preserve">Cuajimalpa </t>
    </r>
    <r>
      <rPr>
        <sz val="11"/>
        <rFont val="Calibri"/>
        <family val="2"/>
        <scheme val="minor"/>
      </rPr>
      <t>y</t>
    </r>
    <r>
      <rPr>
        <sz val="11"/>
        <color rgb="FFF08200"/>
        <rFont val="Calibri"/>
        <family val="2"/>
        <scheme val="minor"/>
      </rPr>
      <t xml:space="preserve"> </t>
    </r>
    <r>
      <rPr>
        <sz val="11"/>
        <color rgb="FFAD25A8"/>
        <rFont val="Calibri"/>
        <family val="2"/>
        <scheme val="minor"/>
      </rPr>
      <t>Lerma</t>
    </r>
  </si>
  <si>
    <t>nuevo 18-I</t>
  </si>
  <si>
    <t>INTER-UNIDADES 2018</t>
  </si>
  <si>
    <t>Porcentaje 2018</t>
  </si>
  <si>
    <t>EMPLEO DE LOS EGRESADOS DE LICENCIATURA 2018</t>
  </si>
  <si>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 en ambos casos se empleó el software LimeSurvey.
Fuente: Sistema de Información de Estudiantes, Egresados y Empleadores (SIEEE).</t>
  </si>
  <si>
    <t>UNIVERSO DE ESTUDIO</t>
  </si>
  <si>
    <t>Cohorte</t>
  </si>
  <si>
    <t>* El estudio de la cohorte 2016 se encuentra en proceso de elaboración, el levantamiento de la información inició el 11 de octubre de 2018 y a la fecha se cuenta con 1860 encuestas aplicadas que representan el 80.4% de la muestra estimada.</t>
  </si>
  <si>
    <t>Clave</t>
  </si>
  <si>
    <t>EMPLEO DE LOS EGRESADOS DE POSGRADO 2018</t>
  </si>
  <si>
    <t>Fecha de corte de la base de datos: 07 de enero de 2019</t>
  </si>
  <si>
    <t>Universo</t>
  </si>
  <si>
    <t>Maestría y Doctorado en Ingeniería Estructural</t>
  </si>
  <si>
    <t>Maestría y Doctorado en Sociología</t>
  </si>
  <si>
    <t>Especialización, Maestría y Doctorado en Diseño</t>
  </si>
  <si>
    <t>Maestría en Desarrollo de Productos</t>
  </si>
  <si>
    <t>2016 a 2018</t>
  </si>
  <si>
    <t>A 447</t>
  </si>
  <si>
    <t>A 443</t>
  </si>
  <si>
    <t>A 451</t>
  </si>
  <si>
    <t>M 438.6</t>
  </si>
  <si>
    <t>A 449</t>
  </si>
  <si>
    <t>Licenciatura en Ingeniería en Sistemas Mecatrónicos Industriales</t>
  </si>
  <si>
    <t>Licenciatura en Ciencia y Tecnología de Alimentos</t>
  </si>
  <si>
    <t>Licenciatura en Educación y Tecnologías Digitales.</t>
  </si>
  <si>
    <t>C 442.11</t>
  </si>
  <si>
    <t>C 442.10</t>
  </si>
  <si>
    <t>C 404.7</t>
  </si>
  <si>
    <t>A 405</t>
  </si>
  <si>
    <t>2014 a 2018</t>
  </si>
  <si>
    <t>A 442</t>
  </si>
  <si>
    <t>Especialización en Economía y Gestión del Agua</t>
  </si>
  <si>
    <t>19-P</t>
  </si>
  <si>
    <t>C 443.6</t>
  </si>
  <si>
    <t>M 443.7</t>
  </si>
  <si>
    <t>Fuente: Semanario de la UAM, programación de cada evento, páginas WEB de cada Unidad, agenda cultural UAM</t>
  </si>
  <si>
    <t>Universidad Iberoamericana IBERO</t>
  </si>
  <si>
    <t>El Colegio de México, A.C.</t>
  </si>
  <si>
    <t>Clasificación por país: México,  QS Ranking Latin America 2019</t>
  </si>
  <si>
    <t>QS Ranking Mundial 2019, Clasificación por país: México.</t>
  </si>
  <si>
    <t>581-590</t>
  </si>
  <si>
    <t>701-750</t>
  </si>
  <si>
    <t>https://www.topuniversities.com/university-rankings/world-university-rankings/2019</t>
  </si>
  <si>
    <t>Instituto Tecnológico y de Estudios Superiores de Monterrey (ITESM)</t>
  </si>
  <si>
    <t>Benemérita Universidad Autónoma de Puebla (BUAP)</t>
  </si>
  <si>
    <t>Universidad ANAHUAC (UA)</t>
  </si>
  <si>
    <t>https://www.topuniversities.com/university-rankings/latin-american-university-rankings/2019?utm_source=tu_house_banners&amp;utm_medium=web_banner</t>
  </si>
  <si>
    <t>La UAM  en el Ranking Mundial de Universidades en la Web
(Universidades en  México)</t>
  </si>
  <si>
    <t xml:space="preserve">Centro de Investigación y de Estudios Avanzados </t>
  </si>
  <si>
    <t>JULIO DE 2018</t>
  </si>
  <si>
    <t>Indicador nuevo, incorporado en revisión 2015</t>
  </si>
  <si>
    <t>Número de horas persona en actividades destinadas
 a capacitación al año.</t>
  </si>
  <si>
    <t>Sria. y Rect.</t>
  </si>
  <si>
    <t>Unidad / División / Departamento</t>
  </si>
  <si>
    <t>Puntos Acumulados</t>
  </si>
  <si>
    <t>ENERO DE 2019</t>
  </si>
  <si>
    <t>Citas totales</t>
  </si>
  <si>
    <t>Número de artículos publicados</t>
  </si>
  <si>
    <t>TOTAL
2014-2018</t>
  </si>
  <si>
    <t>Fuente: Departamento de Biblioteca Digital - CGFAyV</t>
  </si>
  <si>
    <t>* Activos de Licenciatura y Posgrado + pnal. Académico y pnal. Admvo. (ind. 37)</t>
  </si>
  <si>
    <r>
      <t xml:space="preserve">Obligaciones de Transparencia art. 70 y 75 LGTAIP </t>
    </r>
    <r>
      <rPr>
        <i/>
        <sz val="9"/>
        <rFont val="Calibri"/>
        <family val="2"/>
        <scheme val="minor"/>
      </rPr>
      <t xml:space="preserve">(se agrego el rubro a partir de abril 2018 ) </t>
    </r>
  </si>
  <si>
    <t>C 394.8</t>
  </si>
  <si>
    <t>S 429.6</t>
  </si>
  <si>
    <t>402.M</t>
  </si>
  <si>
    <t>11</t>
  </si>
  <si>
    <t>"Caminando por la UAM"</t>
  </si>
  <si>
    <t>Olimpiada UAM</t>
  </si>
  <si>
    <t>Fútbol Rápido Mixto</t>
  </si>
  <si>
    <t>Fútbol 5</t>
  </si>
  <si>
    <t xml:space="preserve">Handball </t>
  </si>
  <si>
    <t xml:space="preserve"> Remo Bajo Techo</t>
  </si>
  <si>
    <t>Ludoteca</t>
  </si>
  <si>
    <r>
      <t xml:space="preserve">Nivel 1:  Al interior de las Unidades Académicas </t>
    </r>
    <r>
      <rPr>
        <b/>
        <sz val="14"/>
        <color rgb="FFCD032E"/>
        <rFont val="Calibri"/>
        <family val="2"/>
        <scheme val="minor"/>
      </rPr>
      <t>2018</t>
    </r>
  </si>
  <si>
    <r>
      <t xml:space="preserve">Nivel 2: Entre las Unidades académicas </t>
    </r>
    <r>
      <rPr>
        <b/>
        <sz val="14"/>
        <color rgb="FFCD032E"/>
        <rFont val="Calibri"/>
        <family val="2"/>
        <scheme val="minor"/>
      </rPr>
      <t>2018</t>
    </r>
  </si>
  <si>
    <t xml:space="preserve"> “Prospectiva del tronco general” en “La construcción del futuro en la formación de Diseñadores y Arquitectos en el TG de la División de CyAD UAM”. (BSVM)</t>
  </si>
  <si>
    <t>Bárcenas Sánchez Victor Miguel</t>
  </si>
  <si>
    <t>978-607-28-1219-2</t>
  </si>
  <si>
    <t>“De los Métodos y las Maneras III”</t>
  </si>
  <si>
    <t>Coordinación de Posgrado CyAD</t>
  </si>
  <si>
    <t>978-607-28-1325-0</t>
  </si>
  <si>
    <t xml:space="preserve">68-132 Revolución visual </t>
  </si>
  <si>
    <t xml:space="preserve">Arroyo Pedroza, Verónica; Ortiz Leroux, Jorge (coords.) </t>
  </si>
  <si>
    <t>UAM-A, 1a. ed., 2018</t>
  </si>
  <si>
    <t>978-607-28-1421-9</t>
  </si>
  <si>
    <t>Aproximaciones al eco diseño</t>
  </si>
  <si>
    <t xml:space="preserve"> Molina Mata, Sandra; García Parra, Brenda; Sahagún Angulo, Rubén et al. </t>
  </si>
  <si>
    <t>UAM-A, 1a. ed., 2017</t>
  </si>
  <si>
    <t>978-607-28-1130-0</t>
  </si>
  <si>
    <t>Arte, historia y cultura. Nuevas aproximaciones al conocimiento del paisaje</t>
  </si>
  <si>
    <t>Martínez Sánchez, Félix Alonso; Hinojosa de la Garza, Karla María; Alonso Navarrete, Armando (coords.)</t>
  </si>
  <si>
    <t xml:space="preserve">978-607-28-1203-1 </t>
  </si>
  <si>
    <t xml:space="preserve">BIM en la Construcción </t>
  </si>
  <si>
    <t>Dra. Aurora Poo</t>
  </si>
  <si>
    <t>978-607-28-1-315-1</t>
  </si>
  <si>
    <t>Varios</t>
  </si>
  <si>
    <t>978-607-29-1-305-2</t>
  </si>
  <si>
    <t xml:space="preserve">BIM EN LA UNIVERSIDAD.  </t>
  </si>
  <si>
    <t>978-607-28-1-316-8</t>
  </si>
  <si>
    <t>De los Métodos y las Maneras I y II</t>
  </si>
  <si>
    <t>978-607-28-1322-9</t>
  </si>
  <si>
    <t xml:space="preserve">Diversidad metropolitana. Arte, ciudad y posmetrópolis. Artistas de la UAM Azcapotzalco en Cartagena de Indias y La Habana </t>
  </si>
  <si>
    <t xml:space="preserve">Rabadán Villalpando, María Eugenia; Herrera Ysla, Nelson; Redondo Gómez, Maruja; Ortiz Leroux, Jorge; Zapata, Olar (coords.) </t>
  </si>
  <si>
    <t>UAM-A, 1a. ed., 2018,</t>
  </si>
  <si>
    <t>978-607-28-1157-7</t>
  </si>
  <si>
    <t>El Espacio público en la trasformación de la ciudad</t>
  </si>
  <si>
    <t>Espinosa Dorantes, Elizabeth (ed.)</t>
  </si>
  <si>
    <t xml:space="preserve">978-607-28-1396-0 </t>
  </si>
  <si>
    <t>Investigación en Diseño: Su Realidad y Objeto de Estudio</t>
  </si>
  <si>
    <t>Dr. Miguel Herrera Batista</t>
  </si>
  <si>
    <t>978-607-28-1427-1</t>
  </si>
  <si>
    <t>La Ciudad narrada. Imagen y relato</t>
  </si>
  <si>
    <t xml:space="preserve"> Amoroso Boelcke, Nicolás </t>
  </si>
  <si>
    <t>La Construcción del futuro en la formación de diseñadores y arquitectos en el TG de la División de Ciencias y Artes para el Diseño UAM-A</t>
  </si>
  <si>
    <t xml:space="preserve"> Vargas Serrano, María Cristina; Ramos Watanave, Eduardo (eds.) </t>
  </si>
  <si>
    <t xml:space="preserve">Mathías Goeritz. Educación visual y obra </t>
  </si>
  <si>
    <t>Díaz Arellano, Guillermo; Espinosa Dorantes, Elizabeth</t>
  </si>
  <si>
    <t xml:space="preserve"> UAM-A, 1a. ed., 2017</t>
  </si>
  <si>
    <t>978-607-28-1151-5</t>
  </si>
  <si>
    <t>Comunicaciones digitales</t>
  </si>
  <si>
    <t>Reyes Ayala, Mario</t>
  </si>
  <si>
    <t xml:space="preserve">978-607-28-1240-6 </t>
  </si>
  <si>
    <t>Ecuaciones diferenciales en ingeniería</t>
  </si>
  <si>
    <t>Francisco Ramón Salazar Velasco</t>
  </si>
  <si>
    <t>978-607-28-1468-4</t>
  </si>
  <si>
    <t>Ecuaciones diferenciales. Técnicas de solución y aplicaciones</t>
  </si>
  <si>
    <t>Elizarraraz Martínez, David; Espinosa Becerril, José Ventura</t>
  </si>
  <si>
    <t>978-607-28-1273-4</t>
  </si>
  <si>
    <t>Elementos de termodinámica</t>
  </si>
  <si>
    <t>García Cruz, Luz María; Luna García, Héctor Martín; Navarrete González, Tomás David; Rocha Martínez, José Ángel</t>
  </si>
  <si>
    <t>Grañén Porrúa</t>
  </si>
  <si>
    <t xml:space="preserve">978-607-28-1412-7 </t>
  </si>
  <si>
    <t>Fundamentos de química. Desde una perspectiva de átomos, moléculas hasta reacciones químicas</t>
  </si>
  <si>
    <t xml:space="preserve">Alicia Cid Reborido, Isidoro García Cruz, Sandra Loera Serna, María Luisa Lozano Camargo, Diego Valencia. </t>
  </si>
  <si>
    <t>TESOEM
Instituto Tecnológico del Oriente del Estado de México</t>
  </si>
  <si>
    <t>978-607-28-1548-3</t>
  </si>
  <si>
    <t>Manual de laboratorio de reacciones químicas</t>
  </si>
  <si>
    <t xml:space="preserve">Ángeles Beltrán, Deyanira; Cid Reborido, Alicia; García Albortante, Julisa et al. </t>
  </si>
  <si>
    <t>UAM-A, 2a. ed., 2018</t>
  </si>
  <si>
    <t>Jiménez Rabiela, Homero</t>
  </si>
  <si>
    <t xml:space="preserve">978-607-28-1232-1 </t>
  </si>
  <si>
    <t>Notas de apoyo. Curso de confiabilidad estructural</t>
  </si>
  <si>
    <t xml:space="preserve">Gómez Soberón, María de la Consolación </t>
  </si>
  <si>
    <t xml:space="preserve">978-607-28-1261-1 </t>
  </si>
  <si>
    <t>Números complejos</t>
  </si>
  <si>
    <t>Esquivel, Jorge Alfredo; Ortiz, Alejandro; Grabinsky, Jaime et al.</t>
  </si>
  <si>
    <t>UAM-X, 1a. ed., 2018</t>
  </si>
  <si>
    <t xml:space="preserve">978-607-28-1126-3 </t>
  </si>
  <si>
    <t xml:space="preserve">Prácticas de laboratorio de combustión </t>
  </si>
  <si>
    <t>Dávila Gómez, José Ángel; Delgado Núñez, María de Lourdes; Quintana Díaz, María Berenice Guadalupe</t>
  </si>
  <si>
    <t xml:space="preserve"> UAM-A, 1a. ed., 2018</t>
  </si>
  <si>
    <t>978-607-28-1392-2</t>
  </si>
  <si>
    <t>Solución de problemas de termodinámica. 
Segunda edición.</t>
  </si>
  <si>
    <t>Luz Ma. García Cruz
Héctor Martín Luna García
Tomás David Navarrete González
José Ángel Rocha Martínez</t>
  </si>
  <si>
    <t>978-607-28-1539-1</t>
  </si>
  <si>
    <t>Benito Juárez. Documentos discursos y correspondencia</t>
  </si>
  <si>
    <t>Cuauhtémoc Hernández</t>
  </si>
  <si>
    <t>No requiere ISBN</t>
  </si>
  <si>
    <t>Celestina montó a La Bestia</t>
  </si>
  <si>
    <t>Ociel Flores</t>
  </si>
  <si>
    <t>978-607-28-1500-1</t>
  </si>
  <si>
    <t xml:space="preserve">El silencio de los muelles </t>
  </si>
  <si>
    <t>Miguel Ángel Flores</t>
  </si>
  <si>
    <t>978-607-28-1256-1</t>
  </si>
  <si>
    <t>La espuma en la arena</t>
  </si>
  <si>
    <t>Francis Mestries</t>
  </si>
  <si>
    <t>978-607-28-1498-1</t>
  </si>
  <si>
    <t>Meditación: bajo la noche de las cuatro lunas</t>
  </si>
  <si>
    <t>Jaime Velasco</t>
  </si>
  <si>
    <t>978-607-28-1499-8</t>
  </si>
  <si>
    <t>Sergio Pitol: autobiografía,vida y escritura</t>
  </si>
  <si>
    <t>Noemí Torres</t>
  </si>
  <si>
    <t>978-607-28-1519-3</t>
  </si>
  <si>
    <t>Teócrito: Poemas de amor, desamor y otros mitos</t>
  </si>
  <si>
    <t>Felipe Sánchez R.</t>
  </si>
  <si>
    <t>978-607-28-1516-2</t>
  </si>
  <si>
    <t>Ventanas a lo inesperado. Imagen literaria y fotográfica en Julio Cortázar</t>
  </si>
  <si>
    <t>Marisol Luna</t>
  </si>
  <si>
    <t>978-607-28-1551-3</t>
  </si>
  <si>
    <t xml:space="preserve">Micheli Thirión, Jordy; Carrillo, Jorge; Bensusán, Graciela (coords.) </t>
  </si>
  <si>
    <t>Biblioteca de Ciencias Sociales y Humanidades.
Colección Economía. Serie Estudios</t>
  </si>
  <si>
    <t>Administración de riesgos. Volumen VII. Mercados, modelos y estrategias financieras</t>
  </si>
  <si>
    <t>Marissa del Rosario Martínez Preece</t>
  </si>
  <si>
    <t>978-607-28-1507-0</t>
  </si>
  <si>
    <t>Cartas de amor</t>
  </si>
  <si>
    <t>Cecilia Colon Hernández</t>
  </si>
  <si>
    <t>978-607-477-114-5</t>
  </si>
  <si>
    <t>Convergencias y divergencias. La modernidad mexicana en perspectiva histórico-comparativa</t>
  </si>
  <si>
    <t xml:space="preserve">San Pedro-López, Patricia (coord.) </t>
  </si>
  <si>
    <t>Biblioteca de Ciencias Sociales y Humanidades.
Colección Sociología. Serie Estudios</t>
  </si>
  <si>
    <t xml:space="preserve">978-607-28-1118-8 </t>
  </si>
  <si>
    <t>Diccionario de protocolo, ceremonial y diplomacia</t>
  </si>
  <si>
    <t>Pedro Gabriel Labariega Villegas</t>
  </si>
  <si>
    <t>978-607-28-1497-4</t>
  </si>
  <si>
    <t>Diferentes miradas en la organización</t>
  </si>
  <si>
    <t>Espinosa Infante, Elvia (coord.)</t>
  </si>
  <si>
    <t>978-607-28-1256-7</t>
  </si>
  <si>
    <t>Dimesión religiosa de los conflictos  políticos</t>
  </si>
  <si>
    <t>Valentina Torres Septien/Yves Bernardo Roger Solis (Coordinadores)</t>
  </si>
  <si>
    <t>978-607-28-1496-7</t>
  </si>
  <si>
    <t>El beso de la discordia. La V visita de Juan Pablo II a México. Iglesia católica y prensa de opinión. Clericalismo, anticlericalismo, secularización y laicidad en la transición</t>
  </si>
  <si>
    <t>Nora Pérez Rayón</t>
  </si>
  <si>
    <t>978-607-28-1361-8</t>
  </si>
  <si>
    <t>El comercio internacional de servicios. Su importancia en el comercio internacional y su impacto en los países en desarrollo: El caso de América Latina</t>
  </si>
  <si>
    <t>Vidal Isaac Ibarra Puig (Compilador)</t>
  </si>
  <si>
    <t>978-607-28-1518-6</t>
  </si>
  <si>
    <t xml:space="preserve">El Derecho del trabajo. Un análisis crítico </t>
  </si>
  <si>
    <t>Lóyzaga de la Cueva, Octavio Biblioteca de Ciencias Sociales y Humanidades. Colección Derecho. Serie Estudios</t>
  </si>
  <si>
    <t>El Mundo rural y la cuestión indígena en el México contemporáneo</t>
  </si>
  <si>
    <t>Ochoa, Karina; Mercado Mondragón, Jorge (coords.)</t>
  </si>
  <si>
    <t xml:space="preserve">978-607-28-1254-3 </t>
  </si>
  <si>
    <t>El qué y el cómo de la prescripción positiva o usucapión</t>
  </si>
  <si>
    <t xml:space="preserve"> Zúñiga Alegría, José Guadalupe</t>
  </si>
  <si>
    <t>978-607-28-1404-2</t>
  </si>
  <si>
    <t>El Refugio</t>
  </si>
  <si>
    <t>Poireth, David</t>
  </si>
  <si>
    <t>Lumía. Serie Narrativa
Textofilia Ediciones</t>
  </si>
  <si>
    <t xml:space="preserve">978-607-8409-51-8 </t>
  </si>
  <si>
    <t>Elegebeteando. Voces del tercer milenio</t>
  </si>
  <si>
    <t>Marquet, Antonio</t>
  </si>
  <si>
    <t>Biblioteca de Ciencias Sociales y Humanidades.
Colección Humanidades. Serie Estudios</t>
  </si>
  <si>
    <t xml:space="preserve">978-607-28-1251-2 </t>
  </si>
  <si>
    <t>Epistemología histórica e historiografía</t>
  </si>
  <si>
    <t>Durán R. A., Norma (coord.)</t>
  </si>
  <si>
    <t xml:space="preserve">978-607-28-1252-9 </t>
  </si>
  <si>
    <t>Epistemologías y metodologías: un acercamiento crítico a la administración y a los estudios organizacionales</t>
  </si>
  <si>
    <t>Carlos Juan Núñez Rodríguez y María Teresa Magallón Diez (Coordinadores)</t>
  </si>
  <si>
    <t>978-607-28-1550-6</t>
  </si>
  <si>
    <t>Estudios culturales. Voces, representaciones y discursos</t>
  </si>
  <si>
    <t xml:space="preserve">978-607-28-1117-1 </t>
  </si>
  <si>
    <t>Familia e identidad nacional en la novelística juvenil temprana de Louisa May Alcott</t>
  </si>
  <si>
    <t xml:space="preserve"> Sánchez Valencia, Alejandra</t>
  </si>
  <si>
    <t xml:space="preserve"> Biblioteca de Ciencias Sociales y Humanidades.
Colección Humanidades. Serie Estudios</t>
  </si>
  <si>
    <t>Introducción dialógica al Derecho. Diálogo a la manera platónica entre Kelsen, Marx y Habermas</t>
  </si>
  <si>
    <t>Arturo Berumen Campos</t>
  </si>
  <si>
    <t>978-607-28-1465-3</t>
  </si>
  <si>
    <t>La Constitución de 1917 y el desarrollo económico en México a 100 años de su vigencia</t>
  </si>
  <si>
    <t>Vidal Isaac Ibarra Puig (compilador)</t>
  </si>
  <si>
    <t>978-607-28-1520-9</t>
  </si>
  <si>
    <t xml:space="preserve">La Discriminación de precios y otras estrategias para capturar valor. Una interpretación económica </t>
  </si>
  <si>
    <t xml:space="preserve">Castillo Soto, Manuel; Juárez, Gloria de la Luz </t>
  </si>
  <si>
    <t>978-607-28-1330-4</t>
  </si>
  <si>
    <t>La insuficiencia de  la ley para la solución de problemáticas jurídicas complejas en nuestro país. Ocho estudios de caso o el digesto Metropolitano</t>
  </si>
  <si>
    <t>Antonio Salcedo</t>
  </si>
  <si>
    <t>978-607-28-1517-9</t>
  </si>
  <si>
    <t>La Persona humana y el Estado totalitario</t>
  </si>
  <si>
    <t>Caso, Antonio Hernández Prado, José (introd.)</t>
  </si>
  <si>
    <t xml:space="preserve">978-607-28-0746-4 </t>
  </si>
  <si>
    <t>Lecturas culturales de lo social</t>
  </si>
  <si>
    <t>Armando Cisneros Sosa</t>
  </si>
  <si>
    <t>978-607-28-1511-7</t>
  </si>
  <si>
    <t>Los otros y nuestros monstruos: Acercamiento a la literatura fantástica</t>
  </si>
  <si>
    <t>Cecilia Cólon Hernández y Ociel Flores Flores (Coordinadores)</t>
  </si>
  <si>
    <t>978-607-28-1433-2</t>
  </si>
  <si>
    <t xml:space="preserve">Nuevo derecho energético mexicano </t>
  </si>
  <si>
    <t>González, José Juan</t>
  </si>
  <si>
    <t xml:space="preserve"> Biblioteca de Ciencias Sociales y Humanidades.
Colección Derecho. Serie Estudios</t>
  </si>
  <si>
    <t>Nuevos enfoques en el análisis de la economía mundial</t>
  </si>
  <si>
    <t xml:space="preserve"> Buzo de la Peña, Ricardo Marcos; Cuevas Ahumada, Víctor Manuel; Guzmán Plata, María de la Paz (coords.) </t>
  </si>
  <si>
    <t>978-607-28-1121-8</t>
  </si>
  <si>
    <t>Vidal de la Rosa, Godofredo (coord.)</t>
  </si>
  <si>
    <t xml:space="preserve">978-607-28-1122-5 </t>
  </si>
  <si>
    <t>Reinvenciones del individuo. Críticas sociológicas y filosóficas</t>
  </si>
  <si>
    <t>Trujano Ruiz, María Magdalena</t>
  </si>
  <si>
    <t xml:space="preserve">978-607-28-1329-8 </t>
  </si>
  <si>
    <t xml:space="preserve">González Villareal, Roberto; Olivier, Guadalupe (coords.) </t>
  </si>
  <si>
    <t xml:space="preserve">978-607-28-1133-1 </t>
  </si>
  <si>
    <t>Subjetividad, un acercamiento desde la gestión y la organización</t>
  </si>
  <si>
    <t>Núñez Rodríguez, Carlos Juan; Magallón Diez, María Teresa (coords.)</t>
  </si>
  <si>
    <t>978-607-28-1253-6</t>
  </si>
  <si>
    <t xml:space="preserve">Teoría general de la prueba o las pruebas en el derecho proceso civil. Generalidades </t>
  </si>
  <si>
    <t xml:space="preserve">Estrada González, Martha Erendira; Mendoza Martínez, Gilberto; Morales Colín, Enrique </t>
  </si>
  <si>
    <t>978-607-28-1255-0</t>
  </si>
  <si>
    <t>Teoría general del proceso agrario. Teoría y práctica</t>
  </si>
  <si>
    <t xml:space="preserve">Estrada González, Martha Eréndira </t>
  </si>
  <si>
    <t>978-607-28-1120-1</t>
  </si>
  <si>
    <t xml:space="preserve">Tratado de derecho ambiental mexicano. La responsabilidad por el daño ambiental </t>
  </si>
  <si>
    <t>978-607-28-1245-1</t>
  </si>
  <si>
    <t xml:space="preserve">Tratado de derecho ambiental mexicano. Las instituciones fundamentales de derecho ambiental </t>
  </si>
  <si>
    <t xml:space="preserve">González, José Juan </t>
  </si>
  <si>
    <t>Biblioteca de Ciencias Sociales y Humanidades.
Colección Derecho. Serie Estudios</t>
  </si>
  <si>
    <t>978-607-28-1258-1</t>
  </si>
  <si>
    <t xml:space="preserve">Tratado de derecho ambiental mexicano. Propiedad, aprovechamiento sustentable y protección de los recursos naturales </t>
  </si>
  <si>
    <t>978-607-28-1254-4</t>
  </si>
  <si>
    <t xml:space="preserve">Variaciones sobre cine etnográfico. Entre la documentación antropológica y la experimentación estética </t>
  </si>
  <si>
    <t>Dorotinsky Alperstein, Deborah; Levin Rojo, Danna; Vázquez Mantecón, Álvaro; Zirión Pérez, Antonio (coords.)</t>
  </si>
  <si>
    <t>978-607-28-1027-3</t>
  </si>
  <si>
    <t>La Gran familia</t>
  </si>
  <si>
    <t xml:space="preserve"> Lomnitz, Claudio; Lomnitz, Alberto; Soqui, Leonardo </t>
  </si>
  <si>
    <t>UAM-C, 1a. ed., 2018</t>
  </si>
  <si>
    <t>978-607-28-1410-3</t>
  </si>
  <si>
    <t>Artes Escénicas</t>
  </si>
  <si>
    <t>Affordance y diseño</t>
  </si>
  <si>
    <t xml:space="preserve"> Caballero, Aarón; Mercado, Octavio (comps.) </t>
  </si>
  <si>
    <t>978-607-28-1431-8</t>
  </si>
  <si>
    <t xml:space="preserve">Entre filosofía y literatura en torno a Henry James </t>
  </si>
  <si>
    <t xml:space="preserve">Peláez, Álvaro; Yébenes, Zenia (coords.) </t>
  </si>
  <si>
    <t>Humanidades
UAM-C, 1a. ed., 2018</t>
  </si>
  <si>
    <t>978-607-28-1276-5</t>
  </si>
  <si>
    <t xml:space="preserve">Los Rostros de la razón: Immanuel Kant desde Hispanoamérica. Volumen I Filosofía Teórica </t>
  </si>
  <si>
    <t xml:space="preserve">Leyva, Gustavo; Peláez, Álvaro; Stepanenko, Pedro (eds.) </t>
  </si>
  <si>
    <t>Autores, Textos y Temas Filosofía (102)
Anthropos Editorial</t>
  </si>
  <si>
    <t>978-607-28-1349-6</t>
  </si>
  <si>
    <t>Los Rostros de la razón: Immanuel Kant desde Hispanoamérica. Volumen II Filosofía moral, política y del derecho</t>
  </si>
  <si>
    <t>978-607-28-1350-2</t>
  </si>
  <si>
    <t>Los Rostros de la razón: Immanuel Kant desde Hispanoamérica. Volumen III Filosofía de la religión, de la historia y crítica de la facultad de juzgar: estética y teleología</t>
  </si>
  <si>
    <t>978-607-28-1351-9</t>
  </si>
  <si>
    <t>Las variedades de la referencia</t>
  </si>
  <si>
    <t>Evans, Gareth</t>
  </si>
  <si>
    <t xml:space="preserve"> Ciencias Humanas
Universidad del Rosario</t>
  </si>
  <si>
    <t>978-607-28-1225-3</t>
  </si>
  <si>
    <t xml:space="preserve">Migración 2.0 </t>
  </si>
  <si>
    <t>Mata Rosas, Francisco (comp.)</t>
  </si>
  <si>
    <t xml:space="preserve"> UAM-C, 1a. ed., 2017</t>
  </si>
  <si>
    <t xml:space="preserve">Ser mujer en Latinoamérica </t>
  </si>
  <si>
    <t xml:space="preserve">Mata Rosas, Francisco (comp.) </t>
  </si>
  <si>
    <t>978-607-28-1450-9</t>
  </si>
  <si>
    <t>Piedra, papel y tijera: instrumentos en las ciencias en México</t>
  </si>
  <si>
    <t>Achim, Miruna; Cházaro, Laura; Valverde, Nuria (eds.)</t>
  </si>
  <si>
    <t xml:space="preserve">978-607-28-1420-2 </t>
  </si>
  <si>
    <t>Modernización y espacio Imaginarios, ordenamiento y prácticas</t>
  </si>
  <si>
    <t>Adonon Viveros, Akuavi; Carballido Coria, Laura; Galindo Monteagudo, Jorge; Vázquez Vela, Fernanda (coords.)</t>
  </si>
  <si>
    <t xml:space="preserve">978-607-28-1452-3 </t>
  </si>
  <si>
    <t>Compendio de derecho romano</t>
  </si>
  <si>
    <t>Moranchel Pocaterra, Mariana</t>
  </si>
  <si>
    <t>Libros de Texto de la UAM, Unidad Cuajimalpa
UAM-C, 1a. ed., 2018</t>
  </si>
  <si>
    <t xml:space="preserve">Memorias del poniente. Volumen I. Historias de sus pueblos, barrios y colonias </t>
  </si>
  <si>
    <t>Barbosa Cruz, Mario; Omaña Mendoza, Enrique Ehécatl (coords.)</t>
  </si>
  <si>
    <t>UAM-C, 1a. ed., 2015</t>
  </si>
  <si>
    <t>978-607-28-0620-7</t>
  </si>
  <si>
    <t xml:space="preserve">Memorias del poniente. Volumen II. Historias de sus pueblos, barrios y colonias </t>
  </si>
  <si>
    <t>UAM-C, 1a. ed., 2016</t>
  </si>
  <si>
    <t>978-607-28-0956-7</t>
  </si>
  <si>
    <t xml:space="preserve">Memorias del poniente. Volumen III. Historias de sus pueblos, barrios y colonias </t>
  </si>
  <si>
    <t>Barbosa Cruz, Mario; Omaña Mendoza, Enrique Ehécatl; Balladares Gómez, Elizabeth (coords.)</t>
  </si>
  <si>
    <t>978-607-28-1268-0</t>
  </si>
  <si>
    <t>Poemas mexicanos sobre el libro y otros versos de lo impreso Antología</t>
  </si>
  <si>
    <t>978-607-28-1436-3</t>
  </si>
  <si>
    <t>La Argumentación</t>
  </si>
  <si>
    <t xml:space="preserve">Iacona, Andrea </t>
  </si>
  <si>
    <t>978-607-28-1226-0</t>
  </si>
  <si>
    <t xml:space="preserve">Por sentirme valiente comencé a robar </t>
  </si>
  <si>
    <t xml:space="preserve">Laura Talina Hernández Baca </t>
  </si>
  <si>
    <t>978-607-28-1393-9</t>
  </si>
  <si>
    <t>De leyes y capitalismo en la larga duración</t>
  </si>
  <si>
    <t>Rodrigo R. Gómez G.</t>
  </si>
  <si>
    <t>978-607-28-1359-5</t>
  </si>
  <si>
    <t>Rodar y cuestionar a la ciudad</t>
  </si>
  <si>
    <t>Gabriel Toletino Tapia</t>
  </si>
  <si>
    <t>978-607-28-1376-2</t>
  </si>
  <si>
    <t xml:space="preserve">Ilustraciones de la acción pública en el México contemporáneo. Estudios de caso para la docencia </t>
  </si>
  <si>
    <t xml:space="preserve">Arellano, David y Alejandro Vega </t>
  </si>
  <si>
    <t xml:space="preserve">En trámite </t>
  </si>
  <si>
    <t>Etica y valores II</t>
  </si>
  <si>
    <t>Gómez Gallardo, Perla</t>
  </si>
  <si>
    <t>IURE</t>
  </si>
  <si>
    <t>978-607-61-6024-4</t>
  </si>
  <si>
    <t>Eduard Seler Inventario de las colecciones arqueológicas del Museo Nacional, 1907</t>
  </si>
  <si>
    <t>Achim Anca Miruna</t>
  </si>
  <si>
    <t>INAH</t>
  </si>
  <si>
    <t>978-607-539-106-9</t>
  </si>
  <si>
    <t>La paz, un largo proceso. Relato autobiográfico de Alberto Rojas Puyo</t>
  </si>
  <si>
    <t>Barbosa Cruz Roger Mario (ed.)</t>
  </si>
  <si>
    <t>Universidad del Rosario/Siglo del Hombre Editores</t>
  </si>
  <si>
    <t>978-958-665-484-5</t>
  </si>
  <si>
    <t>Cartografías Críticas. Vol. I</t>
  </si>
  <si>
    <t>Diéguez Caballero Ileana (comp.)</t>
  </si>
  <si>
    <t>Ediciones Karpa</t>
  </si>
  <si>
    <t xml:space="preserve"> 978-173-20-4721-4</t>
  </si>
  <si>
    <t>Cartografías Críticas. Vol. II</t>
  </si>
  <si>
    <t>978-1-7320472-1-1</t>
  </si>
  <si>
    <t>Desmontagens: Processos de pesquisa e criaçao nas artes da cena</t>
  </si>
  <si>
    <t>Diéguez Caballero Ileana y Leal Mara</t>
  </si>
  <si>
    <t>7 Letras</t>
  </si>
  <si>
    <t>978-8542106992</t>
  </si>
  <si>
    <t>Introducción al pensamiento matemático y lógico: Materiales didácticos para estudiantes preuniversitarios y universitarios</t>
  </si>
  <si>
    <t>Fragio Gistau Alberto</t>
  </si>
  <si>
    <t>Colofón Ediciones Académicas</t>
  </si>
  <si>
    <t>978-607-8563-91-3</t>
  </si>
  <si>
    <t>Metaphorologie, Anthropologie, Phänomenologie. Neue Forschungen zum Nachlass Hans Blumenbergs</t>
  </si>
  <si>
    <t>Fragio Gistau Alberto, Philipi Martina, Velasco, Josefa Ros (eds.)</t>
  </si>
  <si>
    <t>Verlag Karl Alber</t>
  </si>
  <si>
    <t>978-3-495-49008-2</t>
  </si>
  <si>
    <t>El Futuro es nuestro. Historia de la izquierda en México</t>
  </si>
  <si>
    <t>Illades Aguiar Carlos</t>
  </si>
  <si>
    <t>Editorial Océano</t>
  </si>
  <si>
    <t>978-6075274768</t>
  </si>
  <si>
    <t>El marxismo en México. Una historia intelectual</t>
  </si>
  <si>
    <t>Taurus</t>
  </si>
  <si>
    <t>978-6073162579</t>
  </si>
  <si>
    <t>Pita Amor. La Undécima Musa</t>
  </si>
  <si>
    <t>Schuessler Miller Michael Karl (ed.)</t>
  </si>
  <si>
    <t>Aguilar</t>
  </si>
  <si>
    <t>978-6073164351</t>
  </si>
  <si>
    <t>México se escribe con J. Historia de la cultura gay. Edición corregida y aumentada</t>
  </si>
  <si>
    <t>Schuessler Miler Michael Karl y 
Capistrán Miguel (coords.)</t>
  </si>
  <si>
    <t>Debolsillo</t>
  </si>
  <si>
    <t>978-6073161312</t>
  </si>
  <si>
    <t>Emociones y Diseño</t>
  </si>
  <si>
    <t xml:space="preserve">Bedolla Pereda Deyanira  </t>
  </si>
  <si>
    <t>Designio</t>
  </si>
  <si>
    <t>978-9685852500</t>
  </si>
  <si>
    <t>La Evaluación de la Educación del Diseño en México</t>
  </si>
  <si>
    <t>Luis Antonio Rivera Díaz</t>
  </si>
  <si>
    <t>978-607-96927-2-8</t>
  </si>
  <si>
    <t>Mexica. 20 años - 20 historias</t>
  </si>
  <si>
    <t>Rafael Pérez y Pérez</t>
  </si>
  <si>
    <t>Counterpath Press</t>
  </si>
  <si>
    <t>978-1-93-399664-6</t>
  </si>
  <si>
    <t>Conocimiento del Medio. Segundo Grado. Secretaría de EducaciónPública</t>
  </si>
  <si>
    <t>Anaya Porras, G. C., Anaya Porras, M. G.,García Franco, A. López Valentín, D. M., Rodríguez Pineda, D. P. y Soria López,G. M</t>
  </si>
  <si>
    <t>Comisión Nacional de Libros de Texto Gratuitos</t>
  </si>
  <si>
    <t>9786076238639</t>
  </si>
  <si>
    <t xml:space="preserve"> Libro del Maestro. Conocimiento del Medio. Segundo Grado.Secretaría de Educación Pública</t>
  </si>
  <si>
    <t xml:space="preserve">Anaya Porras, G. C., Anaya Porras, M. G.,García Franco, A. López Valentín, D. M., Rodríguez Pineda, D. P. y Soria López,G. M. </t>
  </si>
  <si>
    <t>9786076238622</t>
  </si>
  <si>
    <t>Conocimiento del Medio. Primer Grado.Secretaría de Educación Pública</t>
  </si>
  <si>
    <t>9786076238585</t>
  </si>
  <si>
    <t>Libro del Maestro. Conocimiento del Medio. Primer Grado.Secretaría de Educación Pública</t>
  </si>
  <si>
    <t>9786076238554</t>
  </si>
  <si>
    <t>Del lacandón a la Selva Lacandona. La construcción de una región a través de sus representaciones y narrativas</t>
  </si>
  <si>
    <t>Villalobos Cavazos, Oswaldo</t>
  </si>
  <si>
    <t>La Pluralidad Cultural en México (37)
UNAM, INAH, El Colegio de México, CIESAS y Universidad Iberoamericana</t>
  </si>
  <si>
    <t>978-607-28-0917-8</t>
  </si>
  <si>
    <t>Deseografías. Una antropología del deseo</t>
  </si>
  <si>
    <t>Parrini, Rodrigo</t>
  </si>
  <si>
    <t>978-607-28-1272-7</t>
  </si>
  <si>
    <t>Guzmán, Adriana; Díaz Cruz, Rodrigo; Johnson, Anne W. (coords.)</t>
  </si>
  <si>
    <t>Biblioteca de Alteridades (39) inah y Juan Pablos Editor</t>
  </si>
  <si>
    <t>La Dimensión sensorial de la cultura. Diez contribuciones al estudio de los sentidos en México</t>
  </si>
  <si>
    <t>Domínguez, Ana Lidia M.; Zirión Pérez, Antonio (coords.)</t>
  </si>
  <si>
    <t>Enfoques Contemporáneos (2)
Ediciones del Lirio</t>
  </si>
  <si>
    <t>Familias, iglesias y estado laico. Enfoques antropológicos</t>
  </si>
  <si>
    <t xml:space="preserve"> Garma, Carlos; Ramírez, María del Rosario; Corpus, Ariel (coords.)</t>
  </si>
  <si>
    <t xml:space="preserve"> Enfoques Contemporáneos (3)
Ediciones del Lirio</t>
  </si>
  <si>
    <t>978-607-28-1375-5</t>
  </si>
  <si>
    <t xml:space="preserve">Mercaderes y príncipes </t>
  </si>
  <si>
    <t xml:space="preserve">Geertz, Clifford Melgar Palacios, Lucía (trad.) </t>
  </si>
  <si>
    <t>Clásicos Contemporáneos en Antropología (12) ciesas y Universidad Iberoamericana</t>
  </si>
  <si>
    <t xml:space="preserve">Nuevos escenarios urbanos. Políticas públicas y sentido de pertenencia en la ZMVM </t>
  </si>
  <si>
    <t xml:space="preserve">Aguayo Ayala, Adriana (coord.) </t>
  </si>
  <si>
    <t>Ciudades y Ciudadanías (4)
Ediciones del Lirio</t>
  </si>
  <si>
    <t xml:space="preserve">Renovación urbana, modos de habitar y desigualdad en la Ciudad de México </t>
  </si>
  <si>
    <t>Giglia, Angela (coord.)</t>
  </si>
  <si>
    <t xml:space="preserve"> Ciudades y Ciudadanías (3)
Juan Pablos Editor</t>
  </si>
  <si>
    <t>978-607-28-1106-5</t>
  </si>
  <si>
    <t xml:space="preserve">Bibliografía reciente de los mamíferos de México: 2000-2010 </t>
  </si>
  <si>
    <t xml:space="preserve">Ramírez-Pulido, José; González-Ruiz, Noé; Ameneyro, Gustavo et al. </t>
  </si>
  <si>
    <t>UAM-I, 1a. ed., 2017</t>
  </si>
  <si>
    <t>978-607-28-0953-6</t>
  </si>
  <si>
    <t xml:space="preserve">Sylvia Plath, la luz del genio silenciado. El cineasta en busca de la verdad de una vida </t>
  </si>
  <si>
    <t xml:space="preserve">Castro, Amanda </t>
  </si>
  <si>
    <t>Divulga (6)
Anthropos Editorial</t>
  </si>
  <si>
    <t>Comunicaciones</t>
  </si>
  <si>
    <t xml:space="preserve">Reestructuración productiva de la industria automotriz en el Estado de México, 1994-2016 </t>
  </si>
  <si>
    <t>Arciniega, Rosa Silvia</t>
  </si>
  <si>
    <t>Tirant Humanidades</t>
  </si>
  <si>
    <t xml:space="preserve">Los Estudiantes mexicanos ante las reformas universitarias. Un estudio comparado </t>
  </si>
  <si>
    <t xml:space="preserve">Rodríguez Lagunas, Javier; Hernández Vázquez, Juan Manuel (coords.) </t>
  </si>
  <si>
    <t>978-607-28-1185-0</t>
  </si>
  <si>
    <t xml:space="preserve">Tepic literario Revista mensual de literatura, variedades y anuncios (1907) </t>
  </si>
  <si>
    <t xml:space="preserve">Gutiérrez Müeller, Beatriz (ed.) </t>
  </si>
  <si>
    <t>Maderistas
BUAP, UDG y Ediciones del Lirio</t>
  </si>
  <si>
    <t>978-607-8569-42-7</t>
  </si>
  <si>
    <t xml:space="preserve">Defensa de la vida individual Los studia humanitatis como tradición filosófica </t>
  </si>
  <si>
    <t>Grassi, Ernesto Navarro Pérez, Jorge (trad.)</t>
  </si>
  <si>
    <t xml:space="preserve"> Autores, Textos y Temas Humanismo (21)
Anthropos Editorial</t>
  </si>
  <si>
    <t xml:space="preserve">Objetivismo, realismo y psicologismo en la filosofía y las ciencias </t>
  </si>
  <si>
    <t xml:space="preserve">Ávila, Alfonso; García, Jonatan; Segura, Luis Felipe (eds.) </t>
  </si>
  <si>
    <t>Pensamiento Crítico / Pensamiento Utópico (226)
Anthropos Editorial</t>
  </si>
  <si>
    <t xml:space="preserve">Pérez Cortés, Sergio </t>
  </si>
  <si>
    <t>Autores, Textos y Temas Filosofía (100)
Anthropos Editorial</t>
  </si>
  <si>
    <t xml:space="preserve">El Paisaje, Reflexiones y métodos de análisis </t>
  </si>
  <si>
    <t xml:space="preserve">Checa-Artasu, Martín M.; Sunyer Martín, Pere (coords.) </t>
  </si>
  <si>
    <t>978-607-28-1169-0</t>
  </si>
  <si>
    <t>Geografía</t>
  </si>
  <si>
    <t xml:space="preserve">Velázquez Delgado, Jorge </t>
  </si>
  <si>
    <t>Biblioteca de Signos (79)</t>
  </si>
  <si>
    <t xml:space="preserve">978-607-28-1168-3 </t>
  </si>
  <si>
    <t>Iglesia, historiografía e instituciones. Homenaje a Brian Connaughton</t>
  </si>
  <si>
    <t xml:space="preserve">Castillo Palma, Norma Angélica; Ortiz, Juan Pablo; Uhthoff López, Luz María </t>
  </si>
  <si>
    <t>UAM-I, 1a. ed., 2018</t>
  </si>
  <si>
    <t xml:space="preserve">978-607-28-1453-0 </t>
  </si>
  <si>
    <t>Manuel Sandoval Vallarta en su época Relaciones sociales y culturales, influencias científicas y políticas</t>
  </si>
  <si>
    <t>Lazarín Miranda, Federico; García Gutiérrez, Blanca Estela; Ortega, Martha (coords.)</t>
  </si>
  <si>
    <t>Biblioteca de Signos (77)
UAM-I, 1a. ed., 2017</t>
  </si>
  <si>
    <t>Memoria colectiva en América Latina</t>
  </si>
  <si>
    <t>González Navarro, Manuel; Mendoza García, Jorge (coords.)</t>
  </si>
  <si>
    <t xml:space="preserve">978-607-28-1127-0 </t>
  </si>
  <si>
    <t>Sociedades Americanas en 1828, Simón Rodríguez. El proyecto editorial con las cinco ediciones facsimilares que constituyen el corpus de la obra clásica</t>
  </si>
  <si>
    <t>Rodríguez, Simón Cervantes Becerril, Freja Ininna (coord.)</t>
  </si>
  <si>
    <t xml:space="preserve">978-607-28-1295-6 </t>
  </si>
  <si>
    <t>ABC Cultural Lecturas para cursos complementarios de CBI</t>
  </si>
  <si>
    <t>Aréchiga Viramontes, José Uriel; Ávila Paredes, Hugo Joaquín; Córdova Frunz, José Luis et al.</t>
  </si>
  <si>
    <t xml:space="preserve">978-607-28-1209-3 </t>
  </si>
  <si>
    <t>Interculturalizaciones Transiciones, mediaciones y conflictos en lenguas, comunidades y educación escolar</t>
  </si>
  <si>
    <t>Muñoz Cruz, Héctor (ed.)</t>
  </si>
  <si>
    <t>Márgenes
Tirant Humanidades</t>
  </si>
  <si>
    <t xml:space="preserve">978-607-28-1165-2 </t>
  </si>
  <si>
    <t>Mediación en comunidades multilingües Experiencias de cohesión comunitaria y formación</t>
  </si>
  <si>
    <t>Muñoz Cruz, Héctor; Morelli, Mara; Luise, Danilo de (eds.)</t>
  </si>
  <si>
    <t xml:space="preserve">978-607-28-1290-1 </t>
  </si>
  <si>
    <t>El Secreto de los trenes</t>
  </si>
  <si>
    <t>Arreola, Juan José Estrada, Oswaldo (adapt.); Barriga Montoya, Ana (ilust.)</t>
  </si>
  <si>
    <t>Déjame que te Cuente
UAM-I, 1a. ed., 2018</t>
  </si>
  <si>
    <t>978-607-28-1432-5</t>
  </si>
  <si>
    <t>Teoría de conjuntos, lógica y temas afines II</t>
  </si>
  <si>
    <t>Fernández de Castro, Max; Villegas Silva, Luis Miguel</t>
  </si>
  <si>
    <t xml:space="preserve">978-607-28-1210-9 </t>
  </si>
  <si>
    <t>La Metodología configuracionista para la investigación</t>
  </si>
  <si>
    <t>Garza Toledo, Enrique de la</t>
  </si>
  <si>
    <t>CLADEMA Sociología
Gedisa Editorial</t>
  </si>
  <si>
    <t xml:space="preserve">978-607-28-1160-7 </t>
  </si>
  <si>
    <t>Precariedades, exclusiones y emergencias. Necropolítica y sociedad civil en América Latina</t>
  </si>
  <si>
    <t>Moraña, Mabel; Valenzuela Arce, José Manuel (coords.)</t>
  </si>
  <si>
    <t>360° Claves
ContemporáneasGedisa Editorial</t>
  </si>
  <si>
    <t xml:space="preserve">978-607-28-1186-7 </t>
  </si>
  <si>
    <t>Seguridad Chile, Argentina, Uruguay. Hacia un modelo de seguridad ciudadana y seguridad pública (19902015)</t>
  </si>
  <si>
    <t>Gimate-Welsh H.; Adrián S.</t>
  </si>
  <si>
    <t>Management
Biblioteca Nueva</t>
  </si>
  <si>
    <t xml:space="preserve">978-607-28-1041-9 </t>
  </si>
  <si>
    <t>Visiones críticas frente a la crisis neoliberal</t>
  </si>
  <si>
    <t>Mendoza Pérez, Juan; Martinelli, José María (coords.)</t>
  </si>
  <si>
    <t>978-607-28-1215-4</t>
  </si>
  <si>
    <t>Química general</t>
  </si>
  <si>
    <t>Haro Castellanos, Jorge Armando</t>
  </si>
  <si>
    <t xml:space="preserve">978-607-28-0459-3 </t>
  </si>
  <si>
    <t>Configuraciones productivas y relaciones laborales en empresas multinacionales en América Latina</t>
  </si>
  <si>
    <t>Garza Toledo, Enrique de la; Hernández Romo, Marcela (coords.)</t>
  </si>
  <si>
    <t>Biblioteca Iberoamericana de Pensamiento
Gedisa Editorial</t>
  </si>
  <si>
    <t xml:space="preserve">978-607-28-1057-0 </t>
  </si>
  <si>
    <t>Justicias y pueblos indígenas en Chiapas. De la violencia a la autonomía</t>
  </si>
  <si>
    <t>Gasparello, Giovanna</t>
  </si>
  <si>
    <t>Plural
Tirant Humanidades</t>
  </si>
  <si>
    <t xml:space="preserve">978-607-28-1291-8 </t>
  </si>
  <si>
    <t>La Violencia en México. Problemas, estrategias y modelos de intervención desde las ciencias sociales</t>
  </si>
  <si>
    <t>Román Pérez, Rosario; Cárdenas González, Víctor Gerardo (coords.)</t>
  </si>
  <si>
    <t>Centro de Investigación en Alimentación y Desarrollo y clave Editorial</t>
  </si>
  <si>
    <t xml:space="preserve">978-607-28-0986-4 </t>
  </si>
  <si>
    <t>Ciudad global, procesos locales Megaproyectos, trasformaciones socioespaciales y conflictos urbanos en la Ciudad de México</t>
  </si>
  <si>
    <t>Portal, María Anna (coord.)</t>
  </si>
  <si>
    <t>Ciudades y Ciudadanías (2)
Juan Pablos Editor</t>
  </si>
  <si>
    <t xml:space="preserve">978-607-28-1061-7 </t>
  </si>
  <si>
    <t>Deseografías Una antropología del deseo</t>
  </si>
  <si>
    <t>Introducción a la economía de la salu para ingenieros biomédicos</t>
  </si>
  <si>
    <t>Fabiola Margarita Martínez Licona</t>
  </si>
  <si>
    <t>978-607-28-1341-0</t>
  </si>
  <si>
    <t xml:space="preserve">M.en.C. Delfino Hernández Lascares </t>
  </si>
  <si>
    <t>Conocimiento, ambiente y poder, perspectivas desde la ecología política</t>
  </si>
  <si>
    <t>Mauricio Guzmán, Claudio Garibay y Leonardo Tyrtania (Coords.)</t>
  </si>
  <si>
    <t>UAM/CIESAS/UNAM/COLSAN</t>
  </si>
  <si>
    <t>978-607-28-1469-1</t>
  </si>
  <si>
    <t>Agrobiocombustibles en disputa. simulaciones desarrollistas en Chiapas.</t>
  </si>
  <si>
    <t>Daniel Felipe Gaitán Tolosa</t>
  </si>
  <si>
    <t>UAM, UNAM, CIESAS, IBERO, INAH, COLMEX</t>
  </si>
  <si>
    <t>978-607-28-1454-7</t>
  </si>
  <si>
    <t>La gestación para otros en México: parentesco, tecnología y poder. Versión electrónica. Versión impresa</t>
  </si>
  <si>
    <t>María Eugenia Olavarría</t>
  </si>
  <si>
    <t>UAM/Gedisa</t>
  </si>
  <si>
    <t>978-607-28-1394-6</t>
  </si>
  <si>
    <t>La gestación para otros en México: parentesco, tecnología y poder. Versión electrónica. Versión electrónica</t>
  </si>
  <si>
    <t>UAM/CEMCA</t>
  </si>
  <si>
    <t>En tramite</t>
  </si>
  <si>
    <t>Otras globalizaciones</t>
  </si>
  <si>
    <t xml:space="preserve">Gustavo Lins Ribeiro </t>
  </si>
  <si>
    <t>978-607-28-1438-7</t>
  </si>
  <si>
    <t>Cultura y afectividad:
aproximaciones antropológicas y filosóficas al estudio de las emociones</t>
  </si>
  <si>
    <t>Edith Calderón Rivera y Antonio Zirión Pérez (Coords.)</t>
  </si>
  <si>
    <t>978-607-28-1437-0</t>
  </si>
  <si>
    <t>Comercio, consumo y cultura en los mercados públicos de la Ciudad de México</t>
  </si>
  <si>
    <t>Angela Giglia</t>
  </si>
  <si>
    <t>978-607-28-1493-6</t>
  </si>
  <si>
    <t>Trabajo de campo en América Latina: experiencias antropológicas regionales en etnografía</t>
  </si>
  <si>
    <t>Rosana Guber, coordinadora general, Cornelia Eckert, Myriam Jimeno y Esteban Krotz, coordinadores</t>
  </si>
  <si>
    <t>Ed. sb (Col. Paradigma Indicial, Serie Antropología Sociocultural), Buenos Aires, Argentina</t>
  </si>
  <si>
    <t>978-9874-43-4418</t>
  </si>
  <si>
    <t>Capital Humano en las Organizaciones: Actualidad y Perspectiva. Potencial Humano en Acción</t>
  </si>
  <si>
    <t>Salvador Tonatiu  Porras Duarte; Jose Regulo Morales Calderon (Coordinadores)</t>
  </si>
  <si>
    <t>UAM - IZTAPALAPA</t>
  </si>
  <si>
    <t>Proceso</t>
  </si>
  <si>
    <t xml:space="preserve">Instituciones y actores. Un enfoque alternativo para entender el consumo de agua embotellada en México </t>
  </si>
  <si>
    <t>Delia Montero Contreras</t>
  </si>
  <si>
    <t>Reforma Agraria en México y Nicaragua: Similitudes y Diferencias</t>
  </si>
  <si>
    <t>José Saúl Vaquera Gallardo</t>
  </si>
  <si>
    <t>DEMOCRACIA INCLUYENTE ASOCIACIÓN CIVIL</t>
  </si>
  <si>
    <t>Max Fernández de Castro, Silvio Pinto y Marco Ruffino</t>
  </si>
  <si>
    <t>Soberana Convención Revolucionaria 1914-1915. Estudios y reflexiones</t>
  </si>
  <si>
    <t>Coordinado por Alberto Enríquez Perea</t>
  </si>
  <si>
    <t>Economía rural en Guerrero. Un proyecto de economía y democracia comunitarias</t>
  </si>
  <si>
    <t>Dr. Armando Rendón Corona</t>
  </si>
  <si>
    <t>978-607-28-1480-6</t>
  </si>
  <si>
    <t>Configuraciones sociotécnicas y relaciones laborales en la tercera generación de la industria automotriz en México</t>
  </si>
  <si>
    <t>Dr. Enrique de la Garza y Dra. Marcela Hernández Romo</t>
  </si>
  <si>
    <t>UAM y Miguel Ángel Porrúa</t>
  </si>
  <si>
    <t>978-607-52-4216-3</t>
  </si>
  <si>
    <t>Psicología Social y Realidad Actual: Nuevos enfoques y análisis</t>
  </si>
  <si>
    <t>Dr. Manuel González Navarro Dr. Jorge Mendoza García</t>
  </si>
  <si>
    <t>Coedición UAM SOMEPSO</t>
  </si>
  <si>
    <t>UAM 978-607-28-1403-5 SOMEPSO
978-607-98044-1-1</t>
  </si>
  <si>
    <t>Movimientos sociales urbanos y desafíos de la participación política. La Unión de Vecinos y Damnificados de 19 de Septiembre  y el Frente del Pueblo en la Ciudad de México 1985 - 1999.</t>
  </si>
  <si>
    <t>Dr. Miguel Rodrigo González Ibarra</t>
  </si>
  <si>
    <t>978-607-28-1476-9</t>
  </si>
  <si>
    <t>La industria automotriz en América Latina: estudios de las relaciones entre trabajo, tecnología y desarrollo socioeconómico</t>
  </si>
  <si>
    <t>Dr. Arnulfo Arteaga García
Dr. Geraldo Augusto Pinto
Dr. Sebastián Guevara</t>
  </si>
  <si>
    <t>Editorial EDUTFPR
Brasil</t>
  </si>
  <si>
    <t>En trámte</t>
  </si>
  <si>
    <t>Análisis y evaluación de políticas públicas en México. Una agenda de investigación</t>
  </si>
  <si>
    <t>Lara Caballero, Manuel; Rosa Rodríguez, José Javier de la (coords.)</t>
  </si>
  <si>
    <t>978-607-28-1218-5</t>
  </si>
  <si>
    <t>Desde la escucha Creación, investigación e intermedia</t>
  </si>
  <si>
    <t xml:space="preserve"> Rocha Iturbide, Manuel </t>
  </si>
  <si>
    <t>Documentos DAH
Juan Pablos Editor</t>
  </si>
  <si>
    <t>978-607-28-1206-2</t>
  </si>
  <si>
    <t xml:space="preserve">Interpelaciones del arte, el diseño y la sociedad </t>
  </si>
  <si>
    <t xml:space="preserve">Mosqueda Gómez, Claudia </t>
  </si>
  <si>
    <t>978-607-28-1208-6</t>
  </si>
  <si>
    <t xml:space="preserve">Comunicación, educación y tecnologías digitales. Tendencias actuales en investigación </t>
  </si>
  <si>
    <t xml:space="preserve">Hernández Razo, Óscar Enrique; Ortiz Henderson, Gladys; Hernández Gutiérrez, Daniel (coords.) </t>
  </si>
  <si>
    <t>978-607-28-1207-9</t>
  </si>
  <si>
    <t xml:space="preserve">Sistemas regionales de innovación como instrumento de la política pública de innovación </t>
  </si>
  <si>
    <t>Rózga Luter, Ryszard; Solleiro, José Luis</t>
  </si>
  <si>
    <t>978-607-28-1205-5</t>
  </si>
  <si>
    <t>Juventudes digitales</t>
  </si>
  <si>
    <t>Ortiz Henderson, Gladys (coord.)</t>
  </si>
  <si>
    <t>UAM Lerma-Juan Pablos</t>
  </si>
  <si>
    <t>978-607-28-1332-8</t>
  </si>
  <si>
    <t>Transiciones en el campo mexicano. Género, identidad y trabajo</t>
  </si>
  <si>
    <t>Luna Gómez, Luis Alberto</t>
  </si>
  <si>
    <t>UAM-L, 1a. ed., 2018</t>
  </si>
  <si>
    <t>978-607-28-1204-8</t>
  </si>
  <si>
    <t>Caleidoscopio científico  Una mirada a la investigación en la UAM
 Lerma a través de monografías científicas</t>
  </si>
  <si>
    <t xml:space="preserve">Silva López Rafaela Blanca,et al. </t>
  </si>
  <si>
    <t>UAM Lerma</t>
  </si>
  <si>
    <t>978-607-28-1485-1</t>
  </si>
  <si>
    <t xml:space="preserve"> Electrónico</t>
  </si>
  <si>
    <t>Productos del vínculo docencia-investigación. 
Ingeniería en Recursos Hídricos 2018</t>
  </si>
  <si>
    <t>978-607-28-1483-7</t>
  </si>
  <si>
    <t xml:space="preserve">Tipos de capital social, sus interacciones y efectos organizacionales. El caso de los clubes de migrantes zacatecanos. </t>
  </si>
  <si>
    <t>Alma De León</t>
  </si>
  <si>
    <t>978-607-28-1342-7</t>
  </si>
  <si>
    <t>Desafíos para la calidad de la democracia y las políticas públicas para el fortalecimiento de la gobernabilidad en México.</t>
  </si>
  <si>
    <t>Raúl Figuerona y Miguel González</t>
  </si>
  <si>
    <t>978-607-28-1524-7</t>
  </si>
  <si>
    <t>Indicadores de satisfacción de la infraestructura peatonal en la perspectiva del espacio público saludable en la Ciudad de México.</t>
  </si>
  <si>
    <t>Javier de la Rosa y Perla Castañeda</t>
  </si>
  <si>
    <t>978-607-28-1524-6</t>
  </si>
  <si>
    <t xml:space="preserve">El proceso en la producción de arte electrónico. </t>
  </si>
  <si>
    <t>Hugo Solis</t>
  </si>
  <si>
    <t>978-607-28-1513-1</t>
  </si>
  <si>
    <t xml:space="preserve">Introducción al álgebra. </t>
  </si>
  <si>
    <t>Manuel Lara</t>
  </si>
  <si>
    <t xml:space="preserve">UAM Lerma </t>
  </si>
  <si>
    <t>978-607-28-1526-1</t>
  </si>
  <si>
    <t xml:space="preserve">Procesos y estructuras en elites mexicanas. </t>
  </si>
  <si>
    <t>Alberto Arellano</t>
  </si>
  <si>
    <t>UAM Lerma, El Colegio de Jalisco</t>
  </si>
  <si>
    <t xml:space="preserve"> 978-607-28-1523-0</t>
  </si>
  <si>
    <t xml:space="preserve">Acero. Predimensionamiento de estructuras de acero para arquitectos </t>
  </si>
  <si>
    <t xml:space="preserve">Ortiz Bobadilla, Inés </t>
  </si>
  <si>
    <t>UAM-X, 1a. ed., 2017</t>
  </si>
  <si>
    <t>978-607-28-1221-5</t>
  </si>
  <si>
    <t>Ex Convento de San Bernardino de Siena, Valladolid, España. Taller experimental de documentación</t>
  </si>
  <si>
    <t xml:space="preserve"> Meraz Quintana, Leonardo</t>
  </si>
  <si>
    <t xml:space="preserve"> UAM-X, 1a. ed., 2017</t>
  </si>
  <si>
    <t xml:space="preserve">Fundaciones monásticas en la Sierra Nevada. Historia y medio ambiente </t>
  </si>
  <si>
    <t>Meraz Quintana, Leonardo</t>
  </si>
  <si>
    <t xml:space="preserve">Universidad y transferencia de conocimiento para la gestión del patrimonio. Un compromiso ineludible </t>
  </si>
  <si>
    <t xml:space="preserve">Rubio, Lucrecia; Ponce, Gabino (comps.) </t>
  </si>
  <si>
    <t>978-607-28-1385-4</t>
  </si>
  <si>
    <t>La Producción porcina en el estado de Tabasco</t>
  </si>
  <si>
    <t xml:space="preserve"> Córdova Izquierdo, Alejandro; Méndez Hernández, William; López Naranjo, José Isabel; Cano Molina, Gregorio </t>
  </si>
  <si>
    <t>978-607-28-1145-4</t>
  </si>
  <si>
    <t xml:space="preserve">Interacción madre-hijo. Aproximaciones biológicas, psicológicas y antropológicas </t>
  </si>
  <si>
    <t>Figueroa Olea, Miriam; Rivera González, Iván Rolando</t>
  </si>
  <si>
    <t xml:space="preserve"> Serie Académicos (131)
UAM-X, 1a. ed., 2018</t>
  </si>
  <si>
    <t>978-607-28-1284-0</t>
  </si>
  <si>
    <t>Ciudad y memoria Literatura, música y radio en la Ciudad de México</t>
  </si>
  <si>
    <t xml:space="preserve"> Zavala, Lauro (coord.) </t>
  </si>
  <si>
    <t>mc editores</t>
  </si>
  <si>
    <t>978-607-28-1073-0</t>
  </si>
  <si>
    <t xml:space="preserve">Producción cinematográfica digital. Manual del estudiante </t>
  </si>
  <si>
    <t xml:space="preserve">Vega Escalante, Carlos </t>
  </si>
  <si>
    <t xml:space="preserve"> Oliveras y Alberú, Juan Manuel </t>
  </si>
  <si>
    <t>UAM-X, 1a. ed., 2017,</t>
  </si>
  <si>
    <t xml:space="preserve">De la protesta a la propuesta 50 años imaginando y construyendo el futuro </t>
  </si>
  <si>
    <t xml:space="preserve">Barkin, David </t>
  </si>
  <si>
    <t>978-607-28-1370-0</t>
  </si>
  <si>
    <t xml:space="preserve">Del estado fiscal al estado social en México </t>
  </si>
  <si>
    <t xml:space="preserve">Rozo, Carlos A. (coord.) </t>
  </si>
  <si>
    <t>Pública Social (22)
Bonilla Artigas Editores</t>
  </si>
  <si>
    <t>978-607-28-1045-7</t>
  </si>
  <si>
    <t xml:space="preserve">Megaminería en México. Explotación laboral y acumulación de ganancia </t>
  </si>
  <si>
    <t xml:space="preserve">Azamar Alonso, Aleida </t>
  </si>
  <si>
    <t>Editorial Itaca</t>
  </si>
  <si>
    <t xml:space="preserve">La Unión europea. Perspectivas internas y externas a 60 años de su conformación </t>
  </si>
  <si>
    <t xml:space="preserve">Pérez Rodríguez, Beatriz Nadia; Pérez Llanas, Cuauhtémoc V.; Pérez Gavilán, Graciela (coords.) </t>
  </si>
  <si>
    <t xml:space="preserve">Lecciones a mí mismo. Vida y universidad </t>
  </si>
  <si>
    <t xml:space="preserve">Porter Galetar, Luis </t>
  </si>
  <si>
    <t>El Poder y la educación en el proyecto de nación</t>
  </si>
  <si>
    <t xml:space="preserve">Juárez, José Manuel; Comboni, Sonia; Mejía, Pablo (coords.) </t>
  </si>
  <si>
    <t>Teoría y Análisis
UAM-X, 1a. ed., 2017</t>
  </si>
  <si>
    <t>Las Vicisitudes de la innovación en biotecnología y nanotecnología en México</t>
  </si>
  <si>
    <t xml:space="preserve">Villavicencio Carbajal, Daniel H. (coord.) </t>
  </si>
  <si>
    <t>978-607-28-1211-6</t>
  </si>
  <si>
    <t>Ficción y realidad. Los retos de la novela contemporánea</t>
  </si>
  <si>
    <t xml:space="preserve"> Ruiz Abreu, Álvaro (coord.) </t>
  </si>
  <si>
    <t>978-607-28-1135-5</t>
  </si>
  <si>
    <t xml:space="preserve">La Cuadratura del círculo filosófico: Hegel, Marx y los marxismos. Dialéctica, estado, derecho, libertad y emancipación </t>
  </si>
  <si>
    <t>Hoyo Arana, José Félix</t>
  </si>
  <si>
    <t xml:space="preserve"> Públicatextos (8)
Bonilla Artigas Editores</t>
  </si>
  <si>
    <t>978-607-28-1340-3</t>
  </si>
  <si>
    <t xml:space="preserve">Ecos de Castoriadis. Para una elucidación de la institución hoy </t>
  </si>
  <si>
    <t xml:space="preserve">Ramírez Grajeda, Beatriz (coord.) </t>
  </si>
  <si>
    <t>Hegel actual. La paciencia de lo negativo</t>
  </si>
  <si>
    <t>Ávalos, Gerardo</t>
  </si>
  <si>
    <t xml:space="preserve"> UAM-X, 1a. ed., 2018</t>
  </si>
  <si>
    <t>978-607-28-1416-5</t>
  </si>
  <si>
    <t xml:space="preserve">Tractatus politicus minimum. Ensayos sobre la política de la crueldad de Nietzsche </t>
  </si>
  <si>
    <t xml:space="preserve">Velázquez Becerril, César Arturo </t>
  </si>
  <si>
    <t>Teoría y Análisis
Editorial Itaca</t>
  </si>
  <si>
    <t>978-607-28-1191-1</t>
  </si>
  <si>
    <t>Antonio Garduño Fotografía y periodismo en los inicios del siglo XX</t>
  </si>
  <si>
    <t xml:space="preserve">; Escorza Rodríguez, Daniel </t>
  </si>
  <si>
    <t>De cuerpos invisibles y placeres negados</t>
  </si>
  <si>
    <t xml:space="preserve">Cruz Pérez, María del Pilar </t>
  </si>
  <si>
    <t>Teoría y Análisis
Universidad Iberoamericana</t>
  </si>
  <si>
    <t>Experiencias desnudas. El lugar del acontecimiento en la historia</t>
  </si>
  <si>
    <t xml:space="preserve">978-607-28-1414-1 </t>
  </si>
  <si>
    <t>Kafka, las escenas de lo humano</t>
  </si>
  <si>
    <t>Lizarazo Arias, Diego; Sánchez Martínez, José Alberto (coords.)</t>
  </si>
  <si>
    <t xml:space="preserve">978-607-28-1372-4 </t>
  </si>
  <si>
    <t>Elementos de lógica argumentativa para la escritura académica</t>
  </si>
  <si>
    <t>Beller Taboada, Walter</t>
  </si>
  <si>
    <t>Públicatextos (9)
Bonilla Artigas Editores</t>
  </si>
  <si>
    <t>978-607-28-1317-5</t>
  </si>
  <si>
    <t>Formación en investigación cualitativa crítica en el campo de la salud. Abriendo caminos en Latinoamérica</t>
  </si>
  <si>
    <t>Chapela Mendoza, María del Consuelo (coord.)</t>
  </si>
  <si>
    <t>Serie Académicos (135)</t>
  </si>
  <si>
    <t xml:space="preserve">978-607-28-1371-7 </t>
  </si>
  <si>
    <t>Relatos fugitivos. Primer concurso de cuento universitario Elena Garro</t>
  </si>
  <si>
    <t>Iturbe, Víctor Hugo; Velázquez, Mario; Arciniega, Jessica et al.</t>
  </si>
  <si>
    <t>Gato Encerrado
UAM-X, 1a. ed., 2018</t>
  </si>
  <si>
    <t xml:space="preserve">978-607-28-1171-3 </t>
  </si>
  <si>
    <t>América Latina: de ruinas y horizontes. La política de nuestros días, un balance provisorio</t>
  </si>
  <si>
    <t>Brenna B. Jorge E.; Carballo E., Francisco (coords.)</t>
  </si>
  <si>
    <t>Pública Social (20)
Bonilla Artigas Editores</t>
  </si>
  <si>
    <t xml:space="preserve">978-607-28-0936-9 </t>
  </si>
  <si>
    <t>La Comunidad indígena insurgente. Perú, Bolivia y México (1980-2000)</t>
  </si>
  <si>
    <t>Escárzaga, Fabiola</t>
  </si>
  <si>
    <t>Plural Editores</t>
  </si>
  <si>
    <t xml:space="preserve">978-607-28-1174-4 </t>
  </si>
  <si>
    <t>Estudios de la Ciudad de México y su Constitución</t>
  </si>
  <si>
    <t>Toscana Aparicio, Alejandra; Carrillo Luvianos, Mario Alejandro (coords.)</t>
  </si>
  <si>
    <t xml:space="preserve">978-607-28-1265-9 </t>
  </si>
  <si>
    <t>Ética, política e injusticia social</t>
  </si>
  <si>
    <t>Flores Rentería, Joel; Rosas, Verónica; Gil, Verónica (coords.)</t>
  </si>
  <si>
    <t xml:space="preserve">978-607-28-1266-6 </t>
  </si>
  <si>
    <t>México en el contexto internacional. Retos y oportunidades</t>
  </si>
  <si>
    <t>Toscana Aparicio, Alejandra; Pérez Rodríguez, Beatriz Nadia; Aguirre Cristian, María Gabriela; Carrillo Luvianos, Mario Alejandro; Morales Alquicira, Andrés (coords.)</t>
  </si>
  <si>
    <t xml:space="preserve">978-607-28-1267-3 </t>
  </si>
  <si>
    <t>Organizaciones sociales y migrantes. De la asistencia a la acción política</t>
  </si>
  <si>
    <t>Calvillo Velasco, Miriam</t>
  </si>
  <si>
    <t xml:space="preserve">978-607-28-1175-1 </t>
  </si>
  <si>
    <t>La Reglamentación municipal como instrumento de gestión. Estudio comparado en ciudades-capital</t>
  </si>
  <si>
    <t>Zamora Fernández de Lara, Gerardo; Ramírez López, Rigoberto</t>
  </si>
  <si>
    <t>Pública Social (24)
Bonilla Artigas Editores</t>
  </si>
  <si>
    <t xml:space="preserve">978-607-28-1285-7 </t>
  </si>
  <si>
    <t>Revoluciones pasivas en América</t>
  </si>
  <si>
    <t>Modonesi, Massimo</t>
  </si>
  <si>
    <t xml:space="preserve">978-607-28-1107-2 </t>
  </si>
  <si>
    <t>Sistema mundial, intercambio desigual y renta de la tierra</t>
  </si>
  <si>
    <t>Osorio, Jaime</t>
  </si>
  <si>
    <t>Se hace camino al narrar. Intervención psicosocial con padres y jóvenes que viven con un corazón distinto</t>
  </si>
  <si>
    <t>Cerda García, Alejandro; Barroso Arias, Ana Laura (coords.)</t>
  </si>
  <si>
    <t xml:space="preserve">978-607-28-1224-6 </t>
  </si>
  <si>
    <t>Campo, ciudad y nueva ruralidad en México. Hacia la urbanización total del territorio nacional</t>
  </si>
  <si>
    <t>Rosique Cañas, José Antonio</t>
  </si>
  <si>
    <t xml:space="preserve">978-607-28-1173-7 </t>
  </si>
  <si>
    <t>Mirada de jaguar Venturas y desventuras de la biodiversidad en América Latina</t>
  </si>
  <si>
    <t>Massieu Trigo, Yolanda</t>
  </si>
  <si>
    <t xml:space="preserve">978-607-28-1235-2 </t>
  </si>
  <si>
    <t>Pueblos mágicos. Volumen III. Una visión interdisciplinaria</t>
  </si>
  <si>
    <t>López Levi, Liliana; Valverde Valverde, Carmen; Figueroa Díaz, María Elena (coords.)</t>
  </si>
  <si>
    <t xml:space="preserve">978-607-28-1028-0 </t>
  </si>
  <si>
    <t>Chávez Becker, Carlos; Lutz, Bruno (coords.)</t>
  </si>
  <si>
    <t xml:space="preserve">978-607-28-1237-6 </t>
  </si>
  <si>
    <t>Vivir para el surco. Trabajo y derechos en el Valle de San Quintín</t>
  </si>
  <si>
    <t>Espinosa Damián, Gisela; Ramírez González, Esther; Tello Torralba, Amalia (coords.)</t>
  </si>
  <si>
    <t xml:space="preserve">978-607-28-1176-8 </t>
  </si>
  <si>
    <t>La Ciudad como cultura. Líneas estratégicas de política pública para la Ciudad de México</t>
  </si>
  <si>
    <t>Eibenschutz, Roberto; Lavore, Carlos (coords.)</t>
  </si>
  <si>
    <t>Secretaría de Cultura de la Ciudad de México y Penguin Random House</t>
  </si>
  <si>
    <t xml:space="preserve">978-607-315-979-1 </t>
  </si>
  <si>
    <t>La Construcción de la Ciudad de México, siglos XIX y XX. Barrios, colonias y fraccionamientos</t>
  </si>
  <si>
    <t>Ayala Alonso, Enrique; Vargas Sánchez, Concepción J.; Álvarez Montes, Gerardo (comp.)</t>
  </si>
  <si>
    <t xml:space="preserve">978-607-28-1093-8 </t>
  </si>
  <si>
    <t>Desarrollo ambiental en la cuenca del Papaloapan</t>
  </si>
  <si>
    <t>Castro Ramírez, María Eugenia; Duarte Yuriar, Salvador; Lerín Gutiérrez, Manuel et al.</t>
  </si>
  <si>
    <t>978-607-28-0964-2</t>
  </si>
  <si>
    <t>Recorrer y participar en la ciudad. Tres aproximaciones a la adaptación de los recorridos comentados como técnica de la investigación urbana</t>
  </si>
  <si>
    <t>Torre Galindo, Francisco Javier de la</t>
  </si>
  <si>
    <t xml:space="preserve">978-607-28-1212-3 </t>
  </si>
  <si>
    <t>Villavicencio Carbajal, Daniel H. (coord.)</t>
  </si>
  <si>
    <t>Lo Complejo y lo transparente. Investigaciones transdisciplinarias en ciencias sociales</t>
  </si>
  <si>
    <t>Alcántara, Eva; Arce, Yissel; Parrini, Rodrigo (comps.)</t>
  </si>
  <si>
    <t>Imagia Comunicación</t>
  </si>
  <si>
    <t>978-607-28-1244-4</t>
  </si>
  <si>
    <t>Mujeres y VIH en México. Diálogos y tensiones entre perspectivas de atención a la salud</t>
  </si>
  <si>
    <t>Amuchástegui, Ana (coord.)</t>
  </si>
  <si>
    <t>978-607-28-1250-5</t>
  </si>
  <si>
    <t>Iniciación al estudio de la Arquitectura en el Sistema Modular de la UAM Xochimilco</t>
  </si>
  <si>
    <t>Sánchez Sánchez, Horacio; Ramírez Priego, Rafael; Romero Barrios, Amador</t>
  </si>
  <si>
    <t>978-607-28-1154-6</t>
  </si>
  <si>
    <t>Guía de los ácaros e insectos herbívoros de México. Volumen III. Ácaros e insectos dendrófagos de importancia agrícola y forestal</t>
  </si>
  <si>
    <t xml:space="preserve">Cervantes M., Francisco; Huacuja, Aurea </t>
  </si>
  <si>
    <t>Serie Académicos (121)</t>
  </si>
  <si>
    <t>978-607-28-1302-1</t>
  </si>
  <si>
    <t>Manual de propagación de plantas superiores</t>
  </si>
  <si>
    <t>Osuna Fernández, Helia Reyna; Osuna Fernández, Aída Marisa; Fierro Álvarez, Andrés</t>
  </si>
  <si>
    <t>Métodos de contención de felinos silvestres en cautiverio Contención física y química</t>
  </si>
  <si>
    <t>Herrera Barragán, José Antonio; Landa García, Sofía Sarahí; González Santos, Jorge Antonio et al.</t>
  </si>
  <si>
    <t>cbs (55)
UAM-X, 1a. ed., 2018</t>
  </si>
  <si>
    <t>978-607-28-1369-4</t>
  </si>
  <si>
    <t>Aprendizaje en escenarios reales en el manejo acuícola sustentable</t>
  </si>
  <si>
    <t>Matus Parada, Jaime</t>
  </si>
  <si>
    <t>Serie Académicos (132)</t>
  </si>
  <si>
    <t>978-607-28-1282-6</t>
  </si>
  <si>
    <t>Enfermedades sistémicas e intoxicaciones en el ganado bovino y animales de compañía</t>
  </si>
  <si>
    <t>Peña Betancourt, Silvia Denise; Posadas Manzano, Eduardo</t>
  </si>
  <si>
    <t>Serie Académicos (134)</t>
  </si>
  <si>
    <t>Manual de indicadores biológicos de la salud del suelo</t>
  </si>
  <si>
    <t>Bracamontes Nájera, Luis; Fuentes Ponce, Mariela; Rodríguez Sánchez, Luis Manuel; Macedas Jiménez, Juan</t>
  </si>
  <si>
    <t>978-607-28-1364-9</t>
  </si>
  <si>
    <t>Recolección y manipulación seminal in vitro</t>
  </si>
  <si>
    <t>Ávalos Rodríguez, Alejandro; González Santos, Jorge Antonio; Vargas Ibarra, Ana Karen; Herrera Barragán, José Antonio</t>
  </si>
  <si>
    <t>cbs (54)
UAM-X, 1a. ed., 2018</t>
  </si>
  <si>
    <t>978-607-28-1299-4</t>
  </si>
  <si>
    <t>El Sector agropecuario en México. Marco de referencia del Departamento de Producción Agrícola y Animal de la UAM-X</t>
  </si>
  <si>
    <t>Mata García, Bernardino</t>
  </si>
  <si>
    <t>978-607-28-1278-9</t>
  </si>
  <si>
    <t>In-corporación del VIH. Nueve cartografías</t>
  </si>
  <si>
    <t>Robles Aguirre, Bernardo Adrián; Granados Cosme, José Arturo</t>
  </si>
  <si>
    <t>Serie Académicos (136)</t>
  </si>
  <si>
    <t>978-607-28-1368-7</t>
  </si>
  <si>
    <t>Interacción madre-hijo. Aproximaciones biológicas, psicológicas y antropológicas</t>
  </si>
  <si>
    <t>Serie Académicos (131)</t>
  </si>
  <si>
    <t>Manejo adecuado de desechos tóxicos en odontología (metales pesados e insumos radiográficos). Una responsabilidad profesional</t>
  </si>
  <si>
    <t>Maceda Mejías, Iván; Sáenz Martínez, Laura Patricia; Morales Estrella, Sandra Luz; Vela Correa, Gilberto</t>
  </si>
  <si>
    <t>cbs (56)
UAM-X, 1a. ed., 2018</t>
  </si>
  <si>
    <t>978-607-28-1367-0</t>
  </si>
  <si>
    <t>El Camino al siglo del Pacífico. Las otras rutas de la seda del siglo XXI</t>
  </si>
  <si>
    <t>Tzili Apango, Eduardo</t>
  </si>
  <si>
    <t>El Pacífico, un Mar de Historia
Palabra de Clío</t>
  </si>
  <si>
    <t xml:space="preserve">978-607-97883-3-9 </t>
  </si>
  <si>
    <t>Políticas gubernamentales y universidades públicas mexicanas. Desafíos de la homogeneidad</t>
  </si>
  <si>
    <t>Buendía Espinosa, Angélica (coord.)</t>
  </si>
  <si>
    <t>Cruz Pérez, María del Pilar</t>
  </si>
  <si>
    <t>978-99954-1-781-9</t>
  </si>
  <si>
    <t>978-607-28-1266-6</t>
  </si>
  <si>
    <t>Manual de prácticas de las unidades de enseñanza aprendizaje relacionadas con la obtención y evaluación de materias primas para la elaboración de medicamentos</t>
  </si>
  <si>
    <t>Fresán O., Ma. Cristina (coord.)</t>
  </si>
  <si>
    <t xml:space="preserve">978-607-28-1345-8 </t>
  </si>
  <si>
    <t>Manual de prácticas de las unidades de enseñanza aprendizaje relacionadas con la obtención y evaluación de productos biológicos</t>
  </si>
  <si>
    <t>978-607-28-1346-5</t>
  </si>
  <si>
    <t>Manual de prácticas de las unidades de enseñanza aprendizaje relacionadas con la obtención, evaluación y producción de medicamentos</t>
  </si>
  <si>
    <t>978-607-28-1344-1</t>
  </si>
  <si>
    <t>Aprender de las experiencias y elaborar memoria colectiva</t>
  </si>
  <si>
    <t>Reygadas Robles Gil, Rafael; Robles Rendón, Mariana; Soto Martínez, Adriana (coords.)</t>
  </si>
  <si>
    <t>978-607-28-1202-4</t>
  </si>
  <si>
    <t>Proceso de reinvención de la vida cotidiana y la identidad de los jobabenses a partir del cierre del Central Azucarero, Las Tunas, Cuba</t>
  </si>
  <si>
    <t>Plascencia Pons, Ayme</t>
  </si>
  <si>
    <t>Mundos Rurales</t>
  </si>
  <si>
    <t>Tabasco. Tipología de vivienda</t>
  </si>
  <si>
    <t>Andrade Narváez, Jorge</t>
  </si>
  <si>
    <t>Biología de los sistemas sensoriales: el tacto.</t>
  </si>
  <si>
    <t>Gustavo Ruiz L., Lourdes Rosas S., et al.</t>
  </si>
  <si>
    <t>978-607-28-1464-6</t>
  </si>
  <si>
    <t>Enfermedades sistémicas e intoxicaciones en el ganado bovino y animales de compañía.</t>
  </si>
  <si>
    <t>Silvia D. Peña B., Eduardo Posadas M.</t>
  </si>
  <si>
    <t>978-607-28-1287-1</t>
  </si>
  <si>
    <t>Ecology of Sontecomapan lagoon, Veracruz</t>
  </si>
  <si>
    <t>Ma. Elena Castellanos Páez, Alfonso Esquivel Herrera, Javier Aldeco Ramírez (Edit.)</t>
  </si>
  <si>
    <t>UAM-IRD</t>
  </si>
  <si>
    <t>978-607-28-1515-5</t>
  </si>
  <si>
    <t>Estrés oxidativo y antioxidantes en animales.</t>
  </si>
  <si>
    <t>Alejandro Córdova Izquierdo.</t>
  </si>
  <si>
    <t>978-607-28-1458-5</t>
  </si>
  <si>
    <t>Investigación para estudiantes de medicina.</t>
  </si>
  <si>
    <t>Carlos Torner A.</t>
  </si>
  <si>
    <t>978-607-28-1466-0</t>
  </si>
  <si>
    <t>Las unidades de manejo para la conservación de la vida silvestre (UMA) en el noreste de México: análisis de 10 años.</t>
  </si>
  <si>
    <t>Jorge I. Servín M., Dora E. Carreón G., et al.</t>
  </si>
  <si>
    <t>978-607-28-1460-8</t>
  </si>
  <si>
    <t>Marco histórico institucional de la estomatología en México. Avances científicos y tecnológicos desde la antigüedad hasta el siglo XXI.</t>
  </si>
  <si>
    <t>Amir Gómez León.</t>
  </si>
  <si>
    <t>978-607-28-1462-2</t>
  </si>
  <si>
    <t>Marco referencial de la Licenciatura en Enfermería. Visión y perspectiva de la UAM-Xochimilco.</t>
  </si>
  <si>
    <t>Juan G. Rivas E., Edgar Correa A., et al.</t>
  </si>
  <si>
    <t>978-607-28-1444-8</t>
  </si>
  <si>
    <t>Manual de prácticas de las unidades de enseñanza aprendizaje relacionadas con la obtención, evaluación y producción de medicamentos.</t>
  </si>
  <si>
    <t>Ma. Cristina Fresán Orozco (Coord.)</t>
  </si>
  <si>
    <t>¡Me quiero, me cuido! Diario de salud.</t>
  </si>
  <si>
    <t>Ma. Isabel Luengas A.; Laura P. Sáenz M., et al.</t>
  </si>
  <si>
    <t>978-607-28-1482-0</t>
  </si>
  <si>
    <t>Modernidad a la carta. Manifestaciones locales de la globalización alimentaria en México</t>
  </si>
  <si>
    <t>Miriam Bertrán V., José A. Vázquez M.</t>
  </si>
  <si>
    <t>UAM-ICARIA</t>
  </si>
  <si>
    <t>978-607-28-1554-4</t>
  </si>
  <si>
    <t>Una propuesta para el desarrollo y construcción de la ciudadanía infantil en el contexto del cuidado integral y la prevención de discapacidad. El lactante como la primera etapa del desarrollo del niño.</t>
  </si>
  <si>
    <t>Ma. Del Carmen Sánchez P., Rolando Rivera G., et al.</t>
  </si>
  <si>
    <t>978-607-28-1461-5</t>
  </si>
  <si>
    <t>Memoria del seminario: Aprender de las experiencias y elaborar memoria colectiva</t>
  </si>
  <si>
    <t>Rafael Reygadas, Adriana Soto y Mariana Robles (coords.) Formato electrónico</t>
  </si>
  <si>
    <t xml:space="preserve">UAM </t>
  </si>
  <si>
    <t xml:space="preserve"> 978-607-28-1202-4</t>
  </si>
  <si>
    <t>Rodrigo Parrini Roses</t>
  </si>
  <si>
    <t xml:space="preserve"> UAM / UNAM (CIEG)</t>
  </si>
  <si>
    <t xml:space="preserve">Rupturas y continuidades. Historia y biografías de mujeres </t>
  </si>
  <si>
    <t>Ana Lau Jaiven y Elsie Mc Phail Fanger (coords.)</t>
  </si>
  <si>
    <t>978-607-28-1409-7</t>
  </si>
  <si>
    <t xml:space="preserve">Comunidad educativa y equidad </t>
  </si>
  <si>
    <t xml:space="preserve">Antonio Paoli Bolio </t>
  </si>
  <si>
    <t xml:space="preserve">UAM / Cámara de Diputados </t>
  </si>
  <si>
    <t>978-607-28-1259-8</t>
  </si>
  <si>
    <t xml:space="preserve">Pueblos mágicos: una visión interdisciplinaria volumen IV </t>
  </si>
  <si>
    <t xml:space="preserve">Liliana López Levi y Carmen Valverde (coords.)  </t>
  </si>
  <si>
    <t>UAM / Facultad de arquitectura UNAM</t>
  </si>
  <si>
    <t>978-607-28-1425-7</t>
  </si>
  <si>
    <t xml:space="preserve">Los sueños de aserrín 
</t>
  </si>
  <si>
    <t xml:space="preserve">José Antonio Rosique Cañas
</t>
  </si>
  <si>
    <t>978-607-28-1417-2</t>
  </si>
  <si>
    <t>Análisis multidimensional de la desigualdad social y educativa, Nuevo León y Oaxaca, México 2008 y 2010</t>
  </si>
  <si>
    <t>Alberto Isaac Pierdant Rodríguez</t>
  </si>
  <si>
    <t>978-607-28-1411-0</t>
  </si>
  <si>
    <t>Productos de la enseñanza de la evaluación de políticas y programas públicos. La experiencia de la Maestría de Políticas Públicas de la UAM Xochimilco</t>
  </si>
  <si>
    <t>Myriam Cardozo Brum (coord.)</t>
  </si>
  <si>
    <t>978-607-28-1424-0</t>
  </si>
  <si>
    <t xml:space="preserve">Estrategia de los bloques regionales Antonia Correa (coord.) </t>
  </si>
  <si>
    <t>Estrategia de los bloques regionales Antonia Correa (coord.) Formato electrónico</t>
  </si>
  <si>
    <t>978-607-28-1552-0</t>
  </si>
  <si>
    <t xml:space="preserve">Hermenéutica de la producción simbólica </t>
  </si>
  <si>
    <t xml:space="preserve">Diego Lizarazo Arias y Mauricio Andión (coords.) </t>
  </si>
  <si>
    <t>978-607-28-1426-4</t>
  </si>
  <si>
    <t xml:space="preserve">Educación, cultura y procesos sociales. Ensayos críticos </t>
  </si>
  <si>
    <t>José Luis Cisneros (coord.)</t>
  </si>
  <si>
    <t>UAM / Ediciones Eón</t>
  </si>
  <si>
    <t>978-607-28-1549-0</t>
  </si>
  <si>
    <t xml:space="preserve">Sociedades sustentables: aproximaciones críticas.
Posgrado en Sociedades sustentables </t>
  </si>
  <si>
    <t xml:space="preserve">Carlos Andrés Rodríguez Wallenius (coord.)
 </t>
  </si>
  <si>
    <t>978-607-28-1467-7</t>
  </si>
  <si>
    <t>Horrores estridentes. Arte, violencia y ruina social</t>
  </si>
  <si>
    <t>José Alberto Sánchez Martínez y Diego Lizarazo (coords.)</t>
  </si>
  <si>
    <t xml:space="preserve">Gedisa </t>
  </si>
  <si>
    <t>978-607-28-1562-9</t>
  </si>
  <si>
    <t xml:space="preserve">Estética de la interacción visual. La imagen avatar y performance de la imagen </t>
  </si>
  <si>
    <t xml:space="preserve">José Alberto Sánchez Martínez </t>
  </si>
  <si>
    <t>978-607-28-1494-3</t>
  </si>
  <si>
    <t xml:space="preserve">Repensar las prácticas sociales en el mundo rural </t>
  </si>
  <si>
    <t>Sonia Comboni Salinas, Nicolás Cárdenas García (coords.)</t>
  </si>
  <si>
    <t>978-607-28-1486-8</t>
  </si>
  <si>
    <t>Reformas estructurales y proyecto de nación</t>
  </si>
  <si>
    <t xml:space="preserve">Pablo Mejía Montes de Oca y José Javier Contreras Carbajal (coords.) </t>
  </si>
  <si>
    <t>978-607-28-1423-3</t>
  </si>
  <si>
    <t xml:space="preserve">Minería en América Latina y México: Problemas y consecuencias
 </t>
  </si>
  <si>
    <t xml:space="preserve">
 Aleida Azamar Alonso
</t>
  </si>
  <si>
    <t>978-607-28-1418-9</t>
  </si>
  <si>
    <t>Leyendas urbanas y tradiciones en México del siglo XXI. Historias contadas por estudiantes universitarios de la Ciudad de México.</t>
  </si>
  <si>
    <t xml:space="preserve">Marco Antonio Molina </t>
  </si>
  <si>
    <t>978-607-28-1429-5</t>
  </si>
  <si>
    <t xml:space="preserve">Pasaporte sellado. Cruzando las fronteras entre ciencias sociales y literatura. </t>
  </si>
  <si>
    <t>Alberto Trejo Amezcua y Gilda Waldman (coords.)</t>
  </si>
  <si>
    <t>978-607-28-1430-1</t>
  </si>
  <si>
    <t xml:space="preserve">Élites, ciudadanía y nuevos municipios en Sinaloa </t>
  </si>
  <si>
    <t xml:space="preserve">Jesús López Estrada </t>
  </si>
  <si>
    <t>UAM / Universidad Autónoma de Sinaloa</t>
  </si>
  <si>
    <t>978-607-28-1547-6</t>
  </si>
  <si>
    <t xml:space="preserve">Mujeres del campo forjando ciudadanía Gisela Espinosa Damián (coord.) </t>
  </si>
  <si>
    <t>Gisela Espinosa Damián (coord.)</t>
  </si>
  <si>
    <t>UAM / Red Nacional de Promotoras y Asesoras Rurales</t>
  </si>
  <si>
    <t>978-607-28-1320-5</t>
  </si>
  <si>
    <t>A contracorriente, las organizaciones del a sociedad civil en México</t>
  </si>
  <si>
    <t xml:space="preserve">Raúl Cabrera y Gabriela Sánchez (coords.) </t>
  </si>
  <si>
    <t>UAM / Instituto de investigaciones "Dr. José María Luis Mora"</t>
  </si>
  <si>
    <t>978-607-28-1475-2</t>
  </si>
  <si>
    <t xml:space="preserve">Migración desde la ex URSS. La diáspora 25 años después </t>
  </si>
  <si>
    <t xml:space="preserve">Cristina Pizzonia Barrionuevo (coord.) </t>
  </si>
  <si>
    <t>UAM / Editorial Itaca</t>
  </si>
  <si>
    <t>978-607-28-1321-2</t>
  </si>
  <si>
    <t xml:space="preserve">Desigualdad y pobreza </t>
  </si>
  <si>
    <t xml:space="preserve">Juan Manuel Corona (coord.) </t>
  </si>
  <si>
    <t>UAM  / Bonilla Artigas Editores</t>
  </si>
  <si>
    <t>978-607-28-1335-9</t>
  </si>
  <si>
    <t xml:space="preserve">Trazos y contextos  </t>
  </si>
  <si>
    <t xml:space="preserve">Luis Razgado (coord.) </t>
  </si>
  <si>
    <t>978-607-28-1334-2</t>
  </si>
  <si>
    <t xml:space="preserve">Economía informal y otras formas de producción y trabajo atípico. Estudios para el caso de México  </t>
  </si>
  <si>
    <t xml:space="preserve">René Rivera, Nidia López y Luz María Sánchez (coords.) </t>
  </si>
  <si>
    <t>978-607-28-1428-8</t>
  </si>
  <si>
    <t xml:space="preserve">Nuestros recursos nuestra vida  </t>
  </si>
  <si>
    <t xml:space="preserve">Violeta Núñez Rodríguez (coord.) </t>
  </si>
  <si>
    <t>978-607-28-1479-0</t>
  </si>
  <si>
    <t xml:space="preserve">Estudios y argumentaciones hermenéuticas Vol. 3  </t>
  </si>
  <si>
    <t xml:space="preserve">Humberto Guerra (coord.) </t>
  </si>
  <si>
    <t>978-607-28-1470-7</t>
  </si>
  <si>
    <t xml:space="preserve">Sentido y sujetos en la sociedad mexicana: lenguaje, educación y  cultura </t>
  </si>
  <si>
    <t xml:space="preserve">Alberto Sánchez Martínez y Diego Lizarazo Arias (coords.)
</t>
  </si>
  <si>
    <t>UAM / Universidad "Benito Juárez" Autónoma de Tabasco</t>
  </si>
  <si>
    <t>978-607-28-1481-3</t>
  </si>
  <si>
    <t xml:space="preserve">La universidad de cara a la constitución de la Ciudad de México  </t>
  </si>
  <si>
    <t xml:space="preserve">Manuel Canto Chac, Pilar Berrios (coords.) </t>
  </si>
  <si>
    <t>Editorial Fontamara</t>
  </si>
  <si>
    <t>978-607-28-1490-5</t>
  </si>
  <si>
    <t xml:space="preserve">Actores y autores. Microsociología de la cultura y la educación </t>
  </si>
  <si>
    <t xml:space="preserve">José Luis Cisneros (coord.) </t>
  </si>
  <si>
    <t>Ediciones y gráficos Eón</t>
  </si>
  <si>
    <t>978-607-28-1557-5</t>
  </si>
  <si>
    <t xml:space="preserve">Segundo compendio del sistema universitario mexicano </t>
  </si>
  <si>
    <t xml:space="preserve">Angélica Buendía y Ana Beatriz Pérez </t>
  </si>
  <si>
    <t>en trámite</t>
  </si>
  <si>
    <t xml:space="preserve">El siglo XXI: ¿Hacia un nuevo orden multipolar?  </t>
  </si>
  <si>
    <t xml:space="preserve">Nadia Pérez Rodríguez, Cuauhtémoc Pérez Llanas 
(coords.) 
</t>
  </si>
  <si>
    <t>Vinculación entre los procesos de comunicación y las estructuras de poder en México</t>
  </si>
  <si>
    <t xml:space="preserve">Carlos Raúl Navarro Benítez, Javier Esteinou Madrid, Josefa Erreguerena Albaiteiro, Elsie Mc Phail Fanger, Alicia Solís Leere </t>
  </si>
  <si>
    <t>978-607-28-1378-6</t>
  </si>
  <si>
    <t xml:space="preserve">Representaciones sociales y procesos de cambio en el grupo familiar </t>
  </si>
  <si>
    <t xml:space="preserve">María de Lourdes Femat González </t>
  </si>
  <si>
    <t>978-607-28-1380-9</t>
  </si>
  <si>
    <t xml:space="preserve">La ciencia en la palabra subjetividad y divulgación científica </t>
  </si>
  <si>
    <t>María de Lourdes Femat, Guadalupe Berruecos Villalobos</t>
  </si>
  <si>
    <t>978-607-28-1381-6</t>
  </si>
  <si>
    <t>Psicología social y realidades contemporáneas de México. Una mirada en conjunto de estudiantes y profesores</t>
  </si>
  <si>
    <t xml:space="preserve">Roberto Manero Brito, Valeria Falleti, Edgar Miguel Juárez Salazar </t>
  </si>
  <si>
    <t>978-607-28-1379-3</t>
  </si>
  <si>
    <t>Estudios de familia</t>
  </si>
  <si>
    <t xml:space="preserve">Armando Ortiz Tepale y María de Lourdes Femat González </t>
  </si>
  <si>
    <t>978-607-28-1377-9</t>
  </si>
  <si>
    <t xml:space="preserve">Manual de matemáticas financieras, para el crédito, el ahorro y la inversión  </t>
  </si>
  <si>
    <t xml:space="preserve">Yolanda Daniel Chichil </t>
  </si>
  <si>
    <t>978-607-28-0935-2</t>
  </si>
  <si>
    <t xml:space="preserve">El camino al siglo del Pacífico. Las otras rutas de la seda del siglo XXI Eduardo Tzili Apango </t>
  </si>
  <si>
    <t>Palabra de Clío</t>
  </si>
  <si>
    <t>978-607-97883-3-9</t>
  </si>
  <si>
    <t>La ceguera. Entre los materiales hápticos y el conocimiento del arte</t>
  </si>
  <si>
    <t>Jorge Eduardo Zarur Cortés</t>
  </si>
  <si>
    <t>978-607-28-1491-2</t>
  </si>
  <si>
    <t>Introducción a los métodos cuantitativos en la planeación territorial</t>
  </si>
  <si>
    <t>Iñaqui de Olaizola Arizmendi y Fernando Antonio Aguilar Méndez</t>
  </si>
  <si>
    <t>978-607-28-1528-5</t>
  </si>
  <si>
    <t>Crear en los límites</t>
  </si>
  <si>
    <t>Francisco Pérez Cortés</t>
  </si>
  <si>
    <t>978-607-28-1487-5</t>
  </si>
  <si>
    <t>Métodos cualitativos de investigación en educación superior</t>
  </si>
  <si>
    <t>María Isabel Arbesú García
José Luis Menendez Varela (Coordinadores)</t>
  </si>
  <si>
    <t>978-607-28-1478-3</t>
  </si>
  <si>
    <t>Conversatorio sobre diseño</t>
  </si>
  <si>
    <t>Gabriel Simón Sol</t>
  </si>
  <si>
    <t>978-607-28-1472-1</t>
  </si>
  <si>
    <t>Investigación y Diseño vol 3, (digital)</t>
  </si>
  <si>
    <t>Leonardo Meraz Quintana (coord)</t>
  </si>
  <si>
    <t>978-607-28-0961-1</t>
  </si>
  <si>
    <t>Derivas críticas del museo en América Latina</t>
  </si>
  <si>
    <t xml:space="preserve"> Pinochet Cobos, Carla </t>
  </si>
  <si>
    <t>Zona Crítica
Siglo XXI Editores, UNAM, Palabra de Clío y UDLAP</t>
  </si>
  <si>
    <t>978-607-03-0791-1</t>
  </si>
  <si>
    <t xml:space="preserve">Una educación estética en la era de la globalización </t>
  </si>
  <si>
    <t>Chakravorty Spivak, Gayatri Fraga, Christopher Michael (trad.)</t>
  </si>
  <si>
    <t xml:space="preserve"> Zona Crítica
Siglo XXI Editores, UNAM, Palabra de Clío y UDLAP</t>
  </si>
  <si>
    <t>978-607-28-1115-7</t>
  </si>
  <si>
    <t xml:space="preserve">Derivación tecnológica en apoyo a la agencia académica en educación superior </t>
  </si>
  <si>
    <t>Castañeda Figueiras, Sandra; Peñalosa Castro, Eduardo (coords.)</t>
  </si>
  <si>
    <t>978-607-28-1360-1</t>
  </si>
  <si>
    <t>La Evaluación de los académicos. Instituciones y Sistema Nacional de Investigadores, aciertos y controversias Bensusán, Graciela; Valenti, Giovanna (coords.) FLACSO México</t>
  </si>
  <si>
    <t xml:space="preserve">Bensusán, Graciela; Valenti, Giovanna (coords.) </t>
  </si>
  <si>
    <t>FLACSO México</t>
  </si>
  <si>
    <t>978-607-28-1263-5</t>
  </si>
  <si>
    <t xml:space="preserve">La Flama del tiempo. Testimoniales y estudios poéticos </t>
  </si>
  <si>
    <t>Urbina, Maribel; González, Alejandro; Martínez, Jocelyn (coords.)</t>
  </si>
  <si>
    <t xml:space="preserve"> Molinos de Viento. Serie Mayor (168)</t>
  </si>
  <si>
    <t>978-607-28-1071-6</t>
  </si>
  <si>
    <t xml:space="preserve">Josefina Vicens: un clásico por descubrir </t>
  </si>
  <si>
    <t xml:space="preserve">Domenella, Ana Rosa; Lojero, Norma (coords.) </t>
  </si>
  <si>
    <t>Abate Faria (25)
UAM-RG, 1a. ed., 2018</t>
  </si>
  <si>
    <t>978-607-28-0868-3</t>
  </si>
  <si>
    <t xml:space="preserve">María Luisa Puga y el espacio de la reconstrucción </t>
  </si>
  <si>
    <t xml:space="preserve">Puga, Alejandro; Petersen, Amanda Lee; Tovar, Carmen Patricia (coords.) </t>
  </si>
  <si>
    <t>UAM-RG, 1a. ed., 2018</t>
  </si>
  <si>
    <t>978-607-28-1455-4</t>
  </si>
  <si>
    <t>Viajeros en los andenes México 1910-1938</t>
  </si>
  <si>
    <t xml:space="preserve"> Ruiz Abreu, Álvaro </t>
  </si>
  <si>
    <t>Cultura Universitaria (126)</t>
  </si>
  <si>
    <t>978-607-28-1365-6</t>
  </si>
  <si>
    <t xml:space="preserve">Breve Introducción al pensamiento de Georges Canguilhem </t>
  </si>
  <si>
    <t>Bacarlett Pérez, María Luisa</t>
  </si>
  <si>
    <t>Biblioteca Básica</t>
  </si>
  <si>
    <t>978-607-28-1049-5</t>
  </si>
  <si>
    <t>Bárbaros contra cristianos. La polémica Bartolomé de las Casas - Juan Ginés de Sepúlveda</t>
  </si>
  <si>
    <t>Santiago, Teresa</t>
  </si>
  <si>
    <t>Abate Faria (30)
UAM-RG, 1a. ed., 2018</t>
  </si>
  <si>
    <t xml:space="preserve">978-607-28-1275-8 </t>
  </si>
  <si>
    <t>Si te dicen que he llorado por ti</t>
  </si>
  <si>
    <t>Licona, Alejandro</t>
  </si>
  <si>
    <t>Abate Faria (32)
UAM-RG, 1a. ed., 2018</t>
  </si>
  <si>
    <t xml:space="preserve">978-607-28-1373-1 </t>
  </si>
  <si>
    <t>Brazos del tiempo</t>
  </si>
  <si>
    <t>Mancilla Zayas, Araceli</t>
  </si>
  <si>
    <t>El Pez en el Agua. Serie Poesía
UAM-RG, 1a. ed., 2018</t>
  </si>
  <si>
    <t xml:space="preserve">978-607-28-1184-3 </t>
  </si>
  <si>
    <t>El Silencio de los muelles / Umbría nube</t>
  </si>
  <si>
    <t>Flores, Miguel Ángel</t>
  </si>
  <si>
    <t>El Pez en el Agua. Serie Poesía
UAM-RG, 1a. ed., 2019</t>
  </si>
  <si>
    <t>En trámite</t>
  </si>
  <si>
    <t>Tocar tu argolla en llamas</t>
  </si>
  <si>
    <t>Elvridge-Thomas, Roxana</t>
  </si>
  <si>
    <t>El Pez en el Agua. Serie Poesía
UAM-RG, 1a. ed., 2020</t>
  </si>
  <si>
    <t xml:space="preserve">978-607-28-1398-4 </t>
  </si>
  <si>
    <t>A 100 años de la primera Constitución política y social. Volumen I y II Balance y perspectivas, 1917-2017</t>
  </si>
  <si>
    <t>Flores Rentería, Joel; León Pérez, Alfonso (coords.)</t>
  </si>
  <si>
    <t>Abate Faria (31)
UAM-RG, 1a. ed., 2018</t>
  </si>
  <si>
    <t xml:space="preserve">978-607-28-1338-0 </t>
  </si>
  <si>
    <t>Una visión artística posible / A Possible Artistic Vision. Análisis de un proceso interdisciplinario entre la vanguardia tecnológica digital, el humanismo y las artes visuales / Analysis of an Interdisciplinary Process between ten Cutting Edge of Digital Technology, Humanism and the Visual Arts</t>
  </si>
  <si>
    <t>Gold, Bela Mendoza Toraya, Jorge Martín (trad.)</t>
  </si>
  <si>
    <t>978-607-28-0800-3</t>
  </si>
  <si>
    <t>La prosocialidad, cinco miradas latinoamericanas</t>
  </si>
  <si>
    <t>María de los Dolores Ayala, compiladora</t>
  </si>
  <si>
    <t>Colección Abate Faria No. 34</t>
  </si>
  <si>
    <t>978-607-28-1533-9</t>
  </si>
  <si>
    <t>Académico, Interdisciplina</t>
  </si>
  <si>
    <t>La prosocialidad en la educación universitaria: Proyecto SPRING</t>
  </si>
  <si>
    <t>978-607-28-1534-6</t>
  </si>
  <si>
    <t>978-607-28-1535-3</t>
  </si>
  <si>
    <t>978-607-28-1339-7</t>
  </si>
  <si>
    <r>
      <t>Bim En La Universidad,</t>
    </r>
    <r>
      <rPr>
        <sz val="8"/>
        <color rgb="FFFF0000"/>
        <rFont val="Calibri"/>
        <family val="2"/>
        <scheme val="minor"/>
      </rPr>
      <t>Bim En La Construcción</t>
    </r>
  </si>
  <si>
    <t xml:space="preserve"> 14P-18I</t>
  </si>
  <si>
    <t>14O-18P</t>
  </si>
  <si>
    <t>2008-2014</t>
  </si>
  <si>
    <t>Fuente: AGA Lic 2019-I 3a. Sem</t>
  </si>
  <si>
    <t>Egreso 2018</t>
  </si>
  <si>
    <r>
      <t>TIEMPO PROMEDIO EXCEDENTE DE TRIMESTRES REALMENTE CURSADOS PARA ACREDITAR PLAN DE ESTUDIOS DE</t>
    </r>
    <r>
      <rPr>
        <b/>
        <sz val="11"/>
        <color rgb="FFCC3300"/>
        <rFont val="Arial"/>
        <family val="2"/>
      </rPr>
      <t xml:space="preserve"> ESPECIALIZACIÓN</t>
    </r>
  </si>
  <si>
    <r>
      <t xml:space="preserve">TIEMPO PROMEDIO EXCEDENTE DE TRIMESTRES REALMENTE CURSADOS PARA ACREDITAR PLAN DE ESTUDIOS DE </t>
    </r>
    <r>
      <rPr>
        <b/>
        <sz val="11"/>
        <color rgb="FFCC3300"/>
        <rFont val="Arial"/>
        <family val="2"/>
      </rPr>
      <t>MAESTRÍA</t>
    </r>
  </si>
  <si>
    <r>
      <t xml:space="preserve">TIEMPO PROMEDIO EXCEDENTE DE TRIMESTRES REALMENTE CURSADOS PARA ACREDITAR PLAN DE ESTUDIOS DE </t>
    </r>
    <r>
      <rPr>
        <b/>
        <sz val="11"/>
        <color rgb="FFCC3300"/>
        <rFont val="Arial"/>
        <family val="2"/>
      </rPr>
      <t>DOCTORADO</t>
    </r>
  </si>
  <si>
    <t>Eficiencia Terminal Ingreso 2008-2014</t>
  </si>
  <si>
    <t>Lic. en Ciencia y Tecnología de Alimentos</t>
  </si>
  <si>
    <t>EFICIENCIA TERMINAL DE ALUMNOS DE ESPECIALIDAD QUE INGRESARON EN 2017</t>
  </si>
  <si>
    <t>AGA Posg 2019-I 1a Sem</t>
  </si>
  <si>
    <t>Criterio: aing_n = 2017 &amp; niv = 1 &amp; edo ~= 13</t>
  </si>
  <si>
    <t>(*) Plan de dos años, el ingreso es 2016 y plazo máximo para egresar 8 trimestres</t>
  </si>
  <si>
    <t>EFICIENCIA TERMINAL DE ALUMNOS DE MAESTRÍA QUE INGRESARON EN 2016</t>
  </si>
  <si>
    <t>Criterio: aing_n = 2016 &amp; niv = 2 &amp; edo ~= 13 &amp; plan &lt; 500</t>
  </si>
  <si>
    <t>(8 trimestre máximo para acreditar plan de estudios)</t>
  </si>
  <si>
    <t>UEA Requerida para Doctorado</t>
  </si>
  <si>
    <t>EFICIENCIA TERMINAL DE ALUMNOS DE DOCTORADO QUE INGRESARON EN 2014</t>
  </si>
  <si>
    <t>Criterio: aing_n = 2014 &amp; niv = 3 &amp; edo ~= 13 &amp; plan &lt; 500</t>
  </si>
  <si>
    <t>(14 trimestre máximo para acreditar plan de estudios)</t>
  </si>
  <si>
    <t>PROMEDIO DE TRIMESTRES REALMENTE CURSADOS PARA CREDITAR EL PLAN DE ESPECIALIZACIÓN</t>
  </si>
  <si>
    <r>
      <t xml:space="preserve">ALUMNOS DE ESPECIALIZACIÓN QUE CONCLUYERON EN </t>
    </r>
    <r>
      <rPr>
        <b/>
        <sz val="11"/>
        <color rgb="FFFF0000"/>
        <rFont val="Calibri"/>
        <family val="2"/>
        <scheme val="minor"/>
      </rPr>
      <t>2018</t>
    </r>
  </si>
  <si>
    <r>
      <t xml:space="preserve">PROMEDIO DE TRIMESTRES REALMENTE CURSADOS PARA CREDITAR EL PLAN DE MAESTRÍA_ALUMNOS DE MAESTRÍA QUE CONCLUYERON EN </t>
    </r>
    <r>
      <rPr>
        <b/>
        <sz val="12"/>
        <color rgb="FFFF0000"/>
        <rFont val="Calibri"/>
        <family val="2"/>
        <scheme val="minor"/>
      </rPr>
      <t>2018</t>
    </r>
  </si>
  <si>
    <t>PROMEDIO DE TRIMESTRES REALMENTE CURSADOS PARA CREDITAR EL PLAN DE DOCTORADO</t>
  </si>
  <si>
    <r>
      <t>ALUMNOS DE DOCTORADO QUE CONCLUYERON EN</t>
    </r>
    <r>
      <rPr>
        <b/>
        <sz val="11"/>
        <color rgb="FFFF0000"/>
        <rFont val="Calibri"/>
        <family val="2"/>
        <scheme val="minor"/>
      </rPr>
      <t xml:space="preserve"> 2018</t>
    </r>
  </si>
  <si>
    <t>LICENCIATURA 2018</t>
  </si>
  <si>
    <t>0.8 horas persona</t>
  </si>
  <si>
    <t>1.4 horas persona</t>
  </si>
  <si>
    <t>1.3 horas persona</t>
  </si>
  <si>
    <r>
      <t xml:space="preserve">FUENTE: Módulo de Control de Otros Fondos y Presupuesto de ingresos y Egresos </t>
    </r>
    <r>
      <rPr>
        <i/>
        <sz val="8"/>
        <color theme="1"/>
        <rFont val="Calibri"/>
        <family val="2"/>
        <scheme val="minor"/>
      </rPr>
      <t xml:space="preserve"> (</t>
    </r>
    <r>
      <rPr>
        <i/>
        <u/>
        <sz val="8"/>
        <color theme="1"/>
        <rFont val="Calibri"/>
        <family val="2"/>
        <scheme val="minor"/>
      </rPr>
      <t>Anexo estadístico/Apoyo institucional/Recursos externos</t>
    </r>
    <r>
      <rPr>
        <i/>
        <sz val="8"/>
        <color theme="1"/>
        <rFont val="Calibri"/>
        <family val="2"/>
        <scheme val="minor"/>
      </rPr>
      <t>)</t>
    </r>
  </si>
</sst>
</file>

<file path=xl/styles.xml><?xml version="1.0" encoding="utf-8"?>
<styleSheet xmlns="http://schemas.openxmlformats.org/spreadsheetml/2006/main">
  <numFmts count="31">
    <numFmt numFmtId="44" formatCode="_-&quot;$&quot;* #,##0.00_-;\-&quot;$&quot;* #,##0.00_-;_-&quot;$&quot;* &quot;-&quot;??_-;_-@_-"/>
    <numFmt numFmtId="43" formatCode="_-* #,##0.00_-;\-* #,##0.00_-;_-* &quot;-&quot;??_-;_-@_-"/>
    <numFmt numFmtId="164" formatCode="_([$€-2]* #,##0.00_);_([$€-2]* \(#,##0.00\);_([$€-2]* &quot;-&quot;??_)"/>
    <numFmt numFmtId="165" formatCode="_(* #,##0.00_);_(* \(#,##0.00\);_(* &quot;-&quot;??_);_(@_)"/>
    <numFmt numFmtId="166" formatCode="_(&quot;$&quot;* #,##0.00_);_(&quot;$&quot;* \(#,##0.00\);_(&quot;$&quot;* &quot;-&quot;??_);_(@_)"/>
    <numFmt numFmtId="167" formatCode="_(* #,##0_);_(* \(#,##0\);_(* &quot;-&quot;??_);_(@_)"/>
    <numFmt numFmtId="168" formatCode="0.0%"/>
    <numFmt numFmtId="169" formatCode="_-* #,##0_-;\-* #,##0_-;_-* &quot;-&quot;??_-;_-@_-"/>
    <numFmt numFmtId="170" formatCode="0_);\(0\)"/>
    <numFmt numFmtId="171" formatCode="0.0"/>
    <numFmt numFmtId="172" formatCode="#,##0_ ;\-#,##0\ "/>
    <numFmt numFmtId="173" formatCode="\ \ \ \ \ @"/>
    <numFmt numFmtId="174" formatCode="&quot;$&quot;#.00"/>
    <numFmt numFmtId="175" formatCode="&quot;$&quot;#,##0_);[Red]\(&quot;$&quot;#,##0\)"/>
    <numFmt numFmtId="176" formatCode="m\o\n\th\ d\,\ \y\y\y\y"/>
    <numFmt numFmtId="177" formatCode="#.00"/>
    <numFmt numFmtId="178" formatCode="#."/>
    <numFmt numFmtId="179" formatCode="%#.00"/>
    <numFmt numFmtId="180" formatCode="#,##0.0"/>
    <numFmt numFmtId="181" formatCode="_-* #,##0.0_-;\-* #,##0.0_-;_-* &quot;-&quot;??_-;_-@_-"/>
    <numFmt numFmtId="182" formatCode="###0"/>
    <numFmt numFmtId="183" formatCode="###0.0"/>
    <numFmt numFmtId="184" formatCode="####.0"/>
    <numFmt numFmtId="185" formatCode="###0.00"/>
    <numFmt numFmtId="186" formatCode="###0.000"/>
    <numFmt numFmtId="187" formatCode="####.000"/>
    <numFmt numFmtId="188" formatCode="####.00"/>
    <numFmt numFmtId="189" formatCode="[$-409]General"/>
    <numFmt numFmtId="190" formatCode="[$-1540A]dd\ mmmm\,\ yyyy;@"/>
    <numFmt numFmtId="191" formatCode="###0.0%"/>
    <numFmt numFmtId="192" formatCode="####.0%"/>
  </numFmts>
  <fonts count="308">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b/>
      <sz val="10"/>
      <name val="Gill Sans"/>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b/>
      <sz val="10"/>
      <color indexed="8"/>
      <name val="Calibri"/>
      <family val="2"/>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b/>
      <sz val="11"/>
      <color theme="5"/>
      <name val="Calibri"/>
      <family val="2"/>
      <scheme val="minor"/>
    </font>
    <font>
      <b/>
      <sz val="11"/>
      <color theme="9" tint="-0.249977111117893"/>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9"/>
      <color indexed="8"/>
      <name val="Calibri"/>
      <family val="2"/>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sz val="11"/>
      <color rgb="FF0070C0"/>
      <name val="Calibri"/>
      <family val="2"/>
      <scheme val="minor"/>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i/>
      <sz val="10"/>
      <color rgb="FF000000"/>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sz val="11"/>
      <color rgb="FF4F81BD"/>
      <name val="Calibri"/>
      <family val="2"/>
      <scheme val="minor"/>
    </font>
    <font>
      <b/>
      <sz val="11"/>
      <color rgb="FF00B050"/>
      <name val="Calibri"/>
      <family val="2"/>
      <scheme val="minor"/>
    </font>
    <font>
      <b/>
      <sz val="11"/>
      <color rgb="FF0070C0"/>
      <name val="Calibri"/>
      <family val="2"/>
      <scheme val="minor"/>
    </font>
    <font>
      <sz val="11"/>
      <color theme="0" tint="-0.499984740745262"/>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b/>
      <sz val="8"/>
      <color theme="0"/>
      <name val="Calibri"/>
      <family val="2"/>
      <scheme val="minor"/>
    </font>
    <font>
      <sz val="9"/>
      <color rgb="FF0070C0"/>
      <name val="Calibri"/>
      <family val="2"/>
      <scheme val="minor"/>
    </font>
    <font>
      <b/>
      <sz val="8"/>
      <color theme="1"/>
      <name val="Arial"/>
      <family val="2"/>
    </font>
    <font>
      <sz val="9"/>
      <color rgb="FF000000"/>
      <name val="Arial"/>
      <family val="2"/>
    </font>
    <font>
      <i/>
      <sz val="10"/>
      <color rgb="FF000000"/>
      <name val="Arial"/>
      <family val="2"/>
    </font>
    <font>
      <b/>
      <sz val="14"/>
      <name val="Arial"/>
      <family val="2"/>
    </font>
    <font>
      <sz val="8"/>
      <color indexed="63"/>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b/>
      <sz val="14"/>
      <color rgb="FFCD032E"/>
      <name val="Arial"/>
      <family val="2"/>
    </font>
    <font>
      <u/>
      <sz val="12"/>
      <color theme="10"/>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9"/>
      <color rgb="FFFF0000"/>
      <name val="Arial"/>
      <family val="2"/>
    </font>
    <font>
      <sz val="22"/>
      <color theme="1"/>
      <name val="Wingdings 3"/>
      <family val="1"/>
      <charset val="2"/>
    </font>
    <font>
      <b/>
      <sz val="11"/>
      <color rgb="FFCC3300"/>
      <name val="Arial"/>
      <family val="2"/>
    </font>
    <font>
      <sz val="11"/>
      <color theme="5" tint="-0.499984740745262"/>
      <name val="Arial"/>
      <family val="2"/>
    </font>
    <font>
      <i/>
      <sz val="14"/>
      <color theme="1"/>
      <name val="Arial"/>
      <family val="2"/>
    </font>
    <font>
      <b/>
      <i/>
      <sz val="12"/>
      <color rgb="FFFF0000"/>
      <name val="Calibri"/>
      <family val="2"/>
      <scheme val="minor"/>
    </font>
    <font>
      <b/>
      <sz val="11"/>
      <color rgb="FFCC3300"/>
      <name val="Calibri"/>
      <family val="2"/>
    </font>
    <font>
      <u/>
      <sz val="11"/>
      <color theme="10"/>
      <name val="Calibri"/>
      <family val="2"/>
    </font>
    <font>
      <sz val="12"/>
      <color indexed="8"/>
      <name val="Verdana"/>
      <family val="2"/>
    </font>
    <font>
      <sz val="8"/>
      <color rgb="FFFF0000"/>
      <name val="Calibri"/>
      <family val="2"/>
      <scheme val="minor"/>
    </font>
    <font>
      <b/>
      <sz val="10"/>
      <color rgb="FFCD032E"/>
      <name val="Calibri"/>
      <family val="2"/>
      <scheme val="minor"/>
    </font>
    <font>
      <b/>
      <sz val="9"/>
      <color rgb="FFCD032E"/>
      <name val="Calibri"/>
      <family val="2"/>
      <scheme val="minor"/>
    </font>
    <font>
      <b/>
      <sz val="9"/>
      <color rgb="FFF08200"/>
      <name val="Calibri"/>
      <family val="2"/>
      <scheme val="minor"/>
    </font>
    <font>
      <b/>
      <sz val="9"/>
      <color rgb="FF57A519"/>
      <name val="Calibri"/>
      <family val="2"/>
      <scheme val="minor"/>
    </font>
    <font>
      <b/>
      <sz val="9"/>
      <color rgb="FFAD25A8"/>
      <name val="Calibri"/>
      <family val="2"/>
      <scheme val="minor"/>
    </font>
    <font>
      <b/>
      <sz val="9"/>
      <color rgb="FF0072CE"/>
      <name val="Calibri"/>
      <family val="2"/>
      <scheme val="minor"/>
    </font>
    <font>
      <b/>
      <sz val="10"/>
      <color rgb="FFC00000"/>
      <name val="Arial"/>
      <family val="2"/>
    </font>
    <font>
      <u/>
      <sz val="8"/>
      <color theme="10"/>
      <name val="Calibri"/>
      <family val="2"/>
      <scheme val="minor"/>
    </font>
    <font>
      <b/>
      <sz val="11"/>
      <color rgb="FF353535"/>
      <name val="Calibri"/>
      <family val="2"/>
      <scheme val="minor"/>
    </font>
    <font>
      <b/>
      <sz val="10"/>
      <color rgb="FFFF0000"/>
      <name val="Calibri"/>
      <family val="2"/>
      <scheme val="minor"/>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b/>
      <sz val="14"/>
      <color indexed="10"/>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b/>
      <i/>
      <sz val="11"/>
      <name val="Calibri"/>
      <family val="2"/>
    </font>
    <font>
      <sz val="8"/>
      <color rgb="FFAD25A8"/>
      <name val="Calibri"/>
      <family val="2"/>
      <scheme val="minor"/>
    </font>
    <font>
      <i/>
      <sz val="10"/>
      <color indexed="8"/>
      <name val="Arial"/>
      <family val="2"/>
    </font>
    <font>
      <b/>
      <sz val="10"/>
      <name val="Gill Sans"/>
    </font>
    <font>
      <sz val="10"/>
      <name val="Gill Sans"/>
      <family val="2"/>
    </font>
    <font>
      <sz val="9"/>
      <name val="Gill Sans"/>
      <family val="2"/>
    </font>
    <font>
      <sz val="10"/>
      <name val="Gill Sans"/>
    </font>
    <font>
      <sz val="12"/>
      <color theme="1"/>
      <name val="Calibri"/>
      <family val="2"/>
    </font>
    <font>
      <sz val="8"/>
      <name val="Gill Sans"/>
      <family val="2"/>
    </font>
    <font>
      <b/>
      <sz val="14"/>
      <color theme="0"/>
      <name val="Arial"/>
      <family val="2"/>
    </font>
    <font>
      <b/>
      <sz val="12"/>
      <color theme="0"/>
      <name val="Arial"/>
      <family val="2"/>
    </font>
    <font>
      <b/>
      <sz val="8"/>
      <color rgb="FF000000"/>
      <name val="Arial"/>
      <family val="2"/>
    </font>
    <font>
      <b/>
      <sz val="8"/>
      <color indexed="8"/>
      <name val="Calibri"/>
      <family val="2"/>
      <scheme val="minor"/>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b/>
      <sz val="14"/>
      <name val="Calibri"/>
      <family val="2"/>
      <scheme val="minor"/>
    </font>
    <font>
      <i/>
      <sz val="9"/>
      <color rgb="FF000000"/>
      <name val="Calibri"/>
      <family val="2"/>
      <scheme val="minor"/>
    </font>
    <font>
      <i/>
      <sz val="9"/>
      <name val="Calibri"/>
      <family val="2"/>
      <scheme val="minor"/>
    </font>
    <font>
      <i/>
      <sz val="11"/>
      <name val="Calibri"/>
      <family val="2"/>
      <scheme val="minor"/>
    </font>
    <font>
      <sz val="11"/>
      <color theme="6" tint="-0.249977111117893"/>
      <name val="Calibri"/>
      <family val="2"/>
      <scheme val="minor"/>
    </font>
    <font>
      <i/>
      <sz val="9"/>
      <color rgb="FF0072CE"/>
      <name val="Calibri"/>
      <family val="2"/>
      <scheme val="minor"/>
    </font>
    <font>
      <b/>
      <i/>
      <sz val="11"/>
      <color rgb="FF0072CE"/>
      <name val="Calibri"/>
      <family val="2"/>
      <scheme val="minor"/>
    </font>
    <font>
      <i/>
      <sz val="10"/>
      <color rgb="FF0072CE"/>
      <name val="Calibri"/>
      <family val="2"/>
      <scheme val="minor"/>
    </font>
    <font>
      <sz val="8"/>
      <name val="Calibri"/>
      <family val="2"/>
    </font>
    <font>
      <b/>
      <sz val="8"/>
      <name val="Calibri"/>
      <family val="2"/>
    </font>
    <font>
      <i/>
      <sz val="9"/>
      <color indexed="8"/>
      <name val="Calibri"/>
      <family val="2"/>
      <scheme val="minor"/>
    </font>
    <font>
      <i/>
      <sz val="9"/>
      <color theme="1"/>
      <name val="Calibri"/>
      <family val="2"/>
      <scheme val="minor"/>
    </font>
    <font>
      <i/>
      <sz val="11"/>
      <color theme="1"/>
      <name val="Calibri"/>
      <family val="2"/>
      <scheme val="minor"/>
    </font>
    <font>
      <sz val="11"/>
      <color theme="0" tint="-0.249977111117893"/>
      <name val="Calibri"/>
      <family val="2"/>
      <scheme val="minor"/>
    </font>
    <font>
      <sz val="11"/>
      <color theme="1" tint="0.499984740745262"/>
      <name val="Calibri"/>
      <family val="2"/>
      <scheme val="minor"/>
    </font>
    <font>
      <sz val="11"/>
      <name val="Calibri"/>
      <family val="2"/>
    </font>
    <font>
      <i/>
      <sz val="8"/>
      <color rgb="FF0072CE"/>
      <name val="Calibri"/>
      <family val="2"/>
      <scheme val="minor"/>
    </font>
    <font>
      <i/>
      <sz val="8"/>
      <color rgb="FFFF0000"/>
      <name val="Calibri"/>
      <family val="2"/>
      <scheme val="minor"/>
    </font>
    <font>
      <i/>
      <sz val="8"/>
      <color rgb="FFAD25A8"/>
      <name val="Calibri"/>
      <family val="2"/>
      <scheme val="minor"/>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9"/>
      <name val="Gill Sans MT"/>
      <family val="2"/>
    </font>
    <font>
      <sz val="10"/>
      <name val="Verdana"/>
      <family val="2"/>
    </font>
    <font>
      <sz val="8"/>
      <color rgb="FF0070C0"/>
      <name val="Calibri"/>
      <family val="2"/>
      <scheme val="minor"/>
    </font>
    <font>
      <b/>
      <sz val="11"/>
      <color rgb="FFC00000"/>
      <name val="Arial"/>
      <family val="2"/>
    </font>
    <font>
      <b/>
      <vertAlign val="superscript"/>
      <sz val="12"/>
      <name val="Calibri"/>
      <family val="2"/>
      <scheme val="minor"/>
    </font>
    <font>
      <b/>
      <sz val="12"/>
      <name val="Calibri"/>
      <family val="2"/>
    </font>
    <font>
      <b/>
      <sz val="9"/>
      <name val="Calibri"/>
      <family val="2"/>
    </font>
    <font>
      <b/>
      <i/>
      <sz val="12"/>
      <color rgb="FFCD032E"/>
      <name val="Calibri"/>
      <family val="2"/>
      <scheme val="minor"/>
    </font>
    <font>
      <i/>
      <sz val="9"/>
      <color rgb="FFCD032E"/>
      <name val="Calibri"/>
      <family val="2"/>
      <scheme val="minor"/>
    </font>
    <font>
      <b/>
      <i/>
      <sz val="12"/>
      <color rgb="FFF08200"/>
      <name val="Calibri"/>
      <family val="2"/>
      <scheme val="minor"/>
    </font>
    <font>
      <i/>
      <sz val="9"/>
      <color rgb="FFF08200"/>
      <name val="Calibri"/>
      <family val="2"/>
      <scheme val="minor"/>
    </font>
    <font>
      <i/>
      <sz val="9"/>
      <color theme="9" tint="-0.249977111117893"/>
      <name val="Calibri"/>
      <family val="2"/>
      <scheme val="minor"/>
    </font>
    <font>
      <b/>
      <i/>
      <sz val="12"/>
      <color rgb="FF57A519"/>
      <name val="Calibri"/>
      <family val="2"/>
      <scheme val="minor"/>
    </font>
    <font>
      <sz val="10"/>
      <color rgb="FFAD25A8"/>
      <name val="Arial"/>
      <family val="2"/>
    </font>
    <font>
      <b/>
      <i/>
      <sz val="12"/>
      <color rgb="FFAD25A8"/>
      <name val="Calibri"/>
      <family val="2"/>
      <scheme val="minor"/>
    </font>
    <font>
      <b/>
      <i/>
      <sz val="12"/>
      <color rgb="FF0072CE"/>
      <name val="Calibri"/>
      <family val="2"/>
      <scheme val="minor"/>
    </font>
    <font>
      <sz val="12"/>
      <color rgb="FF000000"/>
      <name val="Calibri"/>
      <family val="2"/>
    </font>
    <font>
      <i/>
      <sz val="11"/>
      <color indexed="8"/>
      <name val="Calibri"/>
      <family val="2"/>
      <scheme val="minor"/>
    </font>
    <font>
      <b/>
      <i/>
      <sz val="11"/>
      <color indexed="8"/>
      <name val="Calibri"/>
      <family val="2"/>
      <scheme val="minor"/>
    </font>
    <font>
      <b/>
      <i/>
      <sz val="11"/>
      <color theme="9" tint="-0.249977111117893"/>
      <name val="Calibri"/>
      <family val="2"/>
      <scheme val="minor"/>
    </font>
    <font>
      <i/>
      <sz val="9"/>
      <color theme="1" tint="0.34998626667073579"/>
      <name val="Calibri"/>
      <family val="2"/>
      <scheme val="minor"/>
    </font>
    <font>
      <b/>
      <sz val="12"/>
      <color theme="0"/>
      <name val="Calibri"/>
      <family val="2"/>
      <scheme val="minor"/>
    </font>
    <font>
      <sz val="10"/>
      <color rgb="FF57A519"/>
      <name val="Arial"/>
      <family val="2"/>
    </font>
    <font>
      <b/>
      <i/>
      <sz val="12"/>
      <color theme="1" tint="0.34998626667073579"/>
      <name val="Calibri"/>
      <family val="2"/>
      <scheme val="minor"/>
    </font>
    <font>
      <b/>
      <u/>
      <sz val="14"/>
      <color theme="1"/>
      <name val="Calibri"/>
      <family val="2"/>
      <scheme val="minor"/>
    </font>
    <font>
      <b/>
      <i/>
      <sz val="14"/>
      <color theme="1"/>
      <name val="Arial"/>
      <family val="2"/>
    </font>
    <font>
      <b/>
      <sz val="11"/>
      <color theme="1" tint="0.499984740745262"/>
      <name val="Arial"/>
      <family val="2"/>
    </font>
    <font>
      <b/>
      <i/>
      <sz val="14"/>
      <color theme="1"/>
      <name val="Calibri"/>
      <family val="2"/>
      <scheme val="minor"/>
    </font>
    <font>
      <sz val="12"/>
      <color rgb="FFCD032E"/>
      <name val="Calibri"/>
      <family val="2"/>
      <scheme val="minor"/>
    </font>
    <font>
      <b/>
      <i/>
      <sz val="20"/>
      <color theme="1"/>
      <name val="Arial"/>
      <family val="2"/>
    </font>
    <font>
      <b/>
      <sz val="14"/>
      <color rgb="FFCD032E"/>
      <name val="Calibri"/>
      <family val="2"/>
      <scheme val="minor"/>
    </font>
    <font>
      <sz val="8"/>
      <color theme="9" tint="-0.249977111117893"/>
      <name val="Calibri"/>
      <family val="2"/>
      <scheme val="minor"/>
    </font>
    <font>
      <sz val="8"/>
      <color rgb="FF0072CE"/>
      <name val="Calibri"/>
      <family val="2"/>
      <scheme val="minor"/>
    </font>
    <font>
      <sz val="8"/>
      <color theme="0" tint="-0.499984740745262"/>
      <name val="Calibri"/>
      <family val="2"/>
      <scheme val="minor"/>
    </font>
    <font>
      <i/>
      <sz val="8"/>
      <color theme="0" tint="-0.499984740745262"/>
      <name val="Calibri"/>
      <family val="2"/>
      <scheme val="minor"/>
    </font>
    <font>
      <b/>
      <sz val="10"/>
      <color rgb="FFC00000"/>
      <name val="Calibri"/>
      <family val="2"/>
      <scheme val="minor"/>
    </font>
    <font>
      <i/>
      <u/>
      <sz val="8"/>
      <color theme="1"/>
      <name val="Calibri"/>
      <family val="2"/>
      <scheme val="minor"/>
    </font>
  </fonts>
  <fills count="60">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0"/>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rgb="FFFFFFFF"/>
        <bgColor rgb="FFFFFFFF"/>
      </patternFill>
    </fill>
  </fills>
  <borders count="3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8"/>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8"/>
      </left>
      <right/>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indexed="8"/>
      </left>
      <right/>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22"/>
      </left>
      <right/>
      <top style="thin">
        <color indexed="22"/>
      </top>
      <bottom/>
      <diagonal/>
    </border>
    <border>
      <left style="medium">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medium">
        <color indexed="64"/>
      </left>
      <right style="thin">
        <color indexed="22"/>
      </right>
      <top/>
      <bottom style="thin">
        <color indexed="22"/>
      </bottom>
      <diagonal/>
    </border>
    <border>
      <left style="medium">
        <color indexed="64"/>
      </left>
      <right style="thin">
        <color indexed="22"/>
      </right>
      <top/>
      <bottom style="thin">
        <color indexed="64"/>
      </bottom>
      <diagonal/>
    </border>
    <border>
      <left style="thin">
        <color indexed="22"/>
      </left>
      <right style="thin">
        <color indexed="64"/>
      </right>
      <top/>
      <bottom style="thin">
        <color indexed="22"/>
      </bottom>
      <diagonal/>
    </border>
    <border>
      <left/>
      <right style="thin">
        <color indexed="64"/>
      </right>
      <top style="thin">
        <color indexed="22"/>
      </top>
      <bottom style="thin">
        <color indexed="22"/>
      </bottom>
      <diagonal/>
    </border>
    <border>
      <left/>
      <right style="thin">
        <color indexed="64"/>
      </right>
      <top style="thin">
        <color indexed="22"/>
      </top>
      <bottom style="thin">
        <color indexed="64"/>
      </bottom>
      <diagonal/>
    </border>
    <border>
      <left/>
      <right style="thin">
        <color indexed="64"/>
      </right>
      <top style="thin">
        <color auto="1"/>
      </top>
      <bottom/>
      <diagonal/>
    </border>
    <border>
      <left/>
      <right style="thin">
        <color auto="1"/>
      </right>
      <top/>
      <bottom style="thin">
        <color auto="1"/>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n">
        <color indexed="64"/>
      </right>
      <top style="thin">
        <color indexed="22"/>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style="thin">
        <color indexed="22"/>
      </left>
      <right/>
      <top style="thin">
        <color indexed="22"/>
      </top>
      <bottom style="thin">
        <color indexed="64"/>
      </bottom>
      <diagonal/>
    </border>
    <border>
      <left style="thin">
        <color indexed="22"/>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thin">
        <color indexed="64"/>
      </right>
      <top style="medium">
        <color theme="0" tint="-0.14996795556505021"/>
      </top>
      <bottom style="medium">
        <color theme="0" tint="-0.14996795556505021"/>
      </bottom>
      <diagonal/>
    </border>
    <border>
      <left/>
      <right style="thin">
        <color indexed="64"/>
      </right>
      <top style="medium">
        <color theme="0" tint="-0.14996795556505021"/>
      </top>
      <bottom/>
      <diagonal/>
    </border>
    <border>
      <left/>
      <right/>
      <top style="medium">
        <color theme="0" tint="-0.14996795556505021"/>
      </top>
      <bottom style="thin">
        <color indexed="64"/>
      </bottom>
      <diagonal/>
    </border>
    <border>
      <left/>
      <right style="thin">
        <color indexed="64"/>
      </right>
      <top style="medium">
        <color theme="0" tint="-0.14996795556505021"/>
      </top>
      <bottom style="thin">
        <color indexed="64"/>
      </bottom>
      <diagonal/>
    </border>
    <border>
      <left style="medium">
        <color indexed="64"/>
      </left>
      <right/>
      <top style="medium">
        <color theme="0" tint="-0.14996795556505021"/>
      </top>
      <bottom style="thin">
        <color indexed="64"/>
      </bottom>
      <diagonal/>
    </border>
    <border>
      <left style="thin">
        <color indexed="64"/>
      </left>
      <right/>
      <top/>
      <bottom style="medium">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22"/>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22"/>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indexed="64"/>
      </right>
      <top/>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style="thin">
        <color indexed="64"/>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22"/>
      </top>
      <bottom style="thin">
        <color indexed="22"/>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style="thin">
        <color theme="0" tint="-0.24994659260841701"/>
      </right>
      <top style="thin">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theme="0" tint="-0.499984740745262"/>
      </right>
      <top style="thin">
        <color auto="1"/>
      </top>
      <bottom style="thin">
        <color auto="1"/>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style="thin">
        <color theme="0"/>
      </right>
      <top style="thin">
        <color indexed="64"/>
      </top>
      <bottom style="thin">
        <color indexed="64"/>
      </bottom>
      <diagonal/>
    </border>
    <border>
      <left style="medium">
        <color theme="0"/>
      </left>
      <right/>
      <top style="thin">
        <color auto="1"/>
      </top>
      <bottom style="thin">
        <color auto="1"/>
      </bottom>
      <diagonal/>
    </border>
    <border>
      <left/>
      <right style="medium">
        <color theme="0"/>
      </right>
      <top style="thin">
        <color indexed="64"/>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indexed="64"/>
      </left>
      <right style="thin">
        <color auto="1"/>
      </right>
      <top style="medium">
        <color indexed="64"/>
      </top>
      <bottom style="thin">
        <color auto="1"/>
      </bottom>
      <diagonal/>
    </border>
    <border>
      <left/>
      <right style="medium">
        <color theme="0" tint="-0.24994659260841701"/>
      </right>
      <top style="medium">
        <color indexed="64"/>
      </top>
      <bottom/>
      <diagonal/>
    </border>
    <border>
      <left style="medium">
        <color theme="0" tint="-0.24994659260841701"/>
      </left>
      <right style="thin">
        <color auto="1"/>
      </right>
      <top style="medium">
        <color indexed="64"/>
      </top>
      <bottom/>
      <diagonal/>
    </border>
    <border>
      <left/>
      <right style="medium">
        <color theme="0" tint="-0.24994659260841701"/>
      </right>
      <top/>
      <bottom/>
      <diagonal/>
    </border>
    <border>
      <left style="medium">
        <color theme="0" tint="-0.24994659260841701"/>
      </left>
      <right style="thin">
        <color indexed="64"/>
      </right>
      <top/>
      <bottom/>
      <diagonal/>
    </border>
    <border>
      <left style="thin">
        <color indexed="64"/>
      </left>
      <right style="medium">
        <color theme="0" tint="-0.24994659260841701"/>
      </right>
      <top style="thin">
        <color indexed="64"/>
      </top>
      <bottom style="thin">
        <color indexed="64"/>
      </bottom>
      <diagonal/>
    </border>
    <border>
      <left style="medium">
        <color theme="0" tint="-0.24994659260841701"/>
      </left>
      <right style="thin">
        <color indexed="64"/>
      </right>
      <top style="thin">
        <color indexed="64"/>
      </top>
      <bottom style="thin">
        <color indexed="64"/>
      </bottom>
      <diagonal/>
    </border>
    <border>
      <left/>
      <right style="medium">
        <color theme="0" tint="-0.24994659260841701"/>
      </right>
      <top style="thin">
        <color auto="1"/>
      </top>
      <bottom/>
      <diagonal/>
    </border>
    <border>
      <left style="medium">
        <color theme="0" tint="-0.24994659260841701"/>
      </left>
      <right style="thin">
        <color indexed="64"/>
      </right>
      <top style="thin">
        <color indexed="64"/>
      </top>
      <bottom/>
      <diagonal/>
    </border>
    <border>
      <left/>
      <right style="medium">
        <color theme="0" tint="-0.24994659260841701"/>
      </right>
      <top style="thin">
        <color indexed="64"/>
      </top>
      <bottom style="thin">
        <color indexed="64"/>
      </bottom>
      <diagonal/>
    </border>
    <border>
      <left/>
      <right style="medium">
        <color theme="0" tint="-0.24994659260841701"/>
      </right>
      <top/>
      <bottom style="thin">
        <color indexed="64"/>
      </bottom>
      <diagonal/>
    </border>
    <border>
      <left style="medium">
        <color theme="0" tint="-0.24994659260841701"/>
      </left>
      <right style="thin">
        <color auto="1"/>
      </right>
      <top/>
      <bottom style="thin">
        <color auto="1"/>
      </bottom>
      <diagonal/>
    </border>
    <border>
      <left style="thin">
        <color indexed="64"/>
      </left>
      <right style="medium">
        <color theme="0" tint="-0.24994659260841701"/>
      </right>
      <top style="thin">
        <color indexed="64"/>
      </top>
      <bottom/>
      <diagonal/>
    </border>
    <border>
      <left style="thin">
        <color indexed="64"/>
      </left>
      <right style="medium">
        <color theme="0" tint="-0.24994659260841701"/>
      </right>
      <top/>
      <bottom/>
      <diagonal/>
    </border>
    <border>
      <left style="thin">
        <color auto="1"/>
      </left>
      <right style="medium">
        <color theme="0" tint="-0.24994659260841701"/>
      </right>
      <top/>
      <bottom style="thin">
        <color auto="1"/>
      </bottom>
      <diagonal/>
    </border>
    <border>
      <left style="medium">
        <color theme="0" tint="-0.24994659260841701"/>
      </left>
      <right/>
      <top/>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style="thin">
        <color indexed="64"/>
      </bottom>
      <diagonal/>
    </border>
    <border>
      <left/>
      <right style="thin">
        <color theme="0" tint="-0.24994659260841701"/>
      </right>
      <top style="thin">
        <color indexed="64"/>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theme="0" tint="-0.24994659260841701"/>
      </left>
      <right/>
      <top/>
      <bottom style="medium">
        <color indexed="64"/>
      </bottom>
      <diagonal/>
    </border>
    <border>
      <left/>
      <right/>
      <top/>
      <bottom style="medium">
        <color rgb="FFCD032E"/>
      </bottom>
      <diagonal/>
    </border>
    <border>
      <left/>
      <right style="thin">
        <color theme="0" tint="-0.24994659260841701"/>
      </right>
      <top style="medium">
        <color rgb="FFCD032E"/>
      </top>
      <bottom/>
      <diagonal/>
    </border>
    <border>
      <left style="thin">
        <color theme="0" tint="-0.24994659260841701"/>
      </left>
      <right style="thin">
        <color theme="0" tint="-0.24994659260841701"/>
      </right>
      <top style="medium">
        <color rgb="FFCD032E"/>
      </top>
      <bottom/>
      <diagonal/>
    </border>
    <border>
      <left style="thin">
        <color theme="0" tint="-0.24994659260841701"/>
      </left>
      <right style="thin">
        <color theme="0" tint="-0.24994659260841701"/>
      </right>
      <top style="thin">
        <color indexed="64"/>
      </top>
      <bottom/>
      <diagonal/>
    </border>
    <border>
      <left/>
      <right/>
      <top/>
      <bottom style="medium">
        <color rgb="FFF08200"/>
      </bottom>
      <diagonal/>
    </border>
    <border>
      <left style="thin">
        <color theme="0" tint="-0.24994659260841701"/>
      </left>
      <right style="thin">
        <color theme="0" tint="-0.24994659260841701"/>
      </right>
      <top style="medium">
        <color rgb="FFF08200"/>
      </top>
      <bottom style="thin">
        <color theme="0" tint="-0.24994659260841701"/>
      </bottom>
      <diagonal/>
    </border>
    <border>
      <left style="thin">
        <color theme="0" tint="-0.24994659260841701"/>
      </left>
      <right/>
      <top style="thin">
        <color indexed="64"/>
      </top>
      <bottom style="thin">
        <color indexed="64"/>
      </bottom>
      <diagonal/>
    </border>
    <border>
      <left/>
      <right/>
      <top/>
      <bottom style="medium">
        <color rgb="FF57A519"/>
      </bottom>
      <diagonal/>
    </border>
    <border>
      <left/>
      <right/>
      <top/>
      <bottom style="medium">
        <color rgb="FFAD25A8"/>
      </bottom>
      <diagonal/>
    </border>
    <border>
      <left style="thin">
        <color theme="0" tint="-0.24994659260841701"/>
      </left>
      <right style="thin">
        <color theme="0" tint="-0.24994659260841701"/>
      </right>
      <top style="thin">
        <color theme="0" tint="-0.499984740745262"/>
      </top>
      <bottom style="thin">
        <color indexed="64"/>
      </bottom>
      <diagonal/>
    </border>
    <border>
      <left/>
      <right/>
      <top/>
      <bottom style="medium">
        <color rgb="FF0072CE"/>
      </bottom>
      <diagonal/>
    </border>
    <border>
      <left/>
      <right/>
      <top/>
      <bottom style="medium">
        <color theme="1" tint="0.34998626667073579"/>
      </bottom>
      <diagonal/>
    </border>
    <border>
      <left style="thin">
        <color auto="1"/>
      </left>
      <right/>
      <top/>
      <bottom style="medium">
        <color theme="0" tint="-0.499984740745262"/>
      </bottom>
      <diagonal/>
    </border>
    <border>
      <left/>
      <right/>
      <top style="medium">
        <color indexed="64"/>
      </top>
      <bottom style="thin">
        <color theme="0" tint="-0.24994659260841701"/>
      </bottom>
      <diagonal/>
    </border>
    <border>
      <left/>
      <right style="thin">
        <color theme="0"/>
      </right>
      <top style="thin">
        <color indexed="64"/>
      </top>
      <bottom/>
      <diagonal/>
    </border>
    <border>
      <left style="medium">
        <color theme="0"/>
      </left>
      <right/>
      <top style="thin">
        <color auto="1"/>
      </top>
      <bottom/>
      <diagonal/>
    </border>
    <border>
      <left/>
      <right style="medium">
        <color theme="0"/>
      </right>
      <top style="thin">
        <color indexed="64"/>
      </top>
      <bottom/>
      <diagonal/>
    </border>
    <border>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auto="1"/>
      </right>
      <top/>
      <bottom style="medium">
        <color indexed="64"/>
      </bottom>
      <diagonal/>
    </border>
    <border>
      <left style="thin">
        <color auto="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22"/>
      </left>
      <right/>
      <top/>
      <bottom style="thin">
        <color indexed="22"/>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theme="0" tint="-0.24994659260841701"/>
      </left>
      <right style="thin">
        <color theme="0" tint="-0.24994659260841701"/>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bottom style="thin">
        <color auto="1"/>
      </bottom>
      <diagonal/>
    </border>
    <border>
      <left style="thin">
        <color theme="0" tint="-0.24994659260841701"/>
      </left>
      <right style="thin">
        <color theme="0" tint="-0.24994659260841701"/>
      </right>
      <top/>
      <bottom style="thin">
        <color auto="1"/>
      </bottom>
      <diagonal/>
    </border>
    <border>
      <left style="thin">
        <color indexed="22"/>
      </left>
      <right/>
      <top style="thin">
        <color indexed="22"/>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22"/>
      </left>
      <right style="thin">
        <color indexed="64"/>
      </right>
      <top/>
      <bottom style="thin">
        <color indexed="22"/>
      </bottom>
      <diagonal/>
    </border>
    <border>
      <left style="thin">
        <color theme="0" tint="-0.24994659260841701"/>
      </left>
      <right style="thin">
        <color indexed="64"/>
      </right>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s>
  <cellStyleXfs count="3793">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3" fillId="0" borderId="0">
      <protection locked="0"/>
    </xf>
    <xf numFmtId="38" fontId="34" fillId="0" borderId="0" applyFont="0" applyFill="0" applyBorder="0" applyAlignment="0" applyProtection="0"/>
    <xf numFmtId="174" fontId="33" fillId="0" borderId="0">
      <protection locked="0"/>
    </xf>
    <xf numFmtId="175" fontId="34" fillId="0" borderId="0" applyFont="0" applyFill="0" applyBorder="0" applyAlignment="0" applyProtection="0"/>
    <xf numFmtId="176" fontId="33"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4" fontId="4" fillId="0" borderId="0" applyFont="0" applyFill="0" applyBorder="0" applyAlignment="0" applyProtection="0"/>
    <xf numFmtId="177" fontId="33" fillId="0" borderId="0">
      <protection locked="0"/>
    </xf>
    <xf numFmtId="178" fontId="35" fillId="0" borderId="0">
      <protection locked="0"/>
    </xf>
    <xf numFmtId="178" fontId="35" fillId="0" borderId="0">
      <protection locked="0"/>
    </xf>
    <xf numFmtId="0" fontId="39" fillId="0" borderId="0" applyNumberFormat="0" applyFill="0" applyBorder="0" applyAlignment="0" applyProtection="0">
      <alignment vertical="top"/>
      <protection locked="0"/>
    </xf>
    <xf numFmtId="0" fontId="15" fillId="6"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1" fillId="0" borderId="0"/>
    <xf numFmtId="0" fontId="31" fillId="0" borderId="0"/>
    <xf numFmtId="0" fontId="37"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38" fillId="0" borderId="0"/>
    <xf numFmtId="0" fontId="4" fillId="0" borderId="0"/>
    <xf numFmtId="0" fontId="38" fillId="0" borderId="0"/>
    <xf numFmtId="0" fontId="17" fillId="0" borderId="0"/>
    <xf numFmtId="0" fontId="4" fillId="5" borderId="4" applyNumberFormat="0" applyFont="0" applyAlignment="0" applyProtection="0"/>
    <xf numFmtId="179" fontId="33" fillId="0" borderId="0">
      <protection locked="0"/>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9" fillId="0" borderId="0"/>
    <xf numFmtId="9" fontId="69" fillId="0" borderId="0" applyFont="0" applyFill="0" applyBorder="0" applyAlignment="0" applyProtection="0"/>
    <xf numFmtId="0" fontId="1" fillId="0" borderId="0"/>
    <xf numFmtId="0" fontId="1" fillId="0" borderId="0"/>
    <xf numFmtId="0" fontId="10" fillId="13" borderId="34" applyNumberFormat="0" applyAlignment="0" applyProtection="0"/>
    <xf numFmtId="0" fontId="14" fillId="9" borderId="34" applyNumberFormat="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8" fillId="0" borderId="0"/>
    <xf numFmtId="0" fontId="1" fillId="0" borderId="0"/>
    <xf numFmtId="0" fontId="1" fillId="5" borderId="35" applyNumberFormat="0" applyFont="0" applyAlignment="0" applyProtection="0"/>
    <xf numFmtId="9" fontId="38" fillId="0" borderId="0" applyFont="0" applyFill="0" applyBorder="0" applyAlignment="0" applyProtection="0"/>
    <xf numFmtId="9" fontId="1" fillId="0" borderId="0" applyFont="0" applyFill="0" applyBorder="0" applyAlignment="0" applyProtection="0"/>
    <xf numFmtId="0" fontId="18" fillId="13" borderId="36" applyNumberFormat="0" applyAlignment="0" applyProtection="0"/>
    <xf numFmtId="0" fontId="23" fillId="0" borderId="37" applyNumberFormat="0" applyFill="0" applyAlignment="0" applyProtection="0"/>
    <xf numFmtId="0" fontId="1" fillId="5" borderId="35"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4" applyNumberFormat="0" applyAlignment="0" applyProtection="0"/>
    <xf numFmtId="0" fontId="14" fillId="9" borderId="34" applyNumberFormat="0" applyAlignment="0" applyProtection="0"/>
    <xf numFmtId="0" fontId="18" fillId="13" borderId="36" applyNumberFormat="0" applyAlignment="0" applyProtection="0"/>
    <xf numFmtId="0" fontId="23" fillId="0" borderId="37" applyNumberFormat="0" applyFill="0" applyAlignment="0" applyProtection="0"/>
    <xf numFmtId="0" fontId="78" fillId="0" borderId="0"/>
    <xf numFmtId="43" fontId="7" fillId="0" borderId="0" applyFont="0" applyFill="0" applyBorder="0" applyAlignment="0" applyProtection="0"/>
    <xf numFmtId="0" fontId="85" fillId="0" borderId="0"/>
    <xf numFmtId="9" fontId="85" fillId="0" borderId="0" applyFont="0" applyFill="0" applyBorder="0" applyAlignment="0" applyProtection="0"/>
    <xf numFmtId="0" fontId="17" fillId="0" borderId="0"/>
    <xf numFmtId="0" fontId="17" fillId="0" borderId="0"/>
    <xf numFmtId="0" fontId="10" fillId="13" borderId="51" applyNumberFormat="0" applyAlignment="0" applyProtection="0"/>
    <xf numFmtId="0" fontId="10" fillId="13" borderId="51" applyNumberFormat="0" applyAlignment="0" applyProtection="0"/>
    <xf numFmtId="0" fontId="10" fillId="13" borderId="51" applyNumberFormat="0" applyAlignment="0" applyProtection="0"/>
    <xf numFmtId="0" fontId="14" fillId="9" borderId="51" applyNumberFormat="0" applyAlignment="0" applyProtection="0"/>
    <xf numFmtId="0" fontId="14" fillId="9" borderId="51" applyNumberFormat="0" applyAlignment="0" applyProtection="0"/>
    <xf numFmtId="0" fontId="14" fillId="9" borderId="51" applyNumberFormat="0" applyAlignment="0" applyProtection="0"/>
    <xf numFmtId="0" fontId="1" fillId="0" borderId="0"/>
    <xf numFmtId="0" fontId="1" fillId="0" borderId="0"/>
    <xf numFmtId="0" fontId="1" fillId="5" borderId="52" applyNumberFormat="0" applyFont="0" applyAlignment="0" applyProtection="0"/>
    <xf numFmtId="0" fontId="1" fillId="5" borderId="52" applyNumberFormat="0" applyFont="0" applyAlignment="0" applyProtection="0"/>
    <xf numFmtId="0" fontId="1" fillId="5" borderId="52" applyNumberFormat="0" applyFont="0" applyAlignment="0" applyProtection="0"/>
    <xf numFmtId="0" fontId="1" fillId="5" borderId="52" applyNumberFormat="0" applyFont="0" applyAlignment="0" applyProtection="0"/>
    <xf numFmtId="9" fontId="1" fillId="0" borderId="0" applyFont="0" applyFill="0" applyBorder="0" applyAlignment="0" applyProtection="0"/>
    <xf numFmtId="0" fontId="18" fillId="13" borderId="53" applyNumberFormat="0" applyAlignment="0" applyProtection="0"/>
    <xf numFmtId="0" fontId="18" fillId="13" borderId="53" applyNumberFormat="0" applyAlignment="0" applyProtection="0"/>
    <xf numFmtId="0" fontId="18" fillId="13" borderId="53" applyNumberFormat="0" applyAlignment="0" applyProtection="0"/>
    <xf numFmtId="0" fontId="23" fillId="0" borderId="54" applyNumberFormat="0" applyFill="0" applyAlignment="0" applyProtection="0"/>
    <xf numFmtId="0" fontId="23" fillId="0" borderId="54" applyNumberFormat="0" applyFill="0" applyAlignment="0" applyProtection="0"/>
    <xf numFmtId="0" fontId="23" fillId="0" borderId="54" applyNumberFormat="0" applyFill="0" applyAlignment="0" applyProtection="0"/>
    <xf numFmtId="0" fontId="14" fillId="9" borderId="55" applyNumberFormat="0" applyAlignment="0" applyProtection="0"/>
    <xf numFmtId="0" fontId="14" fillId="9" borderId="55" applyNumberFormat="0" applyAlignment="0" applyProtection="0"/>
    <xf numFmtId="0" fontId="10" fillId="13" borderId="55" applyNumberFormat="0" applyAlignment="0" applyProtection="0"/>
    <xf numFmtId="0" fontId="10" fillId="13" borderId="55" applyNumberFormat="0" applyAlignment="0" applyProtection="0"/>
    <xf numFmtId="0" fontId="1" fillId="5" borderId="56" applyNumberFormat="0" applyFont="0" applyAlignment="0" applyProtection="0"/>
    <xf numFmtId="0" fontId="23" fillId="0" borderId="58" applyNumberFormat="0" applyFill="0" applyAlignment="0" applyProtection="0"/>
    <xf numFmtId="0" fontId="18" fillId="13" borderId="57" applyNumberFormat="0" applyAlignment="0" applyProtection="0"/>
    <xf numFmtId="0" fontId="1" fillId="5" borderId="56" applyNumberFormat="0" applyFont="0" applyAlignment="0" applyProtection="0"/>
    <xf numFmtId="0" fontId="14" fillId="9" borderId="55" applyNumberFormat="0" applyAlignment="0" applyProtection="0"/>
    <xf numFmtId="0" fontId="10" fillId="13" borderId="55" applyNumberFormat="0" applyAlignment="0" applyProtection="0"/>
    <xf numFmtId="0" fontId="14" fillId="9" borderId="67" applyNumberFormat="0" applyAlignment="0" applyProtection="0"/>
    <xf numFmtId="0" fontId="10" fillId="13" borderId="67"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56" applyNumberFormat="0" applyFont="0" applyAlignment="0" applyProtection="0"/>
    <xf numFmtId="0" fontId="1" fillId="5" borderId="56" applyNumberFormat="0" applyFont="0" applyAlignment="0" applyProtection="0"/>
    <xf numFmtId="0" fontId="18" fillId="13" borderId="57" applyNumberFormat="0" applyAlignment="0" applyProtection="0"/>
    <xf numFmtId="0" fontId="18" fillId="13" borderId="57" applyNumberFormat="0" applyAlignment="0" applyProtection="0"/>
    <xf numFmtId="0" fontId="23" fillId="0" borderId="58" applyNumberFormat="0" applyFill="0" applyAlignment="0" applyProtection="0"/>
    <xf numFmtId="0" fontId="23" fillId="0" borderId="58" applyNumberFormat="0" applyFill="0" applyAlignment="0" applyProtection="0"/>
    <xf numFmtId="0" fontId="10" fillId="13" borderId="67" applyNumberFormat="0" applyAlignment="0" applyProtection="0"/>
    <xf numFmtId="0" fontId="1" fillId="5" borderId="72" applyNumberFormat="0" applyFont="0" applyAlignment="0" applyProtection="0"/>
    <xf numFmtId="0" fontId="10" fillId="13" borderId="59" applyNumberFormat="0" applyAlignment="0" applyProtection="0"/>
    <xf numFmtId="0" fontId="14" fillId="9" borderId="59" applyNumberFormat="0" applyAlignment="0" applyProtection="0"/>
    <xf numFmtId="0" fontId="1" fillId="5" borderId="60" applyNumberFormat="0" applyFont="0" applyAlignment="0" applyProtection="0"/>
    <xf numFmtId="0" fontId="18" fillId="13" borderId="61" applyNumberFormat="0" applyAlignment="0" applyProtection="0"/>
    <xf numFmtId="0" fontId="23" fillId="0" borderId="62" applyNumberFormat="0" applyFill="0" applyAlignment="0" applyProtection="0"/>
    <xf numFmtId="0" fontId="1" fillId="5" borderId="60" applyNumberFormat="0" applyFont="0" applyAlignment="0" applyProtection="0"/>
    <xf numFmtId="0" fontId="10" fillId="13" borderId="59" applyNumberFormat="0" applyAlignment="0" applyProtection="0"/>
    <xf numFmtId="0" fontId="10" fillId="13" borderId="59" applyNumberFormat="0" applyAlignment="0" applyProtection="0"/>
    <xf numFmtId="0" fontId="14" fillId="9" borderId="59" applyNumberFormat="0" applyAlignment="0" applyProtection="0"/>
    <xf numFmtId="0" fontId="14" fillId="9" borderId="59" applyNumberFormat="0" applyAlignment="0" applyProtection="0"/>
    <xf numFmtId="0" fontId="1" fillId="5" borderId="60" applyNumberFormat="0" applyFont="0" applyAlignment="0" applyProtection="0"/>
    <xf numFmtId="0" fontId="1" fillId="5" borderId="60" applyNumberFormat="0" applyFont="0" applyAlignment="0" applyProtection="0"/>
    <xf numFmtId="0" fontId="18" fillId="13" borderId="61" applyNumberFormat="0" applyAlignment="0" applyProtection="0"/>
    <xf numFmtId="0" fontId="18" fillId="13" borderId="61" applyNumberFormat="0" applyAlignment="0" applyProtection="0"/>
    <xf numFmtId="0" fontId="23" fillId="0" borderId="62" applyNumberFormat="0" applyFill="0" applyAlignment="0" applyProtection="0"/>
    <xf numFmtId="0" fontId="23" fillId="0" borderId="62" applyNumberFormat="0" applyFill="0" applyAlignment="0" applyProtection="0"/>
    <xf numFmtId="0" fontId="10" fillId="13" borderId="71" applyNumberFormat="0" applyAlignment="0" applyProtection="0"/>
    <xf numFmtId="0" fontId="1" fillId="5" borderId="72" applyNumberFormat="0" applyFont="0" applyAlignment="0" applyProtection="0"/>
    <xf numFmtId="0" fontId="18" fillId="13" borderId="73" applyNumberFormat="0" applyAlignment="0" applyProtection="0"/>
    <xf numFmtId="0" fontId="18" fillId="13" borderId="69" applyNumberFormat="0" applyAlignment="0" applyProtection="0"/>
    <xf numFmtId="0" fontId="23" fillId="0" borderId="70" applyNumberFormat="0" applyFill="0" applyAlignment="0" applyProtection="0"/>
    <xf numFmtId="0" fontId="14" fillId="9" borderId="71" applyNumberFormat="0" applyAlignment="0" applyProtection="0"/>
    <xf numFmtId="0" fontId="23" fillId="0" borderId="74" applyNumberFormat="0" applyFill="0" applyAlignment="0" applyProtection="0"/>
    <xf numFmtId="0" fontId="1" fillId="5" borderId="68" applyNumberFormat="0" applyFont="0" applyAlignment="0" applyProtection="0"/>
    <xf numFmtId="0" fontId="14" fillId="9" borderId="67" applyNumberFormat="0" applyAlignment="0" applyProtection="0"/>
    <xf numFmtId="0" fontId="1" fillId="5" borderId="68" applyNumberFormat="0" applyFont="0" applyAlignment="0" applyProtection="0"/>
    <xf numFmtId="0" fontId="18" fillId="13" borderId="69" applyNumberFormat="0" applyAlignment="0" applyProtection="0"/>
    <xf numFmtId="0" fontId="10" fillId="13" borderId="67" applyNumberFormat="0" applyAlignment="0" applyProtection="0"/>
    <xf numFmtId="0" fontId="14" fillId="9" borderId="67" applyNumberFormat="0" applyAlignment="0" applyProtection="0"/>
    <xf numFmtId="0" fontId="18" fillId="13" borderId="69" applyNumberFormat="0" applyAlignment="0" applyProtection="0"/>
    <xf numFmtId="0" fontId="1" fillId="5" borderId="68" applyNumberFormat="0" applyFont="0" applyAlignment="0" applyProtection="0"/>
    <xf numFmtId="0" fontId="1" fillId="5" borderId="68" applyNumberFormat="0" applyFont="0" applyAlignment="0" applyProtection="0"/>
    <xf numFmtId="0" fontId="10" fillId="13" borderId="63" applyNumberFormat="0" applyAlignment="0" applyProtection="0"/>
    <xf numFmtId="0" fontId="14" fillId="9" borderId="63" applyNumberFormat="0" applyAlignment="0" applyProtection="0"/>
    <xf numFmtId="0" fontId="1" fillId="5" borderId="64" applyNumberFormat="0" applyFont="0" applyAlignment="0" applyProtection="0"/>
    <xf numFmtId="0" fontId="18" fillId="13" borderId="65" applyNumberFormat="0" applyAlignment="0" applyProtection="0"/>
    <xf numFmtId="0" fontId="23" fillId="0" borderId="66" applyNumberFormat="0" applyFill="0" applyAlignment="0" applyProtection="0"/>
    <xf numFmtId="0" fontId="1" fillId="5" borderId="64" applyNumberFormat="0" applyFont="0" applyAlignment="0" applyProtection="0"/>
    <xf numFmtId="0" fontId="10" fillId="13" borderId="63" applyNumberFormat="0" applyAlignment="0" applyProtection="0"/>
    <xf numFmtId="0" fontId="10" fillId="13" borderId="63" applyNumberFormat="0" applyAlignment="0" applyProtection="0"/>
    <xf numFmtId="0" fontId="14" fillId="9" borderId="63" applyNumberFormat="0" applyAlignment="0" applyProtection="0"/>
    <xf numFmtId="0" fontId="14" fillId="9" borderId="63" applyNumberFormat="0" applyAlignment="0" applyProtection="0"/>
    <xf numFmtId="0" fontId="1" fillId="5" borderId="64" applyNumberFormat="0" applyFont="0" applyAlignment="0" applyProtection="0"/>
    <xf numFmtId="0" fontId="1" fillId="5" borderId="64" applyNumberFormat="0" applyFont="0" applyAlignment="0" applyProtection="0"/>
    <xf numFmtId="0" fontId="18" fillId="13" borderId="65" applyNumberFormat="0" applyAlignment="0" applyProtection="0"/>
    <xf numFmtId="0" fontId="18" fillId="13" borderId="65" applyNumberFormat="0" applyAlignment="0" applyProtection="0"/>
    <xf numFmtId="0" fontId="23" fillId="0" borderId="66" applyNumberFormat="0" applyFill="0" applyAlignment="0" applyProtection="0"/>
    <xf numFmtId="0" fontId="23" fillId="0" borderId="66" applyNumberFormat="0" applyFill="0" applyAlignment="0" applyProtection="0"/>
    <xf numFmtId="0" fontId="23" fillId="0" borderId="70" applyNumberFormat="0" applyFill="0" applyAlignment="0" applyProtection="0"/>
    <xf numFmtId="0" fontId="23" fillId="0" borderId="70" applyNumberFormat="0" applyFill="0" applyAlignment="0" applyProtection="0"/>
    <xf numFmtId="0" fontId="10" fillId="13" borderId="71" applyNumberFormat="0" applyAlignment="0" applyProtection="0"/>
    <xf numFmtId="0" fontId="10" fillId="13" borderId="71" applyNumberFormat="0" applyAlignment="0" applyProtection="0"/>
    <xf numFmtId="0" fontId="14" fillId="9" borderId="71" applyNumberFormat="0" applyAlignment="0" applyProtection="0"/>
    <xf numFmtId="0" fontId="14" fillId="9" borderId="71" applyNumberFormat="0" applyAlignment="0" applyProtection="0"/>
    <xf numFmtId="0" fontId="1" fillId="5" borderId="72" applyNumberFormat="0" applyFont="0" applyAlignment="0" applyProtection="0"/>
    <xf numFmtId="0" fontId="1" fillId="5" borderId="72" applyNumberFormat="0" applyFont="0" applyAlignment="0" applyProtection="0"/>
    <xf numFmtId="0" fontId="18" fillId="13" borderId="73" applyNumberFormat="0" applyAlignment="0" applyProtection="0"/>
    <xf numFmtId="0" fontId="18" fillId="13" borderId="73" applyNumberFormat="0" applyAlignment="0" applyProtection="0"/>
    <xf numFmtId="0" fontId="23" fillId="0" borderId="74" applyNumberFormat="0" applyFill="0" applyAlignment="0" applyProtection="0"/>
    <xf numFmtId="0" fontId="23" fillId="0" borderId="74" applyNumberFormat="0" applyFill="0" applyAlignment="0" applyProtection="0"/>
    <xf numFmtId="0" fontId="10" fillId="13" borderId="75" applyNumberFormat="0" applyAlignment="0" applyProtection="0"/>
    <xf numFmtId="0" fontId="14" fillId="9" borderId="75" applyNumberFormat="0" applyAlignment="0" applyProtection="0"/>
    <xf numFmtId="0" fontId="1" fillId="5" borderId="76" applyNumberFormat="0" applyFont="0" applyAlignment="0" applyProtection="0"/>
    <xf numFmtId="0" fontId="18" fillId="13" borderId="77" applyNumberFormat="0" applyAlignment="0" applyProtection="0"/>
    <xf numFmtId="0" fontId="23" fillId="0" borderId="78" applyNumberFormat="0" applyFill="0" applyAlignment="0" applyProtection="0"/>
    <xf numFmtId="0" fontId="1" fillId="5" borderId="76" applyNumberFormat="0" applyFont="0" applyAlignment="0" applyProtection="0"/>
    <xf numFmtId="0" fontId="10" fillId="13" borderId="75" applyNumberFormat="0" applyAlignment="0" applyProtection="0"/>
    <xf numFmtId="0" fontId="10" fillId="13" borderId="75" applyNumberFormat="0" applyAlignment="0" applyProtection="0"/>
    <xf numFmtId="0" fontId="14" fillId="9" borderId="75" applyNumberFormat="0" applyAlignment="0" applyProtection="0"/>
    <xf numFmtId="0" fontId="14" fillId="9" borderId="75" applyNumberFormat="0" applyAlignment="0" applyProtection="0"/>
    <xf numFmtId="0" fontId="1" fillId="5" borderId="76" applyNumberFormat="0" applyFont="0" applyAlignment="0" applyProtection="0"/>
    <xf numFmtId="0" fontId="1" fillId="5" borderId="76" applyNumberFormat="0" applyFont="0" applyAlignment="0" applyProtection="0"/>
    <xf numFmtId="0" fontId="18" fillId="13" borderId="77" applyNumberFormat="0" applyAlignment="0" applyProtection="0"/>
    <xf numFmtId="0" fontId="18" fillId="13" borderId="77" applyNumberFormat="0" applyAlignment="0" applyProtection="0"/>
    <xf numFmtId="0" fontId="23" fillId="0" borderId="78" applyNumberFormat="0" applyFill="0" applyAlignment="0" applyProtection="0"/>
    <xf numFmtId="0" fontId="23" fillId="0" borderId="78" applyNumberFormat="0" applyFill="0" applyAlignment="0" applyProtection="0"/>
    <xf numFmtId="0" fontId="10" fillId="13" borderId="79" applyNumberFormat="0" applyAlignment="0" applyProtection="0"/>
    <xf numFmtId="0" fontId="14" fillId="9" borderId="79" applyNumberFormat="0" applyAlignment="0" applyProtection="0"/>
    <xf numFmtId="0" fontId="1" fillId="5" borderId="80" applyNumberFormat="0" applyFont="0" applyAlignment="0" applyProtection="0"/>
    <xf numFmtId="0" fontId="18" fillId="13" borderId="81" applyNumberFormat="0" applyAlignment="0" applyProtection="0"/>
    <xf numFmtId="0" fontId="23" fillId="0" borderId="82" applyNumberFormat="0" applyFill="0" applyAlignment="0" applyProtection="0"/>
    <xf numFmtId="0" fontId="1" fillId="5" borderId="80" applyNumberFormat="0" applyFont="0" applyAlignment="0" applyProtection="0"/>
    <xf numFmtId="0" fontId="10" fillId="13" borderId="79" applyNumberFormat="0" applyAlignment="0" applyProtection="0"/>
    <xf numFmtId="0" fontId="10" fillId="13" borderId="79" applyNumberFormat="0" applyAlignment="0" applyProtection="0"/>
    <xf numFmtId="0" fontId="14" fillId="9" borderId="79" applyNumberFormat="0" applyAlignment="0" applyProtection="0"/>
    <xf numFmtId="0" fontId="14" fillId="9" borderId="79" applyNumberFormat="0" applyAlignment="0" applyProtection="0"/>
    <xf numFmtId="0" fontId="1" fillId="5" borderId="80" applyNumberFormat="0" applyFont="0" applyAlignment="0" applyProtection="0"/>
    <xf numFmtId="0" fontId="1" fillId="5" borderId="80" applyNumberFormat="0" applyFont="0" applyAlignment="0" applyProtection="0"/>
    <xf numFmtId="0" fontId="18" fillId="13" borderId="81" applyNumberFormat="0" applyAlignment="0" applyProtection="0"/>
    <xf numFmtId="0" fontId="18" fillId="13" borderId="81" applyNumberFormat="0" applyAlignment="0" applyProtection="0"/>
    <xf numFmtId="0" fontId="23" fillId="0" borderId="82" applyNumberFormat="0" applyFill="0" applyAlignment="0" applyProtection="0"/>
    <xf numFmtId="0" fontId="23" fillId="0" borderId="82" applyNumberFormat="0" applyFill="0" applyAlignment="0" applyProtection="0"/>
    <xf numFmtId="0" fontId="102" fillId="0" borderId="0" applyNumberFormat="0" applyFill="0" applyBorder="0" applyAlignment="0" applyProtection="0"/>
    <xf numFmtId="44"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3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90" applyNumberFormat="0" applyFont="0" applyAlignment="0" applyProtection="0"/>
    <xf numFmtId="0" fontId="1" fillId="5" borderId="86" applyNumberFormat="0" applyFont="0" applyAlignment="0" applyProtection="0"/>
    <xf numFmtId="0" fontId="14" fillId="9" borderId="85" applyNumberFormat="0" applyAlignment="0" applyProtection="0"/>
    <xf numFmtId="0" fontId="10" fillId="13" borderId="85" applyNumberFormat="0" applyAlignment="0" applyProtection="0"/>
    <xf numFmtId="0" fontId="18" fillId="13" borderId="91" applyNumberFormat="0" applyAlignment="0" applyProtection="0"/>
    <xf numFmtId="0" fontId="18" fillId="13" borderId="84" applyNumberFormat="0" applyAlignment="0" applyProtection="0"/>
    <xf numFmtId="0" fontId="23" fillId="0" borderId="88" applyNumberFormat="0" applyFill="0" applyAlignment="0" applyProtection="0"/>
    <xf numFmtId="0" fontId="10" fillId="13" borderId="89" applyNumberFormat="0" applyAlignment="0" applyProtection="0"/>
    <xf numFmtId="0" fontId="7" fillId="0" borderId="0"/>
    <xf numFmtId="0" fontId="1" fillId="0" borderId="0"/>
    <xf numFmtId="0" fontId="38" fillId="0" borderId="0"/>
    <xf numFmtId="43" fontId="7" fillId="0" borderId="0" applyFont="0" applyFill="0" applyBorder="0" applyAlignment="0" applyProtection="0"/>
    <xf numFmtId="0" fontId="10" fillId="13" borderId="85" applyNumberFormat="0" applyAlignment="0" applyProtection="0"/>
    <xf numFmtId="0" fontId="10" fillId="13" borderId="85" applyNumberFormat="0" applyAlignment="0" applyProtection="0"/>
    <xf numFmtId="0" fontId="14" fillId="9" borderId="85" applyNumberFormat="0" applyAlignment="0" applyProtection="0"/>
    <xf numFmtId="0" fontId="14" fillId="9" borderId="85" applyNumberFormat="0" applyAlignment="0" applyProtection="0"/>
    <xf numFmtId="0" fontId="23" fillId="0" borderId="83" applyNumberFormat="0" applyFill="0" applyAlignment="0" applyProtection="0"/>
    <xf numFmtId="0" fontId="18" fillId="13" borderId="87" applyNumberFormat="0" applyAlignment="0" applyProtection="0"/>
    <xf numFmtId="0" fontId="14" fillId="9" borderId="89" applyNumberFormat="0" applyAlignment="0" applyProtection="0"/>
    <xf numFmtId="0" fontId="1" fillId="5" borderId="86" applyNumberFormat="0" applyFont="0" applyAlignment="0" applyProtection="0"/>
    <xf numFmtId="0" fontId="23" fillId="0" borderId="83" applyNumberFormat="0" applyFill="0" applyAlignment="0" applyProtection="0"/>
    <xf numFmtId="0" fontId="23" fillId="0" borderId="83" applyNumberFormat="0" applyFill="0" applyAlignment="0" applyProtection="0"/>
    <xf numFmtId="0" fontId="18" fillId="13" borderId="84" applyNumberFormat="0" applyAlignment="0" applyProtection="0"/>
    <xf numFmtId="0" fontId="18" fillId="13" borderId="84" applyNumberFormat="0" applyAlignment="0" applyProtection="0"/>
    <xf numFmtId="0" fontId="1" fillId="5" borderId="86" applyNumberFormat="0" applyFont="0" applyAlignment="0" applyProtection="0"/>
    <xf numFmtId="0" fontId="1" fillId="5" borderId="86" applyNumberFormat="0" applyFont="0" applyAlignment="0" applyProtection="0"/>
    <xf numFmtId="0" fontId="18" fillId="13" borderId="87" applyNumberFormat="0" applyAlignment="0" applyProtection="0"/>
    <xf numFmtId="0" fontId="18" fillId="13" borderId="87" applyNumberFormat="0" applyAlignment="0" applyProtection="0"/>
    <xf numFmtId="0" fontId="23" fillId="0" borderId="88" applyNumberFormat="0" applyFill="0" applyAlignment="0" applyProtection="0"/>
    <xf numFmtId="0" fontId="23" fillId="0" borderId="88" applyNumberFormat="0" applyFill="0" applyAlignment="0" applyProtection="0"/>
    <xf numFmtId="0" fontId="23" fillId="0" borderId="92" applyNumberFormat="0" applyFill="0" applyAlignment="0" applyProtection="0"/>
    <xf numFmtId="0" fontId="1" fillId="5" borderId="90" applyNumberFormat="0" applyFont="0" applyAlignment="0" applyProtection="0"/>
    <xf numFmtId="0" fontId="10" fillId="13" borderId="89" applyNumberFormat="0" applyAlignment="0" applyProtection="0"/>
    <xf numFmtId="0" fontId="10" fillId="13" borderId="89" applyNumberFormat="0" applyAlignment="0" applyProtection="0"/>
    <xf numFmtId="0" fontId="14" fillId="9" borderId="89" applyNumberFormat="0" applyAlignment="0" applyProtection="0"/>
    <xf numFmtId="0" fontId="14" fillId="9" borderId="89" applyNumberFormat="0" applyAlignment="0" applyProtection="0"/>
    <xf numFmtId="0" fontId="1" fillId="5" borderId="90" applyNumberFormat="0" applyFont="0" applyAlignment="0" applyProtection="0"/>
    <xf numFmtId="0" fontId="1" fillId="5" borderId="90" applyNumberFormat="0" applyFont="0" applyAlignment="0" applyProtection="0"/>
    <xf numFmtId="0" fontId="18" fillId="13" borderId="91" applyNumberFormat="0" applyAlignment="0" applyProtection="0"/>
    <xf numFmtId="0" fontId="18" fillId="13" borderId="91" applyNumberFormat="0" applyAlignment="0" applyProtection="0"/>
    <xf numFmtId="0" fontId="23" fillId="0" borderId="92" applyNumberFormat="0" applyFill="0" applyAlignment="0" applyProtection="0"/>
    <xf numFmtId="0" fontId="23" fillId="0" borderId="92" applyNumberFormat="0" applyFill="0" applyAlignment="0" applyProtection="0"/>
    <xf numFmtId="0" fontId="1" fillId="0" borderId="0"/>
    <xf numFmtId="0" fontId="1" fillId="0" borderId="0">
      <alignment horizontal="left" wrapText="1"/>
    </xf>
    <xf numFmtId="0" fontId="17"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43" fontId="38" fillId="0" borderId="0" applyFont="0" applyFill="0" applyBorder="0" applyAlignment="0" applyProtection="0"/>
    <xf numFmtId="0" fontId="1" fillId="0" borderId="0"/>
    <xf numFmtId="0" fontId="38" fillId="0" borderId="0"/>
    <xf numFmtId="0" fontId="38" fillId="0" borderId="0"/>
    <xf numFmtId="0" fontId="153" fillId="0" borderId="0"/>
    <xf numFmtId="0" fontId="38" fillId="0" borderId="0"/>
    <xf numFmtId="0" fontId="38" fillId="0" borderId="0"/>
    <xf numFmtId="0" fontId="38" fillId="0" borderId="0"/>
    <xf numFmtId="0" fontId="38" fillId="0" borderId="0"/>
    <xf numFmtId="0" fontId="38"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12" applyNumberFormat="0" applyAlignment="0" applyProtection="0"/>
    <xf numFmtId="0" fontId="10" fillId="13" borderId="112"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12" applyNumberFormat="0" applyAlignment="0" applyProtection="0"/>
    <xf numFmtId="0" fontId="14" fillId="9" borderId="112" applyNumberFormat="0" applyAlignment="0" applyProtection="0"/>
    <xf numFmtId="0" fontId="15" fillId="6"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xf numFmtId="0" fontId="5" fillId="0" borderId="0"/>
    <xf numFmtId="0" fontId="38" fillId="0" borderId="0"/>
    <xf numFmtId="0" fontId="38" fillId="0" borderId="0"/>
    <xf numFmtId="0" fontId="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1" fillId="0" borderId="0"/>
    <xf numFmtId="0" fontId="1" fillId="5" borderId="113" applyNumberFormat="0" applyFont="0" applyAlignment="0" applyProtection="0"/>
    <xf numFmtId="0" fontId="1" fillId="5" borderId="113"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18" fillId="13" borderId="114" applyNumberFormat="0" applyAlignment="0" applyProtection="0"/>
    <xf numFmtId="0" fontId="18" fillId="13" borderId="114"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115" applyNumberFormat="0" applyFill="0" applyAlignment="0" applyProtection="0"/>
    <xf numFmtId="0" fontId="23" fillId="0" borderId="115" applyNumberFormat="0" applyFill="0" applyAlignment="0" applyProtection="0"/>
    <xf numFmtId="0" fontId="1" fillId="0" borderId="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 fillId="0" borderId="0"/>
    <xf numFmtId="0" fontId="172" fillId="0" borderId="0" applyNumberFormat="0" applyFill="0" applyBorder="0" applyAlignment="0" applyProtection="0">
      <alignment vertical="top"/>
      <protection locked="0"/>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 fillId="0" borderId="0"/>
    <xf numFmtId="0" fontId="38" fillId="0" borderId="0"/>
    <xf numFmtId="0" fontId="38" fillId="0" borderId="0"/>
    <xf numFmtId="0" fontId="17" fillId="0" borderId="0"/>
    <xf numFmtId="0" fontId="17" fillId="0" borderId="0"/>
    <xf numFmtId="0" fontId="1" fillId="0" borderId="0"/>
    <xf numFmtId="0" fontId="1" fillId="0" borderId="0"/>
    <xf numFmtId="0" fontId="1" fillId="0" borderId="0"/>
    <xf numFmtId="0" fontId="1" fillId="0" borderId="0"/>
    <xf numFmtId="0" fontId="52"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0" fontId="10" fillId="13" borderId="201" applyNumberFormat="0" applyAlignment="0" applyProtection="0"/>
    <xf numFmtId="38" fontId="34" fillId="0" borderId="0" applyFont="0" applyFill="0" applyBorder="0" applyAlignment="0" applyProtection="0"/>
    <xf numFmtId="4" fontId="33" fillId="0" borderId="0">
      <protection locked="0"/>
    </xf>
    <xf numFmtId="43" fontId="7" fillId="0" borderId="0" applyFont="0" applyFill="0" applyBorder="0" applyAlignment="0" applyProtection="0"/>
    <xf numFmtId="4" fontId="33" fillId="0" borderId="0">
      <protection locked="0"/>
    </xf>
    <xf numFmtId="4" fontId="33" fillId="0" borderId="0">
      <protection locked="0"/>
    </xf>
    <xf numFmtId="4" fontId="33" fillId="0" borderId="0">
      <protection locked="0"/>
    </xf>
    <xf numFmtId="175" fontId="34" fillId="0" borderId="0" applyFont="0" applyFill="0" applyBorder="0" applyAlignment="0" applyProtection="0"/>
    <xf numFmtId="174" fontId="33" fillId="0" borderId="0">
      <protection locked="0"/>
    </xf>
    <xf numFmtId="44" fontId="7" fillId="0" borderId="0" applyFont="0" applyFill="0" applyBorder="0" applyAlignment="0" applyProtection="0"/>
    <xf numFmtId="174" fontId="33" fillId="0" borderId="0">
      <protection locked="0"/>
    </xf>
    <xf numFmtId="44" fontId="1" fillId="0" borderId="0" applyFont="0" applyFill="0" applyBorder="0" applyAlignment="0" applyProtection="0"/>
    <xf numFmtId="174" fontId="33" fillId="0" borderId="0">
      <protection locked="0"/>
    </xf>
    <xf numFmtId="174" fontId="33" fillId="0" borderId="0">
      <protection locked="0"/>
    </xf>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0" fontId="14" fillId="9" borderId="201" applyNumberFormat="0" applyAlignment="0" applyProtection="0"/>
    <xf numFmtId="189" fontId="44" fillId="0" borderId="0"/>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205" fillId="0" borderId="0" applyNumberFormat="0" applyFill="0" applyBorder="0" applyProtection="0">
      <alignment vertical="top" wrapText="1"/>
    </xf>
    <xf numFmtId="0" fontId="205" fillId="0" borderId="0" applyNumberFormat="0" applyFill="0" applyBorder="0" applyProtection="0">
      <alignment vertical="top" wrapText="1"/>
    </xf>
    <xf numFmtId="0" fontId="205" fillId="0" borderId="0" applyNumberFormat="0" applyFill="0" applyBorder="0" applyProtection="0">
      <alignment vertical="top" wrapText="1"/>
    </xf>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0" fontId="1" fillId="5" borderId="202" applyNumberFormat="0" applyFont="0" applyAlignment="0" applyProtection="0"/>
    <xf numFmtId="179" fontId="33" fillId="0" borderId="0">
      <protection locked="0"/>
    </xf>
    <xf numFmtId="9" fontId="7" fillId="0" borderId="0" applyFont="0" applyFill="0" applyBorder="0" applyAlignment="0" applyProtection="0"/>
    <xf numFmtId="179" fontId="33" fillId="0" borderId="0">
      <protection locked="0"/>
    </xf>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18" fillId="13" borderId="203" applyNumberFormat="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23" fillId="0" borderId="204" applyNumberFormat="0" applyFill="0" applyAlignment="0" applyProtection="0"/>
    <xf numFmtId="0" fontId="1" fillId="0" borderId="0"/>
    <xf numFmtId="0" fontId="1" fillId="0" borderId="0"/>
    <xf numFmtId="189" fontId="1" fillId="0" borderId="0"/>
    <xf numFmtId="189"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272" fillId="54" borderId="268" applyNumberFormat="0" applyFont="0" applyAlignment="0" applyProtection="0"/>
    <xf numFmtId="0" fontId="38" fillId="0" borderId="0"/>
  </cellStyleXfs>
  <cellXfs count="5593">
    <xf numFmtId="0" fontId="0" fillId="0" borderId="0" xfId="0"/>
    <xf numFmtId="0" fontId="0" fillId="0" borderId="0" xfId="0" applyAlignment="1">
      <alignment vertical="center"/>
    </xf>
    <xf numFmtId="3" fontId="0" fillId="0" borderId="0" xfId="0" applyNumberFormat="1"/>
    <xf numFmtId="0" fontId="0" fillId="0" borderId="0" xfId="0" applyAlignment="1">
      <alignment horizontal="right"/>
    </xf>
    <xf numFmtId="168" fontId="0" fillId="0" borderId="0" xfId="0" applyNumberFormat="1"/>
    <xf numFmtId="0" fontId="17" fillId="0" borderId="0" xfId="0" applyFont="1" applyAlignment="1">
      <alignment horizontal="center"/>
    </xf>
    <xf numFmtId="0" fontId="46" fillId="0" borderId="0" xfId="0" applyFont="1" applyAlignment="1">
      <alignment vertical="center"/>
    </xf>
    <xf numFmtId="0" fontId="44" fillId="0" borderId="0" xfId="0" applyFont="1" applyAlignment="1">
      <alignment vertical="center"/>
    </xf>
    <xf numFmtId="9" fontId="38" fillId="0" borderId="0" xfId="180" applyFont="1"/>
    <xf numFmtId="0" fontId="3" fillId="0" borderId="0" xfId="0" applyFont="1"/>
    <xf numFmtId="171" fontId="0" fillId="0" borderId="0" xfId="0" applyNumberFormat="1"/>
    <xf numFmtId="0" fontId="52" fillId="0" borderId="0" xfId="0" applyFont="1"/>
    <xf numFmtId="9" fontId="38" fillId="0" borderId="0" xfId="176"/>
    <xf numFmtId="3" fontId="44" fillId="0" borderId="14" xfId="0" applyNumberFormat="1" applyFont="1" applyBorder="1" applyAlignment="1">
      <alignment horizontal="center" vertical="center"/>
    </xf>
    <xf numFmtId="3" fontId="44" fillId="0" borderId="0" xfId="0" applyNumberFormat="1" applyFont="1" applyAlignment="1">
      <alignment horizontal="center" vertical="center"/>
    </xf>
    <xf numFmtId="171" fontId="44" fillId="0" borderId="11" xfId="0" applyNumberFormat="1" applyFont="1" applyBorder="1" applyAlignment="1">
      <alignment horizontal="center" vertical="center"/>
    </xf>
    <xf numFmtId="171" fontId="44" fillId="0" borderId="12" xfId="0" applyNumberFormat="1" applyFont="1" applyBorder="1" applyAlignment="1">
      <alignment horizontal="center" vertical="center"/>
    </xf>
    <xf numFmtId="0" fontId="44" fillId="0" borderId="13" xfId="0" applyFont="1" applyBorder="1" applyAlignment="1">
      <alignment vertical="center"/>
    </xf>
    <xf numFmtId="0" fontId="44" fillId="0" borderId="13" xfId="0" applyFont="1" applyBorder="1" applyAlignment="1">
      <alignment vertical="center" wrapText="1"/>
    </xf>
    <xf numFmtId="0" fontId="27" fillId="0" borderId="0" xfId="0" applyFont="1" applyAlignment="1">
      <alignment horizontal="left"/>
    </xf>
    <xf numFmtId="0" fontId="17" fillId="0" borderId="0" xfId="0" applyFont="1"/>
    <xf numFmtId="0" fontId="17" fillId="0" borderId="0" xfId="0" applyFont="1" applyAlignment="1">
      <alignment horizontal="center" vertical="top" wrapText="1"/>
    </xf>
    <xf numFmtId="0" fontId="17" fillId="0" borderId="0" xfId="0" applyFont="1" applyAlignment="1">
      <alignment horizontal="left" vertical="top" wrapText="1"/>
    </xf>
    <xf numFmtId="9" fontId="7" fillId="0" borderId="0" xfId="180"/>
    <xf numFmtId="10" fontId="50" fillId="0" borderId="0" xfId="176" applyNumberFormat="1" applyFont="1" applyAlignment="1">
      <alignment horizontal="center" vertical="center"/>
    </xf>
    <xf numFmtId="3" fontId="41" fillId="0" borderId="0" xfId="0" applyNumberFormat="1" applyFont="1" applyAlignment="1">
      <alignment horizontal="center" vertical="center"/>
    </xf>
    <xf numFmtId="0" fontId="42" fillId="0" borderId="13" xfId="0" applyFont="1" applyBorder="1" applyAlignment="1">
      <alignment horizontal="justify" vertical="justify"/>
    </xf>
    <xf numFmtId="3" fontId="42" fillId="0" borderId="10" xfId="0" applyNumberFormat="1" applyFont="1" applyBorder="1" applyAlignment="1">
      <alignment horizontal="center" vertical="center"/>
    </xf>
    <xf numFmtId="3" fontId="42" fillId="0" borderId="0" xfId="0" applyNumberFormat="1" applyFont="1" applyAlignment="1">
      <alignment horizontal="center" vertical="center"/>
    </xf>
    <xf numFmtId="171" fontId="0" fillId="0" borderId="11" xfId="0" applyNumberFormat="1" applyBorder="1" applyAlignment="1">
      <alignment horizontal="center" vertical="center"/>
    </xf>
    <xf numFmtId="171" fontId="50" fillId="0" borderId="0" xfId="0" applyNumberFormat="1" applyFont="1" applyAlignment="1">
      <alignment horizontal="center" vertical="center"/>
    </xf>
    <xf numFmtId="0" fontId="56" fillId="0" borderId="0" xfId="0" applyFont="1"/>
    <xf numFmtId="0" fontId="17" fillId="0" borderId="0" xfId="0" applyFont="1" applyAlignment="1">
      <alignment vertical="center"/>
    </xf>
    <xf numFmtId="168" fontId="0" fillId="0" borderId="0" xfId="176" applyNumberFormat="1" applyFont="1" applyAlignment="1">
      <alignment vertical="center"/>
    </xf>
    <xf numFmtId="0" fontId="0" fillId="0" borderId="0" xfId="0" applyAlignment="1">
      <alignment horizontal="left"/>
    </xf>
    <xf numFmtId="3" fontId="0" fillId="0" borderId="13" xfId="0" applyNumberFormat="1" applyBorder="1"/>
    <xf numFmtId="3" fontId="40" fillId="0" borderId="0" xfId="0" applyNumberFormat="1" applyFont="1"/>
    <xf numFmtId="0" fontId="1" fillId="0" borderId="0" xfId="0" applyFont="1" applyAlignment="1">
      <alignment vertical="center"/>
    </xf>
    <xf numFmtId="0" fontId="42" fillId="0" borderId="0" xfId="0" applyFont="1"/>
    <xf numFmtId="168" fontId="0" fillId="0" borderId="0" xfId="176" applyNumberFormat="1" applyFont="1"/>
    <xf numFmtId="169" fontId="0" fillId="0" borderId="0" xfId="0" applyNumberFormat="1"/>
    <xf numFmtId="10" fontId="0" fillId="0" borderId="0" xfId="176" applyNumberFormat="1" applyFont="1"/>
    <xf numFmtId="0" fontId="48" fillId="0" borderId="0" xfId="0" applyFont="1"/>
    <xf numFmtId="0" fontId="40" fillId="0" borderId="0" xfId="0" applyFont="1"/>
    <xf numFmtId="168" fontId="0" fillId="0" borderId="13" xfId="176" applyNumberFormat="1" applyFont="1" applyBorder="1" applyAlignment="1">
      <alignment horizontal="center"/>
    </xf>
    <xf numFmtId="168" fontId="40" fillId="0" borderId="0" xfId="176" applyNumberFormat="1" applyFont="1" applyAlignment="1">
      <alignment horizontal="center"/>
    </xf>
    <xf numFmtId="168" fontId="0" fillId="0" borderId="0" xfId="176" applyNumberFormat="1" applyFont="1" applyAlignment="1">
      <alignment horizontal="right" indent="1"/>
    </xf>
    <xf numFmtId="0" fontId="2" fillId="0" borderId="0" xfId="149" applyFont="1" applyAlignment="1">
      <alignment wrapText="1"/>
    </xf>
    <xf numFmtId="0" fontId="65" fillId="0" borderId="0" xfId="149" applyFont="1"/>
    <xf numFmtId="0" fontId="42" fillId="0" borderId="18" xfId="149" applyFont="1" applyBorder="1" applyAlignment="1">
      <alignment horizontal="center" vertical="center"/>
    </xf>
    <xf numFmtId="0" fontId="6" fillId="0" borderId="0" xfId="149" applyFont="1"/>
    <xf numFmtId="0" fontId="1" fillId="0" borderId="0" xfId="149"/>
    <xf numFmtId="3" fontId="0" fillId="0" borderId="0" xfId="0" applyNumberFormat="1" applyAlignment="1">
      <alignment vertical="center"/>
    </xf>
    <xf numFmtId="168" fontId="0" fillId="0" borderId="0" xfId="0" applyNumberFormat="1" applyAlignment="1">
      <alignment horizontal="right" indent="1"/>
    </xf>
    <xf numFmtId="0" fontId="67" fillId="0" borderId="0" xfId="0" applyFont="1"/>
    <xf numFmtId="10" fontId="0" fillId="0" borderId="0" xfId="176" applyNumberFormat="1" applyFont="1" applyAlignment="1">
      <alignment horizontal="center" vertical="center"/>
    </xf>
    <xf numFmtId="0" fontId="42" fillId="0" borderId="0" xfId="0" applyFont="1" applyAlignment="1">
      <alignment horizontal="left" vertical="justify"/>
    </xf>
    <xf numFmtId="3" fontId="0" fillId="0" borderId="10" xfId="0" applyNumberFormat="1" applyBorder="1" applyAlignment="1">
      <alignment vertical="center"/>
    </xf>
    <xf numFmtId="180" fontId="0" fillId="0" borderId="11" xfId="0" applyNumberFormat="1" applyBorder="1" applyAlignment="1">
      <alignment vertical="center"/>
    </xf>
    <xf numFmtId="3" fontId="0" fillId="0" borderId="11" xfId="0" applyNumberFormat="1" applyBorder="1" applyAlignment="1">
      <alignment vertical="center"/>
    </xf>
    <xf numFmtId="0" fontId="42" fillId="0" borderId="0" xfId="0" applyFont="1" applyAlignment="1">
      <alignment horizontal="justify" vertical="justify"/>
    </xf>
    <xf numFmtId="0" fontId="42" fillId="31" borderId="11" xfId="0" applyFont="1" applyFill="1" applyBorder="1" applyAlignment="1">
      <alignment horizontal="center" vertical="center" wrapText="1"/>
    </xf>
    <xf numFmtId="0" fontId="42" fillId="28" borderId="11" xfId="0" applyFont="1" applyFill="1" applyBorder="1" applyAlignment="1">
      <alignment horizontal="center" vertical="center" wrapText="1"/>
    </xf>
    <xf numFmtId="0" fontId="2" fillId="0" borderId="0" xfId="0" applyFont="1" applyAlignment="1">
      <alignment vertical="justify"/>
    </xf>
    <xf numFmtId="43" fontId="0" fillId="0" borderId="0" xfId="0" applyNumberFormat="1"/>
    <xf numFmtId="0" fontId="50" fillId="0" borderId="0" xfId="0" applyFont="1" applyAlignment="1">
      <alignment wrapText="1"/>
    </xf>
    <xf numFmtId="0" fontId="24" fillId="24" borderId="38" xfId="173" applyFont="1" applyFill="1" applyBorder="1" applyAlignment="1">
      <alignment horizontal="center" vertical="center"/>
    </xf>
    <xf numFmtId="2" fontId="44" fillId="0" borderId="0" xfId="176" applyNumberFormat="1" applyFont="1"/>
    <xf numFmtId="172" fontId="44" fillId="0" borderId="0" xfId="107" applyNumberFormat="1" applyFont="1"/>
    <xf numFmtId="172" fontId="24" fillId="0" borderId="0" xfId="107" applyNumberFormat="1" applyFont="1" applyAlignment="1">
      <alignment horizontal="center" vertical="center" wrapText="1"/>
    </xf>
    <xf numFmtId="172" fontId="24" fillId="0" borderId="0" xfId="107" applyNumberFormat="1" applyFont="1" applyAlignment="1">
      <alignment horizontal="center" vertical="center"/>
    </xf>
    <xf numFmtId="172" fontId="50" fillId="0" borderId="0" xfId="107" applyNumberFormat="1" applyFont="1"/>
    <xf numFmtId="0" fontId="45" fillId="0" borderId="0" xfId="0" applyFont="1" applyAlignment="1">
      <alignment horizontal="center" vertical="center" wrapText="1"/>
    </xf>
    <xf numFmtId="0" fontId="51" fillId="0" borderId="0" xfId="0" applyFont="1"/>
    <xf numFmtId="0" fontId="50" fillId="0" borderId="0" xfId="0" applyFont="1"/>
    <xf numFmtId="0" fontId="46" fillId="0" borderId="0" xfId="0" applyFont="1"/>
    <xf numFmtId="172" fontId="68" fillId="0" borderId="0" xfId="107" applyNumberFormat="1" applyFont="1" applyAlignment="1">
      <alignment horizontal="center" vertical="center" wrapText="1"/>
    </xf>
    <xf numFmtId="0" fontId="67" fillId="0" borderId="0" xfId="0" applyFont="1" applyAlignment="1">
      <alignment vertical="center"/>
    </xf>
    <xf numFmtId="0" fontId="0" fillId="0" borderId="0" xfId="0" applyAlignment="1">
      <alignment vertical="center" wrapText="1"/>
    </xf>
    <xf numFmtId="0" fontId="40" fillId="0" borderId="0" xfId="0" applyFont="1" applyAlignment="1">
      <alignment horizontal="center" vertical="center" wrapText="1"/>
    </xf>
    <xf numFmtId="0" fontId="51" fillId="0" borderId="0" xfId="0" applyFont="1" applyAlignment="1">
      <alignment vertical="center"/>
    </xf>
    <xf numFmtId="0" fontId="30" fillId="0" borderId="0" xfId="149" applyFont="1" applyAlignment="1">
      <alignment horizontal="center" vertical="center"/>
    </xf>
    <xf numFmtId="0" fontId="1" fillId="0" borderId="0" xfId="149" applyAlignment="1">
      <alignment vertical="center"/>
    </xf>
    <xf numFmtId="0" fontId="46" fillId="0" borderId="0" xfId="0" applyFont="1" applyAlignment="1">
      <alignment vertical="top"/>
    </xf>
    <xf numFmtId="171" fontId="0" fillId="0" borderId="0" xfId="0" applyNumberFormat="1" applyAlignment="1">
      <alignment horizontal="center"/>
    </xf>
    <xf numFmtId="2" fontId="0" fillId="0" borderId="0" xfId="0" applyNumberFormat="1"/>
    <xf numFmtId="0" fontId="17" fillId="0" borderId="0" xfId="0" applyFont="1" applyAlignment="1">
      <alignment horizontal="right"/>
    </xf>
    <xf numFmtId="0" fontId="50" fillId="0" borderId="16" xfId="0" applyFont="1" applyBorder="1" applyAlignment="1">
      <alignment horizontal="center" vertical="center" wrapText="1"/>
    </xf>
    <xf numFmtId="0" fontId="76" fillId="0" borderId="16" xfId="0" applyFont="1" applyBorder="1" applyAlignment="1">
      <alignment horizontal="center" vertical="center" wrapText="1"/>
    </xf>
    <xf numFmtId="181" fontId="24" fillId="0" borderId="0" xfId="107" applyNumberFormat="1" applyFont="1" applyAlignment="1">
      <alignment horizontal="center"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20" borderId="16" xfId="0" applyFont="1" applyFill="1" applyBorder="1" applyAlignment="1">
      <alignment horizontal="center" vertical="center"/>
    </xf>
    <xf numFmtId="0" fontId="71" fillId="0" borderId="0" xfId="0" applyFont="1" applyAlignment="1">
      <alignment vertical="center"/>
    </xf>
    <xf numFmtId="0" fontId="44" fillId="0" borderId="0" xfId="0" applyFont="1" applyAlignment="1">
      <alignment wrapText="1"/>
    </xf>
    <xf numFmtId="0" fontId="24" fillId="0" borderId="44" xfId="173" applyFont="1" applyBorder="1" applyAlignment="1">
      <alignment horizontal="centerContinuous" vertical="center"/>
    </xf>
    <xf numFmtId="0" fontId="24" fillId="24" borderId="46" xfId="173" applyFont="1" applyFill="1" applyBorder="1" applyAlignment="1">
      <alignment horizontal="center" vertical="center"/>
    </xf>
    <xf numFmtId="0" fontId="24" fillId="24" borderId="47" xfId="173" applyFont="1" applyFill="1" applyBorder="1" applyAlignment="1">
      <alignment horizontal="center" vertical="center"/>
    </xf>
    <xf numFmtId="0" fontId="24" fillId="24" borderId="48" xfId="173" applyFont="1" applyFill="1" applyBorder="1" applyAlignment="1">
      <alignment horizontal="center" vertical="center"/>
    </xf>
    <xf numFmtId="0" fontId="44" fillId="0" borderId="0" xfId="0" applyFont="1"/>
    <xf numFmtId="0" fontId="24" fillId="20" borderId="17" xfId="173" applyFont="1" applyFill="1" applyBorder="1" applyAlignment="1">
      <alignment horizontal="centerContinuous" vertical="center" wrapText="1"/>
    </xf>
    <xf numFmtId="172" fontId="24" fillId="20" borderId="41" xfId="107" applyNumberFormat="1" applyFont="1" applyFill="1" applyBorder="1" applyAlignment="1">
      <alignment horizontal="center" vertical="center"/>
    </xf>
    <xf numFmtId="172" fontId="24" fillId="20" borderId="42" xfId="107" applyNumberFormat="1" applyFont="1" applyFill="1" applyBorder="1" applyAlignment="1">
      <alignment horizontal="center" vertical="center"/>
    </xf>
    <xf numFmtId="172" fontId="24" fillId="20" borderId="43" xfId="107" applyNumberFormat="1" applyFont="1" applyFill="1" applyBorder="1" applyAlignment="1">
      <alignment horizontal="center" vertical="center"/>
    </xf>
    <xf numFmtId="0" fontId="42" fillId="23" borderId="11" xfId="0" applyFont="1" applyFill="1" applyBorder="1" applyAlignment="1">
      <alignment horizontal="center" vertical="center" wrapText="1"/>
    </xf>
    <xf numFmtId="43" fontId="0" fillId="0" borderId="0" xfId="107" applyFont="1" applyAlignment="1">
      <alignment vertical="center"/>
    </xf>
    <xf numFmtId="0" fontId="42" fillId="30" borderId="11" xfId="0" applyFont="1" applyFill="1" applyBorder="1" applyAlignment="1">
      <alignment horizontal="center" vertical="center" wrapText="1"/>
    </xf>
    <xf numFmtId="0" fontId="44" fillId="0" borderId="0" xfId="0" applyFont="1" applyAlignment="1">
      <alignment horizontal="center"/>
    </xf>
    <xf numFmtId="0" fontId="50" fillId="0" borderId="0" xfId="0" applyFont="1" applyAlignment="1">
      <alignment vertical="center"/>
    </xf>
    <xf numFmtId="0" fontId="45" fillId="28" borderId="13" xfId="0" applyFont="1" applyFill="1" applyBorder="1" applyAlignment="1">
      <alignment vertical="center"/>
    </xf>
    <xf numFmtId="3" fontId="45" fillId="28" borderId="0" xfId="0" applyNumberFormat="1" applyFont="1" applyFill="1" applyAlignment="1">
      <alignment horizontal="center" vertical="center"/>
    </xf>
    <xf numFmtId="171" fontId="45" fillId="28" borderId="11" xfId="0" applyNumberFormat="1" applyFont="1" applyFill="1" applyBorder="1" applyAlignment="1">
      <alignment horizontal="center" vertical="center"/>
    </xf>
    <xf numFmtId="1" fontId="0" fillId="0" borderId="0" xfId="0" applyNumberFormat="1" applyAlignment="1">
      <alignment vertical="center"/>
    </xf>
    <xf numFmtId="0" fontId="56" fillId="0" borderId="0" xfId="0" applyFont="1" applyAlignment="1">
      <alignment vertical="center" wrapText="1"/>
    </xf>
    <xf numFmtId="168" fontId="38" fillId="0" borderId="0" xfId="176" applyNumberFormat="1" applyAlignment="1">
      <alignment vertical="center"/>
    </xf>
    <xf numFmtId="3" fontId="65" fillId="0" borderId="0" xfId="149" applyNumberFormat="1" applyFont="1" applyAlignment="1">
      <alignment horizontal="right" indent="1"/>
    </xf>
    <xf numFmtId="168" fontId="65" fillId="0" borderId="0" xfId="176" applyNumberFormat="1" applyFont="1" applyAlignment="1">
      <alignment horizontal="right" indent="1"/>
    </xf>
    <xf numFmtId="0" fontId="56" fillId="0" borderId="0" xfId="0" applyFont="1" applyAlignment="1">
      <alignment horizontal="center" wrapText="1"/>
    </xf>
    <xf numFmtId="0" fontId="89" fillId="0" borderId="0" xfId="0" applyFont="1"/>
    <xf numFmtId="181" fontId="0" fillId="0" borderId="11" xfId="107" applyNumberFormat="1" applyFont="1" applyBorder="1" applyAlignment="1">
      <alignment vertical="center"/>
    </xf>
    <xf numFmtId="0" fontId="50" fillId="0" borderId="0" xfId="0" applyFont="1" applyAlignment="1">
      <alignment horizontal="right"/>
    </xf>
    <xf numFmtId="0" fontId="50" fillId="0" borderId="0" xfId="0" applyFont="1" applyAlignment="1">
      <alignment horizontal="center"/>
    </xf>
    <xf numFmtId="3" fontId="67" fillId="0" borderId="0" xfId="0" applyNumberFormat="1" applyFont="1" applyAlignment="1">
      <alignment vertical="top"/>
    </xf>
    <xf numFmtId="0" fontId="47" fillId="0" borderId="0" xfId="0" applyFont="1" applyAlignment="1">
      <alignment horizontal="left" vertical="center"/>
    </xf>
    <xf numFmtId="0" fontId="50" fillId="0" borderId="0" xfId="0" applyFont="1" applyAlignment="1">
      <alignment vertical="center" wrapText="1"/>
    </xf>
    <xf numFmtId="171" fontId="89" fillId="0" borderId="0" xfId="0" applyNumberFormat="1" applyFont="1"/>
    <xf numFmtId="171" fontId="89" fillId="0" borderId="0" xfId="0" applyNumberFormat="1" applyFont="1" applyAlignment="1">
      <alignment vertical="center"/>
    </xf>
    <xf numFmtId="0" fontId="89" fillId="0" borderId="0" xfId="0" applyFont="1" applyAlignment="1">
      <alignment horizontal="center"/>
    </xf>
    <xf numFmtId="0" fontId="42" fillId="0" borderId="0" xfId="149" applyFont="1" applyAlignment="1">
      <alignment vertical="center"/>
    </xf>
    <xf numFmtId="0" fontId="53" fillId="0" borderId="19" xfId="0" applyFont="1" applyBorder="1" applyAlignment="1">
      <alignment horizontal="center" vertical="center" wrapText="1" readingOrder="1"/>
    </xf>
    <xf numFmtId="0" fontId="0" fillId="0" borderId="19" xfId="0" applyBorder="1" applyAlignment="1">
      <alignment horizontal="center" vertical="center" wrapText="1" readingOrder="1"/>
    </xf>
    <xf numFmtId="0" fontId="0" fillId="0" borderId="19" xfId="0" applyBorder="1" applyAlignment="1">
      <alignment horizontal="center" vertical="center" readingOrder="1"/>
    </xf>
    <xf numFmtId="0" fontId="0" fillId="0" borderId="26" xfId="0" applyBorder="1" applyAlignment="1">
      <alignment horizontal="center" vertical="center" readingOrder="1"/>
    </xf>
    <xf numFmtId="0" fontId="0" fillId="0" borderId="29" xfId="0" applyBorder="1" applyAlignment="1">
      <alignment horizontal="center" vertical="center" readingOrder="1"/>
    </xf>
    <xf numFmtId="171" fontId="0" fillId="0" borderId="30" xfId="0" applyNumberFormat="1" applyBorder="1" applyAlignment="1">
      <alignment horizontal="center" vertical="center" readingOrder="1"/>
    </xf>
    <xf numFmtId="171" fontId="0" fillId="0" borderId="24" xfId="0" applyNumberFormat="1" applyBorder="1" applyAlignment="1">
      <alignment horizontal="center" vertical="center" readingOrder="1"/>
    </xf>
    <xf numFmtId="171" fontId="0" fillId="0" borderId="27" xfId="0" applyNumberFormat="1" applyBorder="1" applyAlignment="1">
      <alignment horizontal="center" vertical="center" readingOrder="1"/>
    </xf>
    <xf numFmtId="171" fontId="0" fillId="0" borderId="31" xfId="0" applyNumberFormat="1" applyBorder="1" applyAlignment="1">
      <alignment horizontal="center" vertical="center" readingOrder="1"/>
    </xf>
    <xf numFmtId="171" fontId="0" fillId="0" borderId="20" xfId="0" applyNumberFormat="1" applyBorder="1" applyAlignment="1">
      <alignment horizontal="center" vertical="center" readingOrder="1"/>
    </xf>
    <xf numFmtId="171" fontId="0" fillId="0" borderId="28" xfId="0" applyNumberFormat="1" applyBorder="1" applyAlignment="1">
      <alignment horizontal="center" vertical="center" readingOrder="1"/>
    </xf>
    <xf numFmtId="0" fontId="44" fillId="0" borderId="0" xfId="0" applyFont="1" applyAlignment="1">
      <alignment horizontal="center" vertical="center" wrapText="1"/>
    </xf>
    <xf numFmtId="0" fontId="62" fillId="0" borderId="0" xfId="0" applyFont="1" applyAlignment="1">
      <alignment vertical="center"/>
    </xf>
    <xf numFmtId="0" fontId="73" fillId="0" borderId="0" xfId="0" applyFont="1"/>
    <xf numFmtId="0" fontId="38" fillId="0" borderId="0" xfId="142"/>
    <xf numFmtId="0" fontId="55" fillId="0" borderId="0" xfId="142" applyFont="1"/>
    <xf numFmtId="0" fontId="95" fillId="0" borderId="0" xfId="142" applyFont="1" applyAlignment="1">
      <alignment horizontal="center" vertical="center"/>
    </xf>
    <xf numFmtId="3" fontId="55" fillId="0" borderId="0" xfId="142" applyNumberFormat="1" applyFont="1" applyAlignment="1">
      <alignment horizontal="center"/>
    </xf>
    <xf numFmtId="0" fontId="38" fillId="0" borderId="0" xfId="142" applyAlignment="1">
      <alignment horizontal="center"/>
    </xf>
    <xf numFmtId="0" fontId="96" fillId="0" borderId="0" xfId="142" applyFont="1" applyAlignment="1">
      <alignment horizontal="center" vertical="center"/>
    </xf>
    <xf numFmtId="168" fontId="55" fillId="0" borderId="0" xfId="142" applyNumberFormat="1" applyFont="1" applyAlignment="1">
      <alignment horizontal="center"/>
    </xf>
    <xf numFmtId="0" fontId="50" fillId="0" borderId="0" xfId="0" applyFont="1" applyAlignment="1">
      <alignment horizontal="center" vertical="center"/>
    </xf>
    <xf numFmtId="0" fontId="99" fillId="0" borderId="0" xfId="0" applyFont="1" applyAlignment="1">
      <alignment horizontal="center"/>
    </xf>
    <xf numFmtId="0" fontId="58" fillId="0" borderId="10" xfId="0" applyFont="1" applyBorder="1" applyAlignment="1">
      <alignment horizontal="center" vertical="center"/>
    </xf>
    <xf numFmtId="0" fontId="0" fillId="0" borderId="0" xfId="0" applyAlignment="1">
      <alignment horizontal="center" vertical="center" wrapText="1"/>
    </xf>
    <xf numFmtId="0" fontId="103" fillId="0" borderId="0" xfId="0" applyFont="1" applyAlignment="1">
      <alignment vertical="center"/>
    </xf>
    <xf numFmtId="0" fontId="38" fillId="0" borderId="0" xfId="0" applyFont="1"/>
    <xf numFmtId="9" fontId="0" fillId="0" borderId="0" xfId="176" applyFont="1"/>
    <xf numFmtId="168" fontId="38" fillId="0" borderId="31" xfId="176" applyNumberFormat="1" applyBorder="1" applyAlignment="1">
      <alignment horizontal="center" vertical="center" readingOrder="1"/>
    </xf>
    <xf numFmtId="168" fontId="38" fillId="0" borderId="20" xfId="176" applyNumberFormat="1" applyBorder="1" applyAlignment="1">
      <alignment horizontal="center" vertical="center" readingOrder="1"/>
    </xf>
    <xf numFmtId="168" fontId="38" fillId="0" borderId="23" xfId="176" applyNumberFormat="1" applyBorder="1" applyAlignment="1">
      <alignment horizontal="center" vertical="center" readingOrder="1"/>
    </xf>
    <xf numFmtId="0" fontId="62" fillId="0" borderId="0" xfId="0" applyFont="1"/>
    <xf numFmtId="0" fontId="51" fillId="0" borderId="0" xfId="0" applyFont="1" applyAlignment="1">
      <alignment horizontal="center"/>
    </xf>
    <xf numFmtId="0" fontId="94" fillId="0" borderId="0" xfId="0" applyFont="1" applyAlignment="1">
      <alignment vertical="center"/>
    </xf>
    <xf numFmtId="0" fontId="51" fillId="0" borderId="0" xfId="0" applyFont="1" applyAlignment="1">
      <alignment horizontal="center" vertical="center"/>
    </xf>
    <xf numFmtId="3" fontId="28" fillId="0" borderId="0" xfId="173" applyNumberFormat="1" applyFont="1"/>
    <xf numFmtId="3" fontId="28" fillId="0" borderId="0" xfId="428" applyNumberFormat="1" applyFont="1" applyAlignment="1">
      <alignment horizontal="right"/>
    </xf>
    <xf numFmtId="180" fontId="1" fillId="0" borderId="0" xfId="149" applyNumberFormat="1"/>
    <xf numFmtId="3" fontId="28" fillId="0" borderId="0" xfId="173" applyNumberFormat="1" applyFont="1" applyAlignment="1">
      <alignment horizontal="right"/>
    </xf>
    <xf numFmtId="3" fontId="28" fillId="0" borderId="0" xfId="430" applyNumberFormat="1" applyFont="1" applyAlignment="1">
      <alignment horizontal="right"/>
    </xf>
    <xf numFmtId="0" fontId="29" fillId="0" borderId="0" xfId="149" applyFont="1"/>
    <xf numFmtId="0" fontId="29" fillId="0" borderId="0" xfId="429" applyFont="1" applyAlignment="1"/>
    <xf numFmtId="0" fontId="29" fillId="0" borderId="0" xfId="0" applyFont="1"/>
    <xf numFmtId="0" fontId="24" fillId="20" borderId="14" xfId="149" applyFont="1" applyFill="1" applyBorder="1" applyAlignment="1">
      <alignment horizontal="center" vertical="center"/>
    </xf>
    <xf numFmtId="3" fontId="1" fillId="0" borderId="0" xfId="0" applyNumberFormat="1" applyFont="1" applyAlignment="1">
      <alignment vertical="center"/>
    </xf>
    <xf numFmtId="171" fontId="1" fillId="0" borderId="0" xfId="0" applyNumberFormat="1" applyFont="1" applyAlignment="1">
      <alignment horizontal="center" vertical="center"/>
    </xf>
    <xf numFmtId="3" fontId="5" fillId="31" borderId="0" xfId="0" applyNumberFormat="1" applyFont="1" applyFill="1" applyAlignment="1">
      <alignment vertical="center"/>
    </xf>
    <xf numFmtId="171" fontId="5" fillId="31" borderId="0" xfId="0" applyNumberFormat="1" applyFont="1" applyFill="1" applyAlignment="1">
      <alignment horizontal="center" vertical="center"/>
    </xf>
    <xf numFmtId="0" fontId="1" fillId="0" borderId="14" xfId="149" applyBorder="1" applyAlignment="1">
      <alignment vertical="center"/>
    </xf>
    <xf numFmtId="3" fontId="1" fillId="0" borderId="14" xfId="0" applyNumberFormat="1" applyFont="1" applyBorder="1" applyAlignment="1">
      <alignment vertical="center"/>
    </xf>
    <xf numFmtId="171" fontId="1" fillId="0" borderId="14" xfId="0" applyNumberFormat="1" applyFont="1" applyBorder="1" applyAlignment="1">
      <alignment horizontal="center" vertical="center"/>
    </xf>
    <xf numFmtId="0" fontId="50" fillId="0" borderId="0" xfId="0" applyFont="1" applyAlignment="1">
      <alignment horizontal="left" vertical="center" wrapText="1"/>
    </xf>
    <xf numFmtId="0" fontId="67" fillId="0" borderId="0" xfId="0" applyFont="1" applyAlignment="1">
      <alignment horizontal="right"/>
    </xf>
    <xf numFmtId="169" fontId="0" fillId="0" borderId="0" xfId="107" applyNumberFormat="1" applyFont="1"/>
    <xf numFmtId="0" fontId="111" fillId="0" borderId="11" xfId="0" applyFont="1" applyBorder="1" applyAlignment="1">
      <alignment horizontal="center" vertical="center" wrapText="1"/>
    </xf>
    <xf numFmtId="0" fontId="113" fillId="0" borderId="11" xfId="0" applyFont="1" applyBorder="1" applyAlignment="1">
      <alignment horizontal="center" vertical="center" wrapText="1"/>
    </xf>
    <xf numFmtId="0" fontId="115" fillId="0" borderId="11" xfId="0" applyFont="1" applyBorder="1" applyAlignment="1">
      <alignment horizontal="center" vertical="center" wrapText="1"/>
    </xf>
    <xf numFmtId="0" fontId="116" fillId="0" borderId="11" xfId="0" applyFont="1" applyBorder="1" applyAlignment="1">
      <alignment horizontal="center" vertical="center" wrapText="1"/>
    </xf>
    <xf numFmtId="168" fontId="0" fillId="0" borderId="10" xfId="176" applyNumberFormat="1" applyFont="1" applyBorder="1" applyAlignment="1">
      <alignment horizontal="right" indent="1"/>
    </xf>
    <xf numFmtId="168" fontId="0" fillId="0" borderId="13" xfId="176" applyNumberFormat="1" applyFont="1" applyBorder="1" applyAlignment="1">
      <alignment horizontal="right" indent="1"/>
    </xf>
    <xf numFmtId="172" fontId="0" fillId="0" borderId="0" xfId="0" applyNumberFormat="1"/>
    <xf numFmtId="0" fontId="62"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justify"/>
    </xf>
    <xf numFmtId="0" fontId="58" fillId="0" borderId="13" xfId="0" applyFont="1" applyBorder="1" applyAlignment="1">
      <alignment horizontal="center" vertical="center"/>
    </xf>
    <xf numFmtId="0" fontId="123" fillId="0" borderId="10" xfId="0" applyFont="1" applyBorder="1" applyAlignment="1">
      <alignment horizontal="left" vertical="center"/>
    </xf>
    <xf numFmtId="0" fontId="59" fillId="20" borderId="16" xfId="0" applyFont="1" applyFill="1" applyBorder="1" applyAlignment="1">
      <alignment horizontal="right" vertical="center"/>
    </xf>
    <xf numFmtId="0" fontId="67" fillId="0" borderId="0" xfId="0" applyFont="1" applyAlignment="1">
      <alignment vertical="top"/>
    </xf>
    <xf numFmtId="0" fontId="0" fillId="0" borderId="0" xfId="0" applyAlignment="1">
      <alignment wrapText="1"/>
    </xf>
    <xf numFmtId="0" fontId="41" fillId="0" borderId="0" xfId="0" applyFont="1"/>
    <xf numFmtId="0" fontId="61" fillId="0" borderId="0" xfId="0" applyFont="1"/>
    <xf numFmtId="14" fontId="51" fillId="0" borderId="0" xfId="0" applyNumberFormat="1" applyFont="1" applyAlignment="1">
      <alignment horizontal="left"/>
    </xf>
    <xf numFmtId="0" fontId="0" fillId="45" borderId="0" xfId="0" applyFill="1"/>
    <xf numFmtId="4" fontId="0" fillId="0" borderId="13" xfId="0" applyNumberFormat="1" applyBorder="1"/>
    <xf numFmtId="0" fontId="126" fillId="0" borderId="0" xfId="0" applyFont="1" applyAlignment="1">
      <alignment horizontal="center" vertical="center"/>
    </xf>
    <xf numFmtId="0" fontId="6" fillId="0" borderId="0" xfId="0" applyFont="1" applyAlignment="1">
      <alignment vertical="justify"/>
    </xf>
    <xf numFmtId="0" fontId="0" fillId="0" borderId="11" xfId="0" applyBorder="1"/>
    <xf numFmtId="3" fontId="0" fillId="0" borderId="10" xfId="0" applyNumberFormat="1" applyBorder="1" applyAlignment="1">
      <alignment horizontal="center" vertical="center"/>
    </xf>
    <xf numFmtId="0" fontId="88" fillId="0" borderId="0" xfId="0" applyFont="1" applyAlignment="1">
      <alignment vertical="center"/>
    </xf>
    <xf numFmtId="0" fontId="42" fillId="22" borderId="0" xfId="0" applyFont="1" applyFill="1" applyAlignment="1">
      <alignment vertical="center"/>
    </xf>
    <xf numFmtId="0" fontId="42" fillId="22" borderId="0" xfId="0" applyFont="1" applyFill="1"/>
    <xf numFmtId="10" fontId="42" fillId="22" borderId="0" xfId="0" applyNumberFormat="1" applyFont="1" applyFill="1"/>
    <xf numFmtId="3" fontId="50" fillId="0" borderId="0" xfId="0" applyNumberFormat="1" applyFont="1"/>
    <xf numFmtId="2" fontId="51" fillId="0" borderId="0" xfId="0" applyNumberFormat="1" applyFont="1" applyAlignment="1">
      <alignment horizontal="center" vertical="center"/>
    </xf>
    <xf numFmtId="0" fontId="99" fillId="0" borderId="0" xfId="0" applyFont="1" applyAlignment="1">
      <alignment horizontal="center" vertical="center"/>
    </xf>
    <xf numFmtId="0" fontId="132" fillId="31" borderId="0" xfId="149" applyFont="1" applyFill="1" applyAlignment="1">
      <alignment vertical="center"/>
    </xf>
    <xf numFmtId="0" fontId="133" fillId="0" borderId="0" xfId="0" applyFont="1" applyAlignment="1">
      <alignment vertical="center"/>
    </xf>
    <xf numFmtId="0" fontId="133" fillId="0" borderId="0" xfId="0" applyFont="1" applyAlignment="1">
      <alignment horizontal="right" vertical="center" wrapText="1"/>
    </xf>
    <xf numFmtId="9" fontId="71" fillId="0" borderId="0" xfId="176" applyFont="1" applyAlignment="1">
      <alignment vertical="center"/>
    </xf>
    <xf numFmtId="0" fontId="24" fillId="24" borderId="100" xfId="173" applyFont="1" applyFill="1" applyBorder="1" applyAlignment="1">
      <alignment horizontal="center" vertical="center"/>
    </xf>
    <xf numFmtId="0" fontId="104" fillId="0" borderId="0" xfId="0" applyFont="1" applyAlignment="1">
      <alignment horizontal="left" vertical="center"/>
    </xf>
    <xf numFmtId="0" fontId="86" fillId="0" borderId="0" xfId="0" applyFont="1" applyAlignment="1">
      <alignment vertical="center"/>
    </xf>
    <xf numFmtId="3" fontId="0" fillId="0" borderId="0" xfId="0" applyNumberFormat="1" applyAlignment="1">
      <alignment horizontal="center" vertical="center" wrapText="1"/>
    </xf>
    <xf numFmtId="0" fontId="0" fillId="44" borderId="0" xfId="0" applyFill="1" applyAlignment="1">
      <alignment vertical="center"/>
    </xf>
    <xf numFmtId="3" fontId="0" fillId="44" borderId="0" xfId="0" applyNumberFormat="1" applyFill="1" applyAlignment="1">
      <alignment horizontal="center" vertical="center" wrapText="1"/>
    </xf>
    <xf numFmtId="0" fontId="0" fillId="44" borderId="0" xfId="0" applyFill="1" applyAlignment="1">
      <alignment horizontal="center" vertical="center" wrapText="1"/>
    </xf>
    <xf numFmtId="0" fontId="0" fillId="0" borderId="14" xfId="0" applyBorder="1" applyAlignment="1">
      <alignment vertical="center"/>
    </xf>
    <xf numFmtId="3"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34" fillId="0" borderId="0" xfId="0" applyFont="1" applyAlignment="1">
      <alignment vertical="center"/>
    </xf>
    <xf numFmtId="0" fontId="40" fillId="0" borderId="0" xfId="0" applyFont="1" applyAlignment="1">
      <alignment wrapText="1"/>
    </xf>
    <xf numFmtId="0" fontId="44" fillId="0" borderId="0" xfId="0" applyFont="1" applyAlignment="1">
      <alignment horizontal="left" vertical="top" wrapText="1"/>
    </xf>
    <xf numFmtId="17" fontId="79" fillId="0" borderId="0" xfId="0" applyNumberFormat="1" applyFont="1" applyAlignment="1">
      <alignment vertical="center" wrapText="1"/>
    </xf>
    <xf numFmtId="0" fontId="89" fillId="0" borderId="0" xfId="0" applyFont="1" applyAlignment="1">
      <alignment vertical="center" wrapText="1"/>
    </xf>
    <xf numFmtId="0" fontId="44" fillId="0" borderId="0" xfId="0" applyFont="1" applyAlignment="1">
      <alignment vertical="top" wrapText="1"/>
    </xf>
    <xf numFmtId="14" fontId="51" fillId="0" borderId="0" xfId="0" applyNumberFormat="1" applyFont="1" applyAlignment="1">
      <alignment wrapText="1"/>
    </xf>
    <xf numFmtId="14" fontId="51" fillId="0" borderId="0" xfId="0" applyNumberFormat="1" applyFont="1" applyAlignment="1">
      <alignment vertical="center" wrapText="1"/>
    </xf>
    <xf numFmtId="0" fontId="44" fillId="0" borderId="0" xfId="0" applyFont="1" applyAlignment="1">
      <alignment vertical="center" wrapText="1"/>
    </xf>
    <xf numFmtId="0" fontId="0" fillId="0" borderId="0" xfId="0" applyAlignment="1">
      <alignment horizontal="center" vertical="center"/>
    </xf>
    <xf numFmtId="181" fontId="0" fillId="44" borderId="11" xfId="107" applyNumberFormat="1" applyFont="1" applyFill="1" applyBorder="1" applyAlignment="1">
      <alignment vertical="center"/>
    </xf>
    <xf numFmtId="0" fontId="43" fillId="44" borderId="0" xfId="246" applyFont="1" applyFill="1" applyAlignment="1">
      <alignment horizontal="center" vertical="center" wrapText="1"/>
    </xf>
    <xf numFmtId="0" fontId="42" fillId="0" borderId="0" xfId="0" applyFont="1" applyAlignment="1">
      <alignment wrapText="1"/>
    </xf>
    <xf numFmtId="0" fontId="40" fillId="25" borderId="103" xfId="0" applyFont="1" applyFill="1" applyBorder="1" applyAlignment="1">
      <alignment horizontal="center" vertical="center" wrapText="1"/>
    </xf>
    <xf numFmtId="0" fontId="38" fillId="0" borderId="0" xfId="0" applyFont="1" applyAlignment="1">
      <alignment horizontal="center" vertical="center" wrapText="1"/>
    </xf>
    <xf numFmtId="168" fontId="42" fillId="0" borderId="0" xfId="176" applyNumberFormat="1" applyFont="1" applyAlignment="1">
      <alignment horizontal="center" vertical="center" wrapText="1"/>
    </xf>
    <xf numFmtId="0" fontId="42" fillId="0" borderId="0" xfId="246" applyFont="1" applyAlignment="1">
      <alignment wrapText="1"/>
    </xf>
    <xf numFmtId="0" fontId="42" fillId="0" borderId="0" xfId="246" applyFont="1" applyAlignment="1">
      <alignment horizontal="center" vertical="center" wrapText="1"/>
    </xf>
    <xf numFmtId="169" fontId="42" fillId="0" borderId="103" xfId="107" applyNumberFormat="1" applyFont="1" applyBorder="1"/>
    <xf numFmtId="169" fontId="0" fillId="20" borderId="103" xfId="0" applyNumberFormat="1" applyFill="1" applyBorder="1" applyAlignment="1">
      <alignment horizontal="center"/>
    </xf>
    <xf numFmtId="169" fontId="42" fillId="20" borderId="103" xfId="0" applyNumberFormat="1" applyFont="1" applyFill="1" applyBorder="1" applyAlignment="1">
      <alignment horizontal="center"/>
    </xf>
    <xf numFmtId="169" fontId="0" fillId="0" borderId="103" xfId="0" applyNumberFormat="1" applyBorder="1" applyAlignment="1">
      <alignment horizontal="center"/>
    </xf>
    <xf numFmtId="169" fontId="42" fillId="0" borderId="103" xfId="0" applyNumberFormat="1" applyFont="1" applyBorder="1" applyAlignment="1">
      <alignment horizontal="center"/>
    </xf>
    <xf numFmtId="169" fontId="42" fillId="0" borderId="103" xfId="108" applyNumberFormat="1" applyFont="1" applyBorder="1"/>
    <xf numFmtId="0" fontId="148" fillId="0" borderId="0" xfId="0" applyFont="1"/>
    <xf numFmtId="0" fontId="42" fillId="0" borderId="97" xfId="238" applyFont="1" applyBorder="1" applyAlignment="1">
      <alignment horizontal="left" vertical="center"/>
    </xf>
    <xf numFmtId="0" fontId="42" fillId="0" borderId="18" xfId="238" applyFont="1" applyBorder="1" applyAlignment="1">
      <alignment horizontal="left" vertical="center"/>
    </xf>
    <xf numFmtId="0" fontId="42" fillId="0" borderId="33" xfId="238" applyFont="1" applyBorder="1" applyAlignment="1">
      <alignment horizontal="left" vertical="center"/>
    </xf>
    <xf numFmtId="0" fontId="42" fillId="0" borderId="32" xfId="238" applyFont="1" applyBorder="1" applyAlignment="1">
      <alignment horizontal="left" vertical="center"/>
    </xf>
    <xf numFmtId="0" fontId="43" fillId="20" borderId="103" xfId="149" applyFont="1" applyFill="1" applyBorder="1" applyAlignment="1">
      <alignment horizontal="center" vertical="center" wrapText="1"/>
    </xf>
    <xf numFmtId="3" fontId="55" fillId="0" borderId="97" xfId="239" applyNumberFormat="1" applyFont="1" applyBorder="1" applyAlignment="1">
      <alignment horizontal="right" vertical="center" indent="1"/>
    </xf>
    <xf numFmtId="3" fontId="55" fillId="0" borderId="18" xfId="239" applyNumberFormat="1" applyFont="1" applyBorder="1" applyAlignment="1">
      <alignment horizontal="right" vertical="center" indent="1"/>
    </xf>
    <xf numFmtId="3" fontId="55" fillId="0" borderId="33" xfId="239" applyNumberFormat="1" applyFont="1" applyBorder="1" applyAlignment="1">
      <alignment horizontal="right" vertical="center" indent="1"/>
    </xf>
    <xf numFmtId="3" fontId="55" fillId="0" borderId="32" xfId="239" applyNumberFormat="1" applyFont="1" applyBorder="1" applyAlignment="1">
      <alignment horizontal="right" vertical="center" indent="1"/>
    </xf>
    <xf numFmtId="0" fontId="58" fillId="0" borderId="97" xfId="0" applyFont="1" applyBorder="1" applyAlignment="1">
      <alignment wrapText="1"/>
    </xf>
    <xf numFmtId="0" fontId="58" fillId="0" borderId="18" xfId="0" applyFont="1" applyBorder="1" applyAlignment="1">
      <alignment wrapText="1"/>
    </xf>
    <xf numFmtId="0" fontId="42" fillId="0" borderId="18" xfId="0" applyFont="1" applyBorder="1" applyAlignment="1">
      <alignment wrapText="1"/>
    </xf>
    <xf numFmtId="0" fontId="42" fillId="0" borderId="33" xfId="0" applyFont="1" applyBorder="1" applyAlignment="1">
      <alignment wrapText="1"/>
    </xf>
    <xf numFmtId="0" fontId="42" fillId="0" borderId="28" xfId="0" applyFont="1" applyBorder="1" applyAlignment="1">
      <alignment wrapText="1"/>
    </xf>
    <xf numFmtId="0" fontId="58" fillId="0" borderId="32" xfId="0" applyFont="1" applyBorder="1" applyAlignment="1">
      <alignment wrapText="1"/>
    </xf>
    <xf numFmtId="0" fontId="58" fillId="0" borderId="33" xfId="0" applyFont="1" applyBorder="1" applyAlignment="1">
      <alignment wrapText="1"/>
    </xf>
    <xf numFmtId="0" fontId="42" fillId="0" borderId="32" xfId="0" applyFont="1" applyBorder="1" applyAlignment="1">
      <alignment wrapText="1"/>
    </xf>
    <xf numFmtId="0" fontId="42" fillId="0" borderId="97" xfId="0" applyFont="1" applyBorder="1" applyAlignment="1">
      <alignment wrapText="1"/>
    </xf>
    <xf numFmtId="3" fontId="55" fillId="0" borderId="97" xfId="149" applyNumberFormat="1" applyFont="1" applyBorder="1" applyAlignment="1">
      <alignment horizontal="center" vertical="center"/>
    </xf>
    <xf numFmtId="3" fontId="55" fillId="0" borderId="18" xfId="149" applyNumberFormat="1" applyFont="1" applyBorder="1" applyAlignment="1">
      <alignment horizontal="center" vertical="center"/>
    </xf>
    <xf numFmtId="3" fontId="55" fillId="0" borderId="33" xfId="149" applyNumberFormat="1" applyFont="1" applyBorder="1" applyAlignment="1">
      <alignment horizontal="center" vertical="center"/>
    </xf>
    <xf numFmtId="3" fontId="55" fillId="0" borderId="31" xfId="149" applyNumberFormat="1" applyFont="1" applyBorder="1" applyAlignment="1">
      <alignment horizontal="center" vertical="center"/>
    </xf>
    <xf numFmtId="3" fontId="55" fillId="20" borderId="31" xfId="149" applyNumberFormat="1" applyFont="1" applyFill="1" applyBorder="1" applyAlignment="1">
      <alignment horizontal="center" vertical="center"/>
    </xf>
    <xf numFmtId="3" fontId="55" fillId="0" borderId="32" xfId="149" applyNumberFormat="1" applyFont="1" applyBorder="1" applyAlignment="1">
      <alignment horizontal="center" vertical="center"/>
    </xf>
    <xf numFmtId="3" fontId="42" fillId="0" borderId="33" xfId="149" applyNumberFormat="1" applyFont="1" applyBorder="1" applyAlignment="1">
      <alignment horizontal="center" vertical="center"/>
    </xf>
    <xf numFmtId="3" fontId="42" fillId="0" borderId="18" xfId="149" applyNumberFormat="1" applyFont="1" applyBorder="1" applyAlignment="1">
      <alignment horizontal="center" vertical="center"/>
    </xf>
    <xf numFmtId="171" fontId="24" fillId="44" borderId="17" xfId="176" applyNumberFormat="1" applyFont="1" applyFill="1" applyBorder="1" applyAlignment="1">
      <alignment horizontal="center" vertical="center"/>
    </xf>
    <xf numFmtId="0" fontId="120" fillId="0" borderId="0" xfId="0" applyFont="1" applyAlignment="1">
      <alignment vertical="center"/>
    </xf>
    <xf numFmtId="0" fontId="24" fillId="24" borderId="105" xfId="173" applyFont="1" applyFill="1" applyBorder="1" applyAlignment="1">
      <alignment horizontal="centerContinuous" vertical="center"/>
    </xf>
    <xf numFmtId="0" fontId="44" fillId="20" borderId="106" xfId="0" applyFont="1" applyFill="1" applyBorder="1" applyAlignment="1">
      <alignment horizontal="centerContinuous" vertical="center"/>
    </xf>
    <xf numFmtId="0" fontId="44" fillId="20" borderId="107" xfId="0" applyFont="1" applyFill="1" applyBorder="1" applyAlignment="1">
      <alignment horizontal="centerContinuous" vertical="center"/>
    </xf>
    <xf numFmtId="0" fontId="44" fillId="0" borderId="103" xfId="0" applyFont="1" applyBorder="1" applyAlignment="1">
      <alignment horizontal="centerContinuous" vertical="center"/>
    </xf>
    <xf numFmtId="0" fontId="88" fillId="0" borderId="0" xfId="0" applyFont="1" applyAlignment="1">
      <alignment horizontal="left" vertical="justify"/>
    </xf>
    <xf numFmtId="0" fontId="86" fillId="0" borderId="0" xfId="0" applyFont="1"/>
    <xf numFmtId="172" fontId="122" fillId="0" borderId="0" xfId="0" applyNumberFormat="1" applyFont="1" applyAlignment="1">
      <alignment vertical="center"/>
    </xf>
    <xf numFmtId="0" fontId="88" fillId="0" borderId="0" xfId="0" applyFont="1" applyAlignment="1">
      <alignment vertical="justify"/>
    </xf>
    <xf numFmtId="0" fontId="59" fillId="35" borderId="103" xfId="0" applyFont="1" applyFill="1" applyBorder="1" applyAlignment="1">
      <alignment horizontal="left" vertical="center" wrapText="1"/>
    </xf>
    <xf numFmtId="0" fontId="58" fillId="35" borderId="103" xfId="0" applyFont="1" applyFill="1" applyBorder="1" applyAlignment="1">
      <alignment horizontal="left" vertical="center" wrapText="1"/>
    </xf>
    <xf numFmtId="9" fontId="49" fillId="44" borderId="103" xfId="176" applyFont="1" applyFill="1" applyBorder="1" applyAlignment="1">
      <alignment horizontal="center" vertical="center"/>
    </xf>
    <xf numFmtId="0" fontId="43" fillId="0" borderId="0" xfId="246" applyFont="1" applyAlignment="1">
      <alignment horizontal="center" vertical="center" wrapText="1"/>
    </xf>
    <xf numFmtId="0" fontId="42" fillId="23" borderId="103" xfId="0" applyFont="1" applyFill="1" applyBorder="1" applyAlignment="1">
      <alignment horizontal="center" vertical="center" wrapText="1"/>
    </xf>
    <xf numFmtId="0" fontId="40" fillId="20" borderId="103" xfId="0" applyFont="1" applyFill="1" applyBorder="1" applyAlignment="1">
      <alignment horizontal="center" vertical="center" wrapText="1"/>
    </xf>
    <xf numFmtId="0" fontId="58" fillId="0" borderId="103" xfId="0" applyFont="1" applyBorder="1" applyAlignment="1">
      <alignment horizontal="left" vertical="center" wrapText="1"/>
    </xf>
    <xf numFmtId="0" fontId="0" fillId="0" borderId="103" xfId="0" applyBorder="1" applyAlignment="1">
      <alignment horizontal="center" vertical="center"/>
    </xf>
    <xf numFmtId="0" fontId="0" fillId="0" borderId="103" xfId="0" applyBorder="1" applyAlignment="1">
      <alignment horizontal="center" vertical="center" wrapText="1"/>
    </xf>
    <xf numFmtId="0" fontId="0" fillId="0" borderId="103" xfId="0" applyBorder="1" applyAlignment="1">
      <alignment horizontal="left" vertical="center" wrapText="1"/>
    </xf>
    <xf numFmtId="0" fontId="40" fillId="20" borderId="103" xfId="0" applyFont="1" applyFill="1" applyBorder="1" applyAlignment="1">
      <alignment horizontal="center" vertical="center"/>
    </xf>
    <xf numFmtId="0" fontId="0" fillId="0" borderId="103" xfId="0" applyBorder="1" applyAlignment="1">
      <alignment vertical="center"/>
    </xf>
    <xf numFmtId="0" fontId="0" fillId="0" borderId="103" xfId="0" applyBorder="1" applyAlignment="1">
      <alignment horizontal="center"/>
    </xf>
    <xf numFmtId="3" fontId="40" fillId="20" borderId="103" xfId="0" applyNumberFormat="1" applyFont="1" applyFill="1" applyBorder="1" applyAlignment="1">
      <alignment horizontal="center" vertical="center"/>
    </xf>
    <xf numFmtId="0" fontId="44" fillId="0" borderId="103" xfId="0" applyFont="1" applyBorder="1" applyAlignment="1">
      <alignment horizontal="center"/>
    </xf>
    <xf numFmtId="3" fontId="1" fillId="0" borderId="103" xfId="0" applyNumberFormat="1" applyFont="1" applyBorder="1" applyAlignment="1">
      <alignment horizontal="center" vertical="center"/>
    </xf>
    <xf numFmtId="0" fontId="40" fillId="0" borderId="0" xfId="0" applyFont="1" applyAlignment="1">
      <alignment vertical="center"/>
    </xf>
    <xf numFmtId="0" fontId="129" fillId="0" borderId="0" xfId="0" applyFont="1" applyAlignment="1">
      <alignment horizontal="center" vertical="center"/>
    </xf>
    <xf numFmtId="0" fontId="43" fillId="20" borderId="103" xfId="0" applyFont="1" applyFill="1" applyBorder="1" applyAlignment="1">
      <alignment horizontal="center" vertical="center" wrapText="1"/>
    </xf>
    <xf numFmtId="0" fontId="104" fillId="0" borderId="0" xfId="0" applyFont="1"/>
    <xf numFmtId="0" fontId="0" fillId="25" borderId="103" xfId="0" applyFill="1" applyBorder="1" applyAlignment="1">
      <alignment horizontal="center" vertical="center" wrapText="1"/>
    </xf>
    <xf numFmtId="1" fontId="0" fillId="0" borderId="103" xfId="0" applyNumberFormat="1" applyBorder="1" applyAlignment="1">
      <alignment horizontal="center" vertical="center" wrapText="1"/>
    </xf>
    <xf numFmtId="0" fontId="40" fillId="44" borderId="103" xfId="0" applyFont="1" applyFill="1" applyBorder="1" applyAlignment="1">
      <alignment horizontal="center" vertical="center" wrapText="1"/>
    </xf>
    <xf numFmtId="1" fontId="40" fillId="44" borderId="103" xfId="0" applyNumberFormat="1" applyFont="1" applyFill="1" applyBorder="1" applyAlignment="1">
      <alignment horizontal="center" vertical="center" wrapText="1"/>
    </xf>
    <xf numFmtId="0" fontId="40" fillId="0" borderId="103" xfId="0" applyFont="1" applyBorder="1" applyAlignment="1">
      <alignment horizontal="center" vertical="center" wrapText="1"/>
    </xf>
    <xf numFmtId="0" fontId="0" fillId="44" borderId="103" xfId="0" applyFill="1" applyBorder="1" applyAlignment="1">
      <alignment horizontal="left" vertical="center" wrapText="1"/>
    </xf>
    <xf numFmtId="3" fontId="0" fillId="0" borderId="11" xfId="0" applyNumberFormat="1" applyBorder="1"/>
    <xf numFmtId="14" fontId="141" fillId="0" borderId="0" xfId="246" applyNumberFormat="1" applyFont="1" applyAlignment="1">
      <alignment vertical="center" wrapText="1"/>
    </xf>
    <xf numFmtId="0" fontId="61" fillId="0" borderId="0" xfId="246" applyFont="1" applyAlignment="1">
      <alignment horizontal="center" vertical="center" wrapText="1"/>
    </xf>
    <xf numFmtId="0" fontId="105" fillId="0" borderId="0" xfId="246" applyFont="1" applyAlignment="1">
      <alignment horizontal="center" vertical="center" wrapText="1"/>
    </xf>
    <xf numFmtId="0" fontId="43" fillId="0" borderId="0" xfId="246" applyFont="1"/>
    <xf numFmtId="0" fontId="42" fillId="26" borderId="0" xfId="246" applyFont="1" applyFill="1"/>
    <xf numFmtId="0" fontId="42" fillId="23" borderId="0" xfId="246" applyFont="1" applyFill="1"/>
    <xf numFmtId="0" fontId="42" fillId="27" borderId="0" xfId="246" applyFont="1" applyFill="1"/>
    <xf numFmtId="0" fontId="139" fillId="29" borderId="0" xfId="246" applyFont="1" applyFill="1" applyAlignment="1">
      <alignment wrapText="1"/>
    </xf>
    <xf numFmtId="0" fontId="42" fillId="0" borderId="97" xfId="149" applyFont="1" applyBorder="1" applyAlignment="1">
      <alignment horizontal="center" vertical="center"/>
    </xf>
    <xf numFmtId="168" fontId="40" fillId="20" borderId="103" xfId="176" applyNumberFormat="1" applyFont="1" applyFill="1" applyBorder="1" applyAlignment="1">
      <alignment horizontal="right" indent="1"/>
    </xf>
    <xf numFmtId="168" fontId="40" fillId="44" borderId="103" xfId="176" applyNumberFormat="1" applyFont="1" applyFill="1" applyBorder="1" applyAlignment="1">
      <alignment horizontal="right" indent="1"/>
    </xf>
    <xf numFmtId="0" fontId="105" fillId="0" borderId="0" xfId="0" applyFont="1" applyAlignment="1">
      <alignment horizontal="center" vertical="center"/>
    </xf>
    <xf numFmtId="0" fontId="43" fillId="20" borderId="103" xfId="0" applyFont="1" applyFill="1" applyBorder="1" applyAlignment="1">
      <alignment horizontal="center" vertical="center"/>
    </xf>
    <xf numFmtId="0" fontId="55" fillId="0" borderId="0" xfId="451" applyFont="1" applyAlignment="1">
      <alignment vertical="center"/>
    </xf>
    <xf numFmtId="0" fontId="55" fillId="0" borderId="0" xfId="797" applyFont="1" applyAlignment="1">
      <alignment vertical="top"/>
    </xf>
    <xf numFmtId="0" fontId="81" fillId="20" borderId="103" xfId="452" applyFont="1" applyFill="1" applyBorder="1" applyAlignment="1">
      <alignment horizontal="center" vertical="center" wrapText="1"/>
    </xf>
    <xf numFmtId="0" fontId="40" fillId="44" borderId="103" xfId="0" applyFont="1" applyFill="1" applyBorder="1" applyAlignment="1">
      <alignment horizontal="center" vertical="center"/>
    </xf>
    <xf numFmtId="168" fontId="40" fillId="0" borderId="0" xfId="176" applyNumberFormat="1" applyFont="1" applyAlignment="1">
      <alignment horizontal="center" vertical="center"/>
    </xf>
    <xf numFmtId="168" fontId="42" fillId="0" borderId="13" xfId="228" applyNumberFormat="1" applyFont="1" applyBorder="1" applyAlignment="1">
      <alignment horizontal="center" vertical="center"/>
    </xf>
    <xf numFmtId="168" fontId="38" fillId="0" borderId="0" xfId="176" applyNumberFormat="1" applyAlignment="1">
      <alignment horizontal="center" vertical="center"/>
    </xf>
    <xf numFmtId="168" fontId="55" fillId="0" borderId="13" xfId="176" applyNumberFormat="1" applyFont="1" applyBorder="1" applyAlignment="1">
      <alignment horizontal="center" vertical="center"/>
    </xf>
    <xf numFmtId="168" fontId="0" fillId="0" borderId="13" xfId="0" applyNumberFormat="1" applyBorder="1" applyAlignment="1">
      <alignment horizontal="center" vertical="center"/>
    </xf>
    <xf numFmtId="168" fontId="55" fillId="0" borderId="0" xfId="176" applyNumberFormat="1" applyFont="1" applyAlignment="1">
      <alignment horizontal="center" vertical="center"/>
    </xf>
    <xf numFmtId="168" fontId="81" fillId="0" borderId="0" xfId="176" applyNumberFormat="1" applyFont="1" applyAlignment="1">
      <alignment horizontal="center" vertical="center"/>
    </xf>
    <xf numFmtId="168" fontId="81" fillId="0" borderId="13" xfId="176" applyNumberFormat="1" applyFont="1" applyBorder="1" applyAlignment="1">
      <alignment horizontal="center" vertical="center"/>
    </xf>
    <xf numFmtId="168" fontId="42" fillId="0" borderId="13" xfId="176" applyNumberFormat="1" applyFont="1" applyBorder="1" applyAlignment="1">
      <alignment horizontal="center" vertical="center"/>
    </xf>
    <xf numFmtId="168" fontId="43" fillId="0" borderId="0" xfId="176" applyNumberFormat="1" applyFont="1" applyAlignment="1">
      <alignment horizontal="center" vertical="center"/>
    </xf>
    <xf numFmtId="168" fontId="43" fillId="0" borderId="13" xfId="176" applyNumberFormat="1" applyFont="1" applyBorder="1" applyAlignment="1">
      <alignment horizontal="center" vertical="center"/>
    </xf>
    <xf numFmtId="168" fontId="42" fillId="0" borderId="0" xfId="176" applyNumberFormat="1" applyFont="1" applyAlignment="1">
      <alignment horizontal="center" vertical="center"/>
    </xf>
    <xf numFmtId="168" fontId="43" fillId="0" borderId="13" xfId="228" applyNumberFormat="1" applyFont="1" applyBorder="1" applyAlignment="1">
      <alignment horizontal="center" vertical="center"/>
    </xf>
    <xf numFmtId="168" fontId="0" fillId="0" borderId="0" xfId="0" applyNumberFormat="1" applyAlignment="1">
      <alignment horizontal="center" vertical="center"/>
    </xf>
    <xf numFmtId="0" fontId="42" fillId="0" borderId="0" xfId="246" applyFont="1" applyAlignment="1">
      <alignment horizontal="center" vertical="center"/>
    </xf>
    <xf numFmtId="0" fontId="42" fillId="0" borderId="0" xfId="246" applyFont="1"/>
    <xf numFmtId="0" fontId="42" fillId="0" borderId="0" xfId="246" applyFont="1" applyAlignment="1">
      <alignment horizontal="left"/>
    </xf>
    <xf numFmtId="0" fontId="42" fillId="0" borderId="0" xfId="246" applyFont="1" applyAlignment="1">
      <alignment vertical="center"/>
    </xf>
    <xf numFmtId="0" fontId="42" fillId="0" borderId="0" xfId="0" applyFont="1" applyAlignment="1">
      <alignment horizontal="center" vertical="center"/>
    </xf>
    <xf numFmtId="0" fontId="51" fillId="0" borderId="103" xfId="0" applyFont="1" applyBorder="1" applyAlignment="1">
      <alignment horizontal="center" vertical="center"/>
    </xf>
    <xf numFmtId="0" fontId="61" fillId="0" borderId="0" xfId="246" applyFont="1" applyAlignment="1">
      <alignment horizontal="center" vertical="center"/>
    </xf>
    <xf numFmtId="0" fontId="42" fillId="0" borderId="0" xfId="246" applyFont="1" applyAlignment="1">
      <alignment horizontal="left" vertical="center"/>
    </xf>
    <xf numFmtId="0" fontId="43" fillId="0" borderId="0" xfId="246" applyFont="1" applyAlignment="1">
      <alignment vertical="center" wrapText="1"/>
    </xf>
    <xf numFmtId="0" fontId="42" fillId="26" borderId="0" xfId="246" applyFont="1" applyFill="1" applyAlignment="1">
      <alignment vertical="center" wrapText="1"/>
    </xf>
    <xf numFmtId="0" fontId="42" fillId="23" borderId="0" xfId="246" applyFont="1" applyFill="1" applyAlignment="1">
      <alignment vertical="center" wrapText="1"/>
    </xf>
    <xf numFmtId="0" fontId="42" fillId="0" borderId="0" xfId="0" applyFont="1" applyAlignment="1">
      <alignment vertical="center"/>
    </xf>
    <xf numFmtId="0" fontId="42" fillId="27" borderId="0" xfId="246" applyFont="1" applyFill="1" applyAlignment="1">
      <alignment vertical="center" wrapText="1"/>
    </xf>
    <xf numFmtId="0" fontId="139" fillId="29" borderId="0" xfId="246" applyFont="1" applyFill="1" applyAlignment="1">
      <alignment vertical="center" wrapText="1"/>
    </xf>
    <xf numFmtId="0" fontId="139" fillId="47" borderId="0" xfId="246" applyFont="1" applyFill="1" applyAlignment="1">
      <alignment vertical="center" wrapText="1"/>
    </xf>
    <xf numFmtId="0" fontId="0" fillId="20" borderId="103" xfId="0" applyFill="1" applyBorder="1" applyAlignment="1">
      <alignment horizontal="center" vertical="center" wrapText="1"/>
    </xf>
    <xf numFmtId="0" fontId="62"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vertical="center" wrapText="1"/>
    </xf>
    <xf numFmtId="0" fontId="49" fillId="0" borderId="0" xfId="0" applyFont="1" applyAlignment="1">
      <alignment horizontal="center" vertical="center"/>
    </xf>
    <xf numFmtId="0" fontId="86" fillId="0" borderId="0" xfId="0" applyFont="1" applyAlignment="1">
      <alignment horizontal="center" vertical="center"/>
    </xf>
    <xf numFmtId="0" fontId="86" fillId="0" borderId="0" xfId="0" applyFont="1" applyAlignment="1">
      <alignment horizontal="center"/>
    </xf>
    <xf numFmtId="0" fontId="87" fillId="0" borderId="0" xfId="0" applyFont="1" applyAlignment="1">
      <alignment horizontal="center" vertical="center"/>
    </xf>
    <xf numFmtId="0" fontId="56" fillId="0" borderId="0" xfId="0" applyFont="1" applyAlignment="1">
      <alignment vertical="center"/>
    </xf>
    <xf numFmtId="0" fontId="50" fillId="0" borderId="103" xfId="0" applyFont="1" applyBorder="1" applyAlignment="1">
      <alignment horizontal="center" vertical="center" wrapText="1"/>
    </xf>
    <xf numFmtId="0" fontId="5" fillId="0" borderId="0" xfId="229" applyFont="1" applyAlignment="1">
      <alignment horizontal="center" vertical="center"/>
    </xf>
    <xf numFmtId="9" fontId="67" fillId="0" borderId="0" xfId="176" applyFont="1" applyAlignment="1">
      <alignment vertical="center"/>
    </xf>
    <xf numFmtId="0" fontId="6" fillId="0" borderId="0" xfId="0" applyFont="1"/>
    <xf numFmtId="0" fontId="6" fillId="0" borderId="0" xfId="0" applyFont="1" applyAlignment="1">
      <alignment horizontal="center"/>
    </xf>
    <xf numFmtId="0" fontId="93" fillId="0" borderId="0" xfId="0" applyFont="1" applyAlignment="1">
      <alignment horizontal="center"/>
    </xf>
    <xf numFmtId="0" fontId="83" fillId="20" borderId="118" xfId="0" applyFont="1" applyFill="1" applyBorder="1" applyAlignment="1">
      <alignment horizontal="center" vertical="center" wrapText="1"/>
    </xf>
    <xf numFmtId="0" fontId="64" fillId="35" borderId="123" xfId="0" applyFont="1" applyFill="1" applyBorder="1" applyAlignment="1">
      <alignment horizontal="center" vertical="center" wrapText="1"/>
    </xf>
    <xf numFmtId="10" fontId="64" fillId="35" borderId="126" xfId="0" applyNumberFormat="1" applyFont="1" applyFill="1" applyBorder="1" applyAlignment="1">
      <alignment horizontal="center" vertical="center" wrapText="1"/>
    </xf>
    <xf numFmtId="10" fontId="64" fillId="44" borderId="118" xfId="0" applyNumberFormat="1" applyFont="1" applyFill="1" applyBorder="1" applyAlignment="1">
      <alignment horizontal="center" vertical="center" wrapText="1"/>
    </xf>
    <xf numFmtId="9" fontId="64" fillId="35" borderId="102" xfId="0" applyNumberFormat="1" applyFont="1" applyFill="1" applyBorder="1" applyAlignment="1">
      <alignment horizontal="center" vertical="center" wrapText="1"/>
    </xf>
    <xf numFmtId="10" fontId="64" fillId="35" borderId="101" xfId="0" applyNumberFormat="1" applyFont="1" applyFill="1" applyBorder="1" applyAlignment="1">
      <alignment horizontal="center" vertical="center" wrapText="1"/>
    </xf>
    <xf numFmtId="0" fontId="158" fillId="0" borderId="0" xfId="0" applyFont="1"/>
    <xf numFmtId="0" fontId="2" fillId="0" borderId="0" xfId="0" applyFont="1" applyAlignment="1">
      <alignment horizontal="center"/>
    </xf>
    <xf numFmtId="0" fontId="124" fillId="0" borderId="0" xfId="0" applyFont="1" applyAlignment="1">
      <alignment horizontal="center"/>
    </xf>
    <xf numFmtId="0" fontId="45" fillId="0" borderId="0" xfId="0" applyFont="1"/>
    <xf numFmtId="0" fontId="5" fillId="0" borderId="0" xfId="0" applyFont="1" applyAlignment="1">
      <alignment horizontal="center"/>
    </xf>
    <xf numFmtId="0" fontId="45" fillId="0" borderId="0" xfId="0" applyFont="1" applyAlignment="1">
      <alignment horizontal="left"/>
    </xf>
    <xf numFmtId="0" fontId="64" fillId="0" borderId="123" xfId="0" applyFont="1" applyBorder="1" applyAlignment="1">
      <alignment horizontal="center" vertical="center" wrapText="1"/>
    </xf>
    <xf numFmtId="10" fontId="64" fillId="0" borderId="122" xfId="0" applyNumberFormat="1" applyFont="1" applyBorder="1" applyAlignment="1">
      <alignment horizontal="center" vertical="center" wrapText="1"/>
    </xf>
    <xf numFmtId="10" fontId="159" fillId="44" borderId="122" xfId="0" applyNumberFormat="1" applyFont="1" applyFill="1" applyBorder="1" applyAlignment="1">
      <alignment horizontal="center" vertical="center" wrapText="1"/>
    </xf>
    <xf numFmtId="10" fontId="64" fillId="35" borderId="122" xfId="0" applyNumberFormat="1" applyFont="1" applyFill="1" applyBorder="1" applyAlignment="1">
      <alignment horizontal="center" vertical="center" wrapText="1"/>
    </xf>
    <xf numFmtId="2" fontId="0" fillId="0" borderId="0" xfId="0" applyNumberFormat="1" applyAlignment="1">
      <alignment vertical="center"/>
    </xf>
    <xf numFmtId="0" fontId="64" fillId="35" borderId="126" xfId="0" applyFont="1" applyFill="1" applyBorder="1" applyAlignment="1">
      <alignment horizontal="center" vertical="center" wrapText="1"/>
    </xf>
    <xf numFmtId="0" fontId="64" fillId="35" borderId="118" xfId="0" applyFont="1" applyFill="1" applyBorder="1" applyAlignment="1">
      <alignment horizontal="center" vertical="center" wrapText="1"/>
    </xf>
    <xf numFmtId="168" fontId="64" fillId="35" borderId="102" xfId="0" applyNumberFormat="1" applyFont="1" applyFill="1" applyBorder="1" applyAlignment="1">
      <alignment horizontal="center" vertical="center" wrapText="1"/>
    </xf>
    <xf numFmtId="168" fontId="64" fillId="21" borderId="101" xfId="0" applyNumberFormat="1" applyFont="1" applyFill="1" applyBorder="1" applyAlignment="1">
      <alignment horizontal="center" vertical="center" wrapText="1"/>
    </xf>
    <xf numFmtId="168" fontId="64" fillId="35" borderId="101" xfId="0" applyNumberFormat="1" applyFont="1" applyFill="1" applyBorder="1" applyAlignment="1">
      <alignment horizontal="center" vertical="center" wrapText="1"/>
    </xf>
    <xf numFmtId="10" fontId="64" fillId="21" borderId="101" xfId="0" applyNumberFormat="1" applyFont="1" applyFill="1" applyBorder="1" applyAlignment="1">
      <alignment horizontal="center" vertical="center" wrapText="1"/>
    </xf>
    <xf numFmtId="0" fontId="160" fillId="0" borderId="0" xfId="0" applyFont="1"/>
    <xf numFmtId="0" fontId="24" fillId="20" borderId="122" xfId="0" applyFont="1" applyFill="1" applyBorder="1" applyAlignment="1">
      <alignment horizontal="center" vertical="center" wrapText="1"/>
    </xf>
    <xf numFmtId="0" fontId="24" fillId="20" borderId="122" xfId="0" applyFont="1" applyFill="1" applyBorder="1" applyAlignment="1">
      <alignment horizontal="center" vertical="center"/>
    </xf>
    <xf numFmtId="0" fontId="0" fillId="0" borderId="122" xfId="0" applyBorder="1" applyAlignment="1">
      <alignment horizontal="center" vertical="center" wrapText="1"/>
    </xf>
    <xf numFmtId="168" fontId="58" fillId="0" borderId="122" xfId="0" applyNumberFormat="1" applyFont="1" applyBorder="1" applyAlignment="1">
      <alignment horizontal="center"/>
    </xf>
    <xf numFmtId="168" fontId="58" fillId="21" borderId="122" xfId="0" applyNumberFormat="1" applyFont="1" applyFill="1" applyBorder="1" applyAlignment="1">
      <alignment horizontal="center"/>
    </xf>
    <xf numFmtId="0" fontId="27" fillId="0" borderId="0" xfId="0" applyFont="1" applyAlignment="1">
      <alignment horizontal="left" vertical="center" indent="1"/>
    </xf>
    <xf numFmtId="0" fontId="57" fillId="0" borderId="0" xfId="0" applyFont="1" applyAlignment="1">
      <alignment vertical="center"/>
    </xf>
    <xf numFmtId="0" fontId="45" fillId="0" borderId="0" xfId="0" applyFont="1" applyAlignment="1">
      <alignment horizontal="center"/>
    </xf>
    <xf numFmtId="0" fontId="152" fillId="0" borderId="0" xfId="0" applyFont="1" applyAlignment="1">
      <alignment horizontal="center"/>
    </xf>
    <xf numFmtId="2" fontId="45" fillId="0" borderId="0" xfId="0" applyNumberFormat="1" applyFont="1" applyAlignment="1">
      <alignment horizontal="center"/>
    </xf>
    <xf numFmtId="0" fontId="45" fillId="0" borderId="0" xfId="0" applyFont="1" applyAlignment="1">
      <alignment vertical="center"/>
    </xf>
    <xf numFmtId="2" fontId="50" fillId="0" borderId="0" xfId="0" applyNumberFormat="1" applyFont="1" applyAlignment="1">
      <alignment vertical="center"/>
    </xf>
    <xf numFmtId="0" fontId="45" fillId="20" borderId="122" xfId="0" applyFont="1" applyFill="1" applyBorder="1" applyAlignment="1">
      <alignment horizontal="center" vertical="center" wrapText="1"/>
    </xf>
    <xf numFmtId="0" fontId="83" fillId="20" borderId="122" xfId="0" applyFont="1" applyFill="1" applyBorder="1" applyAlignment="1">
      <alignment horizontal="center" vertical="center" wrapText="1"/>
    </xf>
    <xf numFmtId="2" fontId="83" fillId="20" borderId="122" xfId="0" applyNumberFormat="1" applyFont="1" applyFill="1" applyBorder="1" applyAlignment="1">
      <alignment horizontal="center" vertical="center" wrapText="1"/>
    </xf>
    <xf numFmtId="0" fontId="64" fillId="35" borderId="122" xfId="0" applyFont="1" applyFill="1" applyBorder="1" applyAlignment="1">
      <alignment horizontal="center" vertical="center" wrapText="1"/>
    </xf>
    <xf numFmtId="2" fontId="64" fillId="35" borderId="122" xfId="176" applyNumberFormat="1" applyFont="1" applyFill="1" applyBorder="1" applyAlignment="1">
      <alignment horizontal="center" vertical="center" wrapText="1"/>
    </xf>
    <xf numFmtId="2" fontId="64" fillId="44" borderId="122" xfId="176" applyNumberFormat="1" applyFont="1" applyFill="1" applyBorder="1" applyAlignment="1">
      <alignment horizontal="center" vertical="center" wrapText="1"/>
    </xf>
    <xf numFmtId="2" fontId="64" fillId="0" borderId="122" xfId="176" applyNumberFormat="1" applyFont="1" applyBorder="1" applyAlignment="1">
      <alignment horizontal="center" vertical="center" wrapText="1"/>
    </xf>
    <xf numFmtId="0" fontId="83" fillId="35" borderId="122" xfId="0" applyFont="1" applyFill="1" applyBorder="1" applyAlignment="1">
      <alignment horizontal="center" vertical="center" wrapText="1"/>
    </xf>
    <xf numFmtId="0" fontId="45" fillId="0" borderId="0" xfId="0" applyFont="1" applyAlignment="1">
      <alignment vertical="center" wrapText="1"/>
    </xf>
    <xf numFmtId="182" fontId="74" fillId="0" borderId="122" xfId="803" applyNumberFormat="1" applyFont="1" applyBorder="1" applyAlignment="1">
      <alignment horizontal="center" vertical="center"/>
    </xf>
    <xf numFmtId="183" fontId="74" fillId="0" borderId="122" xfId="803" applyNumberFormat="1" applyFont="1" applyBorder="1" applyAlignment="1">
      <alignment horizontal="center" vertical="center"/>
    </xf>
    <xf numFmtId="168" fontId="162" fillId="44" borderId="122" xfId="176" applyNumberFormat="1" applyFont="1" applyFill="1" applyBorder="1" applyAlignment="1">
      <alignment horizontal="center" vertical="center"/>
    </xf>
    <xf numFmtId="183" fontId="74" fillId="44" borderId="122" xfId="803" applyNumberFormat="1" applyFont="1" applyFill="1" applyBorder="1" applyAlignment="1">
      <alignment horizontal="center" vertical="center"/>
    </xf>
    <xf numFmtId="0" fontId="83" fillId="35" borderId="123" xfId="0" applyFont="1" applyFill="1" applyBorder="1" applyAlignment="1">
      <alignment horizontal="center" vertical="center" wrapText="1"/>
    </xf>
    <xf numFmtId="184" fontId="74" fillId="0" borderId="122" xfId="803" applyNumberFormat="1" applyFont="1" applyBorder="1" applyAlignment="1">
      <alignment horizontal="center" vertical="center"/>
    </xf>
    <xf numFmtId="9" fontId="44" fillId="35" borderId="122" xfId="176" applyFont="1" applyFill="1" applyBorder="1" applyAlignment="1">
      <alignment horizontal="center" vertical="center" wrapText="1"/>
    </xf>
    <xf numFmtId="9" fontId="45" fillId="35" borderId="122" xfId="176" applyFont="1" applyFill="1" applyBorder="1" applyAlignment="1">
      <alignment horizontal="center" vertical="center" wrapText="1"/>
    </xf>
    <xf numFmtId="10" fontId="64" fillId="35" borderId="122" xfId="176" applyNumberFormat="1" applyFont="1" applyFill="1" applyBorder="1" applyAlignment="1">
      <alignment horizontal="center" vertical="center" wrapText="1"/>
    </xf>
    <xf numFmtId="168" fontId="83" fillId="21" borderId="122" xfId="176" applyNumberFormat="1" applyFont="1" applyFill="1" applyBorder="1" applyAlignment="1">
      <alignment horizontal="center" vertical="center" wrapText="1"/>
    </xf>
    <xf numFmtId="168" fontId="64" fillId="35" borderId="122" xfId="176" applyNumberFormat="1" applyFont="1" applyFill="1" applyBorder="1" applyAlignment="1">
      <alignment horizontal="center" vertical="center" wrapText="1"/>
    </xf>
    <xf numFmtId="171" fontId="64" fillId="35" borderId="122" xfId="176" applyNumberFormat="1" applyFont="1" applyFill="1" applyBorder="1" applyAlignment="1">
      <alignment horizontal="center" vertical="center" wrapText="1"/>
    </xf>
    <xf numFmtId="10" fontId="83" fillId="35" borderId="122" xfId="176" applyNumberFormat="1" applyFont="1" applyFill="1" applyBorder="1" applyAlignment="1">
      <alignment horizontal="center" vertical="center" wrapText="1"/>
    </xf>
    <xf numFmtId="9" fontId="83" fillId="35" borderId="122" xfId="176" applyFont="1" applyFill="1" applyBorder="1" applyAlignment="1">
      <alignment horizontal="center" vertical="center" wrapText="1"/>
    </xf>
    <xf numFmtId="10" fontId="64" fillId="21" borderId="122" xfId="176" applyNumberFormat="1" applyFont="1" applyFill="1" applyBorder="1" applyAlignment="1">
      <alignment horizontal="center" vertical="center" wrapText="1"/>
    </xf>
    <xf numFmtId="0" fontId="45" fillId="0" borderId="0" xfId="0" applyFont="1" applyAlignment="1">
      <alignment horizontal="center" vertical="center"/>
    </xf>
    <xf numFmtId="0" fontId="44" fillId="0" borderId="0" xfId="0" applyFont="1" applyAlignment="1">
      <alignment horizontal="right"/>
    </xf>
    <xf numFmtId="0" fontId="83" fillId="0" borderId="0" xfId="0" applyFont="1"/>
    <xf numFmtId="0" fontId="83" fillId="0" borderId="0" xfId="0" applyFont="1" applyAlignment="1">
      <alignment wrapText="1"/>
    </xf>
    <xf numFmtId="0" fontId="5" fillId="20" borderId="122" xfId="0" applyFont="1" applyFill="1" applyBorder="1" applyAlignment="1">
      <alignment horizontal="center" vertical="top" wrapText="1"/>
    </xf>
    <xf numFmtId="0" fontId="5" fillId="20" borderId="122" xfId="0" applyFont="1" applyFill="1" applyBorder="1" applyAlignment="1">
      <alignment horizontal="center" vertical="top"/>
    </xf>
    <xf numFmtId="0" fontId="44" fillId="0" borderId="0" xfId="0" applyFont="1" applyAlignment="1">
      <alignment horizontal="justify" wrapText="1"/>
    </xf>
    <xf numFmtId="0" fontId="5" fillId="0" borderId="122" xfId="0" applyFont="1" applyBorder="1" applyAlignment="1">
      <alignment horizontal="justify" vertical="top" wrapText="1"/>
    </xf>
    <xf numFmtId="171" fontId="1" fillId="0" borderId="122" xfId="0" applyNumberFormat="1" applyFont="1" applyBorder="1" applyAlignment="1">
      <alignment horizontal="center" vertical="top" wrapText="1"/>
    </xf>
    <xf numFmtId="0" fontId="1" fillId="0" borderId="122" xfId="0" applyFont="1" applyBorder="1" applyAlignment="1">
      <alignment vertical="top" wrapText="1"/>
    </xf>
    <xf numFmtId="0" fontId="5" fillId="20" borderId="122" xfId="0" applyFont="1" applyFill="1" applyBorder="1" applyAlignment="1">
      <alignment horizontal="right" vertical="top" wrapText="1"/>
    </xf>
    <xf numFmtId="171" fontId="5" fillId="21" borderId="122" xfId="0" applyNumberFormat="1" applyFont="1" applyFill="1" applyBorder="1" applyAlignment="1">
      <alignment horizontal="center" vertical="top" wrapText="1"/>
    </xf>
    <xf numFmtId="171" fontId="5" fillId="20" borderId="122" xfId="0" applyNumberFormat="1" applyFont="1" applyFill="1" applyBorder="1" applyAlignment="1">
      <alignment horizontal="center" vertical="top" wrapText="1"/>
    </xf>
    <xf numFmtId="10" fontId="64" fillId="35" borderId="123" xfId="0" applyNumberFormat="1" applyFont="1" applyFill="1" applyBorder="1" applyAlignment="1">
      <alignment horizontal="center" vertical="center" wrapText="1"/>
    </xf>
    <xf numFmtId="0" fontId="163" fillId="0" borderId="0" xfId="149" applyFont="1" applyAlignment="1">
      <alignment vertical="center"/>
    </xf>
    <xf numFmtId="0" fontId="1" fillId="0" borderId="0" xfId="149" applyAlignment="1">
      <alignment horizontal="center" vertical="center"/>
    </xf>
    <xf numFmtId="0" fontId="2" fillId="0" borderId="0" xfId="149" applyFont="1" applyAlignment="1">
      <alignment vertical="center"/>
    </xf>
    <xf numFmtId="0" fontId="42" fillId="0" borderId="0" xfId="149" applyFont="1" applyAlignment="1">
      <alignment horizontal="center" vertical="center"/>
    </xf>
    <xf numFmtId="0" fontId="164" fillId="0" borderId="0" xfId="802" applyFont="1" applyAlignment="1">
      <alignment horizontal="left" vertical="center"/>
    </xf>
    <xf numFmtId="0" fontId="55" fillId="0" borderId="0" xfId="802" applyFont="1" applyAlignment="1">
      <alignment vertical="center"/>
    </xf>
    <xf numFmtId="0" fontId="81" fillId="20" borderId="103" xfId="802" applyFont="1" applyFill="1" applyBorder="1" applyAlignment="1">
      <alignment horizontal="center" vertical="center"/>
    </xf>
    <xf numFmtId="0" fontId="55" fillId="0" borderId="103" xfId="802" applyFont="1" applyBorder="1" applyAlignment="1">
      <alignment horizontal="center" vertical="center"/>
    </xf>
    <xf numFmtId="0" fontId="81" fillId="0" borderId="103" xfId="802" applyFont="1" applyBorder="1" applyAlignment="1">
      <alignment horizontal="center" vertical="center"/>
    </xf>
    <xf numFmtId="0" fontId="40" fillId="20" borderId="103" xfId="802" applyFont="1" applyFill="1" applyBorder="1" applyAlignment="1">
      <alignment horizontal="center" vertical="center"/>
    </xf>
    <xf numFmtId="0" fontId="165" fillId="0" borderId="0" xfId="802" applyFont="1" applyAlignment="1">
      <alignment vertical="center"/>
    </xf>
    <xf numFmtId="0" fontId="101" fillId="0" borderId="0" xfId="802" applyFont="1" applyAlignment="1">
      <alignment vertical="center"/>
    </xf>
    <xf numFmtId="0" fontId="40" fillId="20" borderId="125" xfId="0" applyFont="1" applyFill="1" applyBorder="1" applyAlignment="1">
      <alignment horizontal="center" vertical="center"/>
    </xf>
    <xf numFmtId="171" fontId="44" fillId="0" borderId="0" xfId="0" applyNumberFormat="1" applyFont="1"/>
    <xf numFmtId="0" fontId="40" fillId="20" borderId="124" xfId="0" applyFont="1" applyFill="1" applyBorder="1" applyAlignment="1">
      <alignment horizontal="center" vertical="center" wrapText="1"/>
    </xf>
    <xf numFmtId="0" fontId="45" fillId="20" borderId="103" xfId="0" applyFont="1" applyFill="1" applyBorder="1" applyAlignment="1">
      <alignment horizontal="center" vertical="center"/>
    </xf>
    <xf numFmtId="0" fontId="44" fillId="0" borderId="118" xfId="0" applyFont="1" applyBorder="1" applyAlignment="1">
      <alignment vertical="center" wrapText="1"/>
    </xf>
    <xf numFmtId="3" fontId="44" fillId="0" borderId="117" xfId="0" applyNumberFormat="1" applyFont="1" applyBorder="1" applyAlignment="1">
      <alignment horizontal="center" vertical="center"/>
    </xf>
    <xf numFmtId="171" fontId="44" fillId="0" borderId="116" xfId="0" applyNumberFormat="1" applyFont="1" applyBorder="1" applyAlignment="1">
      <alignment horizontal="center" vertical="center"/>
    </xf>
    <xf numFmtId="0" fontId="44" fillId="0" borderId="101" xfId="0" applyFont="1" applyBorder="1" applyAlignment="1">
      <alignment vertical="center"/>
    </xf>
    <xf numFmtId="0" fontId="104" fillId="0" borderId="0" xfId="0" applyFont="1" applyAlignment="1">
      <alignment horizontal="center" vertical="center"/>
    </xf>
    <xf numFmtId="0" fontId="0" fillId="0" borderId="0" xfId="0" applyAlignment="1">
      <alignment horizontal="centerContinuous" vertical="center"/>
    </xf>
    <xf numFmtId="167" fontId="0" fillId="0" borderId="0" xfId="0" applyNumberFormat="1"/>
    <xf numFmtId="0" fontId="138" fillId="20" borderId="103" xfId="452" applyFont="1" applyFill="1" applyBorder="1" applyAlignment="1">
      <alignment horizontal="center" vertical="center"/>
    </xf>
    <xf numFmtId="0" fontId="160" fillId="0" borderId="0" xfId="167" applyFont="1" applyAlignment="1">
      <alignment horizontal="center" vertical="center"/>
    </xf>
    <xf numFmtId="0" fontId="87" fillId="0" borderId="0" xfId="167" applyFont="1" applyAlignment="1">
      <alignment vertical="center"/>
    </xf>
    <xf numFmtId="0" fontId="38" fillId="0" borderId="0" xfId="167" applyAlignment="1">
      <alignment vertical="center"/>
    </xf>
    <xf numFmtId="0" fontId="6" fillId="0" borderId="0" xfId="167" applyFont="1" applyAlignment="1">
      <alignment horizontal="center" vertical="center"/>
    </xf>
    <xf numFmtId="0" fontId="38" fillId="0" borderId="0" xfId="167" applyAlignment="1">
      <alignment horizontal="center" vertical="center"/>
    </xf>
    <xf numFmtId="0" fontId="42" fillId="0" borderId="96" xfId="167" applyFont="1" applyBorder="1" applyAlignment="1">
      <alignment horizontal="right" vertical="center" indent="1"/>
    </xf>
    <xf numFmtId="0" fontId="42" fillId="0" borderId="98" xfId="167" applyFont="1" applyBorder="1" applyAlignment="1">
      <alignment horizontal="right" vertical="center" indent="1"/>
    </xf>
    <xf numFmtId="0" fontId="42" fillId="0" borderId="19" xfId="167" applyFont="1" applyBorder="1" applyAlignment="1">
      <alignment horizontal="right" vertical="center" indent="1"/>
    </xf>
    <xf numFmtId="0" fontId="42" fillId="0" borderId="24" xfId="167" applyFont="1" applyBorder="1" applyAlignment="1">
      <alignment horizontal="right" vertical="center" indent="1"/>
    </xf>
    <xf numFmtId="0" fontId="42" fillId="0" borderId="0" xfId="167" applyFont="1" applyAlignment="1">
      <alignment horizontal="left" vertical="center"/>
    </xf>
    <xf numFmtId="0" fontId="67" fillId="0" borderId="0" xfId="167" applyFont="1" applyAlignment="1">
      <alignment vertical="center"/>
    </xf>
    <xf numFmtId="0" fontId="32" fillId="0" borderId="0" xfId="807" applyFont="1" applyAlignment="1" applyProtection="1">
      <alignment horizontal="left" vertical="center"/>
    </xf>
    <xf numFmtId="0" fontId="32" fillId="0" borderId="0" xfId="167" applyFont="1" applyAlignment="1">
      <alignment horizontal="left" vertical="center"/>
    </xf>
    <xf numFmtId="0" fontId="93" fillId="20" borderId="103" xfId="0" applyFont="1" applyFill="1" applyBorder="1" applyAlignment="1">
      <alignment horizontal="center" vertical="center"/>
    </xf>
    <xf numFmtId="9" fontId="49" fillId="20" borderId="103" xfId="176" applyFont="1" applyFill="1" applyBorder="1" applyAlignment="1">
      <alignment horizontal="center" vertical="center"/>
    </xf>
    <xf numFmtId="0" fontId="59" fillId="0" borderId="103" xfId="0" applyFont="1" applyBorder="1" applyAlignment="1">
      <alignment horizontal="left" vertical="center" wrapText="1"/>
    </xf>
    <xf numFmtId="0" fontId="42" fillId="0" borderId="103" xfId="0" applyFont="1" applyBorder="1" applyAlignment="1">
      <alignment horizontal="left" vertical="center" wrapText="1"/>
    </xf>
    <xf numFmtId="0" fontId="40" fillId="0" borderId="0" xfId="0" applyFont="1" applyAlignment="1">
      <alignment horizontal="center" vertical="center"/>
    </xf>
    <xf numFmtId="9" fontId="176" fillId="0" borderId="0" xfId="176" applyFont="1"/>
    <xf numFmtId="0" fontId="136" fillId="0" borderId="0" xfId="0" applyFont="1"/>
    <xf numFmtId="0" fontId="136" fillId="0" borderId="0" xfId="0" applyFont="1" applyAlignment="1">
      <alignment horizontal="center" vertical="center"/>
    </xf>
    <xf numFmtId="0" fontId="136" fillId="0" borderId="103" xfId="0" applyFont="1" applyBorder="1" applyAlignment="1">
      <alignment horizontal="left" vertical="center" wrapText="1"/>
    </xf>
    <xf numFmtId="0" fontId="124" fillId="0" borderId="136" xfId="0" applyFont="1" applyBorder="1" applyAlignment="1">
      <alignment vertical="center" wrapText="1"/>
    </xf>
    <xf numFmtId="9" fontId="136" fillId="0" borderId="13" xfId="0" applyNumberFormat="1" applyFont="1" applyBorder="1" applyAlignment="1">
      <alignment horizontal="center" vertical="center" wrapText="1"/>
    </xf>
    <xf numFmtId="0" fontId="136" fillId="0" borderId="103" xfId="0" applyFont="1" applyBorder="1" applyAlignment="1">
      <alignment vertical="center" wrapText="1"/>
    </xf>
    <xf numFmtId="168" fontId="136" fillId="0" borderId="123" xfId="0" applyNumberFormat="1" applyFont="1" applyBorder="1" applyAlignment="1">
      <alignment horizontal="center" vertical="center" wrapText="1"/>
    </xf>
    <xf numFmtId="168" fontId="163" fillId="0" borderId="123" xfId="0" applyNumberFormat="1" applyFont="1" applyBorder="1" applyAlignment="1">
      <alignment horizontal="center" vertical="center" wrapText="1"/>
    </xf>
    <xf numFmtId="9" fontId="136" fillId="0" borderId="103" xfId="0" applyNumberFormat="1" applyFont="1" applyBorder="1" applyAlignment="1">
      <alignment horizontal="center" vertical="center" wrapText="1"/>
    </xf>
    <xf numFmtId="3" fontId="136" fillId="0" borderId="123" xfId="0" applyNumberFormat="1" applyFont="1" applyBorder="1" applyAlignment="1">
      <alignment horizontal="center" vertical="center" wrapText="1"/>
    </xf>
    <xf numFmtId="3" fontId="136" fillId="0" borderId="137" xfId="0" applyNumberFormat="1" applyFont="1" applyBorder="1" applyAlignment="1">
      <alignment horizontal="center" vertical="center" wrapText="1"/>
    </xf>
    <xf numFmtId="3" fontId="163" fillId="0" borderId="137" xfId="0" applyNumberFormat="1" applyFont="1" applyBorder="1" applyAlignment="1">
      <alignment horizontal="center" vertical="center" wrapText="1"/>
    </xf>
    <xf numFmtId="171" fontId="136" fillId="0" borderId="123" xfId="0" applyNumberFormat="1" applyFont="1" applyBorder="1" applyAlignment="1">
      <alignment horizontal="center" vertical="center" wrapText="1"/>
    </xf>
    <xf numFmtId="171" fontId="163" fillId="0" borderId="123" xfId="0" applyNumberFormat="1" applyFont="1" applyBorder="1" applyAlignment="1">
      <alignment horizontal="center" vertical="center" wrapText="1"/>
    </xf>
    <xf numFmtId="0" fontId="136" fillId="0" borderId="103" xfId="0" applyFont="1" applyBorder="1" applyAlignment="1">
      <alignment horizontal="center" vertical="center" wrapText="1"/>
    </xf>
    <xf numFmtId="168" fontId="136" fillId="0" borderId="125" xfId="0" applyNumberFormat="1" applyFont="1" applyBorder="1" applyAlignment="1">
      <alignment horizontal="center" vertical="center" wrapText="1"/>
    </xf>
    <xf numFmtId="171" fontId="136" fillId="0" borderId="10" xfId="0" applyNumberFormat="1" applyFont="1" applyBorder="1" applyAlignment="1">
      <alignment horizontal="center" vertical="center" wrapText="1"/>
    </xf>
    <xf numFmtId="171" fontId="163" fillId="0" borderId="10" xfId="0" applyNumberFormat="1" applyFont="1" applyBorder="1" applyAlignment="1">
      <alignment horizontal="center" vertical="center" wrapText="1"/>
    </xf>
    <xf numFmtId="0" fontId="136" fillId="0" borderId="137" xfId="0" applyFont="1" applyBorder="1" applyAlignment="1">
      <alignment horizontal="center" vertical="center" wrapText="1"/>
    </xf>
    <xf numFmtId="0" fontId="163" fillId="0" borderId="137" xfId="0" applyFont="1" applyBorder="1" applyAlignment="1">
      <alignment horizontal="center" vertical="center" wrapText="1"/>
    </xf>
    <xf numFmtId="0" fontId="136" fillId="22" borderId="133" xfId="0" applyFont="1" applyFill="1" applyBorder="1" applyAlignment="1">
      <alignment vertical="center" wrapText="1"/>
    </xf>
    <xf numFmtId="168" fontId="136" fillId="0" borderId="123" xfId="176" applyNumberFormat="1" applyFont="1" applyBorder="1" applyAlignment="1">
      <alignment horizontal="center" vertical="center" wrapText="1"/>
    </xf>
    <xf numFmtId="168" fontId="163" fillId="0" borderId="123" xfId="176" applyNumberFormat="1" applyFont="1" applyBorder="1" applyAlignment="1">
      <alignment horizontal="center" vertical="center" wrapText="1"/>
    </xf>
    <xf numFmtId="3" fontId="136" fillId="0" borderId="0" xfId="0" applyNumberFormat="1" applyFont="1" applyAlignment="1">
      <alignment horizontal="center" vertical="center" wrapText="1"/>
    </xf>
    <xf numFmtId="3" fontId="136" fillId="0" borderId="133" xfId="0" applyNumberFormat="1" applyFont="1" applyBorder="1" applyAlignment="1">
      <alignment horizontal="center" vertical="center" wrapText="1"/>
    </xf>
    <xf numFmtId="3" fontId="163" fillId="0" borderId="133" xfId="0" applyNumberFormat="1" applyFont="1" applyBorder="1" applyAlignment="1">
      <alignment horizontal="center" vertical="center" wrapText="1"/>
    </xf>
    <xf numFmtId="3" fontId="136" fillId="0" borderId="103" xfId="0" applyNumberFormat="1" applyFont="1" applyBorder="1" applyAlignment="1">
      <alignment horizontal="center" vertical="center" wrapText="1"/>
    </xf>
    <xf numFmtId="3" fontId="136" fillId="0" borderId="125" xfId="0" applyNumberFormat="1" applyFont="1" applyBorder="1" applyAlignment="1">
      <alignment horizontal="center" vertical="center" wrapText="1"/>
    </xf>
    <xf numFmtId="3" fontId="163" fillId="0" borderId="103" xfId="0" applyNumberFormat="1" applyFont="1" applyBorder="1" applyAlignment="1">
      <alignment horizontal="center" vertical="center" wrapText="1"/>
    </xf>
    <xf numFmtId="0" fontId="136" fillId="0" borderId="123" xfId="0" applyFont="1" applyBorder="1" applyAlignment="1">
      <alignment horizontal="center" vertical="center" wrapText="1"/>
    </xf>
    <xf numFmtId="0" fontId="163" fillId="0" borderId="123" xfId="0" applyFont="1" applyBorder="1" applyAlignment="1">
      <alignment horizontal="center" vertical="center" wrapText="1"/>
    </xf>
    <xf numFmtId="9" fontId="136" fillId="0" borderId="123" xfId="0" applyNumberFormat="1" applyFont="1" applyBorder="1" applyAlignment="1">
      <alignment horizontal="center" vertical="center" wrapText="1"/>
    </xf>
    <xf numFmtId="0" fontId="50" fillId="0" borderId="132" xfId="0" applyFont="1" applyBorder="1" applyAlignment="1">
      <alignment horizontal="center" vertical="center"/>
    </xf>
    <xf numFmtId="3" fontId="1" fillId="0" borderId="103" xfId="0" applyNumberFormat="1" applyFont="1" applyBorder="1" applyAlignment="1">
      <alignment horizontal="left" vertical="center"/>
    </xf>
    <xf numFmtId="0" fontId="51" fillId="34" borderId="103" xfId="0" applyFont="1" applyFill="1" applyBorder="1" applyAlignment="1">
      <alignment horizontal="left" vertical="center" wrapText="1"/>
    </xf>
    <xf numFmtId="0" fontId="24" fillId="28" borderId="103" xfId="0" applyFont="1" applyFill="1" applyBorder="1" applyAlignment="1">
      <alignment horizontal="center" vertical="center" wrapText="1"/>
    </xf>
    <xf numFmtId="3" fontId="17" fillId="0" borderId="103" xfId="0" applyNumberFormat="1" applyFont="1" applyBorder="1" applyAlignment="1">
      <alignment horizontal="center" vertical="top" wrapText="1"/>
    </xf>
    <xf numFmtId="0" fontId="44" fillId="0" borderId="103" xfId="0" applyFont="1" applyBorder="1"/>
    <xf numFmtId="0" fontId="51" fillId="0" borderId="103" xfId="0" applyFont="1" applyBorder="1" applyAlignment="1">
      <alignment horizontal="center"/>
    </xf>
    <xf numFmtId="3" fontId="61" fillId="0" borderId="103" xfId="229" applyNumberFormat="1" applyFont="1" applyBorder="1" applyAlignment="1">
      <alignment horizontal="left" vertical="center"/>
    </xf>
    <xf numFmtId="3" fontId="75" fillId="0" borderId="103" xfId="0" applyNumberFormat="1" applyFont="1" applyBorder="1" applyAlignment="1">
      <alignment horizontal="center" vertical="top" wrapText="1"/>
    </xf>
    <xf numFmtId="3" fontId="90" fillId="31" borderId="103" xfId="0" applyNumberFormat="1" applyFont="1" applyFill="1" applyBorder="1" applyAlignment="1">
      <alignment horizontal="right" vertical="center" wrapText="1"/>
    </xf>
    <xf numFmtId="3" fontId="101" fillId="31" borderId="103" xfId="0" applyNumberFormat="1" applyFont="1" applyFill="1" applyBorder="1" applyAlignment="1">
      <alignment horizontal="center" vertical="top" wrapText="1"/>
    </xf>
    <xf numFmtId="3" fontId="24" fillId="31" borderId="103" xfId="0" applyNumberFormat="1" applyFont="1" applyFill="1" applyBorder="1" applyAlignment="1">
      <alignment horizontal="center" vertical="top" wrapText="1"/>
    </xf>
    <xf numFmtId="0" fontId="101" fillId="28" borderId="103" xfId="0" applyFont="1" applyFill="1" applyBorder="1" applyAlignment="1">
      <alignment horizontal="center" vertical="center" wrapText="1"/>
    </xf>
    <xf numFmtId="0" fontId="75" fillId="0" borderId="103" xfId="172" applyFont="1" applyBorder="1" applyAlignment="1">
      <alignment vertical="top" wrapText="1"/>
    </xf>
    <xf numFmtId="0" fontId="75" fillId="0" borderId="103" xfId="172" applyFont="1" applyBorder="1" applyAlignment="1">
      <alignment horizontal="center" vertical="top" wrapText="1"/>
    </xf>
    <xf numFmtId="0" fontId="98" fillId="0" borderId="103" xfId="172" applyFont="1" applyBorder="1" applyAlignment="1">
      <alignment horizontal="center" vertical="top" wrapText="1"/>
    </xf>
    <xf numFmtId="0" fontId="98" fillId="0" borderId="103" xfId="172" applyFont="1" applyBorder="1" applyAlignment="1">
      <alignment horizontal="center"/>
    </xf>
    <xf numFmtId="3" fontId="24" fillId="28" borderId="103" xfId="0" applyNumberFormat="1" applyFont="1" applyFill="1" applyBorder="1" applyAlignment="1">
      <alignment horizontal="center" vertical="top"/>
    </xf>
    <xf numFmtId="0" fontId="24" fillId="21" borderId="103" xfId="0" applyFont="1" applyFill="1" applyBorder="1" applyAlignment="1">
      <alignment horizontal="center" vertical="center" wrapText="1"/>
    </xf>
    <xf numFmtId="0" fontId="17" fillId="0" borderId="103" xfId="0" applyFont="1" applyBorder="1" applyAlignment="1">
      <alignment horizontal="center" vertical="center" wrapText="1"/>
    </xf>
    <xf numFmtId="0" fontId="44" fillId="0" borderId="103" xfId="0" applyFont="1" applyBorder="1" applyAlignment="1">
      <alignment vertical="center" wrapText="1"/>
    </xf>
    <xf numFmtId="0" fontId="44" fillId="0" borderId="103" xfId="0" applyFont="1" applyBorder="1" applyAlignment="1">
      <alignment horizontal="center" vertical="center" wrapText="1"/>
    </xf>
    <xf numFmtId="0" fontId="24" fillId="24" borderId="133" xfId="173" applyFont="1" applyFill="1" applyBorder="1" applyAlignment="1">
      <alignment horizontal="centerContinuous" vertical="center"/>
    </xf>
    <xf numFmtId="0" fontId="50" fillId="20" borderId="133" xfId="0" applyFont="1" applyFill="1" applyBorder="1" applyAlignment="1">
      <alignment horizontal="centerContinuous" vertical="center"/>
    </xf>
    <xf numFmtId="0" fontId="50" fillId="20" borderId="137" xfId="0" applyFont="1" applyFill="1" applyBorder="1" applyAlignment="1">
      <alignment horizontal="centerContinuous" vertical="center"/>
    </xf>
    <xf numFmtId="0" fontId="24" fillId="0" borderId="103" xfId="173" applyFont="1" applyBorder="1" applyAlignment="1">
      <alignment horizontal="centerContinuous" vertical="center"/>
    </xf>
    <xf numFmtId="0" fontId="50" fillId="0" borderId="103" xfId="0" applyFont="1" applyBorder="1" applyAlignment="1">
      <alignment horizontal="centerContinuous" vertical="center"/>
    </xf>
    <xf numFmtId="0" fontId="50" fillId="0" borderId="123" xfId="0" applyFont="1" applyBorder="1" applyAlignment="1">
      <alignment horizontal="centerContinuous" vertical="center"/>
    </xf>
    <xf numFmtId="0" fontId="24" fillId="24" borderId="123" xfId="173" applyFont="1" applyFill="1" applyBorder="1" applyAlignment="1">
      <alignment horizontal="center" vertical="center"/>
    </xf>
    <xf numFmtId="0" fontId="24" fillId="0" borderId="103" xfId="173" applyFont="1" applyBorder="1" applyAlignment="1">
      <alignment horizontal="center" vertical="center" wrapText="1"/>
    </xf>
    <xf numFmtId="172" fontId="17" fillId="0" borderId="103" xfId="107" applyNumberFormat="1" applyFont="1" applyBorder="1" applyAlignment="1">
      <alignment horizontal="center" vertical="center" wrapText="1"/>
    </xf>
    <xf numFmtId="172" fontId="24" fillId="0" borderId="103" xfId="107" applyNumberFormat="1" applyFont="1" applyBorder="1" applyAlignment="1">
      <alignment horizontal="center" vertical="center" wrapText="1"/>
    </xf>
    <xf numFmtId="2" fontId="24" fillId="0" borderId="103" xfId="176" applyNumberFormat="1" applyFont="1" applyBorder="1" applyAlignment="1">
      <alignment horizontal="center" vertical="center" wrapText="1"/>
    </xf>
    <xf numFmtId="0" fontId="24" fillId="20" borderId="103" xfId="173" applyFont="1" applyFill="1" applyBorder="1" applyAlignment="1">
      <alignment horizontal="centerContinuous" vertical="center" wrapText="1"/>
    </xf>
    <xf numFmtId="172" fontId="24" fillId="20" borderId="103" xfId="107" applyNumberFormat="1" applyFont="1" applyFill="1" applyBorder="1" applyAlignment="1">
      <alignment horizontal="center" vertical="center"/>
    </xf>
    <xf numFmtId="172" fontId="24" fillId="20" borderId="124" xfId="107" applyNumberFormat="1" applyFont="1" applyFill="1" applyBorder="1" applyAlignment="1">
      <alignment horizontal="center" vertical="center"/>
    </xf>
    <xf numFmtId="171" fontId="24" fillId="44" borderId="103" xfId="176" applyNumberFormat="1" applyFont="1" applyFill="1" applyBorder="1" applyAlignment="1">
      <alignment horizontal="center" vertical="center"/>
    </xf>
    <xf numFmtId="0" fontId="24" fillId="24" borderId="138" xfId="173" applyFont="1" applyFill="1" applyBorder="1" applyAlignment="1">
      <alignment horizontal="center" vertical="center"/>
    </xf>
    <xf numFmtId="0" fontId="44" fillId="0" borderId="123" xfId="0" applyFont="1" applyBorder="1" applyAlignment="1">
      <alignment horizontal="centerContinuous" vertical="center"/>
    </xf>
    <xf numFmtId="0" fontId="76" fillId="20" borderId="103" xfId="0" applyFont="1" applyFill="1" applyBorder="1" applyAlignment="1">
      <alignment horizontal="center" vertical="center" wrapText="1"/>
    </xf>
    <xf numFmtId="168" fontId="38" fillId="0" borderId="103" xfId="176" applyNumberFormat="1" applyBorder="1" applyAlignment="1">
      <alignment horizontal="right" vertical="center" wrapText="1" indent="1"/>
    </xf>
    <xf numFmtId="169" fontId="38" fillId="0" borderId="103" xfId="107" applyNumberFormat="1" applyBorder="1"/>
    <xf numFmtId="168" fontId="38" fillId="0" borderId="103" xfId="176" applyNumberFormat="1" applyBorder="1" applyAlignment="1">
      <alignment horizontal="right" indent="1"/>
    </xf>
    <xf numFmtId="168" fontId="0" fillId="20" borderId="103" xfId="176" applyNumberFormat="1" applyFont="1" applyFill="1" applyBorder="1" applyAlignment="1">
      <alignment horizontal="right" indent="1"/>
    </xf>
    <xf numFmtId="169" fontId="38" fillId="0" borderId="103" xfId="107" applyNumberFormat="1" applyBorder="1" applyAlignment="1">
      <alignment horizontal="center" vertical="center" wrapText="1"/>
    </xf>
    <xf numFmtId="169" fontId="40" fillId="20" borderId="103" xfId="0" applyNumberFormat="1" applyFont="1" applyFill="1" applyBorder="1" applyAlignment="1">
      <alignment horizontal="center"/>
    </xf>
    <xf numFmtId="0" fontId="23" fillId="20" borderId="103" xfId="0" applyFont="1" applyFill="1" applyBorder="1" applyAlignment="1">
      <alignment horizontal="center" vertical="center" wrapText="1"/>
    </xf>
    <xf numFmtId="168" fontId="38" fillId="0" borderId="103" xfId="182" applyNumberFormat="1" applyBorder="1" applyAlignment="1">
      <alignment horizontal="right" indent="1"/>
    </xf>
    <xf numFmtId="169" fontId="41" fillId="0" borderId="103" xfId="108" applyNumberFormat="1" applyFont="1" applyBorder="1" applyAlignment="1">
      <alignment horizontal="center" vertical="center" wrapText="1"/>
    </xf>
    <xf numFmtId="168" fontId="43" fillId="20" borderId="103" xfId="182" applyNumberFormat="1" applyFont="1" applyFill="1" applyBorder="1" applyAlignment="1">
      <alignment horizontal="right" indent="1"/>
    </xf>
    <xf numFmtId="169" fontId="43" fillId="20" borderId="103" xfId="0" applyNumberFormat="1" applyFont="1" applyFill="1" applyBorder="1" applyAlignment="1">
      <alignment horizontal="center"/>
    </xf>
    <xf numFmtId="169" fontId="42" fillId="0" borderId="103" xfId="108" applyNumberFormat="1" applyFont="1" applyBorder="1" applyAlignment="1">
      <alignment horizontal="center" vertical="center" wrapText="1"/>
    </xf>
    <xf numFmtId="10" fontId="38" fillId="0" borderId="103" xfId="182" applyNumberFormat="1" applyBorder="1" applyAlignment="1">
      <alignment horizontal="right" indent="1"/>
    </xf>
    <xf numFmtId="168" fontId="40" fillId="20" borderId="103" xfId="182" applyNumberFormat="1" applyFont="1" applyFill="1" applyBorder="1" applyAlignment="1">
      <alignment horizontal="right" indent="1"/>
    </xf>
    <xf numFmtId="168" fontId="40" fillId="44" borderId="103" xfId="182" applyNumberFormat="1" applyFont="1" applyFill="1" applyBorder="1" applyAlignment="1">
      <alignment horizontal="right" indent="1"/>
    </xf>
    <xf numFmtId="168" fontId="40" fillId="21" borderId="103" xfId="182" applyNumberFormat="1" applyFont="1" applyFill="1" applyBorder="1" applyAlignment="1">
      <alignment horizontal="right" indent="1"/>
    </xf>
    <xf numFmtId="0" fontId="111" fillId="0" borderId="103" xfId="0" applyFont="1" applyBorder="1" applyAlignment="1">
      <alignment horizontal="center" vertical="center" wrapText="1"/>
    </xf>
    <xf numFmtId="0" fontId="42" fillId="0" borderId="133" xfId="0" applyFont="1" applyBorder="1" applyAlignment="1">
      <alignment horizontal="justify" vertical="justify"/>
    </xf>
    <xf numFmtId="3" fontId="42" fillId="0" borderId="137" xfId="0" applyNumberFormat="1" applyFont="1" applyBorder="1" applyAlignment="1">
      <alignment horizontal="center" vertical="center"/>
    </xf>
    <xf numFmtId="3" fontId="0" fillId="0" borderId="117" xfId="0" applyNumberFormat="1" applyBorder="1" applyAlignment="1">
      <alignment horizontal="center" vertical="center"/>
    </xf>
    <xf numFmtId="10" fontId="0" fillId="0" borderId="117" xfId="176" applyNumberFormat="1" applyFont="1" applyBorder="1" applyAlignment="1">
      <alignment horizontal="center" vertical="center"/>
    </xf>
    <xf numFmtId="171" fontId="0" fillId="0" borderId="134" xfId="0" applyNumberFormat="1" applyBorder="1" applyAlignment="1">
      <alignment horizontal="center" vertical="center"/>
    </xf>
    <xf numFmtId="0" fontId="42" fillId="0" borderId="139" xfId="0" applyFont="1" applyBorder="1" applyAlignment="1">
      <alignment horizontal="justify" vertical="justify"/>
    </xf>
    <xf numFmtId="3" fontId="42" fillId="0" borderId="141" xfId="0" applyNumberFormat="1" applyFont="1" applyBorder="1" applyAlignment="1">
      <alignment horizontal="center" vertical="center"/>
    </xf>
    <xf numFmtId="3" fontId="42" fillId="0" borderId="132" xfId="0" applyNumberFormat="1" applyFont="1" applyBorder="1" applyAlignment="1">
      <alignment horizontal="center" vertical="center"/>
    </xf>
    <xf numFmtId="10" fontId="0" fillId="0" borderId="132" xfId="176" applyNumberFormat="1" applyFont="1" applyBorder="1" applyAlignment="1">
      <alignment horizontal="center" vertical="center"/>
    </xf>
    <xf numFmtId="171" fontId="0" fillId="0" borderId="135" xfId="0" applyNumberFormat="1" applyBorder="1" applyAlignment="1">
      <alignment horizontal="center" vertical="center"/>
    </xf>
    <xf numFmtId="0" fontId="42" fillId="31" borderId="103" xfId="0" applyFont="1" applyFill="1" applyBorder="1" applyAlignment="1">
      <alignment horizontal="center" vertical="center" wrapText="1"/>
    </xf>
    <xf numFmtId="0" fontId="113" fillId="0" borderId="103" xfId="0" applyFont="1" applyBorder="1" applyAlignment="1">
      <alignment horizontal="center" vertical="center" wrapText="1"/>
    </xf>
    <xf numFmtId="0" fontId="42" fillId="28" borderId="103" xfId="0" applyFont="1" applyFill="1" applyBorder="1" applyAlignment="1">
      <alignment horizontal="center" vertical="center" wrapText="1"/>
    </xf>
    <xf numFmtId="0" fontId="115" fillId="0" borderId="103" xfId="0" applyFont="1" applyBorder="1" applyAlignment="1">
      <alignment horizontal="center" vertical="center" wrapText="1"/>
    </xf>
    <xf numFmtId="0" fontId="42" fillId="30" borderId="103" xfId="0" applyFont="1" applyFill="1" applyBorder="1" applyAlignment="1">
      <alignment horizontal="center" vertical="center" wrapText="1"/>
    </xf>
    <xf numFmtId="0" fontId="116" fillId="0" borderId="103" xfId="0" applyFont="1" applyBorder="1" applyAlignment="1">
      <alignment horizontal="center" vertical="center" wrapText="1"/>
    </xf>
    <xf numFmtId="0" fontId="42" fillId="21" borderId="135" xfId="0" applyFont="1" applyFill="1" applyBorder="1" applyAlignment="1">
      <alignment horizontal="center" vertical="center" wrapText="1"/>
    </xf>
    <xf numFmtId="0" fontId="42" fillId="21" borderId="103" xfId="0" applyFont="1" applyFill="1" applyBorder="1" applyAlignment="1">
      <alignment horizontal="center" vertical="center" wrapText="1"/>
    </xf>
    <xf numFmtId="0" fontId="118" fillId="0" borderId="135" xfId="0" applyFont="1" applyBorder="1" applyAlignment="1">
      <alignment horizontal="center" vertical="center" wrapText="1"/>
    </xf>
    <xf numFmtId="0" fontId="118" fillId="0" borderId="103" xfId="0" applyFont="1" applyBorder="1" applyAlignment="1">
      <alignment horizontal="center" vertical="center" wrapText="1"/>
    </xf>
    <xf numFmtId="0" fontId="0" fillId="20" borderId="135" xfId="0" applyFill="1" applyBorder="1" applyAlignment="1">
      <alignment horizontal="center" vertical="center" wrapText="1"/>
    </xf>
    <xf numFmtId="0" fontId="0" fillId="0" borderId="135" xfId="0" applyBorder="1" applyAlignment="1">
      <alignment horizontal="center" vertical="center" wrapText="1"/>
    </xf>
    <xf numFmtId="0" fontId="42" fillId="20" borderId="135" xfId="0" applyFont="1" applyFill="1" applyBorder="1" applyAlignment="1">
      <alignment horizontal="center" vertical="center" wrapText="1"/>
    </xf>
    <xf numFmtId="0" fontId="42" fillId="20" borderId="103" xfId="0" applyFont="1" applyFill="1" applyBorder="1" applyAlignment="1">
      <alignment horizontal="center" vertical="center" wrapText="1"/>
    </xf>
    <xf numFmtId="0" fontId="42" fillId="42" borderId="135" xfId="0" applyFont="1" applyFill="1" applyBorder="1" applyAlignment="1">
      <alignment horizontal="center" vertical="center" wrapText="1"/>
    </xf>
    <xf numFmtId="0" fontId="42" fillId="42" borderId="103" xfId="0" applyFont="1" applyFill="1" applyBorder="1" applyAlignment="1">
      <alignment horizontal="center" vertical="center" wrapText="1"/>
    </xf>
    <xf numFmtId="3" fontId="0" fillId="0" borderId="137" xfId="0" applyNumberFormat="1" applyBorder="1" applyAlignment="1">
      <alignment vertical="center"/>
    </xf>
    <xf numFmtId="3" fontId="0" fillId="0" borderId="117" xfId="0" applyNumberFormat="1" applyBorder="1" applyAlignment="1">
      <alignment vertical="center"/>
    </xf>
    <xf numFmtId="168" fontId="0" fillId="0" borderId="117" xfId="176" applyNumberFormat="1" applyFont="1" applyBorder="1" applyAlignment="1">
      <alignment vertical="center"/>
    </xf>
    <xf numFmtId="180" fontId="0" fillId="0" borderId="134" xfId="0" applyNumberFormat="1" applyBorder="1" applyAlignment="1">
      <alignment vertical="center"/>
    </xf>
    <xf numFmtId="3" fontId="0" fillId="0" borderId="134" xfId="0" applyNumberFormat="1" applyBorder="1" applyAlignment="1">
      <alignment vertical="center"/>
    </xf>
    <xf numFmtId="43" fontId="0" fillId="0" borderId="117" xfId="107" applyFont="1" applyBorder="1" applyAlignment="1">
      <alignment vertical="center"/>
    </xf>
    <xf numFmtId="3" fontId="0" fillId="0" borderId="141" xfId="0" applyNumberFormat="1" applyBorder="1" applyAlignment="1">
      <alignment vertical="center"/>
    </xf>
    <xf numFmtId="3" fontId="0" fillId="0" borderId="132" xfId="0" applyNumberFormat="1" applyBorder="1" applyAlignment="1">
      <alignment vertical="center"/>
    </xf>
    <xf numFmtId="168" fontId="0" fillId="0" borderId="132" xfId="176" applyNumberFormat="1" applyFont="1" applyBorder="1" applyAlignment="1">
      <alignment vertical="center"/>
    </xf>
    <xf numFmtId="180" fontId="0" fillId="0" borderId="135" xfId="0" applyNumberFormat="1" applyBorder="1" applyAlignment="1">
      <alignment vertical="center"/>
    </xf>
    <xf numFmtId="3" fontId="0" fillId="0" borderId="135" xfId="0" applyNumberFormat="1" applyBorder="1" applyAlignment="1">
      <alignment vertical="center"/>
    </xf>
    <xf numFmtId="43" fontId="0" fillId="0" borderId="132" xfId="107" applyFont="1" applyBorder="1" applyAlignment="1">
      <alignment vertical="center"/>
    </xf>
    <xf numFmtId="181" fontId="0" fillId="0" borderId="135" xfId="107" applyNumberFormat="1" applyFont="1" applyBorder="1" applyAlignment="1">
      <alignment vertical="center"/>
    </xf>
    <xf numFmtId="0" fontId="88" fillId="0" borderId="117" xfId="0" applyFont="1" applyBorder="1" applyAlignment="1">
      <alignment vertical="justify"/>
    </xf>
    <xf numFmtId="0" fontId="59" fillId="20" borderId="103" xfId="0" applyFont="1" applyFill="1" applyBorder="1" applyAlignment="1">
      <alignment horizontal="center" vertical="center"/>
    </xf>
    <xf numFmtId="0" fontId="58" fillId="0" borderId="137" xfId="0" applyFont="1" applyBorder="1" applyAlignment="1">
      <alignment horizontal="center" vertical="center"/>
    </xf>
    <xf numFmtId="0" fontId="58" fillId="0" borderId="133" xfId="0" applyFont="1" applyBorder="1" applyAlignment="1">
      <alignment horizontal="center" vertical="center"/>
    </xf>
    <xf numFmtId="0" fontId="58" fillId="0" borderId="141" xfId="0" applyFont="1" applyBorder="1" applyAlignment="1">
      <alignment horizontal="center" vertical="center"/>
    </xf>
    <xf numFmtId="0" fontId="58" fillId="0" borderId="139" xfId="0" applyFont="1" applyBorder="1" applyAlignment="1">
      <alignment horizontal="center" vertical="center"/>
    </xf>
    <xf numFmtId="0" fontId="59" fillId="44" borderId="103" xfId="0" applyFont="1" applyFill="1" applyBorder="1" applyAlignment="1">
      <alignment horizontal="center" vertical="center"/>
    </xf>
    <xf numFmtId="0" fontId="0" fillId="0" borderId="103" xfId="0" applyBorder="1"/>
    <xf numFmtId="0" fontId="125" fillId="20" borderId="103" xfId="0" applyFont="1" applyFill="1" applyBorder="1" applyAlignment="1">
      <alignment horizontal="center" vertical="center" wrapText="1"/>
    </xf>
    <xf numFmtId="9" fontId="110" fillId="20" borderId="103" xfId="0" applyNumberFormat="1" applyFont="1" applyFill="1" applyBorder="1" applyAlignment="1">
      <alignment horizontal="center" vertical="center" wrapText="1"/>
    </xf>
    <xf numFmtId="3" fontId="0" fillId="0" borderId="103" xfId="0" applyNumberFormat="1" applyBorder="1" applyAlignment="1">
      <alignment horizontal="center" vertical="center"/>
    </xf>
    <xf numFmtId="168" fontId="0" fillId="0" borderId="103" xfId="176" applyNumberFormat="1" applyFont="1" applyBorder="1" applyAlignment="1">
      <alignment horizontal="center" vertical="center"/>
    </xf>
    <xf numFmtId="168" fontId="43" fillId="20" borderId="103" xfId="176" applyNumberFormat="1" applyFont="1" applyFill="1" applyBorder="1" applyAlignment="1">
      <alignment horizontal="center" vertical="center"/>
    </xf>
    <xf numFmtId="0" fontId="110" fillId="20" borderId="103" xfId="0" applyFont="1" applyFill="1" applyBorder="1" applyAlignment="1">
      <alignment horizontal="center" vertical="center" wrapText="1"/>
    </xf>
    <xf numFmtId="168" fontId="40" fillId="20" borderId="103" xfId="176" applyNumberFormat="1" applyFont="1" applyFill="1" applyBorder="1" applyAlignment="1">
      <alignment horizontal="center" vertical="center"/>
    </xf>
    <xf numFmtId="0" fontId="0" fillId="25" borderId="123" xfId="0" applyFill="1" applyBorder="1" applyAlignment="1">
      <alignment horizontal="center" vertical="center" wrapText="1"/>
    </xf>
    <xf numFmtId="0" fontId="40" fillId="20" borderId="123" xfId="0" applyFont="1" applyFill="1" applyBorder="1" applyAlignment="1">
      <alignment horizontal="center" vertical="center" wrapText="1"/>
    </xf>
    <xf numFmtId="0" fontId="40" fillId="20" borderId="125" xfId="0" applyFont="1" applyFill="1" applyBorder="1" applyAlignment="1">
      <alignment horizontal="center" vertical="center" wrapText="1"/>
    </xf>
    <xf numFmtId="0" fontId="76" fillId="0" borderId="139" xfId="0" applyFont="1" applyBorder="1" applyAlignment="1">
      <alignment horizontal="center" vertical="center" wrapText="1"/>
    </xf>
    <xf numFmtId="0" fontId="0" fillId="0" borderId="103" xfId="0" quotePrefix="1" applyBorder="1" applyAlignment="1">
      <alignment horizontal="center" vertical="center" wrapText="1"/>
    </xf>
    <xf numFmtId="0" fontId="0" fillId="0" borderId="132" xfId="0" applyBorder="1" applyAlignment="1">
      <alignment wrapText="1"/>
    </xf>
    <xf numFmtId="0" fontId="76" fillId="0" borderId="103" xfId="0" applyFont="1" applyBorder="1" applyAlignment="1">
      <alignment horizontal="center" vertical="center" wrapText="1"/>
    </xf>
    <xf numFmtId="3" fontId="0" fillId="0" borderId="103" xfId="0" applyNumberFormat="1" applyBorder="1" applyAlignment="1">
      <alignment horizontal="center" vertical="center" wrapText="1"/>
    </xf>
    <xf numFmtId="3" fontId="40" fillId="44" borderId="103" xfId="0" applyNumberFormat="1" applyFont="1" applyFill="1" applyBorder="1" applyAlignment="1">
      <alignment horizontal="center" vertical="center" wrapText="1"/>
    </xf>
    <xf numFmtId="0" fontId="24" fillId="0" borderId="132" xfId="0" applyFont="1" applyBorder="1" applyAlignment="1">
      <alignment vertical="center" wrapText="1" readingOrder="1"/>
    </xf>
    <xf numFmtId="0" fontId="43" fillId="33" borderId="103" xfId="0" applyFont="1" applyFill="1" applyBorder="1" applyAlignment="1">
      <alignment horizontal="center" vertical="center" wrapText="1" readingOrder="1"/>
    </xf>
    <xf numFmtId="0" fontId="54" fillId="20" borderId="123" xfId="0" applyFont="1" applyFill="1" applyBorder="1" applyAlignment="1">
      <alignment horizontal="center" vertical="center" wrapText="1" readingOrder="1"/>
    </xf>
    <xf numFmtId="0" fontId="54" fillId="20" borderId="124" xfId="0" applyFont="1" applyFill="1" applyBorder="1" applyAlignment="1">
      <alignment horizontal="center" vertical="center" wrapText="1" readingOrder="1"/>
    </xf>
    <xf numFmtId="0" fontId="54" fillId="20" borderId="103" xfId="0" applyFont="1" applyFill="1" applyBorder="1" applyAlignment="1">
      <alignment horizontal="center" vertical="center" wrapText="1" readingOrder="1"/>
    </xf>
    <xf numFmtId="3" fontId="54" fillId="20" borderId="123" xfId="0" applyNumberFormat="1" applyFont="1" applyFill="1" applyBorder="1" applyAlignment="1">
      <alignment horizontal="center" vertical="center" wrapText="1" readingOrder="1"/>
    </xf>
    <xf numFmtId="1" fontId="40" fillId="20" borderId="124" xfId="0" applyNumberFormat="1" applyFont="1" applyFill="1" applyBorder="1" applyAlignment="1">
      <alignment horizontal="center" vertical="center" readingOrder="1"/>
    </xf>
    <xf numFmtId="1" fontId="40" fillId="20" borderId="125" xfId="0" applyNumberFormat="1" applyFont="1" applyFill="1" applyBorder="1" applyAlignment="1">
      <alignment horizontal="center" vertical="center" readingOrder="1"/>
    </xf>
    <xf numFmtId="168" fontId="40" fillId="20" borderId="124" xfId="176" applyNumberFormat="1" applyFont="1" applyFill="1" applyBorder="1" applyAlignment="1">
      <alignment horizontal="center" vertical="center" readingOrder="1"/>
    </xf>
    <xf numFmtId="10" fontId="43" fillId="20" borderId="103" xfId="0" applyNumberFormat="1" applyFont="1" applyFill="1" applyBorder="1" applyAlignment="1">
      <alignment horizontal="center" vertical="center"/>
    </xf>
    <xf numFmtId="10" fontId="43" fillId="20" borderId="103" xfId="0" applyNumberFormat="1" applyFont="1" applyFill="1" applyBorder="1" applyAlignment="1">
      <alignment horizontal="center" vertical="center" wrapText="1"/>
    </xf>
    <xf numFmtId="0" fontId="43" fillId="20" borderId="15" xfId="0" applyFont="1" applyFill="1" applyBorder="1" applyAlignment="1">
      <alignment horizontal="center" vertical="center" wrapText="1"/>
    </xf>
    <xf numFmtId="10" fontId="43" fillId="20" borderId="15" xfId="0" applyNumberFormat="1" applyFont="1" applyFill="1" applyBorder="1" applyAlignment="1">
      <alignment horizontal="center" vertical="center"/>
    </xf>
    <xf numFmtId="3" fontId="0" fillId="0" borderId="123" xfId="0" applyNumberFormat="1" applyBorder="1" applyAlignment="1">
      <alignment horizontal="center" vertical="center"/>
    </xf>
    <xf numFmtId="9" fontId="0" fillId="0" borderId="124" xfId="176" applyFont="1" applyBorder="1" applyAlignment="1">
      <alignment horizontal="center" vertical="center"/>
    </xf>
    <xf numFmtId="3" fontId="58" fillId="0" borderId="123" xfId="0" applyNumberFormat="1" applyFont="1" applyBorder="1" applyAlignment="1">
      <alignment horizontal="center" vertical="center" wrapText="1" readingOrder="1"/>
    </xf>
    <xf numFmtId="171" fontId="58" fillId="0" borderId="125" xfId="0" applyNumberFormat="1" applyFont="1" applyBorder="1" applyAlignment="1">
      <alignment horizontal="center" vertical="center" wrapText="1" readingOrder="1"/>
    </xf>
    <xf numFmtId="168" fontId="0" fillId="0" borderId="124" xfId="176" applyNumberFormat="1" applyFont="1" applyBorder="1" applyAlignment="1">
      <alignment vertical="center"/>
    </xf>
    <xf numFmtId="3" fontId="42" fillId="0" borderId="123" xfId="0" applyNumberFormat="1" applyFont="1" applyBorder="1" applyAlignment="1">
      <alignment horizontal="center" vertical="center"/>
    </xf>
    <xf numFmtId="171" fontId="42" fillId="0" borderId="125" xfId="0" applyNumberFormat="1" applyFont="1" applyBorder="1" applyAlignment="1">
      <alignment horizontal="center" vertical="center"/>
    </xf>
    <xf numFmtId="0" fontId="63" fillId="0" borderId="103" xfId="0" applyFont="1" applyBorder="1" applyAlignment="1">
      <alignment horizontal="left" vertical="center" wrapText="1"/>
    </xf>
    <xf numFmtId="0" fontId="42" fillId="0" borderId="123" xfId="0" applyFont="1" applyBorder="1" applyAlignment="1">
      <alignment horizontal="left" vertical="center"/>
    </xf>
    <xf numFmtId="0" fontId="42" fillId="0" borderId="124" xfId="0" applyFont="1" applyBorder="1" applyAlignment="1">
      <alignment horizontal="left" vertical="center"/>
    </xf>
    <xf numFmtId="0" fontId="0" fillId="0" borderId="123" xfId="0" applyBorder="1"/>
    <xf numFmtId="0" fontId="42" fillId="0" borderId="124" xfId="0" applyFont="1" applyBorder="1" applyAlignment="1">
      <alignment horizontal="left" vertical="center" wrapText="1"/>
    </xf>
    <xf numFmtId="3" fontId="43" fillId="20" borderId="103" xfId="0" applyNumberFormat="1" applyFont="1" applyFill="1" applyBorder="1" applyAlignment="1">
      <alignment horizontal="center" vertical="center"/>
    </xf>
    <xf numFmtId="9" fontId="43" fillId="20" borderId="103" xfId="176" applyFont="1" applyFill="1" applyBorder="1" applyAlignment="1">
      <alignment horizontal="center" vertical="center"/>
    </xf>
    <xf numFmtId="3" fontId="59" fillId="20" borderId="103" xfId="0" applyNumberFormat="1" applyFont="1" applyFill="1" applyBorder="1" applyAlignment="1">
      <alignment horizontal="center" vertical="center" wrapText="1" readingOrder="1"/>
    </xf>
    <xf numFmtId="0" fontId="59" fillId="20" borderId="103" xfId="0" applyFont="1" applyFill="1" applyBorder="1" applyAlignment="1">
      <alignment horizontal="center" vertical="center" wrapText="1" readingOrder="1"/>
    </xf>
    <xf numFmtId="168" fontId="40" fillId="20" borderId="103" xfId="176" applyNumberFormat="1" applyFont="1" applyFill="1" applyBorder="1" applyAlignment="1">
      <alignment vertical="center"/>
    </xf>
    <xf numFmtId="171" fontId="43" fillId="20" borderId="103" xfId="0" applyNumberFormat="1" applyFont="1" applyFill="1" applyBorder="1" applyAlignment="1">
      <alignment horizontal="center" vertical="center"/>
    </xf>
    <xf numFmtId="0" fontId="74" fillId="0" borderId="0" xfId="736" applyFont="1" applyAlignment="1">
      <alignment horizontal="left" vertical="center"/>
    </xf>
    <xf numFmtId="0" fontId="6" fillId="0" borderId="0" xfId="0" applyFont="1" applyAlignment="1">
      <alignment vertical="center"/>
    </xf>
    <xf numFmtId="0" fontId="182" fillId="0" borderId="0" xfId="0" applyFont="1" applyAlignment="1">
      <alignment vertical="center"/>
    </xf>
    <xf numFmtId="0" fontId="47" fillId="0" borderId="0" xfId="144" applyFont="1" applyAlignment="1">
      <alignment vertical="center"/>
    </xf>
    <xf numFmtId="0" fontId="32" fillId="0" borderId="0" xfId="227" applyFont="1" applyAlignment="1">
      <alignment vertical="center"/>
    </xf>
    <xf numFmtId="0" fontId="177" fillId="0" borderId="0" xfId="0" applyFont="1" applyAlignment="1">
      <alignment horizontal="center" vertical="center"/>
    </xf>
    <xf numFmtId="9" fontId="163" fillId="0" borderId="123" xfId="0" applyNumberFormat="1" applyFont="1" applyBorder="1" applyAlignment="1">
      <alignment horizontal="center" vertical="center" wrapText="1"/>
    </xf>
    <xf numFmtId="9" fontId="163" fillId="0" borderId="103" xfId="0" applyNumberFormat="1" applyFont="1" applyBorder="1" applyAlignment="1">
      <alignment horizontal="center" vertical="center" wrapText="1"/>
    </xf>
    <xf numFmtId="9" fontId="136" fillId="0" borderId="123" xfId="176" applyFont="1" applyBorder="1" applyAlignment="1">
      <alignment horizontal="center" vertical="center" wrapText="1"/>
    </xf>
    <xf numFmtId="0" fontId="136" fillId="0" borderId="133" xfId="0" applyFont="1" applyBorder="1" applyAlignment="1">
      <alignment vertical="center" wrapText="1"/>
    </xf>
    <xf numFmtId="3" fontId="163" fillId="0" borderId="123" xfId="0" applyNumberFormat="1" applyFont="1" applyBorder="1" applyAlignment="1">
      <alignment horizontal="center" vertical="center" wrapText="1"/>
    </xf>
    <xf numFmtId="0" fontId="163" fillId="0" borderId="103" xfId="0" applyFont="1" applyBorder="1" applyAlignment="1">
      <alignment horizontal="center" vertical="center" wrapText="1"/>
    </xf>
    <xf numFmtId="9" fontId="163" fillId="0" borderId="124" xfId="176" applyFont="1" applyBorder="1" applyAlignment="1">
      <alignment horizontal="center" vertical="center" wrapText="1"/>
    </xf>
    <xf numFmtId="9" fontId="136" fillId="0" borderId="137" xfId="0" applyNumberFormat="1" applyFont="1" applyBorder="1" applyAlignment="1">
      <alignment horizontal="center" vertical="center" wrapText="1"/>
    </xf>
    <xf numFmtId="9" fontId="163" fillId="0" borderId="137" xfId="0" applyNumberFormat="1" applyFont="1" applyBorder="1" applyAlignment="1">
      <alignment horizontal="center" vertical="center" wrapText="1"/>
    </xf>
    <xf numFmtId="171" fontId="136" fillId="0" borderId="103" xfId="0" applyNumberFormat="1" applyFont="1" applyBorder="1" applyAlignment="1">
      <alignment horizontal="center" vertical="center" wrapText="1"/>
    </xf>
    <xf numFmtId="171" fontId="163" fillId="0" borderId="103" xfId="0" applyNumberFormat="1" applyFont="1" applyBorder="1" applyAlignment="1">
      <alignment horizontal="center" vertical="center" wrapText="1"/>
    </xf>
    <xf numFmtId="168" fontId="136" fillId="0" borderId="103" xfId="0" applyNumberFormat="1" applyFont="1" applyBorder="1" applyAlignment="1">
      <alignment horizontal="center" vertical="center" wrapText="1"/>
    </xf>
    <xf numFmtId="168" fontId="163" fillId="0" borderId="103" xfId="0" applyNumberFormat="1" applyFont="1" applyBorder="1" applyAlignment="1">
      <alignment horizontal="center" vertical="center" wrapText="1"/>
    </xf>
    <xf numFmtId="0" fontId="136" fillId="0" borderId="0" xfId="0" applyFont="1" applyAlignment="1">
      <alignment vertical="center" wrapText="1"/>
    </xf>
    <xf numFmtId="9" fontId="136" fillId="0" borderId="0" xfId="0" applyNumberFormat="1" applyFont="1" applyAlignment="1">
      <alignment horizontal="center" vertical="center" wrapText="1"/>
    </xf>
    <xf numFmtId="9" fontId="136" fillId="22" borderId="133" xfId="0" applyNumberFormat="1" applyFont="1" applyFill="1" applyBorder="1" applyAlignment="1">
      <alignment horizontal="center" vertical="center" wrapText="1"/>
    </xf>
    <xf numFmtId="0" fontId="136" fillId="0" borderId="124" xfId="0" applyFont="1" applyBorder="1" applyAlignment="1">
      <alignment vertical="center" wrapText="1"/>
    </xf>
    <xf numFmtId="0" fontId="136" fillId="22" borderId="124" xfId="0" applyFont="1" applyFill="1" applyBorder="1" applyAlignment="1">
      <alignment vertical="center" wrapText="1"/>
    </xf>
    <xf numFmtId="0" fontId="136" fillId="0" borderId="134" xfId="0" applyFont="1" applyBorder="1" applyAlignment="1">
      <alignment vertical="center" wrapText="1"/>
    </xf>
    <xf numFmtId="0" fontId="163" fillId="0" borderId="135" xfId="0" applyFont="1" applyBorder="1" applyAlignment="1">
      <alignment vertical="center" wrapText="1"/>
    </xf>
    <xf numFmtId="0" fontId="137" fillId="0" borderId="135" xfId="0" applyFont="1" applyBorder="1" applyAlignment="1">
      <alignment vertical="center" wrapText="1"/>
    </xf>
    <xf numFmtId="0" fontId="136" fillId="22" borderId="134" xfId="0" applyFont="1" applyFill="1" applyBorder="1" applyAlignment="1">
      <alignment vertical="center" wrapText="1"/>
    </xf>
    <xf numFmtId="0" fontId="44" fillId="0" borderId="132" xfId="0" applyFont="1" applyBorder="1" applyAlignment="1">
      <alignment horizontal="center" vertical="center" wrapText="1"/>
    </xf>
    <xf numFmtId="0" fontId="60" fillId="0" borderId="0" xfId="0" applyFont="1" applyAlignment="1">
      <alignment vertical="center"/>
    </xf>
    <xf numFmtId="0" fontId="60" fillId="0" borderId="0" xfId="0" applyFont="1" applyAlignment="1">
      <alignment horizontal="center" vertical="center"/>
    </xf>
    <xf numFmtId="168" fontId="60" fillId="0" borderId="13" xfId="176" applyNumberFormat="1" applyFont="1" applyBorder="1" applyAlignment="1">
      <alignment horizontal="center" vertical="center"/>
    </xf>
    <xf numFmtId="168" fontId="60" fillId="0" borderId="0" xfId="176" applyNumberFormat="1" applyFont="1" applyAlignment="1">
      <alignment horizontal="center" vertical="center"/>
    </xf>
    <xf numFmtId="168" fontId="60" fillId="0" borderId="11" xfId="176" applyNumberFormat="1" applyFont="1" applyBorder="1" applyAlignment="1">
      <alignment horizontal="center" vertical="center"/>
    </xf>
    <xf numFmtId="168" fontId="181" fillId="0" borderId="0" xfId="176" applyNumberFormat="1" applyFont="1" applyAlignment="1">
      <alignment horizontal="center" vertical="center"/>
    </xf>
    <xf numFmtId="168" fontId="181" fillId="0" borderId="13" xfId="176" applyNumberFormat="1" applyFont="1" applyBorder="1" applyAlignment="1">
      <alignment horizontal="center" vertical="center"/>
    </xf>
    <xf numFmtId="168" fontId="181" fillId="0" borderId="132" xfId="176" applyNumberFormat="1" applyFont="1" applyBorder="1" applyAlignment="1">
      <alignment horizontal="center" vertical="center"/>
    </xf>
    <xf numFmtId="168" fontId="181" fillId="20" borderId="103" xfId="176" applyNumberFormat="1" applyFont="1" applyFill="1" applyBorder="1" applyAlignment="1">
      <alignment horizontal="center" vertical="center"/>
    </xf>
    <xf numFmtId="168" fontId="60" fillId="0" borderId="13" xfId="0" applyNumberFormat="1" applyFont="1" applyBorder="1" applyAlignment="1">
      <alignment horizontal="center" vertical="center"/>
    </xf>
    <xf numFmtId="0" fontId="44" fillId="0" borderId="0" xfId="0" applyFont="1" applyAlignment="1">
      <alignment horizontal="left" vertical="center"/>
    </xf>
    <xf numFmtId="0" fontId="56"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center" vertical="center"/>
    </xf>
    <xf numFmtId="0" fontId="74" fillId="0" borderId="0" xfId="454" applyFont="1" applyAlignment="1">
      <alignment vertical="center"/>
    </xf>
    <xf numFmtId="0" fontId="32" fillId="0" borderId="0" xfId="454" applyFont="1" applyAlignment="1">
      <alignment horizontal="center" vertical="center"/>
    </xf>
    <xf numFmtId="0" fontId="32" fillId="0" borderId="0" xfId="454" applyFont="1" applyAlignment="1">
      <alignment vertical="center"/>
    </xf>
    <xf numFmtId="0" fontId="1" fillId="0" borderId="0" xfId="0" applyFont="1" applyAlignment="1">
      <alignment horizontal="left" vertical="center"/>
    </xf>
    <xf numFmtId="0" fontId="74" fillId="0" borderId="11" xfId="454" applyFont="1" applyBorder="1" applyAlignment="1">
      <alignment horizontal="left" vertical="center"/>
    </xf>
    <xf numFmtId="168" fontId="74" fillId="0" borderId="13" xfId="176" applyNumberFormat="1" applyFont="1" applyBorder="1" applyAlignment="1">
      <alignment horizontal="center" vertical="center"/>
    </xf>
    <xf numFmtId="168" fontId="138" fillId="20" borderId="13" xfId="176" applyNumberFormat="1" applyFont="1" applyFill="1" applyBorder="1" applyAlignment="1">
      <alignment horizontal="center" vertical="center"/>
    </xf>
    <xf numFmtId="168" fontId="138" fillId="0" borderId="15" xfId="176" applyNumberFormat="1" applyFont="1" applyBorder="1" applyAlignment="1">
      <alignment horizontal="center" vertical="center"/>
    </xf>
    <xf numFmtId="0" fontId="44" fillId="0" borderId="0" xfId="0" applyFont="1" applyAlignment="1">
      <alignment horizontal="center" vertical="center"/>
    </xf>
    <xf numFmtId="0" fontId="76" fillId="0" borderId="0" xfId="0" applyFont="1" applyAlignment="1">
      <alignment horizontal="center"/>
    </xf>
    <xf numFmtId="0" fontId="48" fillId="0" borderId="0" xfId="0" applyFont="1" applyAlignment="1">
      <alignment horizontal="center"/>
    </xf>
    <xf numFmtId="168" fontId="138" fillId="0" borderId="136" xfId="176" applyNumberFormat="1" applyFont="1" applyBorder="1" applyAlignment="1">
      <alignment horizontal="center" vertical="center"/>
    </xf>
    <xf numFmtId="0" fontId="136" fillId="0" borderId="118" xfId="0" applyFont="1" applyBorder="1" applyAlignment="1">
      <alignment vertical="center" wrapText="1"/>
    </xf>
    <xf numFmtId="0" fontId="99" fillId="0" borderId="16" xfId="0" applyFont="1" applyBorder="1" applyAlignment="1">
      <alignment horizontal="center" vertical="center"/>
    </xf>
    <xf numFmtId="0" fontId="75" fillId="0" borderId="0" xfId="238" applyFont="1" applyAlignment="1">
      <alignment horizontal="left" vertical="top"/>
    </xf>
    <xf numFmtId="182" fontId="75" fillId="0" borderId="0" xfId="238" applyNumberFormat="1" applyFont="1" applyAlignment="1">
      <alignment horizontal="center" vertical="top"/>
    </xf>
    <xf numFmtId="185" fontId="75" fillId="0" borderId="0" xfId="238" applyNumberFormat="1" applyFont="1" applyAlignment="1">
      <alignment horizontal="center" vertical="top"/>
    </xf>
    <xf numFmtId="0" fontId="61" fillId="0" borderId="0" xfId="211" applyFont="1"/>
    <xf numFmtId="0" fontId="99" fillId="0" borderId="0" xfId="0" applyFont="1"/>
    <xf numFmtId="185" fontId="101" fillId="0" borderId="0" xfId="238" applyNumberFormat="1" applyFont="1" applyAlignment="1">
      <alignment horizontal="center" vertical="top"/>
    </xf>
    <xf numFmtId="182" fontId="101" fillId="0" borderId="0" xfId="238" applyNumberFormat="1" applyFont="1" applyAlignment="1">
      <alignment horizontal="center" vertical="top"/>
    </xf>
    <xf numFmtId="0" fontId="51" fillId="0" borderId="16" xfId="0" applyFont="1" applyBorder="1" applyAlignment="1">
      <alignment horizontal="center"/>
    </xf>
    <xf numFmtId="0" fontId="99" fillId="0" borderId="16" xfId="0" applyFont="1" applyBorder="1"/>
    <xf numFmtId="0" fontId="99" fillId="0" borderId="16" xfId="0" applyFont="1" applyBorder="1" applyAlignment="1">
      <alignment horizontal="center"/>
    </xf>
    <xf numFmtId="182" fontId="101" fillId="0" borderId="16" xfId="238" applyNumberFormat="1" applyFont="1" applyBorder="1" applyAlignment="1">
      <alignment horizontal="center" vertical="top"/>
    </xf>
    <xf numFmtId="185" fontId="101" fillId="0" borderId="16" xfId="238" applyNumberFormat="1" applyFont="1" applyBorder="1" applyAlignment="1">
      <alignment horizontal="center" vertical="top"/>
    </xf>
    <xf numFmtId="0" fontId="51" fillId="0" borderId="16" xfId="0" applyFont="1" applyBorder="1"/>
    <xf numFmtId="0" fontId="190" fillId="0" borderId="0" xfId="0" applyFont="1"/>
    <xf numFmtId="0" fontId="187" fillId="0" borderId="0" xfId="0" applyFont="1"/>
    <xf numFmtId="0" fontId="107" fillId="0" borderId="0" xfId="428" applyFont="1" applyAlignment="1">
      <alignment vertical="center"/>
    </xf>
    <xf numFmtId="0" fontId="193" fillId="0" borderId="0" xfId="451" applyFont="1" applyAlignment="1">
      <alignment vertical="center"/>
    </xf>
    <xf numFmtId="0" fontId="193" fillId="0" borderId="0" xfId="797" applyFont="1" applyAlignment="1">
      <alignment vertical="center"/>
    </xf>
    <xf numFmtId="0" fontId="1" fillId="0" borderId="0" xfId="797"/>
    <xf numFmtId="0" fontId="1" fillId="0" borderId="0" xfId="451" applyAlignment="1">
      <alignment vertical="center"/>
    </xf>
    <xf numFmtId="0" fontId="74" fillId="0" borderId="0" xfId="816" applyFont="1"/>
    <xf numFmtId="0" fontId="74" fillId="0" borderId="0" xfId="797" applyFont="1" applyAlignment="1">
      <alignment vertical="top"/>
    </xf>
    <xf numFmtId="0" fontId="138" fillId="0" borderId="0" xfId="451" applyFont="1" applyAlignment="1">
      <alignment vertical="center"/>
    </xf>
    <xf numFmtId="0" fontId="138" fillId="0" borderId="0" xfId="797" applyFont="1"/>
    <xf numFmtId="0" fontId="5" fillId="0" borderId="0" xfId="797" applyFont="1"/>
    <xf numFmtId="0" fontId="5" fillId="0" borderId="0" xfId="0" applyFont="1"/>
    <xf numFmtId="0" fontId="101" fillId="0" borderId="0" xfId="428" applyFont="1"/>
    <xf numFmtId="0" fontId="76" fillId="0" borderId="0" xfId="0" applyFont="1"/>
    <xf numFmtId="0" fontId="101" fillId="0" borderId="16" xfId="451" applyFont="1" applyBorder="1" applyAlignment="1">
      <alignment horizontal="center" vertical="center"/>
    </xf>
    <xf numFmtId="0" fontId="101" fillId="44" borderId="16" xfId="452" applyFont="1" applyFill="1" applyBorder="1" applyAlignment="1">
      <alignment horizontal="center" wrapText="1"/>
    </xf>
    <xf numFmtId="0" fontId="101" fillId="0" borderId="16" xfId="797" applyFont="1" applyBorder="1" applyAlignment="1">
      <alignment horizontal="center"/>
    </xf>
    <xf numFmtId="0" fontId="90" fillId="0" borderId="16" xfId="797" applyFont="1" applyBorder="1" applyAlignment="1">
      <alignment horizontal="center" vertical="center"/>
    </xf>
    <xf numFmtId="0" fontId="101" fillId="0" borderId="16" xfId="428" applyFont="1" applyBorder="1" applyAlignment="1">
      <alignment horizontal="center"/>
    </xf>
    <xf numFmtId="0" fontId="36" fillId="21" borderId="16" xfId="0" applyFont="1" applyFill="1" applyBorder="1" applyAlignment="1">
      <alignment horizontal="center" wrapText="1"/>
    </xf>
    <xf numFmtId="0" fontId="76" fillId="0" borderId="16" xfId="0" applyFont="1" applyBorder="1" applyAlignment="1">
      <alignment horizontal="center"/>
    </xf>
    <xf numFmtId="0" fontId="76" fillId="21" borderId="16" xfId="0" applyFont="1" applyFill="1" applyBorder="1" applyAlignment="1">
      <alignment horizontal="center" wrapText="1"/>
    </xf>
    <xf numFmtId="0" fontId="194" fillId="0" borderId="16" xfId="227" applyFont="1" applyBorder="1" applyAlignment="1">
      <alignment horizontal="center"/>
    </xf>
    <xf numFmtId="0" fontId="194" fillId="0" borderId="144" xfId="227" applyFont="1" applyBorder="1" applyAlignment="1">
      <alignment horizontal="center"/>
    </xf>
    <xf numFmtId="0" fontId="194" fillId="21" borderId="144" xfId="227" applyFont="1" applyFill="1" applyBorder="1" applyAlignment="1">
      <alignment horizontal="center" wrapText="1"/>
    </xf>
    <xf numFmtId="0" fontId="194" fillId="0" borderId="16" xfId="227" applyFont="1" applyBorder="1" applyAlignment="1">
      <alignment horizontal="center" wrapText="1"/>
    </xf>
    <xf numFmtId="0" fontId="75" fillId="0" borderId="0" xfId="451" applyFont="1" applyAlignment="1">
      <alignment horizontal="center" vertical="center"/>
    </xf>
    <xf numFmtId="0" fontId="75" fillId="0" borderId="0" xfId="451" applyFont="1" applyAlignment="1">
      <alignment vertical="center"/>
    </xf>
    <xf numFmtId="0" fontId="75" fillId="0" borderId="0" xfId="451" applyFont="1" applyAlignment="1">
      <alignment horizontal="left" vertical="center"/>
    </xf>
    <xf numFmtId="182" fontId="75" fillId="48" borderId="0" xfId="451" applyNumberFormat="1" applyFont="1" applyFill="1" applyAlignment="1">
      <alignment horizontal="center" vertical="center"/>
    </xf>
    <xf numFmtId="0" fontId="75" fillId="48" borderId="0" xfId="451" applyFont="1" applyFill="1" applyAlignment="1">
      <alignment horizontal="center" vertical="center"/>
    </xf>
    <xf numFmtId="182" fontId="75" fillId="0" borderId="0" xfId="451" applyNumberFormat="1" applyFont="1" applyAlignment="1">
      <alignment horizontal="center" vertical="center"/>
    </xf>
    <xf numFmtId="0" fontId="75" fillId="0" borderId="0" xfId="797" applyFont="1" applyAlignment="1">
      <alignment horizontal="center" vertical="center"/>
    </xf>
    <xf numFmtId="0" fontId="75" fillId="0" borderId="0" xfId="797" applyFont="1" applyAlignment="1">
      <alignment vertical="top"/>
    </xf>
    <xf numFmtId="0" fontId="75" fillId="0" borderId="0" xfId="797" applyFont="1" applyAlignment="1">
      <alignment horizontal="left" vertical="top"/>
    </xf>
    <xf numFmtId="182" fontId="75" fillId="49" borderId="0" xfId="797" applyNumberFormat="1" applyFont="1" applyFill="1" applyAlignment="1">
      <alignment horizontal="center" vertical="top"/>
    </xf>
    <xf numFmtId="0" fontId="75" fillId="49" borderId="0" xfId="797" applyFont="1" applyFill="1" applyAlignment="1">
      <alignment horizontal="center" vertical="top"/>
    </xf>
    <xf numFmtId="0" fontId="75" fillId="0" borderId="0" xfId="797" applyFont="1" applyAlignment="1">
      <alignment horizontal="center" vertical="top"/>
    </xf>
    <xf numFmtId="182" fontId="75" fillId="0" borderId="0" xfId="797" applyNumberFormat="1" applyFont="1" applyAlignment="1">
      <alignment horizontal="center" vertical="top"/>
    </xf>
    <xf numFmtId="10" fontId="90" fillId="0" borderId="0" xfId="176" applyNumberFormat="1" applyFont="1" applyAlignment="1">
      <alignment horizontal="center"/>
    </xf>
    <xf numFmtId="0" fontId="75" fillId="0" borderId="0" xfId="428" applyFont="1" applyAlignment="1">
      <alignment vertical="top"/>
    </xf>
    <xf numFmtId="0" fontId="75" fillId="0" borderId="0" xfId="428" applyFont="1" applyAlignment="1">
      <alignment horizontal="left" vertical="top"/>
    </xf>
    <xf numFmtId="0" fontId="75" fillId="0" borderId="0" xfId="428" applyFont="1" applyAlignment="1">
      <alignment horizontal="center" vertical="top"/>
    </xf>
    <xf numFmtId="182" fontId="75" fillId="0" borderId="0" xfId="428" applyNumberFormat="1" applyFont="1" applyAlignment="1">
      <alignment horizontal="center" vertical="top"/>
    </xf>
    <xf numFmtId="0" fontId="0" fillId="21" borderId="0" xfId="0" applyFill="1"/>
    <xf numFmtId="0" fontId="41" fillId="0" borderId="0" xfId="227" applyFont="1"/>
    <xf numFmtId="0" fontId="41" fillId="0" borderId="0" xfId="227" applyFont="1" applyAlignment="1">
      <alignment horizontal="center" vertical="center"/>
    </xf>
    <xf numFmtId="0" fontId="194" fillId="0" borderId="0" xfId="227" applyFont="1" applyAlignment="1">
      <alignment horizontal="center"/>
    </xf>
    <xf numFmtId="0" fontId="194" fillId="0" borderId="0" xfId="227" applyFont="1"/>
    <xf numFmtId="10" fontId="194" fillId="0" borderId="0" xfId="228" applyNumberFormat="1" applyFont="1"/>
    <xf numFmtId="0" fontId="101" fillId="0" borderId="0" xfId="451" applyFont="1" applyAlignment="1">
      <alignment vertical="center"/>
    </xf>
    <xf numFmtId="182" fontId="101" fillId="48" borderId="0" xfId="451" applyNumberFormat="1" applyFont="1" applyFill="1" applyAlignment="1">
      <alignment horizontal="center" vertical="center"/>
    </xf>
    <xf numFmtId="0" fontId="101" fillId="48" borderId="0" xfId="451" applyFont="1" applyFill="1" applyAlignment="1">
      <alignment horizontal="center" vertical="center"/>
    </xf>
    <xf numFmtId="0" fontId="101" fillId="0" borderId="0" xfId="451" applyFont="1" applyAlignment="1">
      <alignment horizontal="center" vertical="center"/>
    </xf>
    <xf numFmtId="182" fontId="101" fillId="0" borderId="0" xfId="451" applyNumberFormat="1" applyFont="1" applyAlignment="1">
      <alignment horizontal="center" vertical="center"/>
    </xf>
    <xf numFmtId="10" fontId="101" fillId="0" borderId="0" xfId="176" applyNumberFormat="1" applyFont="1" applyAlignment="1">
      <alignment horizontal="center" vertical="center"/>
    </xf>
    <xf numFmtId="0" fontId="101" fillId="0" borderId="0" xfId="797" applyFont="1" applyAlignment="1">
      <alignment vertical="top"/>
    </xf>
    <xf numFmtId="182" fontId="101" fillId="49" borderId="0" xfId="797" applyNumberFormat="1" applyFont="1" applyFill="1" applyAlignment="1">
      <alignment horizontal="center" vertical="top"/>
    </xf>
    <xf numFmtId="0" fontId="101" fillId="49" borderId="0" xfId="797" applyFont="1" applyFill="1" applyAlignment="1">
      <alignment horizontal="center" vertical="top"/>
    </xf>
    <xf numFmtId="0" fontId="101" fillId="0" borderId="0" xfId="797" applyFont="1" applyAlignment="1">
      <alignment horizontal="center" vertical="top"/>
    </xf>
    <xf numFmtId="182" fontId="101" fillId="0" borderId="0" xfId="797" applyNumberFormat="1" applyFont="1" applyAlignment="1">
      <alignment horizontal="center" vertical="top"/>
    </xf>
    <xf numFmtId="0" fontId="101" fillId="0" borderId="0" xfId="428" applyFont="1" applyAlignment="1">
      <alignment vertical="top"/>
    </xf>
    <xf numFmtId="0" fontId="101" fillId="0" borderId="0" xfId="428" applyFont="1" applyAlignment="1">
      <alignment horizontal="center" vertical="top"/>
    </xf>
    <xf numFmtId="182" fontId="101" fillId="0" borderId="0" xfId="428" applyNumberFormat="1" applyFont="1" applyAlignment="1">
      <alignment horizontal="center" vertical="top"/>
    </xf>
    <xf numFmtId="10" fontId="90" fillId="21" borderId="0" xfId="176" applyNumberFormat="1" applyFont="1" applyFill="1" applyAlignment="1">
      <alignment horizontal="center"/>
    </xf>
    <xf numFmtId="10" fontId="76" fillId="0" borderId="0" xfId="176" applyNumberFormat="1" applyFont="1"/>
    <xf numFmtId="10" fontId="75" fillId="0" borderId="0" xfId="176" applyNumberFormat="1" applyFont="1" applyAlignment="1">
      <alignment horizontal="center" vertical="center"/>
    </xf>
    <xf numFmtId="9" fontId="76" fillId="0" borderId="0" xfId="176" applyFont="1"/>
    <xf numFmtId="0" fontId="194" fillId="0" borderId="16" xfId="227" applyFont="1" applyBorder="1"/>
    <xf numFmtId="0" fontId="194" fillId="0" borderId="16" xfId="227" applyFont="1" applyBorder="1" applyAlignment="1">
      <alignment horizontal="center" vertical="center"/>
    </xf>
    <xf numFmtId="10" fontId="194" fillId="0" borderId="16" xfId="228" applyNumberFormat="1" applyFont="1" applyBorder="1"/>
    <xf numFmtId="0" fontId="50" fillId="0" borderId="16" xfId="0" applyFont="1" applyBorder="1" applyAlignment="1">
      <alignment horizontal="center"/>
    </xf>
    <xf numFmtId="0" fontId="50" fillId="0" borderId="16" xfId="0" applyFont="1" applyBorder="1"/>
    <xf numFmtId="0" fontId="76" fillId="0" borderId="16" xfId="0" applyFont="1" applyBorder="1"/>
    <xf numFmtId="9" fontId="76" fillId="0" borderId="16" xfId="176" applyFont="1" applyBorder="1"/>
    <xf numFmtId="0" fontId="75" fillId="41" borderId="0" xfId="451" applyFont="1" applyFill="1" applyAlignment="1">
      <alignment vertical="center"/>
    </xf>
    <xf numFmtId="0" fontId="75" fillId="41" borderId="0" xfId="451" applyFont="1" applyFill="1" applyAlignment="1">
      <alignment horizontal="left" vertical="center"/>
    </xf>
    <xf numFmtId="182" fontId="75" fillId="41" borderId="0" xfId="451" applyNumberFormat="1" applyFont="1" applyFill="1" applyAlignment="1">
      <alignment horizontal="center" vertical="center"/>
    </xf>
    <xf numFmtId="0" fontId="51" fillId="41" borderId="0" xfId="0" applyFont="1" applyFill="1"/>
    <xf numFmtId="0" fontId="101" fillId="41" borderId="0" xfId="451" applyFont="1" applyFill="1" applyAlignment="1">
      <alignment vertical="center"/>
    </xf>
    <xf numFmtId="182" fontId="101" fillId="41" borderId="0" xfId="451" applyNumberFormat="1" applyFont="1" applyFill="1" applyAlignment="1">
      <alignment horizontal="center" vertical="center"/>
    </xf>
    <xf numFmtId="9" fontId="101" fillId="41" borderId="0" xfId="176" applyFont="1" applyFill="1" applyAlignment="1">
      <alignment horizontal="center" vertical="center"/>
    </xf>
    <xf numFmtId="0" fontId="75" fillId="0" borderId="16" xfId="428" applyFont="1" applyBorder="1" applyAlignment="1">
      <alignment vertical="top"/>
    </xf>
    <xf numFmtId="0" fontId="101" fillId="0" borderId="16" xfId="428" applyFont="1" applyBorder="1" applyAlignment="1">
      <alignment vertical="top"/>
    </xf>
    <xf numFmtId="182" fontId="101" fillId="0" borderId="16" xfId="428" applyNumberFormat="1" applyFont="1" applyBorder="1" applyAlignment="1">
      <alignment horizontal="center" vertical="top"/>
    </xf>
    <xf numFmtId="0" fontId="101" fillId="0" borderId="16" xfId="428" applyFont="1" applyBorder="1" applyAlignment="1">
      <alignment horizontal="center" vertical="top"/>
    </xf>
    <xf numFmtId="10" fontId="90" fillId="21" borderId="16" xfId="176" applyNumberFormat="1" applyFont="1" applyFill="1" applyBorder="1" applyAlignment="1">
      <alignment horizontal="center"/>
    </xf>
    <xf numFmtId="0" fontId="101" fillId="0" borderId="16" xfId="428" applyFont="1" applyBorder="1" applyAlignment="1">
      <alignment horizontal="center" vertical="center"/>
    </xf>
    <xf numFmtId="0" fontId="36" fillId="21" borderId="16" xfId="0" applyFont="1" applyFill="1" applyBorder="1" applyAlignment="1">
      <alignment horizontal="center" vertical="center" wrapText="1"/>
    </xf>
    <xf numFmtId="0" fontId="76" fillId="0" borderId="16" xfId="0" applyFont="1" applyBorder="1" applyAlignment="1">
      <alignment horizontal="center" wrapText="1"/>
    </xf>
    <xf numFmtId="0" fontId="194" fillId="0" borderId="16" xfId="227" applyFont="1" applyBorder="1" applyAlignment="1">
      <alignment vertical="center" wrapText="1"/>
    </xf>
    <xf numFmtId="0" fontId="194" fillId="0" borderId="144" xfId="227" applyFont="1" applyBorder="1" applyAlignment="1">
      <alignment vertical="center" wrapText="1"/>
    </xf>
    <xf numFmtId="0" fontId="75" fillId="0" borderId="16" xfId="797" applyFont="1" applyBorder="1" applyAlignment="1">
      <alignment horizontal="center" vertical="center"/>
    </xf>
    <xf numFmtId="0" fontId="75" fillId="0" borderId="16" xfId="797" applyFont="1" applyBorder="1" applyAlignment="1">
      <alignment vertical="top"/>
    </xf>
    <xf numFmtId="0" fontId="101" fillId="0" borderId="16" xfId="797" applyFont="1" applyBorder="1" applyAlignment="1">
      <alignment vertical="top"/>
    </xf>
    <xf numFmtId="182" fontId="101" fillId="49" borderId="16" xfId="797" applyNumberFormat="1" applyFont="1" applyFill="1" applyBorder="1" applyAlignment="1">
      <alignment horizontal="center" vertical="top"/>
    </xf>
    <xf numFmtId="182" fontId="101" fillId="0" borderId="16" xfId="797" applyNumberFormat="1" applyFont="1" applyBorder="1" applyAlignment="1">
      <alignment horizontal="center" vertical="top"/>
    </xf>
    <xf numFmtId="10" fontId="90" fillId="44" borderId="16" xfId="176" applyNumberFormat="1" applyFont="1" applyFill="1" applyBorder="1" applyAlignment="1">
      <alignment horizontal="center"/>
    </xf>
    <xf numFmtId="0" fontId="194" fillId="0" borderId="16" xfId="227" applyFont="1" applyBorder="1" applyAlignment="1">
      <alignment horizontal="center" vertical="center" wrapText="1"/>
    </xf>
    <xf numFmtId="0" fontId="194" fillId="0" borderId="144" xfId="227" applyFont="1" applyBorder="1" applyAlignment="1">
      <alignment horizontal="center" vertical="center" wrapText="1"/>
    </xf>
    <xf numFmtId="10" fontId="76" fillId="0" borderId="0" xfId="0" applyNumberFormat="1" applyFont="1"/>
    <xf numFmtId="0" fontId="101" fillId="0" borderId="16" xfId="451" applyFont="1" applyBorder="1" applyAlignment="1">
      <alignment vertical="center"/>
    </xf>
    <xf numFmtId="182" fontId="101" fillId="48" borderId="16" xfId="451" applyNumberFormat="1" applyFont="1" applyFill="1" applyBorder="1" applyAlignment="1">
      <alignment horizontal="center" vertical="center"/>
    </xf>
    <xf numFmtId="182" fontId="101" fillId="0" borderId="16" xfId="451" applyNumberFormat="1" applyFont="1" applyBorder="1" applyAlignment="1">
      <alignment horizontal="center" vertical="center"/>
    </xf>
    <xf numFmtId="10" fontId="101" fillId="44" borderId="16" xfId="176" applyNumberFormat="1" applyFont="1" applyFill="1" applyBorder="1" applyAlignment="1">
      <alignment horizontal="center" vertical="center"/>
    </xf>
    <xf numFmtId="0" fontId="36" fillId="0" borderId="0" xfId="211" applyFont="1"/>
    <xf numFmtId="182" fontId="0" fillId="0" borderId="0" xfId="0" applyNumberFormat="1" applyAlignment="1">
      <alignment vertical="center"/>
    </xf>
    <xf numFmtId="10" fontId="76" fillId="0" borderId="16" xfId="0" applyNumberFormat="1" applyFont="1" applyBorder="1"/>
    <xf numFmtId="0" fontId="194" fillId="0" borderId="0" xfId="227" applyFont="1" applyAlignment="1">
      <alignment horizontal="center" vertical="center"/>
    </xf>
    <xf numFmtId="0" fontId="194" fillId="0" borderId="144" xfId="227" applyFont="1" applyBorder="1"/>
    <xf numFmtId="0" fontId="194" fillId="0" borderId="16" xfId="227" applyFont="1" applyBorder="1" applyAlignment="1">
      <alignment horizontal="right"/>
    </xf>
    <xf numFmtId="10" fontId="76" fillId="21" borderId="16" xfId="176" applyNumberFormat="1" applyFont="1" applyFill="1" applyBorder="1"/>
    <xf numFmtId="168" fontId="194" fillId="21" borderId="16" xfId="228" applyNumberFormat="1" applyFont="1" applyFill="1" applyBorder="1"/>
    <xf numFmtId="0" fontId="194" fillId="21" borderId="16" xfId="227" applyFont="1" applyFill="1" applyBorder="1" applyAlignment="1">
      <alignment horizontal="center"/>
    </xf>
    <xf numFmtId="0" fontId="91" fillId="0" borderId="0" xfId="211" applyFont="1"/>
    <xf numFmtId="0" fontId="106" fillId="0" borderId="0" xfId="0" applyFont="1"/>
    <xf numFmtId="0" fontId="41" fillId="0" borderId="0" xfId="211" applyFont="1"/>
    <xf numFmtId="0" fontId="49" fillId="0" borderId="0" xfId="0" applyFont="1"/>
    <xf numFmtId="0" fontId="193" fillId="0" borderId="0" xfId="453" applyFont="1" applyAlignment="1">
      <alignment vertical="center"/>
    </xf>
    <xf numFmtId="0" fontId="193" fillId="0" borderId="0" xfId="239" applyFont="1" applyAlignment="1">
      <alignment vertical="center"/>
    </xf>
    <xf numFmtId="0" fontId="1" fillId="0" borderId="0" xfId="453"/>
    <xf numFmtId="0" fontId="74" fillId="0" borderId="0" xfId="239" applyFont="1" applyAlignment="1">
      <alignment vertical="top"/>
    </xf>
    <xf numFmtId="0" fontId="138" fillId="0" borderId="0" xfId="453" applyFont="1"/>
    <xf numFmtId="0" fontId="138" fillId="0" borderId="0" xfId="239" applyFont="1"/>
    <xf numFmtId="0" fontId="101" fillId="0" borderId="0" xfId="173" applyFont="1"/>
    <xf numFmtId="0" fontId="101" fillId="0" borderId="16" xfId="453" applyFont="1" applyBorder="1" applyAlignment="1">
      <alignment horizontal="center" vertical="center"/>
    </xf>
    <xf numFmtId="0" fontId="101" fillId="44" borderId="16" xfId="452" applyFont="1" applyFill="1" applyBorder="1" applyAlignment="1">
      <alignment horizontal="center" vertical="center" wrapText="1"/>
    </xf>
    <xf numFmtId="0" fontId="101" fillId="0" borderId="16" xfId="239" applyFont="1" applyBorder="1" applyAlignment="1">
      <alignment horizontal="center"/>
    </xf>
    <xf numFmtId="0" fontId="188" fillId="44" borderId="16" xfId="797" applyFont="1" applyFill="1" applyBorder="1" applyAlignment="1">
      <alignment horizontal="center" vertical="center"/>
    </xf>
    <xf numFmtId="0" fontId="101" fillId="0" borderId="16" xfId="173" applyFont="1" applyBorder="1" applyAlignment="1">
      <alignment horizontal="center"/>
    </xf>
    <xf numFmtId="0" fontId="194" fillId="0" borderId="144" xfId="227" applyFont="1" applyBorder="1" applyAlignment="1">
      <alignment horizontal="center" wrapText="1"/>
    </xf>
    <xf numFmtId="0" fontId="75" fillId="0" borderId="0" xfId="453" applyFont="1" applyAlignment="1">
      <alignment horizontal="center" vertical="center"/>
    </xf>
    <xf numFmtId="0" fontId="75" fillId="0" borderId="0" xfId="453" applyFont="1" applyAlignment="1">
      <alignment vertical="top"/>
    </xf>
    <xf numFmtId="0" fontId="75" fillId="0" borderId="0" xfId="453" applyFont="1" applyAlignment="1">
      <alignment horizontal="left" vertical="top"/>
    </xf>
    <xf numFmtId="0" fontId="75" fillId="43" borderId="0" xfId="453" applyFont="1" applyFill="1" applyAlignment="1">
      <alignment horizontal="center" vertical="center"/>
    </xf>
    <xf numFmtId="182" fontId="75" fillId="43" borderId="0" xfId="453" applyNumberFormat="1" applyFont="1" applyFill="1" applyAlignment="1">
      <alignment horizontal="center" vertical="center"/>
    </xf>
    <xf numFmtId="182" fontId="75" fillId="0" borderId="0" xfId="453" applyNumberFormat="1" applyFont="1" applyAlignment="1">
      <alignment horizontal="center" vertical="center"/>
    </xf>
    <xf numFmtId="0" fontId="75" fillId="0" borderId="0" xfId="239" applyFont="1" applyAlignment="1">
      <alignment vertical="top"/>
    </xf>
    <xf numFmtId="0" fontId="75" fillId="0" borderId="0" xfId="239" applyFont="1" applyAlignment="1">
      <alignment horizontal="left" vertical="top"/>
    </xf>
    <xf numFmtId="0" fontId="75" fillId="49" borderId="0" xfId="239" applyFont="1" applyFill="1" applyAlignment="1">
      <alignment horizontal="center" vertical="top"/>
    </xf>
    <xf numFmtId="182" fontId="75" fillId="49" borderId="0" xfId="239" applyNumberFormat="1" applyFont="1" applyFill="1" applyAlignment="1">
      <alignment horizontal="center" vertical="top"/>
    </xf>
    <xf numFmtId="0" fontId="75" fillId="0" borderId="0" xfId="239" applyFont="1" applyAlignment="1">
      <alignment horizontal="center" vertical="top"/>
    </xf>
    <xf numFmtId="182" fontId="75" fillId="0" borderId="0" xfId="239" applyNumberFormat="1" applyFont="1" applyAlignment="1">
      <alignment horizontal="center" vertical="top"/>
    </xf>
    <xf numFmtId="10" fontId="101" fillId="0" borderId="0" xfId="176" applyNumberFormat="1" applyFont="1" applyAlignment="1">
      <alignment horizontal="center" vertical="top"/>
    </xf>
    <xf numFmtId="0" fontId="75" fillId="0" borderId="0" xfId="173" applyFont="1" applyAlignment="1">
      <alignment vertical="top"/>
    </xf>
    <xf numFmtId="0" fontId="75" fillId="0" borderId="0" xfId="173" applyFont="1" applyAlignment="1">
      <alignment horizontal="left" vertical="top"/>
    </xf>
    <xf numFmtId="0" fontId="75" fillId="0" borderId="0" xfId="173" applyFont="1" applyAlignment="1">
      <alignment horizontal="center" vertical="top"/>
    </xf>
    <xf numFmtId="182" fontId="75" fillId="0" borderId="0" xfId="173" applyNumberFormat="1" applyFont="1" applyAlignment="1">
      <alignment horizontal="center" vertical="top"/>
    </xf>
    <xf numFmtId="1" fontId="50" fillId="0" borderId="0" xfId="228" applyNumberFormat="1" applyFont="1" applyAlignment="1">
      <alignment horizontal="center"/>
    </xf>
    <xf numFmtId="0" fontId="101" fillId="0" borderId="0" xfId="239" applyFont="1" applyAlignment="1">
      <alignment vertical="top"/>
    </xf>
    <xf numFmtId="0" fontId="101" fillId="49" borderId="0" xfId="239" applyFont="1" applyFill="1" applyAlignment="1">
      <alignment horizontal="center" vertical="top"/>
    </xf>
    <xf numFmtId="182" fontId="101" fillId="49" borderId="0" xfId="239" applyNumberFormat="1" applyFont="1" applyFill="1" applyAlignment="1">
      <alignment horizontal="center" vertical="top"/>
    </xf>
    <xf numFmtId="0" fontId="101" fillId="0" borderId="0" xfId="239" applyFont="1" applyAlignment="1">
      <alignment horizontal="center" vertical="top"/>
    </xf>
    <xf numFmtId="182" fontId="101" fillId="0" borderId="0" xfId="239" applyNumberFormat="1" applyFont="1" applyAlignment="1">
      <alignment horizontal="center" vertical="top"/>
    </xf>
    <xf numFmtId="0" fontId="101" fillId="0" borderId="0" xfId="173" applyFont="1" applyAlignment="1">
      <alignment vertical="top"/>
    </xf>
    <xf numFmtId="0" fontId="101" fillId="0" borderId="0" xfId="173" applyFont="1" applyAlignment="1">
      <alignment horizontal="center" vertical="top"/>
    </xf>
    <xf numFmtId="182" fontId="101" fillId="0" borderId="0" xfId="173" applyNumberFormat="1" applyFont="1" applyAlignment="1">
      <alignment horizontal="center" vertical="top"/>
    </xf>
    <xf numFmtId="10" fontId="101" fillId="21" borderId="0" xfId="176" applyNumberFormat="1" applyFont="1" applyFill="1" applyAlignment="1">
      <alignment horizontal="center" vertical="top"/>
    </xf>
    <xf numFmtId="10" fontId="194" fillId="0" borderId="0" xfId="228" applyNumberFormat="1" applyFont="1" applyAlignment="1">
      <alignment horizontal="center"/>
    </xf>
    <xf numFmtId="0" fontId="101" fillId="0" borderId="0" xfId="453" applyFont="1" applyAlignment="1">
      <alignment vertical="top"/>
    </xf>
    <xf numFmtId="0" fontId="101" fillId="43" borderId="0" xfId="453" applyFont="1" applyFill="1" applyAlignment="1">
      <alignment horizontal="center" vertical="center"/>
    </xf>
    <xf numFmtId="182" fontId="101" fillId="43" borderId="0" xfId="453" applyNumberFormat="1" applyFont="1" applyFill="1" applyAlignment="1">
      <alignment horizontal="center" vertical="center"/>
    </xf>
    <xf numFmtId="0" fontId="101" fillId="0" borderId="0" xfId="453" applyFont="1" applyAlignment="1">
      <alignment horizontal="center" vertical="center"/>
    </xf>
    <xf numFmtId="182" fontId="101" fillId="0" borderId="0" xfId="453" applyNumberFormat="1" applyFont="1" applyAlignment="1">
      <alignment horizontal="center" vertical="center"/>
    </xf>
    <xf numFmtId="10" fontId="99" fillId="0" borderId="0" xfId="176" applyNumberFormat="1" applyFont="1" applyAlignment="1">
      <alignment horizontal="center"/>
    </xf>
    <xf numFmtId="0" fontId="41" fillId="0" borderId="16" xfId="227" applyFont="1" applyBorder="1"/>
    <xf numFmtId="10" fontId="194" fillId="0" borderId="16" xfId="228" applyNumberFormat="1" applyFont="1" applyBorder="1" applyAlignment="1">
      <alignment horizontal="center"/>
    </xf>
    <xf numFmtId="0" fontId="75" fillId="0" borderId="16" xfId="173" applyFont="1" applyBorder="1" applyAlignment="1">
      <alignment vertical="top"/>
    </xf>
    <xf numFmtId="0" fontId="101" fillId="0" borderId="16" xfId="173" applyFont="1" applyBorder="1" applyAlignment="1">
      <alignment vertical="top"/>
    </xf>
    <xf numFmtId="0" fontId="101" fillId="0" borderId="16" xfId="173" applyFont="1" applyBorder="1" applyAlignment="1">
      <alignment horizontal="center" vertical="top"/>
    </xf>
    <xf numFmtId="182" fontId="101" fillId="0" borderId="16" xfId="173" applyNumberFormat="1" applyFont="1" applyBorder="1" applyAlignment="1">
      <alignment horizontal="center" vertical="top"/>
    </xf>
    <xf numFmtId="10" fontId="101" fillId="21" borderId="16" xfId="176" applyNumberFormat="1" applyFont="1" applyFill="1" applyBorder="1" applyAlignment="1">
      <alignment horizontal="center" vertical="top"/>
    </xf>
    <xf numFmtId="10" fontId="76" fillId="0" borderId="16" xfId="176" applyNumberFormat="1" applyFont="1" applyBorder="1"/>
    <xf numFmtId="0" fontId="41" fillId="0" borderId="0" xfId="227" applyFont="1" applyAlignment="1">
      <alignment vertical="center" wrapText="1"/>
    </xf>
    <xf numFmtId="0" fontId="75" fillId="0" borderId="16" xfId="239" applyFont="1" applyBorder="1" applyAlignment="1">
      <alignment vertical="top"/>
    </xf>
    <xf numFmtId="0" fontId="101" fillId="0" borderId="16" xfId="239" applyFont="1" applyBorder="1" applyAlignment="1">
      <alignment vertical="top"/>
    </xf>
    <xf numFmtId="182" fontId="101" fillId="49" borderId="16" xfId="239" applyNumberFormat="1" applyFont="1" applyFill="1" applyBorder="1" applyAlignment="1">
      <alignment horizontal="center" vertical="top"/>
    </xf>
    <xf numFmtId="182" fontId="101" fillId="0" borderId="16" xfId="239" applyNumberFormat="1" applyFont="1" applyBorder="1" applyAlignment="1">
      <alignment horizontal="center" vertical="top"/>
    </xf>
    <xf numFmtId="10" fontId="101" fillId="44" borderId="16" xfId="176" applyNumberFormat="1" applyFont="1" applyFill="1" applyBorder="1" applyAlignment="1">
      <alignment horizontal="center" vertical="top"/>
    </xf>
    <xf numFmtId="0" fontId="101" fillId="0" borderId="16" xfId="173" applyFont="1" applyBorder="1" applyAlignment="1">
      <alignment horizontal="center" vertical="center"/>
    </xf>
    <xf numFmtId="0" fontId="76" fillId="0" borderId="16" xfId="0" applyFont="1" applyBorder="1" applyAlignment="1">
      <alignment vertical="center" wrapText="1"/>
    </xf>
    <xf numFmtId="0" fontId="75" fillId="0" borderId="0" xfId="173" applyFont="1" applyAlignment="1">
      <alignment horizontal="center" vertical="center"/>
    </xf>
    <xf numFmtId="0" fontId="36" fillId="0" borderId="0" xfId="211" applyFont="1" applyAlignment="1">
      <alignment horizontal="left"/>
    </xf>
    <xf numFmtId="0" fontId="91" fillId="0" borderId="0" xfId="211" applyFont="1" applyAlignment="1">
      <alignment horizontal="left"/>
    </xf>
    <xf numFmtId="0" fontId="1" fillId="0" borderId="0" xfId="227"/>
    <xf numFmtId="0" fontId="1" fillId="0" borderId="0" xfId="227" applyAlignment="1">
      <alignment horizontal="center" vertical="center"/>
    </xf>
    <xf numFmtId="0" fontId="75" fillId="0" borderId="16" xfId="453" applyFont="1" applyBorder="1" applyAlignment="1">
      <alignment horizontal="center" vertical="center"/>
    </xf>
    <xf numFmtId="0" fontId="75" fillId="0" borderId="16" xfId="453" applyFont="1" applyBorder="1" applyAlignment="1">
      <alignment vertical="top"/>
    </xf>
    <xf numFmtId="0" fontId="101" fillId="0" borderId="16" xfId="453" applyFont="1" applyBorder="1" applyAlignment="1">
      <alignment vertical="top"/>
    </xf>
    <xf numFmtId="182" fontId="101" fillId="43" borderId="16" xfId="453" applyNumberFormat="1" applyFont="1" applyFill="1" applyBorder="1" applyAlignment="1">
      <alignment horizontal="center" vertical="center"/>
    </xf>
    <xf numFmtId="182" fontId="101" fillId="0" borderId="16" xfId="453" applyNumberFormat="1" applyFont="1" applyBorder="1" applyAlignment="1">
      <alignment horizontal="center" vertical="center"/>
    </xf>
    <xf numFmtId="10" fontId="99" fillId="44" borderId="16" xfId="176" applyNumberFormat="1" applyFont="1" applyFill="1" applyBorder="1" applyAlignment="1">
      <alignment horizontal="center"/>
    </xf>
    <xf numFmtId="0" fontId="75" fillId="0" borderId="0" xfId="452" applyFont="1" applyAlignment="1">
      <alignment vertical="center"/>
    </xf>
    <xf numFmtId="0" fontId="193" fillId="0" borderId="0" xfId="428" applyFont="1" applyAlignment="1">
      <alignment vertical="center"/>
    </xf>
    <xf numFmtId="0" fontId="61" fillId="0" borderId="0" xfId="452" applyFont="1"/>
    <xf numFmtId="0" fontId="138" fillId="0" borderId="0" xfId="816" applyFont="1"/>
    <xf numFmtId="0" fontId="74" fillId="0" borderId="0" xfId="428" applyFont="1" applyAlignment="1">
      <alignment vertical="top"/>
    </xf>
    <xf numFmtId="0" fontId="101" fillId="0" borderId="0" xfId="452" applyFont="1"/>
    <xf numFmtId="0" fontId="90" fillId="0" borderId="0" xfId="0" applyFont="1"/>
    <xf numFmtId="0" fontId="101" fillId="0" borderId="0" xfId="238" applyFont="1"/>
    <xf numFmtId="0" fontId="101" fillId="0" borderId="16" xfId="452" applyFont="1" applyBorder="1" applyAlignment="1">
      <alignment horizontal="center" vertical="center"/>
    </xf>
    <xf numFmtId="0" fontId="101" fillId="0" borderId="16" xfId="238" applyFont="1" applyBorder="1" applyAlignment="1">
      <alignment horizontal="center"/>
    </xf>
    <xf numFmtId="0" fontId="90" fillId="21" borderId="16" xfId="0" applyFont="1" applyFill="1" applyBorder="1" applyAlignment="1">
      <alignment horizontal="center" wrapText="1"/>
    </xf>
    <xf numFmtId="0" fontId="99" fillId="21" borderId="16" xfId="0" applyFont="1" applyFill="1" applyBorder="1" applyAlignment="1">
      <alignment horizontal="center" wrapText="1"/>
    </xf>
    <xf numFmtId="0" fontId="189" fillId="0" borderId="144" xfId="227" applyFont="1" applyBorder="1" applyAlignment="1">
      <alignment horizontal="center"/>
    </xf>
    <xf numFmtId="0" fontId="189" fillId="0" borderId="144" xfId="227" applyFont="1" applyBorder="1" applyAlignment="1">
      <alignment horizontal="center" wrapText="1"/>
    </xf>
    <xf numFmtId="0" fontId="189" fillId="0" borderId="16" xfId="227" applyFont="1" applyBorder="1" applyAlignment="1">
      <alignment horizontal="center" wrapText="1"/>
    </xf>
    <xf numFmtId="0" fontId="75" fillId="0" borderId="0" xfId="452" applyFont="1" applyAlignment="1">
      <alignment vertical="top"/>
    </xf>
    <xf numFmtId="0" fontId="75" fillId="0" borderId="0" xfId="452" applyFont="1" applyAlignment="1">
      <alignment horizontal="left" vertical="top"/>
    </xf>
    <xf numFmtId="0" fontId="75" fillId="50" borderId="0" xfId="452" applyFont="1" applyFill="1" applyAlignment="1">
      <alignment horizontal="center" vertical="center"/>
    </xf>
    <xf numFmtId="182" fontId="75" fillId="50" borderId="0" xfId="452" applyNumberFormat="1" applyFont="1" applyFill="1" applyAlignment="1">
      <alignment horizontal="center" vertical="center"/>
    </xf>
    <xf numFmtId="0" fontId="75" fillId="0" borderId="0" xfId="452" applyFont="1" applyAlignment="1">
      <alignment horizontal="center" vertical="center"/>
    </xf>
    <xf numFmtId="182" fontId="75" fillId="0" borderId="0" xfId="452" applyNumberFormat="1" applyFont="1" applyAlignment="1">
      <alignment horizontal="center" vertical="center"/>
    </xf>
    <xf numFmtId="0" fontId="75" fillId="49" borderId="0" xfId="428" applyFont="1" applyFill="1" applyAlignment="1">
      <alignment horizontal="center"/>
    </xf>
    <xf numFmtId="182" fontId="75" fillId="49" borderId="0" xfId="428" applyNumberFormat="1" applyFont="1" applyFill="1" applyAlignment="1">
      <alignment horizontal="center"/>
    </xf>
    <xf numFmtId="0" fontId="75" fillId="0" borderId="0" xfId="428" applyFont="1" applyAlignment="1">
      <alignment horizontal="center"/>
    </xf>
    <xf numFmtId="182" fontId="75" fillId="0" borderId="0" xfId="428" applyNumberFormat="1" applyFont="1" applyAlignment="1">
      <alignment horizontal="center"/>
    </xf>
    <xf numFmtId="0" fontId="75" fillId="0" borderId="0" xfId="238" applyFont="1" applyAlignment="1">
      <alignment vertical="top"/>
    </xf>
    <xf numFmtId="0" fontId="75" fillId="0" borderId="0" xfId="238" applyFont="1" applyAlignment="1">
      <alignment horizontal="center" vertical="top"/>
    </xf>
    <xf numFmtId="0" fontId="51" fillId="21" borderId="0" xfId="0" applyFont="1" applyFill="1"/>
    <xf numFmtId="0" fontId="61" fillId="0" borderId="0" xfId="227" applyFont="1"/>
    <xf numFmtId="0" fontId="189" fillId="0" borderId="0" xfId="227" applyFont="1" applyAlignment="1">
      <alignment horizontal="center"/>
    </xf>
    <xf numFmtId="0" fontId="101" fillId="49" borderId="0" xfId="428" applyFont="1" applyFill="1" applyAlignment="1">
      <alignment horizontal="center"/>
    </xf>
    <xf numFmtId="182" fontId="101" fillId="49" borderId="0" xfId="428" applyNumberFormat="1" applyFont="1" applyFill="1" applyAlignment="1">
      <alignment horizontal="center"/>
    </xf>
    <xf numFmtId="0" fontId="101" fillId="0" borderId="0" xfId="428" applyFont="1" applyAlignment="1">
      <alignment horizontal="center"/>
    </xf>
    <xf numFmtId="182" fontId="101" fillId="0" borderId="0" xfId="428" applyNumberFormat="1" applyFont="1" applyAlignment="1">
      <alignment horizontal="center"/>
    </xf>
    <xf numFmtId="0" fontId="101" fillId="0" borderId="0" xfId="452" applyFont="1" applyAlignment="1">
      <alignment vertical="top"/>
    </xf>
    <xf numFmtId="0" fontId="101" fillId="50" borderId="0" xfId="452" applyFont="1" applyFill="1" applyAlignment="1">
      <alignment horizontal="center" vertical="center"/>
    </xf>
    <xf numFmtId="182" fontId="101" fillId="50" borderId="0" xfId="452" applyNumberFormat="1" applyFont="1" applyFill="1" applyAlignment="1">
      <alignment horizontal="center" vertical="center"/>
    </xf>
    <xf numFmtId="0" fontId="101" fillId="0" borderId="0" xfId="452" applyFont="1" applyAlignment="1">
      <alignment horizontal="center" vertical="center"/>
    </xf>
    <xf numFmtId="182" fontId="101" fillId="0" borderId="0" xfId="452" applyNumberFormat="1" applyFont="1" applyAlignment="1">
      <alignment horizontal="center" vertical="center"/>
    </xf>
    <xf numFmtId="0" fontId="189" fillId="0" borderId="0" xfId="227" applyFont="1"/>
    <xf numFmtId="10" fontId="189" fillId="0" borderId="0" xfId="228" applyNumberFormat="1" applyFont="1"/>
    <xf numFmtId="0" fontId="101" fillId="0" borderId="0" xfId="238" applyFont="1" applyAlignment="1">
      <alignment vertical="top"/>
    </xf>
    <xf numFmtId="0" fontId="101" fillId="0" borderId="0" xfId="238" applyFont="1" applyAlignment="1">
      <alignment horizontal="center" vertical="top"/>
    </xf>
    <xf numFmtId="10" fontId="99" fillId="0" borderId="0" xfId="176" applyNumberFormat="1" applyFont="1"/>
    <xf numFmtId="9" fontId="99" fillId="0" borderId="0" xfId="176" applyFont="1"/>
    <xf numFmtId="0" fontId="90" fillId="0" borderId="0" xfId="227" applyFont="1"/>
    <xf numFmtId="0" fontId="189" fillId="0" borderId="16" xfId="227" applyFont="1" applyBorder="1"/>
    <xf numFmtId="10" fontId="189" fillId="0" borderId="16" xfId="228" applyNumberFormat="1" applyFont="1" applyBorder="1"/>
    <xf numFmtId="0" fontId="189" fillId="0" borderId="16" xfId="227" applyFont="1" applyBorder="1" applyAlignment="1">
      <alignment horizontal="center"/>
    </xf>
    <xf numFmtId="0" fontId="75" fillId="0" borderId="16" xfId="238" applyFont="1" applyBorder="1" applyAlignment="1">
      <alignment vertical="top"/>
    </xf>
    <xf numFmtId="0" fontId="101" fillId="0" borderId="16" xfId="238" applyFont="1" applyBorder="1" applyAlignment="1">
      <alignment vertical="top"/>
    </xf>
    <xf numFmtId="0" fontId="101" fillId="0" borderId="16" xfId="238" applyFont="1" applyBorder="1" applyAlignment="1">
      <alignment horizontal="center" vertical="top"/>
    </xf>
    <xf numFmtId="9" fontId="99" fillId="0" borderId="16" xfId="176" applyFont="1" applyBorder="1"/>
    <xf numFmtId="0" fontId="101" fillId="0" borderId="16" xfId="238" applyFont="1" applyBorder="1" applyAlignment="1">
      <alignment horizontal="center" vertical="center" wrapText="1"/>
    </xf>
    <xf numFmtId="0" fontId="90" fillId="21" borderId="16" xfId="0" applyFont="1" applyFill="1" applyBorder="1" applyAlignment="1">
      <alignment horizontal="center" vertical="center" wrapText="1"/>
    </xf>
    <xf numFmtId="0" fontId="51" fillId="0" borderId="16" xfId="0" applyFont="1" applyBorder="1" applyAlignment="1">
      <alignment vertical="center" wrapText="1"/>
    </xf>
    <xf numFmtId="0" fontId="99" fillId="0" borderId="16" xfId="0" applyFont="1" applyBorder="1" applyAlignment="1">
      <alignment vertical="center" wrapText="1"/>
    </xf>
    <xf numFmtId="0" fontId="51" fillId="0" borderId="0" xfId="0" applyFont="1" applyAlignment="1">
      <alignment vertical="center" wrapText="1"/>
    </xf>
    <xf numFmtId="0" fontId="61" fillId="0" borderId="16" xfId="227" applyFont="1" applyBorder="1"/>
    <xf numFmtId="0" fontId="189" fillId="0" borderId="16" xfId="227" applyFont="1" applyBorder="1" applyAlignment="1">
      <alignment horizontal="center" vertical="center" wrapText="1"/>
    </xf>
    <xf numFmtId="0" fontId="189" fillId="0" borderId="144" xfId="227" applyFont="1" applyBorder="1" applyAlignment="1">
      <alignment horizontal="center" vertical="center" wrapText="1"/>
    </xf>
    <xf numFmtId="9" fontId="51" fillId="0" borderId="0" xfId="228" applyFont="1"/>
    <xf numFmtId="168" fontId="189" fillId="0" borderId="0" xfId="228" applyNumberFormat="1" applyFont="1"/>
    <xf numFmtId="0" fontId="75" fillId="0" borderId="0" xfId="238" applyFont="1" applyAlignment="1">
      <alignment vertical="center" wrapText="1"/>
    </xf>
    <xf numFmtId="0" fontId="51" fillId="0" borderId="16" xfId="0" applyFont="1" applyBorder="1" applyAlignment="1">
      <alignment horizontal="center" vertical="center" wrapText="1"/>
    </xf>
    <xf numFmtId="0" fontId="99" fillId="0" borderId="16" xfId="0" applyFont="1" applyBorder="1" applyAlignment="1">
      <alignment horizontal="center" vertical="center" wrapText="1"/>
    </xf>
    <xf numFmtId="0" fontId="75" fillId="0" borderId="16" xfId="452" applyFont="1" applyBorder="1" applyAlignment="1">
      <alignment vertical="top"/>
    </xf>
    <xf numFmtId="0" fontId="101" fillId="0" borderId="16" xfId="452" applyFont="1" applyBorder="1" applyAlignment="1">
      <alignment vertical="top"/>
    </xf>
    <xf numFmtId="182" fontId="101" fillId="50" borderId="16" xfId="452" applyNumberFormat="1" applyFont="1" applyFill="1" applyBorder="1" applyAlignment="1">
      <alignment horizontal="center" vertical="center"/>
    </xf>
    <xf numFmtId="182" fontId="101" fillId="0" borderId="16" xfId="452" applyNumberFormat="1" applyFont="1" applyBorder="1" applyAlignment="1">
      <alignment horizontal="center" vertical="center"/>
    </xf>
    <xf numFmtId="0" fontId="90" fillId="0" borderId="0" xfId="211" applyFont="1" applyAlignment="1">
      <alignment horizontal="left"/>
    </xf>
    <xf numFmtId="182" fontId="101" fillId="49" borderId="16" xfId="428" applyNumberFormat="1" applyFont="1" applyFill="1" applyBorder="1" applyAlignment="1">
      <alignment horizontal="center"/>
    </xf>
    <xf numFmtId="182" fontId="101" fillId="0" borderId="16" xfId="428" applyNumberFormat="1" applyFont="1" applyBorder="1" applyAlignment="1">
      <alignment horizontal="center"/>
    </xf>
    <xf numFmtId="10" fontId="99" fillId="0" borderId="16" xfId="176" applyNumberFormat="1" applyFont="1" applyBorder="1"/>
    <xf numFmtId="0" fontId="101" fillId="0" borderId="16" xfId="238" applyFont="1" applyBorder="1" applyAlignment="1">
      <alignment vertical="center" wrapText="1"/>
    </xf>
    <xf numFmtId="0" fontId="90" fillId="21" borderId="16" xfId="0" applyFont="1" applyFill="1" applyBorder="1" applyAlignment="1">
      <alignment vertical="center" wrapText="1"/>
    </xf>
    <xf numFmtId="0" fontId="189" fillId="0" borderId="144" xfId="227" applyFont="1" applyBorder="1" applyAlignment="1">
      <alignment horizontal="center" vertical="center"/>
    </xf>
    <xf numFmtId="0" fontId="61" fillId="0" borderId="0" xfId="227" applyFont="1" applyAlignment="1">
      <alignment horizontal="center"/>
    </xf>
    <xf numFmtId="10" fontId="99" fillId="21" borderId="16" xfId="176" applyNumberFormat="1" applyFont="1" applyFill="1" applyBorder="1"/>
    <xf numFmtId="168" fontId="189" fillId="21" borderId="16" xfId="228" applyNumberFormat="1" applyFont="1" applyFill="1" applyBorder="1"/>
    <xf numFmtId="0" fontId="189" fillId="21" borderId="16" xfId="227" applyFont="1" applyFill="1" applyBorder="1" applyAlignment="1">
      <alignment horizontal="center"/>
    </xf>
    <xf numFmtId="0" fontId="43" fillId="0" borderId="0" xfId="0" applyFont="1"/>
    <xf numFmtId="0" fontId="195" fillId="0" borderId="0" xfId="238" applyFont="1" applyAlignment="1">
      <alignment vertical="center"/>
    </xf>
    <xf numFmtId="0" fontId="105" fillId="0" borderId="0" xfId="0" applyFont="1"/>
    <xf numFmtId="0" fontId="188" fillId="0" borderId="0" xfId="0" applyFont="1"/>
    <xf numFmtId="0" fontId="5" fillId="0" borderId="0" xfId="455" applyFont="1"/>
    <xf numFmtId="0" fontId="70" fillId="0" borderId="0" xfId="0" applyFont="1" applyAlignment="1">
      <alignment horizontal="center"/>
    </xf>
    <xf numFmtId="0" fontId="74" fillId="0" borderId="0" xfId="238" applyFont="1" applyAlignment="1">
      <alignment vertical="top"/>
    </xf>
    <xf numFmtId="0" fontId="101" fillId="0" borderId="16" xfId="455" applyFont="1" applyBorder="1"/>
    <xf numFmtId="0" fontId="101" fillId="0" borderId="16" xfId="455" applyFont="1" applyBorder="1" applyAlignment="1">
      <alignment horizontal="center"/>
    </xf>
    <xf numFmtId="0" fontId="196" fillId="44" borderId="16" xfId="238" applyFont="1" applyFill="1" applyBorder="1" applyAlignment="1">
      <alignment horizontal="center" vertical="center"/>
    </xf>
    <xf numFmtId="0" fontId="101" fillId="0" borderId="16" xfId="173" applyFont="1" applyBorder="1" applyAlignment="1">
      <alignment horizontal="center" vertical="center" wrapText="1"/>
    </xf>
    <xf numFmtId="0" fontId="101" fillId="21" borderId="16" xfId="173" applyFont="1" applyFill="1" applyBorder="1" applyAlignment="1">
      <alignment horizontal="center" vertical="center" wrapText="1"/>
    </xf>
    <xf numFmtId="0" fontId="76" fillId="0" borderId="16" xfId="0" applyFont="1" applyBorder="1" applyAlignment="1">
      <alignment horizontal="center" vertical="center"/>
    </xf>
    <xf numFmtId="0" fontId="76" fillId="21" borderId="16" xfId="0" applyFont="1" applyFill="1" applyBorder="1" applyAlignment="1">
      <alignment horizontal="center" vertical="center" wrapText="1"/>
    </xf>
    <xf numFmtId="0" fontId="187" fillId="0" borderId="132" xfId="144" applyFont="1" applyBorder="1" applyAlignment="1">
      <alignment horizontal="center" vertical="center"/>
    </xf>
    <xf numFmtId="0" fontId="187" fillId="0" borderId="132" xfId="144" applyFont="1" applyBorder="1" applyAlignment="1">
      <alignment horizontal="center" vertical="center" wrapText="1"/>
    </xf>
    <xf numFmtId="0" fontId="5" fillId="0" borderId="132" xfId="144" applyFont="1" applyBorder="1" applyAlignment="1">
      <alignment horizontal="center" vertical="center" wrapText="1"/>
    </xf>
    <xf numFmtId="0" fontId="75" fillId="0" borderId="0" xfId="455" applyFont="1" applyAlignment="1">
      <alignment vertical="top"/>
    </xf>
    <xf numFmtId="0" fontId="75" fillId="0" borderId="0" xfId="455" applyFont="1" applyAlignment="1">
      <alignment horizontal="left" vertical="top"/>
    </xf>
    <xf numFmtId="185" fontId="75" fillId="0" borderId="0" xfId="455" applyNumberFormat="1" applyFont="1" applyAlignment="1">
      <alignment horizontal="center" vertical="center"/>
    </xf>
    <xf numFmtId="182" fontId="75" fillId="0" borderId="0" xfId="455" applyNumberFormat="1" applyFont="1" applyAlignment="1">
      <alignment horizontal="center" vertical="center"/>
    </xf>
    <xf numFmtId="186" fontId="75" fillId="0" borderId="0" xfId="238" applyNumberFormat="1" applyFont="1" applyAlignment="1">
      <alignment horizontal="center" vertical="top"/>
    </xf>
    <xf numFmtId="185" fontId="75" fillId="0" borderId="0" xfId="173" applyNumberFormat="1" applyFont="1" applyAlignment="1">
      <alignment horizontal="center" vertical="top"/>
    </xf>
    <xf numFmtId="185" fontId="75" fillId="0" borderId="0" xfId="0" applyNumberFormat="1" applyFont="1" applyAlignment="1">
      <alignment horizontal="center" vertical="top"/>
    </xf>
    <xf numFmtId="185" fontId="75" fillId="21" borderId="0" xfId="0" applyNumberFormat="1" applyFont="1" applyFill="1" applyAlignment="1">
      <alignment horizontal="center" vertical="top"/>
    </xf>
    <xf numFmtId="2" fontId="50"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1" fontId="1" fillId="0" borderId="0" xfId="144" applyNumberFormat="1" applyAlignment="1">
      <alignment vertical="center"/>
    </xf>
    <xf numFmtId="0" fontId="101" fillId="0" borderId="0" xfId="455" applyFont="1" applyAlignment="1">
      <alignment horizontal="left" vertical="top"/>
    </xf>
    <xf numFmtId="185" fontId="101" fillId="0" borderId="0" xfId="455" applyNumberFormat="1" applyFont="1" applyAlignment="1">
      <alignment horizontal="center" vertical="center"/>
    </xf>
    <xf numFmtId="182" fontId="101" fillId="0" borderId="0" xfId="455" applyNumberFormat="1" applyFont="1" applyAlignment="1">
      <alignment horizontal="center" vertical="center"/>
    </xf>
    <xf numFmtId="0" fontId="101" fillId="0" borderId="0" xfId="173" applyFont="1" applyAlignment="1">
      <alignment horizontal="left" vertical="top"/>
    </xf>
    <xf numFmtId="185" fontId="101" fillId="0" borderId="0" xfId="173" applyNumberFormat="1" applyFont="1" applyAlignment="1">
      <alignment horizontal="center" vertical="top"/>
    </xf>
    <xf numFmtId="185" fontId="101" fillId="0" borderId="0" xfId="0" applyNumberFormat="1" applyFont="1" applyAlignment="1">
      <alignment horizontal="center" vertical="top"/>
    </xf>
    <xf numFmtId="185" fontId="101" fillId="21" borderId="0" xfId="0" applyNumberFormat="1" applyFont="1" applyFill="1" applyAlignment="1">
      <alignment horizontal="center" vertical="top"/>
    </xf>
    <xf numFmtId="2" fontId="76" fillId="0" borderId="0" xfId="0" applyNumberFormat="1" applyFont="1" applyAlignment="1">
      <alignment horizontal="center"/>
    </xf>
    <xf numFmtId="2" fontId="40" fillId="0" borderId="0" xfId="0" applyNumberFormat="1" applyFont="1"/>
    <xf numFmtId="0" fontId="101" fillId="0" borderId="0" xfId="238" applyFont="1" applyAlignment="1">
      <alignment horizontal="left" vertical="top"/>
    </xf>
    <xf numFmtId="186" fontId="101" fillId="0" borderId="0" xfId="238" applyNumberFormat="1" applyFont="1" applyAlignment="1">
      <alignment horizontal="center" vertical="top"/>
    </xf>
    <xf numFmtId="0" fontId="187" fillId="0" borderId="0" xfId="144" applyFont="1" applyAlignment="1">
      <alignment vertical="center"/>
    </xf>
    <xf numFmtId="2" fontId="187" fillId="0" borderId="0" xfId="144" applyNumberFormat="1" applyFont="1" applyAlignment="1">
      <alignment vertical="center"/>
    </xf>
    <xf numFmtId="0" fontId="187" fillId="0" borderId="0" xfId="144" applyFont="1" applyAlignment="1">
      <alignment horizontal="center" vertical="center"/>
    </xf>
    <xf numFmtId="171" fontId="187" fillId="0" borderId="0" xfId="144" applyNumberFormat="1" applyFont="1" applyAlignment="1">
      <alignment vertical="center"/>
    </xf>
    <xf numFmtId="0" fontId="101" fillId="0" borderId="132" xfId="455" applyFont="1" applyBorder="1" applyAlignment="1">
      <alignment horizontal="left" vertical="top"/>
    </xf>
    <xf numFmtId="185" fontId="101" fillId="0" borderId="132" xfId="455" applyNumberFormat="1" applyFont="1" applyBorder="1" applyAlignment="1">
      <alignment horizontal="center" vertical="center"/>
    </xf>
    <xf numFmtId="182" fontId="101" fillId="0" borderId="132" xfId="455" applyNumberFormat="1" applyFont="1" applyBorder="1" applyAlignment="1">
      <alignment horizontal="center" vertical="center"/>
    </xf>
    <xf numFmtId="185" fontId="101" fillId="21" borderId="0" xfId="173" applyNumberFormat="1" applyFont="1" applyFill="1" applyAlignment="1">
      <alignment horizontal="center" vertical="top"/>
    </xf>
    <xf numFmtId="0" fontId="101" fillId="0" borderId="16" xfId="238" applyFont="1" applyBorder="1" applyAlignment="1">
      <alignment horizontal="left" vertical="top"/>
    </xf>
    <xf numFmtId="186" fontId="101" fillId="0" borderId="16" xfId="238" applyNumberFormat="1" applyFont="1" applyBorder="1" applyAlignment="1">
      <alignment horizontal="center" vertical="top"/>
    </xf>
    <xf numFmtId="185" fontId="101" fillId="0" borderId="16" xfId="173" applyNumberFormat="1" applyFont="1" applyBorder="1" applyAlignment="1">
      <alignment horizontal="center" vertical="top"/>
    </xf>
    <xf numFmtId="185" fontId="75" fillId="0" borderId="0" xfId="238" applyNumberFormat="1" applyFont="1" applyAlignment="1">
      <alignment horizontal="right" vertical="top"/>
    </xf>
    <xf numFmtId="182" fontId="75" fillId="0" borderId="0" xfId="238" applyNumberFormat="1" applyFont="1" applyAlignment="1">
      <alignment horizontal="right" vertical="top"/>
    </xf>
    <xf numFmtId="186" fontId="75" fillId="0" borderId="0" xfId="238" applyNumberFormat="1" applyFont="1" applyAlignment="1">
      <alignment horizontal="right" vertical="top"/>
    </xf>
    <xf numFmtId="0" fontId="101" fillId="0" borderId="16" xfId="173" applyFont="1" applyBorder="1" applyAlignment="1">
      <alignment horizontal="left" vertical="top"/>
    </xf>
    <xf numFmtId="185" fontId="101" fillId="0" borderId="16" xfId="0" applyNumberFormat="1" applyFont="1" applyBorder="1" applyAlignment="1">
      <alignment horizontal="center" vertical="top"/>
    </xf>
    <xf numFmtId="185" fontId="101" fillId="21" borderId="16" xfId="0" applyNumberFormat="1" applyFont="1" applyFill="1" applyBorder="1" applyAlignment="1">
      <alignment horizontal="center" vertical="top"/>
    </xf>
    <xf numFmtId="0" fontId="88" fillId="0" borderId="0" xfId="0" applyFont="1"/>
    <xf numFmtId="2" fontId="76" fillId="0" borderId="16" xfId="0" applyNumberFormat="1" applyFont="1" applyBorder="1" applyAlignment="1">
      <alignment horizontal="center"/>
    </xf>
    <xf numFmtId="0" fontId="1" fillId="0" borderId="132" xfId="144" applyBorder="1" applyAlignment="1">
      <alignment vertical="center"/>
    </xf>
    <xf numFmtId="0" fontId="1" fillId="0" borderId="132" xfId="144" applyBorder="1" applyAlignment="1">
      <alignment horizontal="center" vertical="center"/>
    </xf>
    <xf numFmtId="0" fontId="187" fillId="0" borderId="132" xfId="144" applyFont="1" applyBorder="1" applyAlignment="1">
      <alignment vertical="center"/>
    </xf>
    <xf numFmtId="2" fontId="187" fillId="0" borderId="132" xfId="144" applyNumberFormat="1" applyFont="1" applyBorder="1" applyAlignment="1">
      <alignment vertical="center"/>
    </xf>
    <xf numFmtId="1" fontId="1" fillId="0" borderId="132" xfId="144" applyNumberFormat="1" applyBorder="1" applyAlignment="1">
      <alignment horizontal="center" vertical="center"/>
    </xf>
    <xf numFmtId="171" fontId="187" fillId="21" borderId="132" xfId="144" applyNumberFormat="1" applyFont="1" applyFill="1" applyBorder="1" applyAlignment="1">
      <alignment vertical="center"/>
    </xf>
    <xf numFmtId="0" fontId="1" fillId="0" borderId="0" xfId="144"/>
    <xf numFmtId="0" fontId="1" fillId="0" borderId="0" xfId="144" applyAlignment="1">
      <alignment horizontal="center"/>
    </xf>
    <xf numFmtId="0" fontId="101" fillId="0" borderId="0" xfId="173" applyFont="1" applyAlignment="1">
      <alignment vertical="center"/>
    </xf>
    <xf numFmtId="0" fontId="75" fillId="0" borderId="16" xfId="238" applyFont="1" applyBorder="1" applyAlignment="1">
      <alignment horizontal="center"/>
    </xf>
    <xf numFmtId="186" fontId="101" fillId="0" borderId="16" xfId="238" applyNumberFormat="1" applyFont="1" applyBorder="1" applyAlignment="1">
      <alignment horizontal="center"/>
    </xf>
    <xf numFmtId="0" fontId="101" fillId="0" borderId="0" xfId="173" applyFont="1" applyAlignment="1">
      <alignment horizontal="center" vertical="center"/>
    </xf>
    <xf numFmtId="0" fontId="75" fillId="0" borderId="0" xfId="238" applyFont="1" applyAlignment="1">
      <alignment horizontal="center" vertical="center"/>
    </xf>
    <xf numFmtId="0" fontId="101" fillId="0" borderId="0" xfId="173" applyFont="1" applyAlignment="1">
      <alignment horizontal="center"/>
    </xf>
    <xf numFmtId="185" fontId="75" fillId="21" borderId="0" xfId="173" applyNumberFormat="1" applyFont="1" applyFill="1" applyAlignment="1">
      <alignment horizontal="center" vertical="top"/>
    </xf>
    <xf numFmtId="0" fontId="75" fillId="0" borderId="16" xfId="455" applyFont="1" applyBorder="1" applyAlignment="1">
      <alignment vertical="top"/>
    </xf>
    <xf numFmtId="0" fontId="101" fillId="0" borderId="16" xfId="455" applyFont="1" applyBorder="1" applyAlignment="1">
      <alignment horizontal="left" vertical="top"/>
    </xf>
    <xf numFmtId="185" fontId="101" fillId="0" borderId="142" xfId="455" applyNumberFormat="1" applyFont="1" applyBorder="1" applyAlignment="1">
      <alignment horizontal="center" vertical="center"/>
    </xf>
    <xf numFmtId="182" fontId="101" fillId="0" borderId="142" xfId="455" applyNumberFormat="1" applyFont="1" applyBorder="1" applyAlignment="1">
      <alignment horizontal="center" vertical="center"/>
    </xf>
    <xf numFmtId="185" fontId="99" fillId="44" borderId="142" xfId="455" applyNumberFormat="1" applyFont="1" applyFill="1" applyBorder="1" applyAlignment="1">
      <alignment horizontal="center" vertical="center"/>
    </xf>
    <xf numFmtId="0" fontId="75" fillId="0" borderId="0" xfId="173" applyFont="1" applyAlignment="1">
      <alignment horizontal="center"/>
    </xf>
    <xf numFmtId="185" fontId="101" fillId="44" borderId="16" xfId="173" applyNumberFormat="1" applyFont="1" applyFill="1" applyBorder="1" applyAlignment="1">
      <alignment horizontal="center" vertical="top"/>
    </xf>
    <xf numFmtId="185" fontId="101" fillId="21" borderId="16" xfId="173" applyNumberFormat="1" applyFont="1" applyFill="1" applyBorder="1" applyAlignment="1">
      <alignment horizontal="center" vertical="top"/>
    </xf>
    <xf numFmtId="0" fontId="74" fillId="0" borderId="0" xfId="238" applyFont="1" applyAlignment="1">
      <alignment horizontal="left" vertical="top"/>
    </xf>
    <xf numFmtId="185" fontId="74" fillId="0" borderId="0" xfId="238" applyNumberFormat="1" applyFont="1" applyAlignment="1">
      <alignment horizontal="right" vertical="top"/>
    </xf>
    <xf numFmtId="182" fontId="74" fillId="0" borderId="0" xfId="238" applyNumberFormat="1" applyFont="1" applyAlignment="1">
      <alignment horizontal="right" vertical="top"/>
    </xf>
    <xf numFmtId="186" fontId="74" fillId="0" borderId="0" xfId="238" applyNumberFormat="1" applyFont="1" applyAlignment="1">
      <alignment horizontal="right" vertical="top"/>
    </xf>
    <xf numFmtId="2" fontId="50" fillId="0" borderId="0" xfId="0" applyNumberFormat="1" applyFont="1"/>
    <xf numFmtId="2" fontId="76" fillId="21" borderId="16" xfId="0" applyNumberFormat="1" applyFont="1" applyFill="1" applyBorder="1" applyAlignment="1">
      <alignment horizontal="center"/>
    </xf>
    <xf numFmtId="0" fontId="1" fillId="0" borderId="0" xfId="211" applyAlignment="1">
      <alignment horizontal="left"/>
    </xf>
    <xf numFmtId="185" fontId="74" fillId="0" borderId="0" xfId="238" applyNumberFormat="1" applyFont="1" applyAlignment="1">
      <alignment horizontal="center" vertical="top"/>
    </xf>
    <xf numFmtId="182" fontId="74" fillId="0" borderId="0" xfId="238" applyNumberFormat="1" applyFont="1" applyAlignment="1">
      <alignment horizontal="center" vertical="top"/>
    </xf>
    <xf numFmtId="186" fontId="74" fillId="0" borderId="0" xfId="238" applyNumberFormat="1" applyFont="1" applyAlignment="1">
      <alignment horizontal="center" vertical="top"/>
    </xf>
    <xf numFmtId="0" fontId="75" fillId="0" borderId="0" xfId="456" applyFont="1" applyAlignment="1">
      <alignment vertical="center"/>
    </xf>
    <xf numFmtId="0" fontId="187" fillId="0" borderId="0" xfId="0" applyFont="1" applyAlignment="1">
      <alignment horizontal="center"/>
    </xf>
    <xf numFmtId="0" fontId="61" fillId="0" borderId="0" xfId="456" applyFont="1" applyAlignment="1">
      <alignment vertical="center"/>
    </xf>
    <xf numFmtId="0" fontId="75" fillId="0" borderId="0" xfId="798" applyFont="1" applyAlignment="1">
      <alignment horizontal="center" vertical="center" wrapText="1"/>
    </xf>
    <xf numFmtId="0" fontId="101" fillId="0" borderId="16" xfId="456" applyFont="1" applyBorder="1" applyAlignment="1">
      <alignment horizontal="center" vertical="center"/>
    </xf>
    <xf numFmtId="0" fontId="188" fillId="44" borderId="16" xfId="238" applyFont="1" applyFill="1" applyBorder="1" applyAlignment="1">
      <alignment horizontal="center" vertical="center"/>
    </xf>
    <xf numFmtId="0" fontId="101" fillId="0" borderId="16" xfId="238" applyFont="1" applyBorder="1"/>
    <xf numFmtId="0" fontId="101" fillId="0" borderId="16" xfId="798" applyFont="1" applyBorder="1" applyAlignment="1">
      <alignment horizontal="center" vertical="center" wrapText="1"/>
    </xf>
    <xf numFmtId="0" fontId="194" fillId="0" borderId="132" xfId="144" applyFont="1" applyBorder="1" applyAlignment="1">
      <alignment horizontal="center" vertical="center"/>
    </xf>
    <xf numFmtId="0" fontId="194" fillId="0" borderId="132" xfId="144" applyFont="1" applyBorder="1" applyAlignment="1">
      <alignment horizontal="center" vertical="center" wrapText="1"/>
    </xf>
    <xf numFmtId="0" fontId="194" fillId="0" borderId="132" xfId="144" applyFont="1" applyBorder="1" applyAlignment="1">
      <alignment horizontal="center" wrapText="1"/>
    </xf>
    <xf numFmtId="0" fontId="75" fillId="0" borderId="0" xfId="456" applyFont="1" applyAlignment="1">
      <alignment horizontal="center" vertical="center"/>
    </xf>
    <xf numFmtId="0" fontId="75" fillId="0" borderId="0" xfId="456" applyFont="1" applyAlignment="1">
      <alignment horizontal="left" vertical="center"/>
    </xf>
    <xf numFmtId="185" fontId="75" fillId="0" borderId="0" xfId="456" applyNumberFormat="1" applyFont="1" applyAlignment="1">
      <alignment horizontal="center" vertical="center"/>
    </xf>
    <xf numFmtId="182" fontId="75" fillId="0" borderId="0" xfId="456" applyNumberFormat="1" applyFont="1" applyAlignment="1">
      <alignment horizontal="center" vertical="center"/>
    </xf>
    <xf numFmtId="185" fontId="51" fillId="0" borderId="0" xfId="0" applyNumberFormat="1" applyFont="1" applyAlignment="1">
      <alignment horizontal="center" vertical="center"/>
    </xf>
    <xf numFmtId="2" fontId="75" fillId="0" borderId="0" xfId="238" applyNumberFormat="1" applyFont="1" applyAlignment="1">
      <alignment horizontal="center" vertical="top"/>
    </xf>
    <xf numFmtId="0" fontId="75" fillId="0" borderId="0" xfId="798" applyFont="1" applyAlignment="1">
      <alignment vertical="top"/>
    </xf>
    <xf numFmtId="0" fontId="75" fillId="0" borderId="0" xfId="798" applyFont="1" applyAlignment="1">
      <alignment horizontal="left" vertical="top"/>
    </xf>
    <xf numFmtId="185" fontId="75" fillId="0" borderId="0" xfId="798" applyNumberFormat="1" applyFont="1" applyAlignment="1">
      <alignment horizontal="center" vertical="top"/>
    </xf>
    <xf numFmtId="182" fontId="75" fillId="0" borderId="0" xfId="798" applyNumberFormat="1" applyFont="1" applyAlignment="1">
      <alignment horizontal="center" vertical="top"/>
    </xf>
    <xf numFmtId="0" fontId="41" fillId="0" borderId="0" xfId="144" applyFont="1"/>
    <xf numFmtId="0" fontId="41" fillId="0" borderId="0" xfId="144" applyFont="1" applyAlignment="1">
      <alignment horizontal="center"/>
    </xf>
    <xf numFmtId="2" fontId="41" fillId="0" borderId="0" xfId="144" applyNumberFormat="1" applyFont="1"/>
    <xf numFmtId="1" fontId="41" fillId="0" borderId="0" xfId="144" applyNumberFormat="1" applyFont="1" applyAlignment="1">
      <alignment horizontal="center"/>
    </xf>
    <xf numFmtId="185" fontId="101" fillId="0" borderId="0" xfId="798" applyNumberFormat="1" applyFont="1" applyAlignment="1">
      <alignment horizontal="center" vertical="top"/>
    </xf>
    <xf numFmtId="0" fontId="101" fillId="0" borderId="0" xfId="798" applyFont="1" applyAlignment="1">
      <alignment horizontal="left" vertical="top"/>
    </xf>
    <xf numFmtId="182" fontId="101" fillId="0" borderId="0" xfId="798" applyNumberFormat="1" applyFont="1" applyAlignment="1">
      <alignment horizontal="center" vertical="top"/>
    </xf>
    <xf numFmtId="171" fontId="76" fillId="0" borderId="0" xfId="0" applyNumberFormat="1" applyFont="1" applyAlignment="1">
      <alignment horizontal="center"/>
    </xf>
    <xf numFmtId="2" fontId="76" fillId="0" borderId="0" xfId="0" applyNumberFormat="1" applyFont="1"/>
    <xf numFmtId="2" fontId="41" fillId="0" borderId="0" xfId="144" applyNumberFormat="1" applyFont="1" applyAlignment="1">
      <alignment horizontal="center"/>
    </xf>
    <xf numFmtId="2" fontId="91" fillId="0" borderId="0" xfId="144" applyNumberFormat="1" applyFont="1"/>
    <xf numFmtId="187" fontId="75" fillId="0" borderId="0" xfId="238" applyNumberFormat="1" applyFont="1" applyAlignment="1">
      <alignment horizontal="center" vertical="top"/>
    </xf>
    <xf numFmtId="188" fontId="75" fillId="0" borderId="0" xfId="238" applyNumberFormat="1" applyFont="1" applyAlignment="1">
      <alignment horizontal="center" vertical="top"/>
    </xf>
    <xf numFmtId="0" fontId="101" fillId="0" borderId="0" xfId="456" applyFont="1" applyAlignment="1">
      <alignment horizontal="left" vertical="center"/>
    </xf>
    <xf numFmtId="185" fontId="101" fillId="0" borderId="0" xfId="456" applyNumberFormat="1" applyFont="1" applyAlignment="1">
      <alignment horizontal="center" vertical="center"/>
    </xf>
    <xf numFmtId="182" fontId="101" fillId="0" borderId="0" xfId="456" applyNumberFormat="1" applyFont="1" applyAlignment="1">
      <alignment horizontal="center" vertical="center"/>
    </xf>
    <xf numFmtId="185" fontId="99" fillId="0" borderId="0" xfId="0" applyNumberFormat="1" applyFont="1" applyAlignment="1">
      <alignment horizontal="center" vertical="center"/>
    </xf>
    <xf numFmtId="0" fontId="63" fillId="0" borderId="0" xfId="144" applyFont="1"/>
    <xf numFmtId="187" fontId="101" fillId="0" borderId="0" xfId="238" applyNumberFormat="1" applyFont="1" applyAlignment="1">
      <alignment horizontal="center" vertical="top"/>
    </xf>
    <xf numFmtId="0" fontId="101" fillId="0" borderId="132" xfId="238" applyFont="1" applyBorder="1" applyAlignment="1">
      <alignment horizontal="left" vertical="top"/>
    </xf>
    <xf numFmtId="185" fontId="101" fillId="0" borderId="132" xfId="238" applyNumberFormat="1" applyFont="1" applyBorder="1" applyAlignment="1">
      <alignment horizontal="center" vertical="top"/>
    </xf>
    <xf numFmtId="182" fontId="101" fillId="0" borderId="132" xfId="238" applyNumberFormat="1" applyFont="1" applyBorder="1" applyAlignment="1">
      <alignment horizontal="center" vertical="top"/>
    </xf>
    <xf numFmtId="186" fontId="101" fillId="0" borderId="132" xfId="238" applyNumberFormat="1" applyFont="1" applyBorder="1" applyAlignment="1">
      <alignment horizontal="center" vertical="top"/>
    </xf>
    <xf numFmtId="185" fontId="101" fillId="0" borderId="132" xfId="798" applyNumberFormat="1" applyFont="1" applyBorder="1" applyAlignment="1">
      <alignment horizontal="center" vertical="top"/>
    </xf>
    <xf numFmtId="0" fontId="75" fillId="0" borderId="132" xfId="798" applyFont="1" applyBorder="1" applyAlignment="1">
      <alignment vertical="top"/>
    </xf>
    <xf numFmtId="0" fontId="101" fillId="0" borderId="132" xfId="798" applyFont="1" applyBorder="1" applyAlignment="1">
      <alignment horizontal="left" vertical="top"/>
    </xf>
    <xf numFmtId="182" fontId="101" fillId="0" borderId="132" xfId="798" applyNumberFormat="1" applyFont="1" applyBorder="1" applyAlignment="1">
      <alignment horizontal="center" vertical="top"/>
    </xf>
    <xf numFmtId="0" fontId="50" fillId="0" borderId="132" xfId="0" applyFont="1" applyBorder="1" applyAlignment="1">
      <alignment horizontal="center"/>
    </xf>
    <xf numFmtId="0" fontId="76" fillId="0" borderId="132" xfId="0" applyFont="1" applyBorder="1"/>
    <xf numFmtId="0" fontId="76" fillId="0" borderId="132" xfId="0" applyFont="1" applyBorder="1" applyAlignment="1">
      <alignment horizontal="center"/>
    </xf>
    <xf numFmtId="2" fontId="76" fillId="0" borderId="132" xfId="0" applyNumberFormat="1" applyFont="1" applyBorder="1" applyAlignment="1">
      <alignment horizontal="center"/>
    </xf>
    <xf numFmtId="0" fontId="41" fillId="0" borderId="132" xfId="144" applyFont="1" applyBorder="1"/>
    <xf numFmtId="0" fontId="41" fillId="0" borderId="132" xfId="144" applyFont="1" applyBorder="1" applyAlignment="1">
      <alignment horizontal="center"/>
    </xf>
    <xf numFmtId="0" fontId="194" fillId="0" borderId="132" xfId="144" applyFont="1" applyBorder="1"/>
    <xf numFmtId="2" fontId="194" fillId="0" borderId="132" xfId="144" applyNumberFormat="1" applyFont="1" applyBorder="1"/>
    <xf numFmtId="0" fontId="194" fillId="0" borderId="132" xfId="144" applyFont="1" applyBorder="1" applyAlignment="1">
      <alignment horizontal="center"/>
    </xf>
    <xf numFmtId="1" fontId="41" fillId="0" borderId="132" xfId="144" applyNumberFormat="1" applyFont="1" applyBorder="1" applyAlignment="1">
      <alignment horizontal="center"/>
    </xf>
    <xf numFmtId="0" fontId="101" fillId="0" borderId="132" xfId="456" applyFont="1" applyBorder="1" applyAlignment="1">
      <alignment horizontal="left" vertical="center"/>
    </xf>
    <xf numFmtId="185" fontId="101" fillId="0" borderId="132" xfId="456" applyNumberFormat="1" applyFont="1" applyBorder="1" applyAlignment="1">
      <alignment horizontal="center" vertical="center"/>
    </xf>
    <xf numFmtId="182" fontId="101" fillId="0" borderId="132" xfId="456" applyNumberFormat="1" applyFont="1" applyBorder="1" applyAlignment="1">
      <alignment horizontal="center" vertical="center"/>
    </xf>
    <xf numFmtId="185" fontId="99" fillId="0" borderId="132" xfId="0" applyNumberFormat="1" applyFont="1" applyBorder="1" applyAlignment="1">
      <alignment horizontal="center" vertical="center"/>
    </xf>
    <xf numFmtId="187" fontId="101" fillId="0" borderId="132" xfId="238" applyNumberFormat="1" applyFont="1" applyBorder="1" applyAlignment="1">
      <alignment horizontal="center" vertical="top"/>
    </xf>
    <xf numFmtId="2" fontId="76" fillId="0" borderId="16" xfId="0" applyNumberFormat="1" applyFont="1" applyBorder="1" applyAlignment="1">
      <alignment horizontal="center" vertical="center"/>
    </xf>
    <xf numFmtId="0" fontId="194" fillId="0" borderId="0" xfId="144" applyFont="1"/>
    <xf numFmtId="2" fontId="194" fillId="0" borderId="0" xfId="144" applyNumberFormat="1" applyFont="1"/>
    <xf numFmtId="0" fontId="194" fillId="0" borderId="0" xfId="144" applyFont="1" applyAlignment="1">
      <alignment horizontal="center"/>
    </xf>
    <xf numFmtId="187" fontId="75" fillId="0" borderId="0" xfId="238" applyNumberFormat="1" applyFont="1" applyAlignment="1">
      <alignment horizontal="right" vertical="top"/>
    </xf>
    <xf numFmtId="0" fontId="75" fillId="0" borderId="16" xfId="798" applyFont="1" applyBorder="1" applyAlignment="1">
      <alignment vertical="top"/>
    </xf>
    <xf numFmtId="0" fontId="101" fillId="0" borderId="16" xfId="798" applyFont="1" applyBorder="1" applyAlignment="1">
      <alignment horizontal="left" vertical="top"/>
    </xf>
    <xf numFmtId="185" fontId="101" fillId="0" borderId="16" xfId="798" applyNumberFormat="1" applyFont="1" applyBorder="1" applyAlignment="1">
      <alignment horizontal="center" vertical="top"/>
    </xf>
    <xf numFmtId="182" fontId="101" fillId="0" borderId="16" xfId="798" applyNumberFormat="1" applyFont="1" applyBorder="1" applyAlignment="1">
      <alignment horizontal="center" vertical="top"/>
    </xf>
    <xf numFmtId="171" fontId="194" fillId="21" borderId="132" xfId="144" applyNumberFormat="1" applyFont="1" applyFill="1" applyBorder="1"/>
    <xf numFmtId="185" fontId="101" fillId="0" borderId="16" xfId="238" applyNumberFormat="1" applyFont="1" applyBorder="1" applyAlignment="1">
      <alignment horizontal="center"/>
    </xf>
    <xf numFmtId="2" fontId="50" fillId="0" borderId="0" xfId="0" applyNumberFormat="1" applyFont="1" applyAlignment="1">
      <alignment horizontal="center" vertical="center"/>
    </xf>
    <xf numFmtId="0" fontId="75" fillId="0" borderId="0" xfId="798" applyFont="1" applyAlignment="1">
      <alignment horizontal="center" vertical="center"/>
    </xf>
    <xf numFmtId="185" fontId="75" fillId="0" borderId="0" xfId="798" applyNumberFormat="1" applyFont="1" applyAlignment="1">
      <alignment horizontal="center" vertical="center"/>
    </xf>
    <xf numFmtId="182" fontId="75" fillId="0" borderId="0" xfId="798" applyNumberFormat="1" applyFont="1" applyAlignment="1">
      <alignment horizontal="center" vertical="center"/>
    </xf>
    <xf numFmtId="2" fontId="76" fillId="44" borderId="16" xfId="0" applyNumberFormat="1" applyFont="1" applyFill="1" applyBorder="1" applyAlignment="1">
      <alignment horizontal="center" vertical="center"/>
    </xf>
    <xf numFmtId="0" fontId="101" fillId="0" borderId="16" xfId="798" applyFont="1" applyBorder="1" applyAlignment="1">
      <alignment horizontal="center" vertical="center"/>
    </xf>
    <xf numFmtId="185" fontId="101" fillId="0" borderId="16" xfId="798" applyNumberFormat="1" applyFont="1" applyBorder="1" applyAlignment="1">
      <alignment horizontal="center" vertical="center"/>
    </xf>
    <xf numFmtId="2" fontId="76" fillId="21" borderId="16" xfId="0" applyNumberFormat="1" applyFont="1" applyFill="1" applyBorder="1" applyAlignment="1">
      <alignment horizontal="center" vertical="center"/>
    </xf>
    <xf numFmtId="182" fontId="101" fillId="0" borderId="16" xfId="798" applyNumberFormat="1" applyFont="1" applyBorder="1" applyAlignment="1">
      <alignment horizontal="center" vertical="center"/>
    </xf>
    <xf numFmtId="0" fontId="75" fillId="0" borderId="16" xfId="456" applyFont="1" applyBorder="1" applyAlignment="1">
      <alignment horizontal="center" vertical="center"/>
    </xf>
    <xf numFmtId="0" fontId="101" fillId="0" borderId="16" xfId="456" applyFont="1" applyBorder="1" applyAlignment="1">
      <alignment horizontal="left" vertical="center"/>
    </xf>
    <xf numFmtId="185" fontId="101" fillId="0" borderId="16" xfId="456" applyNumberFormat="1" applyFont="1" applyBorder="1" applyAlignment="1">
      <alignment horizontal="center" vertical="center"/>
    </xf>
    <xf numFmtId="182" fontId="101" fillId="0" borderId="16" xfId="456" applyNumberFormat="1" applyFont="1" applyBorder="1" applyAlignment="1">
      <alignment horizontal="center" vertical="center"/>
    </xf>
    <xf numFmtId="185" fontId="99" fillId="44" borderId="16" xfId="0" applyNumberFormat="1" applyFont="1" applyFill="1" applyBorder="1" applyAlignment="1">
      <alignment horizontal="center" vertical="center"/>
    </xf>
    <xf numFmtId="0" fontId="75" fillId="0" borderId="145" xfId="798" applyFont="1" applyBorder="1" applyAlignment="1">
      <alignment horizontal="left" vertical="top"/>
    </xf>
    <xf numFmtId="185" fontId="75" fillId="0" borderId="145" xfId="798" applyNumberFormat="1" applyFont="1" applyBorder="1" applyAlignment="1">
      <alignment horizontal="center" vertical="top"/>
    </xf>
    <xf numFmtId="182" fontId="75" fillId="0" borderId="145" xfId="798" applyNumberFormat="1" applyFont="1" applyBorder="1" applyAlignment="1">
      <alignment horizontal="center" vertical="top"/>
    </xf>
    <xf numFmtId="0" fontId="1" fillId="0" borderId="0" xfId="211" applyAlignment="1">
      <alignment horizontal="left" vertical="top"/>
    </xf>
    <xf numFmtId="0" fontId="76" fillId="0" borderId="0" xfId="0" applyFont="1" applyAlignment="1">
      <alignment horizontal="left" vertical="center"/>
    </xf>
    <xf numFmtId="0" fontId="40" fillId="0" borderId="0" xfId="0" applyFont="1" applyAlignment="1">
      <alignment horizontal="left"/>
    </xf>
    <xf numFmtId="0" fontId="74" fillId="0" borderId="0" xfId="238" applyFont="1" applyAlignment="1">
      <alignment horizontal="center" vertical="top"/>
    </xf>
    <xf numFmtId="0" fontId="195" fillId="0" borderId="0" xfId="238" applyFont="1" applyAlignment="1">
      <alignment horizontal="left" vertical="center"/>
    </xf>
    <xf numFmtId="0" fontId="193" fillId="0" borderId="0" xfId="456" applyFont="1" applyAlignment="1">
      <alignment horizontal="center" vertical="center"/>
    </xf>
    <xf numFmtId="0" fontId="193" fillId="0" borderId="0" xfId="456" applyFont="1" applyAlignment="1">
      <alignment vertical="center"/>
    </xf>
    <xf numFmtId="0" fontId="32" fillId="0" borderId="0" xfId="456" applyFont="1" applyAlignment="1">
      <alignment horizontal="center" vertical="center"/>
    </xf>
    <xf numFmtId="0" fontId="32" fillId="0" borderId="0" xfId="456" applyFont="1" applyAlignment="1">
      <alignment vertical="center"/>
    </xf>
    <xf numFmtId="0" fontId="101" fillId="0" borderId="16" xfId="238" applyFont="1" applyBorder="1" applyAlignment="1">
      <alignment horizontal="center" vertical="center"/>
    </xf>
    <xf numFmtId="0" fontId="101" fillId="0" borderId="16" xfId="799" applyFont="1" applyBorder="1" applyAlignment="1">
      <alignment horizontal="center" vertical="center"/>
    </xf>
    <xf numFmtId="0" fontId="101" fillId="0" borderId="16" xfId="799" applyFont="1" applyBorder="1" applyAlignment="1">
      <alignment horizontal="center" vertical="center" wrapText="1"/>
    </xf>
    <xf numFmtId="0" fontId="99" fillId="0" borderId="16" xfId="0" applyFont="1" applyBorder="1" applyAlignment="1">
      <alignment vertical="center"/>
    </xf>
    <xf numFmtId="0" fontId="99" fillId="21" borderId="16" xfId="0" applyFont="1" applyFill="1" applyBorder="1" applyAlignment="1">
      <alignment horizontal="center" vertical="center" wrapText="1"/>
    </xf>
    <xf numFmtId="0" fontId="189" fillId="0" borderId="132" xfId="144" applyFont="1" applyBorder="1" applyAlignment="1">
      <alignment horizontal="center" vertical="center"/>
    </xf>
    <xf numFmtId="0" fontId="189" fillId="0" borderId="132" xfId="144" applyFont="1" applyBorder="1" applyAlignment="1">
      <alignment horizontal="center" vertical="center" wrapText="1"/>
    </xf>
    <xf numFmtId="0" fontId="189" fillId="0" borderId="132" xfId="144" applyFont="1" applyBorder="1" applyAlignment="1">
      <alignment vertical="center" wrapText="1"/>
    </xf>
    <xf numFmtId="0" fontId="75" fillId="0" borderId="0" xfId="457" applyFont="1" applyAlignment="1">
      <alignment horizontal="center" vertical="center"/>
    </xf>
    <xf numFmtId="0" fontId="75" fillId="0" borderId="0" xfId="457" applyFont="1" applyAlignment="1">
      <alignment horizontal="left" vertical="center"/>
    </xf>
    <xf numFmtId="185" fontId="75" fillId="0" borderId="0" xfId="457" applyNumberFormat="1" applyFont="1" applyAlignment="1">
      <alignment horizontal="center" vertical="center"/>
    </xf>
    <xf numFmtId="182" fontId="75" fillId="0" borderId="0" xfId="457" applyNumberFormat="1" applyFont="1" applyAlignment="1">
      <alignment horizontal="center" vertical="center"/>
    </xf>
    <xf numFmtId="0" fontId="75" fillId="0" borderId="0" xfId="799" applyFont="1" applyAlignment="1">
      <alignment horizontal="center" vertical="center"/>
    </xf>
    <xf numFmtId="0" fontId="75" fillId="0" borderId="0" xfId="799" applyFont="1" applyAlignment="1">
      <alignment horizontal="left" vertical="top"/>
    </xf>
    <xf numFmtId="185" fontId="75" fillId="0" borderId="0" xfId="799" applyNumberFormat="1" applyFont="1" applyAlignment="1">
      <alignment horizontal="center" vertical="center"/>
    </xf>
    <xf numFmtId="182" fontId="75" fillId="0" borderId="0" xfId="799" applyNumberFormat="1" applyFont="1" applyAlignment="1">
      <alignment horizontal="center" vertical="center"/>
    </xf>
    <xf numFmtId="185" fontId="75" fillId="0" borderId="0" xfId="799" applyNumberFormat="1" applyFont="1" applyAlignment="1">
      <alignment horizontal="center" vertical="top"/>
    </xf>
    <xf numFmtId="185" fontId="75" fillId="21" borderId="0" xfId="799" applyNumberFormat="1" applyFont="1" applyFill="1" applyAlignment="1">
      <alignment horizontal="center" vertical="center"/>
    </xf>
    <xf numFmtId="0" fontId="61" fillId="0" borderId="0" xfId="144" applyFont="1" applyAlignment="1">
      <alignment vertical="center"/>
    </xf>
    <xf numFmtId="0" fontId="61" fillId="0" borderId="0" xfId="144" applyFont="1" applyAlignment="1">
      <alignment horizontal="center" vertical="center"/>
    </xf>
    <xf numFmtId="2" fontId="61" fillId="0" borderId="0" xfId="144" applyNumberFormat="1" applyFont="1" applyAlignment="1">
      <alignment vertical="center"/>
    </xf>
    <xf numFmtId="1" fontId="61" fillId="0" borderId="0" xfId="144" applyNumberFormat="1" applyFont="1" applyAlignment="1">
      <alignment horizontal="center" vertical="center"/>
    </xf>
    <xf numFmtId="0" fontId="101" fillId="0" borderId="0" xfId="457" applyFont="1" applyAlignment="1">
      <alignment horizontal="left" vertical="center"/>
    </xf>
    <xf numFmtId="185" fontId="101" fillId="0" borderId="0" xfId="457" applyNumberFormat="1" applyFont="1" applyAlignment="1">
      <alignment horizontal="center" vertical="center"/>
    </xf>
    <xf numFmtId="182" fontId="101" fillId="0" borderId="0" xfId="457" applyNumberFormat="1" applyFont="1" applyAlignment="1">
      <alignment horizontal="center" vertical="center"/>
    </xf>
    <xf numFmtId="185" fontId="101" fillId="0" borderId="0" xfId="799" applyNumberFormat="1" applyFont="1" applyAlignment="1">
      <alignment horizontal="center" vertical="center"/>
    </xf>
    <xf numFmtId="0" fontId="101" fillId="0" borderId="0" xfId="799" applyFont="1" applyAlignment="1">
      <alignment horizontal="left" vertical="top"/>
    </xf>
    <xf numFmtId="182" fontId="101" fillId="0" borderId="0" xfId="799" applyNumberFormat="1" applyFont="1" applyAlignment="1">
      <alignment horizontal="center" vertical="center"/>
    </xf>
    <xf numFmtId="185" fontId="101" fillId="0" borderId="0" xfId="799" applyNumberFormat="1" applyFont="1" applyAlignment="1">
      <alignment horizontal="center" vertical="top"/>
    </xf>
    <xf numFmtId="185" fontId="101" fillId="21" borderId="0" xfId="799" applyNumberFormat="1" applyFont="1" applyFill="1" applyAlignment="1">
      <alignment horizontal="center" vertical="center"/>
    </xf>
    <xf numFmtId="0" fontId="99" fillId="0" borderId="0" xfId="0" applyFont="1" applyAlignment="1">
      <alignment vertical="center"/>
    </xf>
    <xf numFmtId="2" fontId="99" fillId="0" borderId="0" xfId="0" applyNumberFormat="1" applyFont="1" applyAlignment="1">
      <alignment horizontal="center" vertical="center"/>
    </xf>
    <xf numFmtId="2" fontId="99" fillId="0" borderId="0" xfId="0" applyNumberFormat="1" applyFont="1" applyAlignment="1">
      <alignment vertical="center"/>
    </xf>
    <xf numFmtId="2" fontId="189" fillId="0" borderId="0" xfId="144" applyNumberFormat="1" applyFont="1" applyAlignment="1">
      <alignment vertical="center"/>
    </xf>
    <xf numFmtId="0" fontId="101" fillId="0" borderId="132" xfId="457" applyFont="1" applyBorder="1" applyAlignment="1">
      <alignment horizontal="left" vertical="center"/>
    </xf>
    <xf numFmtId="185" fontId="101" fillId="0" borderId="132" xfId="457" applyNumberFormat="1" applyFont="1" applyBorder="1" applyAlignment="1">
      <alignment horizontal="center" vertical="center"/>
    </xf>
    <xf numFmtId="182" fontId="101" fillId="0" borderId="132" xfId="457" applyNumberFormat="1" applyFont="1" applyBorder="1" applyAlignment="1">
      <alignment horizontal="center" vertical="center"/>
    </xf>
    <xf numFmtId="185" fontId="101" fillId="0" borderId="132" xfId="799" applyNumberFormat="1" applyFont="1" applyBorder="1" applyAlignment="1">
      <alignment horizontal="center" vertical="center"/>
    </xf>
    <xf numFmtId="0" fontId="75" fillId="0" borderId="132" xfId="799" applyFont="1" applyBorder="1" applyAlignment="1">
      <alignment horizontal="center" vertical="center"/>
    </xf>
    <xf numFmtId="0" fontId="51" fillId="0" borderId="132" xfId="0" applyFont="1" applyBorder="1"/>
    <xf numFmtId="0" fontId="51" fillId="0" borderId="132" xfId="0" applyFont="1" applyBorder="1" applyAlignment="1">
      <alignment vertical="center"/>
    </xf>
    <xf numFmtId="0" fontId="99" fillId="0" borderId="132" xfId="0" applyFont="1" applyBorder="1" applyAlignment="1">
      <alignment vertical="center"/>
    </xf>
    <xf numFmtId="0" fontId="99" fillId="0" borderId="132" xfId="0" applyFont="1" applyBorder="1" applyAlignment="1">
      <alignment horizontal="center" vertical="center"/>
    </xf>
    <xf numFmtId="2" fontId="99" fillId="0" borderId="132" xfId="0" applyNumberFormat="1" applyFont="1" applyBorder="1" applyAlignment="1">
      <alignment horizontal="center" vertical="center"/>
    </xf>
    <xf numFmtId="0" fontId="189" fillId="0" borderId="0" xfId="144" applyFont="1" applyAlignment="1">
      <alignment vertical="center"/>
    </xf>
    <xf numFmtId="0" fontId="189" fillId="0" borderId="0" xfId="144" applyFont="1" applyAlignment="1">
      <alignment horizontal="center" vertical="center"/>
    </xf>
    <xf numFmtId="0" fontId="75" fillId="0" borderId="16" xfId="238" applyFont="1" applyBorder="1" applyAlignment="1">
      <alignment horizontal="center" vertical="top"/>
    </xf>
    <xf numFmtId="185" fontId="101" fillId="0" borderId="16" xfId="799" applyNumberFormat="1" applyFont="1" applyBorder="1" applyAlignment="1">
      <alignment horizontal="center" vertical="center"/>
    </xf>
    <xf numFmtId="0" fontId="75" fillId="0" borderId="16" xfId="799" applyFont="1" applyBorder="1" applyAlignment="1">
      <alignment horizontal="center" vertical="center"/>
    </xf>
    <xf numFmtId="0" fontId="101" fillId="0" borderId="16" xfId="799" applyFont="1" applyBorder="1" applyAlignment="1">
      <alignment horizontal="left" vertical="top"/>
    </xf>
    <xf numFmtId="182" fontId="101" fillId="0" borderId="16" xfId="799" applyNumberFormat="1" applyFont="1" applyBorder="1" applyAlignment="1">
      <alignment horizontal="center" vertical="center"/>
    </xf>
    <xf numFmtId="185" fontId="101" fillId="0" borderId="16" xfId="799" applyNumberFormat="1" applyFont="1" applyBorder="1" applyAlignment="1">
      <alignment horizontal="center" vertical="top"/>
    </xf>
    <xf numFmtId="185" fontId="101" fillId="21" borderId="16" xfId="799" applyNumberFormat="1" applyFont="1" applyFill="1" applyBorder="1" applyAlignment="1">
      <alignment horizontal="center" vertical="center"/>
    </xf>
    <xf numFmtId="0" fontId="51" fillId="0" borderId="16" xfId="0" applyFont="1" applyBorder="1" applyAlignment="1">
      <alignment vertical="center"/>
    </xf>
    <xf numFmtId="2" fontId="99" fillId="0" borderId="16" xfId="0" applyNumberFormat="1" applyFont="1" applyBorder="1" applyAlignment="1">
      <alignment horizontal="center" vertical="center"/>
    </xf>
    <xf numFmtId="0" fontId="75" fillId="0" borderId="0" xfId="799" applyFont="1" applyAlignment="1">
      <alignment vertical="top"/>
    </xf>
    <xf numFmtId="0" fontId="61" fillId="0" borderId="0" xfId="799" applyFont="1"/>
    <xf numFmtId="0" fontId="189" fillId="0" borderId="132" xfId="144" applyFont="1" applyBorder="1" applyAlignment="1">
      <alignment vertical="center"/>
    </xf>
    <xf numFmtId="2" fontId="189" fillId="0" borderId="132" xfId="144" applyNumberFormat="1" applyFont="1" applyBorder="1" applyAlignment="1">
      <alignment vertical="center"/>
    </xf>
    <xf numFmtId="1" fontId="61" fillId="0" borderId="132" xfId="144" applyNumberFormat="1" applyFont="1" applyBorder="1" applyAlignment="1">
      <alignment horizontal="center" vertical="center"/>
    </xf>
    <xf numFmtId="171" fontId="189" fillId="21" borderId="132" xfId="144" applyNumberFormat="1" applyFont="1" applyFill="1" applyBorder="1" applyAlignment="1">
      <alignment vertical="center"/>
    </xf>
    <xf numFmtId="0" fontId="75" fillId="0" borderId="16" xfId="457" applyFont="1" applyBorder="1" applyAlignment="1">
      <alignment horizontal="center" vertical="center"/>
    </xf>
    <xf numFmtId="0" fontId="101" fillId="0" borderId="16" xfId="457" applyFont="1" applyBorder="1" applyAlignment="1">
      <alignment horizontal="left" vertical="center"/>
    </xf>
    <xf numFmtId="185" fontId="101" fillId="0" borderId="16" xfId="457" applyNumberFormat="1" applyFont="1" applyBorder="1" applyAlignment="1">
      <alignment horizontal="center" vertical="center"/>
    </xf>
    <xf numFmtId="182" fontId="101" fillId="0" borderId="16" xfId="457" applyNumberFormat="1" applyFont="1" applyBorder="1" applyAlignment="1">
      <alignment horizontal="center" vertical="center"/>
    </xf>
    <xf numFmtId="0" fontId="38" fillId="0" borderId="0" xfId="0" applyFont="1" applyAlignment="1">
      <alignment horizontal="center"/>
    </xf>
    <xf numFmtId="185" fontId="101" fillId="44" borderId="16" xfId="799" applyNumberFormat="1" applyFont="1" applyFill="1" applyBorder="1" applyAlignment="1">
      <alignment horizontal="center" vertical="top"/>
    </xf>
    <xf numFmtId="185" fontId="101" fillId="21" borderId="16" xfId="799" applyNumberFormat="1" applyFont="1" applyFill="1" applyBorder="1" applyAlignment="1">
      <alignment horizontal="center" vertical="top"/>
    </xf>
    <xf numFmtId="182" fontId="101" fillId="0" borderId="16" xfId="799" applyNumberFormat="1" applyFont="1" applyBorder="1" applyAlignment="1">
      <alignment horizontal="center" vertical="top"/>
    </xf>
    <xf numFmtId="2" fontId="51" fillId="0" borderId="0" xfId="0" applyNumberFormat="1" applyFont="1" applyAlignment="1">
      <alignment vertical="center"/>
    </xf>
    <xf numFmtId="2" fontId="99" fillId="21" borderId="16" xfId="0" applyNumberFormat="1" applyFont="1" applyFill="1" applyBorder="1" applyAlignment="1">
      <alignment horizontal="center" vertical="center"/>
    </xf>
    <xf numFmtId="0" fontId="61" fillId="0" borderId="0" xfId="211" applyFont="1" applyAlignment="1">
      <alignment vertical="center"/>
    </xf>
    <xf numFmtId="0" fontId="60" fillId="0" borderId="0" xfId="0" applyFont="1"/>
    <xf numFmtId="171" fontId="181" fillId="0" borderId="132" xfId="0" applyNumberFormat="1" applyFont="1" applyBorder="1" applyAlignment="1">
      <alignment horizontal="center"/>
    </xf>
    <xf numFmtId="171" fontId="60" fillId="0" borderId="0" xfId="0" applyNumberFormat="1" applyFont="1" applyAlignment="1">
      <alignment horizontal="center" vertical="center"/>
    </xf>
    <xf numFmtId="171" fontId="181" fillId="0" borderId="0" xfId="0" applyNumberFormat="1" applyFont="1" applyAlignment="1">
      <alignment horizontal="center"/>
    </xf>
    <xf numFmtId="171" fontId="60" fillId="0" borderId="11" xfId="0" applyNumberFormat="1" applyFont="1" applyBorder="1" applyAlignment="1">
      <alignment horizontal="center" vertical="center"/>
    </xf>
    <xf numFmtId="171" fontId="60" fillId="0" borderId="118" xfId="0" applyNumberFormat="1" applyFont="1" applyBorder="1" applyAlignment="1">
      <alignment horizontal="center" vertical="center"/>
    </xf>
    <xf numFmtId="171" fontId="60" fillId="0" borderId="13" xfId="0" applyNumberFormat="1" applyFont="1" applyBorder="1" applyAlignment="1">
      <alignment horizontal="center" vertical="center"/>
    </xf>
    <xf numFmtId="171" fontId="181" fillId="0" borderId="13" xfId="0" applyNumberFormat="1" applyFont="1" applyBorder="1" applyAlignment="1">
      <alignment horizontal="center" vertical="center"/>
    </xf>
    <xf numFmtId="0" fontId="184" fillId="0" borderId="0" xfId="0" applyFont="1" applyAlignment="1">
      <alignment horizontal="center" vertical="top"/>
    </xf>
    <xf numFmtId="0" fontId="198" fillId="0" borderId="0" xfId="0" applyFont="1" applyAlignment="1">
      <alignment horizontal="center" vertical="center" wrapText="1"/>
    </xf>
    <xf numFmtId="0" fontId="81" fillId="20" borderId="103" xfId="797" applyFont="1" applyFill="1" applyBorder="1" applyAlignment="1">
      <alignment horizontal="center" vertical="center"/>
    </xf>
    <xf numFmtId="0" fontId="55" fillId="0" borderId="143" xfId="451" applyFont="1" applyBorder="1" applyAlignment="1">
      <alignment vertical="center"/>
    </xf>
    <xf numFmtId="168" fontId="42" fillId="0" borderId="118" xfId="228" applyNumberFormat="1" applyFont="1" applyBorder="1" applyAlignment="1">
      <alignment horizontal="center" vertical="center"/>
    </xf>
    <xf numFmtId="168" fontId="38" fillId="0" borderId="143" xfId="176" applyNumberFormat="1" applyBorder="1" applyAlignment="1">
      <alignment horizontal="center" vertical="center"/>
    </xf>
    <xf numFmtId="168" fontId="43" fillId="0" borderId="118" xfId="176" applyNumberFormat="1" applyFont="1" applyBorder="1" applyAlignment="1">
      <alignment horizontal="center" vertical="center"/>
    </xf>
    <xf numFmtId="168" fontId="43" fillId="0" borderId="143" xfId="176" applyNumberFormat="1" applyFont="1" applyBorder="1" applyAlignment="1">
      <alignment horizontal="center" vertical="center"/>
    </xf>
    <xf numFmtId="168" fontId="55" fillId="0" borderId="118" xfId="176" applyNumberFormat="1" applyFont="1" applyBorder="1" applyAlignment="1">
      <alignment horizontal="center" vertical="center"/>
    </xf>
    <xf numFmtId="168" fontId="43" fillId="0" borderId="50" xfId="228" applyNumberFormat="1" applyFont="1" applyBorder="1" applyAlignment="1">
      <alignment horizontal="center" vertical="center"/>
    </xf>
    <xf numFmtId="168" fontId="40" fillId="0" borderId="132" xfId="176" applyNumberFormat="1" applyFont="1" applyBorder="1" applyAlignment="1">
      <alignment horizontal="center" vertical="center"/>
    </xf>
    <xf numFmtId="168" fontId="43" fillId="0" borderId="50" xfId="176" applyNumberFormat="1" applyFont="1" applyBorder="1" applyAlignment="1">
      <alignment horizontal="center" vertical="center"/>
    </xf>
    <xf numFmtId="168" fontId="81" fillId="0" borderId="132" xfId="176" applyNumberFormat="1" applyFont="1" applyBorder="1" applyAlignment="1">
      <alignment horizontal="center" vertical="center"/>
    </xf>
    <xf numFmtId="168" fontId="81" fillId="0" borderId="50" xfId="176" applyNumberFormat="1" applyFont="1" applyBorder="1" applyAlignment="1">
      <alignment horizontal="center" vertical="center"/>
    </xf>
    <xf numFmtId="168" fontId="43" fillId="0" borderId="132" xfId="176" applyNumberFormat="1" applyFont="1" applyBorder="1" applyAlignment="1">
      <alignment horizontal="center" vertical="center"/>
    </xf>
    <xf numFmtId="168" fontId="43" fillId="20" borderId="103" xfId="228" applyNumberFormat="1" applyFont="1" applyFill="1" applyBorder="1" applyAlignment="1">
      <alignment horizontal="center" vertical="center"/>
    </xf>
    <xf numFmtId="168" fontId="40" fillId="20" borderId="125" xfId="176" applyNumberFormat="1" applyFont="1" applyFill="1" applyBorder="1" applyAlignment="1">
      <alignment horizontal="center" vertical="center"/>
    </xf>
    <xf numFmtId="168" fontId="43" fillId="20" borderId="125" xfId="176" applyNumberFormat="1" applyFont="1" applyFill="1" applyBorder="1" applyAlignment="1">
      <alignment horizontal="center" vertical="center"/>
    </xf>
    <xf numFmtId="168" fontId="81" fillId="20" borderId="103" xfId="176" applyNumberFormat="1" applyFont="1" applyFill="1" applyBorder="1" applyAlignment="1">
      <alignment horizontal="center" vertical="center"/>
    </xf>
    <xf numFmtId="0" fontId="55" fillId="0" borderId="125" xfId="451" applyFont="1" applyBorder="1" applyAlignment="1">
      <alignment horizontal="center" vertical="center"/>
    </xf>
    <xf numFmtId="0" fontId="81" fillId="0" borderId="132" xfId="451" applyFont="1" applyBorder="1" applyAlignment="1">
      <alignment horizontal="center" vertical="center"/>
    </xf>
    <xf numFmtId="0" fontId="62" fillId="0" borderId="0" xfId="0" applyFont="1" applyAlignment="1">
      <alignment horizontal="left" vertical="center"/>
    </xf>
    <xf numFmtId="0" fontId="60" fillId="0" borderId="0" xfId="0" applyFont="1" applyAlignment="1">
      <alignment horizontal="left" vertical="center"/>
    </xf>
    <xf numFmtId="0" fontId="28" fillId="0" borderId="0" xfId="455" applyFont="1" applyAlignment="1">
      <alignment vertical="center"/>
    </xf>
    <xf numFmtId="0" fontId="6" fillId="0" borderId="0" xfId="455" applyFont="1"/>
    <xf numFmtId="0" fontId="28" fillId="0" borderId="0" xfId="455" applyFont="1" applyAlignment="1">
      <alignment horizontal="center" vertical="center"/>
    </xf>
    <xf numFmtId="171" fontId="60" fillId="0" borderId="93" xfId="0" applyNumberFormat="1" applyFont="1" applyBorder="1" applyAlignment="1">
      <alignment horizontal="center"/>
    </xf>
    <xf numFmtId="171" fontId="60" fillId="0" borderId="117" xfId="0" applyNumberFormat="1" applyFont="1" applyBorder="1" applyAlignment="1">
      <alignment horizontal="center"/>
    </xf>
    <xf numFmtId="171" fontId="74" fillId="0" borderId="93" xfId="0" applyNumberFormat="1" applyFont="1" applyBorder="1" applyAlignment="1">
      <alignment horizontal="center" vertical="top"/>
    </xf>
    <xf numFmtId="171" fontId="74" fillId="0" borderId="117" xfId="238" applyNumberFormat="1" applyFont="1" applyBorder="1" applyAlignment="1">
      <alignment horizontal="center" vertical="top"/>
    </xf>
    <xf numFmtId="171" fontId="60" fillId="0" borderId="13" xfId="0" applyNumberFormat="1" applyFont="1" applyBorder="1" applyAlignment="1">
      <alignment horizontal="center"/>
    </xf>
    <xf numFmtId="171" fontId="60" fillId="0" borderId="0" xfId="0" applyNumberFormat="1" applyFont="1" applyAlignment="1">
      <alignment horizontal="center"/>
    </xf>
    <xf numFmtId="171" fontId="74" fillId="0" borderId="13" xfId="0" applyNumberFormat="1" applyFont="1" applyBorder="1" applyAlignment="1">
      <alignment horizontal="center" vertical="top"/>
    </xf>
    <xf numFmtId="171" fontId="74" fillId="0" borderId="0" xfId="238" applyNumberFormat="1" applyFont="1" applyAlignment="1">
      <alignment horizontal="center" vertical="top"/>
    </xf>
    <xf numFmtId="171" fontId="74" fillId="0" borderId="13" xfId="455" applyNumberFormat="1" applyFont="1" applyBorder="1" applyAlignment="1">
      <alignment horizontal="center" vertical="center"/>
    </xf>
    <xf numFmtId="171" fontId="181" fillId="0" borderId="13" xfId="0" applyNumberFormat="1" applyFont="1" applyBorder="1" applyAlignment="1">
      <alignment horizontal="center"/>
    </xf>
    <xf numFmtId="171" fontId="138" fillId="0" borderId="13" xfId="0" applyNumberFormat="1" applyFont="1" applyBorder="1" applyAlignment="1">
      <alignment horizontal="center" vertical="top"/>
    </xf>
    <xf numFmtId="171" fontId="138" fillId="0" borderId="0" xfId="238" applyNumberFormat="1" applyFont="1" applyAlignment="1">
      <alignment horizontal="center" vertical="top"/>
    </xf>
    <xf numFmtId="171" fontId="138" fillId="0" borderId="13" xfId="455" applyNumberFormat="1" applyFont="1" applyBorder="1" applyAlignment="1">
      <alignment horizontal="center" vertical="center"/>
    </xf>
    <xf numFmtId="171" fontId="181" fillId="0" borderId="50" xfId="0" applyNumberFormat="1" applyFont="1" applyBorder="1" applyAlignment="1">
      <alignment horizontal="center"/>
    </xf>
    <xf numFmtId="171" fontId="138" fillId="0" borderId="50" xfId="0" applyNumberFormat="1" applyFont="1" applyBorder="1" applyAlignment="1">
      <alignment horizontal="center" vertical="top"/>
    </xf>
    <xf numFmtId="171" fontId="138" fillId="0" borderId="132" xfId="238" applyNumberFormat="1" applyFont="1" applyBorder="1" applyAlignment="1">
      <alignment horizontal="center" vertical="top"/>
    </xf>
    <xf numFmtId="171" fontId="138" fillId="0" borderId="50" xfId="455" applyNumberFormat="1" applyFont="1" applyBorder="1" applyAlignment="1">
      <alignment horizontal="center" vertical="center"/>
    </xf>
    <xf numFmtId="0" fontId="74" fillId="0" borderId="125" xfId="455" applyFont="1" applyBorder="1" applyAlignment="1">
      <alignment horizontal="center" vertical="center"/>
    </xf>
    <xf numFmtId="171" fontId="181" fillId="0" borderId="103" xfId="0" applyNumberFormat="1" applyFont="1" applyBorder="1" applyAlignment="1">
      <alignment horizontal="center"/>
    </xf>
    <xf numFmtId="171" fontId="181" fillId="0" borderId="125" xfId="0" applyNumberFormat="1" applyFont="1" applyBorder="1" applyAlignment="1">
      <alignment horizontal="center"/>
    </xf>
    <xf numFmtId="171" fontId="138" fillId="0" borderId="103" xfId="173" applyNumberFormat="1" applyFont="1" applyBorder="1" applyAlignment="1">
      <alignment horizontal="center" vertical="top"/>
    </xf>
    <xf numFmtId="171" fontId="138" fillId="0" borderId="125" xfId="173" applyNumberFormat="1" applyFont="1" applyBorder="1" applyAlignment="1">
      <alignment horizontal="center" vertical="top"/>
    </xf>
    <xf numFmtId="171" fontId="138" fillId="0" borderId="103" xfId="455" applyNumberFormat="1" applyFont="1" applyBorder="1" applyAlignment="1">
      <alignment horizontal="center" vertical="center"/>
    </xf>
    <xf numFmtId="171" fontId="138" fillId="0" borderId="50" xfId="173" applyNumberFormat="1" applyFont="1" applyBorder="1" applyAlignment="1">
      <alignment horizontal="center" vertical="top"/>
    </xf>
    <xf numFmtId="171" fontId="138" fillId="0" borderId="132" xfId="173" applyNumberFormat="1" applyFont="1" applyBorder="1" applyAlignment="1">
      <alignment horizontal="center" vertical="top"/>
    </xf>
    <xf numFmtId="171" fontId="138" fillId="0" borderId="0" xfId="173" applyNumberFormat="1" applyFont="1" applyAlignment="1">
      <alignment horizontal="center" vertical="top"/>
    </xf>
    <xf numFmtId="171" fontId="74" fillId="0" borderId="0" xfId="455" applyNumberFormat="1" applyFont="1" applyAlignment="1">
      <alignment horizontal="center" vertical="center"/>
    </xf>
    <xf numFmtId="171" fontId="138" fillId="0" borderId="50" xfId="238" applyNumberFormat="1" applyFont="1" applyBorder="1" applyAlignment="1">
      <alignment horizontal="center" vertical="top"/>
    </xf>
    <xf numFmtId="171" fontId="138" fillId="0" borderId="132" xfId="455" applyNumberFormat="1" applyFont="1" applyBorder="1" applyAlignment="1">
      <alignment horizontal="center" vertical="center"/>
    </xf>
    <xf numFmtId="0" fontId="138" fillId="0" borderId="125" xfId="455" applyFont="1" applyBorder="1" applyAlignment="1">
      <alignment horizontal="center" vertical="center"/>
    </xf>
    <xf numFmtId="171" fontId="138" fillId="0" borderId="103" xfId="238" applyNumberFormat="1" applyFont="1" applyBorder="1" applyAlignment="1">
      <alignment horizontal="center" vertical="top"/>
    </xf>
    <xf numFmtId="171" fontId="60" fillId="0" borderId="13" xfId="0" applyNumberFormat="1" applyFont="1" applyBorder="1"/>
    <xf numFmtId="171" fontId="60" fillId="0" borderId="50" xfId="0" applyNumberFormat="1" applyFont="1" applyBorder="1"/>
    <xf numFmtId="171" fontId="74" fillId="0" borderId="132" xfId="238" applyNumberFormat="1" applyFont="1" applyBorder="1" applyAlignment="1">
      <alignment horizontal="center" vertical="top"/>
    </xf>
    <xf numFmtId="171" fontId="60" fillId="0" borderId="103" xfId="0" applyNumberFormat="1" applyFont="1" applyBorder="1"/>
    <xf numFmtId="171" fontId="138" fillId="0" borderId="125" xfId="455" applyNumberFormat="1" applyFont="1" applyBorder="1" applyAlignment="1">
      <alignment horizontal="center" vertical="center"/>
    </xf>
    <xf numFmtId="171" fontId="183" fillId="20" borderId="101" xfId="144" applyNumberFormat="1" applyFont="1" applyFill="1" applyBorder="1" applyAlignment="1">
      <alignment horizontal="center" vertical="center"/>
    </xf>
    <xf numFmtId="171" fontId="181" fillId="20" borderId="14" xfId="0" applyNumberFormat="1" applyFont="1" applyFill="1" applyBorder="1" applyAlignment="1">
      <alignment horizontal="center" vertical="center"/>
    </xf>
    <xf numFmtId="171" fontId="138" fillId="20" borderId="101" xfId="173" applyNumberFormat="1" applyFont="1" applyFill="1" applyBorder="1" applyAlignment="1">
      <alignment horizontal="center" vertical="center"/>
    </xf>
    <xf numFmtId="171" fontId="138" fillId="20" borderId="14" xfId="173" applyNumberFormat="1" applyFont="1" applyFill="1" applyBorder="1" applyAlignment="1">
      <alignment horizontal="center" vertical="center"/>
    </xf>
    <xf numFmtId="0" fontId="138" fillId="20" borderId="103" xfId="455" applyFont="1" applyFill="1" applyBorder="1" applyAlignment="1">
      <alignment horizontal="center" vertical="center"/>
    </xf>
    <xf numFmtId="0" fontId="166" fillId="20" borderId="103" xfId="238" applyFont="1" applyFill="1" applyBorder="1" applyAlignment="1">
      <alignment horizontal="center" vertical="center"/>
    </xf>
    <xf numFmtId="0" fontId="138" fillId="20" borderId="103" xfId="452" applyFont="1" applyFill="1" applyBorder="1" applyAlignment="1">
      <alignment horizontal="center" vertical="center" wrapText="1"/>
    </xf>
    <xf numFmtId="168" fontId="32" fillId="0" borderId="0" xfId="228" applyNumberFormat="1" applyFont="1" applyAlignment="1">
      <alignment horizontal="center" vertical="center"/>
    </xf>
    <xf numFmtId="168" fontId="74" fillId="0" borderId="0" xfId="176" applyNumberFormat="1" applyFont="1" applyAlignment="1">
      <alignment horizontal="center" vertical="center"/>
    </xf>
    <xf numFmtId="168" fontId="138" fillId="0" borderId="13" xfId="176" applyNumberFormat="1" applyFont="1" applyBorder="1" applyAlignment="1">
      <alignment horizontal="center" vertical="center"/>
    </xf>
    <xf numFmtId="168" fontId="32" fillId="0" borderId="13" xfId="228" applyNumberFormat="1" applyFont="1" applyBorder="1" applyAlignment="1">
      <alignment horizontal="center" vertical="center"/>
    </xf>
    <xf numFmtId="168" fontId="181" fillId="0" borderId="50" xfId="176" applyNumberFormat="1" applyFont="1" applyBorder="1" applyAlignment="1">
      <alignment horizontal="center" vertical="center"/>
    </xf>
    <xf numFmtId="168" fontId="138" fillId="0" borderId="50" xfId="176" applyNumberFormat="1" applyFont="1" applyBorder="1" applyAlignment="1">
      <alignment horizontal="center" vertical="center"/>
    </xf>
    <xf numFmtId="0" fontId="138" fillId="0" borderId="132" xfId="452" applyFont="1" applyBorder="1" applyAlignment="1">
      <alignment horizontal="center" vertical="center"/>
    </xf>
    <xf numFmtId="168" fontId="138" fillId="0" borderId="0" xfId="176" applyNumberFormat="1" applyFont="1" applyAlignment="1">
      <alignment horizontal="center" vertical="center"/>
    </xf>
    <xf numFmtId="0" fontId="138" fillId="20" borderId="118" xfId="453" applyFont="1" applyFill="1" applyBorder="1" applyAlignment="1">
      <alignment horizontal="center" vertical="center"/>
    </xf>
    <xf numFmtId="0" fontId="138" fillId="20" borderId="118" xfId="452" applyFont="1" applyFill="1" applyBorder="1" applyAlignment="1">
      <alignment horizontal="center" vertical="center" wrapText="1"/>
    </xf>
    <xf numFmtId="168" fontId="74" fillId="0" borderId="13" xfId="453" applyNumberFormat="1" applyFont="1" applyBorder="1" applyAlignment="1">
      <alignment horizontal="center" vertical="center"/>
    </xf>
    <xf numFmtId="168" fontId="166" fillId="0" borderId="0" xfId="228" applyNumberFormat="1" applyFont="1" applyAlignment="1">
      <alignment horizontal="center" vertical="center"/>
    </xf>
    <xf numFmtId="168" fontId="74" fillId="0" borderId="0" xfId="453" applyNumberFormat="1" applyFont="1" applyAlignment="1">
      <alignment vertical="center"/>
    </xf>
    <xf numFmtId="168" fontId="60" fillId="0" borderId="0" xfId="0" applyNumberFormat="1" applyFont="1" applyAlignment="1">
      <alignment vertical="center"/>
    </xf>
    <xf numFmtId="168" fontId="166" fillId="0" borderId="132" xfId="228" applyNumberFormat="1" applyFont="1" applyBorder="1" applyAlignment="1">
      <alignment horizontal="center" vertical="center"/>
    </xf>
    <xf numFmtId="0" fontId="74" fillId="0" borderId="125" xfId="453" applyFont="1" applyBorder="1" applyAlignment="1">
      <alignment horizontal="center" vertical="center"/>
    </xf>
    <xf numFmtId="0" fontId="138" fillId="0" borderId="135" xfId="453" applyFont="1" applyBorder="1" applyAlignment="1">
      <alignment horizontal="center" vertical="center"/>
    </xf>
    <xf numFmtId="168" fontId="74" fillId="0" borderId="50" xfId="453" applyNumberFormat="1" applyFont="1" applyBorder="1" applyAlignment="1">
      <alignment horizontal="center" vertical="center"/>
    </xf>
    <xf numFmtId="168" fontId="138" fillId="0" borderId="13" xfId="453" applyNumberFormat="1" applyFont="1" applyBorder="1" applyAlignment="1">
      <alignment horizontal="center" vertical="center"/>
    </xf>
    <xf numFmtId="0" fontId="138" fillId="20" borderId="103" xfId="456" applyFont="1" applyFill="1" applyBorder="1" applyAlignment="1">
      <alignment horizontal="center" vertical="center"/>
    </xf>
    <xf numFmtId="0" fontId="74" fillId="0" borderId="13" xfId="456" applyFont="1" applyBorder="1" applyAlignment="1">
      <alignment horizontal="left" vertical="center"/>
    </xf>
    <xf numFmtId="171" fontId="32" fillId="0" borderId="13" xfId="144" applyNumberFormat="1" applyFont="1" applyBorder="1" applyAlignment="1">
      <alignment horizontal="center"/>
    </xf>
    <xf numFmtId="171" fontId="74" fillId="0" borderId="13" xfId="456" applyNumberFormat="1" applyFont="1" applyBorder="1" applyAlignment="1">
      <alignment horizontal="center" vertical="center"/>
    </xf>
    <xf numFmtId="171" fontId="74" fillId="0" borderId="13" xfId="798" applyNumberFormat="1" applyFont="1" applyBorder="1" applyAlignment="1">
      <alignment horizontal="center" vertical="top"/>
    </xf>
    <xf numFmtId="171" fontId="74" fillId="0" borderId="13" xfId="238" applyNumberFormat="1" applyFont="1" applyBorder="1" applyAlignment="1">
      <alignment horizontal="center" vertical="top"/>
    </xf>
    <xf numFmtId="171" fontId="138" fillId="0" borderId="13" xfId="456" applyNumberFormat="1" applyFont="1" applyBorder="1" applyAlignment="1">
      <alignment horizontal="center" vertical="center"/>
    </xf>
    <xf numFmtId="171" fontId="166" fillId="0" borderId="13" xfId="144" applyNumberFormat="1" applyFont="1" applyBorder="1" applyAlignment="1">
      <alignment horizontal="center"/>
    </xf>
    <xf numFmtId="171" fontId="138" fillId="0" borderId="13" xfId="798" applyNumberFormat="1" applyFont="1" applyBorder="1" applyAlignment="1">
      <alignment horizontal="center" vertical="top"/>
    </xf>
    <xf numFmtId="0" fontId="74" fillId="0" borderId="13" xfId="238" applyFont="1" applyBorder="1" applyAlignment="1">
      <alignment horizontal="left" vertical="top"/>
    </xf>
    <xf numFmtId="171" fontId="181" fillId="20" borderId="103" xfId="0" applyNumberFormat="1" applyFont="1" applyFill="1" applyBorder="1" applyAlignment="1">
      <alignment horizontal="center" vertical="center"/>
    </xf>
    <xf numFmtId="171" fontId="74" fillId="0" borderId="118" xfId="238" applyNumberFormat="1" applyFont="1" applyBorder="1" applyAlignment="1">
      <alignment horizontal="center" vertical="top"/>
    </xf>
    <xf numFmtId="171" fontId="74" fillId="0" borderId="103" xfId="798" applyNumberFormat="1" applyFont="1" applyBorder="1" applyAlignment="1">
      <alignment horizontal="center" vertical="top"/>
    </xf>
    <xf numFmtId="171" fontId="138" fillId="0" borderId="103" xfId="798" applyNumberFormat="1" applyFont="1" applyBorder="1" applyAlignment="1">
      <alignment horizontal="center" vertical="top"/>
    </xf>
    <xf numFmtId="171" fontId="181" fillId="0" borderId="103" xfId="0" applyNumberFormat="1" applyFont="1" applyBorder="1" applyAlignment="1">
      <alignment horizontal="center" vertical="center"/>
    </xf>
    <xf numFmtId="0" fontId="74" fillId="0" borderId="125" xfId="456" applyFont="1" applyBorder="1" applyAlignment="1">
      <alignment horizontal="center" vertical="center"/>
    </xf>
    <xf numFmtId="0" fontId="138" fillId="0" borderId="94" xfId="456" applyFont="1" applyBorder="1" applyAlignment="1">
      <alignment horizontal="center" vertical="center"/>
    </xf>
    <xf numFmtId="171" fontId="60" fillId="0" borderId="103" xfId="0" applyNumberFormat="1" applyFont="1" applyBorder="1" applyAlignment="1">
      <alignment horizontal="center"/>
    </xf>
    <xf numFmtId="171" fontId="138" fillId="0" borderId="103" xfId="456" applyNumberFormat="1" applyFont="1" applyBorder="1" applyAlignment="1">
      <alignment horizontal="center" vertical="center"/>
    </xf>
    <xf numFmtId="171" fontId="166" fillId="0" borderId="103" xfId="144" applyNumberFormat="1" applyFont="1" applyBorder="1" applyAlignment="1">
      <alignment horizontal="center"/>
    </xf>
    <xf numFmtId="171" fontId="166" fillId="20" borderId="103" xfId="144" applyNumberFormat="1" applyFont="1" applyFill="1" applyBorder="1" applyAlignment="1">
      <alignment horizontal="center" vertical="center"/>
    </xf>
    <xf numFmtId="0" fontId="48" fillId="0" borderId="0" xfId="0" applyFont="1" applyAlignment="1">
      <alignment horizontal="left"/>
    </xf>
    <xf numFmtId="0" fontId="166" fillId="20" borderId="103" xfId="456" applyFont="1" applyFill="1" applyBorder="1" applyAlignment="1">
      <alignment horizontal="center" vertical="center"/>
    </xf>
    <xf numFmtId="0" fontId="166" fillId="20" borderId="103" xfId="0" applyFont="1" applyFill="1" applyBorder="1" applyAlignment="1">
      <alignment horizontal="center" vertical="center"/>
    </xf>
    <xf numFmtId="0" fontId="74" fillId="0" borderId="13" xfId="457" applyFont="1" applyBorder="1" applyAlignment="1">
      <alignment horizontal="left" vertical="center"/>
    </xf>
    <xf numFmtId="171" fontId="32" fillId="0" borderId="13" xfId="144" applyNumberFormat="1" applyFont="1" applyBorder="1" applyAlignment="1">
      <alignment horizontal="center" vertical="center"/>
    </xf>
    <xf numFmtId="171" fontId="74" fillId="0" borderId="13" xfId="799" applyNumberFormat="1" applyFont="1" applyBorder="1" applyAlignment="1">
      <alignment horizontal="center" vertical="center"/>
    </xf>
    <xf numFmtId="171" fontId="166" fillId="0" borderId="13" xfId="144" applyNumberFormat="1" applyFont="1" applyBorder="1" applyAlignment="1">
      <alignment horizontal="center" vertical="center"/>
    </xf>
    <xf numFmtId="171" fontId="138" fillId="0" borderId="13" xfId="799" applyNumberFormat="1" applyFont="1" applyBorder="1" applyAlignment="1">
      <alignment horizontal="center" vertical="center"/>
    </xf>
    <xf numFmtId="171" fontId="138" fillId="20" borderId="103" xfId="799" applyNumberFormat="1" applyFont="1" applyFill="1" applyBorder="1" applyAlignment="1">
      <alignment horizontal="center" vertical="top"/>
    </xf>
    <xf numFmtId="171" fontId="138" fillId="20" borderId="103" xfId="799" applyNumberFormat="1" applyFont="1" applyFill="1" applyBorder="1" applyAlignment="1">
      <alignment horizontal="center" vertical="center"/>
    </xf>
    <xf numFmtId="0" fontId="74" fillId="0" borderId="118" xfId="457" applyFont="1" applyBorder="1" applyAlignment="1">
      <alignment horizontal="left" vertical="center"/>
    </xf>
    <xf numFmtId="171" fontId="32" fillId="0" borderId="118" xfId="144" applyNumberFormat="1" applyFont="1" applyBorder="1" applyAlignment="1">
      <alignment horizontal="center" vertical="center"/>
    </xf>
    <xf numFmtId="171" fontId="74" fillId="0" borderId="118" xfId="799" applyNumberFormat="1" applyFont="1" applyBorder="1" applyAlignment="1">
      <alignment horizontal="center" vertical="center"/>
    </xf>
    <xf numFmtId="0" fontId="32" fillId="0" borderId="13" xfId="144" applyFont="1" applyBorder="1" applyAlignment="1">
      <alignment vertical="center"/>
    </xf>
    <xf numFmtId="171" fontId="166" fillId="0" borderId="103" xfId="144" applyNumberFormat="1" applyFont="1" applyBorder="1" applyAlignment="1">
      <alignment horizontal="center" vertical="center"/>
    </xf>
    <xf numFmtId="171" fontId="138" fillId="0" borderId="103" xfId="799" applyNumberFormat="1" applyFont="1" applyBorder="1" applyAlignment="1">
      <alignment horizontal="center" vertical="center"/>
    </xf>
    <xf numFmtId="171" fontId="60" fillId="0" borderId="103" xfId="0" applyNumberFormat="1" applyFont="1" applyBorder="1" applyAlignment="1">
      <alignment horizontal="center" vertical="center"/>
    </xf>
    <xf numFmtId="0" fontId="138" fillId="0" borderId="94" xfId="457" applyFont="1" applyBorder="1" applyAlignment="1">
      <alignment horizontal="center" vertical="center"/>
    </xf>
    <xf numFmtId="0" fontId="138" fillId="0" borderId="125" xfId="457" applyFont="1" applyBorder="1" applyAlignment="1">
      <alignment horizontal="center" vertical="center"/>
    </xf>
    <xf numFmtId="0" fontId="44" fillId="0" borderId="132" xfId="0" applyFont="1" applyBorder="1" applyAlignment="1">
      <alignment horizontal="center" vertical="center"/>
    </xf>
    <xf numFmtId="171" fontId="136" fillId="0" borderId="125" xfId="0" applyNumberFormat="1" applyFont="1" applyBorder="1" applyAlignment="1">
      <alignment horizontal="center" vertical="center" wrapText="1"/>
    </xf>
    <xf numFmtId="1" fontId="136" fillId="0" borderId="94" xfId="0" applyNumberFormat="1" applyFont="1" applyBorder="1" applyAlignment="1">
      <alignment horizontal="center" vertical="center" wrapText="1"/>
    </xf>
    <xf numFmtId="0" fontId="136" fillId="0" borderId="143" xfId="0" applyFont="1" applyBorder="1" applyAlignment="1">
      <alignment horizontal="center" vertical="center" wrapText="1"/>
    </xf>
    <xf numFmtId="0" fontId="136" fillId="0" borderId="94" xfId="0" applyFont="1" applyBorder="1" applyAlignment="1">
      <alignment horizontal="center" vertical="center" wrapText="1"/>
    </xf>
    <xf numFmtId="3" fontId="136" fillId="0" borderId="94" xfId="0" applyNumberFormat="1" applyFont="1" applyBorder="1" applyAlignment="1">
      <alignment horizontal="center" vertical="center" wrapText="1"/>
    </xf>
    <xf numFmtId="0" fontId="136" fillId="0" borderId="125" xfId="0" applyFont="1" applyBorder="1" applyAlignment="1">
      <alignment horizontal="center" vertical="center" wrapText="1"/>
    </xf>
    <xf numFmtId="9" fontId="136" fillId="0" borderId="125" xfId="0" applyNumberFormat="1" applyFont="1" applyBorder="1" applyAlignment="1">
      <alignment horizontal="center" vertical="center" wrapText="1"/>
    </xf>
    <xf numFmtId="0" fontId="200" fillId="0" borderId="0" xfId="0" applyFont="1"/>
    <xf numFmtId="0" fontId="62" fillId="0" borderId="0" xfId="0" applyFont="1" applyAlignment="1">
      <alignment horizontal="left" vertical="center" wrapText="1"/>
    </xf>
    <xf numFmtId="0" fontId="136" fillId="0" borderId="133" xfId="0" applyFont="1" applyBorder="1" applyAlignment="1">
      <alignment horizontal="left" vertical="center" wrapText="1"/>
    </xf>
    <xf numFmtId="0" fontId="178" fillId="0" borderId="124" xfId="0" applyFont="1" applyBorder="1" applyAlignment="1">
      <alignment horizontal="center" vertical="center" wrapText="1"/>
    </xf>
    <xf numFmtId="0" fontId="60" fillId="0" borderId="103" xfId="0" applyFont="1" applyBorder="1" applyAlignment="1">
      <alignment horizontal="center" vertical="center" wrapText="1"/>
    </xf>
    <xf numFmtId="0" fontId="44" fillId="0" borderId="0" xfId="0" applyFont="1" applyAlignment="1">
      <alignment horizontal="right" vertical="center" wrapText="1"/>
    </xf>
    <xf numFmtId="0" fontId="44" fillId="0" borderId="0" xfId="0" applyFont="1" applyAlignment="1">
      <alignment horizontal="left" vertical="center" wrapText="1"/>
    </xf>
    <xf numFmtId="0" fontId="44" fillId="0" borderId="0" xfId="0" applyFont="1" applyAlignment="1">
      <alignment horizontal="left"/>
    </xf>
    <xf numFmtId="0" fontId="44" fillId="0" borderId="132" xfId="0" applyFont="1" applyBorder="1" applyAlignment="1">
      <alignment wrapText="1"/>
    </xf>
    <xf numFmtId="0" fontId="136" fillId="0" borderId="0" xfId="0" applyFont="1" applyAlignment="1">
      <alignment horizontal="center"/>
    </xf>
    <xf numFmtId="0" fontId="102" fillId="0" borderId="103" xfId="377" applyBorder="1" applyAlignment="1">
      <alignment horizontal="center" vertical="center" wrapText="1"/>
    </xf>
    <xf numFmtId="0" fontId="136" fillId="0" borderId="0" xfId="0" applyFont="1" applyAlignment="1">
      <alignment horizontal="center" vertical="center" wrapText="1"/>
    </xf>
    <xf numFmtId="0" fontId="137" fillId="0" borderId="136" xfId="0" applyFont="1" applyBorder="1" applyAlignment="1">
      <alignment horizontal="center" vertical="center" wrapText="1"/>
    </xf>
    <xf numFmtId="0" fontId="52" fillId="0" borderId="0" xfId="0" applyFont="1" applyAlignment="1">
      <alignment horizontal="center"/>
    </xf>
    <xf numFmtId="0" fontId="60" fillId="0" borderId="124" xfId="0" applyFont="1" applyBorder="1" applyAlignment="1">
      <alignment horizontal="center" vertical="center" wrapText="1"/>
    </xf>
    <xf numFmtId="0" fontId="102" fillId="0" borderId="133" xfId="377" applyBorder="1" applyAlignment="1">
      <alignment horizontal="center" vertical="center" wrapText="1"/>
    </xf>
    <xf numFmtId="0" fontId="102" fillId="22" borderId="133" xfId="377" applyFill="1" applyBorder="1" applyAlignment="1">
      <alignment horizontal="center" vertical="center" wrapText="1"/>
    </xf>
    <xf numFmtId="0" fontId="51" fillId="34" borderId="103" xfId="0" applyFont="1" applyFill="1" applyBorder="1" applyAlignment="1">
      <alignment horizontal="center" vertical="center" wrapText="1"/>
    </xf>
    <xf numFmtId="0" fontId="52" fillId="34" borderId="103" xfId="0" applyFont="1" applyFill="1" applyBorder="1"/>
    <xf numFmtId="0" fontId="179" fillId="34" borderId="124" xfId="377" applyFont="1" applyFill="1" applyBorder="1" applyAlignment="1">
      <alignment vertical="center" wrapText="1"/>
    </xf>
    <xf numFmtId="0" fontId="49" fillId="0" borderId="0" xfId="0" applyFont="1" applyAlignment="1">
      <alignment horizontal="left" vertical="center"/>
    </xf>
    <xf numFmtId="0" fontId="75" fillId="0" borderId="0" xfId="454" applyFont="1" applyAlignment="1">
      <alignment horizontal="center" vertical="center"/>
    </xf>
    <xf numFmtId="0" fontId="75" fillId="0" borderId="0" xfId="454" applyFont="1" applyAlignment="1">
      <alignment vertical="center"/>
    </xf>
    <xf numFmtId="0" fontId="61" fillId="0" borderId="0" xfId="454" applyFont="1" applyAlignment="1">
      <alignment horizontal="center" vertical="center"/>
    </xf>
    <xf numFmtId="0" fontId="61" fillId="0" borderId="0" xfId="454" applyFont="1" applyAlignment="1">
      <alignment vertical="center"/>
    </xf>
    <xf numFmtId="0" fontId="101" fillId="0" borderId="0" xfId="454" applyFont="1" applyAlignment="1">
      <alignment horizontal="center" vertical="center"/>
    </xf>
    <xf numFmtId="0" fontId="101" fillId="0" borderId="0" xfId="454" applyFont="1" applyAlignment="1">
      <alignment vertical="center"/>
    </xf>
    <xf numFmtId="0" fontId="101" fillId="0" borderId="0" xfId="238" applyFont="1" applyAlignment="1">
      <alignment vertical="center"/>
    </xf>
    <xf numFmtId="0" fontId="101" fillId="0" borderId="16" xfId="454" applyFont="1" applyBorder="1" applyAlignment="1">
      <alignment horizontal="center" vertical="center"/>
    </xf>
    <xf numFmtId="0" fontId="101" fillId="0" borderId="16" xfId="454" applyFont="1" applyBorder="1" applyAlignment="1">
      <alignment vertical="center"/>
    </xf>
    <xf numFmtId="0" fontId="101" fillId="0" borderId="16" xfId="454" applyFont="1" applyBorder="1" applyAlignment="1">
      <alignment horizontal="center" vertical="center" wrapText="1"/>
    </xf>
    <xf numFmtId="0" fontId="196" fillId="44" borderId="16" xfId="0" applyFont="1" applyFill="1" applyBorder="1" applyAlignment="1">
      <alignment horizontal="center" vertical="center" wrapText="1"/>
    </xf>
    <xf numFmtId="0" fontId="101" fillId="21" borderId="16" xfId="238" applyFont="1" applyFill="1" applyBorder="1" applyAlignment="1">
      <alignment horizontal="center" vertical="center" wrapText="1"/>
    </xf>
    <xf numFmtId="0" fontId="183" fillId="0" borderId="16" xfId="227" applyFont="1" applyBorder="1" applyAlignment="1">
      <alignment horizontal="center" vertical="center" wrapText="1"/>
    </xf>
    <xf numFmtId="0" fontId="75" fillId="0" borderId="0" xfId="454" applyFont="1" applyAlignment="1">
      <alignment horizontal="left" vertical="center"/>
    </xf>
    <xf numFmtId="182" fontId="75" fillId="0" borderId="0" xfId="454" applyNumberFormat="1" applyFont="1" applyAlignment="1">
      <alignment horizontal="center" vertical="center"/>
    </xf>
    <xf numFmtId="0" fontId="75" fillId="0" borderId="0" xfId="173" applyFont="1" applyAlignment="1">
      <alignment horizontal="left" vertical="center"/>
    </xf>
    <xf numFmtId="182" fontId="75" fillId="0" borderId="0" xfId="173" applyNumberFormat="1" applyFont="1" applyAlignment="1">
      <alignment horizontal="center" vertical="center"/>
    </xf>
    <xf numFmtId="0" fontId="75" fillId="0" borderId="0" xfId="238" applyFont="1" applyAlignment="1">
      <alignment horizontal="left" vertical="center"/>
    </xf>
    <xf numFmtId="3" fontId="75" fillId="0" borderId="0" xfId="238" applyNumberFormat="1" applyFont="1" applyAlignment="1">
      <alignment horizontal="center" vertical="center"/>
    </xf>
    <xf numFmtId="10" fontId="51" fillId="21" borderId="0" xfId="176" applyNumberFormat="1" applyFont="1" applyFill="1" applyAlignment="1">
      <alignment horizontal="center" vertical="center"/>
    </xf>
    <xf numFmtId="10" fontId="51" fillId="0" borderId="0" xfId="176" applyNumberFormat="1" applyFont="1" applyAlignment="1">
      <alignment vertical="center"/>
    </xf>
    <xf numFmtId="3" fontId="32" fillId="0" borderId="0" xfId="227" applyNumberFormat="1" applyFont="1" applyAlignment="1">
      <alignment vertical="center"/>
    </xf>
    <xf numFmtId="10" fontId="51" fillId="0" borderId="0" xfId="228" applyNumberFormat="1" applyFont="1" applyAlignment="1">
      <alignment vertical="center"/>
    </xf>
    <xf numFmtId="0" fontId="101" fillId="20" borderId="0" xfId="454" applyFont="1" applyFill="1" applyAlignment="1">
      <alignment vertical="center"/>
    </xf>
    <xf numFmtId="182" fontId="101" fillId="20" borderId="0" xfId="454" applyNumberFormat="1" applyFont="1" applyFill="1" applyAlignment="1">
      <alignment horizontal="center" vertical="center"/>
    </xf>
    <xf numFmtId="0" fontId="101" fillId="20" borderId="0" xfId="454" applyFont="1" applyFill="1" applyAlignment="1">
      <alignment horizontal="center" vertical="center"/>
    </xf>
    <xf numFmtId="10" fontId="101" fillId="20" borderId="0" xfId="176" applyNumberFormat="1" applyFont="1" applyFill="1" applyAlignment="1">
      <alignment horizontal="center" vertical="center"/>
    </xf>
    <xf numFmtId="182" fontId="101" fillId="0" borderId="0" xfId="173" applyNumberFormat="1" applyFont="1" applyAlignment="1">
      <alignment horizontal="center" vertical="center"/>
    </xf>
    <xf numFmtId="3" fontId="101" fillId="0" borderId="0" xfId="238" applyNumberFormat="1" applyFont="1" applyAlignment="1">
      <alignment horizontal="center" vertical="center"/>
    </xf>
    <xf numFmtId="10" fontId="99" fillId="21" borderId="0" xfId="176" applyNumberFormat="1" applyFont="1" applyFill="1" applyAlignment="1">
      <alignment horizontal="center" vertical="center"/>
    </xf>
    <xf numFmtId="0" fontId="183" fillId="0" borderId="0" xfId="227" applyFont="1" applyAlignment="1">
      <alignment vertical="center"/>
    </xf>
    <xf numFmtId="3" fontId="183" fillId="0" borderId="0" xfId="227" applyNumberFormat="1" applyFont="1" applyAlignment="1">
      <alignment vertical="center"/>
    </xf>
    <xf numFmtId="10" fontId="183" fillId="0" borderId="0" xfId="228" applyNumberFormat="1" applyFont="1" applyAlignment="1">
      <alignment vertical="center"/>
    </xf>
    <xf numFmtId="0" fontId="75" fillId="0" borderId="132" xfId="238" applyFont="1" applyBorder="1" applyAlignment="1">
      <alignment horizontal="center" vertical="center"/>
    </xf>
    <xf numFmtId="0" fontId="101" fillId="0" borderId="132" xfId="238" applyFont="1" applyBorder="1" applyAlignment="1">
      <alignment vertical="center"/>
    </xf>
    <xf numFmtId="3" fontId="101" fillId="0" borderId="132" xfId="238" applyNumberFormat="1" applyFont="1" applyBorder="1" applyAlignment="1">
      <alignment horizontal="center" vertical="center"/>
    </xf>
    <xf numFmtId="10" fontId="99" fillId="21" borderId="132" xfId="176" applyNumberFormat="1" applyFont="1" applyFill="1" applyBorder="1" applyAlignment="1">
      <alignment horizontal="center" vertical="center"/>
    </xf>
    <xf numFmtId="0" fontId="101" fillId="0" borderId="132" xfId="454" applyFont="1" applyBorder="1" applyAlignment="1">
      <alignment vertical="center"/>
    </xf>
    <xf numFmtId="182" fontId="101" fillId="0" borderId="132" xfId="454" applyNumberFormat="1" applyFont="1" applyBorder="1" applyAlignment="1">
      <alignment horizontal="center" vertical="center"/>
    </xf>
    <xf numFmtId="0" fontId="101" fillId="0" borderId="132" xfId="454" applyFont="1" applyBorder="1" applyAlignment="1">
      <alignment horizontal="center" vertical="center"/>
    </xf>
    <xf numFmtId="10" fontId="101" fillId="0" borderId="132" xfId="176" applyNumberFormat="1" applyFont="1" applyBorder="1" applyAlignment="1">
      <alignment horizontal="center" vertical="center"/>
    </xf>
    <xf numFmtId="0" fontId="61" fillId="0" borderId="0" xfId="238" applyFont="1" applyAlignment="1">
      <alignment horizontal="left" vertical="center"/>
    </xf>
    <xf numFmtId="3" fontId="61" fillId="0" borderId="0" xfId="238" applyNumberFormat="1" applyFont="1" applyAlignment="1">
      <alignment horizontal="center" vertical="center"/>
    </xf>
    <xf numFmtId="10" fontId="61" fillId="21" borderId="0" xfId="176" applyNumberFormat="1" applyFont="1" applyFill="1" applyAlignment="1">
      <alignment horizontal="center" vertical="center"/>
    </xf>
    <xf numFmtId="0" fontId="32" fillId="0" borderId="16" xfId="227" applyFont="1" applyBorder="1" applyAlignment="1">
      <alignment vertical="center"/>
    </xf>
    <xf numFmtId="0" fontId="183" fillId="0" borderId="16" xfId="227" applyFont="1" applyBorder="1" applyAlignment="1">
      <alignment vertical="center"/>
    </xf>
    <xf numFmtId="3" fontId="183" fillId="0" borderId="16" xfId="227" applyNumberFormat="1" applyFont="1" applyBorder="1" applyAlignment="1">
      <alignment vertical="center"/>
    </xf>
    <xf numFmtId="10" fontId="183" fillId="0" borderId="16" xfId="228" applyNumberFormat="1" applyFont="1" applyBorder="1" applyAlignment="1">
      <alignment vertical="center"/>
    </xf>
    <xf numFmtId="0" fontId="75" fillId="0" borderId="16" xfId="238" applyFont="1" applyBorder="1" applyAlignment="1">
      <alignment horizontal="center" vertical="center"/>
    </xf>
    <xf numFmtId="0" fontId="101" fillId="0" borderId="16" xfId="238" applyFont="1" applyBorder="1" applyAlignment="1">
      <alignment vertical="center"/>
    </xf>
    <xf numFmtId="3" fontId="101" fillId="0" borderId="16" xfId="238" applyNumberFormat="1" applyFont="1" applyBorder="1" applyAlignment="1">
      <alignment horizontal="center" vertical="center"/>
    </xf>
    <xf numFmtId="10" fontId="99" fillId="21" borderId="16" xfId="176" applyNumberFormat="1" applyFont="1" applyFill="1" applyBorder="1" applyAlignment="1">
      <alignment horizontal="center" vertical="center"/>
    </xf>
    <xf numFmtId="0" fontId="51" fillId="0" borderId="16" xfId="0" applyFont="1" applyBorder="1" applyAlignment="1">
      <alignment horizontal="center" vertical="center"/>
    </xf>
    <xf numFmtId="10" fontId="51" fillId="0" borderId="16" xfId="176" applyNumberFormat="1" applyFont="1" applyBorder="1" applyAlignment="1">
      <alignment vertical="center"/>
    </xf>
    <xf numFmtId="0" fontId="183" fillId="0" borderId="16" xfId="227" applyFont="1" applyBorder="1" applyAlignment="1">
      <alignment horizontal="right" vertical="center"/>
    </xf>
    <xf numFmtId="0" fontId="75" fillId="0" borderId="16" xfId="454" applyFont="1" applyBorder="1" applyAlignment="1">
      <alignment horizontal="center" vertical="center"/>
    </xf>
    <xf numFmtId="182" fontId="101" fillId="0" borderId="16" xfId="454" applyNumberFormat="1" applyFont="1" applyBorder="1" applyAlignment="1">
      <alignment horizontal="center" vertical="center"/>
    </xf>
    <xf numFmtId="0" fontId="101" fillId="0" borderId="16" xfId="173" applyFont="1" applyBorder="1" applyAlignment="1">
      <alignment vertical="center"/>
    </xf>
    <xf numFmtId="182" fontId="101" fillId="0" borderId="16" xfId="173" applyNumberFormat="1" applyFont="1" applyBorder="1" applyAlignment="1">
      <alignment horizontal="center" vertical="center"/>
    </xf>
    <xf numFmtId="10" fontId="101" fillId="0" borderId="16" xfId="176" applyNumberFormat="1" applyFont="1" applyBorder="1" applyAlignment="1">
      <alignment horizontal="center" vertical="center"/>
    </xf>
    <xf numFmtId="168" fontId="51" fillId="0" borderId="0" xfId="228" applyNumberFormat="1" applyFont="1" applyAlignment="1">
      <alignment vertical="center"/>
    </xf>
    <xf numFmtId="0" fontId="75" fillId="0" borderId="0" xfId="173" applyFont="1" applyAlignment="1">
      <alignment vertical="center"/>
    </xf>
    <xf numFmtId="0" fontId="61" fillId="0" borderId="0" xfId="173" applyFont="1" applyAlignment="1">
      <alignment vertical="center"/>
    </xf>
    <xf numFmtId="10" fontId="99" fillId="21" borderId="16" xfId="176" applyNumberFormat="1" applyFont="1" applyFill="1" applyBorder="1" applyAlignment="1">
      <alignment vertical="center"/>
    </xf>
    <xf numFmtId="168" fontId="183" fillId="21" borderId="16" xfId="228" applyNumberFormat="1" applyFont="1" applyFill="1" applyBorder="1" applyAlignment="1">
      <alignment vertical="center"/>
    </xf>
    <xf numFmtId="0" fontId="90" fillId="0" borderId="0" xfId="173" applyFont="1" applyAlignment="1">
      <alignment vertical="center"/>
    </xf>
    <xf numFmtId="0" fontId="184" fillId="0" borderId="0" xfId="0" applyFont="1" applyAlignment="1">
      <alignment vertical="center"/>
    </xf>
    <xf numFmtId="171" fontId="136" fillId="0" borderId="103" xfId="0" applyNumberFormat="1" applyFont="1" applyBorder="1" applyAlignment="1">
      <alignment horizontal="center" vertical="center"/>
    </xf>
    <xf numFmtId="0" fontId="102" fillId="22" borderId="103" xfId="377" applyFill="1" applyBorder="1" applyAlignment="1">
      <alignment horizontal="center" vertical="center" wrapText="1"/>
    </xf>
    <xf numFmtId="0" fontId="79" fillId="20" borderId="103" xfId="0" applyFont="1" applyFill="1" applyBorder="1" applyAlignment="1">
      <alignment horizontal="center" vertical="center"/>
    </xf>
    <xf numFmtId="0" fontId="177" fillId="0" borderId="0" xfId="0" applyFont="1" applyAlignment="1">
      <alignment vertical="center"/>
    </xf>
    <xf numFmtId="0" fontId="136" fillId="43" borderId="0" xfId="0" applyFont="1" applyFill="1"/>
    <xf numFmtId="9" fontId="136" fillId="43" borderId="103" xfId="0" applyNumberFormat="1" applyFont="1" applyFill="1" applyBorder="1" applyAlignment="1">
      <alignment horizontal="center" vertical="center" wrapText="1"/>
    </xf>
    <xf numFmtId="0" fontId="136" fillId="43" borderId="103" xfId="0" applyFont="1" applyFill="1" applyBorder="1" applyAlignment="1">
      <alignment horizontal="center" vertical="center" wrapText="1"/>
    </xf>
    <xf numFmtId="3" fontId="136" fillId="43" borderId="123" xfId="0" applyNumberFormat="1" applyFont="1" applyFill="1" applyBorder="1" applyAlignment="1">
      <alignment horizontal="center" vertical="center" wrapText="1"/>
    </xf>
    <xf numFmtId="9" fontId="163" fillId="43" borderId="124" xfId="0" applyNumberFormat="1" applyFont="1" applyFill="1" applyBorder="1" applyAlignment="1">
      <alignment horizontal="center" vertical="center" wrapText="1"/>
    </xf>
    <xf numFmtId="9" fontId="136" fillId="43" borderId="133" xfId="0" applyNumberFormat="1" applyFont="1" applyFill="1" applyBorder="1" applyAlignment="1">
      <alignment horizontal="center" vertical="center" wrapText="1"/>
    </xf>
    <xf numFmtId="3" fontId="136" fillId="43" borderId="133" xfId="0" applyNumberFormat="1" applyFont="1" applyFill="1" applyBorder="1" applyAlignment="1">
      <alignment horizontal="center" vertical="center" wrapText="1"/>
    </xf>
    <xf numFmtId="0" fontId="136" fillId="43" borderId="13" xfId="0" applyFont="1" applyFill="1" applyBorder="1" applyAlignment="1">
      <alignment horizontal="center" vertical="center" wrapText="1"/>
    </xf>
    <xf numFmtId="3" fontId="136" fillId="43" borderId="103" xfId="0" applyNumberFormat="1" applyFont="1" applyFill="1" applyBorder="1" applyAlignment="1">
      <alignment horizontal="center" vertical="center" wrapText="1"/>
    </xf>
    <xf numFmtId="0" fontId="136" fillId="43" borderId="133" xfId="0" applyFont="1" applyFill="1" applyBorder="1" applyAlignment="1">
      <alignment horizontal="center" vertical="center" wrapText="1"/>
    </xf>
    <xf numFmtId="0" fontId="52" fillId="43" borderId="0" xfId="0" applyFont="1" applyFill="1"/>
    <xf numFmtId="9" fontId="38" fillId="0" borderId="0" xfId="176" applyAlignment="1">
      <alignment vertical="center"/>
    </xf>
    <xf numFmtId="0" fontId="42" fillId="0" borderId="94" xfId="167" applyFont="1" applyBorder="1" applyAlignment="1">
      <alignment horizontal="center" vertical="center" wrapText="1"/>
    </xf>
    <xf numFmtId="9" fontId="163" fillId="0" borderId="123" xfId="176" applyFont="1" applyBorder="1" applyAlignment="1">
      <alignment horizontal="center" vertical="center" wrapText="1"/>
    </xf>
    <xf numFmtId="9" fontId="163" fillId="0" borderId="103" xfId="176" applyFont="1" applyBorder="1" applyAlignment="1">
      <alignment horizontal="center" vertical="center" wrapText="1"/>
    </xf>
    <xf numFmtId="168" fontId="48" fillId="0" borderId="0" xfId="176" applyNumberFormat="1" applyFont="1"/>
    <xf numFmtId="168" fontId="163" fillId="0" borderId="103" xfId="176" applyNumberFormat="1" applyFont="1" applyBorder="1" applyAlignment="1">
      <alignment horizontal="center" vertical="center" wrapText="1"/>
    </xf>
    <xf numFmtId="1" fontId="42" fillId="20" borderId="101" xfId="173" applyNumberFormat="1" applyFont="1" applyFill="1" applyBorder="1" applyAlignment="1">
      <alignment horizontal="center" vertical="center" wrapText="1"/>
    </xf>
    <xf numFmtId="0" fontId="7" fillId="0" borderId="128" xfId="173" applyFont="1" applyBorder="1" applyAlignment="1">
      <alignment vertical="center" wrapText="1"/>
    </xf>
    <xf numFmtId="0" fontId="7" fillId="0" borderId="129" xfId="804" applyFont="1" applyBorder="1" applyAlignment="1">
      <alignment horizontal="right" vertical="center" wrapText="1" indent="1"/>
    </xf>
    <xf numFmtId="0" fontId="7" fillId="22" borderId="129" xfId="173" applyFont="1" applyFill="1" applyBorder="1" applyAlignment="1">
      <alignment horizontal="right" vertical="center" wrapText="1" indent="1"/>
    </xf>
    <xf numFmtId="0" fontId="7" fillId="22" borderId="0" xfId="173" applyFont="1" applyFill="1" applyAlignment="1">
      <alignment horizontal="right" vertical="center" wrapText="1" indent="1"/>
    </xf>
    <xf numFmtId="0" fontId="7" fillId="0" borderId="149" xfId="173" applyFont="1" applyBorder="1" applyAlignment="1">
      <alignment vertical="center" wrapText="1"/>
    </xf>
    <xf numFmtId="1" fontId="7" fillId="0" borderId="131" xfId="804" applyNumberFormat="1" applyFont="1" applyBorder="1" applyAlignment="1">
      <alignment horizontal="right" vertical="center" wrapText="1" indent="1"/>
    </xf>
    <xf numFmtId="171" fontId="7" fillId="0" borderId="130" xfId="176" applyNumberFormat="1" applyFont="1" applyBorder="1" applyAlignment="1">
      <alignment horizontal="center" vertical="center" wrapText="1"/>
    </xf>
    <xf numFmtId="1" fontId="7" fillId="22" borderId="131" xfId="173" applyNumberFormat="1" applyFont="1" applyFill="1" applyBorder="1" applyAlignment="1">
      <alignment horizontal="right" vertical="center" wrapText="1" indent="1"/>
    </xf>
    <xf numFmtId="171" fontId="7" fillId="22" borderId="130" xfId="176" applyNumberFormat="1" applyFont="1" applyFill="1" applyBorder="1" applyAlignment="1">
      <alignment horizontal="center" vertical="center" wrapText="1"/>
    </xf>
    <xf numFmtId="1" fontId="7" fillId="22" borderId="10" xfId="173" applyNumberFormat="1" applyFont="1" applyFill="1" applyBorder="1" applyAlignment="1">
      <alignment horizontal="right" vertical="center" wrapText="1" indent="1"/>
    </xf>
    <xf numFmtId="171" fontId="7" fillId="22" borderId="11" xfId="176" applyNumberFormat="1" applyFont="1" applyFill="1" applyBorder="1" applyAlignment="1">
      <alignment horizontal="center" vertical="center" wrapText="1"/>
    </xf>
    <xf numFmtId="1" fontId="7" fillId="0" borderId="151" xfId="173" applyNumberFormat="1" applyFont="1" applyBorder="1" applyAlignment="1">
      <alignment horizontal="right" vertical="center" wrapText="1" indent="1"/>
    </xf>
    <xf numFmtId="0" fontId="7" fillId="0" borderId="152" xfId="173" applyFont="1" applyBorder="1" applyAlignment="1">
      <alignment horizontal="right" vertical="center" wrapText="1" indent="1"/>
    </xf>
    <xf numFmtId="171" fontId="7" fillId="0" borderId="153" xfId="176" applyNumberFormat="1" applyFont="1" applyBorder="1" applyAlignment="1">
      <alignment horizontal="center" vertical="center" wrapText="1"/>
    </xf>
    <xf numFmtId="0" fontId="7" fillId="0" borderId="154" xfId="173" applyFont="1" applyBorder="1" applyAlignment="1">
      <alignment vertical="center" wrapText="1"/>
    </xf>
    <xf numFmtId="1" fontId="7" fillId="0" borderId="10" xfId="804" applyNumberFormat="1" applyFont="1" applyBorder="1" applyAlignment="1">
      <alignment horizontal="right" vertical="center" wrapText="1" indent="1"/>
    </xf>
    <xf numFmtId="0" fontId="7" fillId="0" borderId="0" xfId="804" applyFont="1" applyAlignment="1">
      <alignment horizontal="right" vertical="center" wrapText="1" indent="1"/>
    </xf>
    <xf numFmtId="171" fontId="7" fillId="0" borderId="11" xfId="176" applyNumberFormat="1" applyFont="1" applyBorder="1" applyAlignment="1">
      <alignment horizontal="center" vertical="center" wrapText="1"/>
    </xf>
    <xf numFmtId="1" fontId="23" fillId="20" borderId="19" xfId="109" applyNumberFormat="1" applyFont="1" applyFill="1" applyBorder="1" applyAlignment="1">
      <alignment horizontal="right" vertical="center" wrapText="1" indent="1"/>
    </xf>
    <xf numFmtId="167" fontId="23" fillId="20" borderId="24" xfId="109" applyNumberFormat="1" applyFont="1" applyFill="1" applyBorder="1" applyAlignment="1">
      <alignment horizontal="right" vertical="center" wrapText="1" indent="1"/>
    </xf>
    <xf numFmtId="171" fontId="23" fillId="20" borderId="20" xfId="176" applyNumberFormat="1" applyFont="1" applyFill="1" applyBorder="1" applyAlignment="1">
      <alignment horizontal="center" vertical="center" wrapText="1"/>
    </xf>
    <xf numFmtId="1" fontId="23" fillId="20" borderId="104" xfId="109" applyNumberFormat="1" applyFont="1" applyFill="1" applyBorder="1" applyAlignment="1">
      <alignment horizontal="right" vertical="center" wrapText="1" indent="1"/>
    </xf>
    <xf numFmtId="167" fontId="23" fillId="20" borderId="125" xfId="109" applyNumberFormat="1" applyFont="1" applyFill="1" applyBorder="1" applyAlignment="1">
      <alignment horizontal="right" vertical="center" wrapText="1" indent="1"/>
    </xf>
    <xf numFmtId="171" fontId="23" fillId="20" borderId="94" xfId="176" applyNumberFormat="1" applyFont="1" applyFill="1" applyBorder="1" applyAlignment="1">
      <alignment horizontal="center" vertical="center" wrapText="1"/>
    </xf>
    <xf numFmtId="0" fontId="38" fillId="0" borderId="0" xfId="0" applyFont="1" applyAlignment="1">
      <alignment vertical="center"/>
    </xf>
    <xf numFmtId="168" fontId="7" fillId="0" borderId="130" xfId="176" applyNumberFormat="1" applyFont="1" applyBorder="1" applyAlignment="1">
      <alignment horizontal="center" vertical="center" wrapText="1"/>
    </xf>
    <xf numFmtId="168" fontId="7" fillId="0" borderId="11" xfId="176" applyNumberFormat="1" applyFont="1" applyBorder="1" applyAlignment="1">
      <alignment horizontal="center" vertical="center" wrapText="1"/>
    </xf>
    <xf numFmtId="168" fontId="23" fillId="20" borderId="20" xfId="176" applyNumberFormat="1" applyFont="1" applyFill="1" applyBorder="1" applyAlignment="1">
      <alignment horizontal="center" vertical="center" wrapText="1"/>
    </xf>
    <xf numFmtId="168" fontId="7" fillId="22" borderId="130" xfId="176" applyNumberFormat="1" applyFont="1" applyFill="1" applyBorder="1" applyAlignment="1">
      <alignment horizontal="center" vertical="center" wrapText="1"/>
    </xf>
    <xf numFmtId="168" fontId="7" fillId="22" borderId="11" xfId="176" applyNumberFormat="1" applyFont="1" applyFill="1" applyBorder="1" applyAlignment="1">
      <alignment horizontal="center" vertical="center" wrapText="1"/>
    </xf>
    <xf numFmtId="168" fontId="7" fillId="0" borderId="153" xfId="176" applyNumberFormat="1" applyFont="1" applyBorder="1" applyAlignment="1">
      <alignment horizontal="center" vertical="center" wrapText="1"/>
    </xf>
    <xf numFmtId="168" fontId="23" fillId="20" borderId="94" xfId="176" applyNumberFormat="1" applyFont="1" applyFill="1" applyBorder="1" applyAlignment="1">
      <alignment horizontal="center" vertical="center" wrapText="1"/>
    </xf>
    <xf numFmtId="1" fontId="42" fillId="20" borderId="168" xfId="173" applyNumberFormat="1" applyFont="1" applyFill="1" applyBorder="1" applyAlignment="1">
      <alignment horizontal="center" vertical="center" wrapText="1"/>
    </xf>
    <xf numFmtId="0" fontId="104" fillId="0" borderId="0" xfId="0" applyFont="1" applyAlignment="1">
      <alignment vertical="center"/>
    </xf>
    <xf numFmtId="0" fontId="117" fillId="0" borderId="104" xfId="0" applyFont="1" applyBorder="1" applyAlignment="1">
      <alignment horizontal="center" vertical="center"/>
    </xf>
    <xf numFmtId="0" fontId="117" fillId="0" borderId="150" xfId="0" applyFont="1" applyBorder="1" applyAlignment="1">
      <alignment horizontal="center" vertical="center"/>
    </xf>
    <xf numFmtId="0" fontId="117" fillId="0" borderId="94" xfId="0" applyFont="1" applyBorder="1" applyAlignment="1">
      <alignment horizontal="center" vertical="center"/>
    </xf>
    <xf numFmtId="0" fontId="55" fillId="0" borderId="96" xfId="173" applyFont="1" applyBorder="1" applyAlignment="1">
      <alignment horizontal="center" vertical="center" wrapText="1"/>
    </xf>
    <xf numFmtId="0" fontId="55" fillId="0" borderId="98" xfId="173" applyFont="1" applyBorder="1" applyAlignment="1">
      <alignment horizontal="center" vertical="center" wrapText="1"/>
    </xf>
    <xf numFmtId="0" fontId="55" fillId="0" borderId="99" xfId="173" applyFont="1" applyBorder="1" applyAlignment="1">
      <alignment horizontal="center" vertical="center" wrapText="1"/>
    </xf>
    <xf numFmtId="0" fontId="55" fillId="0" borderId="19" xfId="173" applyFont="1" applyBorder="1" applyAlignment="1">
      <alignment horizontal="center" vertical="center" wrapText="1"/>
    </xf>
    <xf numFmtId="0" fontId="55" fillId="0" borderId="24" xfId="173" applyFont="1" applyBorder="1" applyAlignment="1">
      <alignment horizontal="center" vertical="center" wrapText="1"/>
    </xf>
    <xf numFmtId="0" fontId="81" fillId="20" borderId="19" xfId="173" applyFont="1" applyFill="1" applyBorder="1" applyAlignment="1">
      <alignment horizontal="center" vertical="center" wrapText="1"/>
    </xf>
    <xf numFmtId="0" fontId="81" fillId="20" borderId="24" xfId="173" applyFont="1" applyFill="1" applyBorder="1" applyAlignment="1">
      <alignment horizontal="center" vertical="center" wrapText="1"/>
    </xf>
    <xf numFmtId="0" fontId="81" fillId="20" borderId="20" xfId="173" applyFont="1" applyFill="1" applyBorder="1" applyAlignment="1">
      <alignment horizontal="center" vertical="center" wrapText="1"/>
    </xf>
    <xf numFmtId="0" fontId="55" fillId="0" borderId="20" xfId="173" applyFont="1" applyBorder="1" applyAlignment="1">
      <alignment horizontal="center" vertical="center" wrapText="1"/>
    </xf>
    <xf numFmtId="0" fontId="81" fillId="20" borderId="22" xfId="173" applyFont="1" applyFill="1" applyBorder="1" applyAlignment="1">
      <alignment horizontal="center" vertical="center" wrapText="1"/>
    </xf>
    <xf numFmtId="0" fontId="81" fillId="20" borderId="25" xfId="173" applyFont="1" applyFill="1" applyBorder="1" applyAlignment="1">
      <alignment horizontal="center" vertical="center" wrapText="1"/>
    </xf>
    <xf numFmtId="0" fontId="81" fillId="20" borderId="23" xfId="173" applyFont="1" applyFill="1" applyBorder="1" applyAlignment="1">
      <alignment horizontal="center" vertical="center" wrapText="1"/>
    </xf>
    <xf numFmtId="0" fontId="81" fillId="20" borderId="26" xfId="173" applyFont="1" applyFill="1" applyBorder="1" applyAlignment="1">
      <alignment horizontal="center" vertical="center" wrapText="1"/>
    </xf>
    <xf numFmtId="0" fontId="81" fillId="20" borderId="27" xfId="173" applyFont="1" applyFill="1" applyBorder="1" applyAlignment="1">
      <alignment horizontal="center" vertical="center" wrapText="1"/>
    </xf>
    <xf numFmtId="0" fontId="81" fillId="20" borderId="28" xfId="173" applyFont="1" applyFill="1" applyBorder="1" applyAlignment="1">
      <alignment horizontal="center" vertical="center" wrapText="1"/>
    </xf>
    <xf numFmtId="0" fontId="114" fillId="0" borderId="104" xfId="173" applyFont="1" applyBorder="1" applyAlignment="1">
      <alignment horizontal="center" vertical="center" wrapText="1"/>
    </xf>
    <xf numFmtId="0" fontId="114" fillId="0" borderId="150" xfId="173" applyFont="1" applyBorder="1" applyAlignment="1">
      <alignment horizontal="center" vertical="center" wrapText="1"/>
    </xf>
    <xf numFmtId="0" fontId="114" fillId="0" borderId="94" xfId="173" applyFont="1" applyBorder="1" applyAlignment="1">
      <alignment horizontal="center" vertical="center" wrapText="1"/>
    </xf>
    <xf numFmtId="0" fontId="55" fillId="0" borderId="29" xfId="173" applyFont="1" applyBorder="1" applyAlignment="1">
      <alignment horizontal="center" vertical="center" wrapText="1"/>
    </xf>
    <xf numFmtId="0" fontId="55" fillId="0" borderId="30" xfId="173" applyFont="1" applyBorder="1" applyAlignment="1">
      <alignment horizontal="center" vertical="center" wrapText="1"/>
    </xf>
    <xf numFmtId="0" fontId="55" fillId="0" borderId="31" xfId="173" applyFont="1" applyBorder="1" applyAlignment="1">
      <alignment horizontal="center" vertical="center" wrapText="1"/>
    </xf>
    <xf numFmtId="0" fontId="112" fillId="0" borderId="104" xfId="173" applyFont="1" applyBorder="1" applyAlignment="1">
      <alignment horizontal="center" vertical="center" wrapText="1"/>
    </xf>
    <xf numFmtId="0" fontId="112" fillId="0" borderId="150" xfId="173" applyFont="1" applyBorder="1" applyAlignment="1">
      <alignment horizontal="center" vertical="center" wrapText="1"/>
    </xf>
    <xf numFmtId="0" fontId="112" fillId="0" borderId="94" xfId="173" applyFont="1" applyBorder="1" applyAlignment="1">
      <alignment horizontal="center" vertical="center" wrapText="1"/>
    </xf>
    <xf numFmtId="0" fontId="42" fillId="0" borderId="0" xfId="149" applyFont="1" applyAlignment="1">
      <alignment horizontal="left" vertical="center"/>
    </xf>
    <xf numFmtId="0" fontId="81" fillId="24" borderId="103" xfId="173" applyFont="1" applyFill="1" applyBorder="1" applyAlignment="1">
      <alignment horizontal="center" vertical="center"/>
    </xf>
    <xf numFmtId="1" fontId="42" fillId="20" borderId="101" xfId="173" applyNumberFormat="1" applyFont="1" applyFill="1" applyBorder="1" applyAlignment="1">
      <alignment vertical="center" wrapText="1"/>
    </xf>
    <xf numFmtId="1" fontId="42" fillId="20" borderId="169" xfId="173" applyNumberFormat="1" applyFont="1" applyFill="1" applyBorder="1" applyAlignment="1">
      <alignment horizontal="center" vertical="center" wrapText="1"/>
    </xf>
    <xf numFmtId="0" fontId="55" fillId="0" borderId="127" xfId="173" applyFont="1" applyBorder="1" applyAlignment="1">
      <alignment horizontal="center" vertical="center" wrapText="1"/>
    </xf>
    <xf numFmtId="0" fontId="55" fillId="0" borderId="165" xfId="173" applyFont="1" applyBorder="1" applyAlignment="1">
      <alignment vertical="center" wrapText="1"/>
    </xf>
    <xf numFmtId="0" fontId="55" fillId="0" borderId="4" xfId="173" applyFont="1" applyBorder="1" applyAlignment="1">
      <alignment horizontal="center" vertical="center" wrapText="1"/>
    </xf>
    <xf numFmtId="0" fontId="55" fillId="0" borderId="156" xfId="173" applyFont="1" applyBorder="1" applyAlignment="1">
      <alignment vertical="center" wrapText="1"/>
    </xf>
    <xf numFmtId="0" fontId="55" fillId="0" borderId="24" xfId="173" applyFont="1" applyBorder="1" applyAlignment="1">
      <alignment horizontal="center" vertical="center"/>
    </xf>
    <xf numFmtId="0" fontId="55" fillId="0" borderId="20" xfId="173" applyFont="1" applyBorder="1" applyAlignment="1">
      <alignment horizontal="center" vertical="center"/>
    </xf>
    <xf numFmtId="0" fontId="55" fillId="0" borderId="171" xfId="173" applyFont="1" applyBorder="1" applyAlignment="1">
      <alignment horizontal="center" vertical="center" wrapText="1"/>
    </xf>
    <xf numFmtId="0" fontId="55" fillId="0" borderId="172" xfId="173" applyFont="1" applyBorder="1" applyAlignment="1">
      <alignment vertical="center" wrapText="1"/>
    </xf>
    <xf numFmtId="0" fontId="55" fillId="0" borderId="19" xfId="173" applyFont="1" applyBorder="1" applyAlignment="1">
      <alignment horizontal="center" vertical="center"/>
    </xf>
    <xf numFmtId="0" fontId="55" fillId="0" borderId="158" xfId="173" applyFont="1" applyBorder="1" applyAlignment="1">
      <alignment horizontal="center" vertical="center" wrapText="1"/>
    </xf>
    <xf numFmtId="0" fontId="55" fillId="0" borderId="159" xfId="173" applyFont="1" applyBorder="1" applyAlignment="1">
      <alignment vertical="center" wrapText="1"/>
    </xf>
    <xf numFmtId="0" fontId="55" fillId="0" borderId="161" xfId="173" applyFont="1" applyBorder="1" applyAlignment="1">
      <alignment horizontal="center" vertical="center" wrapText="1"/>
    </xf>
    <xf numFmtId="0" fontId="55" fillId="0" borderId="4" xfId="819" applyFont="1" applyBorder="1" applyAlignment="1">
      <alignment vertical="center" wrapText="1"/>
    </xf>
    <xf numFmtId="0" fontId="81" fillId="20" borderId="22" xfId="173" applyFont="1" applyFill="1" applyBorder="1" applyAlignment="1">
      <alignment horizontal="center" vertical="center"/>
    </xf>
    <xf numFmtId="0" fontId="81" fillId="20" borderId="25" xfId="173" applyFont="1" applyFill="1" applyBorder="1" applyAlignment="1">
      <alignment horizontal="center" vertical="center"/>
    </xf>
    <xf numFmtId="0" fontId="81" fillId="20" borderId="23" xfId="173" applyFont="1" applyFill="1" applyBorder="1" applyAlignment="1">
      <alignment horizontal="center" vertical="center"/>
    </xf>
    <xf numFmtId="0" fontId="110" fillId="0" borderId="10" xfId="173" applyFont="1" applyBorder="1" applyAlignment="1">
      <alignment horizontal="center" vertical="center"/>
    </xf>
    <xf numFmtId="0" fontId="110" fillId="0" borderId="0" xfId="173" applyFont="1" applyAlignment="1">
      <alignment horizontal="center" vertical="center"/>
    </xf>
    <xf numFmtId="0" fontId="110" fillId="0" borderId="11" xfId="173" applyFont="1" applyBorder="1" applyAlignment="1">
      <alignment horizontal="center" vertical="center"/>
    </xf>
    <xf numFmtId="0" fontId="55" fillId="0" borderId="96" xfId="173" applyFont="1" applyBorder="1" applyAlignment="1">
      <alignment horizontal="center" vertical="center"/>
    </xf>
    <xf numFmtId="0" fontId="55" fillId="0" borderId="98" xfId="173" applyFont="1" applyBorder="1" applyAlignment="1">
      <alignment horizontal="center" vertical="center"/>
    </xf>
    <xf numFmtId="0" fontId="55" fillId="0" borderId="99" xfId="173" applyFont="1" applyBorder="1" applyAlignment="1">
      <alignment horizontal="center" vertical="center"/>
    </xf>
    <xf numFmtId="0" fontId="81" fillId="20" borderId="19" xfId="173" applyFont="1" applyFill="1" applyBorder="1" applyAlignment="1">
      <alignment horizontal="center" vertical="center"/>
    </xf>
    <xf numFmtId="0" fontId="81" fillId="20" borderId="24" xfId="173" applyFont="1" applyFill="1" applyBorder="1" applyAlignment="1">
      <alignment horizontal="center" vertical="center"/>
    </xf>
    <xf numFmtId="0" fontId="81" fillId="20" borderId="20" xfId="173" applyFont="1" applyFill="1" applyBorder="1" applyAlignment="1">
      <alignment horizontal="center" vertical="center"/>
    </xf>
    <xf numFmtId="0" fontId="55" fillId="0" borderId="162" xfId="173" applyFont="1" applyBorder="1" applyAlignment="1">
      <alignment vertical="center" wrapText="1"/>
    </xf>
    <xf numFmtId="0" fontId="109" fillId="0" borderId="173" xfId="173" applyFont="1" applyBorder="1" applyAlignment="1">
      <alignment horizontal="center" vertical="center"/>
    </xf>
    <xf numFmtId="0" fontId="109" fillId="0" borderId="174" xfId="173" applyFont="1" applyBorder="1" applyAlignment="1">
      <alignment horizontal="center" vertical="center"/>
    </xf>
    <xf numFmtId="0" fontId="109" fillId="0" borderId="175" xfId="173" applyFont="1" applyBorder="1" applyAlignment="1">
      <alignment horizontal="center" vertical="center"/>
    </xf>
    <xf numFmtId="0" fontId="55" fillId="0" borderId="130" xfId="820" applyFont="1" applyBorder="1" applyAlignment="1">
      <alignment vertical="center" wrapText="1"/>
    </xf>
    <xf numFmtId="0" fontId="55" fillId="0" borderId="166" xfId="820" applyFont="1" applyBorder="1" applyAlignment="1">
      <alignment vertical="center" wrapText="1"/>
    </xf>
    <xf numFmtId="0" fontId="55" fillId="0" borderId="167" xfId="820" applyFont="1" applyBorder="1" applyAlignment="1">
      <alignment vertical="center" wrapText="1"/>
    </xf>
    <xf numFmtId="0" fontId="81" fillId="20" borderId="26" xfId="173" applyFont="1" applyFill="1" applyBorder="1" applyAlignment="1">
      <alignment horizontal="center" vertical="center"/>
    </xf>
    <xf numFmtId="0" fontId="81" fillId="20" borderId="27" xfId="173" applyFont="1" applyFill="1" applyBorder="1" applyAlignment="1">
      <alignment horizontal="center" vertical="center"/>
    </xf>
    <xf numFmtId="0" fontId="81" fillId="20" borderId="28" xfId="173" applyFont="1" applyFill="1" applyBorder="1" applyAlignment="1">
      <alignment horizontal="center" vertical="center"/>
    </xf>
    <xf numFmtId="3" fontId="40" fillId="20" borderId="104" xfId="0" applyNumberFormat="1" applyFont="1" applyFill="1" applyBorder="1" applyAlignment="1">
      <alignment horizontal="center" vertical="center"/>
    </xf>
    <xf numFmtId="3" fontId="40" fillId="20" borderId="150" xfId="0" applyNumberFormat="1" applyFont="1" applyFill="1" applyBorder="1" applyAlignment="1">
      <alignment horizontal="center" vertical="center"/>
    </xf>
    <xf numFmtId="3" fontId="40" fillId="20" borderId="94" xfId="0" applyNumberFormat="1" applyFont="1" applyFill="1" applyBorder="1" applyAlignment="1">
      <alignment horizontal="center" vertical="center"/>
    </xf>
    <xf numFmtId="0" fontId="55" fillId="0" borderId="98" xfId="173" applyFont="1" applyBorder="1" applyAlignment="1">
      <alignment horizontal="right" vertical="center" wrapText="1" indent="1"/>
    </xf>
    <xf numFmtId="0" fontId="55" fillId="0" borderId="24" xfId="173" applyFont="1" applyBorder="1" applyAlignment="1">
      <alignment horizontal="right" vertical="center" indent="1"/>
    </xf>
    <xf numFmtId="0" fontId="81" fillId="20" borderId="24" xfId="173" applyFont="1" applyFill="1" applyBorder="1" applyAlignment="1">
      <alignment horizontal="right" vertical="center" wrapText="1" indent="1"/>
    </xf>
    <xf numFmtId="0" fontId="55" fillId="0" borderId="24" xfId="173" applyFont="1" applyBorder="1" applyAlignment="1">
      <alignment horizontal="right" vertical="center" wrapText="1" indent="1"/>
    </xf>
    <xf numFmtId="0" fontId="55" fillId="0" borderId="98" xfId="173" applyFont="1" applyBorder="1" applyAlignment="1">
      <alignment horizontal="right" vertical="center" indent="1"/>
    </xf>
    <xf numFmtId="0" fontId="81" fillId="20" borderId="24" xfId="173" applyFont="1" applyFill="1" applyBorder="1" applyAlignment="1">
      <alignment horizontal="right" vertical="center" indent="1"/>
    </xf>
    <xf numFmtId="0" fontId="109" fillId="0" borderId="174" xfId="173" applyFont="1" applyBorder="1" applyAlignment="1">
      <alignment horizontal="right" vertical="center" indent="1"/>
    </xf>
    <xf numFmtId="0" fontId="81" fillId="20" borderId="27" xfId="173" applyFont="1" applyFill="1" applyBorder="1" applyAlignment="1">
      <alignment horizontal="right" vertical="center" wrapText="1" indent="1"/>
    </xf>
    <xf numFmtId="0" fontId="55" fillId="0" borderId="30" xfId="173" applyFont="1" applyBorder="1" applyAlignment="1">
      <alignment horizontal="right" vertical="center" wrapText="1" indent="1"/>
    </xf>
    <xf numFmtId="0" fontId="81" fillId="20" borderId="27" xfId="173" applyFont="1" applyFill="1" applyBorder="1" applyAlignment="1">
      <alignment horizontal="right" vertical="center" indent="1"/>
    </xf>
    <xf numFmtId="3" fontId="40" fillId="20" borderId="150" xfId="0" applyNumberFormat="1" applyFont="1" applyFill="1" applyBorder="1" applyAlignment="1">
      <alignment horizontal="right" vertical="center" indent="1"/>
    </xf>
    <xf numFmtId="168" fontId="42" fillId="0" borderId="28" xfId="176" applyNumberFormat="1" applyFont="1" applyBorder="1" applyAlignment="1">
      <alignment horizontal="right" vertical="center" indent="1"/>
    </xf>
    <xf numFmtId="168" fontId="43" fillId="20" borderId="28" xfId="176" applyNumberFormat="1" applyFont="1" applyFill="1" applyBorder="1" applyAlignment="1">
      <alignment horizontal="right" vertical="center" indent="1"/>
    </xf>
    <xf numFmtId="168" fontId="42" fillId="0" borderId="11" xfId="176" applyNumberFormat="1" applyFont="1" applyBorder="1" applyAlignment="1">
      <alignment horizontal="right" vertical="center" indent="1"/>
    </xf>
    <xf numFmtId="168" fontId="43" fillId="20" borderId="94" xfId="176" applyNumberFormat="1" applyFont="1" applyFill="1" applyBorder="1" applyAlignment="1">
      <alignment horizontal="right" vertical="center" indent="1"/>
    </xf>
    <xf numFmtId="0" fontId="55" fillId="0" borderId="128" xfId="173" applyFont="1" applyBorder="1" applyAlignment="1">
      <alignment vertical="center" wrapText="1"/>
    </xf>
    <xf numFmtId="0" fontId="55" fillId="0" borderId="149" xfId="173" applyFont="1" applyBorder="1" applyAlignment="1">
      <alignment vertical="center" wrapText="1"/>
    </xf>
    <xf numFmtId="0" fontId="55" fillId="0" borderId="176" xfId="173" applyFont="1" applyBorder="1" applyAlignment="1">
      <alignment vertical="center" wrapText="1"/>
    </xf>
    <xf numFmtId="0" fontId="55" fillId="0" borderId="177" xfId="173" applyFont="1" applyBorder="1" applyAlignment="1">
      <alignment vertical="center" wrapText="1"/>
    </xf>
    <xf numFmtId="0" fontId="55" fillId="0" borderId="178" xfId="173" applyFont="1" applyBorder="1" applyAlignment="1">
      <alignment vertical="center" wrapText="1"/>
    </xf>
    <xf numFmtId="0" fontId="55" fillId="0" borderId="177" xfId="819" applyFont="1" applyBorder="1" applyAlignment="1">
      <alignment vertical="center" wrapText="1"/>
    </xf>
    <xf numFmtId="0" fontId="55" fillId="0" borderId="179" xfId="173" applyFont="1" applyBorder="1" applyAlignment="1">
      <alignment vertical="center" wrapText="1"/>
    </xf>
    <xf numFmtId="0" fontId="55" fillId="0" borderId="129" xfId="820" applyFont="1" applyBorder="1" applyAlignment="1">
      <alignment vertical="center" wrapText="1"/>
    </xf>
    <xf numFmtId="0" fontId="55" fillId="0" borderId="180" xfId="820" applyFont="1" applyBorder="1" applyAlignment="1">
      <alignment vertical="center" wrapText="1"/>
    </xf>
    <xf numFmtId="0" fontId="55" fillId="0" borderId="181" xfId="820" applyFont="1" applyBorder="1" applyAlignment="1">
      <alignment vertical="center" wrapText="1"/>
    </xf>
    <xf numFmtId="0" fontId="81" fillId="24" borderId="104" xfId="173" applyFont="1" applyFill="1" applyBorder="1" applyAlignment="1">
      <alignment horizontal="center" vertical="center"/>
    </xf>
    <xf numFmtId="0" fontId="55" fillId="24" borderId="182" xfId="173" applyFont="1" applyFill="1" applyBorder="1" applyAlignment="1">
      <alignment horizontal="center" vertical="center"/>
    </xf>
    <xf numFmtId="0" fontId="55" fillId="24" borderId="104" xfId="173" applyFont="1" applyFill="1" applyBorder="1" applyAlignment="1">
      <alignment horizontal="center" vertical="center"/>
    </xf>
    <xf numFmtId="0" fontId="55" fillId="24" borderId="150" xfId="173" applyFont="1" applyFill="1" applyBorder="1" applyAlignment="1">
      <alignment horizontal="center" vertical="center"/>
    </xf>
    <xf numFmtId="0" fontId="55" fillId="0" borderId="136" xfId="173" applyFont="1" applyBorder="1" applyAlignment="1">
      <alignment horizontal="center" vertical="center"/>
    </xf>
    <xf numFmtId="168" fontId="42" fillId="0" borderId="33" xfId="176" applyNumberFormat="1" applyFont="1" applyBorder="1" applyAlignment="1">
      <alignment horizontal="right" vertical="center" indent="1"/>
    </xf>
    <xf numFmtId="168" fontId="43" fillId="20" borderId="33" xfId="176" applyNumberFormat="1" applyFont="1" applyFill="1" applyBorder="1" applyAlignment="1">
      <alignment horizontal="right" vertical="center" indent="1"/>
    </xf>
    <xf numFmtId="168" fontId="110" fillId="0" borderId="103" xfId="176" applyNumberFormat="1" applyFont="1" applyBorder="1" applyAlignment="1">
      <alignment horizontal="right" vertical="center" indent="1"/>
    </xf>
    <xf numFmtId="168" fontId="42" fillId="0" borderId="13" xfId="176" applyNumberFormat="1" applyFont="1" applyBorder="1" applyAlignment="1">
      <alignment horizontal="right" vertical="center" indent="1"/>
    </xf>
    <xf numFmtId="168" fontId="109" fillId="0" borderId="103" xfId="176" applyNumberFormat="1" applyFont="1" applyBorder="1" applyAlignment="1">
      <alignment horizontal="right" vertical="center" indent="1"/>
    </xf>
    <xf numFmtId="168" fontId="114" fillId="0" borderId="103" xfId="176" applyNumberFormat="1" applyFont="1" applyBorder="1" applyAlignment="1">
      <alignment horizontal="right" vertical="center" indent="1"/>
    </xf>
    <xf numFmtId="168" fontId="112" fillId="0" borderId="103" xfId="176" applyNumberFormat="1" applyFont="1" applyBorder="1" applyAlignment="1">
      <alignment horizontal="right" vertical="center" indent="1"/>
    </xf>
    <xf numFmtId="168" fontId="117" fillId="0" borderId="103" xfId="176" applyNumberFormat="1" applyFont="1" applyBorder="1" applyAlignment="1">
      <alignment horizontal="right" vertical="center" indent="1"/>
    </xf>
    <xf numFmtId="168" fontId="43" fillId="20" borderId="103" xfId="176" applyNumberFormat="1" applyFont="1" applyFill="1" applyBorder="1" applyAlignment="1">
      <alignment horizontal="right" vertical="center" indent="1"/>
    </xf>
    <xf numFmtId="0" fontId="163" fillId="0" borderId="0" xfId="149" applyFont="1" applyAlignment="1">
      <alignment horizontal="center" vertical="center"/>
    </xf>
    <xf numFmtId="0" fontId="55" fillId="0" borderId="163" xfId="173" applyFont="1" applyBorder="1" applyAlignment="1">
      <alignment horizontal="center" vertical="center" wrapText="1"/>
    </xf>
    <xf numFmtId="0" fontId="55" fillId="0" borderId="155" xfId="173" applyFont="1" applyBorder="1" applyAlignment="1">
      <alignment horizontal="center" vertical="center" wrapText="1"/>
    </xf>
    <xf numFmtId="0" fontId="55" fillId="0" borderId="170" xfId="173" applyFont="1" applyBorder="1" applyAlignment="1">
      <alignment horizontal="center" vertical="center" wrapText="1"/>
    </xf>
    <xf numFmtId="0" fontId="55" fillId="0" borderId="157" xfId="173" applyFont="1" applyBorder="1" applyAlignment="1">
      <alignment horizontal="center" vertical="center" wrapText="1"/>
    </xf>
    <xf numFmtId="0" fontId="55" fillId="0" borderId="160" xfId="173" applyFont="1" applyBorder="1" applyAlignment="1">
      <alignment horizontal="center" vertical="center" wrapText="1"/>
    </xf>
    <xf numFmtId="0" fontId="55" fillId="0" borderId="164" xfId="173" applyFont="1" applyBorder="1" applyAlignment="1">
      <alignment horizontal="center" vertical="center" wrapText="1"/>
    </xf>
    <xf numFmtId="0" fontId="0" fillId="0" borderId="0" xfId="0" applyAlignment="1">
      <alignment horizontal="center" wrapText="1"/>
    </xf>
    <xf numFmtId="0" fontId="83" fillId="0" borderId="0" xfId="0" applyFont="1" applyAlignment="1">
      <alignment horizontal="center" vertical="center" wrapText="1"/>
    </xf>
    <xf numFmtId="183" fontId="74" fillId="0" borderId="0" xfId="821" applyNumberFormat="1" applyFont="1" applyAlignment="1">
      <alignment horizontal="center" vertical="center"/>
    </xf>
    <xf numFmtId="0" fontId="40" fillId="20" borderId="194" xfId="0" applyFont="1" applyFill="1" applyBorder="1" applyAlignment="1">
      <alignment horizontal="center" vertical="center" wrapText="1"/>
    </xf>
    <xf numFmtId="0" fontId="81" fillId="0" borderId="0" xfId="822" applyFont="1" applyAlignment="1">
      <alignment horizontal="left" vertical="center" wrapText="1"/>
    </xf>
    <xf numFmtId="2" fontId="0" fillId="0" borderId="0" xfId="0" applyNumberFormat="1" applyAlignment="1">
      <alignment horizontal="center" vertical="center"/>
    </xf>
    <xf numFmtId="2" fontId="0" fillId="0" borderId="0" xfId="0" applyNumberFormat="1" applyAlignment="1">
      <alignment horizontal="center"/>
    </xf>
    <xf numFmtId="0" fontId="100" fillId="0" borderId="0" xfId="0" applyFont="1"/>
    <xf numFmtId="0" fontId="43" fillId="0" borderId="0" xfId="0" applyFont="1" applyAlignment="1">
      <alignment horizontal="center"/>
    </xf>
    <xf numFmtId="0" fontId="59" fillId="20" borderId="194" xfId="0" applyFont="1" applyFill="1" applyBorder="1" applyAlignment="1">
      <alignment horizontal="center" vertical="center" wrapText="1"/>
    </xf>
    <xf numFmtId="0" fontId="58" fillId="35" borderId="194" xfId="0" applyFont="1" applyFill="1" applyBorder="1" applyAlignment="1">
      <alignment horizontal="center" vertical="top" wrapText="1"/>
    </xf>
    <xf numFmtId="2" fontId="58" fillId="35" borderId="194" xfId="0" applyNumberFormat="1" applyFont="1" applyFill="1" applyBorder="1" applyAlignment="1">
      <alignment horizontal="center" vertical="top" wrapText="1"/>
    </xf>
    <xf numFmtId="0" fontId="59" fillId="35" borderId="194" xfId="0" applyFont="1" applyFill="1" applyBorder="1" applyAlignment="1">
      <alignment horizontal="center" vertical="top" wrapText="1"/>
    </xf>
    <xf numFmtId="2" fontId="59" fillId="35" borderId="194" xfId="0" applyNumberFormat="1" applyFont="1" applyFill="1" applyBorder="1" applyAlignment="1">
      <alignment horizontal="center" vertical="top" wrapText="1"/>
    </xf>
    <xf numFmtId="0" fontId="59" fillId="35" borderId="0" xfId="0" applyFont="1" applyFill="1" applyAlignment="1">
      <alignment horizontal="center" vertical="top" wrapText="1"/>
    </xf>
    <xf numFmtId="2" fontId="59" fillId="35" borderId="0" xfId="0" applyNumberFormat="1" applyFont="1" applyFill="1" applyAlignment="1">
      <alignment horizontal="center" vertical="top" wrapText="1"/>
    </xf>
    <xf numFmtId="183" fontId="55" fillId="0" borderId="0" xfId="821" applyNumberFormat="1" applyFont="1" applyAlignment="1">
      <alignment horizontal="center" vertical="center"/>
    </xf>
    <xf numFmtId="183" fontId="55" fillId="0" borderId="194" xfId="821" applyNumberFormat="1" applyFont="1" applyBorder="1" applyAlignment="1">
      <alignment horizontal="center" vertical="center"/>
    </xf>
    <xf numFmtId="0" fontId="102" fillId="0" borderId="194" xfId="377" applyBorder="1" applyAlignment="1">
      <alignment horizontal="center" vertical="center" wrapText="1"/>
    </xf>
    <xf numFmtId="9" fontId="136" fillId="0" borderId="194" xfId="0" applyNumberFormat="1" applyFont="1" applyBorder="1" applyAlignment="1">
      <alignment horizontal="center" vertical="center" wrapText="1"/>
    </xf>
    <xf numFmtId="9" fontId="163" fillId="0" borderId="197" xfId="0" applyNumberFormat="1" applyFont="1" applyBorder="1" applyAlignment="1">
      <alignment horizontal="center" vertical="center" wrapText="1"/>
    </xf>
    <xf numFmtId="9" fontId="136" fillId="0" borderId="198" xfId="0" applyNumberFormat="1" applyFont="1" applyBorder="1" applyAlignment="1">
      <alignment horizontal="center" vertical="center" wrapText="1"/>
    </xf>
    <xf numFmtId="168" fontId="181" fillId="44" borderId="103" xfId="176" applyNumberFormat="1" applyFont="1" applyFill="1" applyBorder="1" applyAlignment="1">
      <alignment horizontal="center" vertical="center"/>
    </xf>
    <xf numFmtId="0" fontId="74" fillId="0" borderId="0" xfId="824" applyFont="1" applyAlignment="1">
      <alignment horizontal="left"/>
    </xf>
    <xf numFmtId="0" fontId="70" fillId="0" borderId="0" xfId="0" applyFont="1" applyAlignment="1">
      <alignment horizontal="left" vertical="justify"/>
    </xf>
    <xf numFmtId="171" fontId="60" fillId="0" borderId="185" xfId="0" applyNumberFormat="1" applyFont="1" applyBorder="1" applyAlignment="1">
      <alignment horizontal="center" vertical="center"/>
    </xf>
    <xf numFmtId="0" fontId="55" fillId="0" borderId="0" xfId="797" applyFont="1" applyAlignment="1">
      <alignment vertical="top" wrapText="1"/>
    </xf>
    <xf numFmtId="168" fontId="81" fillId="44" borderId="103" xfId="176" applyNumberFormat="1" applyFont="1" applyFill="1" applyBorder="1" applyAlignment="1">
      <alignment horizontal="center" vertical="center"/>
    </xf>
    <xf numFmtId="168" fontId="32" fillId="0" borderId="11" xfId="228" applyNumberFormat="1" applyFont="1" applyBorder="1" applyAlignment="1">
      <alignment horizontal="center" vertical="center"/>
    </xf>
    <xf numFmtId="0" fontId="74" fillId="0" borderId="0" xfId="451" applyFont="1" applyAlignment="1">
      <alignment vertical="center"/>
    </xf>
    <xf numFmtId="168" fontId="32" fillId="0" borderId="0" xfId="176" applyNumberFormat="1" applyFont="1" applyAlignment="1">
      <alignment horizontal="center" vertical="center"/>
    </xf>
    <xf numFmtId="0" fontId="138" fillId="0" borderId="141" xfId="451" applyFont="1" applyBorder="1" applyAlignment="1">
      <alignment vertical="center"/>
    </xf>
    <xf numFmtId="168" fontId="166" fillId="0" borderId="50" xfId="228" applyNumberFormat="1" applyFont="1" applyBorder="1" applyAlignment="1">
      <alignment horizontal="center" vertical="center"/>
    </xf>
    <xf numFmtId="168" fontId="166" fillId="0" borderId="50" xfId="176" applyNumberFormat="1" applyFont="1" applyBorder="1" applyAlignment="1">
      <alignment horizontal="center" vertical="center"/>
    </xf>
    <xf numFmtId="168" fontId="138" fillId="0" borderId="132" xfId="176" applyNumberFormat="1" applyFont="1" applyBorder="1" applyAlignment="1">
      <alignment horizontal="center" vertical="center"/>
    </xf>
    <xf numFmtId="0" fontId="74" fillId="0" borderId="125" xfId="451" applyFont="1" applyBorder="1" applyAlignment="1">
      <alignment horizontal="center" vertical="center"/>
    </xf>
    <xf numFmtId="0" fontId="138" fillId="0" borderId="132" xfId="451" applyFont="1" applyBorder="1" applyAlignment="1">
      <alignment horizontal="center" vertical="center"/>
    </xf>
    <xf numFmtId="168" fontId="166" fillId="0" borderId="13" xfId="228" applyNumberFormat="1" applyFont="1" applyBorder="1" applyAlignment="1">
      <alignment horizontal="center" vertical="center"/>
    </xf>
    <xf numFmtId="168" fontId="166" fillId="0" borderId="13" xfId="176" applyNumberFormat="1" applyFont="1" applyBorder="1" applyAlignment="1">
      <alignment horizontal="center" vertical="center"/>
    </xf>
    <xf numFmtId="171" fontId="74" fillId="0" borderId="198" xfId="455" applyNumberFormat="1" applyFont="1" applyBorder="1" applyAlignment="1">
      <alignment horizontal="center" vertical="center"/>
    </xf>
    <xf numFmtId="171" fontId="138" fillId="0" borderId="194" xfId="455" applyNumberFormat="1" applyFont="1" applyBorder="1" applyAlignment="1">
      <alignment horizontal="center" vertical="center"/>
    </xf>
    <xf numFmtId="171" fontId="138" fillId="0" borderId="15" xfId="455" applyNumberFormat="1" applyFont="1" applyBorder="1" applyAlignment="1">
      <alignment horizontal="center" vertical="center"/>
    </xf>
    <xf numFmtId="171" fontId="181" fillId="20" borderId="15" xfId="455" applyNumberFormat="1" applyFont="1" applyFill="1" applyBorder="1" applyAlignment="1">
      <alignment horizontal="center" vertical="center"/>
    </xf>
    <xf numFmtId="171" fontId="181" fillId="44" borderId="103" xfId="0" applyNumberFormat="1" applyFont="1" applyFill="1" applyBorder="1" applyAlignment="1">
      <alignment horizontal="center" vertical="center"/>
    </xf>
    <xf numFmtId="0" fontId="74" fillId="0" borderId="11" xfId="457" applyFont="1" applyBorder="1" applyAlignment="1">
      <alignment horizontal="left" vertical="center"/>
    </xf>
    <xf numFmtId="0" fontId="136" fillId="0" borderId="198" xfId="0" applyFont="1" applyBorder="1" applyAlignment="1">
      <alignment vertical="center" wrapText="1"/>
    </xf>
    <xf numFmtId="0" fontId="102" fillId="0" borderId="198" xfId="377" applyBorder="1" applyAlignment="1">
      <alignment horizontal="center" vertical="center" wrapText="1"/>
    </xf>
    <xf numFmtId="0" fontId="136" fillId="0" borderId="194" xfId="0" applyFont="1" applyBorder="1" applyAlignment="1">
      <alignment vertical="center" wrapText="1"/>
    </xf>
    <xf numFmtId="0" fontId="125" fillId="0" borderId="0" xfId="825" applyFont="1" applyAlignment="1">
      <alignment horizontal="left" vertical="center"/>
    </xf>
    <xf numFmtId="0" fontId="45" fillId="20" borderId="194" xfId="0" applyFont="1" applyFill="1" applyBorder="1" applyAlignment="1">
      <alignment horizontal="center" vertical="center" wrapText="1"/>
    </xf>
    <xf numFmtId="0" fontId="83" fillId="20" borderId="194" xfId="0" applyFont="1" applyFill="1" applyBorder="1" applyAlignment="1">
      <alignment horizontal="center" vertical="center" wrapText="1"/>
    </xf>
    <xf numFmtId="2" fontId="83" fillId="20" borderId="194" xfId="0" applyNumberFormat="1" applyFont="1" applyFill="1" applyBorder="1" applyAlignment="1">
      <alignment horizontal="center" vertical="center" wrapText="1"/>
    </xf>
    <xf numFmtId="0" fontId="64" fillId="35" borderId="194" xfId="0" applyFont="1" applyFill="1" applyBorder="1" applyAlignment="1">
      <alignment horizontal="center" vertical="center" wrapText="1"/>
    </xf>
    <xf numFmtId="2" fontId="64" fillId="35" borderId="194" xfId="176" applyNumberFormat="1" applyFont="1" applyFill="1" applyBorder="1" applyAlignment="1">
      <alignment horizontal="center" vertical="center" wrapText="1"/>
    </xf>
    <xf numFmtId="168" fontId="64" fillId="44" borderId="194" xfId="176" applyNumberFormat="1" applyFont="1" applyFill="1" applyBorder="1" applyAlignment="1">
      <alignment horizontal="center" vertical="center" wrapText="1"/>
    </xf>
    <xf numFmtId="168" fontId="64" fillId="0" borderId="194" xfId="176" applyNumberFormat="1" applyFont="1" applyBorder="1" applyAlignment="1">
      <alignment horizontal="center" vertical="center" wrapText="1"/>
    </xf>
    <xf numFmtId="0" fontId="83" fillId="35" borderId="194" xfId="0" applyFont="1" applyFill="1" applyBorder="1" applyAlignment="1">
      <alignment horizontal="center" vertical="center" wrapText="1"/>
    </xf>
    <xf numFmtId="171" fontId="64" fillId="0" borderId="194" xfId="176" applyNumberFormat="1" applyFont="1" applyBorder="1" applyAlignment="1">
      <alignment horizontal="center" vertical="center" wrapText="1"/>
    </xf>
    <xf numFmtId="0" fontId="32" fillId="0" borderId="0" xfId="246" applyFont="1" applyAlignment="1">
      <alignment horizontal="center" vertical="center"/>
    </xf>
    <xf numFmtId="0" fontId="32" fillId="0" borderId="0" xfId="246" applyFont="1"/>
    <xf numFmtId="0" fontId="42" fillId="0" borderId="0" xfId="246" applyFont="1" applyAlignment="1">
      <alignment horizontal="center" wrapText="1"/>
    </xf>
    <xf numFmtId="0" fontId="89" fillId="0" borderId="0" xfId="0" applyFont="1" applyAlignment="1">
      <alignment horizontal="center" vertical="center"/>
    </xf>
    <xf numFmtId="0" fontId="166" fillId="0" borderId="0" xfId="246" applyFont="1" applyAlignment="1">
      <alignment horizontal="center" vertical="center"/>
    </xf>
    <xf numFmtId="0" fontId="43" fillId="20" borderId="198" xfId="246" applyFont="1" applyFill="1" applyBorder="1" applyAlignment="1">
      <alignment horizontal="center" vertical="center" wrapText="1"/>
    </xf>
    <xf numFmtId="0" fontId="90" fillId="20" borderId="198" xfId="246" applyFont="1" applyFill="1" applyBorder="1" applyAlignment="1">
      <alignment horizontal="center" vertical="center" wrapText="1"/>
    </xf>
    <xf numFmtId="0" fontId="43" fillId="44" borderId="194" xfId="246" applyFont="1" applyFill="1" applyBorder="1" applyAlignment="1">
      <alignment horizontal="center" vertical="center"/>
    </xf>
    <xf numFmtId="0" fontId="166" fillId="0" borderId="0" xfId="246" applyFont="1"/>
    <xf numFmtId="0" fontId="88" fillId="0" borderId="0" xfId="246" applyFont="1" applyAlignment="1">
      <alignment horizontal="center" vertical="center"/>
    </xf>
    <xf numFmtId="0" fontId="0" fillId="0" borderId="194" xfId="0" applyBorder="1" applyAlignment="1">
      <alignment vertical="center" wrapText="1"/>
    </xf>
    <xf numFmtId="0" fontId="42" fillId="0" borderId="175" xfId="246" applyFont="1" applyBorder="1" applyAlignment="1">
      <alignment horizontal="center" vertical="center" wrapText="1"/>
    </xf>
    <xf numFmtId="0" fontId="61" fillId="0" borderId="15" xfId="246" applyFont="1" applyBorder="1" applyAlignment="1">
      <alignment horizontal="center" vertical="center"/>
    </xf>
    <xf numFmtId="0" fontId="61" fillId="26" borderId="15" xfId="246" applyFont="1" applyFill="1" applyBorder="1" applyAlignment="1">
      <alignment horizontal="center" vertical="center"/>
    </xf>
    <xf numFmtId="0" fontId="61" fillId="0" borderId="194" xfId="246" applyFont="1" applyBorder="1" applyAlignment="1">
      <alignment horizontal="center" vertical="center"/>
    </xf>
    <xf numFmtId="0" fontId="61" fillId="0" borderId="15" xfId="0" applyFont="1" applyBorder="1" applyAlignment="1">
      <alignment horizontal="center" vertical="center"/>
    </xf>
    <xf numFmtId="0" fontId="51" fillId="0" borderId="15" xfId="0" applyFont="1" applyBorder="1" applyAlignment="1">
      <alignment horizontal="center" vertical="center"/>
    </xf>
    <xf numFmtId="0" fontId="61" fillId="23" borderId="194" xfId="246" applyFont="1" applyFill="1" applyBorder="1" applyAlignment="1">
      <alignment horizontal="center" vertical="center"/>
    </xf>
    <xf numFmtId="0" fontId="61" fillId="26" borderId="194" xfId="246" applyFont="1" applyFill="1" applyBorder="1" applyAlignment="1">
      <alignment horizontal="center" vertical="center"/>
    </xf>
    <xf numFmtId="0" fontId="61" fillId="0" borderId="194" xfId="0" applyFont="1" applyBorder="1" applyAlignment="1">
      <alignment horizontal="center" vertical="center"/>
    </xf>
    <xf numFmtId="0" fontId="51" fillId="0" borderId="194" xfId="0" applyFont="1" applyBorder="1" applyAlignment="1">
      <alignment horizontal="center" vertical="center"/>
    </xf>
    <xf numFmtId="0" fontId="61" fillId="27" borderId="194" xfId="246" applyFont="1" applyFill="1" applyBorder="1" applyAlignment="1">
      <alignment horizontal="center" vertical="center"/>
    </xf>
    <xf numFmtId="0" fontId="61" fillId="0" borderId="198" xfId="246" applyFont="1" applyBorder="1" applyAlignment="1">
      <alignment horizontal="center" vertical="center"/>
    </xf>
    <xf numFmtId="0" fontId="61" fillId="26" borderId="198" xfId="246" applyFont="1" applyFill="1" applyBorder="1" applyAlignment="1">
      <alignment horizontal="center" vertical="center"/>
    </xf>
    <xf numFmtId="0" fontId="61" fillId="23" borderId="198" xfId="246" applyFont="1" applyFill="1" applyBorder="1" applyAlignment="1">
      <alignment horizontal="center" vertical="center"/>
    </xf>
    <xf numFmtId="0" fontId="42" fillId="0" borderId="197" xfId="246" applyFont="1" applyBorder="1" applyAlignment="1">
      <alignment horizontal="center" vertical="center" wrapText="1"/>
    </xf>
    <xf numFmtId="0" fontId="61" fillId="26" borderId="15" xfId="0" applyFont="1" applyFill="1" applyBorder="1" applyAlignment="1">
      <alignment horizontal="center" vertical="center" wrapText="1"/>
    </xf>
    <xf numFmtId="0" fontId="61" fillId="0" borderId="194" xfId="0" applyFont="1" applyBorder="1" applyAlignment="1">
      <alignment horizontal="center" vertical="center" wrapText="1"/>
    </xf>
    <xf numFmtId="0" fontId="61" fillId="0" borderId="15" xfId="0" applyFont="1" applyBorder="1" applyAlignment="1">
      <alignment horizontal="center" vertical="center" wrapText="1"/>
    </xf>
    <xf numFmtId="0" fontId="61" fillId="26" borderId="194" xfId="246" applyFont="1" applyFill="1" applyBorder="1" applyAlignment="1">
      <alignment horizontal="center" vertical="center" wrapText="1"/>
    </xf>
    <xf numFmtId="0" fontId="61" fillId="46" borderId="198" xfId="0" applyFont="1" applyFill="1" applyBorder="1" applyAlignment="1">
      <alignment horizontal="center" vertical="center"/>
    </xf>
    <xf numFmtId="0" fontId="61" fillId="46" borderId="194" xfId="0" applyFont="1" applyFill="1" applyBorder="1" applyAlignment="1">
      <alignment horizontal="center" vertical="center"/>
    </xf>
    <xf numFmtId="0" fontId="61" fillId="23" borderId="194" xfId="0" applyFont="1" applyFill="1" applyBorder="1" applyAlignment="1">
      <alignment horizontal="center" vertical="center"/>
    </xf>
    <xf numFmtId="0" fontId="88" fillId="26" borderId="15" xfId="246" applyFont="1" applyFill="1" applyBorder="1" applyAlignment="1">
      <alignment horizontal="center" vertical="center" wrapText="1"/>
    </xf>
    <xf numFmtId="0" fontId="61" fillId="0" borderId="198" xfId="0" applyFont="1" applyBorder="1" applyAlignment="1">
      <alignment horizontal="center" vertical="center"/>
    </xf>
    <xf numFmtId="0" fontId="61" fillId="23" borderId="15" xfId="246" applyFont="1" applyFill="1" applyBorder="1" applyAlignment="1">
      <alignment horizontal="center" vertical="center"/>
    </xf>
    <xf numFmtId="0" fontId="61" fillId="46" borderId="15" xfId="0" applyFont="1" applyFill="1" applyBorder="1" applyAlignment="1">
      <alignment horizontal="center" vertical="center"/>
    </xf>
    <xf numFmtId="0" fontId="32" fillId="0" borderId="194" xfId="246" applyFont="1" applyBorder="1"/>
    <xf numFmtId="14" fontId="61" fillId="0" borderId="194" xfId="246" applyNumberFormat="1" applyFont="1" applyBorder="1" applyAlignment="1">
      <alignment horizontal="center" vertical="center"/>
    </xf>
    <xf numFmtId="0" fontId="42" fillId="0" borderId="185" xfId="246" applyFont="1" applyBorder="1" applyAlignment="1">
      <alignment horizontal="center" vertical="center" wrapText="1"/>
    </xf>
    <xf numFmtId="0" fontId="61" fillId="47" borderId="194" xfId="246" applyFont="1" applyFill="1" applyBorder="1" applyAlignment="1">
      <alignment horizontal="center" vertical="center"/>
    </xf>
    <xf numFmtId="0" fontId="61" fillId="47" borderId="194" xfId="246" applyFont="1" applyFill="1" applyBorder="1" applyAlignment="1">
      <alignment horizontal="center" vertical="center" wrapText="1"/>
    </xf>
    <xf numFmtId="0" fontId="61" fillId="26" borderId="15" xfId="246" applyFont="1" applyFill="1" applyBorder="1" applyAlignment="1">
      <alignment horizontal="center" vertical="center" wrapText="1"/>
    </xf>
    <xf numFmtId="0" fontId="61" fillId="27" borderId="198" xfId="246" applyFont="1" applyFill="1" applyBorder="1" applyAlignment="1">
      <alignment horizontal="center" vertical="center"/>
    </xf>
    <xf numFmtId="0" fontId="43" fillId="0" borderId="194" xfId="246" applyFont="1" applyBorder="1" applyAlignment="1">
      <alignment horizontal="center" vertical="center"/>
    </xf>
    <xf numFmtId="0" fontId="166" fillId="0" borderId="194" xfId="246" applyFont="1" applyBorder="1" applyAlignment="1">
      <alignment horizontal="center" vertical="center"/>
    </xf>
    <xf numFmtId="0" fontId="42" fillId="26" borderId="0" xfId="246" applyFont="1" applyFill="1" applyAlignment="1">
      <alignment horizontal="center" vertical="center" wrapText="1"/>
    </xf>
    <xf numFmtId="0" fontId="42" fillId="23" borderId="0" xfId="246" applyFont="1" applyFill="1" applyAlignment="1">
      <alignment horizontal="center" vertical="center" wrapText="1"/>
    </xf>
    <xf numFmtId="0" fontId="42" fillId="27" borderId="0" xfId="246" applyFont="1" applyFill="1" applyAlignment="1">
      <alignment horizontal="center" vertical="center" wrapText="1"/>
    </xf>
    <xf numFmtId="0" fontId="139" fillId="29" borderId="0" xfId="246" applyFont="1" applyFill="1" applyAlignment="1">
      <alignment horizontal="center" vertical="center" wrapText="1"/>
    </xf>
    <xf numFmtId="0" fontId="139" fillId="47" borderId="0" xfId="246" applyFont="1" applyFill="1" applyAlignment="1">
      <alignment horizontal="center" vertical="center" wrapText="1"/>
    </xf>
    <xf numFmtId="14" fontId="141" fillId="0" borderId="0" xfId="246" applyNumberFormat="1" applyFont="1" applyAlignment="1">
      <alignment vertical="center"/>
    </xf>
    <xf numFmtId="14" fontId="141" fillId="0" borderId="0" xfId="246" applyNumberFormat="1" applyFont="1" applyAlignment="1">
      <alignment horizontal="center" vertical="center"/>
    </xf>
    <xf numFmtId="14" fontId="43" fillId="0" borderId="0" xfId="246" applyNumberFormat="1" applyFont="1" applyAlignment="1">
      <alignment wrapText="1"/>
    </xf>
    <xf numFmtId="0" fontId="32" fillId="0" borderId="0" xfId="246" applyFont="1" applyAlignment="1">
      <alignment wrapText="1"/>
    </xf>
    <xf numFmtId="0" fontId="32" fillId="0" borderId="0" xfId="246" applyFont="1" applyAlignment="1">
      <alignment horizontal="center" wrapText="1"/>
    </xf>
    <xf numFmtId="0" fontId="32" fillId="0" borderId="0" xfId="246" applyFont="1" applyAlignment="1">
      <alignment horizontal="left"/>
    </xf>
    <xf numFmtId="0" fontId="43" fillId="44" borderId="198" xfId="246" applyFont="1" applyFill="1" applyBorder="1" applyAlignment="1">
      <alignment horizontal="center" vertical="center" wrapText="1"/>
    </xf>
    <xf numFmtId="0" fontId="61" fillId="0" borderId="15" xfId="246" applyFont="1" applyBorder="1" applyAlignment="1">
      <alignment horizontal="center" vertical="center" wrapText="1"/>
    </xf>
    <xf numFmtId="0" fontId="61" fillId="0" borderId="194" xfId="246" applyFont="1" applyBorder="1" applyAlignment="1">
      <alignment horizontal="center" vertical="center" wrapText="1"/>
    </xf>
    <xf numFmtId="0" fontId="61" fillId="0" borderId="198" xfId="246" applyFont="1" applyBorder="1" applyAlignment="1">
      <alignment horizontal="center" vertical="center" wrapText="1"/>
    </xf>
    <xf numFmtId="0" fontId="61" fillId="26" borderId="198" xfId="246" applyFont="1" applyFill="1" applyBorder="1" applyAlignment="1">
      <alignment horizontal="center" vertical="center" wrapText="1"/>
    </xf>
    <xf numFmtId="0" fontId="61" fillId="27" borderId="198" xfId="246" applyFont="1" applyFill="1" applyBorder="1" applyAlignment="1">
      <alignment horizontal="center" vertical="center" wrapText="1"/>
    </xf>
    <xf numFmtId="0" fontId="61" fillId="23" borderId="194" xfId="246" applyFont="1" applyFill="1" applyBorder="1" applyAlignment="1">
      <alignment horizontal="center" vertical="center" wrapText="1"/>
    </xf>
    <xf numFmtId="0" fontId="61" fillId="27" borderId="194" xfId="246" applyFont="1" applyFill="1" applyBorder="1" applyAlignment="1">
      <alignment horizontal="center" vertical="center" wrapText="1"/>
    </xf>
    <xf numFmtId="0" fontId="42" fillId="0" borderId="184" xfId="246" applyFont="1" applyBorder="1" applyAlignment="1">
      <alignment horizontal="center" vertical="center" wrapText="1"/>
    </xf>
    <xf numFmtId="0" fontId="42" fillId="51" borderId="0" xfId="246" applyFont="1" applyFill="1" applyAlignment="1">
      <alignment horizontal="center" vertical="center" wrapText="1"/>
    </xf>
    <xf numFmtId="0" fontId="89" fillId="20" borderId="175" xfId="246" applyFont="1" applyFill="1" applyBorder="1" applyAlignment="1">
      <alignment horizontal="center" vertical="center" wrapText="1"/>
    </xf>
    <xf numFmtId="0" fontId="61" fillId="20" borderId="15" xfId="246" applyFont="1" applyFill="1" applyBorder="1" applyAlignment="1">
      <alignment horizontal="center" vertical="center" wrapText="1"/>
    </xf>
    <xf numFmtId="0" fontId="61" fillId="20" borderId="194" xfId="246" applyFont="1" applyFill="1" applyBorder="1" applyAlignment="1">
      <alignment horizontal="center" vertical="center" wrapText="1"/>
    </xf>
    <xf numFmtId="0" fontId="61" fillId="20" borderId="194" xfId="0" applyFont="1" applyFill="1" applyBorder="1" applyAlignment="1">
      <alignment horizontal="center" vertical="center" wrapText="1"/>
    </xf>
    <xf numFmtId="0" fontId="42" fillId="0" borderId="194" xfId="246" applyFont="1" applyBorder="1" applyAlignment="1">
      <alignment horizontal="center" vertical="center" wrapText="1"/>
    </xf>
    <xf numFmtId="0" fontId="42" fillId="0" borderId="185" xfId="0" applyFont="1" applyBorder="1" applyAlignment="1">
      <alignment horizontal="center" wrapText="1"/>
    </xf>
    <xf numFmtId="0" fontId="51" fillId="0" borderId="194" xfId="0" applyFont="1" applyBorder="1"/>
    <xf numFmtId="0" fontId="89" fillId="25" borderId="194" xfId="0" applyFont="1" applyFill="1" applyBorder="1" applyAlignment="1">
      <alignment vertical="center" wrapText="1"/>
    </xf>
    <xf numFmtId="0" fontId="147" fillId="20" borderId="197" xfId="246" applyFont="1" applyFill="1" applyBorder="1" applyAlignment="1">
      <alignment horizontal="center" vertical="center" wrapText="1"/>
    </xf>
    <xf numFmtId="0" fontId="147" fillId="20" borderId="185" xfId="246" applyFont="1" applyFill="1" applyBorder="1" applyAlignment="1">
      <alignment horizontal="center" vertical="center" wrapText="1"/>
    </xf>
    <xf numFmtId="0" fontId="61" fillId="20" borderId="198" xfId="246" applyFont="1" applyFill="1" applyBorder="1" applyAlignment="1">
      <alignment horizontal="center" vertical="center" wrapText="1"/>
    </xf>
    <xf numFmtId="0" fontId="58" fillId="0" borderId="194" xfId="0" applyFont="1" applyBorder="1" applyAlignment="1">
      <alignment vertical="center" wrapText="1"/>
    </xf>
    <xf numFmtId="0" fontId="38" fillId="0" borderId="197" xfId="246" applyFont="1" applyBorder="1" applyAlignment="1">
      <alignment horizontal="center" vertical="center" wrapText="1"/>
    </xf>
    <xf numFmtId="0" fontId="42" fillId="20" borderId="197" xfId="246" applyFont="1" applyFill="1" applyBorder="1" applyAlignment="1">
      <alignment horizontal="center" vertical="center" wrapText="1"/>
    </xf>
    <xf numFmtId="0" fontId="61" fillId="29" borderId="194" xfId="0" applyFont="1" applyFill="1" applyBorder="1" applyAlignment="1">
      <alignment horizontal="center" vertical="center" wrapText="1"/>
    </xf>
    <xf numFmtId="0" fontId="89" fillId="44" borderId="194" xfId="0" applyFont="1" applyFill="1" applyBorder="1" applyAlignment="1">
      <alignment vertical="center" wrapText="1"/>
    </xf>
    <xf numFmtId="0" fontId="42" fillId="0" borderId="197" xfId="0" applyFont="1" applyBorder="1" applyAlignment="1">
      <alignment horizontal="center" vertical="center" wrapText="1"/>
    </xf>
    <xf numFmtId="0" fontId="51" fillId="0" borderId="194" xfId="0" applyFont="1" applyBorder="1" applyAlignment="1">
      <alignment horizontal="center" vertical="center" wrapText="1"/>
    </xf>
    <xf numFmtId="0" fontId="61" fillId="0" borderId="0" xfId="246" applyFont="1" applyAlignment="1">
      <alignment horizontal="left" vertical="center" wrapText="1"/>
    </xf>
    <xf numFmtId="0" fontId="43" fillId="0" borderId="194" xfId="246" applyFont="1" applyBorder="1" applyAlignment="1">
      <alignment horizontal="center" vertical="center" wrapText="1"/>
    </xf>
    <xf numFmtId="0" fontId="61" fillId="0" borderId="0" xfId="0" applyFont="1" applyAlignment="1">
      <alignment horizontal="left" vertical="center" wrapText="1"/>
    </xf>
    <xf numFmtId="168" fontId="190" fillId="0" borderId="174" xfId="176" applyNumberFormat="1" applyFont="1" applyBorder="1" applyAlignment="1">
      <alignment horizontal="center" vertical="center" wrapText="1"/>
    </xf>
    <xf numFmtId="168" fontId="49" fillId="0" borderId="174" xfId="176" applyNumberFormat="1" applyFont="1" applyBorder="1" applyAlignment="1">
      <alignment horizontal="center" wrapText="1"/>
    </xf>
    <xf numFmtId="168" fontId="49" fillId="44" borderId="174" xfId="176" applyNumberFormat="1" applyFont="1" applyFill="1" applyBorder="1" applyAlignment="1">
      <alignment horizontal="center" wrapText="1"/>
    </xf>
    <xf numFmtId="0" fontId="88" fillId="0" borderId="0" xfId="246" applyFont="1" applyAlignment="1">
      <alignment vertical="center" wrapText="1"/>
    </xf>
    <xf numFmtId="0" fontId="136" fillId="0" borderId="206" xfId="0" applyFont="1" applyBorder="1" applyAlignment="1">
      <alignment vertical="center" wrapText="1"/>
    </xf>
    <xf numFmtId="9" fontId="136" fillId="43" borderId="104" xfId="0" applyNumberFormat="1" applyFont="1" applyFill="1" applyBorder="1" applyAlignment="1">
      <alignment horizontal="center" vertical="center" wrapText="1"/>
    </xf>
    <xf numFmtId="0" fontId="134" fillId="0" borderId="0" xfId="0" applyFont="1" applyAlignment="1">
      <alignment vertical="top"/>
    </xf>
    <xf numFmtId="0" fontId="28" fillId="0" borderId="0" xfId="0" applyFont="1" applyAlignment="1">
      <alignment vertical="top"/>
    </xf>
    <xf numFmtId="0" fontId="51" fillId="0" borderId="0" xfId="0" applyFont="1" applyAlignment="1">
      <alignment vertical="top"/>
    </xf>
    <xf numFmtId="170" fontId="45" fillId="20" borderId="103" xfId="217" applyNumberFormat="1" applyFont="1" applyFill="1" applyBorder="1" applyAlignment="1">
      <alignment horizontal="center" vertical="center"/>
    </xf>
    <xf numFmtId="0" fontId="17" fillId="0" borderId="205" xfId="0" applyFont="1" applyBorder="1" applyAlignment="1">
      <alignment horizontal="center" vertical="center"/>
    </xf>
    <xf numFmtId="167" fontId="44" fillId="0" borderId="209" xfId="217" applyNumberFormat="1" applyFont="1" applyBorder="1" applyAlignment="1">
      <alignment vertical="center"/>
    </xf>
    <xf numFmtId="167" fontId="44" fillId="0" borderId="210" xfId="217" applyNumberFormat="1" applyFont="1" applyBorder="1" applyAlignment="1">
      <alignment vertical="center"/>
    </xf>
    <xf numFmtId="167" fontId="45" fillId="0" borderId="208" xfId="217" applyNumberFormat="1" applyFont="1" applyBorder="1" applyAlignment="1">
      <alignment vertical="center"/>
    </xf>
    <xf numFmtId="168" fontId="0" fillId="0" borderId="209" xfId="176" applyNumberFormat="1" applyFont="1" applyBorder="1" applyAlignment="1">
      <alignment horizontal="right" indent="1"/>
    </xf>
    <xf numFmtId="168" fontId="0" fillId="0" borderId="205" xfId="176" applyNumberFormat="1" applyFont="1" applyBorder="1" applyAlignment="1">
      <alignment horizontal="right" indent="1"/>
    </xf>
    <xf numFmtId="0" fontId="17" fillId="0" borderId="13" xfId="0" applyFont="1" applyBorder="1" applyAlignment="1">
      <alignment horizontal="center" vertical="center"/>
    </xf>
    <xf numFmtId="167" fontId="44" fillId="0" borderId="10" xfId="217" applyNumberFormat="1" applyFont="1" applyBorder="1" applyAlignment="1">
      <alignment vertical="center"/>
    </xf>
    <xf numFmtId="167" fontId="44" fillId="0" borderId="0" xfId="217" applyNumberFormat="1" applyFont="1" applyAlignment="1">
      <alignment vertical="center"/>
    </xf>
    <xf numFmtId="167" fontId="45" fillId="0" borderId="11" xfId="217" applyNumberFormat="1" applyFont="1" applyBorder="1" applyAlignment="1">
      <alignment vertical="center"/>
    </xf>
    <xf numFmtId="0" fontId="24" fillId="20" borderId="103" xfId="0" applyFont="1" applyFill="1" applyBorder="1" applyAlignment="1">
      <alignment horizontal="centerContinuous" vertical="center"/>
    </xf>
    <xf numFmtId="168" fontId="40" fillId="20" borderId="104" xfId="176" applyNumberFormat="1" applyFont="1" applyFill="1" applyBorder="1" applyAlignment="1">
      <alignment horizontal="right" indent="1"/>
    </xf>
    <xf numFmtId="167" fontId="45" fillId="20" borderId="104" xfId="217" applyNumberFormat="1" applyFont="1" applyFill="1" applyBorder="1" applyAlignment="1">
      <alignment vertical="center"/>
    </xf>
    <xf numFmtId="167" fontId="45" fillId="20" borderId="207" xfId="217" applyNumberFormat="1" applyFont="1" applyFill="1" applyBorder="1" applyAlignment="1">
      <alignment vertical="center"/>
    </xf>
    <xf numFmtId="167" fontId="45" fillId="20" borderId="206" xfId="217" applyNumberFormat="1" applyFont="1" applyFill="1" applyBorder="1" applyAlignment="1">
      <alignment vertical="center"/>
    </xf>
    <xf numFmtId="167" fontId="1" fillId="0" borderId="0" xfId="0" applyNumberFormat="1" applyFont="1" applyAlignment="1">
      <alignment vertical="center"/>
    </xf>
    <xf numFmtId="167" fontId="44" fillId="0" borderId="173" xfId="217" applyNumberFormat="1" applyFont="1" applyBorder="1" applyAlignment="1">
      <alignment vertical="center"/>
    </xf>
    <xf numFmtId="167" fontId="44" fillId="0" borderId="174" xfId="217" applyNumberFormat="1" applyFont="1" applyBorder="1" applyAlignment="1">
      <alignment vertical="center"/>
    </xf>
    <xf numFmtId="0" fontId="17" fillId="0" borderId="15" xfId="0" applyFont="1" applyBorder="1" applyAlignment="1">
      <alignment horizontal="center" vertical="center"/>
    </xf>
    <xf numFmtId="3" fontId="1" fillId="0" borderId="214" xfId="229" applyNumberFormat="1" applyBorder="1" applyAlignment="1">
      <alignment horizontal="right" vertical="center" indent="1"/>
    </xf>
    <xf numFmtId="0" fontId="206" fillId="0" borderId="0" xfId="0" applyFont="1" applyAlignment="1">
      <alignment vertical="center"/>
    </xf>
    <xf numFmtId="3" fontId="1" fillId="0" borderId="15" xfId="229" applyNumberFormat="1" applyBorder="1" applyAlignment="1">
      <alignment horizontal="right" vertical="center" indent="1"/>
    </xf>
    <xf numFmtId="168" fontId="5" fillId="44" borderId="211" xfId="176" applyNumberFormat="1" applyFont="1" applyFill="1" applyBorder="1" applyAlignment="1">
      <alignment horizontal="right" vertical="center" indent="1"/>
    </xf>
    <xf numFmtId="168" fontId="5" fillId="20" borderId="211" xfId="176" applyNumberFormat="1" applyFont="1" applyFill="1" applyBorder="1" applyAlignment="1">
      <alignment horizontal="right" vertical="center" indent="1"/>
    </xf>
    <xf numFmtId="0" fontId="51" fillId="0" borderId="0" xfId="0" applyFont="1" applyAlignment="1">
      <alignment horizontal="center" vertical="center" wrapText="1"/>
    </xf>
    <xf numFmtId="0" fontId="208" fillId="20" borderId="103" xfId="229" applyFont="1" applyFill="1" applyBorder="1" applyAlignment="1">
      <alignment horizontal="center" vertical="center"/>
    </xf>
    <xf numFmtId="167" fontId="61" fillId="0" borderId="119" xfId="197" applyNumberFormat="1" applyFont="1" applyBorder="1" applyAlignment="1">
      <alignment horizontal="center" vertical="center"/>
    </xf>
    <xf numFmtId="169" fontId="61" fillId="0" borderId="97" xfId="235" applyNumberFormat="1" applyFont="1" applyBorder="1" applyAlignment="1">
      <alignment horizontal="right" vertical="center" indent="1"/>
    </xf>
    <xf numFmtId="167" fontId="61" fillId="0" borderId="120" xfId="197" applyNumberFormat="1" applyFont="1" applyBorder="1" applyAlignment="1">
      <alignment horizontal="center" vertical="center"/>
    </xf>
    <xf numFmtId="169" fontId="61" fillId="0" borderId="18" xfId="235" applyNumberFormat="1" applyFont="1" applyBorder="1" applyAlignment="1">
      <alignment horizontal="right" vertical="center" indent="1"/>
    </xf>
    <xf numFmtId="169" fontId="61" fillId="0" borderId="21" xfId="235" applyNumberFormat="1" applyFont="1" applyBorder="1" applyAlignment="1">
      <alignment horizontal="right" vertical="center" indent="1"/>
    </xf>
    <xf numFmtId="169" fontId="208" fillId="23" borderId="103" xfId="235" applyNumberFormat="1" applyFont="1" applyFill="1" applyBorder="1" applyAlignment="1">
      <alignment horizontal="right" vertical="center" indent="1"/>
    </xf>
    <xf numFmtId="0" fontId="61" fillId="0" borderId="0" xfId="229" applyFont="1" applyAlignment="1">
      <alignment horizontal="left" vertical="center"/>
    </xf>
    <xf numFmtId="3" fontId="90" fillId="0" borderId="0" xfId="229" applyNumberFormat="1" applyFont="1" applyAlignment="1">
      <alignment horizontal="right" vertical="center" indent="1"/>
    </xf>
    <xf numFmtId="0" fontId="209" fillId="20" borderId="103" xfId="229" applyFont="1" applyFill="1" applyBorder="1" applyAlignment="1">
      <alignment horizontal="center" vertical="center"/>
    </xf>
    <xf numFmtId="167" fontId="61" fillId="0" borderId="103" xfId="197" applyNumberFormat="1" applyFont="1" applyBorder="1" applyAlignment="1">
      <alignment horizontal="center" vertical="center"/>
    </xf>
    <xf numFmtId="167" fontId="61" fillId="0" borderId="121" xfId="197" applyNumberFormat="1" applyFont="1" applyBorder="1" applyAlignment="1">
      <alignment horizontal="center" vertical="center"/>
    </xf>
    <xf numFmtId="167" fontId="61" fillId="0" borderId="211" xfId="197" applyNumberFormat="1" applyFont="1" applyBorder="1" applyAlignment="1">
      <alignment horizontal="center" vertical="center"/>
    </xf>
    <xf numFmtId="3" fontId="209" fillId="20" borderId="211" xfId="229" applyNumberFormat="1" applyFont="1" applyFill="1" applyBorder="1" applyAlignment="1">
      <alignment horizontal="right" vertical="center" indent="1"/>
    </xf>
    <xf numFmtId="0" fontId="210" fillId="20" borderId="211" xfId="229" applyFont="1" applyFill="1" applyBorder="1" applyAlignment="1">
      <alignment horizontal="center" vertical="center"/>
    </xf>
    <xf numFmtId="167" fontId="61" fillId="0" borderId="97" xfId="197" applyNumberFormat="1" applyFont="1" applyBorder="1" applyAlignment="1">
      <alignment horizontal="center" vertical="center"/>
    </xf>
    <xf numFmtId="3" fontId="61" fillId="0" borderId="97" xfId="229" applyNumberFormat="1" applyFont="1" applyBorder="1" applyAlignment="1">
      <alignment horizontal="center" vertical="center"/>
    </xf>
    <xf numFmtId="167" fontId="61" fillId="0" borderId="18" xfId="197" applyNumberFormat="1" applyFont="1" applyBorder="1" applyAlignment="1">
      <alignment horizontal="center" vertical="center"/>
    </xf>
    <xf numFmtId="3" fontId="61" fillId="0" borderId="18" xfId="229" applyNumberFormat="1" applyFont="1" applyBorder="1" applyAlignment="1">
      <alignment horizontal="center" vertical="center"/>
    </xf>
    <xf numFmtId="167" fontId="61" fillId="0" borderId="21" xfId="197" applyNumberFormat="1" applyFont="1" applyBorder="1" applyAlignment="1">
      <alignment horizontal="center" vertical="center"/>
    </xf>
    <xf numFmtId="3" fontId="61" fillId="0" borderId="21" xfId="229" applyNumberFormat="1" applyFont="1" applyBorder="1" applyAlignment="1">
      <alignment horizontal="center" vertical="center"/>
    </xf>
    <xf numFmtId="3" fontId="210" fillId="20" borderId="211" xfId="0" applyNumberFormat="1" applyFont="1" applyFill="1" applyBorder="1" applyAlignment="1">
      <alignment horizontal="center" vertical="center" wrapText="1"/>
    </xf>
    <xf numFmtId="0" fontId="211" fillId="20" borderId="211" xfId="229" applyFont="1" applyFill="1" applyBorder="1" applyAlignment="1">
      <alignment horizontal="center" vertical="center"/>
    </xf>
    <xf numFmtId="3" fontId="211" fillId="20" borderId="211" xfId="0" applyNumberFormat="1" applyFont="1" applyFill="1" applyBorder="1" applyAlignment="1">
      <alignment horizontal="center" wrapText="1"/>
    </xf>
    <xf numFmtId="0" fontId="212" fillId="20" borderId="211" xfId="229" applyFont="1" applyFill="1" applyBorder="1" applyAlignment="1">
      <alignment horizontal="center" vertical="center"/>
    </xf>
    <xf numFmtId="0" fontId="61" fillId="0" borderId="0" xfId="229" applyFont="1"/>
    <xf numFmtId="3" fontId="61" fillId="0" borderId="97" xfId="229" applyNumberFormat="1" applyFont="1" applyBorder="1" applyAlignment="1">
      <alignment horizontal="right" vertical="center" indent="1"/>
    </xf>
    <xf numFmtId="3" fontId="61" fillId="0" borderId="18" xfId="229" applyNumberFormat="1" applyFont="1" applyBorder="1" applyAlignment="1">
      <alignment horizontal="right" vertical="center" indent="1"/>
    </xf>
    <xf numFmtId="3" fontId="61" fillId="0" borderId="21" xfId="229" applyNumberFormat="1" applyFont="1" applyBorder="1" applyAlignment="1">
      <alignment horizontal="right" vertical="center" indent="1"/>
    </xf>
    <xf numFmtId="3" fontId="212" fillId="20" borderId="211" xfId="229" applyNumberFormat="1" applyFont="1" applyFill="1" applyBorder="1" applyAlignment="1">
      <alignment horizontal="center" vertical="center"/>
    </xf>
    <xf numFmtId="0" fontId="90" fillId="20" borderId="211" xfId="229" applyFont="1" applyFill="1" applyBorder="1" applyAlignment="1">
      <alignment horizontal="center" vertical="center"/>
    </xf>
    <xf numFmtId="3" fontId="61" fillId="0" borderId="211" xfId="229" applyNumberFormat="1" applyFont="1" applyBorder="1" applyAlignment="1">
      <alignment horizontal="right" vertical="center" indent="1"/>
    </xf>
    <xf numFmtId="3" fontId="90" fillId="20" borderId="211" xfId="229" applyNumberFormat="1" applyFont="1" applyFill="1" applyBorder="1" applyAlignment="1">
      <alignment horizontal="right" vertical="center" indent="1"/>
    </xf>
    <xf numFmtId="168" fontId="43" fillId="44" borderId="94" xfId="176" applyNumberFormat="1" applyFont="1" applyFill="1" applyBorder="1" applyAlignment="1">
      <alignment horizontal="right" vertical="center" indent="1"/>
    </xf>
    <xf numFmtId="3" fontId="40" fillId="20" borderId="212" xfId="0" applyNumberFormat="1" applyFont="1" applyFill="1" applyBorder="1" applyAlignment="1">
      <alignment horizontal="center" vertical="center"/>
    </xf>
    <xf numFmtId="3" fontId="40" fillId="20" borderId="215" xfId="0" applyNumberFormat="1" applyFont="1" applyFill="1" applyBorder="1" applyAlignment="1">
      <alignment horizontal="center" vertical="center"/>
    </xf>
    <xf numFmtId="3" fontId="40" fillId="20" borderId="213" xfId="0" applyNumberFormat="1" applyFont="1" applyFill="1" applyBorder="1" applyAlignment="1">
      <alignment horizontal="center" vertical="center"/>
    </xf>
    <xf numFmtId="168" fontId="43" fillId="44" borderId="103" xfId="176" applyNumberFormat="1" applyFont="1" applyFill="1" applyBorder="1" applyAlignment="1">
      <alignment horizontal="right" vertical="center" indent="1"/>
    </xf>
    <xf numFmtId="0" fontId="102" fillId="0" borderId="0" xfId="377" applyAlignment="1">
      <alignment horizontal="center" vertical="center" wrapText="1"/>
    </xf>
    <xf numFmtId="0" fontId="40" fillId="20" borderId="211" xfId="802" applyFont="1" applyFill="1" applyBorder="1" applyAlignment="1">
      <alignment horizontal="center" vertical="center"/>
    </xf>
    <xf numFmtId="0" fontId="81" fillId="20" borderId="211" xfId="802" applyFont="1" applyFill="1" applyBorder="1" applyAlignment="1">
      <alignment horizontal="center" vertical="center"/>
    </xf>
    <xf numFmtId="0" fontId="81" fillId="20" borderId="211" xfId="801" applyFont="1" applyFill="1" applyBorder="1" applyAlignment="1">
      <alignment horizontal="center" vertical="center"/>
    </xf>
    <xf numFmtId="0" fontId="43" fillId="0" borderId="211" xfId="802" applyFont="1" applyBorder="1" applyAlignment="1">
      <alignment vertical="center"/>
    </xf>
    <xf numFmtId="0" fontId="43" fillId="0" borderId="211" xfId="0" applyFont="1" applyBorder="1"/>
    <xf numFmtId="169" fontId="38" fillId="0" borderId="211" xfId="107" applyNumberFormat="1" applyBorder="1"/>
    <xf numFmtId="0" fontId="40" fillId="20" borderId="211" xfId="0" applyFont="1" applyFill="1" applyBorder="1" applyAlignment="1">
      <alignment horizontal="center" vertical="center"/>
    </xf>
    <xf numFmtId="0" fontId="40" fillId="20" borderId="211" xfId="0" applyFont="1" applyFill="1" applyBorder="1" applyAlignment="1">
      <alignment horizontal="center" vertical="center" wrapText="1"/>
    </xf>
    <xf numFmtId="3" fontId="0" fillId="0" borderId="214" xfId="0" applyNumberFormat="1" applyBorder="1"/>
    <xf numFmtId="168" fontId="0" fillId="0" borderId="214" xfId="176" applyNumberFormat="1" applyFont="1" applyBorder="1" applyAlignment="1">
      <alignment horizontal="center"/>
    </xf>
    <xf numFmtId="3" fontId="40" fillId="20" borderId="15" xfId="0" applyNumberFormat="1" applyFont="1" applyFill="1" applyBorder="1"/>
    <xf numFmtId="168" fontId="40" fillId="20" borderId="15" xfId="176" applyNumberFormat="1" applyFont="1" applyFill="1" applyBorder="1" applyAlignment="1">
      <alignment horizontal="center"/>
    </xf>
    <xf numFmtId="3" fontId="0" fillId="0" borderId="200" xfId="0" applyNumberFormat="1" applyBorder="1"/>
    <xf numFmtId="3" fontId="0" fillId="0" borderId="217" xfId="0" applyNumberFormat="1" applyBorder="1"/>
    <xf numFmtId="3" fontId="40" fillId="20" borderId="174" xfId="0" applyNumberFormat="1" applyFont="1" applyFill="1" applyBorder="1"/>
    <xf numFmtId="4" fontId="0" fillId="0" borderId="214" xfId="0" applyNumberFormat="1" applyBorder="1"/>
    <xf numFmtId="3" fontId="40" fillId="20" borderId="211" xfId="0" applyNumberFormat="1" applyFont="1" applyFill="1" applyBorder="1"/>
    <xf numFmtId="168" fontId="40" fillId="20" borderId="211" xfId="176" applyNumberFormat="1" applyFont="1" applyFill="1" applyBorder="1" applyAlignment="1">
      <alignment horizontal="center"/>
    </xf>
    <xf numFmtId="3" fontId="40" fillId="20" borderId="211" xfId="0" applyNumberFormat="1" applyFont="1" applyFill="1" applyBorder="1" applyAlignment="1">
      <alignment vertical="center"/>
    </xf>
    <xf numFmtId="0" fontId="0" fillId="0" borderId="211" xfId="0" applyBorder="1" applyAlignment="1">
      <alignment horizontal="center"/>
    </xf>
    <xf numFmtId="168" fontId="40" fillId="20" borderId="211" xfId="176" applyNumberFormat="1" applyFont="1" applyFill="1" applyBorder="1" applyAlignment="1">
      <alignment horizontal="center" vertical="center"/>
    </xf>
    <xf numFmtId="0" fontId="0" fillId="0" borderId="211" xfId="0" applyBorder="1" applyAlignment="1">
      <alignment horizontal="center" vertical="center"/>
    </xf>
    <xf numFmtId="0" fontId="0" fillId="0" borderId="211" xfId="0" applyBorder="1" applyAlignment="1">
      <alignment horizontal="center" vertical="center" wrapText="1"/>
    </xf>
    <xf numFmtId="171" fontId="23" fillId="44" borderId="94" xfId="176" applyNumberFormat="1" applyFont="1" applyFill="1" applyBorder="1" applyAlignment="1">
      <alignment horizontal="center" vertical="center" wrapText="1"/>
    </xf>
    <xf numFmtId="168" fontId="23" fillId="44" borderId="94" xfId="176" applyNumberFormat="1" applyFont="1" applyFill="1" applyBorder="1" applyAlignment="1">
      <alignment horizontal="center" vertical="center" wrapText="1"/>
    </xf>
    <xf numFmtId="3" fontId="40" fillId="20" borderId="211" xfId="0" applyNumberFormat="1" applyFont="1" applyFill="1" applyBorder="1" applyAlignment="1">
      <alignment horizontal="center" vertical="center"/>
    </xf>
    <xf numFmtId="0" fontId="207" fillId="0" borderId="0" xfId="0" applyFont="1"/>
    <xf numFmtId="0" fontId="129" fillId="0" borderId="0" xfId="0" applyFont="1" applyAlignment="1">
      <alignment horizontal="left"/>
    </xf>
    <xf numFmtId="0" fontId="129" fillId="0" borderId="0" xfId="0" applyFont="1" applyAlignment="1">
      <alignment horizontal="left" vertical="center" wrapText="1"/>
    </xf>
    <xf numFmtId="0" fontId="76" fillId="20" borderId="211" xfId="0" applyFont="1" applyFill="1" applyBorder="1" applyAlignment="1">
      <alignment horizontal="center" vertical="center" wrapText="1"/>
    </xf>
    <xf numFmtId="3" fontId="0" fillId="0" borderId="211" xfId="0" applyNumberFormat="1" applyBorder="1" applyAlignment="1">
      <alignment horizontal="center" vertical="center"/>
    </xf>
    <xf numFmtId="0" fontId="24" fillId="24" borderId="214" xfId="173" applyFont="1" applyFill="1" applyBorder="1" applyAlignment="1">
      <alignment horizontal="centerContinuous" vertical="center"/>
    </xf>
    <xf numFmtId="0" fontId="50" fillId="20" borderId="214" xfId="0" applyFont="1" applyFill="1" applyBorder="1" applyAlignment="1">
      <alignment horizontal="centerContinuous" vertical="center"/>
    </xf>
    <xf numFmtId="0" fontId="50" fillId="20" borderId="216" xfId="0" applyFont="1" applyFill="1" applyBorder="1" applyAlignment="1">
      <alignment horizontal="centerContinuous" vertical="center"/>
    </xf>
    <xf numFmtId="0" fontId="24" fillId="0" borderId="211" xfId="173" applyFont="1" applyBorder="1" applyAlignment="1">
      <alignment horizontal="centerContinuous" vertical="center"/>
    </xf>
    <xf numFmtId="0" fontId="50" fillId="0" borderId="211" xfId="0" applyFont="1" applyBorder="1" applyAlignment="1">
      <alignment horizontal="centerContinuous" vertical="center"/>
    </xf>
    <xf numFmtId="0" fontId="50" fillId="0" borderId="212" xfId="0" applyFont="1" applyBorder="1" applyAlignment="1">
      <alignment horizontal="centerContinuous" vertical="center"/>
    </xf>
    <xf numFmtId="0" fontId="24" fillId="24" borderId="218" xfId="173" applyFont="1" applyFill="1" applyBorder="1" applyAlignment="1">
      <alignment horizontal="center" vertical="center"/>
    </xf>
    <xf numFmtId="0" fontId="24" fillId="24" borderId="212" xfId="173" applyFont="1" applyFill="1" applyBorder="1" applyAlignment="1">
      <alignment horizontal="center" vertical="center"/>
    </xf>
    <xf numFmtId="0" fontId="24" fillId="0" borderId="211" xfId="173" applyFont="1" applyBorder="1" applyAlignment="1">
      <alignment horizontal="center" vertical="center" wrapText="1"/>
    </xf>
    <xf numFmtId="172" fontId="17" fillId="0" borderId="211" xfId="107" applyNumberFormat="1" applyFont="1" applyBorder="1" applyAlignment="1">
      <alignment horizontal="center" vertical="center" wrapText="1"/>
    </xf>
    <xf numFmtId="172" fontId="24" fillId="0" borderId="211" xfId="107" applyNumberFormat="1" applyFont="1" applyBorder="1" applyAlignment="1">
      <alignment horizontal="center" vertical="center" wrapText="1"/>
    </xf>
    <xf numFmtId="2" fontId="24" fillId="0" borderId="211" xfId="176" applyNumberFormat="1" applyFont="1" applyBorder="1" applyAlignment="1">
      <alignment horizontal="center" vertical="center" wrapText="1"/>
    </xf>
    <xf numFmtId="0" fontId="24" fillId="20" borderId="211" xfId="173" applyFont="1" applyFill="1" applyBorder="1" applyAlignment="1">
      <alignment horizontal="centerContinuous" vertical="center" wrapText="1"/>
    </xf>
    <xf numFmtId="172" fontId="24" fillId="20" borderId="211" xfId="107" applyNumberFormat="1" applyFont="1" applyFill="1" applyBorder="1" applyAlignment="1">
      <alignment horizontal="center" vertical="center"/>
    </xf>
    <xf numFmtId="172" fontId="24" fillId="20" borderId="213" xfId="107" applyNumberFormat="1" applyFont="1" applyFill="1" applyBorder="1" applyAlignment="1">
      <alignment horizontal="center" vertical="center"/>
    </xf>
    <xf numFmtId="171" fontId="24" fillId="44" borderId="211" xfId="176" applyNumberFormat="1" applyFont="1" applyFill="1" applyBorder="1" applyAlignment="1">
      <alignment horizontal="center" vertical="center"/>
    </xf>
    <xf numFmtId="0" fontId="111" fillId="0" borderId="211" xfId="0" applyFont="1" applyBorder="1" applyAlignment="1">
      <alignment horizontal="center" vertical="center" wrapText="1"/>
    </xf>
    <xf numFmtId="3" fontId="42" fillId="0" borderId="216" xfId="0" applyNumberFormat="1" applyFont="1" applyBorder="1" applyAlignment="1">
      <alignment horizontal="center" vertical="center"/>
    </xf>
    <xf numFmtId="3" fontId="0" fillId="0" borderId="200" xfId="0" applyNumberFormat="1" applyBorder="1" applyAlignment="1">
      <alignment horizontal="center" vertical="center"/>
    </xf>
    <xf numFmtId="171" fontId="0" fillId="0" borderId="217" xfId="0" applyNumberFormat="1" applyBorder="1" applyAlignment="1">
      <alignment horizontal="center" vertical="center"/>
    </xf>
    <xf numFmtId="3" fontId="42" fillId="0" borderId="173" xfId="0" applyNumberFormat="1" applyFont="1" applyBorder="1" applyAlignment="1">
      <alignment horizontal="center" vertical="center"/>
    </xf>
    <xf numFmtId="3" fontId="42" fillId="0" borderId="174" xfId="0" applyNumberFormat="1" applyFont="1" applyBorder="1" applyAlignment="1">
      <alignment horizontal="center" vertical="center"/>
    </xf>
    <xf numFmtId="171" fontId="0" fillId="0" borderId="175" xfId="0" applyNumberFormat="1" applyBorder="1" applyAlignment="1">
      <alignment horizontal="center" vertical="center"/>
    </xf>
    <xf numFmtId="0" fontId="113" fillId="0" borderId="211" xfId="0" applyFont="1" applyBorder="1" applyAlignment="1">
      <alignment horizontal="center" vertical="center" wrapText="1"/>
    </xf>
    <xf numFmtId="0" fontId="115" fillId="0" borderId="211" xfId="0" applyFont="1" applyBorder="1" applyAlignment="1">
      <alignment horizontal="center" vertical="center" wrapText="1"/>
    </xf>
    <xf numFmtId="0" fontId="116" fillId="0" borderId="211" xfId="0" applyFont="1" applyBorder="1" applyAlignment="1">
      <alignment horizontal="center" vertical="center" wrapText="1"/>
    </xf>
    <xf numFmtId="0" fontId="118" fillId="0" borderId="175" xfId="0" applyFont="1" applyBorder="1" applyAlignment="1">
      <alignment horizontal="center" vertical="center" wrapText="1"/>
    </xf>
    <xf numFmtId="0" fontId="118" fillId="0" borderId="211" xfId="0" applyFont="1" applyBorder="1" applyAlignment="1">
      <alignment horizontal="center" vertical="center" wrapText="1"/>
    </xf>
    <xf numFmtId="0" fontId="0" fillId="0" borderId="175" xfId="0" applyBorder="1" applyAlignment="1">
      <alignment horizontal="center" vertical="center" wrapText="1"/>
    </xf>
    <xf numFmtId="0" fontId="42" fillId="42" borderId="175" xfId="0" applyFont="1" applyFill="1" applyBorder="1" applyAlignment="1">
      <alignment horizontal="center" vertical="center" wrapText="1"/>
    </xf>
    <xf numFmtId="0" fontId="42" fillId="42" borderId="211" xfId="0" applyFont="1" applyFill="1" applyBorder="1" applyAlignment="1">
      <alignment horizontal="center" vertical="center" wrapText="1"/>
    </xf>
    <xf numFmtId="3" fontId="0" fillId="0" borderId="216" xfId="0" applyNumberFormat="1" applyBorder="1" applyAlignment="1">
      <alignment vertical="center"/>
    </xf>
    <xf numFmtId="3" fontId="0" fillId="0" borderId="200" xfId="0" applyNumberFormat="1" applyBorder="1" applyAlignment="1">
      <alignment vertical="center"/>
    </xf>
    <xf numFmtId="3" fontId="0" fillId="0" borderId="173" xfId="0" applyNumberFormat="1" applyBorder="1" applyAlignment="1">
      <alignment vertical="center"/>
    </xf>
    <xf numFmtId="3" fontId="0" fillId="0" borderId="174" xfId="0" applyNumberFormat="1" applyBorder="1" applyAlignment="1">
      <alignment vertical="center"/>
    </xf>
    <xf numFmtId="181" fontId="0" fillId="44" borderId="175" xfId="107" applyNumberFormat="1" applyFont="1" applyFill="1" applyBorder="1" applyAlignment="1">
      <alignment vertical="center"/>
    </xf>
    <xf numFmtId="0" fontId="59" fillId="20" borderId="211" xfId="0" applyFont="1" applyFill="1" applyBorder="1" applyAlignment="1">
      <alignment horizontal="center" vertical="center"/>
    </xf>
    <xf numFmtId="0" fontId="58" fillId="0" borderId="216" xfId="0" applyFont="1" applyBorder="1" applyAlignment="1">
      <alignment horizontal="center" vertical="center"/>
    </xf>
    <xf numFmtId="0" fontId="58" fillId="0" borderId="214" xfId="0" applyFont="1" applyBorder="1" applyAlignment="1">
      <alignment horizontal="center" vertical="center"/>
    </xf>
    <xf numFmtId="0" fontId="58" fillId="0" borderId="173" xfId="0" applyFont="1" applyBorder="1" applyAlignment="1">
      <alignment horizontal="center" vertical="center"/>
    </xf>
    <xf numFmtId="0" fontId="58" fillId="0" borderId="199" xfId="0" applyFont="1" applyBorder="1" applyAlignment="1">
      <alignment horizontal="center" vertical="center"/>
    </xf>
    <xf numFmtId="0" fontId="59" fillId="44" borderId="211" xfId="0" applyFont="1" applyFill="1" applyBorder="1" applyAlignment="1">
      <alignment horizontal="center" vertical="center"/>
    </xf>
    <xf numFmtId="0" fontId="125" fillId="20" borderId="211" xfId="0" applyFont="1" applyFill="1" applyBorder="1" applyAlignment="1">
      <alignment horizontal="center" vertical="center" wrapText="1"/>
    </xf>
    <xf numFmtId="168" fontId="0" fillId="0" borderId="211" xfId="176" applyNumberFormat="1" applyFont="1" applyBorder="1" applyAlignment="1">
      <alignment horizontal="center" vertical="center"/>
    </xf>
    <xf numFmtId="168" fontId="43" fillId="44" borderId="211" xfId="176" applyNumberFormat="1" applyFont="1" applyFill="1" applyBorder="1" applyAlignment="1">
      <alignment horizontal="center" vertical="center"/>
    </xf>
    <xf numFmtId="3" fontId="30" fillId="44" borderId="211" xfId="149" applyNumberFormat="1" applyFont="1" applyFill="1" applyBorder="1" applyAlignment="1">
      <alignment horizontal="center" vertical="center"/>
    </xf>
    <xf numFmtId="0" fontId="46" fillId="0" borderId="0" xfId="0" applyFont="1" applyAlignment="1">
      <alignment horizontal="left" wrapText="1"/>
    </xf>
    <xf numFmtId="0" fontId="40" fillId="25" borderId="211" xfId="0" applyFont="1" applyFill="1" applyBorder="1" applyAlignment="1">
      <alignment horizontal="center" vertical="center" wrapText="1"/>
    </xf>
    <xf numFmtId="0" fontId="0" fillId="25" borderId="211" xfId="0" applyFill="1" applyBorder="1" applyAlignment="1">
      <alignment horizontal="center" vertical="center" wrapText="1"/>
    </xf>
    <xf numFmtId="0" fontId="0" fillId="25" borderId="212" xfId="0" applyFill="1" applyBorder="1" applyAlignment="1">
      <alignment horizontal="center" vertical="center" wrapText="1"/>
    </xf>
    <xf numFmtId="0" fontId="0" fillId="0" borderId="211" xfId="0" applyBorder="1" applyAlignment="1">
      <alignment horizontal="left" vertical="center" wrapText="1"/>
    </xf>
    <xf numFmtId="1" fontId="0" fillId="0" borderId="211" xfId="0" applyNumberFormat="1" applyBorder="1" applyAlignment="1">
      <alignment horizontal="center" vertical="center" wrapText="1"/>
    </xf>
    <xf numFmtId="0" fontId="0" fillId="44" borderId="211" xfId="0" applyFill="1" applyBorder="1" applyAlignment="1">
      <alignment horizontal="left" vertical="center" wrapText="1"/>
    </xf>
    <xf numFmtId="0" fontId="40" fillId="44" borderId="211" xfId="0" applyFont="1" applyFill="1" applyBorder="1" applyAlignment="1">
      <alignment horizontal="center" vertical="center" wrapText="1"/>
    </xf>
    <xf numFmtId="1" fontId="40" fillId="44" borderId="211" xfId="0" applyNumberFormat="1" applyFont="1" applyFill="1" applyBorder="1" applyAlignment="1">
      <alignment horizontal="center" vertical="center" wrapText="1"/>
    </xf>
    <xf numFmtId="0" fontId="0" fillId="0" borderId="214" xfId="0" applyBorder="1" applyAlignment="1">
      <alignment horizontal="center" vertical="center" wrapText="1"/>
    </xf>
    <xf numFmtId="171" fontId="58" fillId="0" borderId="214" xfId="0" applyNumberFormat="1" applyFont="1" applyBorder="1" applyAlignment="1">
      <alignment horizontal="center" vertical="center" wrapText="1"/>
    </xf>
    <xf numFmtId="171" fontId="58" fillId="0" borderId="211" xfId="0" applyNumberFormat="1" applyFont="1" applyBorder="1" applyAlignment="1">
      <alignment horizontal="center" vertical="center" wrapText="1"/>
    </xf>
    <xf numFmtId="171" fontId="59" fillId="44" borderId="211" xfId="0" applyNumberFormat="1" applyFont="1" applyFill="1" applyBorder="1" applyAlignment="1">
      <alignment horizontal="center" vertical="center" wrapText="1"/>
    </xf>
    <xf numFmtId="171" fontId="0" fillId="0" borderId="211" xfId="0" applyNumberFormat="1" applyBorder="1" applyAlignment="1">
      <alignment horizontal="center"/>
    </xf>
    <xf numFmtId="171" fontId="58" fillId="0" borderId="13" xfId="0" applyNumberFormat="1" applyFont="1" applyBorder="1" applyAlignment="1">
      <alignment horizontal="center" vertical="center" wrapText="1"/>
    </xf>
    <xf numFmtId="0" fontId="214" fillId="0" borderId="0" xfId="377" applyFont="1"/>
    <xf numFmtId="171" fontId="58" fillId="0" borderId="0" xfId="0" applyNumberFormat="1" applyFont="1" applyAlignment="1">
      <alignment horizontal="center" vertical="center" wrapText="1"/>
    </xf>
    <xf numFmtId="0" fontId="215" fillId="20" borderId="211" xfId="0" applyFont="1" applyFill="1" applyBorder="1" applyAlignment="1">
      <alignment horizontal="center" vertical="center" wrapText="1"/>
    </xf>
    <xf numFmtId="0" fontId="43" fillId="20" borderId="211" xfId="0" applyFont="1" applyFill="1" applyBorder="1" applyAlignment="1">
      <alignment horizontal="center" vertical="center" wrapText="1"/>
    </xf>
    <xf numFmtId="0" fontId="42" fillId="35" borderId="211" xfId="377" applyFont="1" applyFill="1" applyBorder="1" applyAlignment="1">
      <alignment horizontal="left" vertical="center" wrapText="1"/>
    </xf>
    <xf numFmtId="0" fontId="215" fillId="0" borderId="211" xfId="0" applyFont="1" applyBorder="1" applyAlignment="1">
      <alignment horizontal="center" vertical="center" wrapText="1"/>
    </xf>
    <xf numFmtId="0" fontId="42" fillId="0" borderId="211" xfId="0" applyFont="1" applyBorder="1" applyAlignment="1">
      <alignment horizontal="left"/>
    </xf>
    <xf numFmtId="0" fontId="40" fillId="44" borderId="211" xfId="0" applyFont="1" applyFill="1" applyBorder="1" applyAlignment="1">
      <alignment horizontal="center"/>
    </xf>
    <xf numFmtId="0" fontId="40" fillId="44" borderId="211" xfId="0" applyFont="1" applyFill="1" applyBorder="1" applyAlignment="1">
      <alignment horizontal="left"/>
    </xf>
    <xf numFmtId="0" fontId="0" fillId="0" borderId="211" xfId="0" applyBorder="1" applyAlignment="1">
      <alignment horizontal="left"/>
    </xf>
    <xf numFmtId="0" fontId="54" fillId="20" borderId="211" xfId="0" applyFont="1" applyFill="1" applyBorder="1" applyAlignment="1">
      <alignment horizontal="center" vertical="center" wrapText="1" readingOrder="1"/>
    </xf>
    <xf numFmtId="3" fontId="54" fillId="20" borderId="212" xfId="0" applyNumberFormat="1" applyFont="1" applyFill="1" applyBorder="1" applyAlignment="1">
      <alignment horizontal="center" vertical="center" wrapText="1" readingOrder="1"/>
    </xf>
    <xf numFmtId="1" fontId="40" fillId="20" borderId="215" xfId="0" applyNumberFormat="1" applyFont="1" applyFill="1" applyBorder="1" applyAlignment="1">
      <alignment horizontal="center" vertical="center" readingOrder="1"/>
    </xf>
    <xf numFmtId="168" fontId="40" fillId="44" borderId="213" xfId="176" applyNumberFormat="1" applyFont="1" applyFill="1" applyBorder="1" applyAlignment="1">
      <alignment horizontal="center" vertical="center" readingOrder="1"/>
    </xf>
    <xf numFmtId="10" fontId="43" fillId="20" borderId="211" xfId="2650" applyNumberFormat="1" applyFont="1" applyFill="1" applyBorder="1" applyAlignment="1">
      <alignment horizontal="center" vertical="center" wrapText="1"/>
    </xf>
    <xf numFmtId="10" fontId="43" fillId="20" borderId="15" xfId="2650" applyNumberFormat="1" applyFont="1" applyFill="1" applyBorder="1" applyAlignment="1">
      <alignment horizontal="center" vertical="center"/>
    </xf>
    <xf numFmtId="3" fontId="42" fillId="0" borderId="212" xfId="2650" applyNumberFormat="1" applyFont="1" applyBorder="1" applyAlignment="1">
      <alignment horizontal="center" vertical="center"/>
    </xf>
    <xf numFmtId="171" fontId="42" fillId="0" borderId="215" xfId="2650" applyNumberFormat="1" applyFont="1" applyBorder="1" applyAlignment="1">
      <alignment horizontal="center" vertical="center"/>
    </xf>
    <xf numFmtId="168" fontId="0" fillId="0" borderId="213" xfId="3386" applyNumberFormat="1" applyFont="1" applyBorder="1" applyAlignment="1">
      <alignment vertical="center"/>
    </xf>
    <xf numFmtId="3" fontId="43" fillId="20" borderId="211" xfId="2650" applyNumberFormat="1" applyFont="1" applyFill="1" applyBorder="1" applyAlignment="1">
      <alignment horizontal="center" vertical="center"/>
    </xf>
    <xf numFmtId="168" fontId="40" fillId="44" borderId="211" xfId="3386" applyNumberFormat="1" applyFont="1" applyFill="1" applyBorder="1" applyAlignment="1">
      <alignment vertical="center"/>
    </xf>
    <xf numFmtId="169" fontId="42" fillId="0" borderId="211" xfId="107" applyNumberFormat="1" applyFont="1" applyBorder="1"/>
    <xf numFmtId="168" fontId="38" fillId="0" borderId="211" xfId="176" applyNumberFormat="1" applyBorder="1" applyAlignment="1">
      <alignment horizontal="right" vertical="center" wrapText="1" indent="1"/>
    </xf>
    <xf numFmtId="169" fontId="0" fillId="20" borderId="211" xfId="0" applyNumberFormat="1" applyFill="1" applyBorder="1" applyAlignment="1">
      <alignment horizontal="center"/>
    </xf>
    <xf numFmtId="168" fontId="40" fillId="20" borderId="211" xfId="176" applyNumberFormat="1" applyFont="1" applyFill="1" applyBorder="1" applyAlignment="1">
      <alignment horizontal="right" indent="1"/>
    </xf>
    <xf numFmtId="168" fontId="38" fillId="0" borderId="211" xfId="176" applyNumberFormat="1" applyBorder="1" applyAlignment="1">
      <alignment horizontal="right" indent="1"/>
    </xf>
    <xf numFmtId="169" fontId="40" fillId="20" borderId="211" xfId="0" applyNumberFormat="1" applyFont="1" applyFill="1" applyBorder="1" applyAlignment="1">
      <alignment horizontal="center"/>
    </xf>
    <xf numFmtId="168" fontId="40" fillId="44" borderId="211" xfId="176" applyNumberFormat="1" applyFont="1" applyFill="1" applyBorder="1" applyAlignment="1">
      <alignment horizontal="right" indent="1"/>
    </xf>
    <xf numFmtId="169" fontId="42" fillId="0" borderId="211" xfId="108" applyNumberFormat="1" applyFont="1" applyBorder="1"/>
    <xf numFmtId="168" fontId="38" fillId="0" borderId="211" xfId="182" applyNumberFormat="1" applyBorder="1" applyAlignment="1">
      <alignment horizontal="right" indent="1"/>
    </xf>
    <xf numFmtId="169" fontId="42" fillId="20" borderId="211" xfId="0" applyNumberFormat="1" applyFont="1" applyFill="1" applyBorder="1" applyAlignment="1">
      <alignment horizontal="center"/>
    </xf>
    <xf numFmtId="168" fontId="43" fillId="20" borderId="211" xfId="182" applyNumberFormat="1" applyFont="1" applyFill="1" applyBorder="1" applyAlignment="1">
      <alignment horizontal="right" indent="1"/>
    </xf>
    <xf numFmtId="10" fontId="38" fillId="0" borderId="211" xfId="182" applyNumberFormat="1" applyBorder="1" applyAlignment="1">
      <alignment horizontal="right" indent="1"/>
    </xf>
    <xf numFmtId="168" fontId="40" fillId="44" borderId="211" xfId="182" applyNumberFormat="1" applyFont="1" applyFill="1" applyBorder="1" applyAlignment="1">
      <alignment horizontal="right" indent="1"/>
    </xf>
    <xf numFmtId="168" fontId="138" fillId="44" borderId="194" xfId="176" applyNumberFormat="1" applyFont="1" applyFill="1" applyBorder="1" applyAlignment="1">
      <alignment horizontal="center" vertical="center"/>
    </xf>
    <xf numFmtId="0" fontId="70" fillId="0" borderId="0" xfId="0" applyFont="1" applyAlignment="1">
      <alignment vertical="justify"/>
    </xf>
    <xf numFmtId="0" fontId="116" fillId="0" borderId="0" xfId="167" applyFont="1" applyAlignment="1">
      <alignment vertical="center"/>
    </xf>
    <xf numFmtId="171" fontId="163" fillId="0" borderId="194" xfId="0" applyNumberFormat="1" applyFont="1" applyBorder="1" applyAlignment="1">
      <alignment horizontal="center" vertical="center" wrapText="1"/>
    </xf>
    <xf numFmtId="9" fontId="163" fillId="0" borderId="194" xfId="0" applyNumberFormat="1" applyFont="1" applyBorder="1" applyAlignment="1">
      <alignment horizontal="center" vertical="center" wrapText="1"/>
    </xf>
    <xf numFmtId="168" fontId="163" fillId="0" borderId="194" xfId="0" applyNumberFormat="1" applyFont="1" applyBorder="1" applyAlignment="1">
      <alignment horizontal="center" vertical="center" wrapText="1"/>
    </xf>
    <xf numFmtId="9" fontId="136" fillId="0" borderId="195" xfId="0" applyNumberFormat="1" applyFont="1" applyBorder="1" applyAlignment="1">
      <alignment horizontal="center" vertical="center" wrapText="1"/>
    </xf>
    <xf numFmtId="0" fontId="163" fillId="0" borderId="194" xfId="0" applyFont="1" applyBorder="1" applyAlignment="1">
      <alignment horizontal="center" vertical="center" wrapText="1"/>
    </xf>
    <xf numFmtId="9" fontId="163" fillId="0" borderId="104" xfId="0" applyNumberFormat="1" applyFont="1" applyBorder="1" applyAlignment="1">
      <alignment horizontal="center" vertical="center" wrapText="1"/>
    </xf>
    <xf numFmtId="3" fontId="163" fillId="0" borderId="195" xfId="0" applyNumberFormat="1" applyFont="1" applyBorder="1" applyAlignment="1">
      <alignment horizontal="center" vertical="center" wrapText="1"/>
    </xf>
    <xf numFmtId="180" fontId="163" fillId="0" borderId="198" xfId="0" applyNumberFormat="1" applyFont="1" applyBorder="1" applyAlignment="1">
      <alignment horizontal="center" vertical="center" wrapText="1"/>
    </xf>
    <xf numFmtId="3" fontId="163" fillId="0" borderId="194" xfId="0" applyNumberFormat="1" applyFont="1" applyBorder="1" applyAlignment="1">
      <alignment horizontal="center" vertical="center" wrapText="1"/>
    </xf>
    <xf numFmtId="0" fontId="163" fillId="0" borderId="198" xfId="0" applyFont="1" applyBorder="1" applyAlignment="1">
      <alignment horizontal="center" vertical="center" wrapText="1"/>
    </xf>
    <xf numFmtId="168" fontId="163" fillId="0" borderId="194" xfId="176" applyNumberFormat="1" applyFont="1" applyBorder="1" applyAlignment="1">
      <alignment horizontal="center" vertical="center" wrapText="1"/>
    </xf>
    <xf numFmtId="0" fontId="42" fillId="0" borderId="20" xfId="0" applyFont="1" applyBorder="1" applyAlignment="1">
      <alignment wrapText="1"/>
    </xf>
    <xf numFmtId="0" fontId="42" fillId="0" borderId="31" xfId="0" applyFont="1" applyBorder="1" applyAlignment="1">
      <alignment wrapText="1"/>
    </xf>
    <xf numFmtId="3" fontId="0" fillId="44" borderId="103" xfId="0" applyNumberFormat="1" applyFill="1" applyBorder="1"/>
    <xf numFmtId="0" fontId="51" fillId="0" borderId="0" xfId="0" applyFont="1" applyAlignment="1">
      <alignment horizontal="right" vertical="center"/>
    </xf>
    <xf numFmtId="0" fontId="55" fillId="0" borderId="219" xfId="173" applyFont="1" applyBorder="1" applyAlignment="1">
      <alignment horizontal="right" vertical="center" wrapText="1" indent="1"/>
    </xf>
    <xf numFmtId="0" fontId="55" fillId="0" borderId="220" xfId="173" applyFont="1" applyBorder="1" applyAlignment="1">
      <alignment horizontal="right" vertical="center" indent="1"/>
    </xf>
    <xf numFmtId="0" fontId="7" fillId="0" borderId="221" xfId="804" applyFont="1" applyBorder="1" applyAlignment="1">
      <alignment horizontal="right" vertical="center" wrapText="1" indent="1"/>
    </xf>
    <xf numFmtId="168" fontId="42" fillId="0" borderId="222" xfId="176" applyNumberFormat="1" applyFont="1" applyBorder="1" applyAlignment="1">
      <alignment horizontal="right" vertical="center" indent="1"/>
    </xf>
    <xf numFmtId="0" fontId="7" fillId="0" borderId="223" xfId="804" applyFont="1" applyBorder="1" applyAlignment="1">
      <alignment horizontal="right" vertical="center" wrapText="1" indent="1"/>
    </xf>
    <xf numFmtId="0" fontId="81" fillId="20" borderId="220" xfId="173" applyFont="1" applyFill="1" applyBorder="1" applyAlignment="1">
      <alignment horizontal="right" vertical="center" wrapText="1" indent="1"/>
    </xf>
    <xf numFmtId="167" fontId="23" fillId="20" borderId="224" xfId="109" applyNumberFormat="1" applyFont="1" applyFill="1" applyBorder="1" applyAlignment="1">
      <alignment horizontal="right" vertical="center" wrapText="1" indent="1"/>
    </xf>
    <xf numFmtId="168" fontId="43" fillId="20" borderId="222" xfId="176" applyNumberFormat="1" applyFont="1" applyFill="1" applyBorder="1" applyAlignment="1">
      <alignment horizontal="right" vertical="center" indent="1"/>
    </xf>
    <xf numFmtId="0" fontId="7" fillId="22" borderId="225" xfId="173" applyFont="1" applyFill="1" applyBorder="1" applyAlignment="1">
      <alignment horizontal="right" vertical="center" wrapText="1" indent="1"/>
    </xf>
    <xf numFmtId="0" fontId="55" fillId="0" borderId="220" xfId="173" applyFont="1" applyBorder="1" applyAlignment="1">
      <alignment horizontal="right" vertical="center" wrapText="1" indent="1"/>
    </xf>
    <xf numFmtId="0" fontId="7" fillId="22" borderId="223" xfId="173" applyFont="1" applyFill="1" applyBorder="1" applyAlignment="1">
      <alignment horizontal="right" vertical="center" wrapText="1" indent="1"/>
    </xf>
    <xf numFmtId="0" fontId="55" fillId="0" borderId="219" xfId="173" applyFont="1" applyBorder="1" applyAlignment="1">
      <alignment horizontal="right" vertical="center" indent="1"/>
    </xf>
    <xf numFmtId="0" fontId="7" fillId="22" borderId="221" xfId="173" applyFont="1" applyFill="1" applyBorder="1" applyAlignment="1">
      <alignment horizontal="right" vertical="center" wrapText="1" indent="1"/>
    </xf>
    <xf numFmtId="168" fontId="42" fillId="0" borderId="230" xfId="176" applyNumberFormat="1" applyFont="1" applyBorder="1" applyAlignment="1">
      <alignment horizontal="right" vertical="center" indent="1"/>
    </xf>
    <xf numFmtId="0" fontId="81" fillId="20" borderId="220" xfId="173" applyFont="1" applyFill="1" applyBorder="1" applyAlignment="1">
      <alignment horizontal="right" vertical="center" indent="1"/>
    </xf>
    <xf numFmtId="0" fontId="109" fillId="0" borderId="231" xfId="173" applyFont="1" applyBorder="1" applyAlignment="1">
      <alignment horizontal="right" vertical="center" indent="1"/>
    </xf>
    <xf numFmtId="0" fontId="81" fillId="20" borderId="232" xfId="173" applyFont="1" applyFill="1" applyBorder="1" applyAlignment="1">
      <alignment horizontal="right" vertical="center" wrapText="1" indent="1"/>
    </xf>
    <xf numFmtId="0" fontId="55" fillId="0" borderId="234" xfId="173" applyFont="1" applyBorder="1" applyAlignment="1">
      <alignment horizontal="right" vertical="center" wrapText="1" indent="1"/>
    </xf>
    <xf numFmtId="0" fontId="7" fillId="0" borderId="235" xfId="173" applyFont="1" applyBorder="1" applyAlignment="1">
      <alignment horizontal="right" vertical="center" wrapText="1" indent="1"/>
    </xf>
    <xf numFmtId="0" fontId="81" fillId="20" borderId="232" xfId="173" applyFont="1" applyFill="1" applyBorder="1" applyAlignment="1">
      <alignment horizontal="right" vertical="center" indent="1"/>
    </xf>
    <xf numFmtId="3" fontId="40" fillId="20" borderId="233" xfId="0" applyNumberFormat="1" applyFont="1" applyFill="1" applyBorder="1" applyAlignment="1">
      <alignment horizontal="right" vertical="center" indent="1"/>
    </xf>
    <xf numFmtId="167" fontId="23" fillId="20" borderId="228" xfId="109" applyNumberFormat="1" applyFont="1" applyFill="1" applyBorder="1" applyAlignment="1">
      <alignment horizontal="right" vertical="center" wrapText="1" indent="1"/>
    </xf>
    <xf numFmtId="168" fontId="43" fillId="20" borderId="229" xfId="176" applyNumberFormat="1" applyFont="1" applyFill="1" applyBorder="1" applyAlignment="1">
      <alignment horizontal="right" vertical="center" indent="1"/>
    </xf>
    <xf numFmtId="0" fontId="55" fillId="0" borderId="236" xfId="173" applyFont="1" applyBorder="1" applyAlignment="1">
      <alignment horizontal="right" vertical="center" wrapText="1" indent="1"/>
    </xf>
    <xf numFmtId="0" fontId="55" fillId="0" borderId="237" xfId="173" applyFont="1" applyBorder="1" applyAlignment="1">
      <alignment horizontal="right" vertical="center" indent="1"/>
    </xf>
    <xf numFmtId="0" fontId="81" fillId="20" borderId="237" xfId="173" applyFont="1" applyFill="1" applyBorder="1" applyAlignment="1">
      <alignment horizontal="right" vertical="center" wrapText="1" indent="1"/>
    </xf>
    <xf numFmtId="0" fontId="55" fillId="0" borderId="237" xfId="173" applyFont="1" applyBorder="1" applyAlignment="1">
      <alignment horizontal="right" vertical="center" wrapText="1" indent="1"/>
    </xf>
    <xf numFmtId="0" fontId="55" fillId="0" borderId="236" xfId="173" applyFont="1" applyBorder="1" applyAlignment="1">
      <alignment horizontal="right" vertical="center" indent="1"/>
    </xf>
    <xf numFmtId="0" fontId="81" fillId="20" borderId="237" xfId="173" applyFont="1" applyFill="1" applyBorder="1" applyAlignment="1">
      <alignment horizontal="right" vertical="center" indent="1"/>
    </xf>
    <xf numFmtId="0" fontId="109" fillId="0" borderId="238" xfId="173" applyFont="1" applyBorder="1" applyAlignment="1">
      <alignment horizontal="right" vertical="center" indent="1"/>
    </xf>
    <xf numFmtId="0" fontId="81" fillId="20" borderId="239" xfId="173" applyFont="1" applyFill="1" applyBorder="1" applyAlignment="1">
      <alignment horizontal="right" vertical="center" wrapText="1" indent="1"/>
    </xf>
    <xf numFmtId="0" fontId="55" fillId="0" borderId="241" xfId="173" applyFont="1" applyBorder="1" applyAlignment="1">
      <alignment horizontal="right" vertical="center" wrapText="1" indent="1"/>
    </xf>
    <xf numFmtId="0" fontId="81" fillId="20" borderId="239" xfId="173" applyFont="1" applyFill="1" applyBorder="1" applyAlignment="1">
      <alignment horizontal="right" vertical="center" indent="1"/>
    </xf>
    <xf numFmtId="3" fontId="40" fillId="20" borderId="240" xfId="0" applyNumberFormat="1" applyFont="1" applyFill="1" applyBorder="1" applyAlignment="1">
      <alignment horizontal="right" vertical="center" indent="1"/>
    </xf>
    <xf numFmtId="3" fontId="40" fillId="20" borderId="228" xfId="0" applyNumberFormat="1" applyFont="1" applyFill="1" applyBorder="1" applyAlignment="1">
      <alignment horizontal="right" vertical="center" indent="1"/>
    </xf>
    <xf numFmtId="168" fontId="43" fillId="44" borderId="229" xfId="176" applyNumberFormat="1" applyFont="1" applyFill="1" applyBorder="1" applyAlignment="1">
      <alignment horizontal="right" vertical="center" indent="1"/>
    </xf>
    <xf numFmtId="0" fontId="135" fillId="0" borderId="0" xfId="0" applyFont="1" applyAlignment="1">
      <alignment horizontal="center" vertical="center" wrapText="1"/>
    </xf>
    <xf numFmtId="0" fontId="42" fillId="20" borderId="242" xfId="167" applyFont="1" applyFill="1" applyBorder="1" applyAlignment="1">
      <alignment horizontal="center" vertical="center" wrapText="1"/>
    </xf>
    <xf numFmtId="0" fontId="42" fillId="20" borderId="243" xfId="167" applyFont="1" applyFill="1" applyBorder="1" applyAlignment="1">
      <alignment horizontal="center" vertical="center" wrapText="1"/>
    </xf>
    <xf numFmtId="0" fontId="42" fillId="20" borderId="244" xfId="167" applyFont="1" applyFill="1" applyBorder="1" applyAlignment="1">
      <alignment horizontal="center" vertical="center" wrapText="1"/>
    </xf>
    <xf numFmtId="0" fontId="43" fillId="0" borderId="15" xfId="167" applyFont="1" applyBorder="1" applyAlignment="1">
      <alignment horizontal="center" vertical="center" wrapText="1"/>
    </xf>
    <xf numFmtId="0" fontId="43" fillId="0" borderId="96" xfId="167" applyFont="1" applyBorder="1" applyAlignment="1">
      <alignment horizontal="right" vertical="center" indent="1"/>
    </xf>
    <xf numFmtId="9" fontId="42" fillId="0" borderId="99" xfId="176" applyFont="1" applyBorder="1" applyAlignment="1">
      <alignment horizontal="right" vertical="center" indent="1"/>
    </xf>
    <xf numFmtId="0" fontId="43" fillId="0" borderId="19" xfId="167" applyFont="1" applyBorder="1" applyAlignment="1">
      <alignment horizontal="right" vertical="center" indent="1"/>
    </xf>
    <xf numFmtId="9" fontId="42" fillId="0" borderId="20" xfId="176" applyFont="1" applyBorder="1" applyAlignment="1">
      <alignment horizontal="right" vertical="center" indent="1"/>
    </xf>
    <xf numFmtId="0" fontId="43" fillId="0" borderId="245" xfId="167" applyFont="1" applyBorder="1" applyAlignment="1">
      <alignment horizontal="center" vertical="center" wrapText="1"/>
    </xf>
    <xf numFmtId="0" fontId="42" fillId="0" borderId="103" xfId="167" applyFont="1" applyBorder="1" applyAlignment="1">
      <alignment horizontal="center" vertical="center" wrapText="1"/>
    </xf>
    <xf numFmtId="181" fontId="0" fillId="0" borderId="175" xfId="107" applyNumberFormat="1" applyFont="1" applyBorder="1" applyAlignment="1">
      <alignment vertical="center"/>
    </xf>
    <xf numFmtId="168" fontId="43" fillId="20" borderId="211" xfId="176" applyNumberFormat="1" applyFont="1" applyFill="1" applyBorder="1" applyAlignment="1">
      <alignment horizontal="center" vertical="center"/>
    </xf>
    <xf numFmtId="9" fontId="110" fillId="20" borderId="211" xfId="0" applyNumberFormat="1" applyFont="1" applyFill="1" applyBorder="1" applyAlignment="1">
      <alignment horizontal="center" vertical="center" wrapText="1"/>
    </xf>
    <xf numFmtId="3" fontId="67" fillId="0" borderId="143" xfId="0" applyNumberFormat="1" applyFont="1" applyBorder="1" applyAlignment="1">
      <alignment vertical="center"/>
    </xf>
    <xf numFmtId="3" fontId="67" fillId="0" borderId="143" xfId="0" applyNumberFormat="1" applyFont="1" applyBorder="1"/>
    <xf numFmtId="0" fontId="59" fillId="0" borderId="0" xfId="0" applyFont="1" applyAlignment="1">
      <alignment horizontal="center" vertical="center"/>
    </xf>
    <xf numFmtId="0" fontId="41" fillId="0" borderId="250" xfId="149" applyFont="1" applyBorder="1" applyAlignment="1">
      <alignment horizontal="center" vertical="center"/>
    </xf>
    <xf numFmtId="3" fontId="41" fillId="0" borderId="250" xfId="149" applyNumberFormat="1" applyFont="1" applyBorder="1" applyAlignment="1">
      <alignment horizontal="center" vertical="center"/>
    </xf>
    <xf numFmtId="3" fontId="41" fillId="0" borderId="250" xfId="0" applyNumberFormat="1" applyFont="1" applyBorder="1" applyAlignment="1">
      <alignment horizontal="center" vertical="center"/>
    </xf>
    <xf numFmtId="0" fontId="91" fillId="20" borderId="250" xfId="149" applyFont="1" applyFill="1" applyBorder="1" applyAlignment="1">
      <alignment horizontal="center" vertical="center"/>
    </xf>
    <xf numFmtId="3" fontId="91" fillId="20" borderId="250" xfId="149" applyNumberFormat="1" applyFont="1" applyFill="1" applyBorder="1" applyAlignment="1">
      <alignment horizontal="center" vertical="center"/>
    </xf>
    <xf numFmtId="0" fontId="42" fillId="0" borderId="250" xfId="149" applyFont="1" applyBorder="1" applyAlignment="1">
      <alignment horizontal="center" vertical="center"/>
    </xf>
    <xf numFmtId="3" fontId="42" fillId="0" borderId="250" xfId="149" applyNumberFormat="1" applyFont="1" applyBorder="1" applyAlignment="1">
      <alignment horizontal="center" vertical="center"/>
    </xf>
    <xf numFmtId="3" fontId="42" fillId="0" borderId="250" xfId="0" applyNumberFormat="1" applyFont="1" applyBorder="1" applyAlignment="1">
      <alignment horizontal="center" vertical="center"/>
    </xf>
    <xf numFmtId="0" fontId="43" fillId="20" borderId="250" xfId="149" applyFont="1" applyFill="1" applyBorder="1" applyAlignment="1">
      <alignment horizontal="center" vertical="center"/>
    </xf>
    <xf numFmtId="3" fontId="43" fillId="44" borderId="250" xfId="149" applyNumberFormat="1" applyFont="1" applyFill="1" applyBorder="1" applyAlignment="1">
      <alignment horizontal="center" vertical="center"/>
    </xf>
    <xf numFmtId="3" fontId="43" fillId="20" borderId="250" xfId="149" applyNumberFormat="1" applyFont="1" applyFill="1" applyBorder="1" applyAlignment="1">
      <alignment horizontal="center" vertical="center"/>
    </xf>
    <xf numFmtId="173" fontId="41" fillId="0" borderId="250" xfId="0" applyNumberFormat="1" applyFont="1" applyBorder="1" applyAlignment="1">
      <alignment horizontal="center" vertical="center" wrapText="1"/>
    </xf>
    <xf numFmtId="3" fontId="41" fillId="0" borderId="250" xfId="0" applyNumberFormat="1" applyFont="1" applyBorder="1" applyAlignment="1">
      <alignment horizontal="center"/>
    </xf>
    <xf numFmtId="173" fontId="41" fillId="0" borderId="250" xfId="0" applyNumberFormat="1" applyFont="1" applyBorder="1" applyAlignment="1">
      <alignment horizontal="center" vertical="center"/>
    </xf>
    <xf numFmtId="173" fontId="41" fillId="0" borderId="250" xfId="149" applyNumberFormat="1" applyFont="1" applyBorder="1" applyAlignment="1">
      <alignment horizontal="center" vertical="center"/>
    </xf>
    <xf numFmtId="0" fontId="0" fillId="0" borderId="250" xfId="0" applyBorder="1" applyAlignment="1">
      <alignment horizontal="center" vertical="center"/>
    </xf>
    <xf numFmtId="3" fontId="0" fillId="0" borderId="250" xfId="0" applyNumberFormat="1" applyBorder="1" applyAlignment="1">
      <alignment horizontal="center" vertical="center"/>
    </xf>
    <xf numFmtId="0" fontId="0" fillId="0" borderId="250" xfId="616" applyFont="1" applyBorder="1" applyAlignment="1">
      <alignment horizontal="center" vertical="center"/>
    </xf>
    <xf numFmtId="173" fontId="42" fillId="0" borderId="250" xfId="0" applyNumberFormat="1" applyFont="1" applyBorder="1" applyAlignment="1">
      <alignment horizontal="center" vertical="center" wrapText="1"/>
    </xf>
    <xf numFmtId="0" fontId="42" fillId="0" borderId="250" xfId="0" applyFont="1" applyBorder="1" applyAlignment="1">
      <alignment horizontal="center"/>
    </xf>
    <xf numFmtId="3" fontId="42" fillId="0" borderId="250" xfId="0" applyNumberFormat="1" applyFont="1" applyBorder="1" applyAlignment="1">
      <alignment horizontal="center"/>
    </xf>
    <xf numFmtId="173" fontId="42" fillId="0" borderId="250" xfId="0" applyNumberFormat="1" applyFont="1" applyBorder="1" applyAlignment="1">
      <alignment horizontal="center" vertical="center"/>
    </xf>
    <xf numFmtId="0" fontId="0" fillId="0" borderId="250" xfId="616" applyFont="1" applyBorder="1" applyAlignment="1">
      <alignment horizontal="center" vertical="center" wrapText="1"/>
    </xf>
    <xf numFmtId="3" fontId="0" fillId="0" borderId="250" xfId="616" applyNumberFormat="1" applyFont="1" applyBorder="1" applyAlignment="1">
      <alignment horizontal="center" vertical="center"/>
    </xf>
    <xf numFmtId="173" fontId="42" fillId="0" borderId="250" xfId="149" applyNumberFormat="1" applyFont="1" applyBorder="1" applyAlignment="1">
      <alignment horizontal="center" vertical="center"/>
    </xf>
    <xf numFmtId="0" fontId="91" fillId="20" borderId="15" xfId="149" applyFont="1" applyFill="1" applyBorder="1" applyAlignment="1">
      <alignment horizontal="center" vertical="center"/>
    </xf>
    <xf numFmtId="0" fontId="76" fillId="20" borderId="250" xfId="0" applyFont="1" applyFill="1" applyBorder="1" applyAlignment="1">
      <alignment horizontal="center"/>
    </xf>
    <xf numFmtId="3" fontId="41" fillId="0" borderId="250" xfId="149" applyNumberFormat="1" applyFont="1" applyBorder="1" applyAlignment="1">
      <alignment horizontal="center"/>
    </xf>
    <xf numFmtId="3" fontId="41" fillId="0" borderId="251" xfId="0" applyNumberFormat="1" applyFont="1" applyBorder="1" applyAlignment="1">
      <alignment horizontal="center"/>
    </xf>
    <xf numFmtId="0" fontId="38" fillId="0" borderId="0" xfId="616"/>
    <xf numFmtId="0" fontId="40" fillId="0" borderId="250" xfId="616" applyFont="1" applyBorder="1" applyAlignment="1">
      <alignment horizontal="center" vertical="center"/>
    </xf>
    <xf numFmtId="3" fontId="0" fillId="0" borderId="216" xfId="0" applyNumberFormat="1" applyBorder="1" applyAlignment="1">
      <alignment horizontal="center" vertical="center"/>
    </xf>
    <xf numFmtId="3" fontId="0" fillId="0" borderId="173" xfId="0" applyNumberFormat="1" applyBorder="1" applyAlignment="1">
      <alignment horizontal="center" vertical="center"/>
    </xf>
    <xf numFmtId="0" fontId="75" fillId="0" borderId="0" xfId="824" applyFont="1"/>
    <xf numFmtId="0" fontId="41" fillId="0" borderId="0" xfId="824" applyFont="1"/>
    <xf numFmtId="0" fontId="101" fillId="0" borderId="0" xfId="824" applyFont="1"/>
    <xf numFmtId="0" fontId="40" fillId="0" borderId="252" xfId="0" applyFont="1" applyBorder="1"/>
    <xf numFmtId="0" fontId="101" fillId="0" borderId="16" xfId="824" applyFont="1" applyBorder="1" applyAlignment="1">
      <alignment horizontal="center" vertical="center"/>
    </xf>
    <xf numFmtId="0" fontId="101" fillId="0" borderId="16" xfId="824" applyFont="1" applyBorder="1" applyAlignment="1">
      <alignment horizontal="center" vertical="center" wrapText="1"/>
    </xf>
    <xf numFmtId="0" fontId="101" fillId="0" borderId="253" xfId="824" applyFont="1" applyBorder="1" applyAlignment="1">
      <alignment horizontal="center" vertical="center"/>
    </xf>
    <xf numFmtId="0" fontId="101" fillId="44" borderId="16" xfId="824" applyFont="1" applyFill="1" applyBorder="1" applyAlignment="1">
      <alignment horizontal="center" vertical="center" wrapText="1"/>
    </xf>
    <xf numFmtId="0" fontId="75" fillId="0" borderId="0" xfId="824" applyFont="1" applyAlignment="1">
      <alignment horizontal="left"/>
    </xf>
    <xf numFmtId="182" fontId="75" fillId="0" borderId="0" xfId="824" applyNumberFormat="1" applyFont="1" applyAlignment="1">
      <alignment horizontal="center"/>
    </xf>
    <xf numFmtId="0" fontId="75" fillId="0" borderId="0" xfId="824" applyFont="1" applyAlignment="1">
      <alignment horizontal="center"/>
    </xf>
    <xf numFmtId="10" fontId="75" fillId="0" borderId="0" xfId="176" applyNumberFormat="1" applyFont="1" applyAlignment="1">
      <alignment horizontal="center"/>
    </xf>
    <xf numFmtId="182" fontId="101" fillId="0" borderId="0" xfId="824" applyNumberFormat="1" applyFont="1" applyAlignment="1">
      <alignment horizontal="center"/>
    </xf>
    <xf numFmtId="0" fontId="101" fillId="0" borderId="0" xfId="824" applyFont="1" applyAlignment="1">
      <alignment horizontal="center"/>
    </xf>
    <xf numFmtId="10" fontId="101" fillId="0" borderId="0" xfId="176" applyNumberFormat="1" applyFont="1" applyAlignment="1">
      <alignment horizontal="center"/>
    </xf>
    <xf numFmtId="0" fontId="101" fillId="0" borderId="0" xfId="824" applyFont="1" applyAlignment="1">
      <alignment vertical="center"/>
    </xf>
    <xf numFmtId="182" fontId="101" fillId="0" borderId="0" xfId="824" applyNumberFormat="1" applyFont="1" applyAlignment="1">
      <alignment horizontal="center" vertical="center"/>
    </xf>
    <xf numFmtId="0" fontId="101" fillId="0" borderId="0" xfId="824" applyFont="1" applyAlignment="1">
      <alignment horizontal="center" vertical="center"/>
    </xf>
    <xf numFmtId="0" fontId="75" fillId="0" borderId="16" xfId="824" applyFont="1" applyBorder="1"/>
    <xf numFmtId="0" fontId="101" fillId="0" borderId="16" xfId="824" applyFont="1" applyBorder="1"/>
    <xf numFmtId="182" fontId="101" fillId="0" borderId="16" xfId="824" applyNumberFormat="1" applyFont="1" applyBorder="1" applyAlignment="1">
      <alignment horizontal="center"/>
    </xf>
    <xf numFmtId="10" fontId="101" fillId="44" borderId="16" xfId="176" applyNumberFormat="1" applyFont="1" applyFill="1" applyBorder="1" applyAlignment="1">
      <alignment horizontal="center"/>
    </xf>
    <xf numFmtId="168" fontId="138" fillId="20" borderId="194" xfId="176" applyNumberFormat="1" applyFont="1" applyFill="1" applyBorder="1" applyAlignment="1">
      <alignment horizontal="center" vertical="center"/>
    </xf>
    <xf numFmtId="168" fontId="166" fillId="20" borderId="194" xfId="228" applyNumberFormat="1" applyFont="1" applyFill="1" applyBorder="1" applyAlignment="1">
      <alignment horizontal="center" vertical="center"/>
    </xf>
    <xf numFmtId="168" fontId="181" fillId="20" borderId="194" xfId="176" applyNumberFormat="1" applyFont="1" applyFill="1" applyBorder="1" applyAlignment="1">
      <alignment horizontal="center" vertical="center"/>
    </xf>
    <xf numFmtId="0" fontId="181" fillId="0" borderId="0" xfId="0" applyFont="1"/>
    <xf numFmtId="0" fontId="193" fillId="0" borderId="0" xfId="3786" applyFont="1"/>
    <xf numFmtId="0" fontId="1" fillId="0" borderId="0" xfId="3786"/>
    <xf numFmtId="0" fontId="101" fillId="0" borderId="0" xfId="3786" applyFont="1"/>
    <xf numFmtId="0" fontId="61" fillId="0" borderId="0" xfId="3786" applyFont="1"/>
    <xf numFmtId="0" fontId="101" fillId="0" borderId="16" xfId="3786" applyFont="1" applyBorder="1" applyAlignment="1">
      <alignment horizontal="center" vertical="center"/>
    </xf>
    <xf numFmtId="0" fontId="101" fillId="0" borderId="253" xfId="3786" applyFont="1" applyBorder="1" applyAlignment="1">
      <alignment horizontal="center" vertical="center"/>
    </xf>
    <xf numFmtId="0" fontId="101" fillId="44" borderId="16" xfId="824" applyFont="1" applyFill="1" applyBorder="1" applyAlignment="1">
      <alignment horizontal="center" wrapText="1"/>
    </xf>
    <xf numFmtId="0" fontId="75" fillId="0" borderId="0" xfId="3786" applyFont="1"/>
    <xf numFmtId="0" fontId="75" fillId="0" borderId="0" xfId="3786" applyFont="1" applyAlignment="1">
      <alignment horizontal="left"/>
    </xf>
    <xf numFmtId="0" fontId="75" fillId="41" borderId="0" xfId="3786" applyFont="1" applyFill="1" applyAlignment="1">
      <alignment horizontal="center"/>
    </xf>
    <xf numFmtId="182" fontId="75" fillId="41" borderId="0" xfId="3786" applyNumberFormat="1" applyFont="1" applyFill="1" applyAlignment="1">
      <alignment horizontal="center"/>
    </xf>
    <xf numFmtId="0" fontId="75" fillId="0" borderId="0" xfId="3786" applyFont="1" applyAlignment="1">
      <alignment horizontal="center"/>
    </xf>
    <xf numFmtId="182" fontId="75" fillId="0" borderId="0" xfId="3786" applyNumberFormat="1" applyFont="1" applyAlignment="1">
      <alignment horizontal="center"/>
    </xf>
    <xf numFmtId="0" fontId="101" fillId="41" borderId="0" xfId="3786" applyFont="1" applyFill="1" applyAlignment="1">
      <alignment horizontal="center"/>
    </xf>
    <xf numFmtId="182" fontId="101" fillId="41" borderId="0" xfId="3786" applyNumberFormat="1" applyFont="1" applyFill="1" applyAlignment="1">
      <alignment horizontal="center"/>
    </xf>
    <xf numFmtId="0" fontId="101" fillId="0" borderId="0" xfId="3786" applyFont="1" applyAlignment="1">
      <alignment horizontal="center"/>
    </xf>
    <xf numFmtId="182" fontId="101" fillId="0" borderId="0" xfId="3786" applyNumberFormat="1" applyFont="1" applyAlignment="1">
      <alignment horizontal="center"/>
    </xf>
    <xf numFmtId="0" fontId="75" fillId="0" borderId="16" xfId="3786" applyFont="1" applyBorder="1"/>
    <xf numFmtId="0" fontId="101" fillId="0" borderId="16" xfId="3786" applyFont="1" applyBorder="1"/>
    <xf numFmtId="182" fontId="101" fillId="41" borderId="16" xfId="3786" applyNumberFormat="1" applyFont="1" applyFill="1" applyBorder="1" applyAlignment="1">
      <alignment horizontal="center"/>
    </xf>
    <xf numFmtId="182" fontId="101" fillId="0" borderId="16" xfId="3786" applyNumberFormat="1" applyFont="1" applyBorder="1" applyAlignment="1">
      <alignment horizontal="center"/>
    </xf>
    <xf numFmtId="0" fontId="193" fillId="0" borderId="0" xfId="428" applyFont="1"/>
    <xf numFmtId="0" fontId="1" fillId="0" borderId="0" xfId="428"/>
    <xf numFmtId="0" fontId="101" fillId="0" borderId="0" xfId="428" applyFont="1" applyAlignment="1">
      <alignment horizontal="center" vertical="center"/>
    </xf>
    <xf numFmtId="0" fontId="101" fillId="0" borderId="253" xfId="428" applyFont="1" applyBorder="1" applyAlignment="1">
      <alignment horizontal="center" vertical="center"/>
    </xf>
    <xf numFmtId="0" fontId="75" fillId="0" borderId="0" xfId="428" applyFont="1" applyAlignment="1">
      <alignment horizontal="center" vertical="center"/>
    </xf>
    <xf numFmtId="0" fontId="75" fillId="0" borderId="0" xfId="428" applyFont="1"/>
    <xf numFmtId="0" fontId="75" fillId="0" borderId="0" xfId="428" applyFont="1" applyAlignment="1">
      <alignment horizontal="left"/>
    </xf>
    <xf numFmtId="0" fontId="75" fillId="43" borderId="0" xfId="428" applyFont="1" applyFill="1" applyAlignment="1">
      <alignment horizontal="center"/>
    </xf>
    <xf numFmtId="182" fontId="75" fillId="43" borderId="0" xfId="428" applyNumberFormat="1" applyFont="1" applyFill="1" applyAlignment="1">
      <alignment horizontal="center"/>
    </xf>
    <xf numFmtId="0" fontId="101" fillId="43" borderId="0" xfId="428" applyFont="1" applyFill="1" applyAlignment="1">
      <alignment horizontal="center"/>
    </xf>
    <xf numFmtId="182" fontId="101" fillId="43" borderId="0" xfId="428" applyNumberFormat="1" applyFont="1" applyFill="1" applyAlignment="1">
      <alignment horizontal="center"/>
    </xf>
    <xf numFmtId="0" fontId="75" fillId="0" borderId="16" xfId="428" applyFont="1" applyBorder="1" applyAlignment="1">
      <alignment horizontal="center" vertical="center"/>
    </xf>
    <xf numFmtId="0" fontId="75" fillId="0" borderId="16" xfId="428" applyFont="1" applyBorder="1"/>
    <xf numFmtId="0" fontId="101" fillId="0" borderId="16" xfId="428" applyFont="1" applyBorder="1"/>
    <xf numFmtId="182" fontId="101" fillId="43" borderId="16" xfId="428" applyNumberFormat="1" applyFont="1" applyFill="1" applyBorder="1" applyAlignment="1">
      <alignment horizontal="center"/>
    </xf>
    <xf numFmtId="0" fontId="75" fillId="0" borderId="0" xfId="3787" applyFont="1"/>
    <xf numFmtId="0" fontId="61" fillId="0" borderId="0" xfId="3787" applyFont="1"/>
    <xf numFmtId="0" fontId="101" fillId="0" borderId="0" xfId="3787" applyFont="1"/>
    <xf numFmtId="0" fontId="101" fillId="0" borderId="16" xfId="3787" applyFont="1" applyBorder="1" applyAlignment="1">
      <alignment horizontal="center" vertical="center"/>
    </xf>
    <xf numFmtId="0" fontId="101" fillId="0" borderId="253" xfId="3787" applyFont="1" applyBorder="1" applyAlignment="1">
      <alignment horizontal="center" vertical="center"/>
    </xf>
    <xf numFmtId="0" fontId="75" fillId="0" borderId="0" xfId="3787" applyFont="1" applyAlignment="1">
      <alignment horizontal="center" vertical="center"/>
    </xf>
    <xf numFmtId="0" fontId="75" fillId="0" borderId="0" xfId="3787" applyFont="1" applyAlignment="1">
      <alignment horizontal="left"/>
    </xf>
    <xf numFmtId="0" fontId="75" fillId="50" borderId="0" xfId="3787" applyFont="1" applyFill="1" applyAlignment="1">
      <alignment horizontal="center"/>
    </xf>
    <xf numFmtId="182" fontId="75" fillId="50" borderId="0" xfId="3787" applyNumberFormat="1" applyFont="1" applyFill="1" applyAlignment="1">
      <alignment horizontal="center"/>
    </xf>
    <xf numFmtId="0" fontId="75" fillId="0" borderId="0" xfId="3787" applyFont="1" applyAlignment="1">
      <alignment horizontal="center"/>
    </xf>
    <xf numFmtId="182" fontId="75" fillId="0" borderId="0" xfId="3787" applyNumberFormat="1" applyFont="1" applyAlignment="1">
      <alignment horizontal="center"/>
    </xf>
    <xf numFmtId="0" fontId="101" fillId="50" borderId="0" xfId="3787" applyFont="1" applyFill="1" applyAlignment="1">
      <alignment horizontal="center"/>
    </xf>
    <xf numFmtId="182" fontId="101" fillId="50" borderId="0" xfId="3787" applyNumberFormat="1" applyFont="1" applyFill="1" applyAlignment="1">
      <alignment horizontal="center"/>
    </xf>
    <xf numFmtId="0" fontId="101" fillId="0" borderId="0" xfId="3787" applyFont="1" applyAlignment="1">
      <alignment horizontal="center"/>
    </xf>
    <xf numFmtId="182" fontId="101" fillId="0" borderId="0" xfId="3787" applyNumberFormat="1" applyFont="1" applyAlignment="1">
      <alignment horizontal="center"/>
    </xf>
    <xf numFmtId="0" fontId="75" fillId="0" borderId="16" xfId="3787" applyFont="1" applyBorder="1" applyAlignment="1">
      <alignment horizontal="center" vertical="center"/>
    </xf>
    <xf numFmtId="0" fontId="101" fillId="0" borderId="16" xfId="3787" applyFont="1" applyBorder="1"/>
    <xf numFmtId="182" fontId="101" fillId="50" borderId="16" xfId="3787" applyNumberFormat="1" applyFont="1" applyFill="1" applyBorder="1" applyAlignment="1">
      <alignment horizontal="center"/>
    </xf>
    <xf numFmtId="182" fontId="101" fillId="0" borderId="16" xfId="3787" applyNumberFormat="1" applyFont="1" applyBorder="1" applyAlignment="1">
      <alignment horizontal="center"/>
    </xf>
    <xf numFmtId="0" fontId="217" fillId="0" borderId="0" xfId="0" applyFont="1"/>
    <xf numFmtId="0" fontId="218" fillId="0" borderId="0" xfId="0" applyFont="1"/>
    <xf numFmtId="185" fontId="75" fillId="0" borderId="0" xfId="238" applyNumberFormat="1" applyFont="1" applyAlignment="1">
      <alignment horizontal="center" vertical="center"/>
    </xf>
    <xf numFmtId="182" fontId="75" fillId="0" borderId="0" xfId="238" applyNumberFormat="1" applyFont="1" applyAlignment="1">
      <alignment horizontal="center" vertical="center"/>
    </xf>
    <xf numFmtId="2" fontId="75" fillId="0" borderId="0" xfId="238" applyNumberFormat="1" applyFont="1" applyAlignment="1">
      <alignment horizontal="center" vertical="center"/>
    </xf>
    <xf numFmtId="0" fontId="101" fillId="0" borderId="0" xfId="238" applyFont="1" applyAlignment="1">
      <alignment horizontal="left" vertical="center"/>
    </xf>
    <xf numFmtId="185" fontId="101" fillId="0" borderId="0" xfId="238" applyNumberFormat="1" applyFont="1" applyAlignment="1">
      <alignment horizontal="center" vertical="center"/>
    </xf>
    <xf numFmtId="182" fontId="101" fillId="0" borderId="0" xfId="238" applyNumberFormat="1" applyFont="1" applyAlignment="1">
      <alignment horizontal="center" vertical="center"/>
    </xf>
    <xf numFmtId="2" fontId="101" fillId="0" borderId="0" xfId="238" applyNumberFormat="1" applyFont="1" applyAlignment="1">
      <alignment horizontal="center" vertical="center"/>
    </xf>
    <xf numFmtId="0" fontId="75" fillId="0" borderId="246" xfId="238" applyFont="1" applyBorder="1" applyAlignment="1">
      <alignment horizontal="center" vertical="center"/>
    </xf>
    <xf numFmtId="0" fontId="101" fillId="0" borderId="246" xfId="238" applyFont="1" applyBorder="1" applyAlignment="1">
      <alignment horizontal="left" vertical="center"/>
    </xf>
    <xf numFmtId="185" fontId="101" fillId="0" borderId="246" xfId="238" applyNumberFormat="1" applyFont="1" applyBorder="1" applyAlignment="1">
      <alignment horizontal="center" vertical="center"/>
    </xf>
    <xf numFmtId="182" fontId="101" fillId="0" borderId="246" xfId="238" applyNumberFormat="1" applyFont="1" applyBorder="1" applyAlignment="1">
      <alignment horizontal="center" vertical="center"/>
    </xf>
    <xf numFmtId="2" fontId="101" fillId="0" borderId="246" xfId="238" applyNumberFormat="1" applyFont="1" applyBorder="1" applyAlignment="1">
      <alignment horizontal="center" vertical="center"/>
    </xf>
    <xf numFmtId="185" fontId="101" fillId="0" borderId="246" xfId="455" applyNumberFormat="1" applyFont="1" applyBorder="1" applyAlignment="1">
      <alignment horizontal="center" vertical="center"/>
    </xf>
    <xf numFmtId="0" fontId="75" fillId="0" borderId="143" xfId="238" applyFont="1" applyBorder="1" applyAlignment="1">
      <alignment horizontal="center" vertical="center"/>
    </xf>
    <xf numFmtId="0" fontId="75" fillId="0" borderId="143" xfId="238" applyFont="1" applyBorder="1" applyAlignment="1">
      <alignment horizontal="left" vertical="center"/>
    </xf>
    <xf numFmtId="185" fontId="75" fillId="0" borderId="143" xfId="238" applyNumberFormat="1" applyFont="1" applyBorder="1" applyAlignment="1">
      <alignment horizontal="center" vertical="center"/>
    </xf>
    <xf numFmtId="182" fontId="75" fillId="0" borderId="143" xfId="238" applyNumberFormat="1" applyFont="1" applyBorder="1" applyAlignment="1">
      <alignment horizontal="center" vertical="center"/>
    </xf>
    <xf numFmtId="2" fontId="75" fillId="0" borderId="143" xfId="238" applyNumberFormat="1" applyFont="1" applyBorder="1" applyAlignment="1">
      <alignment horizontal="center" vertical="center"/>
    </xf>
    <xf numFmtId="2" fontId="75" fillId="0" borderId="246" xfId="238" applyNumberFormat="1" applyFont="1" applyBorder="1" applyAlignment="1">
      <alignment horizontal="center" vertical="center"/>
    </xf>
    <xf numFmtId="0" fontId="101" fillId="0" borderId="16" xfId="238" applyFont="1" applyBorder="1" applyAlignment="1">
      <alignment horizontal="left" vertical="center"/>
    </xf>
    <xf numFmtId="185" fontId="101" fillId="0" borderId="16" xfId="238" applyNumberFormat="1" applyFont="1" applyBorder="1" applyAlignment="1">
      <alignment horizontal="center" vertical="center"/>
    </xf>
    <xf numFmtId="182" fontId="101" fillId="0" borderId="16" xfId="238" applyNumberFormat="1" applyFont="1" applyBorder="1" applyAlignment="1">
      <alignment horizontal="center" vertical="center"/>
    </xf>
    <xf numFmtId="0" fontId="38" fillId="0" borderId="0" xfId="0" applyFont="1" applyAlignment="1">
      <alignment horizontal="center" vertical="center"/>
    </xf>
    <xf numFmtId="0" fontId="75" fillId="0" borderId="0" xfId="238" applyFont="1" applyAlignment="1">
      <alignment horizontal="center"/>
    </xf>
    <xf numFmtId="185" fontId="75" fillId="0" borderId="0" xfId="238" applyNumberFormat="1" applyFont="1" applyAlignment="1">
      <alignment horizontal="center"/>
    </xf>
    <xf numFmtId="182" fontId="75" fillId="0" borderId="0" xfId="238" applyNumberFormat="1" applyFont="1" applyAlignment="1">
      <alignment horizontal="center"/>
    </xf>
    <xf numFmtId="185" fontId="75" fillId="0" borderId="0" xfId="173" applyNumberFormat="1" applyFont="1" applyAlignment="1">
      <alignment horizontal="center"/>
    </xf>
    <xf numFmtId="185" fontId="75" fillId="0" borderId="0" xfId="173" applyNumberFormat="1" applyFont="1" applyAlignment="1">
      <alignment horizontal="center" vertical="center"/>
    </xf>
    <xf numFmtId="182" fontId="101" fillId="0" borderId="16" xfId="238" applyNumberFormat="1" applyFont="1" applyBorder="1" applyAlignment="1">
      <alignment horizontal="center"/>
    </xf>
    <xf numFmtId="0" fontId="219" fillId="0" borderId="0" xfId="0" applyFont="1" applyAlignment="1">
      <alignment horizontal="left"/>
    </xf>
    <xf numFmtId="0" fontId="101" fillId="0" borderId="16" xfId="430" applyFont="1" applyBorder="1" applyAlignment="1">
      <alignment horizontal="center" vertical="center"/>
    </xf>
    <xf numFmtId="0" fontId="101" fillId="0" borderId="16" xfId="430" applyFont="1" applyBorder="1"/>
    <xf numFmtId="0" fontId="101" fillId="0" borderId="16" xfId="430" applyFont="1" applyBorder="1" applyAlignment="1">
      <alignment horizontal="center"/>
    </xf>
    <xf numFmtId="0" fontId="75" fillId="0" borderId="0" xfId="430" applyFont="1" applyAlignment="1">
      <alignment horizontal="center" vertical="center"/>
    </xf>
    <xf numFmtId="0" fontId="75" fillId="0" borderId="0" xfId="430" applyFont="1" applyAlignment="1">
      <alignment horizontal="left"/>
    </xf>
    <xf numFmtId="185" fontId="75" fillId="0" borderId="0" xfId="430" applyNumberFormat="1" applyFont="1" applyAlignment="1">
      <alignment horizontal="center"/>
    </xf>
    <xf numFmtId="182" fontId="75" fillId="0" borderId="0" xfId="430" applyNumberFormat="1" applyFont="1" applyAlignment="1">
      <alignment horizontal="center"/>
    </xf>
    <xf numFmtId="0" fontId="101" fillId="0" borderId="0" xfId="430" applyFont="1" applyAlignment="1">
      <alignment horizontal="left"/>
    </xf>
    <xf numFmtId="185" fontId="101" fillId="0" borderId="0" xfId="430" applyNumberFormat="1" applyFont="1" applyAlignment="1">
      <alignment horizontal="center"/>
    </xf>
    <xf numFmtId="182" fontId="101" fillId="0" borderId="0" xfId="430" applyNumberFormat="1" applyFont="1" applyAlignment="1">
      <alignment horizontal="center"/>
    </xf>
    <xf numFmtId="171" fontId="51" fillId="0" borderId="0" xfId="0" applyNumberFormat="1" applyFont="1" applyAlignment="1">
      <alignment horizontal="center" vertical="center"/>
    </xf>
    <xf numFmtId="0" fontId="75" fillId="0" borderId="143" xfId="430" applyFont="1" applyBorder="1" applyAlignment="1">
      <alignment horizontal="center" vertical="center"/>
    </xf>
    <xf numFmtId="0" fontId="75" fillId="0" borderId="143" xfId="430" applyFont="1" applyBorder="1" applyAlignment="1">
      <alignment horizontal="left"/>
    </xf>
    <xf numFmtId="185" fontId="75" fillId="0" borderId="143" xfId="430" applyNumberFormat="1" applyFont="1" applyBorder="1" applyAlignment="1">
      <alignment horizontal="center"/>
    </xf>
    <xf numFmtId="182" fontId="75" fillId="0" borderId="143" xfId="430" applyNumberFormat="1" applyFont="1" applyBorder="1" applyAlignment="1">
      <alignment horizontal="center"/>
    </xf>
    <xf numFmtId="2" fontId="51" fillId="0" borderId="143" xfId="0" applyNumberFormat="1" applyFont="1" applyBorder="1" applyAlignment="1">
      <alignment horizontal="center" vertical="center"/>
    </xf>
    <xf numFmtId="185" fontId="99" fillId="0" borderId="246" xfId="0" applyNumberFormat="1" applyFont="1" applyBorder="1" applyAlignment="1">
      <alignment horizontal="center" vertical="center"/>
    </xf>
    <xf numFmtId="0" fontId="101" fillId="0" borderId="0" xfId="430" applyFont="1" applyAlignment="1">
      <alignment horizontal="left" vertical="center"/>
    </xf>
    <xf numFmtId="185" fontId="101" fillId="0" borderId="0" xfId="430" applyNumberFormat="1" applyFont="1" applyAlignment="1">
      <alignment horizontal="center" vertical="center"/>
    </xf>
    <xf numFmtId="182" fontId="101" fillId="0" borderId="0" xfId="430" applyNumberFormat="1" applyFont="1" applyAlignment="1">
      <alignment horizontal="center" vertical="center"/>
    </xf>
    <xf numFmtId="0" fontId="75" fillId="0" borderId="16" xfId="430" applyFont="1" applyBorder="1" applyAlignment="1">
      <alignment horizontal="center" vertical="center"/>
    </xf>
    <xf numFmtId="0" fontId="101" fillId="0" borderId="142" xfId="430" applyFont="1" applyBorder="1" applyAlignment="1">
      <alignment horizontal="left" vertical="center"/>
    </xf>
    <xf numFmtId="185" fontId="101" fillId="0" borderId="142" xfId="430" applyNumberFormat="1" applyFont="1" applyBorder="1" applyAlignment="1">
      <alignment horizontal="center" vertical="center"/>
    </xf>
    <xf numFmtId="182" fontId="101" fillId="0" borderId="142" xfId="430" applyNumberFormat="1" applyFont="1" applyBorder="1" applyAlignment="1">
      <alignment horizontal="center" vertical="center"/>
    </xf>
    <xf numFmtId="0" fontId="74" fillId="0" borderId="0" xfId="430" applyFont="1"/>
    <xf numFmtId="0" fontId="74" fillId="0" borderId="0" xfId="430" applyFont="1" applyAlignment="1">
      <alignment horizontal="left"/>
    </xf>
    <xf numFmtId="185" fontId="74" fillId="0" borderId="0" xfId="430" applyNumberFormat="1" applyFont="1" applyAlignment="1">
      <alignment horizontal="center"/>
    </xf>
    <xf numFmtId="182" fontId="74" fillId="0" borderId="0" xfId="430" applyNumberFormat="1" applyFont="1" applyAlignment="1">
      <alignment horizontal="center"/>
    </xf>
    <xf numFmtId="185" fontId="75" fillId="0" borderId="0" xfId="430" applyNumberFormat="1" applyFont="1" applyAlignment="1">
      <alignment horizontal="center" vertical="center"/>
    </xf>
    <xf numFmtId="182" fontId="75" fillId="0" borderId="0" xfId="430" applyNumberFormat="1" applyFont="1" applyAlignment="1">
      <alignment horizontal="center" vertical="center"/>
    </xf>
    <xf numFmtId="185" fontId="101" fillId="0" borderId="16" xfId="430" applyNumberFormat="1" applyFont="1" applyBorder="1" applyAlignment="1">
      <alignment horizontal="center" vertical="center"/>
    </xf>
    <xf numFmtId="182" fontId="101" fillId="0" borderId="16" xfId="430" applyNumberFormat="1" applyFont="1" applyBorder="1" applyAlignment="1">
      <alignment horizontal="center" vertical="center"/>
    </xf>
    <xf numFmtId="0" fontId="89" fillId="0" borderId="0" xfId="0" applyFont="1" applyAlignment="1">
      <alignment vertical="center"/>
    </xf>
    <xf numFmtId="0" fontId="101" fillId="0" borderId="16" xfId="428" applyFont="1" applyBorder="1" applyAlignment="1">
      <alignment vertical="center"/>
    </xf>
    <xf numFmtId="0" fontId="75" fillId="0" borderId="0" xfId="428" applyFont="1" applyAlignment="1">
      <alignment horizontal="left" vertical="center"/>
    </xf>
    <xf numFmtId="185" fontId="75" fillId="0" borderId="0" xfId="428" applyNumberFormat="1" applyFont="1" applyAlignment="1">
      <alignment horizontal="center" vertical="center"/>
    </xf>
    <xf numFmtId="182" fontId="75" fillId="0" borderId="0" xfId="428" applyNumberFormat="1" applyFont="1" applyAlignment="1">
      <alignment horizontal="center" vertical="center"/>
    </xf>
    <xf numFmtId="0" fontId="101" fillId="0" borderId="0" xfId="428" applyFont="1" applyAlignment="1">
      <alignment horizontal="left" vertical="center"/>
    </xf>
    <xf numFmtId="185" fontId="101" fillId="0" borderId="0" xfId="428" applyNumberFormat="1" applyFont="1" applyAlignment="1">
      <alignment horizontal="center" vertical="center"/>
    </xf>
    <xf numFmtId="182" fontId="101" fillId="0" borderId="0" xfId="428" applyNumberFormat="1" applyFont="1" applyAlignment="1">
      <alignment horizontal="center" vertical="center"/>
    </xf>
    <xf numFmtId="0" fontId="75" fillId="0" borderId="143" xfId="428" applyFont="1" applyBorder="1" applyAlignment="1">
      <alignment horizontal="center" vertical="center"/>
    </xf>
    <xf numFmtId="0" fontId="75" fillId="0" borderId="143" xfId="428" applyFont="1" applyBorder="1" applyAlignment="1">
      <alignment horizontal="left" vertical="center"/>
    </xf>
    <xf numFmtId="185" fontId="75" fillId="0" borderId="143" xfId="428" applyNumberFormat="1" applyFont="1" applyBorder="1" applyAlignment="1">
      <alignment horizontal="center" vertical="center"/>
    </xf>
    <xf numFmtId="182" fontId="75" fillId="0" borderId="143" xfId="428" applyNumberFormat="1" applyFont="1" applyBorder="1" applyAlignment="1">
      <alignment horizontal="center" vertical="center"/>
    </xf>
    <xf numFmtId="0" fontId="75" fillId="0" borderId="16" xfId="428" applyFont="1" applyBorder="1" applyAlignment="1">
      <alignment vertical="center"/>
    </xf>
    <xf numFmtId="0" fontId="101" fillId="0" borderId="142" xfId="428" applyFont="1" applyBorder="1" applyAlignment="1">
      <alignment horizontal="left" vertical="center"/>
    </xf>
    <xf numFmtId="185" fontId="101" fillId="0" borderId="142" xfId="428" applyNumberFormat="1" applyFont="1" applyBorder="1" applyAlignment="1">
      <alignment horizontal="center" vertical="center"/>
    </xf>
    <xf numFmtId="182" fontId="101" fillId="0" borderId="142" xfId="428" applyNumberFormat="1" applyFont="1" applyBorder="1" applyAlignment="1">
      <alignment horizontal="center" vertical="center"/>
    </xf>
    <xf numFmtId="185" fontId="99" fillId="44" borderId="142" xfId="0" applyNumberFormat="1" applyFont="1" applyFill="1" applyBorder="1" applyAlignment="1">
      <alignment horizontal="center" vertical="center"/>
    </xf>
    <xf numFmtId="0" fontId="219" fillId="0" borderId="0" xfId="0" applyFont="1" applyAlignment="1">
      <alignment horizontal="left" vertical="center"/>
    </xf>
    <xf numFmtId="0" fontId="216" fillId="0" borderId="0" xfId="0" applyFont="1" applyAlignment="1">
      <alignment horizontal="left" vertical="center"/>
    </xf>
    <xf numFmtId="0" fontId="89" fillId="0" borderId="0" xfId="0" applyFont="1" applyAlignment="1">
      <alignment horizontal="left"/>
    </xf>
    <xf numFmtId="0" fontId="105" fillId="0" borderId="0" xfId="0" applyFont="1" applyAlignment="1">
      <alignment horizontal="left" vertical="center"/>
    </xf>
    <xf numFmtId="0" fontId="105" fillId="0" borderId="0" xfId="0" applyFont="1" applyAlignment="1">
      <alignment vertical="center"/>
    </xf>
    <xf numFmtId="0" fontId="220" fillId="0" borderId="0" xfId="0" applyFont="1"/>
    <xf numFmtId="0" fontId="221" fillId="0" borderId="0" xfId="0" applyFont="1"/>
    <xf numFmtId="0" fontId="47" fillId="0" borderId="0" xfId="144" applyFont="1"/>
    <xf numFmtId="0" fontId="187" fillId="0" borderId="0" xfId="211" applyFont="1" applyAlignment="1">
      <alignment horizontal="center"/>
    </xf>
    <xf numFmtId="0" fontId="187" fillId="0" borderId="0" xfId="211" applyFont="1"/>
    <xf numFmtId="0" fontId="188" fillId="44" borderId="16" xfId="0" applyFont="1" applyFill="1" applyBorder="1" applyAlignment="1">
      <alignment horizontal="center" vertical="center"/>
    </xf>
    <xf numFmtId="0" fontId="189" fillId="0" borderId="246" xfId="211" applyFont="1" applyBorder="1" applyAlignment="1">
      <alignment horizontal="center" vertical="center"/>
    </xf>
    <xf numFmtId="0" fontId="189" fillId="0" borderId="246" xfId="211" applyFont="1" applyBorder="1" applyAlignment="1">
      <alignment horizontal="center" vertical="center" wrapText="1"/>
    </xf>
    <xf numFmtId="0" fontId="189" fillId="21" borderId="246" xfId="211" applyFont="1" applyFill="1" applyBorder="1" applyAlignment="1">
      <alignment horizontal="center" vertical="center" wrapText="1"/>
    </xf>
    <xf numFmtId="0" fontId="75" fillId="0" borderId="0" xfId="238" applyFont="1" applyAlignment="1">
      <alignment horizontal="left"/>
    </xf>
    <xf numFmtId="183" fontId="75" fillId="0" borderId="0" xfId="238" applyNumberFormat="1" applyFont="1" applyAlignment="1">
      <alignment horizontal="center"/>
    </xf>
    <xf numFmtId="0" fontId="75" fillId="0" borderId="0" xfId="441" applyFont="1" applyAlignment="1">
      <alignment vertical="top"/>
    </xf>
    <xf numFmtId="0" fontId="75" fillId="0" borderId="0" xfId="441" applyFont="1" applyAlignment="1">
      <alignment horizontal="left" vertical="top"/>
    </xf>
    <xf numFmtId="182" fontId="75" fillId="0" borderId="0" xfId="441" applyNumberFormat="1" applyFont="1" applyAlignment="1">
      <alignment horizontal="center" vertical="center"/>
    </xf>
    <xf numFmtId="185" fontId="75" fillId="0" borderId="0" xfId="441" applyNumberFormat="1" applyFont="1" applyAlignment="1">
      <alignment horizontal="center" vertical="center"/>
    </xf>
    <xf numFmtId="0" fontId="75" fillId="0" borderId="0" xfId="796" applyFont="1" applyAlignment="1">
      <alignment horizontal="center" vertical="center"/>
    </xf>
    <xf numFmtId="171" fontId="75" fillId="0" borderId="0" xfId="796" applyNumberFormat="1" applyFont="1" applyAlignment="1">
      <alignment horizontal="center" vertical="top"/>
    </xf>
    <xf numFmtId="0" fontId="75" fillId="0" borderId="0" xfId="796" applyFont="1" applyAlignment="1">
      <alignment horizontal="left" vertical="top"/>
    </xf>
    <xf numFmtId="3" fontId="75" fillId="0" borderId="0" xfId="796" applyNumberFormat="1" applyFont="1" applyAlignment="1">
      <alignment horizontal="center" vertical="top"/>
    </xf>
    <xf numFmtId="2" fontId="75" fillId="0" borderId="0" xfId="796" applyNumberFormat="1" applyFont="1" applyAlignment="1">
      <alignment horizontal="center" vertical="top"/>
    </xf>
    <xf numFmtId="2" fontId="51" fillId="0" borderId="0" xfId="0" applyNumberFormat="1" applyFont="1" applyAlignment="1">
      <alignment horizontal="center"/>
    </xf>
    <xf numFmtId="171" fontId="51" fillId="0" borderId="0" xfId="0" applyNumberFormat="1" applyFont="1" applyAlignment="1">
      <alignment horizontal="center"/>
    </xf>
    <xf numFmtId="0" fontId="61" fillId="0" borderId="0" xfId="211" applyFont="1" applyAlignment="1">
      <alignment horizontal="center"/>
    </xf>
    <xf numFmtId="2" fontId="61" fillId="0" borderId="0" xfId="211" applyNumberFormat="1" applyFont="1" applyAlignment="1">
      <alignment horizontal="center"/>
    </xf>
    <xf numFmtId="1" fontId="61" fillId="0" borderId="0" xfId="211" applyNumberFormat="1" applyFont="1" applyAlignment="1">
      <alignment horizontal="center"/>
    </xf>
    <xf numFmtId="0" fontId="101" fillId="0" borderId="0" xfId="238" applyFont="1" applyAlignment="1">
      <alignment horizontal="left"/>
    </xf>
    <xf numFmtId="185" fontId="101" fillId="0" borderId="0" xfId="238" applyNumberFormat="1" applyFont="1" applyAlignment="1">
      <alignment horizontal="center"/>
    </xf>
    <xf numFmtId="182" fontId="101" fillId="0" borderId="0" xfId="238" applyNumberFormat="1" applyFont="1" applyAlignment="1">
      <alignment horizontal="center"/>
    </xf>
    <xf numFmtId="0" fontId="101" fillId="0" borderId="0" xfId="441" applyFont="1" applyAlignment="1">
      <alignment horizontal="left" vertical="top"/>
    </xf>
    <xf numFmtId="182" fontId="101" fillId="0" borderId="0" xfId="441" applyNumberFormat="1" applyFont="1" applyAlignment="1">
      <alignment horizontal="center" vertical="center"/>
    </xf>
    <xf numFmtId="185" fontId="101" fillId="0" borderId="0" xfId="441" applyNumberFormat="1" applyFont="1" applyAlignment="1">
      <alignment horizontal="center" vertical="center"/>
    </xf>
    <xf numFmtId="0" fontId="101" fillId="0" borderId="0" xfId="796" applyFont="1" applyAlignment="1">
      <alignment horizontal="left" vertical="top"/>
    </xf>
    <xf numFmtId="3" fontId="101" fillId="0" borderId="0" xfId="796" applyNumberFormat="1" applyFont="1" applyAlignment="1">
      <alignment horizontal="center" vertical="top"/>
    </xf>
    <xf numFmtId="2" fontId="101" fillId="0" borderId="0" xfId="796" applyNumberFormat="1" applyFont="1" applyAlignment="1">
      <alignment horizontal="center" vertical="top"/>
    </xf>
    <xf numFmtId="171" fontId="101" fillId="0" borderId="0" xfId="796" applyNumberFormat="1" applyFont="1" applyAlignment="1">
      <alignment horizontal="center" vertical="top"/>
    </xf>
    <xf numFmtId="2" fontId="99" fillId="0" borderId="0" xfId="0" applyNumberFormat="1" applyFont="1" applyAlignment="1">
      <alignment horizontal="center"/>
    </xf>
    <xf numFmtId="171" fontId="99" fillId="0" borderId="0" xfId="0" applyNumberFormat="1" applyFont="1" applyAlignment="1">
      <alignment horizontal="center"/>
    </xf>
    <xf numFmtId="0" fontId="189" fillId="0" borderId="0" xfId="211" applyFont="1"/>
    <xf numFmtId="0" fontId="189" fillId="0" borderId="0" xfId="211" applyFont="1" applyAlignment="1">
      <alignment horizontal="center"/>
    </xf>
    <xf numFmtId="2" fontId="189" fillId="0" borderId="0" xfId="211" applyNumberFormat="1" applyFont="1" applyAlignment="1">
      <alignment horizontal="center"/>
    </xf>
    <xf numFmtId="183" fontId="75" fillId="0" borderId="246" xfId="238" applyNumberFormat="1" applyFont="1" applyBorder="1" applyAlignment="1">
      <alignment horizontal="center"/>
    </xf>
    <xf numFmtId="0" fontId="75" fillId="0" borderId="246" xfId="441" applyFont="1" applyBorder="1" applyAlignment="1">
      <alignment vertical="top"/>
    </xf>
    <xf numFmtId="0" fontId="101" fillId="0" borderId="246" xfId="441" applyFont="1" applyBorder="1" applyAlignment="1">
      <alignment horizontal="left" vertical="top"/>
    </xf>
    <xf numFmtId="182" fontId="101" fillId="0" borderId="246" xfId="441" applyNumberFormat="1" applyFont="1" applyBorder="1" applyAlignment="1">
      <alignment horizontal="center" vertical="center"/>
    </xf>
    <xf numFmtId="185" fontId="101" fillId="0" borderId="246" xfId="441" applyNumberFormat="1" applyFont="1" applyBorder="1" applyAlignment="1">
      <alignment horizontal="center" vertical="center"/>
    </xf>
    <xf numFmtId="171" fontId="51" fillId="0" borderId="246" xfId="0" applyNumberFormat="1" applyFont="1" applyBorder="1" applyAlignment="1">
      <alignment horizontal="center" vertical="center"/>
    </xf>
    <xf numFmtId="0" fontId="51" fillId="0" borderId="246" xfId="0" applyFont="1" applyBorder="1" applyAlignment="1">
      <alignment horizontal="center"/>
    </xf>
    <xf numFmtId="0" fontId="99" fillId="0" borderId="246" xfId="0" applyFont="1" applyBorder="1"/>
    <xf numFmtId="0" fontId="99" fillId="0" borderId="246" xfId="0" applyFont="1" applyBorder="1" applyAlignment="1">
      <alignment horizontal="center"/>
    </xf>
    <xf numFmtId="2" fontId="99" fillId="0" borderId="246" xfId="0" applyNumberFormat="1" applyFont="1" applyBorder="1" applyAlignment="1">
      <alignment horizontal="center"/>
    </xf>
    <xf numFmtId="171" fontId="99" fillId="0" borderId="246" xfId="0" applyNumberFormat="1" applyFont="1" applyBorder="1" applyAlignment="1">
      <alignment horizontal="center"/>
    </xf>
    <xf numFmtId="0" fontId="61" fillId="0" borderId="246" xfId="211" applyFont="1" applyBorder="1" applyAlignment="1">
      <alignment horizontal="center"/>
    </xf>
    <xf numFmtId="0" fontId="189" fillId="0" borderId="246" xfId="211" applyFont="1" applyBorder="1"/>
    <xf numFmtId="0" fontId="189" fillId="0" borderId="246" xfId="211" applyFont="1" applyBorder="1" applyAlignment="1">
      <alignment horizontal="center"/>
    </xf>
    <xf numFmtId="2" fontId="189" fillId="0" borderId="246" xfId="211" applyNumberFormat="1" applyFont="1" applyBorder="1" applyAlignment="1">
      <alignment horizontal="center"/>
    </xf>
    <xf numFmtId="1" fontId="61" fillId="0" borderId="246" xfId="211" applyNumberFormat="1" applyFont="1" applyBorder="1" applyAlignment="1">
      <alignment horizontal="center"/>
    </xf>
    <xf numFmtId="0" fontId="75" fillId="0" borderId="143" xfId="238" applyFont="1" applyBorder="1" applyAlignment="1">
      <alignment horizontal="left"/>
    </xf>
    <xf numFmtId="185" fontId="75" fillId="0" borderId="143" xfId="238" applyNumberFormat="1" applyFont="1" applyBorder="1" applyAlignment="1">
      <alignment horizontal="center"/>
    </xf>
    <xf numFmtId="182" fontId="75" fillId="0" borderId="143" xfId="238" applyNumberFormat="1" applyFont="1" applyBorder="1" applyAlignment="1">
      <alignment horizontal="center"/>
    </xf>
    <xf numFmtId="0" fontId="75" fillId="0" borderId="143" xfId="796" applyFont="1" applyBorder="1" applyAlignment="1">
      <alignment horizontal="center" vertical="center"/>
    </xf>
    <xf numFmtId="0" fontId="75" fillId="0" borderId="143" xfId="796" applyFont="1" applyBorder="1" applyAlignment="1">
      <alignment horizontal="left" vertical="top"/>
    </xf>
    <xf numFmtId="3" fontId="75" fillId="0" borderId="143" xfId="796" applyNumberFormat="1" applyFont="1" applyBorder="1" applyAlignment="1">
      <alignment horizontal="center" vertical="top"/>
    </xf>
    <xf numFmtId="2" fontId="75" fillId="0" borderId="143" xfId="796" applyNumberFormat="1" applyFont="1" applyBorder="1" applyAlignment="1">
      <alignment horizontal="center" vertical="top"/>
    </xf>
    <xf numFmtId="171" fontId="75" fillId="0" borderId="143" xfId="796" applyNumberFormat="1" applyFont="1" applyBorder="1" applyAlignment="1">
      <alignment horizontal="center" vertical="top"/>
    </xf>
    <xf numFmtId="3" fontId="101" fillId="0" borderId="246" xfId="796" applyNumberFormat="1" applyFont="1" applyBorder="1" applyAlignment="1">
      <alignment horizontal="center" vertical="top"/>
    </xf>
    <xf numFmtId="2" fontId="101" fillId="0" borderId="246" xfId="796" applyNumberFormat="1" applyFont="1" applyBorder="1" applyAlignment="1">
      <alignment horizontal="center" vertical="top"/>
    </xf>
    <xf numFmtId="2" fontId="99" fillId="0" borderId="16" xfId="0" applyNumberFormat="1" applyFont="1" applyBorder="1" applyAlignment="1">
      <alignment horizontal="center"/>
    </xf>
    <xf numFmtId="171" fontId="99" fillId="0" borderId="16" xfId="0" applyNumberFormat="1" applyFont="1" applyBorder="1" applyAlignment="1">
      <alignment horizontal="center"/>
    </xf>
    <xf numFmtId="0" fontId="75" fillId="0" borderId="16" xfId="796" applyFont="1" applyBorder="1" applyAlignment="1">
      <alignment horizontal="center" vertical="center"/>
    </xf>
    <xf numFmtId="0" fontId="101" fillId="0" borderId="16" xfId="796" applyFont="1" applyBorder="1" applyAlignment="1">
      <alignment horizontal="left" vertical="top"/>
    </xf>
    <xf numFmtId="171" fontId="101" fillId="0" borderId="16" xfId="796" applyNumberFormat="1" applyFont="1" applyBorder="1" applyAlignment="1">
      <alignment horizontal="center" vertical="top"/>
    </xf>
    <xf numFmtId="3" fontId="101" fillId="0" borderId="16" xfId="796" applyNumberFormat="1" applyFont="1" applyBorder="1" applyAlignment="1">
      <alignment horizontal="center" vertical="top"/>
    </xf>
    <xf numFmtId="2" fontId="101" fillId="0" borderId="16" xfId="796" applyNumberFormat="1" applyFont="1" applyBorder="1" applyAlignment="1">
      <alignment horizontal="center" vertical="top"/>
    </xf>
    <xf numFmtId="2" fontId="61" fillId="0" borderId="0" xfId="211" applyNumberFormat="1" applyFont="1"/>
    <xf numFmtId="0" fontId="75" fillId="0" borderId="16" xfId="441" applyFont="1" applyBorder="1" applyAlignment="1">
      <alignment vertical="top"/>
    </xf>
    <xf numFmtId="0" fontId="101" fillId="0" borderId="16" xfId="441" applyFont="1" applyBorder="1" applyAlignment="1">
      <alignment horizontal="left" vertical="top"/>
    </xf>
    <xf numFmtId="182" fontId="101" fillId="0" borderId="16" xfId="441" applyNumberFormat="1" applyFont="1" applyBorder="1" applyAlignment="1">
      <alignment horizontal="center" vertical="center"/>
    </xf>
    <xf numFmtId="185" fontId="101" fillId="0" borderId="16" xfId="441" applyNumberFormat="1" applyFont="1" applyBorder="1" applyAlignment="1">
      <alignment horizontal="center" vertical="center"/>
    </xf>
    <xf numFmtId="171" fontId="51" fillId="0" borderId="16" xfId="0" applyNumberFormat="1" applyFont="1" applyBorder="1" applyAlignment="1">
      <alignment horizontal="center" vertical="center"/>
    </xf>
    <xf numFmtId="171" fontId="51" fillId="0" borderId="0" xfId="0" applyNumberFormat="1" applyFont="1"/>
    <xf numFmtId="0" fontId="51" fillId="0" borderId="143" xfId="0" applyFont="1" applyBorder="1" applyAlignment="1">
      <alignment horizontal="center"/>
    </xf>
    <xf numFmtId="3" fontId="51" fillId="0" borderId="143" xfId="0" applyNumberFormat="1" applyFont="1" applyBorder="1" applyAlignment="1">
      <alignment horizontal="center" vertical="center"/>
    </xf>
    <xf numFmtId="185" fontId="75" fillId="0" borderId="143" xfId="173" applyNumberFormat="1" applyFont="1" applyBorder="1" applyAlignment="1">
      <alignment horizontal="center" vertical="center"/>
    </xf>
    <xf numFmtId="0" fontId="51" fillId="0" borderId="143" xfId="0" applyFont="1" applyBorder="1" applyAlignment="1">
      <alignment horizontal="center" vertical="center"/>
    </xf>
    <xf numFmtId="2" fontId="51" fillId="0" borderId="143" xfId="0" applyNumberFormat="1" applyFont="1" applyBorder="1" applyAlignment="1">
      <alignment horizontal="center"/>
    </xf>
    <xf numFmtId="171" fontId="51" fillId="0" borderId="143" xfId="0" applyNumberFormat="1" applyFont="1" applyBorder="1" applyAlignment="1">
      <alignment horizontal="center"/>
    </xf>
    <xf numFmtId="0" fontId="61" fillId="0" borderId="143" xfId="211" applyFont="1" applyBorder="1" applyAlignment="1">
      <alignment horizontal="center"/>
    </xf>
    <xf numFmtId="2" fontId="61" fillId="0" borderId="143" xfId="211" applyNumberFormat="1" applyFont="1" applyBorder="1" applyAlignment="1">
      <alignment horizontal="center"/>
    </xf>
    <xf numFmtId="1" fontId="61" fillId="0" borderId="143" xfId="211" applyNumberFormat="1" applyFont="1" applyBorder="1" applyAlignment="1">
      <alignment horizontal="center"/>
    </xf>
    <xf numFmtId="3" fontId="51" fillId="0" borderId="0" xfId="0" applyNumberFormat="1" applyFont="1" applyAlignment="1">
      <alignment horizontal="center" vertical="center"/>
    </xf>
    <xf numFmtId="182" fontId="51" fillId="0" borderId="0" xfId="0" applyNumberFormat="1" applyFont="1" applyAlignment="1">
      <alignment horizontal="center" vertical="center"/>
    </xf>
    <xf numFmtId="0" fontId="101" fillId="0" borderId="16" xfId="238" applyFont="1" applyBorder="1" applyAlignment="1">
      <alignment horizontal="left"/>
    </xf>
    <xf numFmtId="0" fontId="101" fillId="0" borderId="16" xfId="441" applyFont="1" applyBorder="1" applyAlignment="1">
      <alignment vertical="top"/>
    </xf>
    <xf numFmtId="171" fontId="99" fillId="44" borderId="16" xfId="0" applyNumberFormat="1" applyFont="1" applyFill="1" applyBorder="1" applyAlignment="1">
      <alignment horizontal="center" vertical="center"/>
    </xf>
    <xf numFmtId="0" fontId="101" fillId="0" borderId="16" xfId="796" applyFont="1" applyBorder="1" applyAlignment="1">
      <alignment horizontal="center" vertical="center"/>
    </xf>
    <xf numFmtId="171" fontId="90" fillId="44" borderId="16" xfId="796" applyNumberFormat="1" applyFont="1" applyFill="1" applyBorder="1" applyAlignment="1">
      <alignment horizontal="center" vertical="top"/>
    </xf>
    <xf numFmtId="171" fontId="90" fillId="21" borderId="16" xfId="796" applyNumberFormat="1" applyFont="1" applyFill="1" applyBorder="1" applyAlignment="1">
      <alignment horizontal="center" vertical="top"/>
    </xf>
    <xf numFmtId="3" fontId="189" fillId="0" borderId="246" xfId="211" applyNumberFormat="1" applyFont="1" applyBorder="1" applyAlignment="1">
      <alignment horizontal="center"/>
    </xf>
    <xf numFmtId="1" fontId="189" fillId="0" borderId="246" xfId="211" applyNumberFormat="1" applyFont="1" applyBorder="1" applyAlignment="1">
      <alignment horizontal="center"/>
    </xf>
    <xf numFmtId="0" fontId="61" fillId="0" borderId="0" xfId="211" applyFont="1" applyAlignment="1">
      <alignment horizontal="left"/>
    </xf>
    <xf numFmtId="0" fontId="75" fillId="0" borderId="0" xfId="3788" applyFont="1" applyAlignment="1">
      <alignment horizontal="center" vertical="center"/>
    </xf>
    <xf numFmtId="185" fontId="75" fillId="0" borderId="0" xfId="3788" applyNumberFormat="1" applyFont="1" applyAlignment="1">
      <alignment horizontal="center"/>
    </xf>
    <xf numFmtId="182" fontId="75" fillId="0" borderId="0" xfId="3788" applyNumberFormat="1" applyFont="1" applyAlignment="1">
      <alignment horizontal="center"/>
    </xf>
    <xf numFmtId="183" fontId="75" fillId="0" borderId="0" xfId="3788" applyNumberFormat="1" applyFont="1" applyAlignment="1">
      <alignment horizontal="center"/>
    </xf>
    <xf numFmtId="185" fontId="101" fillId="0" borderId="16" xfId="3788" applyNumberFormat="1" applyFont="1" applyBorder="1" applyAlignment="1">
      <alignment horizontal="center"/>
    </xf>
    <xf numFmtId="182" fontId="101" fillId="0" borderId="16" xfId="3788" applyNumberFormat="1" applyFont="1" applyBorder="1" applyAlignment="1">
      <alignment horizontal="center"/>
    </xf>
    <xf numFmtId="183" fontId="101" fillId="44" borderId="16" xfId="238" applyNumberFormat="1" applyFont="1" applyFill="1" applyBorder="1" applyAlignment="1">
      <alignment horizontal="center"/>
    </xf>
    <xf numFmtId="171" fontId="166" fillId="20" borderId="103" xfId="0" applyNumberFormat="1" applyFont="1" applyFill="1" applyBorder="1" applyAlignment="1">
      <alignment horizontal="center" vertical="center"/>
    </xf>
    <xf numFmtId="0" fontId="1" fillId="0" borderId="0" xfId="142" applyFont="1" applyAlignment="1">
      <alignment horizontal="center" vertical="top"/>
    </xf>
    <xf numFmtId="0" fontId="55" fillId="0" borderId="24" xfId="142" applyFont="1" applyBorder="1" applyAlignment="1">
      <alignment horizontal="center"/>
    </xf>
    <xf numFmtId="168" fontId="38" fillId="0" borderId="0" xfId="142" applyNumberFormat="1"/>
    <xf numFmtId="0" fontId="55" fillId="0" borderId="0" xfId="142" applyFont="1" applyAlignment="1">
      <alignment horizontal="center"/>
    </xf>
    <xf numFmtId="0" fontId="81" fillId="0" borderId="0" xfId="142" applyFont="1" applyAlignment="1">
      <alignment horizontal="center"/>
    </xf>
    <xf numFmtId="3" fontId="51" fillId="0" borderId="0" xfId="0" applyNumberFormat="1" applyFont="1" applyAlignment="1">
      <alignment vertical="center"/>
    </xf>
    <xf numFmtId="0" fontId="40" fillId="25" borderId="250" xfId="0" applyFont="1" applyFill="1" applyBorder="1" applyAlignment="1">
      <alignment horizontal="center" vertical="center" wrapText="1"/>
    </xf>
    <xf numFmtId="0" fontId="0" fillId="25" borderId="250" xfId="0" applyFill="1" applyBorder="1" applyAlignment="1">
      <alignment horizontal="center" vertical="center" wrapText="1"/>
    </xf>
    <xf numFmtId="0" fontId="0" fillId="25" borderId="247" xfId="0" applyFill="1" applyBorder="1" applyAlignment="1">
      <alignment horizontal="center" vertical="center" wrapText="1"/>
    </xf>
    <xf numFmtId="0" fontId="0" fillId="0" borderId="250" xfId="0" applyBorder="1" applyAlignment="1">
      <alignment horizontal="center" vertical="center" wrapText="1"/>
    </xf>
    <xf numFmtId="1" fontId="0" fillId="0" borderId="250" xfId="0" applyNumberFormat="1" applyBorder="1" applyAlignment="1">
      <alignment horizontal="center" vertical="center" wrapText="1"/>
    </xf>
    <xf numFmtId="0" fontId="0" fillId="44" borderId="250" xfId="0" applyFill="1" applyBorder="1" applyAlignment="1">
      <alignment horizontal="center" vertical="center" wrapText="1"/>
    </xf>
    <xf numFmtId="1" fontId="0" fillId="44" borderId="250" xfId="0" applyNumberFormat="1" applyFill="1" applyBorder="1" applyAlignment="1">
      <alignment horizontal="center" vertical="center" wrapText="1"/>
    </xf>
    <xf numFmtId="0" fontId="0" fillId="0" borderId="251" xfId="0" applyBorder="1" applyAlignment="1">
      <alignment horizontal="center" vertical="center" wrapText="1"/>
    </xf>
    <xf numFmtId="171" fontId="58" fillId="0" borderId="251" xfId="0" applyNumberFormat="1" applyFont="1" applyBorder="1" applyAlignment="1">
      <alignment horizontal="center" vertical="center" wrapText="1"/>
    </xf>
    <xf numFmtId="171" fontId="58" fillId="0" borderId="250" xfId="0" applyNumberFormat="1" applyFont="1" applyBorder="1" applyAlignment="1">
      <alignment horizontal="center" vertical="center" wrapText="1"/>
    </xf>
    <xf numFmtId="0" fontId="42" fillId="44" borderId="250" xfId="0" applyFont="1" applyFill="1" applyBorder="1" applyAlignment="1">
      <alignment horizontal="center" vertical="center" wrapText="1"/>
    </xf>
    <xf numFmtId="171" fontId="42" fillId="44" borderId="250" xfId="0" applyNumberFormat="1" applyFont="1" applyFill="1" applyBorder="1" applyAlignment="1">
      <alignment horizontal="center" vertical="center" wrapText="1"/>
    </xf>
    <xf numFmtId="171" fontId="0" fillId="0" borderId="250" xfId="0" applyNumberFormat="1" applyBorder="1" applyAlignment="1">
      <alignment horizontal="center" vertical="center"/>
    </xf>
    <xf numFmtId="0" fontId="0" fillId="0" borderId="13" xfId="0" applyBorder="1" applyAlignment="1">
      <alignment horizontal="center" vertical="center" wrapText="1"/>
    </xf>
    <xf numFmtId="0" fontId="0" fillId="0" borderId="253" xfId="0" applyBorder="1" applyAlignment="1">
      <alignment horizontal="center" vertical="center" wrapText="1"/>
    </xf>
    <xf numFmtId="171" fontId="58" fillId="0" borderId="253" xfId="0" applyNumberFormat="1" applyFont="1" applyBorder="1" applyAlignment="1">
      <alignment horizontal="center" vertical="center" wrapText="1"/>
    </xf>
    <xf numFmtId="0" fontId="0" fillId="0" borderId="247" xfId="0" applyBorder="1" applyAlignment="1">
      <alignment vertical="center" wrapText="1"/>
    </xf>
    <xf numFmtId="0" fontId="0" fillId="0" borderId="257" xfId="0" applyBorder="1" applyAlignment="1">
      <alignment vertical="center" wrapText="1"/>
    </xf>
    <xf numFmtId="0" fontId="42" fillId="44" borderId="257" xfId="0" applyFont="1" applyFill="1" applyBorder="1" applyAlignment="1">
      <alignment vertical="center" wrapText="1"/>
    </xf>
    <xf numFmtId="0" fontId="0" fillId="0" borderId="257" xfId="0" applyBorder="1" applyAlignment="1">
      <alignment vertical="center"/>
    </xf>
    <xf numFmtId="0" fontId="0" fillId="0" borderId="245" xfId="0" applyBorder="1" applyAlignment="1">
      <alignment vertical="center" wrapText="1"/>
    </xf>
    <xf numFmtId="0" fontId="215" fillId="20" borderId="258" xfId="0" applyFont="1" applyFill="1" applyBorder="1" applyAlignment="1">
      <alignment horizontal="center" vertical="center" wrapText="1"/>
    </xf>
    <xf numFmtId="0" fontId="43" fillId="20" borderId="258" xfId="0" applyFont="1" applyFill="1" applyBorder="1" applyAlignment="1">
      <alignment horizontal="center" vertical="center" wrapText="1"/>
    </xf>
    <xf numFmtId="0" fontId="0" fillId="0" borderId="258" xfId="0" applyBorder="1" applyAlignment="1">
      <alignment horizontal="center"/>
    </xf>
    <xf numFmtId="0" fontId="42" fillId="35" borderId="258" xfId="377" applyFont="1" applyFill="1" applyBorder="1" applyAlignment="1">
      <alignment horizontal="left" vertical="center" wrapText="1"/>
    </xf>
    <xf numFmtId="0" fontId="215" fillId="0" borderId="258" xfId="0" applyFont="1" applyBorder="1" applyAlignment="1">
      <alignment horizontal="center" vertical="center" wrapText="1"/>
    </xf>
    <xf numFmtId="0" fontId="42" fillId="0" borderId="258" xfId="0" applyFont="1" applyBorder="1" applyAlignment="1">
      <alignment horizontal="left"/>
    </xf>
    <xf numFmtId="0" fontId="0" fillId="44" borderId="258" xfId="0" applyFill="1" applyBorder="1" applyAlignment="1">
      <alignment horizontal="center"/>
    </xf>
    <xf numFmtId="0" fontId="0" fillId="44" borderId="258" xfId="0" applyFill="1" applyBorder="1" applyAlignment="1">
      <alignment horizontal="left"/>
    </xf>
    <xf numFmtId="0" fontId="0" fillId="0" borderId="258" xfId="0" applyBorder="1" applyAlignment="1">
      <alignment horizontal="left"/>
    </xf>
    <xf numFmtId="168" fontId="40" fillId="20" borderId="211" xfId="3386" applyNumberFormat="1" applyFont="1" applyFill="1" applyBorder="1" applyAlignment="1">
      <alignment vertical="center"/>
    </xf>
    <xf numFmtId="3" fontId="7" fillId="0" borderId="131" xfId="804" applyNumberFormat="1" applyFont="1" applyBorder="1" applyAlignment="1">
      <alignment horizontal="right" vertical="center" wrapText="1" indent="1"/>
    </xf>
    <xf numFmtId="3" fontId="7" fillId="0" borderId="221" xfId="804" applyNumberFormat="1" applyFont="1" applyBorder="1" applyAlignment="1">
      <alignment horizontal="right" vertical="center" wrapText="1" indent="1"/>
    </xf>
    <xf numFmtId="3" fontId="7" fillId="0" borderId="10" xfId="804" applyNumberFormat="1" applyFont="1" applyBorder="1" applyAlignment="1">
      <alignment horizontal="right" vertical="center" wrapText="1" indent="1"/>
    </xf>
    <xf numFmtId="3" fontId="7" fillId="0" borderId="223" xfId="804" applyNumberFormat="1" applyFont="1" applyBorder="1" applyAlignment="1">
      <alignment horizontal="right" vertical="center" wrapText="1" indent="1"/>
    </xf>
    <xf numFmtId="3" fontId="23" fillId="20" borderId="19" xfId="109" applyNumberFormat="1" applyFont="1" applyFill="1" applyBorder="1" applyAlignment="1">
      <alignment horizontal="right" vertical="center" wrapText="1" indent="1"/>
    </xf>
    <xf numFmtId="3" fontId="23" fillId="20" borderId="224" xfId="109" applyNumberFormat="1" applyFont="1" applyFill="1" applyBorder="1" applyAlignment="1">
      <alignment horizontal="right" vertical="center" wrapText="1" indent="1"/>
    </xf>
    <xf numFmtId="3" fontId="7" fillId="22" borderId="131" xfId="173" applyNumberFormat="1" applyFont="1" applyFill="1" applyBorder="1" applyAlignment="1">
      <alignment horizontal="right" vertical="center" wrapText="1" indent="1"/>
    </xf>
    <xf numFmtId="3" fontId="7" fillId="22" borderId="221" xfId="173" applyNumberFormat="1" applyFont="1" applyFill="1" applyBorder="1" applyAlignment="1">
      <alignment horizontal="right" vertical="center" wrapText="1" indent="1"/>
    </xf>
    <xf numFmtId="3" fontId="7" fillId="22" borderId="10" xfId="173" applyNumberFormat="1" applyFont="1" applyFill="1" applyBorder="1" applyAlignment="1">
      <alignment horizontal="right" vertical="center" wrapText="1" indent="1"/>
    </xf>
    <xf numFmtId="3" fontId="7" fillId="22" borderId="223" xfId="173" applyNumberFormat="1" applyFont="1" applyFill="1" applyBorder="1" applyAlignment="1">
      <alignment horizontal="right" vertical="center" wrapText="1" indent="1"/>
    </xf>
    <xf numFmtId="3" fontId="7" fillId="0" borderId="151" xfId="173" applyNumberFormat="1" applyFont="1" applyBorder="1" applyAlignment="1">
      <alignment horizontal="right" vertical="center" wrapText="1" indent="1"/>
    </xf>
    <xf numFmtId="3" fontId="7" fillId="0" borderId="235" xfId="173" applyNumberFormat="1" applyFont="1" applyBorder="1" applyAlignment="1">
      <alignment horizontal="right" vertical="center" wrapText="1" indent="1"/>
    </xf>
    <xf numFmtId="0" fontId="188" fillId="0" borderId="0" xfId="211" applyFont="1" applyAlignment="1">
      <alignment horizontal="left"/>
    </xf>
    <xf numFmtId="0" fontId="226" fillId="0" borderId="0" xfId="211" applyFont="1" applyAlignment="1">
      <alignment horizontal="left"/>
    </xf>
    <xf numFmtId="0" fontId="226" fillId="0" borderId="0" xfId="211" applyFont="1" applyAlignment="1">
      <alignment vertical="top"/>
    </xf>
    <xf numFmtId="0" fontId="88" fillId="0" borderId="0" xfId="246" applyFont="1" applyAlignment="1">
      <alignment horizontal="center" vertical="center" wrapText="1"/>
    </xf>
    <xf numFmtId="0" fontId="61" fillId="26" borderId="10" xfId="246" applyFont="1" applyFill="1" applyBorder="1" applyAlignment="1">
      <alignment horizontal="center" vertical="center"/>
    </xf>
    <xf numFmtId="0" fontId="90" fillId="20" borderId="251" xfId="246" applyFont="1" applyFill="1" applyBorder="1" applyAlignment="1">
      <alignment horizontal="center" vertical="center" wrapText="1"/>
    </xf>
    <xf numFmtId="0" fontId="43" fillId="20" borderId="251" xfId="246" applyFont="1" applyFill="1" applyBorder="1" applyAlignment="1">
      <alignment horizontal="center" vertical="center"/>
    </xf>
    <xf numFmtId="0" fontId="141" fillId="20" borderId="251" xfId="246" applyFont="1" applyFill="1" applyBorder="1" applyAlignment="1">
      <alignment horizontal="center" vertical="center"/>
    </xf>
    <xf numFmtId="0" fontId="43" fillId="44" borderId="251" xfId="246" applyFont="1" applyFill="1" applyBorder="1" applyAlignment="1">
      <alignment horizontal="center" vertical="center"/>
    </xf>
    <xf numFmtId="0" fontId="42" fillId="0" borderId="260" xfId="246" applyFont="1" applyBorder="1" applyAlignment="1">
      <alignment horizontal="center" vertical="center" wrapText="1"/>
    </xf>
    <xf numFmtId="0" fontId="43" fillId="44" borderId="258" xfId="246" applyFont="1" applyFill="1" applyBorder="1" applyAlignment="1">
      <alignment horizontal="center" vertical="center"/>
    </xf>
    <xf numFmtId="0" fontId="61" fillId="0" borderId="258" xfId="0" applyFont="1" applyBorder="1" applyAlignment="1">
      <alignment horizontal="center" vertical="center" wrapText="1"/>
    </xf>
    <xf numFmtId="0" fontId="61" fillId="0" borderId="258" xfId="0" applyFont="1" applyBorder="1" applyAlignment="1">
      <alignment horizontal="center" vertical="center"/>
    </xf>
    <xf numFmtId="0" fontId="51" fillId="0" borderId="258" xfId="0" applyFont="1" applyBorder="1" applyAlignment="1">
      <alignment horizontal="center" vertical="center"/>
    </xf>
    <xf numFmtId="0" fontId="61" fillId="0" borderId="258" xfId="246" applyFont="1" applyBorder="1" applyAlignment="1">
      <alignment horizontal="center" vertical="center"/>
    </xf>
    <xf numFmtId="0" fontId="84" fillId="36" borderId="254" xfId="583" applyFont="1" applyFill="1" applyBorder="1" applyAlignment="1">
      <alignment vertical="center"/>
    </xf>
    <xf numFmtId="0" fontId="84" fillId="38" borderId="254" xfId="583" applyFont="1" applyFill="1" applyBorder="1" applyAlignment="1">
      <alignment vertical="center"/>
    </xf>
    <xf numFmtId="0" fontId="61" fillId="0" borderId="251" xfId="246" applyFont="1" applyBorder="1" applyAlignment="1">
      <alignment horizontal="center" vertical="center"/>
    </xf>
    <xf numFmtId="0" fontId="219" fillId="27" borderId="258" xfId="246" applyFont="1" applyFill="1" applyBorder="1" applyAlignment="1">
      <alignment vertical="center" wrapText="1"/>
    </xf>
    <xf numFmtId="0" fontId="84" fillId="40" borderId="254" xfId="583" applyFont="1" applyFill="1" applyBorder="1" applyAlignment="1">
      <alignment vertical="center"/>
    </xf>
    <xf numFmtId="0" fontId="84" fillId="37" borderId="254" xfId="583" applyFont="1" applyFill="1" applyBorder="1" applyAlignment="1">
      <alignment vertical="center"/>
    </xf>
    <xf numFmtId="0" fontId="84" fillId="39" borderId="254" xfId="583" applyFont="1" applyFill="1" applyBorder="1" applyAlignment="1">
      <alignment vertical="center"/>
    </xf>
    <xf numFmtId="0" fontId="61" fillId="0" borderId="251" xfId="0" applyFont="1" applyBorder="1" applyAlignment="1">
      <alignment horizontal="center" vertical="center"/>
    </xf>
    <xf numFmtId="0" fontId="84" fillId="36" borderId="257" xfId="246" applyFont="1" applyFill="1" applyBorder="1" applyAlignment="1">
      <alignment horizontal="center" vertical="center" wrapText="1"/>
    </xf>
    <xf numFmtId="0" fontId="84" fillId="36" borderId="248" xfId="246" applyFont="1" applyFill="1" applyBorder="1" applyAlignment="1">
      <alignment horizontal="center" vertical="center" wrapText="1"/>
    </xf>
    <xf numFmtId="0" fontId="139" fillId="36" borderId="248" xfId="246" applyFont="1" applyFill="1" applyBorder="1" applyAlignment="1">
      <alignment vertical="center"/>
    </xf>
    <xf numFmtId="0" fontId="139" fillId="36" borderId="248" xfId="246" applyFont="1" applyFill="1" applyBorder="1" applyAlignment="1">
      <alignment horizontal="left" vertical="center"/>
    </xf>
    <xf numFmtId="0" fontId="139" fillId="36" borderId="248" xfId="246" applyFont="1" applyFill="1" applyBorder="1" applyAlignment="1">
      <alignment horizontal="center" vertical="center"/>
    </xf>
    <xf numFmtId="0" fontId="84" fillId="40" borderId="248" xfId="246" applyFont="1" applyFill="1" applyBorder="1" applyAlignment="1">
      <alignment horizontal="center" vertical="center" wrapText="1"/>
    </xf>
    <xf numFmtId="0" fontId="139" fillId="38" borderId="0" xfId="246" applyFont="1" applyFill="1" applyAlignment="1">
      <alignment horizontal="center" vertical="center"/>
    </xf>
    <xf numFmtId="0" fontId="84" fillId="40" borderId="195" xfId="246" applyFont="1" applyFill="1" applyBorder="1" applyAlignment="1">
      <alignment horizontal="center" vertical="center" wrapText="1"/>
    </xf>
    <xf numFmtId="0" fontId="84" fillId="40" borderId="196" xfId="246" applyFont="1" applyFill="1" applyBorder="1" applyAlignment="1">
      <alignment horizontal="center" vertical="center" wrapText="1"/>
    </xf>
    <xf numFmtId="0" fontId="139" fillId="40" borderId="0" xfId="246" applyFont="1" applyFill="1" applyAlignment="1">
      <alignment horizontal="center" vertical="center"/>
    </xf>
    <xf numFmtId="0" fontId="42" fillId="37" borderId="0" xfId="246" applyFont="1" applyFill="1" applyAlignment="1">
      <alignment horizontal="center" vertical="center"/>
    </xf>
    <xf numFmtId="0" fontId="84" fillId="37" borderId="196" xfId="246" applyFont="1" applyFill="1" applyBorder="1" applyAlignment="1">
      <alignment horizontal="center" vertical="center" wrapText="1"/>
    </xf>
    <xf numFmtId="0" fontId="84" fillId="39" borderId="0" xfId="246" applyFont="1" applyFill="1" applyAlignment="1">
      <alignment horizontal="center" vertical="center"/>
    </xf>
    <xf numFmtId="0" fontId="84" fillId="36" borderId="261" xfId="583" applyFont="1" applyFill="1" applyBorder="1" applyAlignment="1">
      <alignment vertical="center"/>
    </xf>
    <xf numFmtId="0" fontId="32" fillId="0" borderId="143" xfId="246" applyFont="1" applyBorder="1" applyAlignment="1">
      <alignment horizontal="center" vertical="center"/>
    </xf>
    <xf numFmtId="0" fontId="84" fillId="38" borderId="0" xfId="583" applyFont="1" applyFill="1" applyAlignment="1">
      <alignment horizontal="center" vertical="center"/>
    </xf>
    <xf numFmtId="0" fontId="84" fillId="40" borderId="0" xfId="583" applyFont="1" applyFill="1" applyAlignment="1">
      <alignment horizontal="center" vertical="center"/>
    </xf>
    <xf numFmtId="0" fontId="84" fillId="37" borderId="0" xfId="583" applyFont="1" applyFill="1" applyAlignment="1">
      <alignment horizontal="center" vertical="center"/>
    </xf>
    <xf numFmtId="0" fontId="84" fillId="39" borderId="0" xfId="583" applyFont="1" applyFill="1" applyAlignment="1">
      <alignment horizontal="center" vertical="center"/>
    </xf>
    <xf numFmtId="0" fontId="84" fillId="36" borderId="248" xfId="583" applyFont="1" applyFill="1" applyBorder="1" applyAlignment="1">
      <alignment vertical="center"/>
    </xf>
    <xf numFmtId="0" fontId="84" fillId="38" borderId="257" xfId="0" applyFont="1" applyFill="1" applyBorder="1" applyAlignment="1">
      <alignment horizontal="center" vertical="center" wrapText="1"/>
    </xf>
    <xf numFmtId="0" fontId="84" fillId="38" borderId="248" xfId="246" applyFont="1" applyFill="1" applyBorder="1" applyAlignment="1">
      <alignment horizontal="center" vertical="center" wrapText="1"/>
    </xf>
    <xf numFmtId="0" fontId="228" fillId="38" borderId="248" xfId="246" applyFont="1" applyFill="1" applyBorder="1" applyAlignment="1">
      <alignment horizontal="center" vertical="center"/>
    </xf>
    <xf numFmtId="0" fontId="84" fillId="40" borderId="257" xfId="0" applyFont="1" applyFill="1" applyBorder="1" applyAlignment="1">
      <alignment horizontal="center" vertical="center" wrapText="1"/>
    </xf>
    <xf numFmtId="0" fontId="228" fillId="40" borderId="248" xfId="246" applyFont="1" applyFill="1" applyBorder="1" applyAlignment="1">
      <alignment horizontal="center" vertical="center"/>
    </xf>
    <xf numFmtId="0" fontId="40" fillId="37" borderId="257" xfId="0" applyFont="1" applyFill="1" applyBorder="1" applyAlignment="1">
      <alignment horizontal="center" vertical="center" wrapText="1"/>
    </xf>
    <xf numFmtId="0" fontId="43" fillId="37" borderId="248" xfId="246" applyFont="1" applyFill="1" applyBorder="1" applyAlignment="1">
      <alignment horizontal="center" vertical="center" wrapText="1"/>
    </xf>
    <xf numFmtId="0" fontId="61" fillId="37" borderId="248" xfId="246" applyFont="1" applyFill="1" applyBorder="1" applyAlignment="1">
      <alignment horizontal="center" vertical="center"/>
    </xf>
    <xf numFmtId="0" fontId="84" fillId="39" borderId="257" xfId="0" applyFont="1" applyFill="1" applyBorder="1" applyAlignment="1">
      <alignment horizontal="center" vertical="center" wrapText="1"/>
    </xf>
    <xf numFmtId="0" fontId="84" fillId="39" borderId="248" xfId="246" applyFont="1" applyFill="1" applyBorder="1" applyAlignment="1">
      <alignment horizontal="center" vertical="center" wrapText="1"/>
    </xf>
    <xf numFmtId="0" fontId="229" fillId="39" borderId="248" xfId="246" applyFont="1" applyFill="1" applyBorder="1" applyAlignment="1">
      <alignment horizontal="center" vertical="center"/>
    </xf>
    <xf numFmtId="0" fontId="166" fillId="0" borderId="257" xfId="246" applyFont="1" applyBorder="1" applyAlignment="1">
      <alignment horizontal="center" vertical="center"/>
    </xf>
    <xf numFmtId="0" fontId="61" fillId="26" borderId="259" xfId="246" applyFont="1" applyFill="1" applyBorder="1" applyAlignment="1">
      <alignment horizontal="center" vertical="center"/>
    </xf>
    <xf numFmtId="0" fontId="61" fillId="0" borderId="257" xfId="0" applyFont="1" applyBorder="1" applyAlignment="1">
      <alignment horizontal="center" vertical="center" wrapText="1"/>
    </xf>
    <xf numFmtId="0" fontId="61" fillId="0" borderId="257" xfId="0" applyFont="1" applyBorder="1" applyAlignment="1">
      <alignment horizontal="center" vertical="center"/>
    </xf>
    <xf numFmtId="0" fontId="61" fillId="46" borderId="251" xfId="0" applyFont="1" applyFill="1" applyBorder="1" applyAlignment="1">
      <alignment horizontal="center" vertical="center"/>
    </xf>
    <xf numFmtId="0" fontId="61" fillId="46" borderId="262" xfId="0" applyFont="1" applyFill="1" applyBorder="1" applyAlignment="1">
      <alignment horizontal="center" vertical="center"/>
    </xf>
    <xf numFmtId="0" fontId="51" fillId="0" borderId="257" xfId="0" applyFont="1" applyBorder="1" applyAlignment="1">
      <alignment horizontal="center" vertical="center"/>
    </xf>
    <xf numFmtId="0" fontId="61" fillId="23" borderId="258" xfId="0" applyFont="1" applyFill="1" applyBorder="1" applyAlignment="1">
      <alignment horizontal="center" vertical="center"/>
    </xf>
    <xf numFmtId="0" fontId="61" fillId="26" borderId="259" xfId="0" applyFont="1" applyFill="1" applyBorder="1" applyAlignment="1">
      <alignment horizontal="center" vertical="center" wrapText="1"/>
    </xf>
    <xf numFmtId="0" fontId="61" fillId="0" borderId="257" xfId="246" applyFont="1" applyBorder="1" applyAlignment="1">
      <alignment horizontal="center" vertical="center"/>
    </xf>
    <xf numFmtId="0" fontId="43" fillId="44" borderId="263" xfId="246" applyFont="1" applyFill="1" applyBorder="1" applyAlignment="1">
      <alignment horizontal="center" vertical="center"/>
    </xf>
    <xf numFmtId="0" fontId="43" fillId="44" borderId="264" xfId="246" applyFont="1" applyFill="1" applyBorder="1" applyAlignment="1">
      <alignment horizontal="center" vertical="center" wrapText="1"/>
    </xf>
    <xf numFmtId="0" fontId="42" fillId="53" borderId="0" xfId="246" applyFont="1" applyFill="1" applyAlignment="1">
      <alignment horizontal="center" vertical="center" wrapText="1"/>
    </xf>
    <xf numFmtId="0" fontId="139" fillId="53" borderId="0" xfId="0" applyFont="1" applyFill="1" applyAlignment="1">
      <alignment horizontal="center" vertical="center" wrapText="1"/>
    </xf>
    <xf numFmtId="0" fontId="84" fillId="53" borderId="257" xfId="246" applyFont="1" applyFill="1" applyBorder="1" applyAlignment="1">
      <alignment horizontal="center" vertical="center" wrapText="1"/>
    </xf>
    <xf numFmtId="0" fontId="84" fillId="53" borderId="248" xfId="246" applyFont="1" applyFill="1" applyBorder="1" applyAlignment="1">
      <alignment horizontal="center" vertical="center" wrapText="1"/>
    </xf>
    <xf numFmtId="0" fontId="139" fillId="53" borderId="248" xfId="246" applyFont="1" applyFill="1" applyBorder="1" applyAlignment="1">
      <alignment horizontal="center" vertical="center" wrapText="1"/>
    </xf>
    <xf numFmtId="0" fontId="139" fillId="53" borderId="248" xfId="0" applyFont="1" applyFill="1" applyBorder="1" applyAlignment="1">
      <alignment horizontal="center" vertical="center" wrapText="1"/>
    </xf>
    <xf numFmtId="0" fontId="139" fillId="53" borderId="0" xfId="246" applyFont="1" applyFill="1" applyAlignment="1">
      <alignment horizontal="center" vertical="center" wrapText="1"/>
    </xf>
    <xf numFmtId="0" fontId="139" fillId="53" borderId="0" xfId="246" applyFont="1" applyFill="1" applyAlignment="1">
      <alignment wrapText="1"/>
    </xf>
    <xf numFmtId="0" fontId="61" fillId="26" borderId="258" xfId="246" applyFont="1" applyFill="1" applyBorder="1" applyAlignment="1">
      <alignment horizontal="center" vertical="center" wrapText="1"/>
    </xf>
    <xf numFmtId="0" fontId="42" fillId="0" borderId="258" xfId="246" applyFont="1" applyBorder="1" applyAlignment="1">
      <alignment horizontal="center" vertical="center" wrapText="1"/>
    </xf>
    <xf numFmtId="0" fontId="61" fillId="23" borderId="258" xfId="246" applyFont="1" applyFill="1" applyBorder="1" applyAlignment="1">
      <alignment horizontal="center" vertical="center" wrapText="1"/>
    </xf>
    <xf numFmtId="0" fontId="61" fillId="0" borderId="258" xfId="246" applyFont="1" applyBorder="1" applyAlignment="1">
      <alignment horizontal="center" vertical="center" wrapText="1"/>
    </xf>
    <xf numFmtId="0" fontId="228" fillId="38" borderId="0" xfId="0" applyFont="1" applyFill="1" applyAlignment="1">
      <alignment horizontal="center" vertical="center" wrapText="1"/>
    </xf>
    <xf numFmtId="0" fontId="84" fillId="38" borderId="259" xfId="246" applyFont="1" applyFill="1" applyBorder="1" applyAlignment="1">
      <alignment horizontal="center" vertical="center" wrapText="1"/>
    </xf>
    <xf numFmtId="0" fontId="228" fillId="38" borderId="248" xfId="246" applyFont="1" applyFill="1" applyBorder="1" applyAlignment="1">
      <alignment horizontal="center" vertical="center" wrapText="1"/>
    </xf>
    <xf numFmtId="0" fontId="228" fillId="38" borderId="248" xfId="0" applyFont="1" applyFill="1" applyBorder="1" applyAlignment="1">
      <alignment horizontal="center" vertical="center" wrapText="1"/>
    </xf>
    <xf numFmtId="0" fontId="139" fillId="38" borderId="0" xfId="246" applyFont="1" applyFill="1" applyAlignment="1">
      <alignment horizontal="center" vertical="center" wrapText="1"/>
    </xf>
    <xf numFmtId="0" fontId="61" fillId="27" borderId="251" xfId="246" applyFont="1" applyFill="1" applyBorder="1" applyAlignment="1">
      <alignment horizontal="center" vertical="center" wrapText="1"/>
    </xf>
    <xf numFmtId="0" fontId="42" fillId="20" borderId="194" xfId="0" applyFont="1" applyFill="1" applyBorder="1" applyAlignment="1">
      <alignment vertical="center" wrapText="1"/>
    </xf>
    <xf numFmtId="0" fontId="42" fillId="0" borderId="15" xfId="0" applyFont="1" applyBorder="1" applyAlignment="1">
      <alignment vertical="center" wrapText="1"/>
    </xf>
    <xf numFmtId="0" fontId="0" fillId="0" borderId="258" xfId="0" applyBorder="1" applyAlignment="1">
      <alignment vertical="center" wrapText="1"/>
    </xf>
    <xf numFmtId="0" fontId="61" fillId="0" borderId="251" xfId="246" applyFont="1" applyBorder="1" applyAlignment="1">
      <alignment horizontal="center" vertical="center" wrapText="1"/>
    </xf>
    <xf numFmtId="0" fontId="42" fillId="0" borderId="258" xfId="0" applyFont="1" applyBorder="1" applyAlignment="1">
      <alignment horizontal="center" vertical="center" wrapText="1"/>
    </xf>
    <xf numFmtId="0" fontId="42" fillId="0" borderId="252" xfId="0" applyFont="1" applyBorder="1" applyAlignment="1">
      <alignment horizontal="center" vertical="center" wrapText="1"/>
    </xf>
    <xf numFmtId="0" fontId="42" fillId="0" borderId="258" xfId="0" applyFont="1" applyBorder="1" applyAlignment="1">
      <alignment horizontal="left" vertical="center" wrapText="1"/>
    </xf>
    <xf numFmtId="0" fontId="42" fillId="0" borderId="258" xfId="0" applyFont="1" applyBorder="1" applyAlignment="1">
      <alignment vertical="center" wrapText="1"/>
    </xf>
    <xf numFmtId="0" fontId="42" fillId="0" borderId="256" xfId="246" applyFont="1" applyBorder="1" applyAlignment="1">
      <alignment horizontal="center" vertical="center" wrapText="1"/>
    </xf>
    <xf numFmtId="0" fontId="61" fillId="27" borderId="258" xfId="246" applyFont="1" applyFill="1" applyBorder="1" applyAlignment="1">
      <alignment horizontal="center" vertical="center" wrapText="1"/>
    </xf>
    <xf numFmtId="0" fontId="61" fillId="20" borderId="258" xfId="0" applyFont="1" applyFill="1" applyBorder="1" applyAlignment="1">
      <alignment horizontal="center" vertical="center" wrapText="1"/>
    </xf>
    <xf numFmtId="0" fontId="61" fillId="23" borderId="258" xfId="0" applyFont="1" applyFill="1" applyBorder="1" applyAlignment="1">
      <alignment horizontal="center" vertical="center" wrapText="1"/>
    </xf>
    <xf numFmtId="0" fontId="61" fillId="0" borderId="251" xfId="0" applyFont="1" applyBorder="1" applyAlignment="1">
      <alignment horizontal="center" vertical="center" wrapText="1"/>
    </xf>
    <xf numFmtId="0" fontId="0" fillId="0" borderId="251" xfId="0" applyBorder="1" applyAlignment="1">
      <alignment vertical="center" wrapText="1"/>
    </xf>
    <xf numFmtId="0" fontId="61" fillId="26" borderId="251" xfId="246" applyFont="1" applyFill="1" applyBorder="1" applyAlignment="1">
      <alignment horizontal="center" vertical="center" wrapText="1"/>
    </xf>
    <xf numFmtId="0" fontId="61" fillId="23" borderId="251" xfId="246" applyFont="1" applyFill="1" applyBorder="1" applyAlignment="1">
      <alignment horizontal="center" vertical="center" wrapText="1"/>
    </xf>
    <xf numFmtId="0" fontId="228" fillId="40" borderId="196" xfId="246" applyFont="1" applyFill="1" applyBorder="1" applyAlignment="1">
      <alignment horizontal="center" vertical="center" wrapText="1"/>
    </xf>
    <xf numFmtId="0" fontId="228" fillId="40" borderId="197" xfId="246" applyFont="1" applyFill="1" applyBorder="1" applyAlignment="1">
      <alignment horizontal="center" vertical="center" wrapText="1"/>
    </xf>
    <xf numFmtId="0" fontId="228" fillId="40" borderId="194" xfId="246" applyFont="1" applyFill="1" applyBorder="1" applyAlignment="1">
      <alignment horizontal="center" vertical="center" wrapText="1"/>
    </xf>
    <xf numFmtId="0" fontId="228" fillId="40" borderId="194" xfId="0" applyFont="1" applyFill="1" applyBorder="1" applyAlignment="1">
      <alignment horizontal="center" vertical="center" wrapText="1"/>
    </xf>
    <xf numFmtId="0" fontId="228" fillId="40" borderId="258" xfId="0" applyFont="1" applyFill="1" applyBorder="1" applyAlignment="1">
      <alignment horizontal="center" vertical="center" wrapText="1"/>
    </xf>
    <xf numFmtId="0" fontId="139" fillId="40" borderId="0" xfId="246" applyFont="1" applyFill="1" applyAlignment="1">
      <alignment horizontal="center" vertical="center" wrapText="1"/>
    </xf>
    <xf numFmtId="0" fontId="84" fillId="37" borderId="183" xfId="246" applyFont="1" applyFill="1" applyBorder="1" applyAlignment="1">
      <alignment horizontal="center" vertical="center" wrapText="1"/>
    </xf>
    <xf numFmtId="0" fontId="228" fillId="37" borderId="196" xfId="246" applyFont="1" applyFill="1" applyBorder="1" applyAlignment="1">
      <alignment horizontal="center" vertical="center" wrapText="1"/>
    </xf>
    <xf numFmtId="0" fontId="228" fillId="37" borderId="197" xfId="246" applyFont="1" applyFill="1" applyBorder="1" applyAlignment="1">
      <alignment horizontal="center" vertical="center" wrapText="1"/>
    </xf>
    <xf numFmtId="0" fontId="228" fillId="37" borderId="194" xfId="246" applyFont="1" applyFill="1" applyBorder="1" applyAlignment="1">
      <alignment horizontal="center" vertical="center" wrapText="1"/>
    </xf>
    <xf numFmtId="0" fontId="228" fillId="37" borderId="194" xfId="0" applyFont="1" applyFill="1" applyBorder="1" applyAlignment="1">
      <alignment horizontal="center" vertical="center" wrapText="1"/>
    </xf>
    <xf numFmtId="0" fontId="228" fillId="37" borderId="0" xfId="0" applyFont="1" applyFill="1" applyAlignment="1">
      <alignment horizontal="center" vertical="center" wrapText="1"/>
    </xf>
    <xf numFmtId="0" fontId="139" fillId="37" borderId="0" xfId="246" applyFont="1" applyFill="1" applyAlignment="1">
      <alignment horizontal="center" vertical="center" wrapText="1"/>
    </xf>
    <xf numFmtId="0" fontId="84" fillId="52" borderId="194" xfId="0" applyFont="1" applyFill="1" applyBorder="1" applyAlignment="1">
      <alignment horizontal="center" vertical="center" wrapText="1"/>
    </xf>
    <xf numFmtId="0" fontId="84" fillId="52" borderId="0" xfId="0" applyFont="1" applyFill="1" applyAlignment="1">
      <alignment horizontal="center" wrapText="1"/>
    </xf>
    <xf numFmtId="0" fontId="228" fillId="52" borderId="0" xfId="0" applyFont="1" applyFill="1" applyAlignment="1">
      <alignment horizontal="center" vertical="center" wrapText="1"/>
    </xf>
    <xf numFmtId="0" fontId="228" fillId="52" borderId="197" xfId="0" applyFont="1" applyFill="1" applyBorder="1" applyAlignment="1">
      <alignment horizontal="center" vertical="center" wrapText="1"/>
    </xf>
    <xf numFmtId="0" fontId="228" fillId="52" borderId="194" xfId="0" applyFont="1" applyFill="1" applyBorder="1" applyAlignment="1">
      <alignment horizontal="center" vertical="center" wrapText="1"/>
    </xf>
    <xf numFmtId="0" fontId="139" fillId="52" borderId="0" xfId="246" applyFont="1" applyFill="1" applyAlignment="1">
      <alignment horizontal="center" vertical="center" wrapText="1"/>
    </xf>
    <xf numFmtId="0" fontId="60" fillId="0" borderId="0" xfId="0" applyFont="1" applyAlignment="1">
      <alignment horizontal="center"/>
    </xf>
    <xf numFmtId="0" fontId="99" fillId="0" borderId="16" xfId="0" applyFont="1" applyBorder="1" applyAlignment="1">
      <alignment horizontal="center" wrapText="1"/>
    </xf>
    <xf numFmtId="10" fontId="51" fillId="0" borderId="0" xfId="176" applyNumberFormat="1" applyFont="1" applyAlignment="1">
      <alignment horizontal="center"/>
    </xf>
    <xf numFmtId="10" fontId="99" fillId="0" borderId="16" xfId="176" applyNumberFormat="1" applyFont="1" applyBorder="1" applyAlignment="1">
      <alignment horizontal="center"/>
    </xf>
    <xf numFmtId="0" fontId="99" fillId="0" borderId="265" xfId="0" applyFont="1" applyBorder="1" applyAlignment="1">
      <alignment horizontal="center"/>
    </xf>
    <xf numFmtId="0" fontId="212" fillId="0" borderId="16" xfId="0" applyFont="1" applyBorder="1" applyAlignment="1">
      <alignment horizontal="center"/>
    </xf>
    <xf numFmtId="0" fontId="212" fillId="0" borderId="16" xfId="0" applyFont="1" applyBorder="1" applyAlignment="1">
      <alignment horizontal="center" wrapText="1"/>
    </xf>
    <xf numFmtId="0" fontId="219" fillId="0" borderId="0" xfId="0" applyFont="1" applyAlignment="1">
      <alignment horizontal="center"/>
    </xf>
    <xf numFmtId="0" fontId="188" fillId="44" borderId="16" xfId="0" applyFont="1" applyFill="1" applyBorder="1" applyAlignment="1">
      <alignment horizontal="center"/>
    </xf>
    <xf numFmtId="183" fontId="101" fillId="0" borderId="16" xfId="238" applyNumberFormat="1" applyFont="1" applyBorder="1" applyAlignment="1">
      <alignment horizontal="center"/>
    </xf>
    <xf numFmtId="0" fontId="99" fillId="0" borderId="254" xfId="0" applyFont="1" applyBorder="1"/>
    <xf numFmtId="2" fontId="99" fillId="0" borderId="254" xfId="0" applyNumberFormat="1" applyFont="1" applyBorder="1" applyAlignment="1">
      <alignment horizontal="center"/>
    </xf>
    <xf numFmtId="0" fontId="99" fillId="0" borderId="254" xfId="0" applyFont="1" applyBorder="1" applyAlignment="1">
      <alignment horizontal="center"/>
    </xf>
    <xf numFmtId="183" fontId="101" fillId="0" borderId="0" xfId="238" applyNumberFormat="1" applyFont="1" applyAlignment="1">
      <alignment horizontal="center"/>
    </xf>
    <xf numFmtId="183" fontId="101" fillId="0" borderId="254" xfId="238" applyNumberFormat="1" applyFont="1" applyBorder="1" applyAlignment="1">
      <alignment horizontal="center"/>
    </xf>
    <xf numFmtId="0" fontId="51" fillId="0" borderId="254" xfId="0" applyFont="1" applyBorder="1" applyAlignment="1">
      <alignment horizontal="center"/>
    </xf>
    <xf numFmtId="0" fontId="99" fillId="50" borderId="16" xfId="0" applyFont="1" applyFill="1" applyBorder="1" applyAlignment="1">
      <alignment horizontal="center"/>
    </xf>
    <xf numFmtId="0" fontId="51" fillId="50" borderId="0" xfId="0" applyFont="1" applyFill="1" applyAlignment="1">
      <alignment horizontal="center"/>
    </xf>
    <xf numFmtId="0" fontId="99" fillId="50" borderId="0" xfId="0" applyFont="1" applyFill="1" applyAlignment="1">
      <alignment horizontal="center"/>
    </xf>
    <xf numFmtId="0" fontId="99" fillId="44" borderId="16" xfId="0" applyFont="1" applyFill="1" applyBorder="1" applyAlignment="1">
      <alignment horizontal="center" wrapText="1"/>
    </xf>
    <xf numFmtId="168" fontId="74" fillId="0" borderId="262" xfId="453" applyNumberFormat="1" applyFont="1" applyBorder="1" applyAlignment="1">
      <alignment horizontal="center" vertical="center"/>
    </xf>
    <xf numFmtId="0" fontId="51" fillId="0" borderId="0" xfId="0" applyFont="1" applyAlignment="1">
      <alignment horizontal="left"/>
    </xf>
    <xf numFmtId="0" fontId="99" fillId="0" borderId="0" xfId="0" applyFont="1" applyAlignment="1">
      <alignment horizontal="left"/>
    </xf>
    <xf numFmtId="0" fontId="99" fillId="44" borderId="16" xfId="0" applyFont="1" applyFill="1" applyBorder="1" applyAlignment="1">
      <alignment horizontal="center" vertical="center" wrapText="1"/>
    </xf>
    <xf numFmtId="0" fontId="51" fillId="50" borderId="0" xfId="0" applyFont="1" applyFill="1"/>
    <xf numFmtId="0" fontId="99" fillId="50" borderId="0" xfId="0" applyFont="1" applyFill="1"/>
    <xf numFmtId="0" fontId="99" fillId="50" borderId="16" xfId="0" applyFont="1" applyFill="1" applyBorder="1"/>
    <xf numFmtId="168" fontId="32" fillId="0" borderId="262" xfId="228" applyNumberFormat="1" applyFont="1" applyBorder="1" applyAlignment="1">
      <alignment horizontal="center" vertical="center"/>
    </xf>
    <xf numFmtId="168" fontId="74" fillId="0" borderId="262" xfId="176" applyNumberFormat="1" applyFont="1" applyBorder="1" applyAlignment="1">
      <alignment horizontal="center" vertical="center"/>
    </xf>
    <xf numFmtId="1" fontId="99" fillId="0" borderId="0" xfId="0" applyNumberFormat="1" applyFont="1" applyAlignment="1">
      <alignment horizontal="center"/>
    </xf>
    <xf numFmtId="1" fontId="99" fillId="0" borderId="16" xfId="0" applyNumberFormat="1" applyFont="1" applyBorder="1" applyAlignment="1">
      <alignment horizontal="center"/>
    </xf>
    <xf numFmtId="0" fontId="67" fillId="0" borderId="0" xfId="0" applyFont="1" applyAlignment="1">
      <alignment horizontal="left" vertical="center"/>
    </xf>
    <xf numFmtId="2" fontId="101" fillId="0" borderId="254" xfId="238" applyNumberFormat="1" applyFont="1" applyBorder="1" applyAlignment="1">
      <alignment horizontal="center" vertical="center"/>
    </xf>
    <xf numFmtId="185" fontId="101" fillId="0" borderId="254" xfId="455" applyNumberFormat="1" applyFont="1" applyBorder="1" applyAlignment="1">
      <alignment horizontal="center" vertical="center"/>
    </xf>
    <xf numFmtId="0" fontId="74" fillId="0" borderId="117" xfId="455" applyFont="1" applyBorder="1" applyAlignment="1">
      <alignment horizontal="left" vertical="center"/>
    </xf>
    <xf numFmtId="0" fontId="74" fillId="0" borderId="0" xfId="455" applyFont="1" applyAlignment="1">
      <alignment horizontal="left" vertical="center"/>
    </xf>
    <xf numFmtId="0" fontId="138" fillId="0" borderId="0" xfId="455" applyFont="1" applyAlignment="1">
      <alignment horizontal="left" vertical="center"/>
    </xf>
    <xf numFmtId="0" fontId="138" fillId="0" borderId="141" xfId="455" applyFont="1" applyBorder="1" applyAlignment="1">
      <alignment horizontal="left" vertical="center"/>
    </xf>
    <xf numFmtId="0" fontId="74" fillId="0" borderId="0" xfId="173" applyFont="1" applyAlignment="1">
      <alignment horizontal="left" vertical="center"/>
    </xf>
    <xf numFmtId="171" fontId="181" fillId="0" borderId="11" xfId="0" applyNumberFormat="1" applyFont="1" applyBorder="1" applyAlignment="1">
      <alignment horizontal="center" vertical="center"/>
    </xf>
    <xf numFmtId="171" fontId="60" fillId="0" borderId="11" xfId="0" applyNumberFormat="1" applyFont="1" applyBorder="1"/>
    <xf numFmtId="171" fontId="181" fillId="0" borderId="197" xfId="0" applyNumberFormat="1" applyFont="1" applyBorder="1" applyAlignment="1">
      <alignment horizontal="center" vertical="center"/>
    </xf>
    <xf numFmtId="171" fontId="181" fillId="20" borderId="197" xfId="0" applyNumberFormat="1" applyFont="1" applyFill="1" applyBorder="1" applyAlignment="1">
      <alignment horizontal="center" vertical="center"/>
    </xf>
    <xf numFmtId="171" fontId="181" fillId="44" borderId="197" xfId="0" applyNumberFormat="1" applyFont="1" applyFill="1" applyBorder="1" applyAlignment="1">
      <alignment horizontal="center" vertical="center"/>
    </xf>
    <xf numFmtId="0" fontId="99" fillId="0" borderId="254" xfId="0" applyFont="1" applyBorder="1" applyAlignment="1">
      <alignment vertical="center"/>
    </xf>
    <xf numFmtId="2" fontId="99" fillId="0" borderId="254" xfId="0" applyNumberFormat="1" applyFont="1" applyBorder="1" applyAlignment="1">
      <alignment horizontal="center" vertical="center"/>
    </xf>
    <xf numFmtId="0" fontId="99" fillId="0" borderId="254" xfId="0" applyFont="1" applyBorder="1" applyAlignment="1">
      <alignment horizontal="center" vertical="center"/>
    </xf>
    <xf numFmtId="0" fontId="51" fillId="0" borderId="254" xfId="0" applyFont="1" applyBorder="1" applyAlignment="1">
      <alignment horizontal="center" vertical="center"/>
    </xf>
    <xf numFmtId="185" fontId="99" fillId="0" borderId="254" xfId="0" applyNumberFormat="1" applyFont="1" applyBorder="1" applyAlignment="1">
      <alignment horizontal="center" vertical="center"/>
    </xf>
    <xf numFmtId="171" fontId="32" fillId="0" borderId="262" xfId="144" applyNumberFormat="1" applyFont="1" applyBorder="1" applyAlignment="1">
      <alignment horizontal="center"/>
    </xf>
    <xf numFmtId="171" fontId="60" fillId="0" borderId="262" xfId="0" applyNumberFormat="1" applyFont="1" applyBorder="1" applyAlignment="1">
      <alignment horizontal="center"/>
    </xf>
    <xf numFmtId="171" fontId="74" fillId="0" borderId="262" xfId="798" applyNumberFormat="1" applyFont="1" applyBorder="1" applyAlignment="1">
      <alignment horizontal="center" vertical="top"/>
    </xf>
    <xf numFmtId="171" fontId="74" fillId="0" borderId="262" xfId="238" applyNumberFormat="1" applyFont="1" applyBorder="1" applyAlignment="1">
      <alignment horizontal="center" vertical="top"/>
    </xf>
    <xf numFmtId="171" fontId="60" fillId="0" borderId="262" xfId="0" applyNumberFormat="1" applyFont="1" applyBorder="1" applyAlignment="1">
      <alignment horizontal="center" vertical="center"/>
    </xf>
    <xf numFmtId="0" fontId="74" fillId="0" borderId="262" xfId="456" applyFont="1" applyBorder="1" applyAlignment="1">
      <alignment horizontal="center" vertical="center"/>
    </xf>
    <xf numFmtId="0" fontId="0" fillId="0" borderId="262" xfId="0" applyBorder="1"/>
    <xf numFmtId="0" fontId="74" fillId="0" borderId="262" xfId="238" applyFont="1" applyBorder="1" applyAlignment="1">
      <alignment horizontal="left" vertical="top"/>
    </xf>
    <xf numFmtId="185" fontId="181" fillId="44" borderId="258" xfId="0" applyNumberFormat="1" applyFont="1" applyFill="1" applyBorder="1" applyAlignment="1">
      <alignment horizontal="center" vertical="center"/>
    </xf>
    <xf numFmtId="2" fontId="99" fillId="44" borderId="16" xfId="0" applyNumberFormat="1" applyFont="1" applyFill="1" applyBorder="1" applyAlignment="1">
      <alignment horizontal="center" vertical="center"/>
    </xf>
    <xf numFmtId="0" fontId="63" fillId="0" borderId="0" xfId="0" applyFont="1"/>
    <xf numFmtId="0" fontId="74" fillId="0" borderId="262" xfId="457" applyFont="1" applyBorder="1" applyAlignment="1">
      <alignment horizontal="left" vertical="center"/>
    </xf>
    <xf numFmtId="171" fontId="32" fillId="0" borderId="262" xfId="144" applyNumberFormat="1" applyFont="1" applyBorder="1" applyAlignment="1">
      <alignment horizontal="center" vertical="center"/>
    </xf>
    <xf numFmtId="171" fontId="74" fillId="0" borderId="262" xfId="799" applyNumberFormat="1" applyFont="1" applyBorder="1" applyAlignment="1">
      <alignment horizontal="center" vertical="center"/>
    </xf>
    <xf numFmtId="0" fontId="40" fillId="20" borderId="258" xfId="0" applyFont="1" applyFill="1" applyBorder="1" applyAlignment="1">
      <alignment horizontal="center" vertical="center" wrapText="1"/>
    </xf>
    <xf numFmtId="168" fontId="38" fillId="0" borderId="0" xfId="176" applyNumberFormat="1" applyAlignment="1">
      <alignment horizontal="right" indent="1"/>
    </xf>
    <xf numFmtId="0" fontId="0" fillId="0" borderId="258" xfId="0" applyBorder="1" applyAlignment="1">
      <alignment horizontal="center" vertical="center"/>
    </xf>
    <xf numFmtId="0" fontId="148" fillId="0" borderId="0" xfId="0" applyFont="1" applyAlignment="1">
      <alignment horizontal="left" vertical="top"/>
    </xf>
    <xf numFmtId="0" fontId="231" fillId="0" borderId="0" xfId="0" applyFont="1" applyAlignment="1">
      <alignment horizontal="left" vertical="top"/>
    </xf>
    <xf numFmtId="0" fontId="206" fillId="0" borderId="0" xfId="229" applyFont="1" applyAlignment="1">
      <alignment horizontal="left" vertical="center"/>
    </xf>
    <xf numFmtId="0" fontId="134" fillId="0" borderId="0" xfId="0" applyFont="1"/>
    <xf numFmtId="0" fontId="232" fillId="0" borderId="0" xfId="0" applyFont="1" applyAlignment="1">
      <alignment vertical="center" readingOrder="1"/>
    </xf>
    <xf numFmtId="0" fontId="30" fillId="20" borderId="267" xfId="149" applyFont="1" applyFill="1" applyBorder="1" applyAlignment="1">
      <alignment horizontal="center" vertical="center"/>
    </xf>
    <xf numFmtId="0" fontId="40" fillId="20" borderId="258" xfId="0" applyFont="1" applyFill="1" applyBorder="1" applyAlignment="1">
      <alignment horizontal="center"/>
    </xf>
    <xf numFmtId="0" fontId="234" fillId="0" borderId="258" xfId="149" applyFont="1" applyBorder="1" applyAlignment="1">
      <alignment horizontal="center"/>
    </xf>
    <xf numFmtId="3" fontId="234" fillId="0" borderId="258" xfId="149" applyNumberFormat="1" applyFont="1" applyBorder="1" applyAlignment="1">
      <alignment horizontal="center"/>
    </xf>
    <xf numFmtId="3" fontId="0" fillId="0" borderId="266" xfId="0" applyNumberFormat="1" applyBorder="1" applyAlignment="1">
      <alignment horizontal="center"/>
    </xf>
    <xf numFmtId="173" fontId="1" fillId="0" borderId="258" xfId="149" applyNumberFormat="1" applyBorder="1" applyAlignment="1">
      <alignment horizontal="center" vertical="center"/>
    </xf>
    <xf numFmtId="0" fontId="1" fillId="0" borderId="258" xfId="149" applyBorder="1" applyAlignment="1">
      <alignment horizontal="center" vertical="center"/>
    </xf>
    <xf numFmtId="3" fontId="1" fillId="0" borderId="258" xfId="149" applyNumberFormat="1" applyBorder="1" applyAlignment="1">
      <alignment horizontal="center" vertical="center"/>
    </xf>
    <xf numFmtId="173" fontId="234" fillId="0" borderId="258" xfId="0" applyNumberFormat="1" applyFont="1" applyBorder="1" applyAlignment="1">
      <alignment horizontal="center" vertical="center"/>
    </xf>
    <xf numFmtId="173" fontId="1" fillId="0" borderId="258" xfId="0" applyNumberFormat="1" applyFont="1" applyBorder="1" applyAlignment="1">
      <alignment horizontal="center" vertical="center"/>
    </xf>
    <xf numFmtId="3" fontId="1" fillId="0" borderId="258" xfId="0" applyNumberFormat="1" applyFont="1" applyBorder="1" applyAlignment="1">
      <alignment horizontal="center" vertical="center"/>
    </xf>
    <xf numFmtId="173" fontId="233" fillId="0" borderId="258" xfId="149" applyNumberFormat="1" applyFont="1" applyBorder="1" applyAlignment="1">
      <alignment horizontal="center" vertical="center"/>
    </xf>
    <xf numFmtId="0" fontId="30" fillId="44" borderId="257" xfId="149" applyFont="1" applyFill="1" applyBorder="1" applyAlignment="1">
      <alignment horizontal="center" vertical="center"/>
    </xf>
    <xf numFmtId="0" fontId="30" fillId="20" borderId="258" xfId="149" applyFont="1" applyFill="1" applyBorder="1" applyAlignment="1">
      <alignment horizontal="center" vertical="center"/>
    </xf>
    <xf numFmtId="3" fontId="30" fillId="20" borderId="258" xfId="149" applyNumberFormat="1" applyFont="1" applyFill="1" applyBorder="1" applyAlignment="1">
      <alignment horizontal="center" vertical="center"/>
    </xf>
    <xf numFmtId="173" fontId="32" fillId="0" borderId="258" xfId="0" applyNumberFormat="1" applyFont="1" applyBorder="1" applyAlignment="1">
      <alignment horizontal="center" vertical="center"/>
    </xf>
    <xf numFmtId="173" fontId="32" fillId="0" borderId="258" xfId="0" applyNumberFormat="1" applyFont="1" applyBorder="1" applyAlignment="1">
      <alignment horizontal="center" vertical="center" wrapText="1"/>
    </xf>
    <xf numFmtId="0" fontId="5" fillId="20" borderId="258" xfId="149" applyFont="1" applyFill="1" applyBorder="1" applyAlignment="1">
      <alignment horizontal="center" vertical="center"/>
    </xf>
    <xf numFmtId="3" fontId="5" fillId="44" borderId="258" xfId="149" applyNumberFormat="1" applyFont="1" applyFill="1" applyBorder="1" applyAlignment="1">
      <alignment horizontal="center" vertical="center"/>
    </xf>
    <xf numFmtId="3" fontId="5" fillId="20" borderId="258" xfId="149" applyNumberFormat="1" applyFont="1" applyFill="1" applyBorder="1" applyAlignment="1">
      <alignment horizontal="center" vertical="center"/>
    </xf>
    <xf numFmtId="3" fontId="30" fillId="44" borderId="258" xfId="149" applyNumberFormat="1" applyFont="1" applyFill="1" applyBorder="1" applyAlignment="1">
      <alignment horizontal="center" vertical="center"/>
    </xf>
    <xf numFmtId="0" fontId="44" fillId="0" borderId="258" xfId="0" applyFont="1" applyBorder="1" applyAlignment="1">
      <alignment horizontal="center" vertical="center"/>
    </xf>
    <xf numFmtId="3" fontId="44" fillId="0" borderId="258" xfId="0" applyNumberFormat="1" applyFont="1" applyBorder="1" applyAlignment="1">
      <alignment horizontal="center" vertical="center"/>
    </xf>
    <xf numFmtId="0" fontId="30" fillId="0" borderId="258" xfId="149" applyFont="1" applyBorder="1" applyAlignment="1">
      <alignment horizontal="center" vertical="center"/>
    </xf>
    <xf numFmtId="0" fontId="40" fillId="0" borderId="258" xfId="0" applyFont="1" applyBorder="1" applyAlignment="1">
      <alignment horizontal="center"/>
    </xf>
    <xf numFmtId="0" fontId="46" fillId="0" borderId="254" xfId="0" applyFont="1" applyBorder="1" applyAlignment="1">
      <alignment horizontal="left" wrapText="1"/>
    </xf>
    <xf numFmtId="0" fontId="5" fillId="20" borderId="266" xfId="149" applyFont="1" applyFill="1" applyBorder="1" applyAlignment="1">
      <alignment horizontal="center" vertical="center"/>
    </xf>
    <xf numFmtId="0" fontId="5" fillId="20" borderId="266" xfId="149" applyFont="1" applyFill="1" applyBorder="1" applyAlignment="1">
      <alignment horizontal="center" vertical="center" wrapText="1"/>
    </xf>
    <xf numFmtId="0" fontId="5" fillId="20" borderId="267" xfId="149" applyFont="1" applyFill="1" applyBorder="1" applyAlignment="1">
      <alignment horizontal="center" vertical="center"/>
    </xf>
    <xf numFmtId="0" fontId="45" fillId="20" borderId="258" xfId="0" applyFont="1" applyFill="1" applyBorder="1" applyAlignment="1">
      <alignment horizontal="center"/>
    </xf>
    <xf numFmtId="173" fontId="1" fillId="0" borderId="258" xfId="149" applyNumberFormat="1" applyBorder="1" applyAlignment="1">
      <alignment vertical="center"/>
    </xf>
    <xf numFmtId="173" fontId="233" fillId="0" borderId="266" xfId="0" applyNumberFormat="1" applyFont="1" applyBorder="1" applyAlignment="1">
      <alignment vertical="center"/>
    </xf>
    <xf numFmtId="173" fontId="1" fillId="0" borderId="258" xfId="0" applyNumberFormat="1" applyFont="1" applyBorder="1" applyAlignment="1">
      <alignment horizontal="left"/>
    </xf>
    <xf numFmtId="3" fontId="1" fillId="0" borderId="258" xfId="0" applyNumberFormat="1" applyFont="1" applyBorder="1" applyAlignment="1">
      <alignment horizontal="center"/>
    </xf>
    <xf numFmtId="173" fontId="1" fillId="0" borderId="266" xfId="0" applyNumberFormat="1" applyFont="1" applyBorder="1" applyAlignment="1">
      <alignment vertical="center" wrapText="1"/>
    </xf>
    <xf numFmtId="3" fontId="1" fillId="0" borderId="266" xfId="0" applyNumberFormat="1" applyFont="1" applyBorder="1" applyAlignment="1">
      <alignment horizontal="center" vertical="center"/>
    </xf>
    <xf numFmtId="173" fontId="1" fillId="0" borderId="258" xfId="0" applyNumberFormat="1" applyFont="1" applyBorder="1"/>
    <xf numFmtId="3" fontId="234" fillId="0" borderId="266" xfId="0" applyNumberFormat="1" applyFont="1" applyBorder="1" applyAlignment="1">
      <alignment vertical="center"/>
    </xf>
    <xf numFmtId="3" fontId="234" fillId="0" borderId="262" xfId="0" applyNumberFormat="1" applyFont="1" applyBorder="1" applyAlignment="1">
      <alignment vertical="center"/>
    </xf>
    <xf numFmtId="3" fontId="235" fillId="0" borderId="262" xfId="0" applyNumberFormat="1" applyFont="1" applyBorder="1" applyAlignment="1">
      <alignment vertical="center"/>
    </xf>
    <xf numFmtId="3" fontId="234" fillId="0" borderId="267" xfId="0" applyNumberFormat="1" applyFont="1" applyBorder="1" applyAlignment="1">
      <alignment vertical="center"/>
    </xf>
    <xf numFmtId="0" fontId="5" fillId="44" borderId="258" xfId="149" applyFont="1" applyFill="1" applyBorder="1" applyAlignment="1">
      <alignment horizontal="center" vertical="center"/>
    </xf>
    <xf numFmtId="173" fontId="1" fillId="0" borderId="258" xfId="0" applyNumberFormat="1" applyFont="1" applyBorder="1" applyAlignment="1">
      <alignment vertical="center"/>
    </xf>
    <xf numFmtId="173" fontId="234" fillId="0" borderId="258" xfId="149" applyNumberFormat="1" applyFont="1" applyBorder="1" applyAlignment="1">
      <alignment horizontal="left" vertical="center"/>
    </xf>
    <xf numFmtId="0" fontId="234" fillId="0" borderId="258" xfId="149" applyFont="1" applyBorder="1" applyAlignment="1">
      <alignment horizontal="center" vertical="center"/>
    </xf>
    <xf numFmtId="3" fontId="234" fillId="0" borderId="258" xfId="149" applyNumberFormat="1" applyFont="1" applyBorder="1" applyAlignment="1">
      <alignment horizontal="center" vertical="center"/>
    </xf>
    <xf numFmtId="0" fontId="0" fillId="0" borderId="258" xfId="0" applyBorder="1"/>
    <xf numFmtId="0" fontId="0" fillId="0" borderId="258" xfId="0" applyBorder="1" applyAlignment="1">
      <alignment horizontal="left" indent="2"/>
    </xf>
    <xf numFmtId="3" fontId="0" fillId="0" borderId="258" xfId="0" applyNumberFormat="1" applyBorder="1" applyAlignment="1">
      <alignment horizontal="center"/>
    </xf>
    <xf numFmtId="0" fontId="237" fillId="0" borderId="258" xfId="0" applyFont="1" applyBorder="1" applyAlignment="1">
      <alignment vertical="center"/>
    </xf>
    <xf numFmtId="173" fontId="234" fillId="0" borderId="258" xfId="0" applyNumberFormat="1" applyFont="1" applyBorder="1" applyAlignment="1">
      <alignment horizontal="left" vertical="center"/>
    </xf>
    <xf numFmtId="3" fontId="234" fillId="0" borderId="258" xfId="0" applyNumberFormat="1" applyFont="1" applyBorder="1" applyAlignment="1">
      <alignment horizontal="center" vertical="center"/>
    </xf>
    <xf numFmtId="173" fontId="234" fillId="0" borderId="258" xfId="0" applyNumberFormat="1" applyFont="1" applyBorder="1"/>
    <xf numFmtId="3" fontId="234" fillId="0" borderId="258" xfId="0" applyNumberFormat="1" applyFont="1" applyBorder="1" applyAlignment="1">
      <alignment horizontal="center"/>
    </xf>
    <xf numFmtId="173" fontId="234" fillId="0" borderId="258" xfId="0" applyNumberFormat="1" applyFont="1" applyBorder="1" applyAlignment="1">
      <alignment horizontal="left"/>
    </xf>
    <xf numFmtId="173" fontId="238" fillId="0" borderId="258" xfId="0" applyNumberFormat="1" applyFont="1" applyBorder="1"/>
    <xf numFmtId="173" fontId="234" fillId="0" borderId="258" xfId="0" applyNumberFormat="1" applyFont="1" applyBorder="1" applyAlignment="1">
      <alignment vertical="center"/>
    </xf>
    <xf numFmtId="173" fontId="5" fillId="0" borderId="266" xfId="0" applyNumberFormat="1" applyFont="1" applyBorder="1" applyAlignment="1">
      <alignment vertical="center"/>
    </xf>
    <xf numFmtId="173" fontId="5" fillId="0" borderId="266" xfId="149" applyNumberFormat="1" applyFont="1" applyBorder="1" applyAlignment="1">
      <alignment horizontal="center" vertical="center"/>
    </xf>
    <xf numFmtId="3" fontId="1" fillId="0" borderId="266" xfId="0" applyNumberFormat="1" applyFont="1" applyBorder="1" applyAlignment="1">
      <alignment vertical="center"/>
    </xf>
    <xf numFmtId="3" fontId="1" fillId="0" borderId="262" xfId="0" applyNumberFormat="1" applyFont="1" applyBorder="1" applyAlignment="1">
      <alignment vertical="center"/>
    </xf>
    <xf numFmtId="3" fontId="1" fillId="0" borderId="267" xfId="0" applyNumberFormat="1" applyFont="1" applyBorder="1" applyAlignment="1">
      <alignment vertical="center"/>
    </xf>
    <xf numFmtId="0" fontId="1" fillId="0" borderId="258" xfId="149" applyBorder="1" applyAlignment="1">
      <alignment horizontal="left" indent="2"/>
    </xf>
    <xf numFmtId="173" fontId="1" fillId="0" borderId="258" xfId="149" applyNumberFormat="1" applyBorder="1" applyAlignment="1">
      <alignment horizontal="left" vertical="center"/>
    </xf>
    <xf numFmtId="0" fontId="44" fillId="0" borderId="258" xfId="0" applyFont="1" applyBorder="1" applyAlignment="1">
      <alignment horizontal="left" indent="2"/>
    </xf>
    <xf numFmtId="3" fontId="44" fillId="0" borderId="258" xfId="0" applyNumberFormat="1" applyFont="1" applyBorder="1" applyAlignment="1">
      <alignment horizontal="center"/>
    </xf>
    <xf numFmtId="173" fontId="1" fillId="0" borderId="258" xfId="0" applyNumberFormat="1" applyFont="1" applyBorder="1" applyAlignment="1">
      <alignment horizontal="left" vertical="center"/>
    </xf>
    <xf numFmtId="0" fontId="30" fillId="0" borderId="267" xfId="149" applyFont="1" applyBorder="1" applyAlignment="1">
      <alignment horizontal="center" vertical="center"/>
    </xf>
    <xf numFmtId="0" fontId="234" fillId="0" borderId="0" xfId="149" applyFont="1"/>
    <xf numFmtId="173" fontId="234" fillId="0" borderId="258" xfId="149" applyNumberFormat="1" applyFont="1" applyBorder="1" applyAlignment="1">
      <alignment horizontal="center" vertical="center"/>
    </xf>
    <xf numFmtId="173" fontId="1" fillId="0" borderId="258" xfId="0" applyNumberFormat="1" applyFont="1" applyBorder="1" applyAlignment="1">
      <alignment horizontal="center" vertical="center" wrapText="1"/>
    </xf>
    <xf numFmtId="3" fontId="0" fillId="0" borderId="258" xfId="0" applyNumberFormat="1" applyBorder="1" applyAlignment="1">
      <alignment horizontal="center" vertical="center"/>
    </xf>
    <xf numFmtId="0" fontId="44" fillId="0" borderId="258" xfId="0" applyFont="1" applyBorder="1" applyAlignment="1">
      <alignment vertical="center"/>
    </xf>
    <xf numFmtId="3" fontId="1" fillId="0" borderId="0" xfId="149" applyNumberFormat="1" applyAlignment="1">
      <alignment vertical="center"/>
    </xf>
    <xf numFmtId="0" fontId="46" fillId="0" borderId="0" xfId="0" applyFont="1" applyAlignment="1">
      <alignment horizontal="left"/>
    </xf>
    <xf numFmtId="0" fontId="5" fillId="20" borderId="262" xfId="149" applyFont="1" applyFill="1" applyBorder="1" applyAlignment="1">
      <alignment horizontal="center" vertical="center"/>
    </xf>
    <xf numFmtId="0" fontId="5" fillId="0" borderId="257" xfId="149" applyFont="1" applyBorder="1" applyAlignment="1">
      <alignment horizontal="center" vertical="center"/>
    </xf>
    <xf numFmtId="0" fontId="5" fillId="0" borderId="256" xfId="149" applyFont="1" applyBorder="1" applyAlignment="1">
      <alignment horizontal="center" vertical="center"/>
    </xf>
    <xf numFmtId="0" fontId="30" fillId="44" borderId="256" xfId="149" applyFont="1" applyFill="1" applyBorder="1" applyAlignment="1">
      <alignment horizontal="center" vertical="center"/>
    </xf>
    <xf numFmtId="0" fontId="30" fillId="44" borderId="258" xfId="149" applyFont="1" applyFill="1" applyBorder="1" applyAlignment="1">
      <alignment horizontal="center" vertical="center"/>
    </xf>
    <xf numFmtId="0" fontId="206" fillId="0" borderId="0" xfId="0" applyFont="1" applyAlignment="1">
      <alignment horizontal="center" vertical="center" wrapText="1"/>
    </xf>
    <xf numFmtId="0" fontId="94" fillId="0" borderId="14" xfId="0" applyFont="1" applyBorder="1" applyAlignment="1">
      <alignment horizontal="center" vertical="center"/>
    </xf>
    <xf numFmtId="0" fontId="73" fillId="0" borderId="125" xfId="149" applyFont="1" applyBorder="1" applyAlignment="1">
      <alignment horizontal="center" vertical="center" wrapText="1"/>
    </xf>
    <xf numFmtId="0" fontId="65" fillId="0" borderId="125" xfId="149" applyFont="1" applyBorder="1" applyAlignment="1">
      <alignment horizontal="center" vertical="center" wrapText="1"/>
    </xf>
    <xf numFmtId="0" fontId="45" fillId="20" borderId="258" xfId="0" applyFont="1" applyFill="1" applyBorder="1" applyAlignment="1">
      <alignment horizontal="center" vertical="center" wrapText="1"/>
    </xf>
    <xf numFmtId="0" fontId="83" fillId="20" borderId="258" xfId="0" applyFont="1" applyFill="1" applyBorder="1" applyAlignment="1">
      <alignment horizontal="center" vertical="center" wrapText="1"/>
    </xf>
    <xf numFmtId="0" fontId="64" fillId="35" borderId="258" xfId="0" applyFont="1" applyFill="1" applyBorder="1" applyAlignment="1">
      <alignment horizontal="center" vertical="top" wrapText="1"/>
    </xf>
    <xf numFmtId="1" fontId="64" fillId="35" borderId="258" xfId="0" applyNumberFormat="1" applyFont="1" applyFill="1" applyBorder="1" applyAlignment="1">
      <alignment horizontal="center" vertical="top" wrapText="1"/>
    </xf>
    <xf numFmtId="1" fontId="74" fillId="0" borderId="258" xfId="821" applyNumberFormat="1" applyFont="1" applyBorder="1" applyAlignment="1">
      <alignment horizontal="center" vertical="center"/>
    </xf>
    <xf numFmtId="183" fontId="74" fillId="0" borderId="258" xfId="821" applyNumberFormat="1" applyFont="1" applyBorder="1" applyAlignment="1">
      <alignment horizontal="center" vertical="center"/>
    </xf>
    <xf numFmtId="0" fontId="24" fillId="0" borderId="0" xfId="452" applyFont="1" applyAlignment="1">
      <alignment horizontal="center" vertical="center" wrapText="1"/>
    </xf>
    <xf numFmtId="0" fontId="83" fillId="35" borderId="0" xfId="0" applyFont="1" applyFill="1" applyAlignment="1">
      <alignment horizontal="center" vertical="top" wrapText="1"/>
    </xf>
    <xf numFmtId="2" fontId="83" fillId="35" borderId="0" xfId="0" applyNumberFormat="1" applyFont="1" applyFill="1" applyAlignment="1">
      <alignment horizontal="center" vertical="top" wrapText="1"/>
    </xf>
    <xf numFmtId="0" fontId="45" fillId="20" borderId="258" xfId="818" applyFont="1" applyFill="1" applyBorder="1" applyAlignment="1">
      <alignment vertical="center"/>
    </xf>
    <xf numFmtId="0" fontId="45" fillId="20" borderId="258" xfId="818" applyFont="1" applyFill="1" applyBorder="1" applyAlignment="1">
      <alignment horizontal="center" vertical="center"/>
    </xf>
    <xf numFmtId="0" fontId="44" fillId="0" borderId="258" xfId="818" applyFont="1" applyBorder="1"/>
    <xf numFmtId="0" fontId="44" fillId="0" borderId="258" xfId="818" applyFont="1" applyBorder="1" applyAlignment="1">
      <alignment horizontal="center"/>
    </xf>
    <xf numFmtId="171" fontId="44" fillId="0" borderId="258" xfId="818" applyNumberFormat="1" applyFont="1" applyBorder="1" applyAlignment="1">
      <alignment horizontal="center"/>
    </xf>
    <xf numFmtId="0" fontId="45" fillId="20" borderId="258" xfId="818" applyFont="1" applyFill="1" applyBorder="1"/>
    <xf numFmtId="0" fontId="45" fillId="20" borderId="258" xfId="818" applyFont="1" applyFill="1" applyBorder="1" applyAlignment="1">
      <alignment horizontal="center"/>
    </xf>
    <xf numFmtId="171" fontId="44" fillId="20" borderId="258" xfId="818" applyNumberFormat="1" applyFont="1" applyFill="1" applyBorder="1" applyAlignment="1">
      <alignment horizontal="center"/>
    </xf>
    <xf numFmtId="0" fontId="83" fillId="35" borderId="259" xfId="0" applyFont="1" applyFill="1" applyBorder="1" applyAlignment="1">
      <alignment vertical="top" wrapText="1"/>
    </xf>
    <xf numFmtId="0" fontId="83" fillId="20" borderId="255" xfId="0" applyFont="1" applyFill="1" applyBorder="1" applyAlignment="1">
      <alignment horizontal="center" vertical="center" wrapText="1"/>
    </xf>
    <xf numFmtId="0" fontId="40" fillId="20" borderId="258" xfId="0" applyFont="1" applyFill="1" applyBorder="1" applyAlignment="1">
      <alignment horizontal="center" vertical="center"/>
    </xf>
    <xf numFmtId="10" fontId="64" fillId="0" borderId="257" xfId="0" applyNumberFormat="1" applyFont="1" applyBorder="1" applyAlignment="1">
      <alignment horizontal="center" vertical="center"/>
    </xf>
    <xf numFmtId="10" fontId="0" fillId="0" borderId="258" xfId="0" applyNumberFormat="1" applyBorder="1" applyAlignment="1">
      <alignment horizontal="center"/>
    </xf>
    <xf numFmtId="0" fontId="64" fillId="0" borderId="0" xfId="0" applyFont="1" applyAlignment="1">
      <alignment horizontal="center" vertical="center" wrapText="1"/>
    </xf>
    <xf numFmtId="0" fontId="157" fillId="0" borderId="0" xfId="0" applyFont="1"/>
    <xf numFmtId="0" fontId="67" fillId="0" borderId="0" xfId="0" applyFont="1" applyAlignment="1">
      <alignment horizontal="center"/>
    </xf>
    <xf numFmtId="0" fontId="125" fillId="0" borderId="0" xfId="0" applyFont="1" applyAlignment="1">
      <alignment horizontal="left" vertical="center"/>
    </xf>
    <xf numFmtId="0" fontId="46" fillId="0" borderId="0" xfId="0" applyFont="1" applyAlignment="1">
      <alignment horizontal="center"/>
    </xf>
    <xf numFmtId="0" fontId="157" fillId="20" borderId="258" xfId="0" applyFont="1" applyFill="1" applyBorder="1" applyAlignment="1">
      <alignment horizontal="center" vertical="center"/>
    </xf>
    <xf numFmtId="0" fontId="157" fillId="20" borderId="258" xfId="0" applyFont="1" applyFill="1" applyBorder="1" applyAlignment="1">
      <alignment horizontal="center" vertical="center" wrapText="1"/>
    </xf>
    <xf numFmtId="0" fontId="46" fillId="0" borderId="258" xfId="0" applyFont="1" applyBorder="1" applyAlignment="1">
      <alignment horizontal="center" vertical="center"/>
    </xf>
    <xf numFmtId="0" fontId="46" fillId="0" borderId="258" xfId="818" applyFont="1" applyBorder="1"/>
    <xf numFmtId="0" fontId="46" fillId="0" borderId="258" xfId="818" applyFont="1" applyBorder="1" applyAlignment="1">
      <alignment horizontal="center"/>
    </xf>
    <xf numFmtId="2" fontId="46" fillId="0" borderId="258" xfId="818" applyNumberFormat="1" applyFont="1" applyBorder="1" applyAlignment="1">
      <alignment horizontal="center"/>
    </xf>
    <xf numFmtId="2" fontId="46" fillId="0" borderId="258" xfId="0" applyNumberFormat="1" applyFont="1" applyBorder="1" applyAlignment="1">
      <alignment horizontal="center" vertical="center"/>
    </xf>
    <xf numFmtId="0" fontId="46" fillId="0" borderId="258" xfId="0" applyFont="1" applyBorder="1" applyAlignment="1">
      <alignment horizontal="center"/>
    </xf>
    <xf numFmtId="2" fontId="46" fillId="0" borderId="258" xfId="0" applyNumberFormat="1" applyFont="1" applyBorder="1" applyAlignment="1">
      <alignment horizontal="center"/>
    </xf>
    <xf numFmtId="0" fontId="46" fillId="0" borderId="258" xfId="0" applyFont="1" applyBorder="1"/>
    <xf numFmtId="2" fontId="27" fillId="0" borderId="258" xfId="820" applyNumberFormat="1" applyFont="1" applyBorder="1" applyAlignment="1">
      <alignment horizontal="center" vertical="center"/>
    </xf>
    <xf numFmtId="0" fontId="46" fillId="0" borderId="266" xfId="0" applyFont="1" applyBorder="1" applyAlignment="1">
      <alignment horizontal="center"/>
    </xf>
    <xf numFmtId="2" fontId="46" fillId="0" borderId="266" xfId="0" applyNumberFormat="1" applyFont="1" applyBorder="1" applyAlignment="1">
      <alignment horizontal="center"/>
    </xf>
    <xf numFmtId="2" fontId="27" fillId="0" borderId="266" xfId="820" applyNumberFormat="1" applyFont="1" applyBorder="1" applyAlignment="1">
      <alignment horizontal="center" vertical="center"/>
    </xf>
    <xf numFmtId="0" fontId="157" fillId="20" borderId="258" xfId="0" applyFont="1" applyFill="1" applyBorder="1" applyAlignment="1">
      <alignment horizontal="left" vertical="center"/>
    </xf>
    <xf numFmtId="2" fontId="157" fillId="20" borderId="258" xfId="0" applyNumberFormat="1" applyFont="1" applyFill="1" applyBorder="1" applyAlignment="1">
      <alignment horizontal="center" vertical="center"/>
    </xf>
    <xf numFmtId="10" fontId="241" fillId="20" borderId="258" xfId="0" applyNumberFormat="1" applyFont="1" applyFill="1" applyBorder="1" applyAlignment="1">
      <alignment horizontal="center" vertical="center"/>
    </xf>
    <xf numFmtId="10" fontId="241" fillId="20" borderId="257" xfId="0" applyNumberFormat="1" applyFont="1" applyFill="1" applyBorder="1" applyAlignment="1">
      <alignment horizontal="center" vertical="center"/>
    </xf>
    <xf numFmtId="10" fontId="64" fillId="44" borderId="258" xfId="0" applyNumberFormat="1" applyFont="1" applyFill="1" applyBorder="1" applyAlignment="1">
      <alignment horizontal="center" vertical="center"/>
    </xf>
    <xf numFmtId="0" fontId="125" fillId="0" borderId="0" xfId="0" applyFont="1" applyAlignment="1">
      <alignment horizontal="left"/>
    </xf>
    <xf numFmtId="0" fontId="125" fillId="0" borderId="0" xfId="0" applyFont="1"/>
    <xf numFmtId="0" fontId="125" fillId="20" borderId="194" xfId="0" applyFont="1" applyFill="1" applyBorder="1" applyAlignment="1">
      <alignment horizontal="center" vertical="center"/>
    </xf>
    <xf numFmtId="0" fontId="125" fillId="20" borderId="194" xfId="0" applyFont="1" applyFill="1" applyBorder="1" applyAlignment="1">
      <alignment horizontal="center" vertical="center" wrapText="1"/>
    </xf>
    <xf numFmtId="0" fontId="242" fillId="20" borderId="194" xfId="452" applyFont="1" applyFill="1" applyBorder="1" applyAlignment="1">
      <alignment horizontal="center" vertical="center" wrapText="1"/>
    </xf>
    <xf numFmtId="0" fontId="67" fillId="0" borderId="194" xfId="0" applyFont="1" applyBorder="1" applyAlignment="1">
      <alignment horizontal="center" vertical="center"/>
    </xf>
    <xf numFmtId="0" fontId="129" fillId="0" borderId="194" xfId="820" applyFont="1" applyBorder="1" applyAlignment="1">
      <alignment horizontal="left" vertical="center" wrapText="1"/>
    </xf>
    <xf numFmtId="2" fontId="67" fillId="0" borderId="194" xfId="0" applyNumberFormat="1" applyFont="1" applyBorder="1" applyAlignment="1">
      <alignment horizontal="center" vertical="center"/>
    </xf>
    <xf numFmtId="2" fontId="67" fillId="0" borderId="194" xfId="0" applyNumberFormat="1" applyFont="1" applyBorder="1" applyAlignment="1">
      <alignment horizontal="center"/>
    </xf>
    <xf numFmtId="2" fontId="125" fillId="44" borderId="194" xfId="0" applyNumberFormat="1" applyFont="1" applyFill="1" applyBorder="1" applyAlignment="1">
      <alignment horizontal="center" vertical="center"/>
    </xf>
    <xf numFmtId="2" fontId="125" fillId="20" borderId="194" xfId="0" applyNumberFormat="1" applyFont="1" applyFill="1" applyBorder="1" applyAlignment="1">
      <alignment horizontal="center" vertical="center"/>
    </xf>
    <xf numFmtId="2" fontId="125" fillId="20" borderId="194" xfId="0" applyNumberFormat="1" applyFont="1" applyFill="1" applyBorder="1" applyAlignment="1">
      <alignment horizontal="center"/>
    </xf>
    <xf numFmtId="0" fontId="67" fillId="20" borderId="194" xfId="639" applyFont="1" applyFill="1" applyBorder="1" applyAlignment="1">
      <alignment horizontal="center" vertical="center"/>
    </xf>
    <xf numFmtId="0" fontId="67" fillId="20" borderId="146" xfId="639" applyFont="1" applyFill="1" applyBorder="1" applyAlignment="1">
      <alignment horizontal="center"/>
    </xf>
    <xf numFmtId="2" fontId="67" fillId="20" borderId="146" xfId="639" applyNumberFormat="1" applyFont="1" applyFill="1" applyBorder="1" applyAlignment="1">
      <alignment horizontal="center"/>
    </xf>
    <xf numFmtId="0" fontId="67" fillId="0" borderId="146" xfId="639" applyFont="1" applyBorder="1" applyAlignment="1">
      <alignment horizontal="center"/>
    </xf>
    <xf numFmtId="0" fontId="67" fillId="0" borderId="147" xfId="639" applyFont="1" applyBorder="1" applyAlignment="1">
      <alignment horizontal="center"/>
    </xf>
    <xf numFmtId="0" fontId="123" fillId="0" borderId="146" xfId="639" applyFont="1" applyBorder="1" applyAlignment="1">
      <alignment vertical="center"/>
    </xf>
    <xf numFmtId="0" fontId="67" fillId="0" borderId="148" xfId="639" applyFont="1" applyBorder="1" applyAlignment="1">
      <alignment horizontal="center" vertical="center"/>
    </xf>
    <xf numFmtId="0" fontId="67" fillId="0" borderId="146" xfId="817" applyFont="1" applyBorder="1" applyAlignment="1">
      <alignment horizontal="center"/>
    </xf>
    <xf numFmtId="171" fontId="67" fillId="0" borderId="146" xfId="818" applyNumberFormat="1" applyFont="1" applyBorder="1" applyAlignment="1">
      <alignment horizontal="center"/>
    </xf>
    <xf numFmtId="0" fontId="44" fillId="0" borderId="0" xfId="825" applyFont="1"/>
    <xf numFmtId="0" fontId="45" fillId="0" borderId="0" xfId="825" applyFont="1" applyAlignment="1">
      <alignment horizontal="center"/>
    </xf>
    <xf numFmtId="0" fontId="44" fillId="0" borderId="0" xfId="825" applyFont="1" applyAlignment="1">
      <alignment horizontal="left"/>
    </xf>
    <xf numFmtId="2" fontId="44" fillId="0" borderId="0" xfId="825" applyNumberFormat="1" applyFont="1"/>
    <xf numFmtId="0" fontId="0" fillId="0" borderId="0" xfId="825" applyFont="1" applyAlignment="1">
      <alignment horizontal="left"/>
    </xf>
    <xf numFmtId="0" fontId="44" fillId="0" borderId="0" xfId="825" applyFont="1" applyAlignment="1">
      <alignment horizontal="center"/>
    </xf>
    <xf numFmtId="0" fontId="44" fillId="0" borderId="0" xfId="817" applyFont="1" applyAlignment="1">
      <alignment horizontal="center"/>
    </xf>
    <xf numFmtId="171" fontId="44" fillId="0" borderId="0" xfId="818" applyNumberFormat="1" applyFont="1" applyAlignment="1">
      <alignment horizontal="center"/>
    </xf>
    <xf numFmtId="0" fontId="64" fillId="0" borderId="258" xfId="0" applyFont="1" applyBorder="1" applyAlignment="1">
      <alignment horizontal="center" vertical="center" wrapText="1"/>
    </xf>
    <xf numFmtId="2" fontId="64" fillId="0" borderId="258" xfId="0" applyNumberFormat="1" applyFont="1" applyBorder="1" applyAlignment="1">
      <alignment horizontal="center" vertical="center" wrapText="1"/>
    </xf>
    <xf numFmtId="0" fontId="44" fillId="0" borderId="0" xfId="825" applyFont="1" applyAlignment="1">
      <alignment vertical="center"/>
    </xf>
    <xf numFmtId="2" fontId="83" fillId="20" borderId="258" xfId="0" applyNumberFormat="1" applyFont="1" applyFill="1" applyBorder="1" applyAlignment="1">
      <alignment horizontal="center" vertical="center" wrapText="1"/>
    </xf>
    <xf numFmtId="2" fontId="44" fillId="0" borderId="0" xfId="825" applyNumberFormat="1" applyFont="1" applyAlignment="1">
      <alignment horizontal="center"/>
    </xf>
    <xf numFmtId="0" fontId="64" fillId="0" borderId="0" xfId="0" applyFont="1" applyAlignment="1">
      <alignment vertical="center" wrapText="1"/>
    </xf>
    <xf numFmtId="0" fontId="64" fillId="35" borderId="258" xfId="0" applyFont="1" applyFill="1" applyBorder="1" applyAlignment="1">
      <alignment horizontal="center" vertical="center" wrapText="1"/>
    </xf>
    <xf numFmtId="2" fontId="64" fillId="0" borderId="258" xfId="176" applyNumberFormat="1" applyFont="1" applyBorder="1" applyAlignment="1">
      <alignment horizontal="center" vertical="center" wrapText="1"/>
    </xf>
    <xf numFmtId="0" fontId="24" fillId="0" borderId="258" xfId="452" applyFont="1" applyBorder="1" applyAlignment="1">
      <alignment horizontal="center" vertical="center" wrapText="1"/>
    </xf>
    <xf numFmtId="10" fontId="44" fillId="0" borderId="258" xfId="0" applyNumberFormat="1" applyFont="1" applyBorder="1" applyAlignment="1">
      <alignment horizontal="center"/>
    </xf>
    <xf numFmtId="10" fontId="44" fillId="0" borderId="258" xfId="825" applyNumberFormat="1" applyFont="1" applyBorder="1" applyAlignment="1">
      <alignment horizontal="center"/>
    </xf>
    <xf numFmtId="171" fontId="64" fillId="0" borderId="0" xfId="176" applyNumberFormat="1" applyFont="1" applyAlignment="1">
      <alignment horizontal="center" vertical="center" wrapText="1"/>
    </xf>
    <xf numFmtId="0" fontId="64" fillId="0" borderId="0" xfId="825" applyFont="1" applyAlignment="1">
      <alignment vertical="center"/>
    </xf>
    <xf numFmtId="0" fontId="45" fillId="0" borderId="0" xfId="825" applyFont="1" applyAlignment="1">
      <alignment horizontal="left"/>
    </xf>
    <xf numFmtId="0" fontId="157" fillId="20" borderId="258" xfId="825" applyFont="1" applyFill="1" applyBorder="1" applyAlignment="1">
      <alignment horizontal="center"/>
    </xf>
    <xf numFmtId="2" fontId="157" fillId="20" borderId="258" xfId="825" applyNumberFormat="1" applyFont="1" applyFill="1" applyBorder="1" applyAlignment="1">
      <alignment horizontal="center"/>
    </xf>
    <xf numFmtId="0" fontId="157" fillId="0" borderId="257" xfId="825" applyFont="1" applyBorder="1" applyAlignment="1">
      <alignment vertical="center"/>
    </xf>
    <xf numFmtId="0" fontId="157" fillId="0" borderId="248" xfId="825" applyFont="1" applyBorder="1" applyAlignment="1">
      <alignment vertical="center"/>
    </xf>
    <xf numFmtId="0" fontId="46" fillId="0" borderId="0" xfId="825" applyFont="1"/>
    <xf numFmtId="0" fontId="46" fillId="0" borderId="258" xfId="825" applyFont="1" applyBorder="1" applyAlignment="1">
      <alignment horizontal="center"/>
    </xf>
    <xf numFmtId="0" fontId="243" fillId="0" borderId="258" xfId="825" applyFont="1" applyBorder="1" applyAlignment="1">
      <alignment vertical="center"/>
    </xf>
    <xf numFmtId="0" fontId="46" fillId="0" borderId="258" xfId="825" applyFont="1" applyBorder="1"/>
    <xf numFmtId="2" fontId="46" fillId="0" borderId="258" xfId="825" applyNumberFormat="1" applyFont="1" applyBorder="1" applyAlignment="1">
      <alignment horizontal="center"/>
    </xf>
    <xf numFmtId="2" fontId="46" fillId="0" borderId="258" xfId="817" applyNumberFormat="1" applyFont="1" applyBorder="1" applyAlignment="1">
      <alignment horizontal="center"/>
    </xf>
    <xf numFmtId="0" fontId="157" fillId="0" borderId="257" xfId="0" applyFont="1" applyBorder="1"/>
    <xf numFmtId="0" fontId="157" fillId="0" borderId="248" xfId="0" applyFont="1" applyBorder="1"/>
    <xf numFmtId="0" fontId="46" fillId="0" borderId="258" xfId="0" applyFont="1" applyBorder="1" applyAlignment="1">
      <alignment horizontal="left"/>
    </xf>
    <xf numFmtId="0" fontId="46" fillId="0" borderId="0" xfId="825" applyFont="1" applyAlignment="1">
      <alignment horizontal="center"/>
    </xf>
    <xf numFmtId="2" fontId="46" fillId="0" borderId="0" xfId="825" applyNumberFormat="1" applyFont="1"/>
    <xf numFmtId="0" fontId="46" fillId="0" borderId="257" xfId="0" applyFont="1" applyBorder="1" applyAlignment="1">
      <alignment horizontal="center"/>
    </xf>
    <xf numFmtId="2" fontId="67" fillId="0" borderId="258" xfId="0" applyNumberFormat="1" applyFont="1" applyBorder="1" applyAlignment="1">
      <alignment horizontal="center"/>
    </xf>
    <xf numFmtId="2" fontId="67" fillId="0" borderId="266" xfId="0" applyNumberFormat="1" applyFont="1" applyBorder="1" applyAlignment="1">
      <alignment horizontal="center"/>
    </xf>
    <xf numFmtId="2" fontId="46" fillId="0" borderId="267" xfId="0" applyNumberFormat="1" applyFont="1" applyBorder="1" applyAlignment="1">
      <alignment horizontal="center"/>
    </xf>
    <xf numFmtId="2" fontId="67" fillId="0" borderId="267" xfId="0" applyNumberFormat="1" applyFont="1" applyBorder="1" applyAlignment="1">
      <alignment horizontal="center"/>
    </xf>
    <xf numFmtId="0" fontId="46" fillId="0" borderId="257" xfId="0" applyFont="1" applyBorder="1" applyAlignment="1">
      <alignment horizontal="center" vertical="center"/>
    </xf>
    <xf numFmtId="0" fontId="44" fillId="0" borderId="0" xfId="825" applyFont="1" applyAlignment="1">
      <alignment vertical="center" wrapText="1"/>
    </xf>
    <xf numFmtId="2" fontId="64" fillId="44" borderId="258" xfId="176" applyNumberFormat="1" applyFont="1" applyFill="1" applyBorder="1" applyAlignment="1">
      <alignment horizontal="center" vertical="center" wrapText="1"/>
    </xf>
    <xf numFmtId="0" fontId="45" fillId="44" borderId="258" xfId="0" applyFont="1" applyFill="1" applyBorder="1" applyAlignment="1">
      <alignment horizontal="center" vertical="center" wrapText="1"/>
    </xf>
    <xf numFmtId="0" fontId="64" fillId="44" borderId="258" xfId="0" applyFont="1" applyFill="1" applyBorder="1" applyAlignment="1">
      <alignment horizontal="center" vertical="center" wrapText="1"/>
    </xf>
    <xf numFmtId="0" fontId="83" fillId="44" borderId="266" xfId="0" applyFont="1" applyFill="1" applyBorder="1" applyAlignment="1">
      <alignment horizontal="center" vertical="center" wrapText="1"/>
    </xf>
    <xf numFmtId="0" fontId="157" fillId="0" borderId="258" xfId="825" applyFont="1" applyBorder="1" applyAlignment="1">
      <alignment horizontal="center"/>
    </xf>
    <xf numFmtId="0" fontId="40" fillId="25" borderId="258" xfId="0" applyFont="1" applyFill="1" applyBorder="1" applyAlignment="1">
      <alignment horizontal="center" vertical="center" wrapText="1"/>
    </xf>
    <xf numFmtId="0" fontId="0" fillId="0" borderId="258" xfId="0" applyBorder="1" applyAlignment="1">
      <alignment horizontal="right" vertical="center" wrapText="1"/>
    </xf>
    <xf numFmtId="3" fontId="0" fillId="0" borderId="258" xfId="0" applyNumberFormat="1" applyBorder="1" applyAlignment="1">
      <alignment horizontal="right" vertical="center" wrapText="1"/>
    </xf>
    <xf numFmtId="0" fontId="49" fillId="0" borderId="0" xfId="0" applyFont="1" applyAlignment="1">
      <alignment vertical="center"/>
    </xf>
    <xf numFmtId="0" fontId="105" fillId="20" borderId="211" xfId="802" applyFont="1" applyFill="1" applyBorder="1" applyAlignment="1">
      <alignment horizontal="center" vertical="center"/>
    </xf>
    <xf numFmtId="0" fontId="105" fillId="20" borderId="103" xfId="802" applyFont="1" applyFill="1" applyBorder="1" applyAlignment="1">
      <alignment horizontal="center" vertical="center"/>
    </xf>
    <xf numFmtId="0" fontId="206" fillId="0" borderId="10" xfId="0" applyFont="1" applyBorder="1" applyAlignment="1">
      <alignment vertical="center" wrapText="1"/>
    </xf>
    <xf numFmtId="0" fontId="206" fillId="0" borderId="0" xfId="0" applyFont="1" applyAlignment="1">
      <alignment vertical="center" wrapText="1"/>
    </xf>
    <xf numFmtId="3" fontId="0" fillId="0" borderId="262" xfId="0" applyNumberFormat="1" applyBorder="1"/>
    <xf numFmtId="168" fontId="0" fillId="0" borderId="262" xfId="176" applyNumberFormat="1" applyFont="1" applyBorder="1" applyAlignment="1">
      <alignment horizontal="center"/>
    </xf>
    <xf numFmtId="3" fontId="40" fillId="20" borderId="267" xfId="0" applyNumberFormat="1" applyFont="1" applyFill="1" applyBorder="1"/>
    <xf numFmtId="168" fontId="40" fillId="20" borderId="267" xfId="176" applyNumberFormat="1" applyFont="1" applyFill="1" applyBorder="1" applyAlignment="1">
      <alignment horizontal="center"/>
    </xf>
    <xf numFmtId="3" fontId="0" fillId="0" borderId="143" xfId="0" applyNumberFormat="1" applyBorder="1"/>
    <xf numFmtId="3" fontId="0" fillId="0" borderId="252" xfId="0" applyNumberFormat="1" applyBorder="1"/>
    <xf numFmtId="3" fontId="40" fillId="20" borderId="254" xfId="0" applyNumberFormat="1" applyFont="1" applyFill="1" applyBorder="1"/>
    <xf numFmtId="4" fontId="0" fillId="0" borderId="262" xfId="0" applyNumberFormat="1" applyBorder="1"/>
    <xf numFmtId="2" fontId="49" fillId="0" borderId="0" xfId="0" applyNumberFormat="1" applyFont="1" applyAlignment="1">
      <alignment horizontal="center" vertical="center"/>
    </xf>
    <xf numFmtId="0" fontId="42" fillId="0" borderId="211" xfId="802" applyFont="1" applyBorder="1" applyAlignment="1">
      <alignment horizontal="center" vertical="center"/>
    </xf>
    <xf numFmtId="0" fontId="103" fillId="0" borderId="10" xfId="0" applyFont="1" applyBorder="1" applyAlignment="1">
      <alignment horizontal="center" vertical="center" wrapText="1"/>
    </xf>
    <xf numFmtId="9" fontId="136" fillId="45" borderId="214" xfId="0" applyNumberFormat="1" applyFont="1" applyFill="1" applyBorder="1" applyAlignment="1">
      <alignment horizontal="center" vertical="center" wrapText="1"/>
    </xf>
    <xf numFmtId="0" fontId="0" fillId="0" borderId="266" xfId="0" applyBorder="1" applyAlignment="1">
      <alignment horizontal="center" vertical="center" wrapText="1"/>
    </xf>
    <xf numFmtId="0" fontId="40" fillId="25" borderId="257" xfId="0" applyFont="1" applyFill="1" applyBorder="1" applyAlignment="1">
      <alignment horizontal="center" vertical="center" wrapText="1"/>
    </xf>
    <xf numFmtId="0" fontId="40" fillId="25" borderId="212" xfId="0" applyFont="1" applyFill="1" applyBorder="1" applyAlignment="1">
      <alignment horizontal="center" vertical="center" wrapText="1"/>
    </xf>
    <xf numFmtId="0" fontId="40" fillId="44" borderId="211" xfId="0" applyFont="1" applyFill="1" applyBorder="1" applyAlignment="1">
      <alignment horizontal="left" vertical="center" wrapText="1"/>
    </xf>
    <xf numFmtId="0" fontId="0" fillId="0" borderId="258" xfId="0" applyBorder="1" applyAlignment="1">
      <alignment horizontal="center" vertical="center" wrapText="1"/>
    </xf>
    <xf numFmtId="171" fontId="58" fillId="0" borderId="258" xfId="0" applyNumberFormat="1" applyFont="1" applyBorder="1" applyAlignment="1">
      <alignment horizontal="center" vertical="center" wrapText="1"/>
    </xf>
    <xf numFmtId="171" fontId="0" fillId="0" borderId="258" xfId="0" applyNumberFormat="1" applyBorder="1" applyAlignment="1">
      <alignment horizontal="center"/>
    </xf>
    <xf numFmtId="0" fontId="40" fillId="44" borderId="258" xfId="0" applyFont="1" applyFill="1" applyBorder="1" applyAlignment="1">
      <alignment horizontal="center" vertical="center" wrapText="1"/>
    </xf>
    <xf numFmtId="0" fontId="40" fillId="44" borderId="258" xfId="0" applyFont="1" applyFill="1" applyBorder="1" applyAlignment="1">
      <alignment vertical="center" wrapText="1"/>
    </xf>
    <xf numFmtId="171" fontId="59" fillId="44" borderId="258" xfId="0" applyNumberFormat="1" applyFont="1" applyFill="1" applyBorder="1" applyAlignment="1">
      <alignment horizontal="center" vertical="center" wrapText="1"/>
    </xf>
    <xf numFmtId="0" fontId="0" fillId="0" borderId="266" xfId="0" applyBorder="1" applyAlignment="1">
      <alignment vertical="center" wrapText="1"/>
    </xf>
    <xf numFmtId="2" fontId="0" fillId="0" borderId="258" xfId="0" applyNumberFormat="1" applyBorder="1"/>
    <xf numFmtId="2" fontId="58" fillId="0" borderId="266" xfId="0" applyNumberFormat="1" applyFont="1" applyBorder="1" applyAlignment="1">
      <alignment vertical="center" wrapText="1"/>
    </xf>
    <xf numFmtId="2" fontId="58" fillId="0" borderId="258" xfId="0" applyNumberFormat="1" applyFont="1" applyBorder="1" applyAlignment="1">
      <alignment vertical="center" wrapText="1"/>
    </xf>
    <xf numFmtId="2" fontId="58" fillId="0" borderId="258" xfId="0" applyNumberFormat="1" applyFont="1" applyBorder="1" applyAlignment="1">
      <alignment horizontal="right" vertical="center" wrapText="1"/>
    </xf>
    <xf numFmtId="0" fontId="59" fillId="44" borderId="258" xfId="0" applyFont="1" applyFill="1" applyBorder="1" applyAlignment="1">
      <alignment horizontal="right" vertical="center" wrapText="1"/>
    </xf>
    <xf numFmtId="0" fontId="58" fillId="0" borderId="266" xfId="0" applyFont="1" applyBorder="1" applyAlignment="1">
      <alignment horizontal="center" vertical="center" wrapText="1"/>
    </xf>
    <xf numFmtId="0" fontId="58" fillId="0" borderId="258" xfId="0" applyFont="1" applyBorder="1" applyAlignment="1">
      <alignment horizontal="center" vertical="center" wrapText="1"/>
    </xf>
    <xf numFmtId="0" fontId="59" fillId="44" borderId="258" xfId="0" applyFont="1" applyFill="1" applyBorder="1" applyAlignment="1">
      <alignment horizontal="center" vertical="center" wrapText="1"/>
    </xf>
    <xf numFmtId="0" fontId="40" fillId="44" borderId="258" xfId="0" applyFont="1" applyFill="1" applyBorder="1" applyAlignment="1">
      <alignment horizontal="center" vertical="center"/>
    </xf>
    <xf numFmtId="0" fontId="40" fillId="44" borderId="258" xfId="0" applyFont="1" applyFill="1" applyBorder="1" applyAlignment="1">
      <alignment horizontal="center"/>
    </xf>
    <xf numFmtId="0" fontId="40" fillId="44" borderId="258" xfId="0" applyFont="1" applyFill="1" applyBorder="1" applyAlignment="1">
      <alignment horizontal="left"/>
    </xf>
    <xf numFmtId="0" fontId="246" fillId="0" borderId="258" xfId="0" applyFont="1" applyBorder="1" applyAlignment="1">
      <alignment horizontal="center" vertical="center" wrapText="1"/>
    </xf>
    <xf numFmtId="0" fontId="42" fillId="0" borderId="258" xfId="377" applyFont="1" applyBorder="1" applyAlignment="1">
      <alignment vertical="center" wrapText="1"/>
    </xf>
    <xf numFmtId="0" fontId="246" fillId="0" borderId="267" xfId="0" applyFont="1" applyBorder="1" applyAlignment="1">
      <alignment horizontal="center" vertical="center" wrapText="1"/>
    </xf>
    <xf numFmtId="0" fontId="42" fillId="0" borderId="258" xfId="377" applyFont="1" applyBorder="1" applyAlignment="1">
      <alignment horizontal="left" vertical="center" wrapText="1"/>
    </xf>
    <xf numFmtId="0" fontId="215" fillId="44" borderId="258" xfId="0" applyFont="1" applyFill="1" applyBorder="1" applyAlignment="1">
      <alignment horizontal="center" vertical="center" wrapText="1"/>
    </xf>
    <xf numFmtId="0" fontId="43" fillId="44" borderId="258" xfId="377" applyFont="1" applyFill="1" applyBorder="1" applyAlignment="1">
      <alignment vertical="center" wrapText="1"/>
    </xf>
    <xf numFmtId="0" fontId="42" fillId="0" borderId="267" xfId="377" applyFont="1" applyBorder="1" applyAlignment="1">
      <alignment vertical="center" wrapText="1"/>
    </xf>
    <xf numFmtId="0" fontId="246" fillId="44" borderId="258" xfId="0" applyFont="1" applyFill="1" applyBorder="1" applyAlignment="1">
      <alignment horizontal="center" vertical="center" wrapText="1"/>
    </xf>
    <xf numFmtId="0" fontId="42" fillId="44" borderId="258" xfId="377" applyFont="1" applyFill="1" applyBorder="1" applyAlignment="1">
      <alignment vertical="center" wrapText="1"/>
    </xf>
    <xf numFmtId="0" fontId="214" fillId="0" borderId="200" xfId="377" applyFont="1" applyBorder="1" applyAlignment="1">
      <alignment wrapText="1"/>
    </xf>
    <xf numFmtId="0" fontId="214" fillId="0" borderId="200" xfId="377" applyFont="1" applyBorder="1"/>
    <xf numFmtId="0" fontId="40" fillId="44" borderId="103" xfId="0" applyFont="1" applyFill="1" applyBorder="1" applyAlignment="1">
      <alignment vertical="center"/>
    </xf>
    <xf numFmtId="0" fontId="215" fillId="20" borderId="267" xfId="0" applyFont="1" applyFill="1" applyBorder="1" applyAlignment="1">
      <alignment horizontal="center" vertical="center" wrapText="1"/>
    </xf>
    <xf numFmtId="0" fontId="43" fillId="20" borderId="267" xfId="0" applyFont="1" applyFill="1" applyBorder="1" applyAlignment="1">
      <alignment horizontal="center" vertical="center" wrapText="1"/>
    </xf>
    <xf numFmtId="0" fontId="103" fillId="0" borderId="0" xfId="0" applyFont="1"/>
    <xf numFmtId="1" fontId="43" fillId="20" borderId="258" xfId="173" applyNumberFormat="1" applyFont="1" applyFill="1" applyBorder="1" applyAlignment="1">
      <alignment horizontal="center" vertical="center" wrapText="1"/>
    </xf>
    <xf numFmtId="3" fontId="110" fillId="0" borderId="257" xfId="239" applyNumberFormat="1" applyFont="1" applyBorder="1" applyAlignment="1">
      <alignment horizontal="right" vertical="center" indent="1"/>
    </xf>
    <xf numFmtId="3" fontId="110" fillId="0" borderId="258" xfId="239" applyNumberFormat="1" applyFont="1" applyBorder="1" applyAlignment="1">
      <alignment horizontal="right" vertical="center" indent="1"/>
    </xf>
    <xf numFmtId="3" fontId="109" fillId="0" borderId="257" xfId="239" applyNumberFormat="1" applyFont="1" applyBorder="1" applyAlignment="1">
      <alignment horizontal="right" vertical="center" indent="1"/>
    </xf>
    <xf numFmtId="3" fontId="109" fillId="0" borderId="258" xfId="239" applyNumberFormat="1" applyFont="1" applyBorder="1" applyAlignment="1">
      <alignment horizontal="right" vertical="center" indent="1"/>
    </xf>
    <xf numFmtId="3" fontId="114" fillId="0" borderId="257" xfId="239" applyNumberFormat="1" applyFont="1" applyBorder="1" applyAlignment="1">
      <alignment horizontal="right" vertical="center" indent="1"/>
    </xf>
    <xf numFmtId="3" fontId="114" fillId="0" borderId="258" xfId="239" applyNumberFormat="1" applyFont="1" applyBorder="1" applyAlignment="1">
      <alignment horizontal="right" vertical="center" indent="1"/>
    </xf>
    <xf numFmtId="3" fontId="112" fillId="0" borderId="257" xfId="239" applyNumberFormat="1" applyFont="1" applyBorder="1" applyAlignment="1">
      <alignment horizontal="right" vertical="center" indent="1"/>
    </xf>
    <xf numFmtId="3" fontId="112" fillId="0" borderId="258" xfId="239" applyNumberFormat="1" applyFont="1" applyBorder="1" applyAlignment="1">
      <alignment horizontal="right" vertical="center" indent="1"/>
    </xf>
    <xf numFmtId="3" fontId="117" fillId="0" borderId="257" xfId="239" applyNumberFormat="1" applyFont="1" applyBorder="1" applyAlignment="1">
      <alignment horizontal="right" vertical="center" indent="1"/>
    </xf>
    <xf numFmtId="3" fontId="117" fillId="0" borderId="258" xfId="239" applyNumberFormat="1" applyFont="1" applyBorder="1" applyAlignment="1">
      <alignment horizontal="right" vertical="center" indent="1"/>
    </xf>
    <xf numFmtId="0" fontId="65" fillId="0" borderId="0" xfId="149" applyFont="1" applyAlignment="1">
      <alignment vertical="center"/>
    </xf>
    <xf numFmtId="3" fontId="81" fillId="20" borderId="258" xfId="239" applyNumberFormat="1" applyFont="1" applyFill="1" applyBorder="1" applyAlignment="1">
      <alignment horizontal="right" vertical="center" indent="1"/>
    </xf>
    <xf numFmtId="0" fontId="43" fillId="20" borderId="260" xfId="0" applyFont="1" applyFill="1" applyBorder="1" applyAlignment="1">
      <alignment horizontal="center" vertical="center" wrapText="1"/>
    </xf>
    <xf numFmtId="0" fontId="50" fillId="0" borderId="24" xfId="0" applyFont="1" applyBorder="1"/>
    <xf numFmtId="0" fontId="58" fillId="0" borderId="20" xfId="0" applyFont="1" applyBorder="1" applyAlignment="1">
      <alignment wrapText="1"/>
    </xf>
    <xf numFmtId="0" fontId="50" fillId="0" borderId="24" xfId="0" applyFont="1" applyBorder="1" applyAlignment="1">
      <alignment vertical="center"/>
    </xf>
    <xf numFmtId="0" fontId="59" fillId="20" borderId="11" xfId="0" applyFont="1" applyFill="1" applyBorder="1" applyAlignment="1">
      <alignment horizontal="center" vertical="center" wrapText="1"/>
    </xf>
    <xf numFmtId="0" fontId="59" fillId="20" borderId="260" xfId="0" applyFont="1" applyFill="1" applyBorder="1" applyAlignment="1">
      <alignment horizontal="center" vertical="center" wrapText="1"/>
    </xf>
    <xf numFmtId="0" fontId="110" fillId="0" borderId="256" xfId="0" applyFont="1" applyBorder="1" applyAlignment="1">
      <alignment horizontal="center" vertical="center" wrapText="1"/>
    </xf>
    <xf numFmtId="0" fontId="38" fillId="0" borderId="24" xfId="0" applyFont="1" applyBorder="1"/>
    <xf numFmtId="0" fontId="114" fillId="0" borderId="256" xfId="0" applyFont="1" applyBorder="1" applyAlignment="1">
      <alignment horizontal="center" vertical="center" wrapText="1"/>
    </xf>
    <xf numFmtId="0" fontId="117" fillId="0" borderId="256" xfId="0" applyFont="1" applyBorder="1" applyAlignment="1">
      <alignment horizontal="center" vertical="center" wrapText="1"/>
    </xf>
    <xf numFmtId="0" fontId="58" fillId="0" borderId="266" xfId="0" applyFont="1" applyBorder="1" applyAlignment="1">
      <alignment wrapText="1"/>
    </xf>
    <xf numFmtId="0" fontId="109" fillId="0" borderId="256" xfId="149" applyFont="1" applyBorder="1" applyAlignment="1">
      <alignment horizontal="center" vertical="center"/>
    </xf>
    <xf numFmtId="3" fontId="55" fillId="0" borderId="262" xfId="149" applyNumberFormat="1" applyFont="1" applyBorder="1" applyAlignment="1">
      <alignment horizontal="center" vertical="center"/>
    </xf>
    <xf numFmtId="3" fontId="55" fillId="20" borderId="267" xfId="149" applyNumberFormat="1" applyFont="1" applyFill="1" applyBorder="1" applyAlignment="1">
      <alignment horizontal="center" vertical="center"/>
    </xf>
    <xf numFmtId="3" fontId="110" fillId="0" borderId="256" xfId="149" applyNumberFormat="1" applyFont="1" applyBorder="1" applyAlignment="1">
      <alignment horizontal="center" vertical="center"/>
    </xf>
    <xf numFmtId="3" fontId="114" fillId="0" borderId="256" xfId="149" applyNumberFormat="1" applyFont="1" applyBorder="1" applyAlignment="1">
      <alignment horizontal="center" vertical="center"/>
    </xf>
    <xf numFmtId="3" fontId="117" fillId="0" borderId="256" xfId="149" applyNumberFormat="1" applyFont="1" applyBorder="1" applyAlignment="1">
      <alignment horizontal="center" vertical="center"/>
    </xf>
    <xf numFmtId="3" fontId="55" fillId="0" borderId="266" xfId="149" applyNumberFormat="1" applyFont="1" applyBorder="1" applyAlignment="1">
      <alignment horizontal="center" vertical="center"/>
    </xf>
    <xf numFmtId="3" fontId="109" fillId="0" borderId="256" xfId="149" applyNumberFormat="1" applyFont="1" applyBorder="1" applyAlignment="1">
      <alignment horizontal="center" vertical="center"/>
    </xf>
    <xf numFmtId="3" fontId="81" fillId="20" borderId="258" xfId="149" applyNumberFormat="1" applyFont="1" applyFill="1" applyBorder="1" applyAlignment="1">
      <alignment horizontal="center" vertical="center"/>
    </xf>
    <xf numFmtId="0" fontId="43" fillId="20" borderId="267" xfId="238" applyFont="1" applyFill="1" applyBorder="1" applyAlignment="1">
      <alignment horizontal="center" vertical="center"/>
    </xf>
    <xf numFmtId="3" fontId="55" fillId="20" borderId="259" xfId="239" applyNumberFormat="1" applyFont="1" applyFill="1" applyBorder="1" applyAlignment="1">
      <alignment horizontal="right" vertical="center" indent="1"/>
    </xf>
    <xf numFmtId="3" fontId="55" fillId="20" borderId="267" xfId="239" applyNumberFormat="1" applyFont="1" applyFill="1" applyBorder="1" applyAlignment="1">
      <alignment horizontal="right" vertical="center" indent="1"/>
    </xf>
    <xf numFmtId="9" fontId="136" fillId="45" borderId="266" xfId="0" applyNumberFormat="1" applyFont="1" applyFill="1" applyBorder="1" applyAlignment="1">
      <alignment horizontal="center" vertical="center" wrapText="1"/>
    </xf>
    <xf numFmtId="9" fontId="136" fillId="0" borderId="262" xfId="0" applyNumberFormat="1" applyFont="1" applyBorder="1" applyAlignment="1">
      <alignment horizontal="center" vertical="center" wrapText="1"/>
    </xf>
    <xf numFmtId="171" fontId="163" fillId="0" borderId="211" xfId="0" applyNumberFormat="1" applyFont="1" applyBorder="1" applyAlignment="1">
      <alignment horizontal="center" vertical="center" wrapText="1"/>
    </xf>
    <xf numFmtId="9" fontId="163" fillId="0" borderId="213" xfId="0" applyNumberFormat="1" applyFont="1" applyBorder="1" applyAlignment="1">
      <alignment horizontal="center" vertical="center" wrapText="1"/>
    </xf>
    <xf numFmtId="9" fontId="163" fillId="0" borderId="211" xfId="0" applyNumberFormat="1" applyFont="1" applyBorder="1" applyAlignment="1">
      <alignment horizontal="center" vertical="center" wrapText="1"/>
    </xf>
    <xf numFmtId="9" fontId="163" fillId="0" borderId="212" xfId="0" applyNumberFormat="1" applyFont="1" applyBorder="1" applyAlignment="1">
      <alignment horizontal="center" vertical="center" wrapText="1"/>
    </xf>
    <xf numFmtId="3" fontId="163" fillId="0" borderId="212" xfId="0" applyNumberFormat="1" applyFont="1" applyBorder="1" applyAlignment="1">
      <alignment horizontal="center" vertical="center" wrapText="1"/>
    </xf>
    <xf numFmtId="168" fontId="163" fillId="0" borderId="211" xfId="0" applyNumberFormat="1" applyFont="1" applyBorder="1" applyAlignment="1">
      <alignment horizontal="center" vertical="center" wrapText="1"/>
    </xf>
    <xf numFmtId="171" fontId="163" fillId="0" borderId="103" xfId="0" applyNumberFormat="1" applyFont="1" applyBorder="1" applyAlignment="1">
      <alignment horizontal="center" vertical="center"/>
    </xf>
    <xf numFmtId="3" fontId="163" fillId="0" borderId="211" xfId="0" applyNumberFormat="1" applyFont="1" applyBorder="1" applyAlignment="1">
      <alignment horizontal="center" vertical="center" wrapText="1"/>
    </xf>
    <xf numFmtId="180" fontId="163" fillId="0" borderId="214" xfId="0" applyNumberFormat="1" applyFont="1" applyBorder="1" applyAlignment="1">
      <alignment horizontal="center" vertical="center" wrapText="1"/>
    </xf>
    <xf numFmtId="0" fontId="163" fillId="0" borderId="216" xfId="0" applyFont="1" applyBorder="1" applyAlignment="1">
      <alignment horizontal="center" vertical="center" wrapText="1"/>
    </xf>
    <xf numFmtId="0" fontId="163" fillId="0" borderId="211" xfId="0" applyFont="1" applyBorder="1" applyAlignment="1">
      <alignment horizontal="center" vertical="center" wrapText="1"/>
    </xf>
    <xf numFmtId="0" fontId="163" fillId="0" borderId="214" xfId="0" applyFont="1" applyBorder="1" applyAlignment="1">
      <alignment horizontal="center" vertical="center" wrapText="1"/>
    </xf>
    <xf numFmtId="168" fontId="163" fillId="0" borderId="211" xfId="176" applyNumberFormat="1" applyFont="1" applyBorder="1" applyAlignment="1">
      <alignment horizontal="center" vertical="center" wrapText="1"/>
    </xf>
    <xf numFmtId="168" fontId="163" fillId="0" borderId="133" xfId="0" applyNumberFormat="1" applyFont="1" applyBorder="1" applyAlignment="1">
      <alignment horizontal="center" vertical="center" wrapText="1"/>
    </xf>
    <xf numFmtId="168" fontId="136" fillId="43" borderId="103" xfId="0" applyNumberFormat="1" applyFont="1" applyFill="1" applyBorder="1" applyAlignment="1">
      <alignment horizontal="center" vertical="center" wrapText="1"/>
    </xf>
    <xf numFmtId="0" fontId="163" fillId="22" borderId="103" xfId="0" applyFont="1" applyFill="1" applyBorder="1" applyAlignment="1">
      <alignment horizontal="center" vertical="center" wrapText="1"/>
    </xf>
    <xf numFmtId="3" fontId="163" fillId="22" borderId="133" xfId="0" applyNumberFormat="1" applyFont="1" applyFill="1" applyBorder="1" applyAlignment="1">
      <alignment horizontal="center" vertical="center" wrapText="1"/>
    </xf>
    <xf numFmtId="0" fontId="163" fillId="0" borderId="13" xfId="0" applyFont="1" applyBorder="1" applyAlignment="1">
      <alignment horizontal="center" vertical="center" wrapText="1"/>
    </xf>
    <xf numFmtId="0" fontId="163" fillId="0" borderId="133" xfId="0" applyFont="1" applyBorder="1" applyAlignment="1">
      <alignment horizontal="center" vertical="center" wrapText="1"/>
    </xf>
    <xf numFmtId="0" fontId="2" fillId="0" borderId="0" xfId="142" applyFont="1" applyAlignment="1">
      <alignment horizontal="center"/>
    </xf>
    <xf numFmtId="0" fontId="2" fillId="0" borderId="0" xfId="142" applyFont="1"/>
    <xf numFmtId="0" fontId="61" fillId="0" borderId="0" xfId="3789" applyFont="1" applyAlignment="1">
      <alignment vertical="center"/>
    </xf>
    <xf numFmtId="0" fontId="1" fillId="0" borderId="0" xfId="3789" applyAlignment="1">
      <alignment vertical="center"/>
    </xf>
    <xf numFmtId="0" fontId="38" fillId="0" borderId="0" xfId="576"/>
    <xf numFmtId="0" fontId="36" fillId="0" borderId="0" xfId="0" applyFont="1" applyAlignment="1">
      <alignment horizontal="center" vertical="center"/>
    </xf>
    <xf numFmtId="0" fontId="88" fillId="0" borderId="0" xfId="0" applyFont="1" applyAlignment="1">
      <alignment horizontal="left" vertical="center"/>
    </xf>
    <xf numFmtId="0" fontId="36" fillId="0" borderId="0" xfId="0" applyFont="1" applyAlignment="1">
      <alignment horizontal="left" vertical="center"/>
    </xf>
    <xf numFmtId="0" fontId="29" fillId="0" borderId="0" xfId="0" applyFont="1" applyAlignment="1">
      <alignment vertical="center"/>
    </xf>
    <xf numFmtId="0" fontId="247" fillId="0" borderId="0" xfId="167" applyFont="1" applyAlignment="1">
      <alignment horizontal="left" vertical="center" wrapText="1"/>
    </xf>
    <xf numFmtId="0" fontId="84" fillId="38" borderId="0" xfId="583" applyFont="1" applyFill="1" applyAlignment="1">
      <alignment vertical="center"/>
    </xf>
    <xf numFmtId="0" fontId="84" fillId="40" borderId="0" xfId="583" applyFont="1" applyFill="1" applyAlignment="1">
      <alignment vertical="center"/>
    </xf>
    <xf numFmtId="0" fontId="84" fillId="37" borderId="0" xfId="583" applyFont="1" applyFill="1" applyAlignment="1">
      <alignment vertical="center"/>
    </xf>
    <xf numFmtId="0" fontId="84" fillId="39" borderId="0" xfId="583" applyFont="1" applyFill="1" applyAlignment="1">
      <alignment vertical="center"/>
    </xf>
    <xf numFmtId="0" fontId="61" fillId="26" borderId="258" xfId="0" applyFont="1" applyFill="1" applyBorder="1" applyAlignment="1">
      <alignment horizontal="center" vertical="center" wrapText="1"/>
    </xf>
    <xf numFmtId="0" fontId="61" fillId="0" borderId="255" xfId="0" applyFont="1" applyBorder="1" applyAlignment="1">
      <alignment horizontal="center" vertical="center"/>
    </xf>
    <xf numFmtId="0" fontId="43" fillId="0" borderId="258" xfId="0" applyFont="1" applyBorder="1" applyAlignment="1">
      <alignment vertical="center"/>
    </xf>
    <xf numFmtId="0" fontId="166" fillId="0" borderId="258" xfId="246" applyFont="1" applyBorder="1" applyAlignment="1">
      <alignment horizontal="center" vertical="center"/>
    </xf>
    <xf numFmtId="0" fontId="84" fillId="39" borderId="259" xfId="0" applyFont="1" applyFill="1" applyBorder="1" applyAlignment="1">
      <alignment horizontal="center" vertical="center" wrapText="1"/>
    </xf>
    <xf numFmtId="0" fontId="84" fillId="39" borderId="254" xfId="246" applyFont="1" applyFill="1" applyBorder="1" applyAlignment="1">
      <alignment horizontal="center" vertical="center" wrapText="1"/>
    </xf>
    <xf numFmtId="0" fontId="229" fillId="39" borderId="254" xfId="246" applyFont="1" applyFill="1" applyBorder="1" applyAlignment="1">
      <alignment horizontal="center" vertical="center"/>
    </xf>
    <xf numFmtId="0" fontId="61" fillId="27" borderId="258" xfId="246" applyFont="1" applyFill="1" applyBorder="1" applyAlignment="1">
      <alignment horizontal="center" vertical="center"/>
    </xf>
    <xf numFmtId="0" fontId="61" fillId="46" borderId="258" xfId="0" applyFont="1" applyFill="1" applyBorder="1" applyAlignment="1">
      <alignment horizontal="center" vertical="center"/>
    </xf>
    <xf numFmtId="0" fontId="42" fillId="0" borderId="258" xfId="246" applyFont="1" applyBorder="1"/>
    <xf numFmtId="0" fontId="61" fillId="46" borderId="258" xfId="0" applyFont="1" applyFill="1" applyBorder="1" applyAlignment="1">
      <alignment horizontal="center" vertical="center" wrapText="1"/>
    </xf>
    <xf numFmtId="0" fontId="61" fillId="26" borderId="258" xfId="246" applyFont="1" applyFill="1" applyBorder="1" applyAlignment="1">
      <alignment horizontal="center" vertical="center"/>
    </xf>
    <xf numFmtId="0" fontId="32" fillId="0" borderId="258" xfId="246" applyFont="1" applyBorder="1" applyAlignment="1">
      <alignment horizontal="center" vertical="center"/>
    </xf>
    <xf numFmtId="0" fontId="84" fillId="36" borderId="0" xfId="583" applyFont="1" applyFill="1" applyAlignment="1">
      <alignment vertical="center"/>
    </xf>
    <xf numFmtId="0" fontId="228" fillId="40" borderId="0" xfId="0" applyFont="1" applyFill="1" applyAlignment="1">
      <alignment horizontal="center" vertical="center" wrapText="1"/>
    </xf>
    <xf numFmtId="0" fontId="84" fillId="53" borderId="259" xfId="246" applyFont="1" applyFill="1" applyBorder="1" applyAlignment="1">
      <alignment horizontal="center" vertical="center" wrapText="1"/>
    </xf>
    <xf numFmtId="0" fontId="84" fillId="53" borderId="254" xfId="246" applyFont="1" applyFill="1" applyBorder="1" applyAlignment="1">
      <alignment horizontal="center" vertical="center" wrapText="1"/>
    </xf>
    <xf numFmtId="0" fontId="139" fillId="53" borderId="254" xfId="246" applyFont="1" applyFill="1" applyBorder="1" applyAlignment="1">
      <alignment horizontal="center" vertical="center" wrapText="1"/>
    </xf>
    <xf numFmtId="0" fontId="139" fillId="53" borderId="254" xfId="0" applyFont="1" applyFill="1" applyBorder="1" applyAlignment="1">
      <alignment horizontal="center" vertical="center" wrapText="1"/>
    </xf>
    <xf numFmtId="0" fontId="84" fillId="40" borderId="259" xfId="246" applyFont="1" applyFill="1" applyBorder="1" applyAlignment="1">
      <alignment horizontal="center" vertical="center" wrapText="1"/>
    </xf>
    <xf numFmtId="0" fontId="84" fillId="40" borderId="254" xfId="246" applyFont="1" applyFill="1" applyBorder="1" applyAlignment="1">
      <alignment horizontal="center" vertical="center" wrapText="1"/>
    </xf>
    <xf numFmtId="0" fontId="228" fillId="40" borderId="254" xfId="246" applyFont="1" applyFill="1" applyBorder="1" applyAlignment="1">
      <alignment horizontal="center" vertical="center" wrapText="1"/>
    </xf>
    <xf numFmtId="0" fontId="228" fillId="40" borderId="260" xfId="246" applyFont="1" applyFill="1" applyBorder="1" applyAlignment="1">
      <alignment horizontal="center" vertical="center" wrapText="1"/>
    </xf>
    <xf numFmtId="0" fontId="228" fillId="40" borderId="267" xfId="246" applyFont="1" applyFill="1" applyBorder="1" applyAlignment="1">
      <alignment horizontal="center" vertical="center" wrapText="1"/>
    </xf>
    <xf numFmtId="0" fontId="228" fillId="40" borderId="267" xfId="0" applyFont="1" applyFill="1" applyBorder="1" applyAlignment="1">
      <alignment horizontal="center" vertical="center" wrapText="1"/>
    </xf>
    <xf numFmtId="0" fontId="262" fillId="0" borderId="266" xfId="0" applyFont="1" applyBorder="1" applyAlignment="1">
      <alignment vertical="center" wrapText="1"/>
    </xf>
    <xf numFmtId="0" fontId="61" fillId="26" borderId="257" xfId="246" applyFont="1" applyFill="1" applyBorder="1" applyAlignment="1">
      <alignment horizontal="center" vertical="center" wrapText="1"/>
    </xf>
    <xf numFmtId="0" fontId="61" fillId="27" borderId="266" xfId="246" applyFont="1" applyFill="1" applyBorder="1" applyAlignment="1">
      <alignment horizontal="center" vertical="center" wrapText="1"/>
    </xf>
    <xf numFmtId="0" fontId="61" fillId="26" borderId="267" xfId="0" applyFont="1" applyFill="1" applyBorder="1" applyAlignment="1">
      <alignment horizontal="center" vertical="center" wrapText="1"/>
    </xf>
    <xf numFmtId="0" fontId="61" fillId="0" borderId="266" xfId="246" applyFont="1" applyBorder="1" applyAlignment="1">
      <alignment horizontal="center" vertical="center" wrapText="1"/>
    </xf>
    <xf numFmtId="0" fontId="61" fillId="26" borderId="266" xfId="246" applyFont="1" applyFill="1" applyBorder="1" applyAlignment="1">
      <alignment horizontal="center" vertical="center" wrapText="1"/>
    </xf>
    <xf numFmtId="0" fontId="61" fillId="23" borderId="266" xfId="246" applyFont="1" applyFill="1" applyBorder="1" applyAlignment="1">
      <alignment horizontal="center" vertical="center" wrapText="1"/>
    </xf>
    <xf numFmtId="0" fontId="61" fillId="0" borderId="266" xfId="0" applyFont="1" applyBorder="1" applyAlignment="1">
      <alignment horizontal="center" vertical="center" wrapText="1"/>
    </xf>
    <xf numFmtId="0" fontId="219" fillId="26" borderId="258" xfId="246" applyFont="1" applyFill="1" applyBorder="1" applyAlignment="1">
      <alignment horizontal="center" vertical="center" wrapText="1"/>
    </xf>
    <xf numFmtId="0" fontId="219" fillId="26" borderId="257" xfId="246" applyFont="1" applyFill="1" applyBorder="1" applyAlignment="1">
      <alignment horizontal="center" vertical="center" wrapText="1"/>
    </xf>
    <xf numFmtId="0" fontId="219" fillId="26" borderId="258" xfId="246" applyFont="1" applyFill="1" applyBorder="1" applyAlignment="1">
      <alignment horizontal="center" vertical="center"/>
    </xf>
    <xf numFmtId="0" fontId="61" fillId="27" borderId="258" xfId="0" applyFont="1" applyFill="1" applyBorder="1" applyAlignment="1">
      <alignment horizontal="center" vertical="center" wrapText="1"/>
    </xf>
    <xf numFmtId="0" fontId="263" fillId="0" borderId="0" xfId="229" applyFont="1" applyAlignment="1">
      <alignment horizontal="left" vertical="center"/>
    </xf>
    <xf numFmtId="0" fontId="211" fillId="0" borderId="0" xfId="229" applyFont="1" applyAlignment="1">
      <alignment horizontal="center" vertical="center"/>
    </xf>
    <xf numFmtId="0" fontId="264" fillId="0" borderId="0" xfId="229" applyFont="1" applyAlignment="1">
      <alignment horizontal="left" vertical="center"/>
    </xf>
    <xf numFmtId="0" fontId="265" fillId="0" borderId="0" xfId="229" applyFont="1" applyAlignment="1">
      <alignment horizontal="left" vertical="center"/>
    </xf>
    <xf numFmtId="0" fontId="266" fillId="0" borderId="0" xfId="0" applyFont="1" applyAlignment="1">
      <alignment horizontal="left" vertical="center"/>
    </xf>
    <xf numFmtId="0" fontId="45" fillId="0" borderId="0" xfId="0" applyFont="1" applyAlignment="1">
      <alignment horizontal="left" vertical="center" wrapText="1"/>
    </xf>
    <xf numFmtId="0" fontId="0" fillId="25" borderId="258" xfId="0" applyFill="1" applyBorder="1" applyAlignment="1">
      <alignment horizontal="center" vertical="center" wrapText="1"/>
    </xf>
    <xf numFmtId="0" fontId="0" fillId="25" borderId="257" xfId="0" applyFill="1" applyBorder="1" applyAlignment="1">
      <alignment horizontal="center" vertical="center" wrapText="1"/>
    </xf>
    <xf numFmtId="1" fontId="0" fillId="0" borderId="258" xfId="0" applyNumberFormat="1" applyBorder="1" applyAlignment="1">
      <alignment horizontal="center" vertical="center" wrapText="1"/>
    </xf>
    <xf numFmtId="0" fontId="0" fillId="0" borderId="258" xfId="0" applyBorder="1" applyAlignment="1">
      <alignment wrapText="1"/>
    </xf>
    <xf numFmtId="1" fontId="40" fillId="44" borderId="258" xfId="0" applyNumberFormat="1" applyFont="1" applyFill="1" applyBorder="1" applyAlignment="1">
      <alignment horizontal="center" vertical="center" wrapText="1"/>
    </xf>
    <xf numFmtId="0" fontId="0" fillId="0" borderId="272" xfId="0" applyBorder="1" applyAlignment="1">
      <alignment vertical="center" wrapText="1"/>
    </xf>
    <xf numFmtId="0" fontId="0" fillId="0" borderId="262" xfId="0" applyBorder="1" applyAlignment="1">
      <alignment vertical="center" wrapText="1"/>
    </xf>
    <xf numFmtId="0" fontId="0" fillId="0" borderId="258" xfId="0" applyBorder="1" applyAlignment="1">
      <alignment horizontal="left" vertical="center" wrapText="1"/>
    </xf>
    <xf numFmtId="0" fontId="0" fillId="0" borderId="267" xfId="0" applyBorder="1" applyAlignment="1">
      <alignment vertical="center" wrapText="1"/>
    </xf>
    <xf numFmtId="0" fontId="0" fillId="0" borderId="272" xfId="0" applyBorder="1" applyAlignment="1">
      <alignment horizontal="center" vertical="center" wrapText="1"/>
    </xf>
    <xf numFmtId="0" fontId="0" fillId="0" borderId="262" xfId="0" applyBorder="1" applyAlignment="1">
      <alignment horizontal="center" vertical="center" wrapText="1"/>
    </xf>
    <xf numFmtId="0" fontId="0" fillId="0" borderId="267" xfId="0" applyBorder="1" applyAlignment="1">
      <alignment horizontal="center" vertical="center" wrapText="1"/>
    </xf>
    <xf numFmtId="171" fontId="58" fillId="0" borderId="272" xfId="0" applyNumberFormat="1" applyFont="1" applyBorder="1" applyAlignment="1">
      <alignment horizontal="center" vertical="center" wrapText="1"/>
    </xf>
    <xf numFmtId="171" fontId="58" fillId="0" borderId="262" xfId="0" applyNumberFormat="1" applyFont="1" applyBorder="1" applyAlignment="1">
      <alignment horizontal="center" vertical="center" wrapText="1"/>
    </xf>
    <xf numFmtId="171" fontId="58" fillId="0" borderId="267" xfId="0" applyNumberFormat="1" applyFont="1" applyBorder="1" applyAlignment="1">
      <alignment horizontal="center" vertical="center" wrapText="1"/>
    </xf>
    <xf numFmtId="0" fontId="268" fillId="0" borderId="258" xfId="0" applyFont="1" applyBorder="1" applyAlignment="1">
      <alignment horizontal="center" vertical="center"/>
    </xf>
    <xf numFmtId="0" fontId="45" fillId="0" borderId="258" xfId="0" applyFont="1" applyBorder="1" applyAlignment="1">
      <alignment horizontal="center" vertical="center"/>
    </xf>
    <xf numFmtId="0" fontId="158" fillId="0" borderId="258" xfId="0" applyFont="1" applyBorder="1" applyAlignment="1">
      <alignment horizontal="center" vertical="center"/>
    </xf>
    <xf numFmtId="0" fontId="60" fillId="0" borderId="258" xfId="0" applyFont="1" applyBorder="1" applyAlignment="1">
      <alignment horizontal="center"/>
    </xf>
    <xf numFmtId="171" fontId="158" fillId="0" borderId="257" xfId="0" applyNumberFormat="1" applyFont="1" applyBorder="1" applyAlignment="1">
      <alignment horizontal="center" vertical="center"/>
    </xf>
    <xf numFmtId="0" fontId="181" fillId="0" borderId="258" xfId="0" applyFont="1" applyBorder="1" applyAlignment="1">
      <alignment horizontal="center"/>
    </xf>
    <xf numFmtId="0" fontId="268" fillId="0" borderId="257" xfId="0" applyFont="1" applyBorder="1" applyAlignment="1">
      <alignment horizontal="center" vertical="center"/>
    </xf>
    <xf numFmtId="0" fontId="45" fillId="0" borderId="248" xfId="0" applyFont="1" applyBorder="1" applyAlignment="1">
      <alignment vertical="center"/>
    </xf>
    <xf numFmtId="0" fontId="45" fillId="0" borderId="256" xfId="0" applyFont="1" applyBorder="1" applyAlignment="1">
      <alignment vertical="center"/>
    </xf>
    <xf numFmtId="0" fontId="60" fillId="0" borderId="258" xfId="818" applyFont="1" applyBorder="1" applyAlignment="1">
      <alignment horizontal="center"/>
    </xf>
    <xf numFmtId="180" fontId="44" fillId="0" borderId="258" xfId="818" applyNumberFormat="1" applyFont="1" applyBorder="1" applyAlignment="1">
      <alignment horizontal="center"/>
    </xf>
    <xf numFmtId="171" fontId="44" fillId="0" borderId="258" xfId="0" applyNumberFormat="1" applyFont="1" applyBorder="1" applyAlignment="1">
      <alignment horizontal="center" vertical="center"/>
    </xf>
    <xf numFmtId="171" fontId="17" fillId="0" borderId="258" xfId="820" applyNumberFormat="1" applyBorder="1" applyAlignment="1">
      <alignment horizontal="center" vertical="center"/>
    </xf>
    <xf numFmtId="171" fontId="17" fillId="0" borderId="272" xfId="820" applyNumberFormat="1" applyBorder="1" applyAlignment="1">
      <alignment horizontal="center" vertical="center"/>
    </xf>
    <xf numFmtId="171" fontId="17" fillId="0" borderId="258" xfId="238" applyNumberFormat="1" applyBorder="1" applyAlignment="1">
      <alignment horizontal="center" vertical="center"/>
    </xf>
    <xf numFmtId="171" fontId="44" fillId="0" borderId="258" xfId="0" applyNumberFormat="1" applyFont="1" applyBorder="1" applyAlignment="1">
      <alignment horizontal="center"/>
    </xf>
    <xf numFmtId="0" fontId="44" fillId="0" borderId="258" xfId="0" applyFont="1" applyBorder="1"/>
    <xf numFmtId="0" fontId="60" fillId="0" borderId="258" xfId="2462" applyFont="1" applyBorder="1" applyAlignment="1">
      <alignment horizontal="center"/>
    </xf>
    <xf numFmtId="0" fontId="44" fillId="0" borderId="258" xfId="0" applyFont="1" applyBorder="1" applyAlignment="1">
      <alignment horizontal="center"/>
    </xf>
    <xf numFmtId="180" fontId="44" fillId="0" borderId="258" xfId="0" applyNumberFormat="1" applyFont="1" applyBorder="1" applyAlignment="1">
      <alignment horizontal="center"/>
    </xf>
    <xf numFmtId="171" fontId="17" fillId="0" borderId="272" xfId="238" applyNumberFormat="1" applyBorder="1" applyAlignment="1">
      <alignment horizontal="center" vertical="center"/>
    </xf>
    <xf numFmtId="0" fontId="44" fillId="0" borderId="272" xfId="0" applyFont="1" applyBorder="1" applyAlignment="1">
      <alignment horizontal="center"/>
    </xf>
    <xf numFmtId="180" fontId="44" fillId="0" borderId="272" xfId="0" applyNumberFormat="1" applyFont="1" applyBorder="1" applyAlignment="1">
      <alignment horizontal="center"/>
    </xf>
    <xf numFmtId="0" fontId="44" fillId="0" borderId="258" xfId="0" applyFont="1" applyBorder="1" applyAlignment="1">
      <alignment horizontal="center" vertical="center" wrapText="1"/>
    </xf>
    <xf numFmtId="0" fontId="17" fillId="0" borderId="258" xfId="239" applyBorder="1" applyAlignment="1">
      <alignment horizontal="left" vertical="center" wrapText="1"/>
    </xf>
    <xf numFmtId="0" fontId="74" fillId="0" borderId="258" xfId="239" applyFont="1" applyBorder="1" applyAlignment="1">
      <alignment horizontal="center" vertical="center" wrapText="1"/>
    </xf>
    <xf numFmtId="1" fontId="17" fillId="0" borderId="258" xfId="239" applyNumberFormat="1" applyBorder="1" applyAlignment="1">
      <alignment horizontal="center" vertical="center"/>
    </xf>
    <xf numFmtId="180" fontId="44" fillId="0" borderId="258" xfId="0" applyNumberFormat="1" applyFont="1" applyBorder="1" applyAlignment="1">
      <alignment horizontal="center" vertical="center"/>
    </xf>
    <xf numFmtId="0" fontId="17" fillId="0" borderId="258" xfId="239" applyBorder="1" applyAlignment="1">
      <alignment horizontal="center" vertical="center" wrapText="1"/>
    </xf>
    <xf numFmtId="0" fontId="45" fillId="0" borderId="258" xfId="0" applyFont="1" applyBorder="1" applyAlignment="1">
      <alignment horizontal="left" vertical="center"/>
    </xf>
    <xf numFmtId="180" fontId="45" fillId="0" borderId="258" xfId="0" applyNumberFormat="1" applyFont="1" applyBorder="1" applyAlignment="1">
      <alignment horizontal="center" vertical="center"/>
    </xf>
    <xf numFmtId="10" fontId="83" fillId="0" borderId="258" xfId="0" applyNumberFormat="1" applyFont="1" applyBorder="1" applyAlignment="1">
      <alignment horizontal="center" vertical="center"/>
    </xf>
    <xf numFmtId="10" fontId="83" fillId="0" borderId="257" xfId="0" applyNumberFormat="1" applyFont="1" applyBorder="1" applyAlignment="1">
      <alignment horizontal="center" vertical="center"/>
    </xf>
    <xf numFmtId="10" fontId="45" fillId="0" borderId="258" xfId="0" applyNumberFormat="1" applyFont="1" applyBorder="1" applyAlignment="1">
      <alignment horizontal="center"/>
    </xf>
    <xf numFmtId="0" fontId="6" fillId="0" borderId="0" xfId="0" applyFont="1" applyAlignment="1">
      <alignment horizontal="left"/>
    </xf>
    <xf numFmtId="0" fontId="53" fillId="0" borderId="0" xfId="0" applyFont="1" applyAlignment="1">
      <alignment vertical="center" wrapText="1"/>
    </xf>
    <xf numFmtId="0" fontId="93" fillId="0" borderId="0" xfId="0" applyFont="1" applyAlignment="1">
      <alignment horizontal="left"/>
    </xf>
    <xf numFmtId="0" fontId="269" fillId="20" borderId="258" xfId="0" applyFont="1" applyFill="1" applyBorder="1" applyAlignment="1">
      <alignment horizontal="center" vertical="center"/>
    </xf>
    <xf numFmtId="0" fontId="269" fillId="20" borderId="257" xfId="0" applyFont="1" applyFill="1" applyBorder="1" applyAlignment="1">
      <alignment horizontal="center" vertical="center" wrapText="1"/>
    </xf>
    <xf numFmtId="0" fontId="76" fillId="20" borderId="258" xfId="0" applyFont="1" applyFill="1" applyBorder="1" applyAlignment="1">
      <alignment horizontal="center" vertical="center"/>
    </xf>
    <xf numFmtId="0" fontId="270" fillId="20" borderId="258" xfId="452" applyFont="1" applyFill="1" applyBorder="1" applyAlignment="1">
      <alignment horizontal="center" vertical="center" wrapText="1"/>
    </xf>
    <xf numFmtId="0" fontId="270" fillId="20" borderId="258" xfId="452" applyFont="1" applyFill="1" applyBorder="1" applyAlignment="1">
      <alignment horizontal="center" vertical="center"/>
    </xf>
    <xf numFmtId="0" fontId="45" fillId="20" borderId="258" xfId="0" applyFont="1" applyFill="1" applyBorder="1" applyAlignment="1">
      <alignment horizontal="center" vertical="center"/>
    </xf>
    <xf numFmtId="0" fontId="24" fillId="20" borderId="272" xfId="452" applyFont="1" applyFill="1" applyBorder="1" applyAlignment="1">
      <alignment horizontal="center" vertical="center" wrapText="1"/>
    </xf>
    <xf numFmtId="0" fontId="24" fillId="20" borderId="272" xfId="452" applyFont="1" applyFill="1" applyBorder="1" applyAlignment="1">
      <alignment horizontal="center" vertical="center"/>
    </xf>
    <xf numFmtId="0" fontId="181" fillId="0" borderId="257" xfId="0" applyFont="1" applyBorder="1" applyAlignment="1">
      <alignment vertical="center"/>
    </xf>
    <xf numFmtId="0" fontId="52" fillId="0" borderId="0" xfId="825"/>
    <xf numFmtId="2" fontId="52" fillId="0" borderId="0" xfId="825" applyNumberFormat="1"/>
    <xf numFmtId="0" fontId="52" fillId="0" borderId="0" xfId="825" applyAlignment="1">
      <alignment horizontal="center"/>
    </xf>
    <xf numFmtId="0" fontId="52" fillId="0" borderId="0" xfId="825" applyAlignment="1">
      <alignment vertical="center" wrapText="1"/>
    </xf>
    <xf numFmtId="0" fontId="52" fillId="0" borderId="0" xfId="825" applyAlignment="1">
      <alignment horizontal="left" vertical="center"/>
    </xf>
    <xf numFmtId="0" fontId="52" fillId="0" borderId="0" xfId="825" applyAlignment="1">
      <alignment horizontal="left" vertical="center" wrapText="1"/>
    </xf>
    <xf numFmtId="0" fontId="195" fillId="0" borderId="0" xfId="3790" applyFont="1" applyAlignment="1">
      <alignment vertical="center" wrapText="1"/>
    </xf>
    <xf numFmtId="0" fontId="158" fillId="0" borderId="258" xfId="0" applyFont="1" applyBorder="1" applyAlignment="1">
      <alignment horizontal="center" vertical="center" wrapText="1"/>
    </xf>
    <xf numFmtId="182" fontId="158" fillId="0" borderId="258" xfId="0" applyNumberFormat="1" applyFont="1" applyBorder="1" applyAlignment="1">
      <alignment horizontal="center" vertical="center" wrapText="1"/>
    </xf>
    <xf numFmtId="171" fontId="158" fillId="0" borderId="258" xfId="0" applyNumberFormat="1" applyFont="1" applyBorder="1" applyAlignment="1">
      <alignment horizontal="center" vertical="center" wrapText="1"/>
    </xf>
    <xf numFmtId="0" fontId="60" fillId="0" borderId="258" xfId="825" applyFont="1" applyBorder="1" applyAlignment="1">
      <alignment horizontal="center"/>
    </xf>
    <xf numFmtId="0" fontId="74" fillId="0" borderId="258" xfId="3790" applyFont="1" applyBorder="1" applyAlignment="1">
      <alignment horizontal="center" wrapText="1"/>
    </xf>
    <xf numFmtId="0" fontId="74" fillId="0" borderId="0" xfId="3790" applyFont="1" applyAlignment="1">
      <alignment horizontal="center" wrapText="1"/>
    </xf>
    <xf numFmtId="0" fontId="74" fillId="0" borderId="258" xfId="3790" applyFont="1" applyBorder="1" applyAlignment="1">
      <alignment horizontal="center" vertical="top" wrapText="1"/>
    </xf>
    <xf numFmtId="182" fontId="74" fillId="0" borderId="0" xfId="3790" applyNumberFormat="1" applyFont="1" applyAlignment="1">
      <alignment horizontal="right" vertical="center"/>
    </xf>
    <xf numFmtId="183" fontId="74" fillId="0" borderId="0" xfId="3790" applyNumberFormat="1" applyFont="1" applyAlignment="1">
      <alignment horizontal="right" vertical="center"/>
    </xf>
    <xf numFmtId="0" fontId="74" fillId="0" borderId="0" xfId="3790" applyFont="1" applyAlignment="1">
      <alignment vertical="top" wrapText="1"/>
    </xf>
    <xf numFmtId="0" fontId="74" fillId="0" borderId="0" xfId="3790" applyFont="1" applyAlignment="1">
      <alignment horizontal="left" vertical="top" wrapText="1"/>
    </xf>
    <xf numFmtId="0" fontId="52" fillId="0" borderId="0" xfId="825" applyAlignment="1">
      <alignment horizontal="left"/>
    </xf>
    <xf numFmtId="0" fontId="74" fillId="0" borderId="257" xfId="238" applyFont="1" applyBorder="1" applyAlignment="1">
      <alignment horizontal="left" vertical="top"/>
    </xf>
    <xf numFmtId="0" fontId="74" fillId="0" borderId="257" xfId="238" applyFont="1" applyBorder="1" applyAlignment="1">
      <alignment horizontal="center" vertical="top"/>
    </xf>
    <xf numFmtId="182" fontId="74" fillId="0" borderId="258" xfId="238" applyNumberFormat="1" applyFont="1" applyBorder="1" applyAlignment="1">
      <alignment horizontal="center" vertical="center"/>
    </xf>
    <xf numFmtId="171" fontId="74" fillId="0" borderId="258" xfId="238" applyNumberFormat="1" applyFont="1" applyBorder="1" applyAlignment="1">
      <alignment horizontal="center" vertical="center"/>
    </xf>
    <xf numFmtId="191" fontId="74" fillId="0" borderId="258" xfId="238" applyNumberFormat="1" applyFont="1" applyBorder="1" applyAlignment="1">
      <alignment horizontal="center" vertical="center"/>
    </xf>
    <xf numFmtId="9" fontId="74" fillId="0" borderId="258" xfId="430" applyNumberFormat="1" applyFont="1" applyBorder="1" applyAlignment="1">
      <alignment horizontal="center" vertical="center"/>
    </xf>
    <xf numFmtId="191" fontId="74" fillId="0" borderId="258" xfId="430" applyNumberFormat="1" applyFont="1" applyBorder="1" applyAlignment="1">
      <alignment horizontal="center" vertical="center"/>
    </xf>
    <xf numFmtId="9" fontId="74" fillId="0" borderId="258" xfId="238" applyNumberFormat="1" applyFont="1" applyBorder="1" applyAlignment="1">
      <alignment horizontal="center" vertical="center"/>
    </xf>
    <xf numFmtId="168" fontId="74" fillId="0" borderId="258" xfId="430" applyNumberFormat="1" applyFont="1" applyBorder="1" applyAlignment="1">
      <alignment horizontal="center" vertical="center"/>
    </xf>
    <xf numFmtId="168" fontId="74" fillId="0" borderId="258" xfId="238" applyNumberFormat="1" applyFont="1" applyBorder="1" applyAlignment="1">
      <alignment horizontal="center" vertical="center"/>
    </xf>
    <xf numFmtId="0" fontId="74" fillId="0" borderId="258" xfId="238" applyFont="1" applyBorder="1" applyAlignment="1">
      <alignment horizontal="center" vertical="center"/>
    </xf>
    <xf numFmtId="192" fontId="74" fillId="0" borderId="258" xfId="430" applyNumberFormat="1" applyFont="1" applyBorder="1" applyAlignment="1">
      <alignment horizontal="center" vertical="center"/>
    </xf>
    <xf numFmtId="0" fontId="83" fillId="20" borderId="274" xfId="0" applyFont="1" applyFill="1" applyBorder="1" applyAlignment="1">
      <alignment horizontal="center" vertical="center" wrapText="1"/>
    </xf>
    <xf numFmtId="0" fontId="64" fillId="0" borderId="274" xfId="0" applyFont="1" applyBorder="1" applyAlignment="1">
      <alignment horizontal="center" vertical="center" wrapText="1"/>
    </xf>
    <xf numFmtId="0" fontId="157" fillId="20" borderId="275" xfId="825" applyFont="1" applyFill="1" applyBorder="1" applyAlignment="1">
      <alignment horizontal="center" vertical="center"/>
    </xf>
    <xf numFmtId="0" fontId="157" fillId="20" borderId="267" xfId="825" applyFont="1" applyFill="1" applyBorder="1" applyAlignment="1">
      <alignment horizontal="center" vertical="center"/>
    </xf>
    <xf numFmtId="0" fontId="157" fillId="0" borderId="276" xfId="825" applyFont="1" applyBorder="1" applyAlignment="1">
      <alignment vertical="center"/>
    </xf>
    <xf numFmtId="0" fontId="46" fillId="0" borderId="274" xfId="825" applyFont="1" applyBorder="1"/>
    <xf numFmtId="0" fontId="46" fillId="0" borderId="274" xfId="0" applyFont="1" applyBorder="1"/>
    <xf numFmtId="0" fontId="157" fillId="0" borderId="276" xfId="0" applyFont="1" applyBorder="1"/>
    <xf numFmtId="0" fontId="46" fillId="0" borderId="274" xfId="0" applyFont="1" applyBorder="1" applyAlignment="1">
      <alignment horizontal="left"/>
    </xf>
    <xf numFmtId="0" fontId="46" fillId="0" borderId="273" xfId="0" applyFont="1" applyBorder="1"/>
    <xf numFmtId="2" fontId="83" fillId="20" borderId="0" xfId="0" applyNumberFormat="1" applyFont="1" applyFill="1" applyAlignment="1">
      <alignment horizontal="center" vertical="center" wrapText="1"/>
    </xf>
    <xf numFmtId="168" fontId="64" fillId="44" borderId="0" xfId="176" applyNumberFormat="1" applyFont="1" applyFill="1" applyAlignment="1">
      <alignment horizontal="center" vertical="center" wrapText="1"/>
    </xf>
    <xf numFmtId="168" fontId="64" fillId="0" borderId="0" xfId="176" applyNumberFormat="1" applyFont="1" applyAlignment="1">
      <alignment horizontal="center" vertical="center" wrapText="1"/>
    </xf>
    <xf numFmtId="2" fontId="64" fillId="44" borderId="0" xfId="176" applyNumberFormat="1" applyFont="1" applyFill="1" applyAlignment="1">
      <alignment horizontal="center" vertical="center" wrapText="1"/>
    </xf>
    <xf numFmtId="2" fontId="64" fillId="0" borderId="0" xfId="176" applyNumberFormat="1" applyFont="1" applyAlignment="1">
      <alignment horizontal="center" vertical="center" wrapText="1"/>
    </xf>
    <xf numFmtId="0" fontId="67" fillId="20" borderId="274" xfId="639" applyFont="1" applyFill="1" applyBorder="1" applyAlignment="1">
      <alignment horizontal="center" vertical="center"/>
    </xf>
    <xf numFmtId="0" fontId="67" fillId="0" borderId="277" xfId="639" applyFont="1" applyBorder="1" applyAlignment="1">
      <alignment horizontal="center" vertical="center"/>
    </xf>
    <xf numFmtId="0" fontId="83" fillId="20" borderId="0" xfId="0" applyFont="1" applyFill="1" applyAlignment="1">
      <alignment horizontal="center" vertical="center" wrapText="1"/>
    </xf>
    <xf numFmtId="168" fontId="162" fillId="44" borderId="0" xfId="176" applyNumberFormat="1" applyFont="1" applyFill="1" applyAlignment="1">
      <alignment horizontal="center" vertical="center"/>
    </xf>
    <xf numFmtId="183" fontId="74" fillId="44" borderId="0" xfId="803" applyNumberFormat="1" applyFont="1" applyFill="1" applyAlignment="1">
      <alignment horizontal="center" vertical="center"/>
    </xf>
    <xf numFmtId="183" fontId="74" fillId="0" borderId="0" xfId="803" applyNumberFormat="1" applyFont="1" applyAlignment="1">
      <alignment horizontal="center" vertical="center"/>
    </xf>
    <xf numFmtId="9" fontId="44" fillId="35" borderId="0" xfId="176" applyFont="1" applyFill="1" applyAlignment="1">
      <alignment horizontal="center" vertical="center" wrapText="1"/>
    </xf>
    <xf numFmtId="9" fontId="45" fillId="35" borderId="0" xfId="176" applyFont="1" applyFill="1" applyAlignment="1">
      <alignment horizontal="center" vertical="center" wrapText="1"/>
    </xf>
    <xf numFmtId="168" fontId="83" fillId="21" borderId="0" xfId="176" applyNumberFormat="1" applyFont="1" applyFill="1" applyAlignment="1">
      <alignment horizontal="center" vertical="center" wrapText="1"/>
    </xf>
    <xf numFmtId="171" fontId="64" fillId="35" borderId="0" xfId="176" applyNumberFormat="1" applyFont="1" applyFill="1" applyAlignment="1">
      <alignment horizontal="center" vertical="center" wrapText="1"/>
    </xf>
    <xf numFmtId="9" fontId="83" fillId="35" borderId="0" xfId="176" applyFont="1" applyFill="1" applyAlignment="1">
      <alignment horizontal="center" vertical="center" wrapText="1"/>
    </xf>
    <xf numFmtId="10" fontId="64" fillId="21" borderId="0" xfId="176" applyNumberFormat="1" applyFont="1" applyFill="1" applyAlignment="1">
      <alignment horizontal="center" vertical="center" wrapText="1"/>
    </xf>
    <xf numFmtId="10" fontId="64" fillId="35" borderId="0" xfId="176" applyNumberFormat="1" applyFont="1" applyFill="1" applyAlignment="1">
      <alignment horizontal="center" vertical="center" wrapText="1"/>
    </xf>
    <xf numFmtId="0" fontId="268" fillId="20" borderId="258" xfId="0" applyFont="1" applyFill="1" applyBorder="1" applyAlignment="1">
      <alignment horizontal="center" vertical="center" wrapText="1"/>
    </xf>
    <xf numFmtId="0" fontId="24" fillId="20" borderId="258" xfId="452" applyFont="1" applyFill="1" applyBorder="1" applyAlignment="1">
      <alignment horizontal="center" vertical="center" wrapText="1"/>
    </xf>
    <xf numFmtId="0" fontId="24" fillId="20" borderId="258" xfId="452" applyFont="1" applyFill="1" applyBorder="1" applyAlignment="1">
      <alignment horizontal="center" vertical="center"/>
    </xf>
    <xf numFmtId="0" fontId="195" fillId="20" borderId="258" xfId="3790" applyFont="1" applyFill="1" applyBorder="1" applyAlignment="1">
      <alignment horizontal="center" vertical="center" wrapText="1"/>
    </xf>
    <xf numFmtId="0" fontId="138" fillId="20" borderId="258" xfId="238" applyFont="1" applyFill="1" applyBorder="1" applyAlignment="1">
      <alignment horizontal="center"/>
    </xf>
    <xf numFmtId="0" fontId="181" fillId="20" borderId="258" xfId="0" applyFont="1" applyFill="1" applyBorder="1" applyAlignment="1">
      <alignment horizontal="center"/>
    </xf>
    <xf numFmtId="171" fontId="268" fillId="20" borderId="258" xfId="0" applyNumberFormat="1" applyFont="1" applyFill="1" applyBorder="1" applyAlignment="1">
      <alignment horizontal="center" vertical="center" wrapText="1"/>
    </xf>
    <xf numFmtId="0" fontId="181" fillId="20" borderId="258" xfId="825" applyFont="1" applyFill="1" applyBorder="1" applyAlignment="1">
      <alignment horizontal="center"/>
    </xf>
    <xf numFmtId="0" fontId="138" fillId="20" borderId="258" xfId="3790" applyFont="1" applyFill="1" applyBorder="1" applyAlignment="1">
      <alignment horizontal="center" vertical="top" wrapText="1"/>
    </xf>
    <xf numFmtId="0" fontId="181" fillId="20" borderId="257" xfId="825" applyFont="1" applyFill="1" applyBorder="1" applyAlignment="1">
      <alignment horizontal="right"/>
    </xf>
    <xf numFmtId="0" fontId="181" fillId="20" borderId="273" xfId="825" applyFont="1" applyFill="1" applyBorder="1" applyAlignment="1">
      <alignment horizontal="right"/>
    </xf>
    <xf numFmtId="0" fontId="181" fillId="20" borderId="257" xfId="825" applyFont="1" applyFill="1" applyBorder="1" applyAlignment="1">
      <alignment horizontal="center"/>
    </xf>
    <xf numFmtId="182" fontId="181" fillId="20" borderId="258" xfId="825" applyNumberFormat="1" applyFont="1" applyFill="1" applyBorder="1" applyAlignment="1">
      <alignment horizontal="center"/>
    </xf>
    <xf numFmtId="171" fontId="138" fillId="20" borderId="258" xfId="238" applyNumberFormat="1" applyFont="1" applyFill="1" applyBorder="1" applyAlignment="1">
      <alignment horizontal="center" vertical="center"/>
    </xf>
    <xf numFmtId="168" fontId="181" fillId="20" borderId="258" xfId="825" applyNumberFormat="1" applyFont="1" applyFill="1" applyBorder="1" applyAlignment="1">
      <alignment horizontal="center"/>
    </xf>
    <xf numFmtId="171" fontId="268" fillId="44" borderId="258" xfId="0" applyNumberFormat="1" applyFont="1" applyFill="1" applyBorder="1" applyAlignment="1">
      <alignment horizontal="center" vertical="center" wrapText="1"/>
    </xf>
    <xf numFmtId="173" fontId="1" fillId="0" borderId="274" xfId="149" applyNumberFormat="1" applyBorder="1" applyAlignment="1">
      <alignment horizontal="center" vertical="center"/>
    </xf>
    <xf numFmtId="3" fontId="1" fillId="0" borderId="274" xfId="149" applyNumberFormat="1" applyBorder="1" applyAlignment="1">
      <alignment horizontal="center"/>
    </xf>
    <xf numFmtId="173" fontId="1" fillId="0" borderId="274" xfId="0" applyNumberFormat="1" applyFont="1" applyBorder="1" applyAlignment="1">
      <alignment horizontal="center" vertical="center"/>
    </xf>
    <xf numFmtId="3" fontId="1" fillId="0" borderId="274" xfId="0" applyNumberFormat="1" applyFont="1" applyBorder="1" applyAlignment="1">
      <alignment horizontal="center" vertical="center"/>
    </xf>
    <xf numFmtId="3" fontId="1" fillId="0" borderId="274" xfId="0" applyNumberFormat="1" applyFont="1" applyBorder="1" applyAlignment="1">
      <alignment horizontal="center"/>
    </xf>
    <xf numFmtId="173" fontId="1" fillId="0" borderId="274" xfId="0" applyNumberFormat="1" applyFont="1" applyBorder="1" applyAlignment="1">
      <alignment horizontal="center" vertical="center" wrapText="1"/>
    </xf>
    <xf numFmtId="173" fontId="32" fillId="0" borderId="274" xfId="0" applyNumberFormat="1" applyFont="1" applyBorder="1" applyAlignment="1">
      <alignment horizontal="center" vertical="center"/>
    </xf>
    <xf numFmtId="0" fontId="0" fillId="0" borderId="274" xfId="0" applyBorder="1" applyAlignment="1">
      <alignment horizontal="center"/>
    </xf>
    <xf numFmtId="173" fontId="32" fillId="0" borderId="274" xfId="0" applyNumberFormat="1" applyFont="1" applyBorder="1" applyAlignment="1">
      <alignment horizontal="center" vertical="center" wrapText="1"/>
    </xf>
    <xf numFmtId="0" fontId="44" fillId="0" borderId="274" xfId="0" applyFont="1" applyBorder="1" applyAlignment="1">
      <alignment horizontal="center" vertical="center"/>
    </xf>
    <xf numFmtId="0" fontId="1" fillId="0" borderId="274" xfId="149" applyBorder="1" applyAlignment="1">
      <alignment horizontal="center" vertical="center"/>
    </xf>
    <xf numFmtId="0" fontId="5" fillId="20" borderId="274" xfId="149" applyFont="1" applyFill="1" applyBorder="1" applyAlignment="1">
      <alignment horizontal="center" vertical="center"/>
    </xf>
    <xf numFmtId="3" fontId="5" fillId="57" borderId="274" xfId="149" applyNumberFormat="1" applyFont="1" applyFill="1" applyBorder="1" applyAlignment="1">
      <alignment horizontal="center" vertical="center"/>
    </xf>
    <xf numFmtId="3" fontId="5" fillId="44" borderId="274" xfId="149" applyNumberFormat="1" applyFont="1" applyFill="1" applyBorder="1" applyAlignment="1">
      <alignment horizontal="center"/>
    </xf>
    <xf numFmtId="3" fontId="44" fillId="0" borderId="274" xfId="0" applyNumberFormat="1" applyFont="1" applyBorder="1" applyAlignment="1">
      <alignment horizontal="center"/>
    </xf>
    <xf numFmtId="0" fontId="40" fillId="0" borderId="274" xfId="0" applyFont="1" applyBorder="1" applyAlignment="1">
      <alignment horizontal="center"/>
    </xf>
    <xf numFmtId="3" fontId="0" fillId="0" borderId="274" xfId="0" applyNumberFormat="1" applyBorder="1" applyAlignment="1">
      <alignment horizontal="center"/>
    </xf>
    <xf numFmtId="173" fontId="234" fillId="0" borderId="275" xfId="0" applyNumberFormat="1" applyFont="1" applyBorder="1" applyAlignment="1">
      <alignment vertical="center" wrapText="1"/>
    </xf>
    <xf numFmtId="3" fontId="271" fillId="0" borderId="275" xfId="0" applyNumberFormat="1" applyFont="1" applyBorder="1" applyAlignment="1">
      <alignment vertical="center"/>
    </xf>
    <xf numFmtId="3" fontId="234" fillId="0" borderId="275" xfId="0" applyNumberFormat="1" applyFont="1" applyBorder="1" applyAlignment="1">
      <alignment horizontal="center" vertical="center"/>
    </xf>
    <xf numFmtId="173" fontId="234" fillId="0" borderId="274" xfId="0" applyNumberFormat="1" applyFont="1" applyBorder="1" applyAlignment="1">
      <alignment horizontal="center" vertical="center"/>
    </xf>
    <xf numFmtId="3" fontId="271" fillId="0" borderId="275" xfId="0" applyNumberFormat="1" applyFont="1" applyBorder="1" applyAlignment="1">
      <alignment horizontal="center" vertical="center"/>
    </xf>
    <xf numFmtId="3" fontId="234" fillId="0" borderId="274" xfId="0" applyNumberFormat="1" applyFont="1" applyBorder="1" applyAlignment="1">
      <alignment horizontal="center" vertical="center"/>
    </xf>
    <xf numFmtId="173" fontId="234" fillId="0" borderId="274" xfId="0" applyNumberFormat="1" applyFont="1" applyBorder="1" applyAlignment="1">
      <alignment horizontal="center"/>
    </xf>
    <xf numFmtId="3" fontId="271" fillId="0" borderId="274" xfId="0" applyNumberFormat="1" applyFont="1" applyBorder="1" applyAlignment="1">
      <alignment horizontal="center" vertical="center"/>
    </xf>
    <xf numFmtId="3" fontId="234" fillId="0" borderId="274" xfId="0" applyNumberFormat="1" applyFont="1" applyBorder="1" applyAlignment="1">
      <alignment horizontal="center"/>
    </xf>
    <xf numFmtId="0" fontId="30" fillId="20" borderId="274" xfId="149" applyFont="1" applyFill="1" applyBorder="1" applyAlignment="1">
      <alignment horizontal="center" vertical="center"/>
    </xf>
    <xf numFmtId="3" fontId="30" fillId="20" borderId="274" xfId="149" applyNumberFormat="1" applyFont="1" applyFill="1" applyBorder="1" applyAlignment="1">
      <alignment horizontal="center" vertical="center"/>
    </xf>
    <xf numFmtId="0" fontId="88" fillId="0" borderId="267" xfId="0" applyFont="1" applyBorder="1" applyAlignment="1">
      <alignment horizontal="center" vertical="center"/>
    </xf>
    <xf numFmtId="0" fontId="155" fillId="55" borderId="278" xfId="149" applyFont="1" applyFill="1" applyBorder="1" applyAlignment="1">
      <alignment horizontal="center" vertical="center" wrapText="1"/>
    </xf>
    <xf numFmtId="0" fontId="155" fillId="55" borderId="279" xfId="149" applyFont="1" applyFill="1" applyBorder="1" applyAlignment="1">
      <alignment horizontal="center" vertical="center" wrapText="1"/>
    </xf>
    <xf numFmtId="0" fontId="155" fillId="55" borderId="279" xfId="0" applyFont="1" applyFill="1" applyBorder="1" applyAlignment="1">
      <alignment horizontal="center" vertical="center" wrapText="1"/>
    </xf>
    <xf numFmtId="0" fontId="155" fillId="55" borderId="280" xfId="0" applyFont="1" applyFill="1" applyBorder="1" applyAlignment="1">
      <alignment horizontal="center" vertical="center" wrapText="1"/>
    </xf>
    <xf numFmtId="168" fontId="181" fillId="0" borderId="262" xfId="176" applyNumberFormat="1" applyFont="1" applyBorder="1" applyAlignment="1">
      <alignment horizontal="center" vertical="center"/>
    </xf>
    <xf numFmtId="168" fontId="60" fillId="0" borderId="262" xfId="176" applyNumberFormat="1" applyFont="1" applyBorder="1" applyAlignment="1">
      <alignment horizontal="center" vertical="center"/>
    </xf>
    <xf numFmtId="10" fontId="0" fillId="0" borderId="0" xfId="176" applyNumberFormat="1" applyFont="1" applyAlignment="1">
      <alignment horizontal="center"/>
    </xf>
    <xf numFmtId="10" fontId="40" fillId="0" borderId="0" xfId="176" applyNumberFormat="1" applyFont="1" applyAlignment="1">
      <alignment horizontal="center"/>
    </xf>
    <xf numFmtId="0" fontId="274" fillId="0" borderId="0" xfId="0" applyFont="1"/>
    <xf numFmtId="168" fontId="138" fillId="0" borderId="262" xfId="176" applyNumberFormat="1" applyFont="1" applyBorder="1" applyAlignment="1">
      <alignment horizontal="center" vertical="center"/>
    </xf>
    <xf numFmtId="1" fontId="61" fillId="0" borderId="254" xfId="211" applyNumberFormat="1" applyFont="1" applyBorder="1" applyAlignment="1">
      <alignment horizontal="center"/>
    </xf>
    <xf numFmtId="181" fontId="61" fillId="0" borderId="0" xfId="107" applyNumberFormat="1" applyFont="1" applyAlignment="1">
      <alignment horizontal="center" vertical="center"/>
    </xf>
    <xf numFmtId="181" fontId="189" fillId="0" borderId="0" xfId="107" applyNumberFormat="1" applyFont="1" applyAlignment="1">
      <alignment horizontal="center" vertical="center"/>
    </xf>
    <xf numFmtId="181" fontId="189" fillId="0" borderId="246" xfId="107" applyNumberFormat="1" applyFont="1" applyBorder="1" applyAlignment="1">
      <alignment horizontal="center" vertical="center"/>
    </xf>
    <xf numFmtId="181" fontId="189" fillId="0" borderId="254" xfId="107" applyNumberFormat="1" applyFont="1" applyBorder="1" applyAlignment="1">
      <alignment horizontal="center" vertical="center"/>
    </xf>
    <xf numFmtId="43" fontId="61" fillId="0" borderId="0" xfId="107" applyFont="1" applyAlignment="1">
      <alignment horizontal="center" vertical="center"/>
    </xf>
    <xf numFmtId="181" fontId="61" fillId="0" borderId="143" xfId="107" applyNumberFormat="1" applyFont="1" applyBorder="1" applyAlignment="1">
      <alignment horizontal="center" vertical="center"/>
    </xf>
    <xf numFmtId="181" fontId="189" fillId="21" borderId="246" xfId="107" applyNumberFormat="1" applyFont="1" applyFill="1" applyBorder="1" applyAlignment="1">
      <alignment horizontal="center" vertical="center"/>
    </xf>
    <xf numFmtId="0" fontId="61" fillId="0" borderId="0" xfId="211" applyFont="1" applyAlignment="1">
      <alignment horizontal="center" vertical="center"/>
    </xf>
    <xf numFmtId="171" fontId="99" fillId="0" borderId="16" xfId="0" applyNumberFormat="1" applyFont="1" applyBorder="1" applyAlignment="1">
      <alignment horizontal="center" vertical="center"/>
    </xf>
    <xf numFmtId="171" fontId="99" fillId="0" borderId="0" xfId="0" applyNumberFormat="1" applyFont="1" applyAlignment="1">
      <alignment horizontal="center" vertical="center"/>
    </xf>
    <xf numFmtId="171" fontId="99" fillId="0" borderId="254" xfId="0" applyNumberFormat="1" applyFont="1" applyBorder="1" applyAlignment="1">
      <alignment horizontal="center" vertical="center"/>
    </xf>
    <xf numFmtId="0" fontId="42" fillId="0" borderId="277" xfId="0" applyFont="1" applyBorder="1" applyAlignment="1">
      <alignment horizontal="left" vertical="center" wrapText="1"/>
    </xf>
    <xf numFmtId="9" fontId="0" fillId="0" borderId="277" xfId="176" applyFont="1" applyBorder="1" applyAlignment="1">
      <alignment horizontal="center" vertical="center"/>
    </xf>
    <xf numFmtId="3" fontId="58" fillId="0" borderId="273" xfId="0" applyNumberFormat="1" applyFont="1" applyBorder="1" applyAlignment="1">
      <alignment horizontal="center" vertical="center" wrapText="1" readingOrder="1"/>
    </xf>
    <xf numFmtId="171" fontId="58" fillId="0" borderId="276" xfId="0" applyNumberFormat="1" applyFont="1" applyBorder="1" applyAlignment="1">
      <alignment horizontal="center" vertical="center" wrapText="1" readingOrder="1"/>
    </xf>
    <xf numFmtId="168" fontId="0" fillId="0" borderId="277" xfId="176" applyNumberFormat="1" applyFont="1" applyBorder="1" applyAlignment="1">
      <alignment vertical="center"/>
    </xf>
    <xf numFmtId="3" fontId="42" fillId="0" borderId="273" xfId="0" applyNumberFormat="1" applyFont="1" applyBorder="1" applyAlignment="1">
      <alignment horizontal="center" vertical="center"/>
    </xf>
    <xf numFmtId="171" fontId="42" fillId="0" borderId="276" xfId="0" applyNumberFormat="1" applyFont="1" applyBorder="1" applyAlignment="1">
      <alignment horizontal="center" vertical="center"/>
    </xf>
    <xf numFmtId="3" fontId="42" fillId="0" borderId="273" xfId="2650" applyNumberFormat="1" applyFont="1" applyBorder="1" applyAlignment="1">
      <alignment horizontal="center" vertical="center"/>
    </xf>
    <xf numFmtId="171" fontId="42" fillId="0" borderId="276" xfId="2650" applyNumberFormat="1" applyFont="1" applyBorder="1" applyAlignment="1">
      <alignment horizontal="center" vertical="center"/>
    </xf>
    <xf numFmtId="168" fontId="0" fillId="0" borderId="277" xfId="3386" applyNumberFormat="1" applyFont="1" applyBorder="1" applyAlignment="1">
      <alignment vertical="center"/>
    </xf>
    <xf numFmtId="0" fontId="40" fillId="20" borderId="274" xfId="0" applyFont="1" applyFill="1" applyBorder="1" applyAlignment="1">
      <alignment horizontal="center" vertical="center"/>
    </xf>
    <xf numFmtId="0" fontId="40" fillId="20" borderId="274" xfId="0" applyFont="1" applyFill="1" applyBorder="1" applyAlignment="1">
      <alignment horizontal="center" vertical="center" wrapText="1"/>
    </xf>
    <xf numFmtId="168" fontId="0" fillId="0" borderId="275" xfId="176" applyNumberFormat="1" applyFont="1" applyBorder="1" applyAlignment="1">
      <alignment horizontal="center"/>
    </xf>
    <xf numFmtId="168" fontId="40" fillId="20" borderId="274" xfId="176" applyNumberFormat="1" applyFont="1" applyFill="1" applyBorder="1" applyAlignment="1">
      <alignment horizontal="center" vertical="center"/>
    </xf>
    <xf numFmtId="0" fontId="40" fillId="0" borderId="0" xfId="0" applyFont="1" applyAlignment="1">
      <alignment horizontal="left" wrapText="1"/>
    </xf>
    <xf numFmtId="0" fontId="76" fillId="21" borderId="16" xfId="0" applyFont="1" applyFill="1" applyBorder="1" applyAlignment="1">
      <alignment horizontal="center"/>
    </xf>
    <xf numFmtId="0" fontId="40" fillId="0" borderId="16" xfId="0" applyFont="1" applyBorder="1" applyAlignment="1">
      <alignment horizontal="center" wrapText="1"/>
    </xf>
    <xf numFmtId="0" fontId="50" fillId="21" borderId="0" xfId="0" applyFont="1" applyFill="1" applyAlignment="1">
      <alignment horizontal="center"/>
    </xf>
    <xf numFmtId="0" fontId="76" fillId="21" borderId="0" xfId="0" applyFont="1" applyFill="1" applyAlignment="1">
      <alignment horizontal="center"/>
    </xf>
    <xf numFmtId="0" fontId="50" fillId="58" borderId="0" xfId="0" applyFont="1" applyFill="1"/>
    <xf numFmtId="0" fontId="50" fillId="58" borderId="0" xfId="0" applyFont="1" applyFill="1" applyAlignment="1">
      <alignment horizontal="center"/>
    </xf>
    <xf numFmtId="0" fontId="76" fillId="58" borderId="0" xfId="0" applyFont="1" applyFill="1"/>
    <xf numFmtId="0" fontId="76" fillId="58" borderId="0" xfId="0" applyFont="1" applyFill="1" applyAlignment="1">
      <alignment horizontal="center"/>
    </xf>
    <xf numFmtId="10" fontId="40" fillId="0" borderId="16" xfId="176" applyNumberFormat="1" applyFont="1" applyBorder="1" applyAlignment="1">
      <alignment horizontal="center"/>
    </xf>
    <xf numFmtId="0" fontId="74" fillId="0" borderId="13" xfId="239" applyFont="1" applyBorder="1" applyAlignment="1">
      <alignment vertical="center"/>
    </xf>
    <xf numFmtId="0" fontId="74" fillId="0" borderId="13" xfId="453" applyFont="1" applyBorder="1" applyAlignment="1">
      <alignment vertical="center"/>
    </xf>
    <xf numFmtId="168" fontId="74" fillId="0" borderId="13" xfId="453" applyNumberFormat="1" applyFont="1" applyBorder="1" applyAlignment="1">
      <alignment vertical="center"/>
    </xf>
    <xf numFmtId="0" fontId="32" fillId="0" borderId="13" xfId="227" applyFont="1" applyBorder="1" applyAlignment="1">
      <alignment vertical="center"/>
    </xf>
    <xf numFmtId="0" fontId="74" fillId="0" borderId="13" xfId="173" applyFont="1" applyBorder="1" applyAlignment="1">
      <alignment vertical="center"/>
    </xf>
    <xf numFmtId="0" fontId="0" fillId="0" borderId="13" xfId="0" applyBorder="1" applyAlignment="1">
      <alignment vertical="center"/>
    </xf>
    <xf numFmtId="168" fontId="138" fillId="0" borderId="199" xfId="176" applyNumberFormat="1" applyFont="1" applyBorder="1" applyAlignment="1">
      <alignment horizontal="center" vertical="center"/>
    </xf>
    <xf numFmtId="0" fontId="74" fillId="0" borderId="262" xfId="453" applyFont="1" applyBorder="1" applyAlignment="1">
      <alignment vertical="center"/>
    </xf>
    <xf numFmtId="168" fontId="74" fillId="0" borderId="262" xfId="453" applyNumberFormat="1" applyFont="1" applyBorder="1" applyAlignment="1">
      <alignment vertical="center"/>
    </xf>
    <xf numFmtId="168" fontId="60" fillId="0" borderId="13" xfId="0" applyNumberFormat="1" applyFont="1" applyBorder="1" applyAlignment="1">
      <alignment vertical="center"/>
    </xf>
    <xf numFmtId="168" fontId="74" fillId="0" borderId="132" xfId="453" applyNumberFormat="1" applyFont="1" applyBorder="1" applyAlignment="1">
      <alignment vertical="center"/>
    </xf>
    <xf numFmtId="168" fontId="74" fillId="0" borderId="50" xfId="453" applyNumberFormat="1" applyFont="1" applyBorder="1" applyAlignment="1">
      <alignment vertical="center"/>
    </xf>
    <xf numFmtId="0" fontId="138" fillId="0" borderId="11" xfId="453" applyFont="1" applyBorder="1" applyAlignment="1">
      <alignment horizontal="center" vertical="center"/>
    </xf>
    <xf numFmtId="168" fontId="138" fillId="0" borderId="0" xfId="453" applyNumberFormat="1" applyFont="1" applyAlignment="1">
      <alignment vertical="center"/>
    </xf>
    <xf numFmtId="168" fontId="166" fillId="20" borderId="125" xfId="228" applyNumberFormat="1" applyFont="1" applyFill="1" applyBorder="1" applyAlignment="1">
      <alignment horizontal="center" vertical="center"/>
    </xf>
    <xf numFmtId="168" fontId="138" fillId="20" borderId="125" xfId="176" applyNumberFormat="1" applyFont="1" applyFill="1" applyBorder="1" applyAlignment="1">
      <alignment horizontal="center" vertical="center"/>
    </xf>
    <xf numFmtId="0" fontId="60" fillId="0" borderId="0" xfId="0" applyFont="1" applyAlignment="1">
      <alignment vertical="center" wrapText="1"/>
    </xf>
    <xf numFmtId="0" fontId="74" fillId="0" borderId="10" xfId="239" applyFont="1" applyBorder="1" applyAlignment="1">
      <alignment vertical="center"/>
    </xf>
    <xf numFmtId="0" fontId="74" fillId="0" borderId="10" xfId="453" applyFont="1" applyBorder="1" applyAlignment="1">
      <alignment vertical="center"/>
    </xf>
    <xf numFmtId="0" fontId="74" fillId="0" borderId="10" xfId="453" applyFont="1" applyBorder="1" applyAlignment="1">
      <alignment vertical="center" wrapText="1"/>
    </xf>
    <xf numFmtId="168" fontId="32" fillId="0" borderId="275" xfId="228" applyNumberFormat="1" applyFont="1" applyBorder="1" applyAlignment="1">
      <alignment horizontal="center" vertical="center"/>
    </xf>
    <xf numFmtId="168" fontId="166" fillId="0" borderId="262" xfId="228" applyNumberFormat="1" applyFont="1" applyBorder="1" applyAlignment="1">
      <alignment horizontal="center" vertical="center"/>
    </xf>
    <xf numFmtId="168" fontId="60" fillId="0" borderId="262" xfId="0" applyNumberFormat="1" applyFont="1" applyBorder="1" applyAlignment="1">
      <alignment vertical="center"/>
    </xf>
    <xf numFmtId="168" fontId="166" fillId="0" borderId="267" xfId="228" applyNumberFormat="1" applyFont="1" applyBorder="1" applyAlignment="1">
      <alignment horizontal="center" vertical="center"/>
    </xf>
    <xf numFmtId="0" fontId="99" fillId="21" borderId="16" xfId="0" applyFont="1" applyFill="1" applyBorder="1" applyAlignment="1">
      <alignment horizontal="center"/>
    </xf>
    <xf numFmtId="0" fontId="51" fillId="21" borderId="0" xfId="0" applyFont="1" applyFill="1" applyAlignment="1">
      <alignment horizontal="center"/>
    </xf>
    <xf numFmtId="0" fontId="99" fillId="21" borderId="0" xfId="0" applyFont="1" applyFill="1" applyAlignment="1">
      <alignment horizontal="center"/>
    </xf>
    <xf numFmtId="168" fontId="181" fillId="0" borderId="254" xfId="176" applyNumberFormat="1" applyFont="1" applyBorder="1" applyAlignment="1">
      <alignment horizontal="center" vertical="center"/>
    </xf>
    <xf numFmtId="168" fontId="181" fillId="0" borderId="267" xfId="176" applyNumberFormat="1" applyFont="1" applyBorder="1" applyAlignment="1">
      <alignment horizontal="center" vertical="center"/>
    </xf>
    <xf numFmtId="168" fontId="74" fillId="0" borderId="275" xfId="176" applyNumberFormat="1" applyFont="1" applyBorder="1" applyAlignment="1">
      <alignment horizontal="center" vertical="center"/>
    </xf>
    <xf numFmtId="168" fontId="138" fillId="0" borderId="267" xfId="176" applyNumberFormat="1" applyFont="1" applyBorder="1" applyAlignment="1">
      <alignment horizontal="center" vertical="center"/>
    </xf>
    <xf numFmtId="0" fontId="74" fillId="0" borderId="143" xfId="452" applyFont="1" applyBorder="1" applyAlignment="1">
      <alignment vertical="center"/>
    </xf>
    <xf numFmtId="168" fontId="60" fillId="0" borderId="143" xfId="176" applyNumberFormat="1" applyFont="1" applyBorder="1" applyAlignment="1">
      <alignment horizontal="center" vertical="center"/>
    </xf>
    <xf numFmtId="168" fontId="60" fillId="0" borderId="118" xfId="176" applyNumberFormat="1" applyFont="1" applyBorder="1" applyAlignment="1">
      <alignment horizontal="center" vertical="center"/>
    </xf>
    <xf numFmtId="0" fontId="74" fillId="0" borderId="10" xfId="428" applyFont="1" applyBorder="1" applyAlignment="1">
      <alignment vertical="center"/>
    </xf>
    <xf numFmtId="0" fontId="74" fillId="0" borderId="0" xfId="428" applyFont="1" applyAlignment="1">
      <alignment vertical="center"/>
    </xf>
    <xf numFmtId="0" fontId="138" fillId="0" borderId="0" xfId="452" applyFont="1" applyAlignment="1">
      <alignment vertical="center"/>
    </xf>
    <xf numFmtId="0" fontId="74" fillId="0" borderId="10" xfId="452" applyFont="1" applyBorder="1" applyAlignment="1">
      <alignment vertical="center"/>
    </xf>
    <xf numFmtId="168" fontId="181" fillId="0" borderId="11" xfId="176" applyNumberFormat="1" applyFont="1" applyBorder="1" applyAlignment="1">
      <alignment horizontal="center" vertical="center"/>
    </xf>
    <xf numFmtId="0" fontId="74" fillId="0" borderId="0" xfId="452" applyFont="1" applyAlignment="1">
      <alignment vertical="center"/>
    </xf>
    <xf numFmtId="0" fontId="138" fillId="0" borderId="259" xfId="452" applyFont="1" applyBorder="1" applyAlignment="1">
      <alignment vertical="center"/>
    </xf>
    <xf numFmtId="0" fontId="74" fillId="0" borderId="125" xfId="452" applyFont="1" applyBorder="1" applyAlignment="1">
      <alignment horizontal="center" vertical="center"/>
    </xf>
    <xf numFmtId="0" fontId="74" fillId="0" borderId="13" xfId="452" applyFont="1" applyBorder="1" applyAlignment="1">
      <alignment vertical="center"/>
    </xf>
    <xf numFmtId="0" fontId="138" fillId="0" borderId="13" xfId="452" applyFont="1" applyBorder="1" applyAlignment="1">
      <alignment vertical="center"/>
    </xf>
    <xf numFmtId="0" fontId="60" fillId="0" borderId="13" xfId="0" applyFont="1" applyBorder="1" applyAlignment="1">
      <alignment vertical="center"/>
    </xf>
    <xf numFmtId="0" fontId="138" fillId="0" borderId="141" xfId="452" applyFont="1" applyBorder="1" applyAlignment="1">
      <alignment vertical="center"/>
    </xf>
    <xf numFmtId="0" fontId="138" fillId="0" borderId="0" xfId="428" applyFont="1" applyAlignment="1">
      <alignment vertical="center"/>
    </xf>
    <xf numFmtId="0" fontId="74" fillId="0" borderId="262" xfId="452" applyFont="1" applyBorder="1" applyAlignment="1">
      <alignment vertical="center"/>
    </xf>
    <xf numFmtId="0" fontId="138" fillId="0" borderId="10" xfId="452" applyFont="1" applyBorder="1" applyAlignment="1">
      <alignment vertical="center"/>
    </xf>
    <xf numFmtId="168" fontId="60" fillId="0" borderId="275" xfId="0" applyNumberFormat="1" applyFont="1" applyBorder="1" applyAlignment="1">
      <alignment vertical="center"/>
    </xf>
    <xf numFmtId="0" fontId="76" fillId="0" borderId="0" xfId="0" applyFont="1" applyAlignment="1">
      <alignment horizontal="left" vertical="center" wrapText="1"/>
    </xf>
    <xf numFmtId="0" fontId="50" fillId="0" borderId="254" xfId="0" applyFont="1" applyBorder="1"/>
    <xf numFmtId="0" fontId="76" fillId="0" borderId="254" xfId="0" applyFont="1" applyBorder="1"/>
    <xf numFmtId="2" fontId="76" fillId="0" borderId="254" xfId="0" applyNumberFormat="1" applyFont="1" applyBorder="1" applyAlignment="1">
      <alignment horizontal="center"/>
    </xf>
    <xf numFmtId="0" fontId="76" fillId="0" borderId="254" xfId="0" applyFont="1" applyBorder="1" applyAlignment="1">
      <alignment horizontal="center"/>
    </xf>
    <xf numFmtId="0" fontId="50" fillId="0" borderId="254" xfId="0" applyFont="1" applyBorder="1" applyAlignment="1">
      <alignment horizontal="center" vertical="center"/>
    </xf>
    <xf numFmtId="0" fontId="76" fillId="0" borderId="0" xfId="0" applyFont="1" applyAlignment="1">
      <alignment vertical="center"/>
    </xf>
    <xf numFmtId="2" fontId="76" fillId="0" borderId="0" xfId="0" applyNumberFormat="1" applyFont="1" applyAlignment="1">
      <alignment horizontal="center" vertical="center"/>
    </xf>
    <xf numFmtId="0" fontId="76" fillId="0" borderId="0" xfId="0" applyFont="1" applyAlignment="1">
      <alignment horizontal="center" vertical="center"/>
    </xf>
    <xf numFmtId="0" fontId="50" fillId="0" borderId="254" xfId="0" applyFont="1" applyBorder="1" applyAlignment="1">
      <alignment vertical="center"/>
    </xf>
    <xf numFmtId="0" fontId="76" fillId="0" borderId="254" xfId="0" applyFont="1" applyBorder="1" applyAlignment="1">
      <alignment vertical="center"/>
    </xf>
    <xf numFmtId="2" fontId="76" fillId="0" borderId="254" xfId="0" applyNumberFormat="1" applyFont="1" applyBorder="1" applyAlignment="1">
      <alignment horizontal="center" vertical="center"/>
    </xf>
    <xf numFmtId="0" fontId="76" fillId="0" borderId="254" xfId="0" applyFont="1" applyBorder="1" applyAlignment="1">
      <alignment horizontal="center" vertical="center"/>
    </xf>
    <xf numFmtId="0" fontId="50" fillId="30" borderId="0" xfId="0" applyFont="1" applyFill="1" applyAlignment="1">
      <alignment vertical="center"/>
    </xf>
    <xf numFmtId="2" fontId="50" fillId="30" borderId="0" xfId="0" applyNumberFormat="1" applyFont="1" applyFill="1" applyAlignment="1">
      <alignment horizontal="center" vertical="center"/>
    </xf>
    <xf numFmtId="0" fontId="50" fillId="30" borderId="0" xfId="0" applyFont="1" applyFill="1" applyAlignment="1">
      <alignment horizontal="center" vertical="center"/>
    </xf>
    <xf numFmtId="0" fontId="50" fillId="0" borderId="16" xfId="0" applyFont="1" applyBorder="1" applyAlignment="1">
      <alignment vertical="center"/>
    </xf>
    <xf numFmtId="0" fontId="76" fillId="0" borderId="16" xfId="0" applyFont="1" applyBorder="1" applyAlignment="1">
      <alignment vertical="center"/>
    </xf>
    <xf numFmtId="1" fontId="51" fillId="0" borderId="0" xfId="0" applyNumberFormat="1" applyFont="1" applyAlignment="1">
      <alignment horizontal="center" vertical="center"/>
    </xf>
    <xf numFmtId="1" fontId="99" fillId="0" borderId="0" xfId="0" applyNumberFormat="1" applyFont="1" applyAlignment="1">
      <alignment horizontal="center" vertical="center"/>
    </xf>
    <xf numFmtId="1" fontId="99" fillId="0" borderId="254" xfId="0" applyNumberFormat="1" applyFont="1" applyBorder="1" applyAlignment="1">
      <alignment horizontal="center" vertical="center"/>
    </xf>
    <xf numFmtId="1" fontId="99" fillId="0" borderId="16" xfId="0" applyNumberFormat="1" applyFont="1" applyBorder="1" applyAlignment="1">
      <alignment horizontal="center" vertical="center"/>
    </xf>
    <xf numFmtId="185" fontId="101" fillId="44" borderId="142" xfId="455" applyNumberFormat="1" applyFont="1" applyFill="1" applyBorder="1" applyAlignment="1">
      <alignment horizontal="center" vertical="center"/>
    </xf>
    <xf numFmtId="171" fontId="74" fillId="0" borderId="262" xfId="0" applyNumberFormat="1" applyFont="1" applyBorder="1" applyAlignment="1">
      <alignment horizontal="center" vertical="top"/>
    </xf>
    <xf numFmtId="171" fontId="74" fillId="0" borderId="262" xfId="455" applyNumberFormat="1" applyFont="1" applyBorder="1" applyAlignment="1">
      <alignment horizontal="center" vertical="center"/>
    </xf>
    <xf numFmtId="0" fontId="60" fillId="0" borderId="0" xfId="0" applyFont="1" applyAlignment="1">
      <alignment horizontal="left" vertical="center" wrapText="1"/>
    </xf>
    <xf numFmtId="185" fontId="181" fillId="20" borderId="258" xfId="0" applyNumberFormat="1" applyFont="1" applyFill="1" applyBorder="1" applyAlignment="1">
      <alignment horizontal="center" vertical="center"/>
    </xf>
    <xf numFmtId="0" fontId="43" fillId="0" borderId="0" xfId="0" applyFont="1" applyAlignment="1">
      <alignment horizontal="left" vertical="center"/>
    </xf>
    <xf numFmtId="185" fontId="99" fillId="44" borderId="246" xfId="0" applyNumberFormat="1" applyFont="1" applyFill="1" applyBorder="1" applyAlignment="1">
      <alignment horizontal="center" vertical="center"/>
    </xf>
    <xf numFmtId="0" fontId="74" fillId="0" borderId="10" xfId="456" applyFont="1" applyBorder="1" applyAlignment="1">
      <alignment horizontal="left" vertical="center"/>
    </xf>
    <xf numFmtId="0" fontId="60" fillId="0" borderId="10" xfId="0" applyFont="1" applyBorder="1"/>
    <xf numFmtId="0" fontId="74" fillId="0" borderId="10" xfId="456" applyFont="1" applyBorder="1" applyAlignment="1">
      <alignment horizontal="left" vertical="center" wrapText="1"/>
    </xf>
    <xf numFmtId="171" fontId="32" fillId="0" borderId="275" xfId="144" applyNumberFormat="1" applyFont="1" applyBorder="1" applyAlignment="1">
      <alignment horizontal="center"/>
    </xf>
    <xf numFmtId="171" fontId="74" fillId="0" borderId="262" xfId="456" applyNumberFormat="1" applyFont="1" applyBorder="1" applyAlignment="1">
      <alignment horizontal="center" vertical="center"/>
    </xf>
    <xf numFmtId="171" fontId="166" fillId="0" borderId="262" xfId="144" applyNumberFormat="1" applyFont="1" applyBorder="1" applyAlignment="1">
      <alignment horizontal="center"/>
    </xf>
    <xf numFmtId="171" fontId="166" fillId="0" borderId="267" xfId="144" applyNumberFormat="1" applyFont="1" applyBorder="1" applyAlignment="1">
      <alignment horizontal="center"/>
    </xf>
    <xf numFmtId="171" fontId="197" fillId="0" borderId="0" xfId="0" applyNumberFormat="1" applyFont="1" applyAlignment="1">
      <alignment horizontal="center"/>
    </xf>
    <xf numFmtId="171" fontId="74" fillId="0" borderId="0" xfId="456" applyNumberFormat="1" applyFont="1" applyAlignment="1">
      <alignment horizontal="center" vertical="center"/>
    </xf>
    <xf numFmtId="171" fontId="74" fillId="0" borderId="275" xfId="798" applyNumberFormat="1" applyFont="1" applyBorder="1" applyAlignment="1">
      <alignment horizontal="center" vertical="top"/>
    </xf>
    <xf numFmtId="171" fontId="138" fillId="0" borderId="262" xfId="798" applyNumberFormat="1" applyFont="1" applyBorder="1" applyAlignment="1">
      <alignment horizontal="center" vertical="top"/>
    </xf>
    <xf numFmtId="171" fontId="138" fillId="0" borderId="267" xfId="798" applyNumberFormat="1" applyFont="1" applyBorder="1" applyAlignment="1">
      <alignment horizontal="center" vertical="top"/>
    </xf>
    <xf numFmtId="171" fontId="138" fillId="0" borderId="0" xfId="798" applyNumberFormat="1" applyFont="1" applyAlignment="1">
      <alignment horizontal="center" vertical="top"/>
    </xf>
    <xf numFmtId="171" fontId="60" fillId="0" borderId="275" xfId="0" applyNumberFormat="1" applyFont="1" applyBorder="1" applyAlignment="1">
      <alignment horizontal="center" vertical="center"/>
    </xf>
    <xf numFmtId="171" fontId="181" fillId="0" borderId="262" xfId="0" applyNumberFormat="1" applyFont="1" applyBorder="1" applyAlignment="1">
      <alignment horizontal="center" vertical="center"/>
    </xf>
    <xf numFmtId="171" fontId="181" fillId="0" borderId="267" xfId="0" applyNumberFormat="1" applyFont="1" applyBorder="1" applyAlignment="1">
      <alignment horizontal="center" vertical="center"/>
    </xf>
    <xf numFmtId="171" fontId="181" fillId="0" borderId="0" xfId="0" applyNumberFormat="1" applyFont="1" applyAlignment="1">
      <alignment horizontal="center" vertical="center"/>
    </xf>
    <xf numFmtId="0" fontId="74" fillId="0" borderId="262" xfId="238" applyFont="1" applyBorder="1" applyAlignment="1">
      <alignment horizontal="left" vertical="center"/>
    </xf>
    <xf numFmtId="0" fontId="66" fillId="0" borderId="0" xfId="0" applyFont="1"/>
    <xf numFmtId="171" fontId="0" fillId="0" borderId="262" xfId="0" applyNumberFormat="1" applyBorder="1" applyAlignment="1">
      <alignment horizontal="center"/>
    </xf>
    <xf numFmtId="0" fontId="59" fillId="20" borderId="274" xfId="0" applyFont="1" applyFill="1" applyBorder="1" applyAlignment="1">
      <alignment horizontal="center" vertical="center"/>
    </xf>
    <xf numFmtId="0" fontId="58" fillId="0" borderId="281" xfId="0" applyFont="1" applyBorder="1" applyAlignment="1">
      <alignment horizontal="center" vertical="center"/>
    </xf>
    <xf numFmtId="0" fontId="58" fillId="0" borderId="275" xfId="0" applyFont="1" applyBorder="1" applyAlignment="1">
      <alignment horizontal="center" vertical="center"/>
    </xf>
    <xf numFmtId="0" fontId="58" fillId="0" borderId="262" xfId="0" applyFont="1" applyBorder="1" applyAlignment="1">
      <alignment horizontal="center" vertical="center"/>
    </xf>
    <xf numFmtId="0" fontId="58" fillId="0" borderId="259" xfId="0" applyFont="1" applyBorder="1" applyAlignment="1">
      <alignment horizontal="center" vertical="center"/>
    </xf>
    <xf numFmtId="0" fontId="58" fillId="0" borderId="267" xfId="0" applyFont="1" applyBorder="1" applyAlignment="1">
      <alignment horizontal="center" vertical="center"/>
    </xf>
    <xf numFmtId="0" fontId="59" fillId="44" borderId="274" xfId="0" applyFont="1" applyFill="1" applyBorder="1" applyAlignment="1">
      <alignment horizontal="center" vertical="center"/>
    </xf>
    <xf numFmtId="0" fontId="190" fillId="0" borderId="0" xfId="377" applyFont="1" applyAlignment="1">
      <alignment horizontal="left" vertical="center"/>
    </xf>
    <xf numFmtId="0" fontId="40" fillId="20" borderId="282" xfId="802" applyFont="1" applyFill="1" applyBorder="1" applyAlignment="1">
      <alignment horizontal="center" vertical="center"/>
    </xf>
    <xf numFmtId="0" fontId="40" fillId="25" borderId="282" xfId="0" applyFont="1" applyFill="1" applyBorder="1" applyAlignment="1">
      <alignment horizontal="center" vertical="center" wrapText="1"/>
    </xf>
    <xf numFmtId="0" fontId="81" fillId="20" borderId="282" xfId="802" applyFont="1" applyFill="1" applyBorder="1" applyAlignment="1">
      <alignment horizontal="center" vertical="center"/>
    </xf>
    <xf numFmtId="0" fontId="42" fillId="0" borderId="0" xfId="377" applyFont="1" applyAlignment="1">
      <alignment horizontal="center" vertical="center"/>
    </xf>
    <xf numFmtId="3" fontId="0" fillId="0" borderId="282" xfId="0" applyNumberFormat="1" applyBorder="1" applyAlignment="1">
      <alignment horizontal="right" vertical="center" wrapText="1"/>
    </xf>
    <xf numFmtId="0" fontId="0" fillId="0" borderId="282" xfId="0" applyBorder="1" applyAlignment="1">
      <alignment horizontal="center" vertical="center"/>
    </xf>
    <xf numFmtId="0" fontId="249" fillId="0" borderId="0" xfId="377" applyFont="1"/>
    <xf numFmtId="0" fontId="249" fillId="0" borderId="0" xfId="377" applyFont="1" applyAlignment="1">
      <alignment vertical="center"/>
    </xf>
    <xf numFmtId="0" fontId="40" fillId="25" borderId="284" xfId="0" applyFont="1" applyFill="1" applyBorder="1" applyAlignment="1">
      <alignment horizontal="center" vertical="center" wrapText="1"/>
    </xf>
    <xf numFmtId="0" fontId="0" fillId="0" borderId="282" xfId="0" applyBorder="1" applyAlignment="1">
      <alignment horizontal="right" vertical="center" wrapText="1"/>
    </xf>
    <xf numFmtId="3" fontId="0" fillId="0" borderId="283" xfId="0" applyNumberFormat="1" applyBorder="1" applyAlignment="1">
      <alignment horizontal="right" vertical="center" wrapText="1"/>
    </xf>
    <xf numFmtId="0" fontId="42" fillId="0" borderId="282" xfId="377" applyFont="1" applyBorder="1" applyAlignment="1">
      <alignment vertical="center" wrapText="1"/>
    </xf>
    <xf numFmtId="0" fontId="0" fillId="0" borderId="267" xfId="0" applyBorder="1" applyAlignment="1">
      <alignment horizontal="right" vertical="center" wrapText="1"/>
    </xf>
    <xf numFmtId="0" fontId="249" fillId="0" borderId="0" xfId="377" applyFont="1" applyAlignment="1">
      <alignment horizontal="left"/>
    </xf>
    <xf numFmtId="0" fontId="40" fillId="0" borderId="254" xfId="0" applyFont="1" applyBorder="1" applyAlignment="1">
      <alignment vertical="center"/>
    </xf>
    <xf numFmtId="0" fontId="56" fillId="0" borderId="254" xfId="0" applyFont="1" applyBorder="1" applyAlignment="1">
      <alignment horizontal="center" vertical="center" wrapText="1"/>
    </xf>
    <xf numFmtId="0" fontId="0" fillId="0" borderId="254" xfId="0" applyBorder="1"/>
    <xf numFmtId="0" fontId="49" fillId="0" borderId="254" xfId="0" applyFont="1" applyBorder="1" applyAlignment="1">
      <alignment horizontal="center" vertical="center"/>
    </xf>
    <xf numFmtId="0" fontId="23" fillId="20" borderId="258" xfId="0" applyFont="1" applyFill="1" applyBorder="1" applyAlignment="1">
      <alignment horizontal="center" vertical="center" wrapText="1"/>
    </xf>
    <xf numFmtId="0" fontId="105" fillId="20" borderId="283" xfId="802" applyFont="1" applyFill="1" applyBorder="1" applyAlignment="1">
      <alignment horizontal="center" vertical="center"/>
    </xf>
    <xf numFmtId="0" fontId="23" fillId="20" borderId="282" xfId="0" applyFont="1" applyFill="1" applyBorder="1" applyAlignment="1">
      <alignment horizontal="center" vertical="center" wrapText="1"/>
    </xf>
    <xf numFmtId="169" fontId="42" fillId="0" borderId="282" xfId="108" applyNumberFormat="1" applyFont="1" applyBorder="1"/>
    <xf numFmtId="168" fontId="38" fillId="0" borderId="282" xfId="182" applyNumberFormat="1" applyBorder="1" applyAlignment="1">
      <alignment horizontal="right" indent="1"/>
    </xf>
    <xf numFmtId="169" fontId="42" fillId="20" borderId="282" xfId="0" applyNumberFormat="1" applyFont="1" applyFill="1" applyBorder="1" applyAlignment="1">
      <alignment horizontal="center"/>
    </xf>
    <xf numFmtId="169" fontId="0" fillId="20" borderId="282" xfId="0" applyNumberFormat="1" applyFill="1" applyBorder="1" applyAlignment="1">
      <alignment horizontal="center"/>
    </xf>
    <xf numFmtId="168" fontId="43" fillId="20" borderId="282" xfId="182" applyNumberFormat="1" applyFont="1" applyFill="1" applyBorder="1" applyAlignment="1">
      <alignment horizontal="right" indent="1"/>
    </xf>
    <xf numFmtId="10" fontId="38" fillId="0" borderId="282" xfId="182" applyNumberFormat="1" applyBorder="1" applyAlignment="1">
      <alignment horizontal="right" indent="1"/>
    </xf>
    <xf numFmtId="169" fontId="40" fillId="20" borderId="282" xfId="0" applyNumberFormat="1" applyFont="1" applyFill="1" applyBorder="1" applyAlignment="1">
      <alignment horizontal="center"/>
    </xf>
    <xf numFmtId="168" fontId="40" fillId="44" borderId="282" xfId="182" applyNumberFormat="1" applyFont="1" applyFill="1" applyBorder="1" applyAlignment="1">
      <alignment horizontal="right" indent="1"/>
    </xf>
    <xf numFmtId="0" fontId="40" fillId="20" borderId="282" xfId="0" applyFont="1" applyFill="1" applyBorder="1" applyAlignment="1">
      <alignment horizontal="center" vertical="center" wrapText="1"/>
    </xf>
    <xf numFmtId="0" fontId="76" fillId="20" borderId="282" xfId="0" applyFont="1" applyFill="1" applyBorder="1" applyAlignment="1">
      <alignment horizontal="center" vertical="center" wrapText="1"/>
    </xf>
    <xf numFmtId="168" fontId="38" fillId="0" borderId="282" xfId="176" applyNumberFormat="1" applyBorder="1" applyAlignment="1">
      <alignment horizontal="right" vertical="center" wrapText="1" indent="1"/>
    </xf>
    <xf numFmtId="168" fontId="40" fillId="20" borderId="282" xfId="176" applyNumberFormat="1" applyFont="1" applyFill="1" applyBorder="1" applyAlignment="1">
      <alignment horizontal="right" indent="1"/>
    </xf>
    <xf numFmtId="168" fontId="38" fillId="0" borderId="282" xfId="176" applyNumberFormat="1" applyBorder="1" applyAlignment="1">
      <alignment horizontal="right" indent="1"/>
    </xf>
    <xf numFmtId="169" fontId="0" fillId="0" borderId="282" xfId="0" applyNumberFormat="1" applyBorder="1" applyAlignment="1">
      <alignment horizontal="center"/>
    </xf>
    <xf numFmtId="168" fontId="40" fillId="44" borderId="282" xfId="176" applyNumberFormat="1" applyFont="1" applyFill="1" applyBorder="1" applyAlignment="1">
      <alignment horizontal="right" indent="1"/>
    </xf>
    <xf numFmtId="0" fontId="122" fillId="44" borderId="103" xfId="0" applyFont="1" applyFill="1" applyBorder="1" applyAlignment="1">
      <alignment horizontal="right" vertical="center"/>
    </xf>
    <xf numFmtId="0" fontId="40" fillId="20" borderId="16" xfId="0" applyFont="1" applyFill="1" applyBorder="1" applyAlignment="1">
      <alignment horizontal="center" vertical="center"/>
    </xf>
    <xf numFmtId="0" fontId="38" fillId="0" borderId="10" xfId="0" applyFont="1" applyBorder="1"/>
    <xf numFmtId="0" fontId="38" fillId="0" borderId="11" xfId="0" applyFont="1" applyBorder="1"/>
    <xf numFmtId="0" fontId="55" fillId="0" borderId="0" xfId="452" applyFont="1" applyAlignment="1">
      <alignment horizontal="left" vertical="top"/>
    </xf>
    <xf numFmtId="3" fontId="55" fillId="0" borderId="10" xfId="806" applyNumberFormat="1" applyFont="1" applyBorder="1" applyAlignment="1">
      <alignment horizontal="right" vertical="center"/>
    </xf>
    <xf numFmtId="3" fontId="55" fillId="0" borderId="0" xfId="806" applyNumberFormat="1" applyFont="1" applyAlignment="1">
      <alignment horizontal="right" vertical="center"/>
    </xf>
    <xf numFmtId="3" fontId="55" fillId="0" borderId="11" xfId="806" applyNumberFormat="1" applyFont="1" applyBorder="1" applyAlignment="1">
      <alignment horizontal="right" vertical="center"/>
    </xf>
    <xf numFmtId="3" fontId="55" fillId="0" borderId="10" xfId="452" applyNumberFormat="1" applyFont="1" applyBorder="1" applyAlignment="1">
      <alignment horizontal="right" vertical="center"/>
    </xf>
    <xf numFmtId="3" fontId="55" fillId="0" borderId="0" xfId="452" applyNumberFormat="1" applyFont="1" applyAlignment="1">
      <alignment horizontal="right" vertical="center"/>
    </xf>
    <xf numFmtId="3" fontId="55" fillId="0" borderId="11" xfId="452" applyNumberFormat="1" applyFont="1" applyBorder="1" applyAlignment="1">
      <alignment horizontal="right" vertical="center"/>
    </xf>
    <xf numFmtId="0" fontId="81" fillId="0" borderId="0" xfId="452" applyFont="1" applyAlignment="1">
      <alignment horizontal="left"/>
    </xf>
    <xf numFmtId="3" fontId="81" fillId="0" borderId="10" xfId="452" applyNumberFormat="1" applyFont="1" applyBorder="1" applyAlignment="1">
      <alignment horizontal="right"/>
    </xf>
    <xf numFmtId="3" fontId="81" fillId="0" borderId="0" xfId="452" applyNumberFormat="1" applyFont="1" applyAlignment="1">
      <alignment horizontal="right"/>
    </xf>
    <xf numFmtId="3" fontId="81" fillId="0" borderId="11" xfId="452" applyNumberFormat="1" applyFont="1" applyBorder="1" applyAlignment="1">
      <alignment horizontal="right"/>
    </xf>
    <xf numFmtId="3" fontId="55" fillId="0" borderId="10" xfId="805" applyNumberFormat="1" applyFont="1" applyBorder="1" applyAlignment="1">
      <alignment horizontal="right" vertical="center"/>
    </xf>
    <xf numFmtId="0" fontId="55" fillId="0" borderId="0" xfId="452" applyFont="1" applyAlignment="1">
      <alignment horizontal="left" vertical="center"/>
    </xf>
    <xf numFmtId="0" fontId="55" fillId="0" borderId="0" xfId="452" applyFont="1" applyAlignment="1">
      <alignment horizontal="left" vertical="top" wrapText="1"/>
    </xf>
    <xf numFmtId="3" fontId="43" fillId="0" borderId="11" xfId="452" applyNumberFormat="1" applyFont="1" applyBorder="1" applyAlignment="1">
      <alignment horizontal="right"/>
    </xf>
    <xf numFmtId="3" fontId="55" fillId="0" borderId="0" xfId="805" applyNumberFormat="1" applyFont="1" applyAlignment="1">
      <alignment horizontal="right" vertical="center"/>
    </xf>
    <xf numFmtId="3" fontId="55" fillId="0" borderId="11" xfId="805" applyNumberFormat="1" applyFont="1" applyBorder="1" applyAlignment="1">
      <alignment horizontal="right" vertical="center"/>
    </xf>
    <xf numFmtId="0" fontId="81" fillId="0" borderId="0" xfId="452" applyFont="1" applyAlignment="1">
      <alignment horizontal="left" vertical="top"/>
    </xf>
    <xf numFmtId="3" fontId="81" fillId="20" borderId="16" xfId="452" applyNumberFormat="1" applyFont="1" applyFill="1" applyBorder="1" applyAlignment="1">
      <alignment horizontal="right"/>
    </xf>
    <xf numFmtId="3" fontId="81" fillId="20" borderId="49" xfId="452" applyNumberFormat="1" applyFont="1" applyFill="1" applyBorder="1" applyAlignment="1">
      <alignment horizontal="right"/>
    </xf>
    <xf numFmtId="168" fontId="81" fillId="20" borderId="103" xfId="176" applyNumberFormat="1" applyFont="1" applyFill="1" applyBorder="1" applyAlignment="1">
      <alignment horizontal="right" vertical="center"/>
    </xf>
    <xf numFmtId="168" fontId="81" fillId="44" borderId="103" xfId="176" applyNumberFormat="1" applyFont="1" applyFill="1" applyBorder="1" applyAlignment="1">
      <alignment horizontal="right" vertical="center"/>
    </xf>
    <xf numFmtId="0" fontId="77" fillId="0" borderId="0" xfId="0" applyFont="1" applyAlignment="1">
      <alignment horizontal="left"/>
    </xf>
    <xf numFmtId="3" fontId="0" fillId="0" borderId="284" xfId="0" applyNumberFormat="1" applyBorder="1"/>
    <xf numFmtId="169" fontId="40" fillId="20" borderId="282" xfId="0" applyNumberFormat="1" applyFont="1" applyFill="1" applyBorder="1" applyAlignment="1">
      <alignment horizontal="center" vertical="center"/>
    </xf>
    <xf numFmtId="4" fontId="0" fillId="0" borderId="284" xfId="0" applyNumberFormat="1" applyBorder="1"/>
    <xf numFmtId="0" fontId="136" fillId="0" borderId="262" xfId="0" applyFont="1" applyBorder="1" applyAlignment="1">
      <alignment horizontal="center" vertical="center" wrapText="1"/>
    </xf>
    <xf numFmtId="0" fontId="163" fillId="0" borderId="262" xfId="0" applyFont="1" applyBorder="1" applyAlignment="1">
      <alignment horizontal="center" vertical="center" wrapText="1"/>
    </xf>
    <xf numFmtId="0" fontId="180" fillId="29" borderId="262" xfId="0" applyFont="1" applyFill="1" applyBorder="1" applyAlignment="1">
      <alignment horizontal="center" vertical="center" wrapText="1"/>
    </xf>
    <xf numFmtId="9" fontId="136" fillId="43" borderId="262" xfId="0" applyNumberFormat="1" applyFont="1" applyFill="1" applyBorder="1" applyAlignment="1">
      <alignment horizontal="center" vertical="center" wrapText="1"/>
    </xf>
    <xf numFmtId="168" fontId="136" fillId="0" borderId="282" xfId="176" applyNumberFormat="1" applyFont="1" applyBorder="1" applyAlignment="1">
      <alignment horizontal="center" vertical="center"/>
    </xf>
    <xf numFmtId="9" fontId="136" fillId="0" borderId="103" xfId="176" applyFont="1" applyBorder="1" applyAlignment="1">
      <alignment horizontal="center" vertical="center"/>
    </xf>
    <xf numFmtId="9" fontId="136" fillId="43" borderId="103" xfId="176" applyFont="1" applyFill="1" applyBorder="1" applyAlignment="1">
      <alignment horizontal="center" vertical="center" wrapText="1"/>
    </xf>
    <xf numFmtId="9" fontId="163" fillId="0" borderId="103" xfId="176" applyFont="1" applyBorder="1" applyAlignment="1">
      <alignment horizontal="center" vertical="center"/>
    </xf>
    <xf numFmtId="9" fontId="23" fillId="20" borderId="94" xfId="176" applyFont="1" applyFill="1" applyBorder="1" applyAlignment="1">
      <alignment horizontal="center" vertical="center" wrapText="1"/>
    </xf>
    <xf numFmtId="9" fontId="23" fillId="44" borderId="94" xfId="176" applyFont="1" applyFill="1" applyBorder="1" applyAlignment="1">
      <alignment horizontal="center" vertical="center" wrapText="1"/>
    </xf>
    <xf numFmtId="9" fontId="0" fillId="0" borderId="0" xfId="176" applyFont="1" applyAlignment="1">
      <alignment horizontal="centerContinuous" vertical="center"/>
    </xf>
    <xf numFmtId="9" fontId="7" fillId="0" borderId="130" xfId="176" applyFont="1" applyBorder="1" applyAlignment="1">
      <alignment horizontal="center" vertical="center" wrapText="1"/>
    </xf>
    <xf numFmtId="9" fontId="7" fillId="0" borderId="11" xfId="176" applyFont="1" applyBorder="1" applyAlignment="1">
      <alignment horizontal="center" vertical="center" wrapText="1"/>
    </xf>
    <xf numFmtId="9" fontId="23" fillId="20" borderId="20" xfId="176" applyFont="1" applyFill="1" applyBorder="1" applyAlignment="1">
      <alignment horizontal="center" vertical="center" wrapText="1"/>
    </xf>
    <xf numFmtId="9" fontId="7" fillId="22" borderId="130" xfId="176" applyFont="1" applyFill="1" applyBorder="1" applyAlignment="1">
      <alignment horizontal="center" vertical="center" wrapText="1"/>
    </xf>
    <xf numFmtId="9" fontId="7" fillId="22" borderId="11" xfId="176" applyFont="1" applyFill="1" applyBorder="1" applyAlignment="1">
      <alignment horizontal="center" vertical="center" wrapText="1"/>
    </xf>
    <xf numFmtId="9" fontId="7" fillId="0" borderId="153" xfId="176" applyFont="1" applyBorder="1" applyAlignment="1">
      <alignment horizontal="center" vertical="center" wrapText="1"/>
    </xf>
    <xf numFmtId="3" fontId="0" fillId="0" borderId="281" xfId="0" applyNumberFormat="1" applyBorder="1"/>
    <xf numFmtId="168" fontId="0" fillId="0" borderId="284" xfId="176" applyNumberFormat="1" applyFont="1" applyBorder="1" applyAlignment="1">
      <alignment horizontal="center"/>
    </xf>
    <xf numFmtId="3" fontId="0" fillId="0" borderId="10" xfId="0" applyNumberFormat="1" applyBorder="1"/>
    <xf numFmtId="3" fontId="40" fillId="20" borderId="259" xfId="0" applyNumberFormat="1" applyFont="1" applyFill="1" applyBorder="1"/>
    <xf numFmtId="0" fontId="0" fillId="0" borderId="281" xfId="0" applyBorder="1"/>
    <xf numFmtId="0" fontId="0" fillId="0" borderId="252" xfId="0" applyBorder="1"/>
    <xf numFmtId="0" fontId="0" fillId="0" borderId="10" xfId="0" applyBorder="1"/>
    <xf numFmtId="0" fontId="0" fillId="0" borderId="284" xfId="0" applyBorder="1"/>
    <xf numFmtId="168" fontId="0" fillId="0" borderId="11" xfId="0" applyNumberFormat="1" applyBorder="1"/>
    <xf numFmtId="0" fontId="61" fillId="0" borderId="0" xfId="0" applyFont="1" applyAlignment="1">
      <alignment vertical="center"/>
    </xf>
    <xf numFmtId="0" fontId="61" fillId="0" borderId="184" xfId="0" applyFont="1" applyBorder="1" applyAlignment="1">
      <alignment vertical="center"/>
    </xf>
    <xf numFmtId="0" fontId="1" fillId="0" borderId="274" xfId="0" applyFont="1" applyBorder="1" applyAlignment="1">
      <alignment horizontal="center" vertical="center"/>
    </xf>
    <xf numFmtId="0" fontId="102" fillId="0" borderId="0" xfId="377"/>
    <xf numFmtId="0" fontId="43" fillId="20" borderId="257" xfId="149" applyFont="1" applyFill="1" applyBorder="1" applyAlignment="1">
      <alignment horizontal="center" vertical="center"/>
    </xf>
    <xf numFmtId="0" fontId="42" fillId="0" borderId="262" xfId="149" applyFont="1" applyBorder="1" applyAlignment="1">
      <alignment horizontal="center" vertical="center"/>
    </xf>
    <xf numFmtId="3" fontId="55" fillId="0" borderId="10" xfId="239" applyNumberFormat="1" applyFont="1" applyBorder="1" applyAlignment="1">
      <alignment horizontal="right" vertical="center" indent="1"/>
    </xf>
    <xf numFmtId="3" fontId="55" fillId="0" borderId="262" xfId="239" applyNumberFormat="1" applyFont="1" applyBorder="1" applyAlignment="1">
      <alignment horizontal="right" vertical="center" indent="1"/>
    </xf>
    <xf numFmtId="0" fontId="42" fillId="0" borderId="262" xfId="238" applyFont="1" applyBorder="1" applyAlignment="1">
      <alignment horizontal="left" vertical="center"/>
    </xf>
    <xf numFmtId="1" fontId="43" fillId="20" borderId="287" xfId="173" applyNumberFormat="1" applyFont="1" applyFill="1" applyBorder="1" applyAlignment="1">
      <alignment horizontal="center" vertical="center" wrapText="1"/>
    </xf>
    <xf numFmtId="0" fontId="110" fillId="0" borderId="287" xfId="238" applyFont="1" applyBorder="1" applyAlignment="1">
      <alignment horizontal="center" vertical="center"/>
    </xf>
    <xf numFmtId="0" fontId="109" fillId="0" borderId="287" xfId="238" applyFont="1" applyBorder="1" applyAlignment="1">
      <alignment horizontal="center" vertical="center"/>
    </xf>
    <xf numFmtId="0" fontId="114" fillId="0" borderId="287" xfId="238" applyFont="1" applyBorder="1" applyAlignment="1">
      <alignment horizontal="center" vertical="center"/>
    </xf>
    <xf numFmtId="0" fontId="112" fillId="0" borderId="287" xfId="238" applyFont="1" applyBorder="1" applyAlignment="1">
      <alignment horizontal="center" vertical="center"/>
    </xf>
    <xf numFmtId="0" fontId="117" fillId="0" borderId="287" xfId="238" applyFont="1" applyBorder="1" applyAlignment="1">
      <alignment horizontal="center" vertical="center"/>
    </xf>
    <xf numFmtId="0" fontId="42" fillId="0" borderId="287" xfId="149" applyFont="1" applyBorder="1" applyAlignment="1">
      <alignment horizontal="center" vertical="center"/>
    </xf>
    <xf numFmtId="0" fontId="42" fillId="20" borderId="288" xfId="149" applyFont="1" applyFill="1" applyBorder="1" applyAlignment="1">
      <alignment horizontal="center" vertical="center"/>
    </xf>
    <xf numFmtId="0" fontId="111" fillId="0" borderId="288" xfId="149" applyFont="1" applyBorder="1" applyAlignment="1">
      <alignment horizontal="center" vertical="center"/>
    </xf>
    <xf numFmtId="0" fontId="42" fillId="0" borderId="286" xfId="149" applyFont="1" applyBorder="1" applyAlignment="1">
      <alignment horizontal="center" vertical="center"/>
    </xf>
    <xf numFmtId="0" fontId="42" fillId="0" borderId="285" xfId="149" applyFont="1" applyBorder="1" applyAlignment="1">
      <alignment horizontal="center" vertical="center"/>
    </xf>
    <xf numFmtId="0" fontId="115" fillId="0" borderId="288" xfId="149" applyFont="1" applyBorder="1" applyAlignment="1">
      <alignment horizontal="center" vertical="center"/>
    </xf>
    <xf numFmtId="0" fontId="118" fillId="0" borderId="288" xfId="149" applyFont="1" applyBorder="1" applyAlignment="1">
      <alignment horizontal="center" vertical="center"/>
    </xf>
    <xf numFmtId="0" fontId="42" fillId="20" borderId="288" xfId="149" applyFont="1" applyFill="1" applyBorder="1" applyAlignment="1">
      <alignment vertical="center"/>
    </xf>
    <xf numFmtId="0" fontId="113" fillId="0" borderId="288" xfId="149" applyFont="1" applyBorder="1" applyAlignment="1">
      <alignment vertical="center"/>
    </xf>
    <xf numFmtId="0" fontId="0" fillId="0" borderId="24" xfId="0" applyBorder="1"/>
    <xf numFmtId="0" fontId="112" fillId="0" borderId="289" xfId="149" applyFont="1" applyBorder="1" applyAlignment="1">
      <alignment horizontal="center" vertical="center"/>
    </xf>
    <xf numFmtId="3" fontId="112" fillId="0" borderId="256" xfId="149" applyNumberFormat="1" applyFont="1" applyBorder="1" applyAlignment="1">
      <alignment horizontal="center" vertical="center"/>
    </xf>
    <xf numFmtId="9" fontId="136" fillId="44" borderId="287" xfId="0" applyNumberFormat="1" applyFont="1" applyFill="1" applyBorder="1" applyAlignment="1">
      <alignment horizontal="center" vertical="center" wrapText="1"/>
    </xf>
    <xf numFmtId="171" fontId="240" fillId="29" borderId="287" xfId="0" applyNumberFormat="1" applyFont="1" applyFill="1" applyBorder="1" applyAlignment="1">
      <alignment horizontal="center" vertical="center" wrapText="1"/>
    </xf>
    <xf numFmtId="9" fontId="136" fillId="38" borderId="287" xfId="0" applyNumberFormat="1" applyFont="1" applyFill="1" applyBorder="1" applyAlignment="1">
      <alignment horizontal="center" vertical="center" wrapText="1"/>
    </xf>
    <xf numFmtId="9" fontId="240" fillId="29" borderId="287" xfId="0" applyNumberFormat="1" applyFont="1" applyFill="1" applyBorder="1" applyAlignment="1">
      <alignment horizontal="center" vertical="center" wrapText="1"/>
    </xf>
    <xf numFmtId="168" fontId="240" fillId="29" borderId="287" xfId="0" applyNumberFormat="1" applyFont="1" applyFill="1" applyBorder="1" applyAlignment="1">
      <alignment horizontal="center" vertical="center" wrapText="1"/>
    </xf>
    <xf numFmtId="9" fontId="136" fillId="44" borderId="288" xfId="0" applyNumberFormat="1" applyFont="1" applyFill="1" applyBorder="1" applyAlignment="1">
      <alignment horizontal="center" vertical="center" wrapText="1"/>
    </xf>
    <xf numFmtId="3" fontId="136" fillId="44" borderId="288" xfId="0" applyNumberFormat="1" applyFont="1" applyFill="1" applyBorder="1" applyAlignment="1">
      <alignment horizontal="center" vertical="center" wrapText="1"/>
    </xf>
    <xf numFmtId="171" fontId="163" fillId="38" borderId="287" xfId="0" applyNumberFormat="1" applyFont="1" applyFill="1" applyBorder="1" applyAlignment="1">
      <alignment horizontal="center" vertical="center" wrapText="1"/>
    </xf>
    <xf numFmtId="171" fontId="136" fillId="44" borderId="287" xfId="0" applyNumberFormat="1" applyFont="1" applyFill="1" applyBorder="1" applyAlignment="1">
      <alignment horizontal="center" vertical="center"/>
    </xf>
    <xf numFmtId="168" fontId="163" fillId="44" borderId="287" xfId="0" applyNumberFormat="1" applyFont="1" applyFill="1" applyBorder="1" applyAlignment="1">
      <alignment horizontal="center" vertical="center" wrapText="1"/>
    </xf>
    <xf numFmtId="9" fontId="136" fillId="45" borderId="286" xfId="0" applyNumberFormat="1" applyFont="1" applyFill="1" applyBorder="1" applyAlignment="1">
      <alignment horizontal="center" vertical="center" wrapText="1"/>
    </xf>
    <xf numFmtId="3" fontId="163" fillId="44" borderId="287" xfId="0" applyNumberFormat="1" applyFont="1" applyFill="1" applyBorder="1" applyAlignment="1">
      <alignment horizontal="center" vertical="center" wrapText="1"/>
    </xf>
    <xf numFmtId="168" fontId="136" fillId="38" borderId="287" xfId="0" applyNumberFormat="1" applyFont="1" applyFill="1" applyBorder="1" applyAlignment="1">
      <alignment horizontal="center" vertical="center" wrapText="1"/>
    </xf>
    <xf numFmtId="180" fontId="240" fillId="29" borderId="286" xfId="0" applyNumberFormat="1" applyFont="1" applyFill="1" applyBorder="1" applyAlignment="1">
      <alignment horizontal="center" vertical="center" wrapText="1"/>
    </xf>
    <xf numFmtId="171" fontId="136" fillId="44" borderId="287" xfId="0" applyNumberFormat="1" applyFont="1" applyFill="1" applyBorder="1" applyAlignment="1">
      <alignment horizontal="center" vertical="center" wrapText="1"/>
    </xf>
    <xf numFmtId="171" fontId="163" fillId="38" borderId="285" xfId="0" applyNumberFormat="1" applyFont="1" applyFill="1" applyBorder="1" applyAlignment="1">
      <alignment horizontal="center" vertical="center" wrapText="1"/>
    </xf>
    <xf numFmtId="3" fontId="163" fillId="38" borderId="287" xfId="0" applyNumberFormat="1" applyFont="1" applyFill="1" applyBorder="1" applyAlignment="1">
      <alignment horizontal="center" vertical="center" wrapText="1"/>
    </xf>
    <xf numFmtId="3" fontId="240" fillId="29" borderId="287" xfId="0" applyNumberFormat="1" applyFont="1" applyFill="1" applyBorder="1" applyAlignment="1">
      <alignment horizontal="center" vertical="center" wrapText="1"/>
    </xf>
    <xf numFmtId="0" fontId="240" fillId="29" borderId="286" xfId="0" applyFont="1" applyFill="1" applyBorder="1" applyAlignment="1">
      <alignment horizontal="center" vertical="center" wrapText="1"/>
    </xf>
    <xf numFmtId="0" fontId="240" fillId="29" borderId="287" xfId="0" applyFont="1" applyFill="1" applyBorder="1" applyAlignment="1">
      <alignment horizontal="center" vertical="center" wrapText="1"/>
    </xf>
    <xf numFmtId="168" fontId="240" fillId="45" borderId="287" xfId="176" applyNumberFormat="1" applyFont="1" applyFill="1" applyBorder="1" applyAlignment="1">
      <alignment horizontal="center" vertical="center" wrapText="1"/>
    </xf>
    <xf numFmtId="3" fontId="163" fillId="0" borderId="258" xfId="0" applyNumberFormat="1" applyFont="1" applyBorder="1" applyAlignment="1">
      <alignment horizontal="center" vertical="center" wrapText="1"/>
    </xf>
    <xf numFmtId="9" fontId="163" fillId="0" borderId="267" xfId="0" applyNumberFormat="1" applyFont="1" applyBorder="1" applyAlignment="1">
      <alignment horizontal="center" vertical="center" wrapText="1"/>
    </xf>
    <xf numFmtId="9" fontId="163" fillId="0" borderId="258" xfId="0" applyNumberFormat="1" applyFont="1" applyBorder="1" applyAlignment="1">
      <alignment horizontal="center" vertical="center" wrapText="1"/>
    </xf>
    <xf numFmtId="171" fontId="163" fillId="0" borderId="258" xfId="0" applyNumberFormat="1" applyFont="1" applyBorder="1" applyAlignment="1">
      <alignment horizontal="center" vertical="center" wrapText="1"/>
    </xf>
    <xf numFmtId="168" fontId="163" fillId="0" borderId="258" xfId="0" applyNumberFormat="1" applyFont="1" applyBorder="1" applyAlignment="1">
      <alignment horizontal="center" vertical="center" wrapText="1"/>
    </xf>
    <xf numFmtId="9" fontId="163" fillId="0" borderId="257" xfId="0" applyNumberFormat="1" applyFont="1" applyBorder="1" applyAlignment="1">
      <alignment horizontal="center" vertical="center" wrapText="1"/>
    </xf>
    <xf numFmtId="3" fontId="163" fillId="0" borderId="257" xfId="0" applyNumberFormat="1" applyFont="1" applyBorder="1" applyAlignment="1">
      <alignment horizontal="center" vertical="center" wrapText="1"/>
    </xf>
    <xf numFmtId="171" fontId="163" fillId="0" borderId="258" xfId="0" applyNumberFormat="1" applyFont="1" applyBorder="1" applyAlignment="1">
      <alignment horizontal="center" vertical="center"/>
    </xf>
    <xf numFmtId="9" fontId="163" fillId="0" borderId="258" xfId="176" applyFont="1" applyBorder="1" applyAlignment="1">
      <alignment horizontal="center" vertical="center"/>
    </xf>
    <xf numFmtId="171" fontId="163" fillId="0" borderId="255" xfId="0" applyNumberFormat="1" applyFont="1" applyBorder="1" applyAlignment="1">
      <alignment horizontal="center" vertical="center" wrapText="1"/>
    </xf>
    <xf numFmtId="0" fontId="163" fillId="0" borderId="255" xfId="0" applyFont="1" applyBorder="1" applyAlignment="1">
      <alignment horizontal="center" vertical="center" wrapText="1"/>
    </xf>
    <xf numFmtId="0" fontId="163" fillId="0" borderId="258" xfId="0" applyFont="1" applyBorder="1" applyAlignment="1">
      <alignment horizontal="center" vertical="center" wrapText="1"/>
    </xf>
    <xf numFmtId="180" fontId="163" fillId="0" borderId="266" xfId="0" applyNumberFormat="1" applyFont="1" applyBorder="1" applyAlignment="1">
      <alignment horizontal="center" vertical="center" wrapText="1"/>
    </xf>
    <xf numFmtId="0" fontId="163" fillId="0" borderId="266" xfId="0" applyFont="1" applyBorder="1" applyAlignment="1">
      <alignment horizontal="center" vertical="center" wrapText="1"/>
    </xf>
    <xf numFmtId="168" fontId="163" fillId="0" borderId="258" xfId="176" applyNumberFormat="1" applyFont="1" applyBorder="1" applyAlignment="1">
      <alignment horizontal="center" vertical="center" wrapText="1"/>
    </xf>
    <xf numFmtId="168" fontId="40" fillId="20" borderId="104" xfId="176" applyNumberFormat="1" applyFont="1" applyFill="1" applyBorder="1" applyAlignment="1">
      <alignment horizontal="right" vertical="center" indent="1"/>
    </xf>
    <xf numFmtId="168" fontId="40" fillId="20" borderId="103" xfId="176" applyNumberFormat="1" applyFont="1" applyFill="1" applyBorder="1" applyAlignment="1">
      <alignment horizontal="right" vertical="center" indent="1"/>
    </xf>
    <xf numFmtId="0" fontId="24" fillId="20" borderId="287" xfId="0" applyFont="1" applyFill="1" applyBorder="1" applyAlignment="1">
      <alignment horizontal="center" vertical="center"/>
    </xf>
    <xf numFmtId="0" fontId="23" fillId="0" borderId="16" xfId="0" applyFont="1" applyBorder="1" applyAlignment="1">
      <alignment horizontal="center" vertical="center" wrapText="1"/>
    </xf>
    <xf numFmtId="0" fontId="81" fillId="0" borderId="16" xfId="0" applyFont="1" applyBorder="1" applyAlignment="1">
      <alignment horizontal="center" vertical="center" wrapText="1"/>
    </xf>
    <xf numFmtId="0" fontId="55" fillId="0" borderId="0" xfId="0" applyFont="1" applyAlignment="1">
      <alignment horizontal="center"/>
    </xf>
    <xf numFmtId="0" fontId="55" fillId="0" borderId="0" xfId="0" applyFont="1"/>
    <xf numFmtId="0" fontId="55" fillId="0" borderId="234" xfId="0" applyFont="1" applyBorder="1" applyAlignment="1">
      <alignment horizontal="center" vertical="center"/>
    </xf>
    <xf numFmtId="43" fontId="55" fillId="0" borderId="290" xfId="128" applyFont="1" applyBorder="1" applyAlignment="1">
      <alignment horizontal="right" vertical="center"/>
    </xf>
    <xf numFmtId="2" fontId="55" fillId="0" borderId="290" xfId="0" applyNumberFormat="1" applyFont="1" applyBorder="1" applyAlignment="1">
      <alignment horizontal="right" vertical="center"/>
    </xf>
    <xf numFmtId="43" fontId="55" fillId="0" borderId="291" xfId="128" applyFont="1" applyBorder="1" applyAlignment="1">
      <alignment horizontal="right" vertical="center"/>
    </xf>
    <xf numFmtId="0" fontId="55" fillId="0" borderId="220" xfId="0" applyFont="1" applyBorder="1" applyAlignment="1">
      <alignment horizontal="center" vertical="center"/>
    </xf>
    <xf numFmtId="43" fontId="55" fillId="0" borderId="224" xfId="128" applyFont="1" applyBorder="1" applyAlignment="1">
      <alignment horizontal="right" vertical="center"/>
    </xf>
    <xf numFmtId="10" fontId="55" fillId="0" borderId="224" xfId="180" applyNumberFormat="1" applyFont="1" applyBorder="1" applyAlignment="1">
      <alignment horizontal="right" vertical="center"/>
    </xf>
    <xf numFmtId="2" fontId="55" fillId="0" borderId="224" xfId="0" applyNumberFormat="1" applyFont="1" applyBorder="1" applyAlignment="1">
      <alignment horizontal="right" vertical="center"/>
    </xf>
    <xf numFmtId="168" fontId="55" fillId="0" borderId="292" xfId="180" applyNumberFormat="1" applyFont="1" applyBorder="1" applyAlignment="1">
      <alignment horizontal="right" vertical="center"/>
    </xf>
    <xf numFmtId="0" fontId="55" fillId="22" borderId="220" xfId="0" applyFont="1" applyFill="1" applyBorder="1" applyAlignment="1">
      <alignment horizontal="center" vertical="center"/>
    </xf>
    <xf numFmtId="168" fontId="55" fillId="22" borderId="292" xfId="176" applyNumberFormat="1" applyFont="1" applyFill="1" applyBorder="1" applyAlignment="1">
      <alignment horizontal="right" vertical="center"/>
    </xf>
    <xf numFmtId="168" fontId="55" fillId="0" borderId="292" xfId="176" applyNumberFormat="1" applyFont="1" applyBorder="1" applyAlignment="1">
      <alignment horizontal="right" vertical="center"/>
    </xf>
    <xf numFmtId="0" fontId="55" fillId="0" borderId="226" xfId="0" applyFont="1" applyBorder="1" applyAlignment="1">
      <alignment horizontal="center" vertical="center"/>
    </xf>
    <xf numFmtId="43" fontId="55" fillId="0" borderId="293" xfId="128" applyFont="1" applyBorder="1" applyAlignment="1">
      <alignment horizontal="right" vertical="center"/>
    </xf>
    <xf numFmtId="10" fontId="55" fillId="0" borderId="293" xfId="180" applyNumberFormat="1" applyFont="1" applyBorder="1" applyAlignment="1">
      <alignment horizontal="right" vertical="center"/>
    </xf>
    <xf numFmtId="2" fontId="55" fillId="0" borderId="293" xfId="0" applyNumberFormat="1" applyFont="1" applyBorder="1" applyAlignment="1">
      <alignment horizontal="right" vertical="center"/>
    </xf>
    <xf numFmtId="168" fontId="55" fillId="0" borderId="294" xfId="176" applyNumberFormat="1" applyFont="1" applyBorder="1" applyAlignment="1">
      <alignment horizontal="right" vertical="center"/>
    </xf>
    <xf numFmtId="0" fontId="276" fillId="0" borderId="16" xfId="0" applyFont="1" applyBorder="1" applyAlignment="1">
      <alignment horizontal="center" vertical="center" wrapText="1"/>
    </xf>
    <xf numFmtId="0" fontId="52" fillId="0" borderId="234" xfId="0" applyFont="1" applyBorder="1" applyAlignment="1">
      <alignment horizontal="center" vertical="center"/>
    </xf>
    <xf numFmtId="43" fontId="52" fillId="0" borderId="290" xfId="107" applyFont="1" applyBorder="1" applyAlignment="1">
      <alignment horizontal="right" vertical="center"/>
    </xf>
    <xf numFmtId="43" fontId="52" fillId="0" borderId="291" xfId="107" applyFont="1" applyBorder="1" applyAlignment="1">
      <alignment horizontal="right" vertical="center"/>
    </xf>
    <xf numFmtId="0" fontId="52" fillId="0" borderId="220" xfId="0" applyFont="1" applyBorder="1" applyAlignment="1">
      <alignment horizontal="center" vertical="center" wrapText="1"/>
    </xf>
    <xf numFmtId="43" fontId="52" fillId="0" borderId="224" xfId="107" applyFont="1" applyBorder="1" applyAlignment="1">
      <alignment horizontal="right" vertical="center"/>
    </xf>
    <xf numFmtId="43" fontId="52" fillId="0" borderId="292" xfId="107" applyFont="1" applyBorder="1" applyAlignment="1">
      <alignment horizontal="right" vertical="center"/>
    </xf>
    <xf numFmtId="0" fontId="52" fillId="0" borderId="226" xfId="0" applyFont="1" applyBorder="1" applyAlignment="1">
      <alignment horizontal="center" vertical="center"/>
    </xf>
    <xf numFmtId="168" fontId="49" fillId="0" borderId="293" xfId="176" applyNumberFormat="1" applyFont="1" applyBorder="1" applyAlignment="1">
      <alignment horizontal="center" vertical="center"/>
    </xf>
    <xf numFmtId="168" fontId="49" fillId="0" borderId="294" xfId="176" applyNumberFormat="1" applyFont="1" applyBorder="1" applyAlignment="1">
      <alignment horizontal="center" vertical="center"/>
    </xf>
    <xf numFmtId="0" fontId="40" fillId="0" borderId="16" xfId="0" applyFont="1" applyBorder="1" applyAlignment="1">
      <alignment horizontal="center" vertical="center" wrapText="1"/>
    </xf>
    <xf numFmtId="0" fontId="104" fillId="0" borderId="254" xfId="0" applyFont="1" applyBorder="1" applyAlignment="1">
      <alignment horizontal="center" vertical="center"/>
    </xf>
    <xf numFmtId="169" fontId="42" fillId="0" borderId="290" xfId="108" applyNumberFormat="1" applyFont="1" applyBorder="1"/>
    <xf numFmtId="169" fontId="42" fillId="0" borderId="224" xfId="108" applyNumberFormat="1" applyFont="1" applyBorder="1"/>
    <xf numFmtId="0" fontId="0" fillId="0" borderId="291" xfId="0" applyBorder="1" applyAlignment="1">
      <alignment horizontal="center"/>
    </xf>
    <xf numFmtId="0" fontId="0" fillId="0" borderId="292" xfId="0" applyBorder="1" applyAlignment="1">
      <alignment horizontal="center"/>
    </xf>
    <xf numFmtId="0" fontId="0" fillId="20" borderId="294" xfId="0" applyFill="1" applyBorder="1" applyAlignment="1">
      <alignment horizontal="center"/>
    </xf>
    <xf numFmtId="169" fontId="42" fillId="0" borderId="234" xfId="108" applyNumberFormat="1" applyFont="1" applyBorder="1"/>
    <xf numFmtId="169" fontId="42" fillId="0" borderId="220" xfId="108" applyNumberFormat="1" applyFont="1" applyBorder="1"/>
    <xf numFmtId="169" fontId="40" fillId="20" borderId="226" xfId="0" applyNumberFormat="1" applyFont="1" applyFill="1" applyBorder="1" applyAlignment="1">
      <alignment horizontal="center"/>
    </xf>
    <xf numFmtId="169" fontId="42" fillId="20" borderId="226" xfId="0" applyNumberFormat="1" applyFont="1" applyFill="1" applyBorder="1" applyAlignment="1">
      <alignment horizontal="center"/>
    </xf>
    <xf numFmtId="169" fontId="42" fillId="20" borderId="293" xfId="0" applyNumberFormat="1" applyFont="1" applyFill="1" applyBorder="1" applyAlignment="1">
      <alignment horizontal="center"/>
    </xf>
    <xf numFmtId="169" fontId="0" fillId="20" borderId="226" xfId="0" applyNumberFormat="1" applyFill="1" applyBorder="1" applyAlignment="1">
      <alignment horizontal="center"/>
    </xf>
    <xf numFmtId="169" fontId="0" fillId="20" borderId="293" xfId="0" applyNumberFormat="1" applyFill="1" applyBorder="1" applyAlignment="1">
      <alignment horizontal="center"/>
    </xf>
    <xf numFmtId="0" fontId="0" fillId="0" borderId="231" xfId="0" applyBorder="1" applyAlignment="1">
      <alignment horizontal="center" vertical="center"/>
    </xf>
    <xf numFmtId="0" fontId="40" fillId="20" borderId="231" xfId="0" applyFont="1" applyFill="1" applyBorder="1" applyAlignment="1">
      <alignment horizontal="center" vertical="center"/>
    </xf>
    <xf numFmtId="0" fontId="62" fillId="0" borderId="0" xfId="0" applyFont="1" applyAlignment="1">
      <alignment vertical="center" wrapText="1"/>
    </xf>
    <xf numFmtId="0" fontId="60" fillId="0" borderId="16" xfId="0" applyFont="1" applyBorder="1" applyAlignment="1">
      <alignment horizontal="center" vertical="center" wrapText="1"/>
    </xf>
    <xf numFmtId="0" fontId="38" fillId="0" borderId="16" xfId="0" applyFont="1" applyBorder="1" applyAlignment="1">
      <alignment horizontal="center" vertical="center" wrapText="1"/>
    </xf>
    <xf numFmtId="0" fontId="55" fillId="0" borderId="0" xfId="736" applyFont="1" applyAlignment="1">
      <alignment horizontal="left" vertical="center"/>
    </xf>
    <xf numFmtId="0" fontId="81" fillId="0" borderId="132" xfId="736" applyFont="1" applyBorder="1" applyAlignment="1">
      <alignment horizontal="center" vertical="center"/>
    </xf>
    <xf numFmtId="0" fontId="55" fillId="0" borderId="117" xfId="736" applyFont="1" applyBorder="1" applyAlignment="1">
      <alignment horizontal="left" vertical="center"/>
    </xf>
    <xf numFmtId="0" fontId="81" fillId="0" borderId="104" xfId="736" applyFont="1" applyBorder="1" applyAlignment="1">
      <alignment horizontal="center" vertical="center"/>
    </xf>
    <xf numFmtId="0" fontId="81" fillId="0" borderId="196" xfId="736" applyFont="1" applyBorder="1" applyAlignment="1">
      <alignment horizontal="center" vertical="center"/>
    </xf>
    <xf numFmtId="0" fontId="55" fillId="0" borderId="0" xfId="736" applyFont="1" applyAlignment="1">
      <alignment vertical="center"/>
    </xf>
    <xf numFmtId="0" fontId="81" fillId="0" borderId="0" xfId="736" applyFont="1" applyAlignment="1">
      <alignment vertical="center"/>
    </xf>
    <xf numFmtId="0" fontId="55" fillId="0" borderId="259" xfId="736" applyFont="1" applyBorder="1" applyAlignment="1">
      <alignment vertical="center"/>
    </xf>
    <xf numFmtId="0" fontId="55" fillId="0" borderId="288" xfId="823" applyFont="1" applyBorder="1" applyAlignment="1">
      <alignment horizontal="center" vertical="center"/>
    </xf>
    <xf numFmtId="168" fontId="38" fillId="0" borderId="297" xfId="176" applyNumberFormat="1" applyBorder="1" applyAlignment="1">
      <alignment horizontal="center" vertical="center"/>
    </xf>
    <xf numFmtId="168" fontId="38" fillId="0" borderId="298" xfId="176" applyNumberFormat="1" applyBorder="1" applyAlignment="1">
      <alignment horizontal="center" vertical="center"/>
    </xf>
    <xf numFmtId="168" fontId="38" fillId="0" borderId="299" xfId="176" applyNumberFormat="1" applyBorder="1" applyAlignment="1">
      <alignment horizontal="center" vertical="center"/>
    </xf>
    <xf numFmtId="168" fontId="38" fillId="0" borderId="300" xfId="176" applyNumberFormat="1" applyBorder="1" applyAlignment="1">
      <alignment horizontal="center" vertical="center"/>
    </xf>
    <xf numFmtId="168" fontId="40" fillId="20" borderId="299" xfId="176" applyNumberFormat="1" applyFont="1" applyFill="1" applyBorder="1" applyAlignment="1">
      <alignment horizontal="center" vertical="center"/>
    </xf>
    <xf numFmtId="168" fontId="40" fillId="20" borderId="300" xfId="176" applyNumberFormat="1" applyFont="1" applyFill="1" applyBorder="1" applyAlignment="1">
      <alignment horizontal="center" vertical="center"/>
    </xf>
    <xf numFmtId="168" fontId="40" fillId="0" borderId="301" xfId="176" applyNumberFormat="1" applyFont="1" applyBorder="1" applyAlignment="1">
      <alignment horizontal="center" vertical="center"/>
    </xf>
    <xf numFmtId="168" fontId="40" fillId="0" borderId="302" xfId="176" applyNumberFormat="1" applyFont="1" applyBorder="1" applyAlignment="1">
      <alignment horizontal="center" vertical="center"/>
    </xf>
    <xf numFmtId="168" fontId="38" fillId="0" borderId="303" xfId="176" applyNumberFormat="1" applyBorder="1" applyAlignment="1">
      <alignment horizontal="center" vertical="center"/>
    </xf>
    <xf numFmtId="168" fontId="38" fillId="0" borderId="304" xfId="176" applyNumberFormat="1" applyBorder="1" applyAlignment="1">
      <alignment horizontal="center" vertical="center"/>
    </xf>
    <xf numFmtId="168" fontId="38" fillId="0" borderId="299" xfId="0" applyNumberFormat="1" applyFont="1" applyBorder="1" applyAlignment="1">
      <alignment horizontal="center" vertical="center"/>
    </xf>
    <xf numFmtId="168" fontId="40" fillId="0" borderId="305" xfId="176" applyNumberFormat="1" applyFont="1" applyBorder="1" applyAlignment="1">
      <alignment horizontal="center" vertical="center"/>
    </xf>
    <xf numFmtId="168" fontId="40" fillId="20" borderId="306" xfId="176" applyNumberFormat="1" applyFont="1" applyFill="1" applyBorder="1" applyAlignment="1">
      <alignment horizontal="center" vertical="center"/>
    </xf>
    <xf numFmtId="168" fontId="40" fillId="20" borderId="307" xfId="176" applyNumberFormat="1" applyFont="1" applyFill="1" applyBorder="1" applyAlignment="1">
      <alignment horizontal="center" vertical="center"/>
    </xf>
    <xf numFmtId="168" fontId="40" fillId="0" borderId="306" xfId="176" applyNumberFormat="1" applyFont="1" applyBorder="1" applyAlignment="1">
      <alignment horizontal="center" vertical="center"/>
    </xf>
    <xf numFmtId="168" fontId="40" fillId="0" borderId="307" xfId="176" applyNumberFormat="1" applyFont="1" applyBorder="1" applyAlignment="1">
      <alignment horizontal="center" vertical="center"/>
    </xf>
    <xf numFmtId="168" fontId="38" fillId="0" borderId="303" xfId="0" applyNumberFormat="1" applyFont="1" applyBorder="1" applyAlignment="1">
      <alignment horizontal="center" vertical="center"/>
    </xf>
    <xf numFmtId="168" fontId="40" fillId="0" borderId="308" xfId="176" applyNumberFormat="1" applyFont="1" applyBorder="1" applyAlignment="1">
      <alignment horizontal="center" vertical="center"/>
    </xf>
    <xf numFmtId="168" fontId="40" fillId="0" borderId="304" xfId="176" applyNumberFormat="1" applyFont="1" applyBorder="1" applyAlignment="1">
      <alignment horizontal="center" vertical="center"/>
    </xf>
    <xf numFmtId="168" fontId="40" fillId="20" borderId="309" xfId="176" applyNumberFormat="1" applyFont="1" applyFill="1" applyBorder="1" applyAlignment="1">
      <alignment horizontal="center" vertical="center"/>
    </xf>
    <xf numFmtId="168" fontId="40" fillId="0" borderId="309" xfId="176" applyNumberFormat="1" applyFont="1" applyBorder="1" applyAlignment="1">
      <alignment horizontal="center" vertical="center"/>
    </xf>
    <xf numFmtId="168" fontId="40" fillId="0" borderId="300" xfId="176" applyNumberFormat="1" applyFont="1" applyBorder="1" applyAlignment="1">
      <alignment horizontal="center" vertical="center"/>
    </xf>
    <xf numFmtId="168" fontId="40" fillId="20" borderId="310" xfId="176" applyNumberFormat="1" applyFont="1" applyFill="1" applyBorder="1" applyAlignment="1">
      <alignment horizontal="center" vertical="center"/>
    </xf>
    <xf numFmtId="168" fontId="40" fillId="0" borderId="299" xfId="176" applyNumberFormat="1" applyFont="1" applyBorder="1" applyAlignment="1">
      <alignment horizontal="center" vertical="center"/>
    </xf>
    <xf numFmtId="168" fontId="40" fillId="0" borderId="311" xfId="176" applyNumberFormat="1" applyFont="1" applyBorder="1" applyAlignment="1">
      <alignment horizontal="center" vertical="center"/>
    </xf>
    <xf numFmtId="168" fontId="40" fillId="20" borderId="301" xfId="176" applyNumberFormat="1" applyFont="1" applyFill="1" applyBorder="1" applyAlignment="1">
      <alignment horizontal="center" vertical="center"/>
    </xf>
    <xf numFmtId="168" fontId="40" fillId="20" borderId="302" xfId="176" applyNumberFormat="1" applyFont="1" applyFill="1" applyBorder="1" applyAlignment="1">
      <alignment horizontal="center" vertical="center"/>
    </xf>
    <xf numFmtId="0" fontId="81" fillId="20" borderId="0" xfId="736" applyFont="1" applyFill="1" applyAlignment="1">
      <alignment horizontal="center" vertical="center"/>
    </xf>
    <xf numFmtId="0" fontId="166" fillId="0" borderId="14" xfId="0" applyFont="1" applyBorder="1" applyAlignment="1">
      <alignment horizontal="center" vertical="center"/>
    </xf>
    <xf numFmtId="0" fontId="166" fillId="0" borderId="14" xfId="144" applyFont="1" applyBorder="1" applyAlignment="1">
      <alignment horizontal="center" vertical="center"/>
    </xf>
    <xf numFmtId="0" fontId="181" fillId="0" borderId="14" xfId="0" applyFont="1" applyBorder="1" applyAlignment="1">
      <alignment horizontal="center" vertical="center"/>
    </xf>
    <xf numFmtId="0" fontId="32" fillId="0" borderId="16" xfId="227" applyFont="1" applyBorder="1" applyAlignment="1">
      <alignment horizontal="center" vertical="center" wrapText="1"/>
    </xf>
    <xf numFmtId="0" fontId="74" fillId="0" borderId="16" xfId="238" applyFont="1" applyBorder="1" applyAlignment="1">
      <alignment horizontal="center" vertical="center" wrapText="1"/>
    </xf>
    <xf numFmtId="0" fontId="32" fillId="0" borderId="16" xfId="0" applyFont="1" applyBorder="1" applyAlignment="1">
      <alignment horizontal="center" vertical="center" wrapText="1"/>
    </xf>
    <xf numFmtId="0" fontId="74" fillId="0" borderId="16" xfId="452" applyFont="1" applyBorder="1" applyAlignment="1">
      <alignment horizontal="center" vertical="center" wrapText="1"/>
    </xf>
    <xf numFmtId="0" fontId="138" fillId="20" borderId="11" xfId="454" applyFont="1" applyFill="1" applyBorder="1" applyAlignment="1">
      <alignment horizontal="center" vertical="center"/>
    </xf>
    <xf numFmtId="0" fontId="88" fillId="0" borderId="0" xfId="0" applyFont="1" applyAlignment="1">
      <alignment horizontal="right" vertical="center"/>
    </xf>
    <xf numFmtId="0" fontId="61" fillId="0" borderId="0" xfId="3789" applyFont="1" applyAlignment="1">
      <alignment horizontal="right" vertical="center" wrapText="1"/>
    </xf>
    <xf numFmtId="0" fontId="81" fillId="0" borderId="0" xfId="576" applyFont="1" applyAlignment="1">
      <alignment horizontal="center"/>
    </xf>
    <xf numFmtId="0" fontId="81" fillId="0" borderId="142" xfId="576" applyFont="1" applyBorder="1" applyAlignment="1">
      <alignment horizontal="center" vertical="center" wrapText="1"/>
    </xf>
    <xf numFmtId="0" fontId="55" fillId="0" borderId="16" xfId="576" applyFont="1" applyBorder="1" applyAlignment="1">
      <alignment horizontal="center" vertical="center" wrapText="1"/>
    </xf>
    <xf numFmtId="0" fontId="81" fillId="0" borderId="16" xfId="576" applyFont="1" applyBorder="1" applyAlignment="1">
      <alignment horizontal="center" vertical="center" wrapText="1"/>
    </xf>
    <xf numFmtId="0" fontId="81" fillId="0" borderId="0" xfId="142" applyFont="1" applyAlignment="1">
      <alignment horizontal="center" vertical="center" wrapText="1"/>
    </xf>
    <xf numFmtId="0" fontId="55" fillId="0" borderId="234" xfId="142" applyFont="1" applyBorder="1" applyAlignment="1">
      <alignment horizontal="center"/>
    </xf>
    <xf numFmtId="0" fontId="55" fillId="0" borderId="291" xfId="142" applyFont="1" applyBorder="1" applyAlignment="1">
      <alignment horizontal="center"/>
    </xf>
    <xf numFmtId="0" fontId="55" fillId="0" borderId="30" xfId="142" applyFont="1" applyBorder="1" applyAlignment="1">
      <alignment horizontal="center"/>
    </xf>
    <xf numFmtId="168" fontId="55" fillId="0" borderId="30" xfId="180" applyNumberFormat="1" applyFont="1" applyBorder="1" applyAlignment="1">
      <alignment horizontal="center"/>
    </xf>
    <xf numFmtId="0" fontId="55" fillId="0" borderId="220" xfId="142" applyFont="1" applyBorder="1" applyAlignment="1">
      <alignment horizontal="center"/>
    </xf>
    <xf numFmtId="0" fontId="55" fillId="0" borderId="292" xfId="142" applyFont="1" applyBorder="1" applyAlignment="1">
      <alignment horizontal="center"/>
    </xf>
    <xf numFmtId="168" fontId="55" fillId="0" borderId="24" xfId="180" applyNumberFormat="1" applyFont="1" applyBorder="1" applyAlignment="1">
      <alignment horizontal="center"/>
    </xf>
    <xf numFmtId="0" fontId="110" fillId="0" borderId="226" xfId="142" applyFont="1" applyBorder="1" applyAlignment="1">
      <alignment horizontal="center"/>
    </xf>
    <xf numFmtId="0" fontId="110" fillId="0" borderId="294" xfId="142" applyFont="1" applyBorder="1" applyAlignment="1">
      <alignment horizontal="center"/>
    </xf>
    <xf numFmtId="0" fontId="110" fillId="0" borderId="25" xfId="142" applyFont="1" applyBorder="1" applyAlignment="1">
      <alignment horizontal="center"/>
    </xf>
    <xf numFmtId="0" fontId="110" fillId="0" borderId="0" xfId="142" applyFont="1" applyAlignment="1">
      <alignment horizontal="center" vertical="center" wrapText="1"/>
    </xf>
    <xf numFmtId="168" fontId="110" fillId="0" borderId="25" xfId="180" applyNumberFormat="1" applyFont="1" applyBorder="1" applyAlignment="1">
      <alignment horizontal="center"/>
    </xf>
    <xf numFmtId="0" fontId="110" fillId="0" borderId="0" xfId="142" applyFont="1" applyAlignment="1">
      <alignment horizontal="center"/>
    </xf>
    <xf numFmtId="0" fontId="109" fillId="0" borderId="226" xfId="142" applyFont="1" applyBorder="1" applyAlignment="1">
      <alignment horizontal="center"/>
    </xf>
    <xf numFmtId="0" fontId="109" fillId="0" borderId="294" xfId="142" applyFont="1" applyBorder="1" applyAlignment="1">
      <alignment horizontal="center"/>
    </xf>
    <xf numFmtId="0" fontId="109" fillId="0" borderId="25" xfId="142" applyFont="1" applyBorder="1" applyAlignment="1">
      <alignment horizontal="center"/>
    </xf>
    <xf numFmtId="0" fontId="109" fillId="0" borderId="0" xfId="142" applyFont="1" applyAlignment="1">
      <alignment horizontal="center" vertical="center" wrapText="1"/>
    </xf>
    <xf numFmtId="168" fontId="109" fillId="0" borderId="25" xfId="180" applyNumberFormat="1" applyFont="1" applyBorder="1" applyAlignment="1">
      <alignment horizontal="center"/>
    </xf>
    <xf numFmtId="0" fontId="109" fillId="0" borderId="0" xfId="142" applyFont="1" applyAlignment="1">
      <alignment horizontal="center"/>
    </xf>
    <xf numFmtId="0" fontId="114" fillId="0" borderId="226" xfId="142" applyFont="1" applyBorder="1" applyAlignment="1">
      <alignment horizontal="center"/>
    </xf>
    <xf numFmtId="0" fontId="114" fillId="0" borderId="294" xfId="142" applyFont="1" applyBorder="1" applyAlignment="1">
      <alignment horizontal="center"/>
    </xf>
    <xf numFmtId="0" fontId="114" fillId="0" borderId="25" xfId="142" applyFont="1" applyBorder="1" applyAlignment="1">
      <alignment horizontal="center"/>
    </xf>
    <xf numFmtId="0" fontId="114" fillId="0" borderId="0" xfId="142" applyFont="1" applyAlignment="1">
      <alignment horizontal="center" vertical="center" wrapText="1"/>
    </xf>
    <xf numFmtId="168" fontId="114" fillId="0" borderId="25" xfId="180" applyNumberFormat="1" applyFont="1" applyBorder="1" applyAlignment="1">
      <alignment horizontal="center"/>
    </xf>
    <xf numFmtId="0" fontId="114" fillId="0" borderId="0" xfId="142" applyFont="1" applyAlignment="1">
      <alignment horizontal="center"/>
    </xf>
    <xf numFmtId="0" fontId="112" fillId="0" borderId="226" xfId="142" applyFont="1" applyBorder="1" applyAlignment="1">
      <alignment horizontal="center"/>
    </xf>
    <xf numFmtId="0" fontId="112" fillId="0" borderId="294" xfId="142" applyFont="1" applyBorder="1" applyAlignment="1">
      <alignment horizontal="center"/>
    </xf>
    <xf numFmtId="0" fontId="112" fillId="0" borderId="25" xfId="142" applyFont="1" applyBorder="1" applyAlignment="1">
      <alignment horizontal="center"/>
    </xf>
    <xf numFmtId="0" fontId="112" fillId="0" borderId="0" xfId="142" applyFont="1" applyAlignment="1">
      <alignment horizontal="center" vertical="center" wrapText="1"/>
    </xf>
    <xf numFmtId="168" fontId="112" fillId="0" borderId="25" xfId="180" applyNumberFormat="1" applyFont="1" applyBorder="1" applyAlignment="1">
      <alignment horizontal="center"/>
    </xf>
    <xf numFmtId="0" fontId="112" fillId="0" borderId="0" xfId="142" applyFont="1" applyAlignment="1">
      <alignment horizontal="center"/>
    </xf>
    <xf numFmtId="0" fontId="117" fillId="0" borderId="226" xfId="142" applyFont="1" applyBorder="1" applyAlignment="1">
      <alignment horizontal="center"/>
    </xf>
    <xf numFmtId="0" fontId="117" fillId="0" borderId="294" xfId="142" applyFont="1" applyBorder="1" applyAlignment="1">
      <alignment horizontal="center"/>
    </xf>
    <xf numFmtId="0" fontId="117" fillId="0" borderId="25" xfId="142" applyFont="1" applyBorder="1" applyAlignment="1">
      <alignment horizontal="center"/>
    </xf>
    <xf numFmtId="0" fontId="117" fillId="0" borderId="0" xfId="142" applyFont="1" applyAlignment="1">
      <alignment horizontal="center" vertical="center" wrapText="1"/>
    </xf>
    <xf numFmtId="168" fontId="117" fillId="0" borderId="25" xfId="180" applyNumberFormat="1" applyFont="1" applyBorder="1" applyAlignment="1">
      <alignment horizontal="center"/>
    </xf>
    <xf numFmtId="0" fontId="117" fillId="0" borderId="0" xfId="142" applyFont="1" applyAlignment="1">
      <alignment horizontal="center"/>
    </xf>
    <xf numFmtId="3" fontId="81" fillId="20" borderId="254" xfId="142" applyNumberFormat="1" applyFont="1" applyFill="1" applyBorder="1" applyAlignment="1">
      <alignment horizontal="center" vertical="center"/>
    </xf>
    <xf numFmtId="0" fontId="81" fillId="20" borderId="254" xfId="142" applyFont="1" applyFill="1" applyBorder="1" applyAlignment="1">
      <alignment horizontal="center"/>
    </xf>
    <xf numFmtId="168" fontId="81" fillId="20" borderId="254" xfId="180" applyNumberFormat="1" applyFont="1" applyFill="1" applyBorder="1" applyAlignment="1">
      <alignment horizontal="center"/>
    </xf>
    <xf numFmtId="3" fontId="38" fillId="0" borderId="0" xfId="142" applyNumberFormat="1"/>
    <xf numFmtId="0" fontId="143" fillId="0" borderId="0" xfId="142" applyFont="1" applyAlignment="1">
      <alignment horizontal="center"/>
    </xf>
    <xf numFmtId="168" fontId="38" fillId="0" borderId="0" xfId="3362" applyNumberFormat="1" applyFont="1" applyAlignment="1">
      <alignment horizontal="center"/>
    </xf>
    <xf numFmtId="0" fontId="38" fillId="0" borderId="0" xfId="142" applyAlignment="1">
      <alignment horizontal="center" vertical="center"/>
    </xf>
    <xf numFmtId="0" fontId="43" fillId="0" borderId="254" xfId="142" applyFont="1" applyBorder="1" applyAlignment="1">
      <alignment horizontal="right"/>
    </xf>
    <xf numFmtId="0" fontId="81" fillId="0" borderId="254" xfId="142" applyFont="1" applyBorder="1" applyAlignment="1">
      <alignment horizontal="center"/>
    </xf>
    <xf numFmtId="0" fontId="1" fillId="0" borderId="254" xfId="0" applyFont="1" applyBorder="1" applyAlignment="1">
      <alignment vertical="center"/>
    </xf>
    <xf numFmtId="0" fontId="278" fillId="0" borderId="254" xfId="0" applyFont="1" applyBorder="1" applyAlignment="1">
      <alignment horizontal="right" vertical="center"/>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2" fillId="0" borderId="290" xfId="0" applyFont="1" applyBorder="1" applyAlignment="1">
      <alignment horizontal="left" vertical="center" indent="1"/>
    </xf>
    <xf numFmtId="0" fontId="55" fillId="0" borderId="290" xfId="0" applyFont="1" applyBorder="1" applyAlignment="1">
      <alignment horizontal="center" vertical="center"/>
    </xf>
    <xf numFmtId="190" fontId="55" fillId="0" borderId="290" xfId="0" applyNumberFormat="1" applyFont="1" applyBorder="1" applyAlignment="1">
      <alignment horizontal="center" vertical="center"/>
    </xf>
    <xf numFmtId="190" fontId="249" fillId="0" borderId="291" xfId="0" applyNumberFormat="1" applyFont="1" applyBorder="1" applyAlignment="1">
      <alignment horizontal="center" vertical="center"/>
    </xf>
    <xf numFmtId="0" fontId="42" fillId="0" borderId="224" xfId="0" applyFont="1" applyBorder="1" applyAlignment="1">
      <alignment horizontal="left" vertical="center" indent="1"/>
    </xf>
    <xf numFmtId="0" fontId="55" fillId="0" borderId="224" xfId="0" applyFont="1" applyBorder="1" applyAlignment="1">
      <alignment horizontal="center" vertical="center"/>
    </xf>
    <xf numFmtId="190" fontId="38" fillId="0" borderId="224" xfId="0" applyNumberFormat="1" applyFont="1" applyBorder="1" applyAlignment="1">
      <alignment horizontal="center" vertical="center"/>
    </xf>
    <xf numFmtId="190" fontId="249" fillId="0" borderId="292" xfId="0" applyNumberFormat="1" applyFont="1" applyBorder="1" applyAlignment="1">
      <alignment horizontal="center" vertical="center"/>
    </xf>
    <xf numFmtId="190" fontId="55" fillId="0" borderId="224" xfId="0" applyNumberFormat="1" applyFont="1" applyBorder="1" applyAlignment="1">
      <alignment horizontal="center" vertical="center"/>
    </xf>
    <xf numFmtId="0" fontId="42" fillId="22" borderId="293" xfId="0" applyFont="1" applyFill="1" applyBorder="1" applyAlignment="1">
      <alignment horizontal="left" vertical="center" indent="1"/>
    </xf>
    <xf numFmtId="0" fontId="42" fillId="22" borderId="293" xfId="0" applyFont="1" applyFill="1" applyBorder="1" applyAlignment="1">
      <alignment horizontal="center" vertical="center"/>
    </xf>
    <xf numFmtId="190" fontId="55" fillId="0" borderId="293" xfId="0" applyNumberFormat="1" applyFont="1" applyBorder="1" applyAlignment="1">
      <alignment horizontal="center" vertical="center"/>
    </xf>
    <xf numFmtId="190" fontId="249" fillId="22" borderId="294" xfId="0" applyNumberFormat="1" applyFont="1" applyFill="1" applyBorder="1" applyAlignment="1">
      <alignment horizontal="center" vertical="center"/>
    </xf>
    <xf numFmtId="0" fontId="42" fillId="0" borderId="313" xfId="0" applyFont="1" applyBorder="1" applyAlignment="1">
      <alignment horizontal="left" vertical="center" indent="1"/>
    </xf>
    <xf numFmtId="0" fontId="42" fillId="0" borderId="313" xfId="0" applyFont="1" applyBorder="1" applyAlignment="1">
      <alignment horizontal="center" vertical="center"/>
    </xf>
    <xf numFmtId="190" fontId="42" fillId="0" borderId="313" xfId="0" applyNumberFormat="1" applyFont="1" applyBorder="1" applyAlignment="1">
      <alignment horizontal="center" vertical="center"/>
    </xf>
    <xf numFmtId="190" fontId="249" fillId="0" borderId="314" xfId="0" applyNumberFormat="1" applyFont="1" applyBorder="1" applyAlignment="1">
      <alignment horizontal="center" vertical="center"/>
    </xf>
    <xf numFmtId="0" fontId="42" fillId="0" borderId="224" xfId="0" applyFont="1" applyBorder="1" applyAlignment="1">
      <alignment horizontal="center" vertical="center"/>
    </xf>
    <xf numFmtId="190" fontId="42" fillId="0" borderId="224" xfId="0" applyNumberFormat="1" applyFont="1" applyBorder="1" applyAlignment="1">
      <alignment horizontal="center" vertical="center"/>
    </xf>
    <xf numFmtId="190" fontId="279" fillId="0" borderId="292" xfId="0" applyNumberFormat="1" applyFont="1" applyBorder="1" applyAlignment="1">
      <alignment horizontal="center" vertical="center"/>
    </xf>
    <xf numFmtId="0" fontId="42" fillId="0" borderId="293" xfId="0" applyFont="1" applyBorder="1" applyAlignment="1">
      <alignment horizontal="left" vertical="center" indent="1"/>
    </xf>
    <xf numFmtId="0" fontId="42" fillId="0" borderId="293" xfId="0" applyFont="1" applyBorder="1" applyAlignment="1">
      <alignment horizontal="center" vertical="center"/>
    </xf>
    <xf numFmtId="190" fontId="249" fillId="0" borderId="294" xfId="0" applyNumberFormat="1" applyFont="1" applyBorder="1" applyAlignment="1">
      <alignment horizontal="center" vertical="center"/>
    </xf>
    <xf numFmtId="190" fontId="55" fillId="0" borderId="313" xfId="0" applyNumberFormat="1" applyFont="1" applyBorder="1" applyAlignment="1">
      <alignment horizontal="center" vertical="center"/>
    </xf>
    <xf numFmtId="190" fontId="42" fillId="0" borderId="315" xfId="0" applyNumberFormat="1" applyFont="1" applyBorder="1" applyAlignment="1">
      <alignment horizontal="center" vertical="center"/>
    </xf>
    <xf numFmtId="190" fontId="279" fillId="0" borderId="291" xfId="0" applyNumberFormat="1" applyFont="1" applyBorder="1" applyAlignment="1">
      <alignment horizontal="center" vertical="center"/>
    </xf>
    <xf numFmtId="190" fontId="42" fillId="0" borderId="293" xfId="0" applyNumberFormat="1" applyFont="1" applyBorder="1" applyAlignment="1">
      <alignment horizontal="center" vertical="center"/>
    </xf>
    <xf numFmtId="190" fontId="279" fillId="0" borderId="316" xfId="0" applyNumberFormat="1" applyFont="1" applyBorder="1" applyAlignment="1">
      <alignment horizontal="center" vertical="center"/>
    </xf>
    <xf numFmtId="0" fontId="255" fillId="0" borderId="0" xfId="0" applyFont="1" applyAlignment="1">
      <alignment vertical="center" wrapText="1"/>
    </xf>
    <xf numFmtId="0" fontId="88" fillId="0" borderId="0" xfId="0" applyFont="1" applyAlignment="1">
      <alignment vertical="center" wrapText="1"/>
    </xf>
    <xf numFmtId="0" fontId="280" fillId="0" borderId="0" xfId="0" applyFont="1" applyAlignment="1">
      <alignment vertical="center"/>
    </xf>
    <xf numFmtId="0" fontId="280" fillId="0" borderId="254" xfId="0" applyFont="1" applyBorder="1" applyAlignment="1">
      <alignment vertical="center"/>
    </xf>
    <xf numFmtId="0" fontId="280" fillId="0" borderId="254" xfId="0" applyFont="1" applyBorder="1" applyAlignment="1">
      <alignment horizontal="right" vertical="center"/>
    </xf>
    <xf numFmtId="0" fontId="42" fillId="0" borderId="290" xfId="0" applyFont="1" applyBorder="1" applyAlignment="1">
      <alignment horizontal="center"/>
    </xf>
    <xf numFmtId="190" fontId="42" fillId="0" borderId="290" xfId="0" applyNumberFormat="1" applyFont="1" applyBorder="1" applyAlignment="1">
      <alignment horizontal="center"/>
    </xf>
    <xf numFmtId="190" fontId="257" fillId="0" borderId="291" xfId="0" applyNumberFormat="1" applyFont="1" applyBorder="1" applyAlignment="1">
      <alignment horizontal="center" vertical="center"/>
    </xf>
    <xf numFmtId="0" fontId="42" fillId="0" borderId="224" xfId="0" applyFont="1" applyBorder="1" applyAlignment="1">
      <alignment horizontal="center"/>
    </xf>
    <xf numFmtId="190" fontId="42" fillId="0" borderId="224" xfId="0" applyNumberFormat="1" applyFont="1" applyBorder="1" applyAlignment="1">
      <alignment horizontal="center"/>
    </xf>
    <xf numFmtId="190" fontId="257" fillId="0" borderId="292" xfId="0" applyNumberFormat="1" applyFont="1" applyBorder="1" applyAlignment="1">
      <alignment horizontal="center" vertical="center"/>
    </xf>
    <xf numFmtId="0" fontId="42" fillId="0" borderId="293" xfId="0" applyFont="1" applyBorder="1" applyAlignment="1">
      <alignment horizontal="center"/>
    </xf>
    <xf numFmtId="190" fontId="42" fillId="0" borderId="293" xfId="0" applyNumberFormat="1" applyFont="1" applyBorder="1" applyAlignment="1">
      <alignment horizontal="center"/>
    </xf>
    <xf numFmtId="190" fontId="258" fillId="0" borderId="314" xfId="0" applyNumberFormat="1" applyFont="1" applyBorder="1" applyAlignment="1">
      <alignment horizontal="center" vertical="center"/>
    </xf>
    <xf numFmtId="190" fontId="258" fillId="0" borderId="292" xfId="0" applyNumberFormat="1" applyFont="1" applyBorder="1" applyAlignment="1">
      <alignment horizontal="center" vertical="center"/>
    </xf>
    <xf numFmtId="0" fontId="42" fillId="0" borderId="313" xfId="0" applyFont="1" applyBorder="1" applyAlignment="1">
      <alignment horizontal="center"/>
    </xf>
    <xf numFmtId="190" fontId="42" fillId="0" borderId="313" xfId="0" applyNumberFormat="1" applyFont="1" applyBorder="1" applyAlignment="1">
      <alignment horizontal="center"/>
    </xf>
    <xf numFmtId="190" fontId="281" fillId="0" borderId="314" xfId="0" applyNumberFormat="1" applyFont="1" applyBorder="1" applyAlignment="1">
      <alignment horizontal="center" vertical="center"/>
    </xf>
    <xf numFmtId="190" fontId="282" fillId="0" borderId="292" xfId="0" applyNumberFormat="1" applyFont="1" applyBorder="1" applyAlignment="1">
      <alignment horizontal="center" vertical="center"/>
    </xf>
    <xf numFmtId="0" fontId="38" fillId="0" borderId="293" xfId="0" applyFont="1" applyBorder="1" applyAlignment="1">
      <alignment horizontal="left" vertical="center" indent="1"/>
    </xf>
    <xf numFmtId="190" fontId="258" fillId="0" borderId="294" xfId="0" applyNumberFormat="1" applyFont="1" applyBorder="1" applyAlignment="1">
      <alignment horizontal="center" vertical="center"/>
    </xf>
    <xf numFmtId="0" fontId="283" fillId="0" borderId="0" xfId="0" applyFont="1" applyAlignment="1">
      <alignment vertical="center"/>
    </xf>
    <xf numFmtId="0" fontId="283" fillId="0" borderId="254" xfId="0" applyFont="1" applyBorder="1" applyAlignment="1">
      <alignment vertical="center"/>
    </xf>
    <xf numFmtId="0" fontId="283" fillId="0" borderId="254" xfId="0" applyFont="1" applyBorder="1" applyAlignment="1">
      <alignment horizontal="right" vertical="center"/>
    </xf>
    <xf numFmtId="190" fontId="42" fillId="0" borderId="291" xfId="0" applyNumberFormat="1" applyFont="1" applyBorder="1" applyAlignment="1">
      <alignment horizontal="center" vertical="center"/>
    </xf>
    <xf numFmtId="190" fontId="42" fillId="0" borderId="292" xfId="0" applyNumberFormat="1" applyFont="1" applyBorder="1" applyAlignment="1">
      <alignment horizontal="center" vertical="center"/>
    </xf>
    <xf numFmtId="190" fontId="41" fillId="0" borderId="292" xfId="0" applyNumberFormat="1" applyFont="1" applyBorder="1" applyAlignment="1">
      <alignment horizontal="center" vertical="center"/>
    </xf>
    <xf numFmtId="0" fontId="222" fillId="0" borderId="224" xfId="0" applyFont="1" applyBorder="1" applyAlignment="1">
      <alignment horizontal="center" vertical="center"/>
    </xf>
    <xf numFmtId="190" fontId="61" fillId="0" borderId="292" xfId="0" applyNumberFormat="1" applyFont="1" applyBorder="1" applyAlignment="1">
      <alignment horizontal="center" vertical="center"/>
    </xf>
    <xf numFmtId="0" fontId="53" fillId="0" borderId="0" xfId="594" applyFont="1" applyAlignment="1">
      <alignment horizontal="center" vertical="center"/>
    </xf>
    <xf numFmtId="0" fontId="222" fillId="0" borderId="293" xfId="0" applyFont="1" applyBorder="1" applyAlignment="1">
      <alignment horizontal="center" vertical="center"/>
    </xf>
    <xf numFmtId="190" fontId="194" fillId="0" borderId="294" xfId="0" applyNumberFormat="1" applyFont="1" applyBorder="1" applyAlignment="1">
      <alignment horizontal="center" vertical="center"/>
    </xf>
    <xf numFmtId="0" fontId="222" fillId="0" borderId="290" xfId="0" applyFont="1" applyBorder="1" applyAlignment="1">
      <alignment horizontal="center" vertical="center"/>
    </xf>
    <xf numFmtId="190" fontId="38" fillId="0" borderId="290" xfId="0" applyNumberFormat="1" applyFont="1" applyBorder="1" applyAlignment="1">
      <alignment horizontal="center" vertical="center"/>
    </xf>
    <xf numFmtId="190" fontId="41" fillId="0" borderId="291" xfId="0" applyNumberFormat="1" applyFont="1" applyBorder="1" applyAlignment="1">
      <alignment horizontal="center" vertical="center"/>
    </xf>
    <xf numFmtId="190" fontId="42" fillId="0" borderId="294" xfId="0" applyNumberFormat="1" applyFont="1" applyBorder="1" applyAlignment="1">
      <alignment horizontal="center" vertical="center"/>
    </xf>
    <xf numFmtId="0" fontId="222" fillId="0" borderId="313" xfId="0" applyFont="1" applyBorder="1" applyAlignment="1">
      <alignment horizontal="center" vertical="center"/>
    </xf>
    <xf numFmtId="190" fontId="42" fillId="0" borderId="314" xfId="0" applyNumberFormat="1" applyFont="1" applyBorder="1" applyAlignment="1">
      <alignment horizontal="center" vertical="center"/>
    </xf>
    <xf numFmtId="0" fontId="284" fillId="0" borderId="254" xfId="0" applyFont="1" applyBorder="1" applyAlignment="1">
      <alignment vertical="center"/>
    </xf>
    <xf numFmtId="0" fontId="285" fillId="0" borderId="254" xfId="0" applyFont="1" applyBorder="1" applyAlignment="1">
      <alignment horizontal="right" vertical="center"/>
    </xf>
    <xf numFmtId="0" fontId="42" fillId="0" borderId="290" xfId="0" applyFont="1" applyBorder="1" applyAlignment="1">
      <alignment horizontal="center" vertical="center"/>
    </xf>
    <xf numFmtId="190" fontId="42" fillId="0" borderId="290" xfId="0" applyNumberFormat="1" applyFont="1" applyBorder="1" applyAlignment="1">
      <alignment horizontal="center" vertical="center"/>
    </xf>
    <xf numFmtId="0" fontId="42" fillId="0" borderId="224" xfId="0" applyFont="1" applyBorder="1" applyAlignment="1">
      <alignment horizontal="left" vertical="center" wrapText="1" indent="1"/>
    </xf>
    <xf numFmtId="0" fontId="42" fillId="0" borderId="224" xfId="0" applyFont="1" applyBorder="1" applyAlignment="1">
      <alignment horizontal="left" vertical="center"/>
    </xf>
    <xf numFmtId="190" fontId="42" fillId="0" borderId="224" xfId="0" applyNumberFormat="1" applyFont="1" applyBorder="1" applyAlignment="1">
      <alignment horizontal="left" vertical="center"/>
    </xf>
    <xf numFmtId="0" fontId="42" fillId="0" borderId="293" xfId="0" applyFont="1" applyBorder="1" applyAlignment="1">
      <alignment horizontal="left" vertical="center" wrapText="1" indent="1"/>
    </xf>
    <xf numFmtId="0" fontId="42" fillId="0" borderId="293" xfId="0" applyFont="1" applyBorder="1" applyAlignment="1">
      <alignment horizontal="left" vertical="center"/>
    </xf>
    <xf numFmtId="190" fontId="42" fillId="0" borderId="293" xfId="0" applyNumberFormat="1" applyFont="1" applyBorder="1" applyAlignment="1">
      <alignment horizontal="left" vertical="center"/>
    </xf>
    <xf numFmtId="0" fontId="42" fillId="0" borderId="313" xfId="0" applyFont="1" applyBorder="1" applyAlignment="1">
      <alignment horizontal="left" vertical="center"/>
    </xf>
    <xf numFmtId="190" fontId="42" fillId="0" borderId="313" xfId="0" applyNumberFormat="1" applyFont="1" applyBorder="1" applyAlignment="1">
      <alignment horizontal="left" vertical="center"/>
    </xf>
    <xf numFmtId="0" fontId="42" fillId="0" borderId="223" xfId="0" applyFont="1" applyBorder="1" applyAlignment="1">
      <alignment horizontal="left" vertical="center" indent="1"/>
    </xf>
    <xf numFmtId="0" fontId="42" fillId="0" borderId="223" xfId="0" applyFont="1" applyBorder="1" applyAlignment="1">
      <alignment horizontal="left" vertical="center"/>
    </xf>
    <xf numFmtId="190" fontId="42" fillId="0" borderId="223" xfId="0" applyNumberFormat="1" applyFont="1" applyBorder="1" applyAlignment="1">
      <alignment horizontal="left" vertical="center"/>
    </xf>
    <xf numFmtId="190" fontId="249" fillId="0" borderId="318" xfId="0" applyNumberFormat="1" applyFont="1" applyBorder="1" applyAlignment="1">
      <alignment horizontal="center" vertical="center"/>
    </xf>
    <xf numFmtId="0" fontId="286" fillId="0" borderId="0" xfId="0" applyFont="1" applyAlignment="1">
      <alignment vertical="center"/>
    </xf>
    <xf numFmtId="0" fontId="286" fillId="0" borderId="254" xfId="0" applyFont="1" applyBorder="1" applyAlignment="1">
      <alignment vertical="center"/>
    </xf>
    <xf numFmtId="0" fontId="286" fillId="0" borderId="254" xfId="0" applyFont="1" applyBorder="1" applyAlignment="1">
      <alignment horizontal="right" vertical="center"/>
    </xf>
    <xf numFmtId="190" fontId="250" fillId="0" borderId="292" xfId="0" applyNumberFormat="1" applyFont="1" applyBorder="1" applyAlignment="1">
      <alignment horizontal="center" vertical="center"/>
    </xf>
    <xf numFmtId="0" fontId="287" fillId="0" borderId="0" xfId="594" applyFont="1" applyAlignment="1">
      <alignment horizontal="center" vertical="center"/>
    </xf>
    <xf numFmtId="190" fontId="38" fillId="0" borderId="293" xfId="0" applyNumberFormat="1" applyFont="1" applyBorder="1" applyAlignment="1">
      <alignment horizontal="center" vertical="center"/>
    </xf>
    <xf numFmtId="190" fontId="250" fillId="0" borderId="314" xfId="0" applyNumberFormat="1" applyFont="1" applyBorder="1" applyAlignment="1">
      <alignment horizontal="center" vertical="center"/>
    </xf>
    <xf numFmtId="0" fontId="260" fillId="0" borderId="224" xfId="0" applyFont="1" applyBorder="1" applyAlignment="1">
      <alignment horizontal="center" vertical="center"/>
    </xf>
    <xf numFmtId="190" fontId="97" fillId="0" borderId="292" xfId="0" applyNumberFormat="1" applyFont="1" applyBorder="1" applyAlignment="1">
      <alignment horizontal="center" vertical="center"/>
    </xf>
    <xf numFmtId="190" fontId="97" fillId="0" borderId="314" xfId="0" applyNumberFormat="1" applyFont="1" applyBorder="1" applyAlignment="1">
      <alignment horizontal="center" vertical="center"/>
    </xf>
    <xf numFmtId="0" fontId="88" fillId="0" borderId="0" xfId="0" applyFont="1" applyAlignment="1">
      <alignment vertical="top" wrapText="1"/>
    </xf>
    <xf numFmtId="0" fontId="81" fillId="0" borderId="0" xfId="142" applyFont="1" applyAlignment="1">
      <alignment vertical="center"/>
    </xf>
    <xf numFmtId="0" fontId="81" fillId="0" borderId="16" xfId="142" applyFont="1" applyBorder="1" applyAlignment="1">
      <alignment horizontal="center" vertical="center" wrapText="1"/>
    </xf>
    <xf numFmtId="0" fontId="42" fillId="0" borderId="16" xfId="142" applyFont="1" applyBorder="1" applyAlignment="1">
      <alignment horizontal="center" vertical="center" wrapText="1"/>
    </xf>
    <xf numFmtId="0" fontId="55" fillId="0" borderId="16" xfId="142" applyFont="1" applyBorder="1" applyAlignment="1">
      <alignment horizontal="center" vertical="center" wrapText="1"/>
    </xf>
    <xf numFmtId="0" fontId="288" fillId="0" borderId="0" xfId="142" applyFont="1" applyAlignment="1">
      <alignment horizontal="center"/>
    </xf>
    <xf numFmtId="0" fontId="38" fillId="0" borderId="291" xfId="142" applyBorder="1" applyAlignment="1">
      <alignment horizontal="center"/>
    </xf>
    <xf numFmtId="0" fontId="38" fillId="0" borderId="30" xfId="142" applyBorder="1" applyAlignment="1">
      <alignment horizontal="center"/>
    </xf>
    <xf numFmtId="0" fontId="81" fillId="0" borderId="291" xfId="142" applyFont="1" applyBorder="1" applyAlignment="1">
      <alignment horizontal="center" vertical="center"/>
    </xf>
    <xf numFmtId="0" fontId="55" fillId="0" borderId="30" xfId="142" applyFont="1" applyBorder="1" applyAlignment="1">
      <alignment horizontal="center" vertical="center"/>
    </xf>
    <xf numFmtId="0" fontId="42" fillId="0" borderId="30" xfId="142" applyFont="1" applyBorder="1" applyAlignment="1">
      <alignment horizontal="center" vertical="center"/>
    </xf>
    <xf numFmtId="168" fontId="55" fillId="0" borderId="30" xfId="180" applyNumberFormat="1" applyFont="1" applyBorder="1" applyAlignment="1">
      <alignment horizontal="right" vertical="center" indent="1"/>
    </xf>
    <xf numFmtId="168" fontId="288" fillId="0" borderId="30" xfId="180" applyNumberFormat="1" applyFont="1" applyBorder="1" applyAlignment="1">
      <alignment horizontal="right" vertical="center" indent="1"/>
    </xf>
    <xf numFmtId="0" fontId="38" fillId="0" borderId="292" xfId="142" applyBorder="1" applyAlignment="1">
      <alignment horizontal="center"/>
    </xf>
    <xf numFmtId="0" fontId="38" fillId="0" borderId="24" xfId="142" applyBorder="1" applyAlignment="1">
      <alignment horizontal="center"/>
    </xf>
    <xf numFmtId="0" fontId="81" fillId="0" borderId="292" xfId="142" applyFont="1" applyBorder="1" applyAlignment="1">
      <alignment horizontal="center" vertical="center"/>
    </xf>
    <xf numFmtId="0" fontId="55" fillId="0" borderId="24" xfId="142" applyFont="1" applyBorder="1" applyAlignment="1">
      <alignment horizontal="center" vertical="center"/>
    </xf>
    <xf numFmtId="0" fontId="42" fillId="0" borderId="24" xfId="142" applyFont="1" applyBorder="1" applyAlignment="1">
      <alignment horizontal="center" vertical="center"/>
    </xf>
    <xf numFmtId="168" fontId="55" fillId="0" borderId="24" xfId="180" applyNumberFormat="1" applyFont="1" applyBorder="1" applyAlignment="1">
      <alignment horizontal="right" vertical="center" indent="1"/>
    </xf>
    <xf numFmtId="168" fontId="288" fillId="0" borderId="24" xfId="180" applyNumberFormat="1" applyFont="1" applyBorder="1" applyAlignment="1">
      <alignment horizontal="right" vertical="center" indent="1"/>
    </xf>
    <xf numFmtId="0" fontId="81" fillId="0" borderId="294" xfId="142" applyFont="1" applyBorder="1" applyAlignment="1">
      <alignment horizontal="center"/>
    </xf>
    <xf numFmtId="0" fontId="81" fillId="0" borderId="25" xfId="142" applyFont="1" applyBorder="1" applyAlignment="1">
      <alignment horizontal="center"/>
    </xf>
    <xf numFmtId="0" fontId="81" fillId="0" borderId="294" xfId="142" applyFont="1" applyBorder="1" applyAlignment="1">
      <alignment horizontal="center" vertical="center"/>
    </xf>
    <xf numFmtId="0" fontId="81" fillId="0" borderId="25" xfId="142" applyFont="1" applyBorder="1" applyAlignment="1">
      <alignment horizontal="center" vertical="center"/>
    </xf>
    <xf numFmtId="168" fontId="81" fillId="0" borderId="25" xfId="180" applyNumberFormat="1" applyFont="1" applyBorder="1" applyAlignment="1">
      <alignment horizontal="right" vertical="center" indent="1"/>
    </xf>
    <xf numFmtId="168" fontId="289" fillId="0" borderId="25" xfId="180" applyNumberFormat="1" applyFont="1" applyBorder="1" applyAlignment="1">
      <alignment horizontal="right" vertical="center" indent="1"/>
    </xf>
    <xf numFmtId="0" fontId="259" fillId="0" borderId="0" xfId="142" applyFont="1" applyAlignment="1">
      <alignment horizontal="right" indent="1"/>
    </xf>
    <xf numFmtId="0" fontId="55" fillId="0" borderId="232" xfId="142" applyFont="1" applyBorder="1" applyAlignment="1">
      <alignment horizontal="center"/>
    </xf>
    <xf numFmtId="0" fontId="38" fillId="0" borderId="319" xfId="142" applyBorder="1" applyAlignment="1">
      <alignment horizontal="center"/>
    </xf>
    <xf numFmtId="0" fontId="38" fillId="0" borderId="27" xfId="142" applyBorder="1" applyAlignment="1">
      <alignment horizontal="center"/>
    </xf>
    <xf numFmtId="0" fontId="55" fillId="0" borderId="27" xfId="142" applyFont="1" applyBorder="1" applyAlignment="1">
      <alignment horizontal="center" vertical="center"/>
    </xf>
    <xf numFmtId="168" fontId="288" fillId="0" borderId="0" xfId="180" applyNumberFormat="1" applyFont="1" applyAlignment="1">
      <alignment horizontal="right" vertical="center" indent="1"/>
    </xf>
    <xf numFmtId="0" fontId="290" fillId="0" borderId="0" xfId="142" applyFont="1" applyAlignment="1">
      <alignment horizontal="right" vertical="center" indent="1"/>
    </xf>
    <xf numFmtId="0" fontId="81" fillId="0" borderId="226" xfId="142" applyFont="1" applyBorder="1" applyAlignment="1">
      <alignment horizontal="center"/>
    </xf>
    <xf numFmtId="0" fontId="40" fillId="0" borderId="294" xfId="142" applyFont="1" applyBorder="1" applyAlignment="1">
      <alignment horizontal="center"/>
    </xf>
    <xf numFmtId="0" fontId="40" fillId="0" borderId="25" xfId="142" applyFont="1" applyBorder="1" applyAlignment="1">
      <alignment horizontal="center"/>
    </xf>
    <xf numFmtId="0" fontId="40" fillId="0" borderId="0" xfId="142" applyFont="1"/>
    <xf numFmtId="3" fontId="81" fillId="0" borderId="254" xfId="142" applyNumberFormat="1" applyFont="1" applyBorder="1" applyAlignment="1">
      <alignment horizontal="center" vertical="center"/>
    </xf>
    <xf numFmtId="0" fontId="81" fillId="0" borderId="316" xfId="142" applyFont="1" applyBorder="1" applyAlignment="1">
      <alignment horizontal="center"/>
    </xf>
    <xf numFmtId="0" fontId="81" fillId="0" borderId="254" xfId="142" applyFont="1" applyBorder="1" applyAlignment="1">
      <alignment horizontal="center" vertical="center"/>
    </xf>
    <xf numFmtId="0" fontId="81" fillId="0" borderId="316" xfId="142" applyFont="1" applyBorder="1" applyAlignment="1">
      <alignment horizontal="center" vertical="center"/>
    </xf>
    <xf numFmtId="168" fontId="43" fillId="0" borderId="254" xfId="180" applyNumberFormat="1" applyFont="1" applyBorder="1" applyAlignment="1">
      <alignment horizontal="right" vertical="center" indent="1"/>
    </xf>
    <xf numFmtId="168" fontId="289" fillId="0" borderId="254" xfId="180" applyNumberFormat="1" applyFont="1" applyBorder="1" applyAlignment="1">
      <alignment horizontal="right" vertical="center" indent="1"/>
    </xf>
    <xf numFmtId="17" fontId="40" fillId="0" borderId="0" xfId="142" applyNumberFormat="1" applyFont="1" applyAlignment="1">
      <alignment horizontal="center" vertical="center"/>
    </xf>
    <xf numFmtId="0" fontId="42" fillId="0" borderId="16" xfId="142" applyFont="1" applyBorder="1" applyAlignment="1">
      <alignment horizontal="center" vertical="center"/>
    </xf>
    <xf numFmtId="0" fontId="40" fillId="0" borderId="320" xfId="142" applyFont="1" applyBorder="1" applyAlignment="1">
      <alignment horizontal="center" vertical="center"/>
    </xf>
    <xf numFmtId="0" fontId="119" fillId="0" borderId="0" xfId="3789" applyFont="1" applyAlignment="1">
      <alignment vertical="center"/>
    </xf>
    <xf numFmtId="0" fontId="119" fillId="0" borderId="254" xfId="3789" applyFont="1" applyBorder="1" applyAlignment="1">
      <alignment vertical="center"/>
    </xf>
    <xf numFmtId="0" fontId="278" fillId="0" borderId="254" xfId="3789" applyFont="1" applyBorder="1" applyAlignment="1">
      <alignment horizontal="right" vertical="center"/>
    </xf>
    <xf numFmtId="0" fontId="43" fillId="0" borderId="321" xfId="3789" applyFont="1" applyBorder="1" applyAlignment="1">
      <alignment horizontal="center" vertical="center"/>
    </xf>
    <xf numFmtId="0" fontId="43" fillId="0" borderId="321" xfId="3789" applyFont="1" applyBorder="1" applyAlignment="1">
      <alignment horizontal="center" vertical="center" wrapText="1"/>
    </xf>
    <xf numFmtId="0" fontId="42" fillId="0" borderId="290" xfId="3789" applyFont="1" applyBorder="1" applyAlignment="1">
      <alignment horizontal="left" vertical="center" indent="1"/>
    </xf>
    <xf numFmtId="0" fontId="42" fillId="0" borderId="291" xfId="3789" applyFont="1" applyBorder="1" applyAlignment="1">
      <alignment horizontal="center" vertical="center"/>
    </xf>
    <xf numFmtId="0" fontId="42" fillId="0" borderId="224" xfId="3789" applyFont="1" applyBorder="1" applyAlignment="1">
      <alignment horizontal="left" vertical="center" indent="1"/>
    </xf>
    <xf numFmtId="0" fontId="42" fillId="0" borderId="224" xfId="3789" applyFont="1" applyBorder="1" applyAlignment="1">
      <alignment horizontal="center" vertical="center"/>
    </xf>
    <xf numFmtId="0" fontId="42" fillId="0" borderId="292" xfId="3789" applyFont="1" applyBorder="1" applyAlignment="1">
      <alignment horizontal="center" vertical="center"/>
    </xf>
    <xf numFmtId="0" fontId="42" fillId="0" borderId="292" xfId="3789" applyFont="1" applyBorder="1" applyAlignment="1">
      <alignment horizontal="center" vertical="center" wrapText="1"/>
    </xf>
    <xf numFmtId="0" fontId="222" fillId="0" borderId="224" xfId="3789" applyFont="1" applyBorder="1" applyAlignment="1">
      <alignment horizontal="center" vertical="center"/>
    </xf>
    <xf numFmtId="0" fontId="249" fillId="0" borderId="292" xfId="3789" applyFont="1" applyBorder="1" applyAlignment="1">
      <alignment horizontal="center" vertical="center" wrapText="1"/>
    </xf>
    <xf numFmtId="0" fontId="42" fillId="34" borderId="224" xfId="3789" applyFont="1" applyFill="1" applyBorder="1" applyAlignment="1">
      <alignment horizontal="left" vertical="center" indent="1"/>
    </xf>
    <xf numFmtId="0" fontId="42" fillId="34" borderId="224" xfId="3789" applyFont="1" applyFill="1" applyBorder="1" applyAlignment="1">
      <alignment horizontal="center" vertical="center"/>
    </xf>
    <xf numFmtId="0" fontId="42" fillId="34" borderId="292" xfId="3789" applyFont="1" applyFill="1" applyBorder="1" applyAlignment="1">
      <alignment horizontal="center" vertical="center"/>
    </xf>
    <xf numFmtId="0" fontId="42" fillId="34" borderId="292" xfId="3789" applyFont="1" applyFill="1" applyBorder="1" applyAlignment="1">
      <alignment horizontal="center" vertical="center" wrapText="1"/>
    </xf>
    <xf numFmtId="0" fontId="42" fillId="34" borderId="293" xfId="3789" applyFont="1" applyFill="1" applyBorder="1" applyAlignment="1">
      <alignment horizontal="left" vertical="center" indent="1"/>
    </xf>
    <xf numFmtId="0" fontId="42" fillId="34" borderId="293" xfId="3789" applyFont="1" applyFill="1" applyBorder="1" applyAlignment="1">
      <alignment horizontal="center" vertical="center"/>
    </xf>
    <xf numFmtId="0" fontId="249" fillId="34" borderId="294" xfId="3789" applyFont="1" applyFill="1" applyBorder="1" applyAlignment="1">
      <alignment horizontal="center" vertical="center" wrapText="1"/>
    </xf>
    <xf numFmtId="0" fontId="206" fillId="0" borderId="292" xfId="3789" applyFont="1" applyBorder="1" applyAlignment="1">
      <alignment horizontal="center" vertical="center"/>
    </xf>
    <xf numFmtId="0" fontId="291" fillId="34" borderId="292" xfId="3789" applyFont="1" applyFill="1" applyBorder="1" applyAlignment="1">
      <alignment horizontal="center" vertical="center"/>
    </xf>
    <xf numFmtId="0" fontId="249" fillId="34" borderId="292" xfId="3789" applyFont="1" applyFill="1" applyBorder="1" applyAlignment="1">
      <alignment horizontal="center" vertical="center" wrapText="1"/>
    </xf>
    <xf numFmtId="0" fontId="249" fillId="34" borderId="292" xfId="3789" applyFont="1" applyFill="1" applyBorder="1" applyAlignment="1">
      <alignment horizontal="center" vertical="center"/>
    </xf>
    <xf numFmtId="0" fontId="42" fillId="0" borderId="293" xfId="3789" applyFont="1" applyBorder="1" applyAlignment="1">
      <alignment horizontal="left" vertical="center" indent="1"/>
    </xf>
    <xf numFmtId="0" fontId="42" fillId="0" borderId="293" xfId="3789" applyFont="1" applyBorder="1" applyAlignment="1">
      <alignment horizontal="center" vertical="center"/>
    </xf>
    <xf numFmtId="0" fontId="42" fillId="0" borderId="294" xfId="3789" applyFont="1" applyBorder="1" applyAlignment="1">
      <alignment horizontal="center" vertical="center" wrapText="1"/>
    </xf>
    <xf numFmtId="0" fontId="42" fillId="0" borderId="290" xfId="3789" applyFont="1" applyBorder="1" applyAlignment="1">
      <alignment horizontal="center" vertical="center" wrapText="1"/>
    </xf>
    <xf numFmtId="0" fontId="42" fillId="0" borderId="290" xfId="149" applyFont="1" applyBorder="1" applyAlignment="1">
      <alignment horizontal="left" wrapText="1" indent="1"/>
    </xf>
    <xf numFmtId="0" fontId="42" fillId="0" borderId="290" xfId="3789" applyFont="1" applyBorder="1" applyAlignment="1">
      <alignment horizontal="center" vertical="center"/>
    </xf>
    <xf numFmtId="0" fontId="42" fillId="34" borderId="224" xfId="149" applyFont="1" applyFill="1" applyBorder="1" applyAlignment="1">
      <alignment horizontal="left" wrapText="1" indent="1"/>
    </xf>
    <xf numFmtId="0" fontId="42" fillId="0" borderId="224" xfId="149" applyFont="1" applyBorder="1" applyAlignment="1">
      <alignment horizontal="left" wrapText="1" indent="1"/>
    </xf>
    <xf numFmtId="0" fontId="42" fillId="0" borderId="224" xfId="3789" applyFont="1" applyBorder="1" applyAlignment="1">
      <alignment horizontal="left" vertical="center"/>
    </xf>
    <xf numFmtId="0" fontId="42" fillId="0" borderId="292" xfId="3789" applyFont="1" applyBorder="1" applyAlignment="1">
      <alignment horizontal="left" vertical="center"/>
    </xf>
    <xf numFmtId="0" fontId="42" fillId="0" borderId="293" xfId="149" applyFont="1" applyBorder="1" applyAlignment="1">
      <alignment horizontal="left" wrapText="1" indent="1"/>
    </xf>
    <xf numFmtId="0" fontId="42" fillId="0" borderId="294" xfId="3789" applyFont="1" applyBorder="1" applyAlignment="1">
      <alignment horizontal="center" vertical="center"/>
    </xf>
    <xf numFmtId="0" fontId="292" fillId="0" borderId="0" xfId="3789" applyFont="1" applyAlignment="1">
      <alignment vertical="center"/>
    </xf>
    <xf numFmtId="0" fontId="292" fillId="0" borderId="254" xfId="3789" applyFont="1" applyBorder="1" applyAlignment="1">
      <alignment vertical="center"/>
    </xf>
    <xf numFmtId="0" fontId="280" fillId="0" borderId="254" xfId="3789" applyFont="1" applyBorder="1" applyAlignment="1">
      <alignment horizontal="right" vertical="center"/>
    </xf>
    <xf numFmtId="15" fontId="43" fillId="0" borderId="325" xfId="3789" applyNumberFormat="1" applyFont="1" applyBorder="1" applyAlignment="1">
      <alignment horizontal="center" vertical="center"/>
    </xf>
    <xf numFmtId="0" fontId="43" fillId="0" borderId="325" xfId="3789" applyFont="1" applyBorder="1" applyAlignment="1">
      <alignment horizontal="center" vertical="center"/>
    </xf>
    <xf numFmtId="0" fontId="43" fillId="0" borderId="325" xfId="3789" applyFont="1" applyBorder="1" applyAlignment="1">
      <alignment horizontal="center" vertical="center" wrapText="1"/>
    </xf>
    <xf numFmtId="0" fontId="42" fillId="0" borderId="326" xfId="3789" applyFont="1" applyBorder="1" applyAlignment="1">
      <alignment horizontal="center" vertical="center" wrapText="1"/>
    </xf>
    <xf numFmtId="0" fontId="61" fillId="0" borderId="291" xfId="3789" applyFont="1" applyBorder="1" applyAlignment="1">
      <alignment horizontal="center" vertical="center"/>
    </xf>
    <xf numFmtId="0" fontId="42" fillId="34" borderId="293" xfId="3789" applyFont="1" applyFill="1" applyBorder="1" applyAlignment="1">
      <alignment horizontal="center" vertical="center" wrapText="1"/>
    </xf>
    <xf numFmtId="0" fontId="249" fillId="34" borderId="294" xfId="3789" applyFont="1" applyFill="1" applyBorder="1" applyAlignment="1">
      <alignment horizontal="center" vertical="center"/>
    </xf>
    <xf numFmtId="0" fontId="42" fillId="0" borderId="312" xfId="3789" applyFont="1" applyBorder="1" applyAlignment="1">
      <alignment horizontal="center" vertical="center" wrapText="1"/>
    </xf>
    <xf numFmtId="0" fontId="42" fillId="0" borderId="228" xfId="3789" applyFont="1" applyBorder="1" applyAlignment="1">
      <alignment horizontal="center" vertical="center" wrapText="1"/>
    </xf>
    <xf numFmtId="0" fontId="42" fillId="0" borderId="228" xfId="3789" applyFont="1" applyBorder="1" applyAlignment="1">
      <alignment horizontal="left" vertical="center" indent="1"/>
    </xf>
    <xf numFmtId="0" fontId="42" fillId="0" borderId="228" xfId="3789" applyFont="1" applyBorder="1" applyAlignment="1">
      <alignment horizontal="center" vertical="center"/>
    </xf>
    <xf numFmtId="0" fontId="249" fillId="0" borderId="327" xfId="3789" applyFont="1" applyBorder="1" applyAlignment="1">
      <alignment horizontal="center" vertical="center"/>
    </xf>
    <xf numFmtId="0" fontId="42" fillId="0" borderId="313" xfId="3789" applyFont="1" applyBorder="1" applyAlignment="1">
      <alignment horizontal="center" vertical="center" wrapText="1"/>
    </xf>
    <xf numFmtId="0" fontId="42" fillId="0" borderId="313" xfId="3789" applyFont="1" applyBorder="1" applyAlignment="1">
      <alignment horizontal="left" vertical="center" indent="1"/>
    </xf>
    <xf numFmtId="0" fontId="42" fillId="0" borderId="313" xfId="3789" applyFont="1" applyBorder="1" applyAlignment="1">
      <alignment horizontal="center" vertical="center"/>
    </xf>
    <xf numFmtId="0" fontId="42" fillId="0" borderId="314" xfId="3789" applyFont="1" applyBorder="1" applyAlignment="1">
      <alignment horizontal="center" vertical="center"/>
    </xf>
    <xf numFmtId="0" fontId="42" fillId="34" borderId="224" xfId="3789" applyFont="1" applyFill="1" applyBorder="1" applyAlignment="1">
      <alignment horizontal="center" vertical="center" wrapText="1"/>
    </xf>
    <xf numFmtId="0" fontId="293" fillId="0" borderId="0" xfId="3789" applyFont="1" applyAlignment="1">
      <alignment vertical="center"/>
    </xf>
    <xf numFmtId="0" fontId="293" fillId="0" borderId="254" xfId="3789" applyFont="1" applyBorder="1" applyAlignment="1">
      <alignment vertical="center"/>
    </xf>
    <xf numFmtId="0" fontId="283" fillId="0" borderId="254" xfId="3789" applyFont="1" applyBorder="1" applyAlignment="1">
      <alignment horizontal="right" vertical="center"/>
    </xf>
    <xf numFmtId="0" fontId="43" fillId="0" borderId="328" xfId="3789" applyFont="1" applyBorder="1" applyAlignment="1">
      <alignment horizontal="center" vertical="center"/>
    </xf>
    <xf numFmtId="0" fontId="43" fillId="0" borderId="328" xfId="3789" applyFont="1" applyBorder="1" applyAlignment="1">
      <alignment horizontal="center" vertical="center" wrapText="1"/>
    </xf>
    <xf numFmtId="0" fontId="258" fillId="0" borderId="291" xfId="3789" applyFont="1" applyBorder="1" applyAlignment="1">
      <alignment horizontal="center" vertical="center"/>
    </xf>
    <xf numFmtId="0" fontId="55" fillId="34" borderId="224" xfId="3789" applyFont="1" applyFill="1" applyBorder="1" applyAlignment="1">
      <alignment horizontal="left" vertical="center" indent="1"/>
    </xf>
    <xf numFmtId="0" fontId="258" fillId="34" borderId="292" xfId="3789" applyFont="1" applyFill="1" applyBorder="1" applyAlignment="1">
      <alignment horizontal="center" vertical="center" wrapText="1"/>
    </xf>
    <xf numFmtId="0" fontId="97" fillId="0" borderId="292" xfId="3789" applyFont="1" applyBorder="1" applyAlignment="1">
      <alignment horizontal="center" vertical="center" wrapText="1"/>
    </xf>
    <xf numFmtId="0" fontId="249" fillId="0" borderId="292" xfId="3789" applyFont="1" applyBorder="1" applyAlignment="1">
      <alignment horizontal="center" vertical="center"/>
    </xf>
    <xf numFmtId="0" fontId="250" fillId="0" borderId="292" xfId="3789" applyFont="1" applyBorder="1" applyAlignment="1">
      <alignment horizontal="center" vertical="center"/>
    </xf>
    <xf numFmtId="0" fontId="250" fillId="0" borderId="292" xfId="3789" applyFont="1" applyBorder="1" applyAlignment="1">
      <alignment horizontal="center" vertical="center" wrapText="1"/>
    </xf>
    <xf numFmtId="0" fontId="55" fillId="0" borderId="293" xfId="3789" applyFont="1" applyBorder="1" applyAlignment="1">
      <alignment horizontal="left" vertical="center" indent="1"/>
    </xf>
    <xf numFmtId="0" fontId="249" fillId="0" borderId="294" xfId="3789" applyFont="1" applyBorder="1" applyAlignment="1">
      <alignment horizontal="center" vertical="center" wrapText="1"/>
    </xf>
    <xf numFmtId="0" fontId="251" fillId="34" borderId="292" xfId="3789" applyFont="1" applyFill="1" applyBorder="1" applyAlignment="1">
      <alignment horizontal="center" vertical="center"/>
    </xf>
    <xf numFmtId="0" fontId="42" fillId="0" borderId="293" xfId="3789" applyFont="1" applyBorder="1" applyAlignment="1">
      <alignment horizontal="center" vertical="center" wrapText="1"/>
    </xf>
    <xf numFmtId="0" fontId="258" fillId="0" borderId="292" xfId="3789" applyFont="1" applyBorder="1" applyAlignment="1">
      <alignment horizontal="center" vertical="center"/>
    </xf>
    <xf numFmtId="0" fontId="61" fillId="34" borderId="292" xfId="3789" applyFont="1" applyFill="1" applyBorder="1" applyAlignment="1">
      <alignment horizontal="center" vertical="center"/>
    </xf>
    <xf numFmtId="0" fontId="258" fillId="34" borderId="292" xfId="3789" applyFont="1" applyFill="1" applyBorder="1" applyAlignment="1">
      <alignment horizontal="center" vertical="center"/>
    </xf>
    <xf numFmtId="0" fontId="61" fillId="0" borderId="292" xfId="3789" applyFont="1" applyBorder="1" applyAlignment="1">
      <alignment horizontal="center" vertical="center"/>
    </xf>
    <xf numFmtId="0" fontId="55" fillId="0" borderId="224" xfId="3789" applyFont="1" applyBorder="1" applyAlignment="1">
      <alignment horizontal="left" vertical="center" indent="1"/>
    </xf>
    <xf numFmtId="0" fontId="42" fillId="0" borderId="219" xfId="3789" applyFont="1" applyBorder="1" applyAlignment="1">
      <alignment horizontal="center" vertical="center" wrapText="1"/>
    </xf>
    <xf numFmtId="0" fontId="42" fillId="0" borderId="314" xfId="3789" applyFont="1" applyBorder="1" applyAlignment="1">
      <alignment horizontal="center" vertical="center" wrapText="1"/>
    </xf>
    <xf numFmtId="0" fontId="42" fillId="0" borderId="224" xfId="3789" applyFont="1" applyBorder="1" applyAlignment="1">
      <alignment horizontal="center" vertical="center" wrapText="1"/>
    </xf>
    <xf numFmtId="0" fontId="285" fillId="0" borderId="254" xfId="3789" applyFont="1" applyBorder="1" applyAlignment="1">
      <alignment horizontal="right" vertical="center"/>
    </xf>
    <xf numFmtId="15" fontId="43" fillId="0" borderId="329" xfId="3789" applyNumberFormat="1" applyFont="1" applyBorder="1" applyAlignment="1">
      <alignment horizontal="center" vertical="center"/>
    </xf>
    <xf numFmtId="0" fontId="43" fillId="0" borderId="329" xfId="3789" applyFont="1" applyBorder="1" applyAlignment="1">
      <alignment horizontal="center" vertical="center"/>
    </xf>
    <xf numFmtId="0" fontId="43" fillId="0" borderId="329" xfId="3789" applyFont="1" applyBorder="1" applyAlignment="1">
      <alignment horizontal="center" vertical="center" wrapText="1"/>
    </xf>
    <xf numFmtId="0" fontId="42" fillId="0" borderId="330" xfId="3789" applyFont="1" applyBorder="1" applyAlignment="1">
      <alignment horizontal="center" vertical="center" wrapText="1"/>
    </xf>
    <xf numFmtId="0" fontId="286" fillId="0" borderId="254" xfId="3789" applyFont="1" applyBorder="1" applyAlignment="1">
      <alignment horizontal="right" vertical="center"/>
    </xf>
    <xf numFmtId="0" fontId="117" fillId="0" borderId="331" xfId="3789" applyFont="1" applyBorder="1" applyAlignment="1">
      <alignment horizontal="center" vertical="center"/>
    </xf>
    <xf numFmtId="0" fontId="43" fillId="0" borderId="331" xfId="3789" applyFont="1" applyBorder="1" applyAlignment="1">
      <alignment horizontal="center" vertical="center"/>
    </xf>
    <xf numFmtId="0" fontId="43" fillId="0" borderId="331" xfId="3789" applyFont="1" applyBorder="1" applyAlignment="1">
      <alignment horizontal="center" vertical="center" wrapText="1"/>
    </xf>
    <xf numFmtId="0" fontId="118" fillId="34" borderId="224" xfId="3789" applyFont="1" applyFill="1" applyBorder="1" applyAlignment="1">
      <alignment horizontal="center" vertical="center"/>
    </xf>
    <xf numFmtId="0" fontId="252" fillId="34" borderId="292" xfId="3789" applyFont="1" applyFill="1" applyBorder="1" applyAlignment="1">
      <alignment horizontal="center" vertical="center" wrapText="1"/>
    </xf>
    <xf numFmtId="0" fontId="252" fillId="0" borderId="292" xfId="3789" applyFont="1" applyBorder="1" applyAlignment="1">
      <alignment horizontal="center" vertical="center" wrapText="1"/>
    </xf>
    <xf numFmtId="0" fontId="97" fillId="34" borderId="292" xfId="3789" applyFont="1" applyFill="1" applyBorder="1" applyAlignment="1">
      <alignment horizontal="center" vertical="center" wrapText="1"/>
    </xf>
    <xf numFmtId="0" fontId="42" fillId="34" borderId="224" xfId="3789" applyFont="1" applyFill="1" applyBorder="1" applyAlignment="1">
      <alignment horizontal="left" vertical="center" wrapText="1" indent="1"/>
    </xf>
    <xf numFmtId="0" fontId="253" fillId="34" borderId="292" xfId="3789" applyFont="1" applyFill="1" applyBorder="1" applyAlignment="1">
      <alignment horizontal="center" vertical="center"/>
    </xf>
    <xf numFmtId="0" fontId="261" fillId="34" borderId="224" xfId="3789" applyFont="1" applyFill="1" applyBorder="1" applyAlignment="1">
      <alignment horizontal="center" vertical="center"/>
    </xf>
    <xf numFmtId="0" fontId="38" fillId="34" borderId="224" xfId="3789" applyFont="1" applyFill="1" applyBorder="1" applyAlignment="1">
      <alignment horizontal="left" vertical="center" indent="1"/>
    </xf>
    <xf numFmtId="15" fontId="252" fillId="34" borderId="292" xfId="3789" applyNumberFormat="1" applyFont="1" applyFill="1" applyBorder="1" applyAlignment="1">
      <alignment horizontal="center" vertical="center"/>
    </xf>
    <xf numFmtId="15" fontId="249" fillId="0" borderId="292" xfId="3789" applyNumberFormat="1" applyFont="1" applyBorder="1" applyAlignment="1">
      <alignment horizontal="center" vertical="center"/>
    </xf>
    <xf numFmtId="0" fontId="42" fillId="34" borderId="313" xfId="3789" applyFont="1" applyFill="1" applyBorder="1" applyAlignment="1">
      <alignment horizontal="left" vertical="center" indent="1"/>
    </xf>
    <xf numFmtId="0" fontId="42" fillId="34" borderId="313" xfId="3789" applyFont="1" applyFill="1" applyBorder="1" applyAlignment="1">
      <alignment horizontal="center" vertical="center"/>
    </xf>
    <xf numFmtId="0" fontId="42" fillId="34" borderId="314" xfId="3789" applyFont="1" applyFill="1" applyBorder="1" applyAlignment="1">
      <alignment horizontal="center" vertical="center"/>
    </xf>
    <xf numFmtId="0" fontId="254" fillId="0" borderId="294" xfId="3789" applyFont="1" applyBorder="1" applyAlignment="1">
      <alignment horizontal="center" vertical="center"/>
    </xf>
    <xf numFmtId="0" fontId="1" fillId="22" borderId="0" xfId="3789" applyFill="1" applyAlignment="1">
      <alignment vertical="center"/>
    </xf>
    <xf numFmtId="0" fontId="190" fillId="22" borderId="0" xfId="3789" applyFont="1" applyFill="1" applyAlignment="1">
      <alignment vertical="center"/>
    </xf>
    <xf numFmtId="0" fontId="190" fillId="22" borderId="254" xfId="3789" applyFont="1" applyFill="1" applyBorder="1" applyAlignment="1">
      <alignment vertical="center"/>
    </xf>
    <xf numFmtId="0" fontId="294" fillId="22" borderId="254" xfId="3789" applyFont="1" applyFill="1" applyBorder="1" applyAlignment="1">
      <alignment horizontal="right" vertical="center"/>
    </xf>
    <xf numFmtId="15" fontId="43" fillId="22" borderId="332" xfId="3789" applyNumberFormat="1" applyFont="1" applyFill="1" applyBorder="1" applyAlignment="1">
      <alignment horizontal="center" vertical="center"/>
    </xf>
    <xf numFmtId="0" fontId="43" fillId="22" borderId="332" xfId="3789" applyFont="1" applyFill="1" applyBorder="1" applyAlignment="1">
      <alignment horizontal="center" vertical="center"/>
    </xf>
    <xf numFmtId="0" fontId="43" fillId="22" borderId="332" xfId="3789" applyFont="1" applyFill="1" applyBorder="1" applyAlignment="1">
      <alignment horizontal="center" vertical="center" wrapText="1"/>
    </xf>
    <xf numFmtId="0" fontId="42" fillId="0" borderId="291" xfId="3789" applyFont="1" applyBorder="1" applyAlignment="1">
      <alignment horizontal="center" vertical="center" wrapText="1"/>
    </xf>
    <xf numFmtId="0" fontId="42" fillId="34" borderId="294" xfId="3789" applyFont="1" applyFill="1" applyBorder="1" applyAlignment="1">
      <alignment horizontal="center" vertical="center" wrapText="1"/>
    </xf>
    <xf numFmtId="0" fontId="42" fillId="0" borderId="327" xfId="3789" applyFont="1" applyBorder="1" applyAlignment="1">
      <alignment horizontal="center" vertical="center" wrapText="1"/>
    </xf>
    <xf numFmtId="0" fontId="43" fillId="32" borderId="254" xfId="0" applyFont="1" applyFill="1" applyBorder="1" applyAlignment="1">
      <alignment horizontal="right" vertical="center"/>
    </xf>
    <xf numFmtId="0" fontId="43" fillId="32" borderId="0" xfId="0" applyFont="1" applyFill="1" applyAlignment="1">
      <alignment horizontal="right" vertical="center"/>
    </xf>
    <xf numFmtId="0" fontId="42" fillId="0" borderId="0" xfId="0" applyFont="1" applyAlignment="1">
      <alignment horizontal="center"/>
    </xf>
    <xf numFmtId="0" fontId="262" fillId="0" borderId="0" xfId="0" applyFont="1" applyAlignment="1">
      <alignment vertical="center" wrapText="1"/>
    </xf>
    <xf numFmtId="0" fontId="32" fillId="0" borderId="0" xfId="0" applyFont="1" applyAlignment="1">
      <alignment horizontal="left" vertical="center" wrapText="1"/>
    </xf>
    <xf numFmtId="0" fontId="32" fillId="0" borderId="0" xfId="0" applyFont="1"/>
    <xf numFmtId="0" fontId="166" fillId="35" borderId="287" xfId="0" applyFont="1" applyFill="1" applyBorder="1" applyAlignment="1">
      <alignment horizontal="center" vertical="center" wrapText="1"/>
    </xf>
    <xf numFmtId="0" fontId="166" fillId="35" borderId="287" xfId="0" applyFont="1" applyFill="1" applyBorder="1" applyAlignment="1">
      <alignment horizontal="center" vertical="center"/>
    </xf>
    <xf numFmtId="0" fontId="166" fillId="35" borderId="288" xfId="0" applyFont="1" applyFill="1" applyBorder="1" applyAlignment="1">
      <alignment horizontal="center" vertical="center" wrapText="1"/>
    </xf>
    <xf numFmtId="0" fontId="166" fillId="35" borderId="10" xfId="0" applyFont="1" applyFill="1" applyBorder="1" applyAlignment="1">
      <alignment horizontal="center" vertical="center" wrapText="1"/>
    </xf>
    <xf numFmtId="0" fontId="166" fillId="35" borderId="0" xfId="0" applyFont="1" applyFill="1" applyAlignment="1">
      <alignment horizontal="center" vertical="center" wrapText="1"/>
    </xf>
    <xf numFmtId="0" fontId="32" fillId="35" borderId="287" xfId="0" applyFont="1" applyFill="1" applyBorder="1" applyAlignment="1">
      <alignment horizontal="center" vertical="center" wrapText="1"/>
    </xf>
    <xf numFmtId="0" fontId="32" fillId="35" borderId="10" xfId="0" applyFont="1" applyFill="1" applyBorder="1" applyAlignment="1">
      <alignment horizontal="center" vertical="center" wrapText="1"/>
    </xf>
    <xf numFmtId="0" fontId="32" fillId="35" borderId="0" xfId="0" applyFont="1" applyFill="1" applyAlignment="1">
      <alignment horizontal="center" vertical="center" wrapText="1"/>
    </xf>
    <xf numFmtId="0" fontId="166" fillId="0" borderId="0" xfId="0" applyFont="1"/>
    <xf numFmtId="0" fontId="166" fillId="0" borderId="287" xfId="0" applyFont="1" applyBorder="1" applyAlignment="1">
      <alignment vertical="center"/>
    </xf>
    <xf numFmtId="0" fontId="166" fillId="0" borderId="287" xfId="0" applyFont="1" applyBorder="1" applyAlignment="1">
      <alignment horizontal="center" vertical="center"/>
    </xf>
    <xf numFmtId="0" fontId="166" fillId="0" borderId="288" xfId="0" applyFont="1" applyBorder="1" applyAlignment="1">
      <alignment horizontal="center" vertical="center" wrapText="1"/>
    </xf>
    <xf numFmtId="0" fontId="166" fillId="0" borderId="287" xfId="452" applyFont="1" applyBorder="1" applyAlignment="1">
      <alignment horizontal="center" vertical="center" wrapText="1"/>
    </xf>
    <xf numFmtId="0" fontId="166" fillId="0" borderId="287" xfId="452" applyFont="1" applyBorder="1" applyAlignment="1">
      <alignment horizontal="center" vertical="center"/>
    </xf>
    <xf numFmtId="0" fontId="32" fillId="0" borderId="287" xfId="0" applyFont="1" applyBorder="1" applyAlignment="1">
      <alignment vertical="center"/>
    </xf>
    <xf numFmtId="0" fontId="32" fillId="0" borderId="287" xfId="0" applyFont="1" applyBorder="1" applyAlignment="1">
      <alignment horizontal="center" vertical="center"/>
    </xf>
    <xf numFmtId="0" fontId="32" fillId="0" borderId="287" xfId="0" applyFont="1" applyBorder="1" applyAlignment="1">
      <alignment horizontal="center"/>
    </xf>
    <xf numFmtId="171" fontId="32" fillId="0" borderId="288" xfId="0" applyNumberFormat="1" applyFont="1" applyBorder="1" applyAlignment="1">
      <alignment horizontal="center" vertical="center"/>
    </xf>
    <xf numFmtId="168" fontId="32" fillId="0" borderId="287" xfId="0" applyNumberFormat="1" applyFont="1" applyBorder="1" applyAlignment="1">
      <alignment horizontal="center"/>
    </xf>
    <xf numFmtId="191" fontId="32" fillId="0" borderId="287" xfId="452" applyNumberFormat="1" applyFont="1" applyBorder="1" applyAlignment="1">
      <alignment horizontal="center"/>
    </xf>
    <xf numFmtId="191" fontId="32" fillId="0" borderId="287" xfId="820" applyNumberFormat="1" applyFont="1" applyBorder="1" applyAlignment="1">
      <alignment horizontal="center"/>
    </xf>
    <xf numFmtId="0" fontId="166" fillId="0" borderId="287" xfId="0" applyFont="1" applyBorder="1" applyAlignment="1">
      <alignment horizontal="center"/>
    </xf>
    <xf numFmtId="171" fontId="166" fillId="0" borderId="288" xfId="0" applyNumberFormat="1" applyFont="1" applyBorder="1" applyAlignment="1">
      <alignment horizontal="center" vertical="center"/>
    </xf>
    <xf numFmtId="168" fontId="166" fillId="0" borderId="287" xfId="0" applyNumberFormat="1" applyFont="1" applyBorder="1" applyAlignment="1">
      <alignment horizontal="center"/>
    </xf>
    <xf numFmtId="168" fontId="166" fillId="0" borderId="287" xfId="452" applyNumberFormat="1" applyFont="1" applyBorder="1" applyAlignment="1">
      <alignment horizontal="center"/>
    </xf>
    <xf numFmtId="0" fontId="166" fillId="0" borderId="286" xfId="0" applyFont="1" applyBorder="1" applyAlignment="1">
      <alignment horizontal="center" vertical="center" wrapText="1"/>
    </xf>
    <xf numFmtId="0" fontId="166" fillId="0" borderId="286" xfId="0" applyFont="1" applyBorder="1" applyAlignment="1">
      <alignment horizontal="center" vertical="center"/>
    </xf>
    <xf numFmtId="0" fontId="166" fillId="0" borderId="286" xfId="144" applyFont="1" applyBorder="1" applyAlignment="1">
      <alignment vertical="center"/>
    </xf>
    <xf numFmtId="0" fontId="166" fillId="0" borderId="286" xfId="2462" applyFont="1" applyBorder="1" applyAlignment="1">
      <alignment horizontal="center" vertical="center"/>
    </xf>
    <xf numFmtId="0" fontId="166" fillId="0" borderId="287" xfId="0" applyFont="1" applyBorder="1" applyAlignment="1">
      <alignment horizontal="center" vertical="center" wrapText="1"/>
    </xf>
    <xf numFmtId="0" fontId="32" fillId="0" borderId="287" xfId="2462" applyFont="1" applyBorder="1"/>
    <xf numFmtId="171" fontId="32" fillId="0" borderId="287" xfId="0" applyNumberFormat="1" applyFont="1" applyBorder="1" applyAlignment="1">
      <alignment horizontal="center" vertical="center"/>
    </xf>
    <xf numFmtId="168" fontId="32" fillId="0" borderId="287" xfId="0" applyNumberFormat="1" applyFont="1" applyBorder="1" applyAlignment="1">
      <alignment horizontal="center" vertical="center"/>
    </xf>
    <xf numFmtId="168" fontId="32" fillId="0" borderId="287" xfId="452" applyNumberFormat="1" applyFont="1" applyBorder="1" applyAlignment="1">
      <alignment horizontal="center" vertical="center"/>
    </xf>
    <xf numFmtId="168" fontId="32" fillId="0" borderId="287" xfId="452" applyNumberFormat="1" applyFont="1" applyBorder="1" applyAlignment="1">
      <alignment horizontal="center" vertical="center" wrapText="1"/>
    </xf>
    <xf numFmtId="0" fontId="32" fillId="0" borderId="286" xfId="0" applyFont="1" applyBorder="1" applyAlignment="1">
      <alignment horizontal="center" vertical="center" wrapText="1"/>
    </xf>
    <xf numFmtId="0" fontId="32" fillId="0" borderId="287" xfId="238" applyFont="1" applyBorder="1" applyAlignment="1">
      <alignment vertical="center"/>
    </xf>
    <xf numFmtId="0" fontId="32" fillId="0" borderId="287" xfId="0" applyFont="1" applyBorder="1" applyAlignment="1">
      <alignment horizontal="center" vertical="center" wrapText="1"/>
    </xf>
    <xf numFmtId="0" fontId="166" fillId="0" borderId="289" xfId="2462" applyFont="1" applyBorder="1" applyAlignment="1">
      <alignment horizontal="center" vertical="center"/>
    </xf>
    <xf numFmtId="171" fontId="166" fillId="0" borderId="287" xfId="0" applyNumberFormat="1" applyFont="1" applyBorder="1" applyAlignment="1">
      <alignment horizontal="center" vertical="center"/>
    </xf>
    <xf numFmtId="168" fontId="166" fillId="0" borderId="287" xfId="0" applyNumberFormat="1" applyFont="1" applyBorder="1" applyAlignment="1">
      <alignment horizontal="center" vertical="center"/>
    </xf>
    <xf numFmtId="168" fontId="166" fillId="0" borderId="287" xfId="452" applyNumberFormat="1" applyFont="1" applyBorder="1" applyAlignment="1">
      <alignment horizontal="center" vertical="center"/>
    </xf>
    <xf numFmtId="168" fontId="166" fillId="44" borderId="287" xfId="0" applyNumberFormat="1" applyFont="1" applyFill="1" applyBorder="1" applyAlignment="1">
      <alignment horizontal="center"/>
    </xf>
    <xf numFmtId="0" fontId="166" fillId="44" borderId="287" xfId="0" applyFont="1" applyFill="1" applyBorder="1" applyAlignment="1">
      <alignment horizontal="center" vertical="center"/>
    </xf>
    <xf numFmtId="0" fontId="268" fillId="0" borderId="287" xfId="0" applyFont="1" applyBorder="1" applyAlignment="1">
      <alignment horizontal="center" vertical="center" wrapText="1"/>
    </xf>
    <xf numFmtId="0" fontId="45" fillId="0" borderId="287" xfId="0" applyFont="1" applyBorder="1" applyAlignment="1">
      <alignment horizontal="center" vertical="center"/>
    </xf>
    <xf numFmtId="0" fontId="24" fillId="0" borderId="287" xfId="452" applyFont="1" applyBorder="1" applyAlignment="1">
      <alignment horizontal="center" vertical="center" wrapText="1"/>
    </xf>
    <xf numFmtId="0" fontId="24" fillId="0" borderId="287" xfId="452" applyFont="1" applyBorder="1" applyAlignment="1">
      <alignment horizontal="center" vertical="center"/>
    </xf>
    <xf numFmtId="0" fontId="195" fillId="0" borderId="287" xfId="3790" applyFont="1" applyBorder="1" applyAlignment="1">
      <alignment horizontal="center" vertical="center" wrapText="1"/>
    </xf>
    <xf numFmtId="0" fontId="158" fillId="0" borderId="287" xfId="0" applyFont="1" applyBorder="1" applyAlignment="1">
      <alignment horizontal="center" vertical="center" wrapText="1"/>
    </xf>
    <xf numFmtId="182" fontId="158" fillId="0" borderId="287" xfId="0" applyNumberFormat="1" applyFont="1" applyBorder="1" applyAlignment="1">
      <alignment horizontal="center" vertical="center" wrapText="1"/>
    </xf>
    <xf numFmtId="171" fontId="158" fillId="0" borderId="287" xfId="0" applyNumberFormat="1" applyFont="1" applyBorder="1" applyAlignment="1">
      <alignment horizontal="center" vertical="center" wrapText="1"/>
    </xf>
    <xf numFmtId="168" fontId="158" fillId="0" borderId="287" xfId="0" applyNumberFormat="1" applyFont="1" applyBorder="1" applyAlignment="1">
      <alignment horizontal="center" vertical="center" wrapText="1"/>
    </xf>
    <xf numFmtId="168" fontId="60" fillId="0" borderId="287" xfId="825" applyNumberFormat="1" applyFont="1" applyBorder="1" applyAlignment="1">
      <alignment horizontal="center"/>
    </xf>
    <xf numFmtId="168" fontId="74" fillId="0" borderId="287" xfId="3790" applyNumberFormat="1" applyFont="1" applyBorder="1" applyAlignment="1">
      <alignment horizontal="center" wrapText="1"/>
    </xf>
    <xf numFmtId="168" fontId="74" fillId="0" borderId="287" xfId="3790" applyNumberFormat="1" applyFont="1" applyBorder="1" applyAlignment="1">
      <alignment horizontal="center" vertical="top" wrapText="1"/>
    </xf>
    <xf numFmtId="182" fontId="268" fillId="0" borderId="287" xfId="0" applyNumberFormat="1" applyFont="1" applyBorder="1" applyAlignment="1">
      <alignment horizontal="center" vertical="center" wrapText="1"/>
    </xf>
    <xf numFmtId="171" fontId="268" fillId="0" borderId="287" xfId="0" applyNumberFormat="1" applyFont="1" applyBorder="1" applyAlignment="1">
      <alignment horizontal="center" vertical="center" wrapText="1"/>
    </xf>
    <xf numFmtId="168" fontId="268" fillId="0" borderId="287" xfId="0" applyNumberFormat="1" applyFont="1" applyBorder="1" applyAlignment="1">
      <alignment horizontal="center" vertical="center" wrapText="1"/>
    </xf>
    <xf numFmtId="168" fontId="181" fillId="0" borderId="287" xfId="825" applyNumberFormat="1" applyFont="1" applyBorder="1" applyAlignment="1">
      <alignment horizontal="center"/>
    </xf>
    <xf numFmtId="168" fontId="138" fillId="0" borderId="287" xfId="3790" applyNumberFormat="1" applyFont="1" applyBorder="1" applyAlignment="1">
      <alignment horizontal="center" vertical="top" wrapText="1"/>
    </xf>
    <xf numFmtId="0" fontId="32" fillId="0" borderId="0" xfId="0" applyFont="1" applyAlignment="1">
      <alignment horizontal="center" vertical="center" wrapText="1"/>
    </xf>
    <xf numFmtId="0" fontId="166" fillId="0" borderId="287" xfId="0" applyFont="1" applyBorder="1"/>
    <xf numFmtId="0" fontId="166" fillId="0" borderId="287" xfId="3790" applyFont="1" applyBorder="1" applyAlignment="1">
      <alignment horizontal="center" vertical="center" wrapText="1"/>
    </xf>
    <xf numFmtId="0" fontId="32" fillId="0" borderId="287" xfId="239" applyFont="1" applyBorder="1" applyAlignment="1">
      <alignment horizontal="left" vertical="top"/>
    </xf>
    <xf numFmtId="182" fontId="32" fillId="0" borderId="287" xfId="239" applyNumberFormat="1" applyFont="1" applyBorder="1" applyAlignment="1">
      <alignment horizontal="center" vertical="center"/>
    </xf>
    <xf numFmtId="171" fontId="32" fillId="0" borderId="287" xfId="239" applyNumberFormat="1" applyFont="1" applyBorder="1" applyAlignment="1">
      <alignment horizontal="center" vertical="center"/>
    </xf>
    <xf numFmtId="191" fontId="32" fillId="0" borderId="287" xfId="452" applyNumberFormat="1" applyFont="1" applyBorder="1" applyAlignment="1">
      <alignment horizontal="center" vertical="center"/>
    </xf>
    <xf numFmtId="9" fontId="32" fillId="0" borderId="287" xfId="452" applyNumberFormat="1" applyFont="1" applyBorder="1" applyAlignment="1">
      <alignment horizontal="center" vertical="center"/>
    </xf>
    <xf numFmtId="0" fontId="32" fillId="0" borderId="287" xfId="239" applyFont="1" applyBorder="1" applyAlignment="1">
      <alignment horizontal="center" vertical="center"/>
    </xf>
    <xf numFmtId="0" fontId="32" fillId="0" borderId="287" xfId="452" applyFont="1" applyBorder="1" applyAlignment="1">
      <alignment horizontal="center" vertical="center"/>
    </xf>
    <xf numFmtId="0" fontId="32" fillId="0" borderId="287" xfId="239" applyFont="1" applyBorder="1" applyAlignment="1">
      <alignment horizontal="center" vertical="center" wrapText="1"/>
    </xf>
    <xf numFmtId="0" fontId="32" fillId="0" borderId="287" xfId="239" applyFont="1" applyBorder="1" applyAlignment="1">
      <alignment horizontal="left" vertical="center"/>
    </xf>
    <xf numFmtId="182" fontId="166" fillId="0" borderId="287" xfId="0" applyNumberFormat="1" applyFont="1" applyBorder="1" applyAlignment="1">
      <alignment horizontal="center" vertical="center"/>
    </xf>
    <xf numFmtId="171" fontId="166" fillId="0" borderId="287" xfId="239" applyNumberFormat="1" applyFont="1" applyBorder="1" applyAlignment="1">
      <alignment horizontal="center" vertical="center"/>
    </xf>
    <xf numFmtId="191" fontId="166" fillId="0" borderId="287" xfId="452" applyNumberFormat="1" applyFont="1" applyBorder="1" applyAlignment="1">
      <alignment horizontal="center" vertical="center"/>
    </xf>
    <xf numFmtId="0" fontId="45" fillId="44" borderId="287" xfId="0" applyFont="1" applyFill="1" applyBorder="1" applyAlignment="1">
      <alignment horizontal="center" vertical="center"/>
    </xf>
    <xf numFmtId="168" fontId="268" fillId="44" borderId="287" xfId="0" applyNumberFormat="1" applyFont="1" applyFill="1" applyBorder="1" applyAlignment="1">
      <alignment horizontal="center" vertical="center" wrapText="1"/>
    </xf>
    <xf numFmtId="0" fontId="61" fillId="26" borderId="258" xfId="0" applyFont="1" applyFill="1" applyBorder="1" applyAlignment="1">
      <alignment horizontal="center" vertical="center"/>
    </xf>
    <xf numFmtId="0" fontId="61" fillId="23" borderId="287" xfId="0" applyFont="1" applyFill="1" applyBorder="1" applyAlignment="1">
      <alignment horizontal="center" vertical="center"/>
    </xf>
    <xf numFmtId="0" fontId="32" fillId="0" borderId="287" xfId="246" applyFont="1" applyBorder="1" applyAlignment="1">
      <alignment horizontal="center" vertical="center"/>
    </xf>
    <xf numFmtId="0" fontId="61" fillId="0" borderId="287" xfId="246" applyFont="1" applyBorder="1" applyAlignment="1">
      <alignment horizontal="center" vertical="center"/>
    </xf>
    <xf numFmtId="0" fontId="61" fillId="27" borderId="287" xfId="246" applyFont="1" applyFill="1" applyBorder="1" applyAlignment="1">
      <alignment horizontal="center" vertical="center"/>
    </xf>
    <xf numFmtId="0" fontId="61" fillId="0" borderId="287" xfId="0" applyFont="1" applyBorder="1" applyAlignment="1">
      <alignment horizontal="center" vertical="center"/>
    </xf>
    <xf numFmtId="0" fontId="61" fillId="0" borderId="287" xfId="0" applyFont="1" applyBorder="1" applyAlignment="1">
      <alignment horizontal="center" vertical="center" wrapText="1"/>
    </xf>
    <xf numFmtId="0" fontId="42" fillId="0" borderId="287" xfId="0" applyFont="1" applyBorder="1" applyAlignment="1">
      <alignment vertical="center" wrapText="1"/>
    </xf>
    <xf numFmtId="0" fontId="0" fillId="0" borderId="287" xfId="0" applyBorder="1" applyAlignment="1">
      <alignment vertical="center" wrapText="1"/>
    </xf>
    <xf numFmtId="0" fontId="61" fillId="0" borderId="267" xfId="246" applyFont="1" applyBorder="1" applyAlignment="1">
      <alignment horizontal="center" vertical="center"/>
    </xf>
    <xf numFmtId="0" fontId="61" fillId="0" borderId="267" xfId="0" applyFont="1" applyBorder="1" applyAlignment="1">
      <alignment horizontal="center" vertical="center"/>
    </xf>
    <xf numFmtId="0" fontId="43" fillId="0" borderId="333" xfId="0" applyFont="1" applyBorder="1" applyAlignment="1">
      <alignment vertical="center"/>
    </xf>
    <xf numFmtId="0" fontId="42" fillId="0" borderId="287" xfId="246" applyFont="1" applyBorder="1" applyAlignment="1">
      <alignment horizontal="center" vertical="center" wrapText="1"/>
    </xf>
    <xf numFmtId="0" fontId="61" fillId="27" borderId="287" xfId="0" applyFont="1" applyFill="1" applyBorder="1" applyAlignment="1">
      <alignment horizontal="center" vertical="center"/>
    </xf>
    <xf numFmtId="0" fontId="43" fillId="0" borderId="287" xfId="0" applyFont="1" applyBorder="1" applyAlignment="1">
      <alignment vertical="center"/>
    </xf>
    <xf numFmtId="0" fontId="61" fillId="27" borderId="288" xfId="246" applyFont="1" applyFill="1" applyBorder="1" applyAlignment="1">
      <alignment horizontal="center" vertical="center"/>
    </xf>
    <xf numFmtId="0" fontId="61" fillId="26" borderId="288" xfId="246" applyFont="1" applyFill="1" applyBorder="1" applyAlignment="1">
      <alignment horizontal="center" vertical="center"/>
    </xf>
    <xf numFmtId="168" fontId="190" fillId="0" borderId="254" xfId="176" applyNumberFormat="1" applyFont="1" applyBorder="1" applyAlignment="1">
      <alignment horizontal="center" vertical="center"/>
    </xf>
    <xf numFmtId="168" fontId="190" fillId="0" borderId="254" xfId="176" applyNumberFormat="1" applyFont="1" applyBorder="1" applyAlignment="1">
      <alignment horizontal="right"/>
    </xf>
    <xf numFmtId="168" fontId="190" fillId="44" borderId="254" xfId="176" applyNumberFormat="1" applyFont="1" applyFill="1" applyBorder="1" applyAlignment="1">
      <alignment horizontal="right"/>
    </xf>
    <xf numFmtId="0" fontId="61" fillId="0" borderId="288" xfId="0" applyFont="1" applyBorder="1" applyAlignment="1">
      <alignment horizontal="center" vertical="center" wrapText="1"/>
    </xf>
    <xf numFmtId="0" fontId="61" fillId="0" borderId="288" xfId="246" applyFont="1" applyBorder="1" applyAlignment="1">
      <alignment horizontal="center" vertical="center" wrapText="1"/>
    </xf>
    <xf numFmtId="0" fontId="0" fillId="27" borderId="288" xfId="0" applyFill="1" applyBorder="1"/>
    <xf numFmtId="0" fontId="219" fillId="26" borderId="288" xfId="0" applyFont="1" applyFill="1" applyBorder="1" applyAlignment="1">
      <alignment horizontal="center" vertical="center" wrapText="1"/>
    </xf>
    <xf numFmtId="0" fontId="61" fillId="26" borderId="288" xfId="246" applyFont="1" applyFill="1" applyBorder="1" applyAlignment="1">
      <alignment horizontal="center" vertical="center" wrapText="1"/>
    </xf>
    <xf numFmtId="0" fontId="42" fillId="0" borderId="288" xfId="246" applyFont="1" applyBorder="1" applyAlignment="1">
      <alignment horizontal="center" vertical="center" wrapText="1"/>
    </xf>
    <xf numFmtId="0" fontId="61" fillId="0" borderId="287" xfId="246" applyFont="1" applyBorder="1" applyAlignment="1">
      <alignment horizontal="center" vertical="center" wrapText="1"/>
    </xf>
    <xf numFmtId="0" fontId="84" fillId="36" borderId="287" xfId="583" applyFont="1" applyFill="1" applyBorder="1" applyAlignment="1">
      <alignment vertical="center"/>
    </xf>
    <xf numFmtId="0" fontId="228" fillId="38" borderId="287" xfId="0" applyFont="1" applyFill="1" applyBorder="1" applyAlignment="1">
      <alignment horizontal="center" vertical="center" wrapText="1"/>
    </xf>
    <xf numFmtId="0" fontId="228" fillId="40" borderId="287" xfId="0" applyFont="1" applyFill="1" applyBorder="1" applyAlignment="1">
      <alignment horizontal="center" vertical="center" wrapText="1"/>
    </xf>
    <xf numFmtId="0" fontId="61" fillId="26" borderId="287" xfId="246" applyFont="1" applyFill="1" applyBorder="1" applyAlignment="1">
      <alignment horizontal="center" vertical="center" wrapText="1"/>
    </xf>
    <xf numFmtId="0" fontId="228" fillId="37" borderId="287" xfId="0" applyFont="1" applyFill="1" applyBorder="1" applyAlignment="1">
      <alignment horizontal="center" vertical="center" wrapText="1"/>
    </xf>
    <xf numFmtId="0" fontId="228" fillId="52" borderId="287" xfId="0" applyFont="1" applyFill="1" applyBorder="1" applyAlignment="1">
      <alignment horizontal="center" vertical="center" wrapText="1"/>
    </xf>
    <xf numFmtId="0" fontId="43" fillId="44" borderId="287" xfId="246" applyFont="1" applyFill="1" applyBorder="1" applyAlignment="1">
      <alignment horizontal="center" vertical="center"/>
    </xf>
    <xf numFmtId="0" fontId="0" fillId="0" borderId="287" xfId="0" applyBorder="1"/>
    <xf numFmtId="0" fontId="219" fillId="0" borderId="287" xfId="0" applyFont="1" applyBorder="1" applyAlignment="1">
      <alignment horizontal="center" vertical="center" wrapText="1"/>
    </xf>
    <xf numFmtId="0" fontId="43" fillId="32" borderId="0" xfId="0" applyFont="1" applyFill="1" applyAlignment="1">
      <alignment vertical="center"/>
    </xf>
    <xf numFmtId="0" fontId="43" fillId="44" borderId="194" xfId="246" applyFont="1" applyFill="1" applyBorder="1" applyAlignment="1">
      <alignment horizontal="center" vertical="center" wrapText="1"/>
    </xf>
    <xf numFmtId="0" fontId="84" fillId="36" borderId="267" xfId="583" applyFont="1" applyFill="1" applyBorder="1" applyAlignment="1">
      <alignment vertical="center"/>
    </xf>
    <xf numFmtId="0" fontId="61" fillId="27" borderId="287" xfId="246" applyFont="1" applyFill="1" applyBorder="1" applyAlignment="1">
      <alignment horizontal="center" vertical="center" wrapText="1"/>
    </xf>
    <xf numFmtId="0" fontId="61" fillId="23" borderId="287" xfId="246" applyFont="1" applyFill="1" applyBorder="1" applyAlignment="1">
      <alignment horizontal="center" vertical="center" wrapText="1"/>
    </xf>
    <xf numFmtId="14" fontId="42" fillId="0" borderId="287" xfId="246" applyNumberFormat="1" applyFont="1" applyBorder="1" applyAlignment="1">
      <alignment horizontal="center" vertical="center" wrapText="1"/>
    </xf>
    <xf numFmtId="0" fontId="127" fillId="0" borderId="287" xfId="246" applyFont="1" applyBorder="1" applyAlignment="1">
      <alignment vertical="center" wrapText="1"/>
    </xf>
    <xf numFmtId="0" fontId="42" fillId="27" borderId="287" xfId="246" applyFont="1" applyFill="1" applyBorder="1" applyAlignment="1">
      <alignment horizontal="center" vertical="center" wrapText="1"/>
    </xf>
    <xf numFmtId="0" fontId="42" fillId="26" borderId="287" xfId="246" applyFont="1" applyFill="1" applyBorder="1" applyAlignment="1">
      <alignment horizontal="center" vertical="center" wrapText="1"/>
    </xf>
    <xf numFmtId="0" fontId="61" fillId="26" borderId="287" xfId="0" applyFont="1" applyFill="1" applyBorder="1" applyAlignment="1">
      <alignment horizontal="center" vertical="center" wrapText="1"/>
    </xf>
    <xf numFmtId="0" fontId="42" fillId="0" borderId="287" xfId="246" applyFont="1" applyBorder="1" applyAlignment="1">
      <alignment wrapText="1"/>
    </xf>
    <xf numFmtId="0" fontId="42" fillId="23" borderId="287" xfId="246" applyFont="1" applyFill="1" applyBorder="1" applyAlignment="1">
      <alignment horizontal="center" vertical="center" wrapText="1"/>
    </xf>
    <xf numFmtId="0" fontId="84" fillId="37" borderId="287" xfId="583" applyFont="1" applyFill="1" applyBorder="1" applyAlignment="1">
      <alignment vertical="center"/>
    </xf>
    <xf numFmtId="9" fontId="225" fillId="42" borderId="194" xfId="0" applyNumberFormat="1" applyFont="1" applyFill="1" applyBorder="1" applyAlignment="1">
      <alignment horizontal="center" vertical="center" wrapText="1"/>
    </xf>
    <xf numFmtId="9" fontId="225" fillId="42" borderId="194" xfId="176" applyFont="1" applyFill="1" applyBorder="1" applyAlignment="1">
      <alignment horizontal="center" vertical="center" wrapText="1"/>
    </xf>
    <xf numFmtId="9" fontId="225" fillId="42" borderId="195" xfId="0" applyNumberFormat="1" applyFont="1" applyFill="1" applyBorder="1" applyAlignment="1">
      <alignment horizontal="center" vertical="center" wrapText="1"/>
    </xf>
    <xf numFmtId="0" fontId="225" fillId="42" borderId="195" xfId="0" applyFont="1" applyFill="1" applyBorder="1" applyAlignment="1">
      <alignment horizontal="center" vertical="center" wrapText="1"/>
    </xf>
    <xf numFmtId="9" fontId="225" fillId="0" borderId="194" xfId="0" applyNumberFormat="1" applyFont="1" applyBorder="1" applyAlignment="1">
      <alignment horizontal="center" vertical="center" wrapText="1"/>
    </xf>
    <xf numFmtId="168" fontId="225" fillId="0" borderId="103" xfId="0" applyNumberFormat="1" applyFont="1" applyBorder="1" applyAlignment="1">
      <alignment horizontal="center" vertical="center" wrapText="1"/>
    </xf>
    <xf numFmtId="0" fontId="225" fillId="0" borderId="194" xfId="0" applyFont="1" applyBorder="1" applyAlignment="1">
      <alignment horizontal="center" vertical="center" wrapText="1"/>
    </xf>
    <xf numFmtId="0" fontId="225" fillId="0" borderId="103" xfId="0" applyFont="1" applyBorder="1" applyAlignment="1">
      <alignment horizontal="center" vertical="center" wrapText="1"/>
    </xf>
    <xf numFmtId="9" fontId="225" fillId="0" borderId="103" xfId="0" applyNumberFormat="1" applyFont="1" applyBorder="1" applyAlignment="1">
      <alignment horizontal="center" vertical="center" wrapText="1"/>
    </xf>
    <xf numFmtId="168" fontId="225" fillId="0" borderId="194" xfId="0" applyNumberFormat="1" applyFont="1" applyBorder="1" applyAlignment="1">
      <alignment horizontal="center" vertical="center" wrapText="1"/>
    </xf>
    <xf numFmtId="9" fontId="225" fillId="0" borderId="104" xfId="0" applyNumberFormat="1" applyFont="1" applyBorder="1" applyAlignment="1">
      <alignment horizontal="center" vertical="center" wrapText="1"/>
    </xf>
    <xf numFmtId="3" fontId="225" fillId="0" borderId="195" xfId="0" applyNumberFormat="1" applyFont="1" applyBorder="1" applyAlignment="1">
      <alignment horizontal="center" vertical="center" wrapText="1"/>
    </xf>
    <xf numFmtId="3" fontId="225" fillId="0" borderId="104" xfId="0" applyNumberFormat="1" applyFont="1" applyBorder="1" applyAlignment="1">
      <alignment horizontal="center" vertical="center" wrapText="1"/>
    </xf>
    <xf numFmtId="9" fontId="225" fillId="0" borderId="197" xfId="0" applyNumberFormat="1" applyFont="1" applyBorder="1" applyAlignment="1">
      <alignment horizontal="center" vertical="center" wrapText="1"/>
    </xf>
    <xf numFmtId="9" fontId="225" fillId="0" borderId="94" xfId="0" applyNumberFormat="1" applyFont="1" applyBorder="1" applyAlignment="1">
      <alignment horizontal="center" vertical="center" wrapText="1"/>
    </xf>
    <xf numFmtId="171" fontId="225" fillId="0" borderId="103" xfId="0" applyNumberFormat="1" applyFont="1" applyBorder="1" applyAlignment="1">
      <alignment horizontal="center" vertical="center"/>
    </xf>
    <xf numFmtId="9" fontId="225" fillId="0" borderId="103" xfId="176" applyFont="1" applyBorder="1" applyAlignment="1">
      <alignment horizontal="center" vertical="center"/>
    </xf>
    <xf numFmtId="9" fontId="225" fillId="0" borderId="123" xfId="176" applyFont="1" applyBorder="1" applyAlignment="1">
      <alignment horizontal="center" vertical="center" wrapText="1"/>
    </xf>
    <xf numFmtId="9" fontId="225" fillId="0" borderId="198" xfId="0" applyNumberFormat="1" applyFont="1" applyBorder="1" applyAlignment="1">
      <alignment horizontal="center" vertical="center" wrapText="1"/>
    </xf>
    <xf numFmtId="9" fontId="225" fillId="22" borderId="118" xfId="0" applyNumberFormat="1" applyFont="1" applyFill="1" applyBorder="1" applyAlignment="1">
      <alignment horizontal="center" vertical="center" wrapText="1"/>
    </xf>
    <xf numFmtId="0" fontId="225" fillId="22" borderId="103" xfId="0" applyFont="1" applyFill="1" applyBorder="1" applyAlignment="1">
      <alignment horizontal="center" vertical="center" wrapText="1"/>
    </xf>
    <xf numFmtId="168" fontId="225" fillId="0" borderId="123" xfId="176" applyNumberFormat="1" applyFont="1" applyBorder="1" applyAlignment="1">
      <alignment horizontal="center" vertical="center" wrapText="1"/>
    </xf>
    <xf numFmtId="9" fontId="225" fillId="0" borderId="13" xfId="0" applyNumberFormat="1" applyFont="1" applyBorder="1" applyAlignment="1">
      <alignment horizontal="center" vertical="center" wrapText="1"/>
    </xf>
    <xf numFmtId="3" fontId="225" fillId="0" borderId="133" xfId="0" applyNumberFormat="1" applyFont="1" applyBorder="1" applyAlignment="1">
      <alignment horizontal="center" vertical="center" wrapText="1"/>
    </xf>
    <xf numFmtId="0" fontId="225" fillId="0" borderId="13" xfId="0" applyFont="1" applyBorder="1" applyAlignment="1">
      <alignment horizontal="center" vertical="center" wrapText="1"/>
    </xf>
    <xf numFmtId="3" fontId="225" fillId="0" borderId="103" xfId="0" applyNumberFormat="1" applyFont="1" applyBorder="1" applyAlignment="1">
      <alignment horizontal="center" vertical="center" wrapText="1"/>
    </xf>
    <xf numFmtId="0" fontId="225" fillId="0" borderId="118" xfId="0" applyFont="1" applyBorder="1" applyAlignment="1">
      <alignment horizontal="center" vertical="center" wrapText="1"/>
    </xf>
    <xf numFmtId="0" fontId="0" fillId="0" borderId="334" xfId="0" applyBorder="1" applyAlignment="1">
      <alignment horizontal="center" vertical="center" wrapText="1"/>
    </xf>
    <xf numFmtId="0" fontId="0" fillId="0" borderId="334" xfId="0" applyBorder="1" applyAlignment="1">
      <alignment vertical="center" wrapText="1"/>
    </xf>
    <xf numFmtId="0" fontId="0" fillId="0" borderId="24" xfId="0" applyBorder="1" applyAlignment="1">
      <alignment horizontal="center" vertical="center" wrapText="1"/>
    </xf>
    <xf numFmtId="0" fontId="0" fillId="0" borderId="24" xfId="0" applyBorder="1" applyAlignment="1">
      <alignment vertical="center" wrapText="1"/>
    </xf>
    <xf numFmtId="0" fontId="40" fillId="44" borderId="24" xfId="0" applyFont="1" applyFill="1" applyBorder="1" applyAlignment="1">
      <alignment horizontal="center" vertical="center" wrapText="1"/>
    </xf>
    <xf numFmtId="0" fontId="40" fillId="44" borderId="24" xfId="0" applyFont="1" applyFill="1" applyBorder="1" applyAlignment="1">
      <alignment vertical="center" wrapText="1"/>
    </xf>
    <xf numFmtId="0" fontId="0" fillId="0" borderId="24" xfId="0" applyBorder="1" applyAlignment="1">
      <alignment horizontal="center"/>
    </xf>
    <xf numFmtId="0" fontId="0" fillId="0" borderId="24" xfId="0" applyBorder="1" applyAlignment="1">
      <alignment horizontal="left" vertical="center" wrapText="1"/>
    </xf>
    <xf numFmtId="0" fontId="0" fillId="0" borderId="25" xfId="0" applyBorder="1" applyAlignment="1">
      <alignment horizontal="center" vertical="center" wrapText="1"/>
    </xf>
    <xf numFmtId="0" fontId="0" fillId="0" borderId="25" xfId="0" applyBorder="1" applyAlignment="1">
      <alignment vertical="center" wrapText="1"/>
    </xf>
    <xf numFmtId="0" fontId="43" fillId="0" borderId="16" xfId="0" applyFont="1" applyBorder="1" applyAlignment="1">
      <alignment horizontal="left" vertical="center" wrapText="1"/>
    </xf>
    <xf numFmtId="0" fontId="246" fillId="0" borderId="24" xfId="0" applyFont="1" applyBorder="1" applyAlignment="1">
      <alignment horizontal="center" vertical="center" wrapText="1"/>
    </xf>
    <xf numFmtId="0" fontId="0" fillId="0" borderId="334"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44" borderId="24" xfId="0" applyFill="1" applyBorder="1" applyAlignment="1">
      <alignment horizontal="center" vertical="center"/>
    </xf>
    <xf numFmtId="0" fontId="0" fillId="0" borderId="334" xfId="0"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0" fillId="44" borderId="24" xfId="0" applyFill="1" applyBorder="1" applyAlignment="1">
      <alignment vertical="center"/>
    </xf>
    <xf numFmtId="0" fontId="295" fillId="0" borderId="0" xfId="0" applyFont="1" applyAlignment="1">
      <alignment vertical="center"/>
    </xf>
    <xf numFmtId="0" fontId="0" fillId="0" borderId="16" xfId="0" applyBorder="1" applyAlignment="1">
      <alignment horizontal="center" vertical="center" wrapText="1"/>
    </xf>
    <xf numFmtId="1" fontId="0" fillId="0" borderId="334" xfId="0" applyNumberFormat="1" applyBorder="1" applyAlignment="1">
      <alignment horizontal="center" vertical="center" wrapText="1"/>
    </xf>
    <xf numFmtId="1" fontId="0" fillId="0" borderId="24" xfId="0" applyNumberFormat="1" applyBorder="1" applyAlignment="1">
      <alignment horizontal="center" vertical="center" wrapText="1"/>
    </xf>
    <xf numFmtId="1" fontId="0" fillId="0" borderId="25" xfId="0" applyNumberFormat="1" applyBorder="1" applyAlignment="1">
      <alignment horizontal="center" vertical="center" wrapText="1"/>
    </xf>
    <xf numFmtId="1" fontId="40" fillId="44" borderId="24" xfId="0" applyNumberFormat="1" applyFont="1" applyFill="1" applyBorder="1" applyAlignment="1">
      <alignment horizontal="center" vertical="center" wrapText="1"/>
    </xf>
    <xf numFmtId="168" fontId="163" fillId="0" borderId="195" xfId="0" applyNumberFormat="1" applyFont="1" applyBorder="1" applyAlignment="1">
      <alignment horizontal="center" vertical="center" wrapText="1"/>
    </xf>
    <xf numFmtId="168" fontId="163" fillId="0" borderId="212" xfId="0" applyNumberFormat="1" applyFont="1" applyBorder="1" applyAlignment="1">
      <alignment horizontal="center" vertical="center" wrapText="1"/>
    </xf>
    <xf numFmtId="168" fontId="163" fillId="0" borderId="257" xfId="0" applyNumberFormat="1" applyFont="1" applyBorder="1" applyAlignment="1">
      <alignment horizontal="center" vertical="center" wrapText="1"/>
    </xf>
    <xf numFmtId="168" fontId="240" fillId="29" borderId="288" xfId="0" applyNumberFormat="1" applyFont="1" applyFill="1" applyBorder="1" applyAlignment="1">
      <alignment horizontal="center" vertical="center" wrapText="1"/>
    </xf>
    <xf numFmtId="0" fontId="74" fillId="0" borderId="288" xfId="457" applyFont="1" applyBorder="1" applyAlignment="1">
      <alignment horizontal="center" vertical="center"/>
    </xf>
    <xf numFmtId="0" fontId="166" fillId="20" borderId="103" xfId="456" applyFont="1" applyFill="1" applyBorder="1" applyAlignment="1">
      <alignment horizontal="center" vertical="center" wrapText="1"/>
    </xf>
    <xf numFmtId="0" fontId="138" fillId="20" borderId="103" xfId="456" applyFont="1" applyFill="1" applyBorder="1" applyAlignment="1">
      <alignment horizontal="center" vertical="center" wrapText="1"/>
    </xf>
    <xf numFmtId="0" fontId="138" fillId="20" borderId="118" xfId="453" applyFont="1" applyFill="1" applyBorder="1" applyAlignment="1">
      <alignment horizontal="center" vertical="center" wrapText="1"/>
    </xf>
    <xf numFmtId="0" fontId="81" fillId="20" borderId="259" xfId="736" applyFont="1" applyFill="1" applyBorder="1" applyAlignment="1">
      <alignment horizontal="center" vertical="center"/>
    </xf>
    <xf numFmtId="0" fontId="178" fillId="55" borderId="143" xfId="0" applyFont="1" applyFill="1" applyBorder="1" applyAlignment="1">
      <alignment horizontal="center" vertical="center" wrapText="1"/>
    </xf>
    <xf numFmtId="0" fontId="51" fillId="34" borderId="267" xfId="0" applyFont="1" applyFill="1" applyBorder="1" applyAlignment="1">
      <alignment horizontal="center" vertical="center" wrapText="1"/>
    </xf>
    <xf numFmtId="9" fontId="136" fillId="0" borderId="259" xfId="0" applyNumberFormat="1" applyFont="1" applyBorder="1" applyAlignment="1">
      <alignment horizontal="center" vertical="center" wrapText="1"/>
    </xf>
    <xf numFmtId="9" fontId="163" fillId="0" borderId="259" xfId="0" applyNumberFormat="1" applyFont="1" applyBorder="1" applyAlignment="1">
      <alignment horizontal="center" vertical="center" wrapText="1"/>
    </xf>
    <xf numFmtId="9" fontId="136" fillId="43" borderId="267" xfId="0" applyNumberFormat="1" applyFont="1" applyFill="1" applyBorder="1" applyAlignment="1">
      <alignment horizontal="center" vertical="center" wrapText="1"/>
    </xf>
    <xf numFmtId="9" fontId="225" fillId="0" borderId="267" xfId="0" applyNumberFormat="1" applyFont="1" applyBorder="1" applyAlignment="1">
      <alignment horizontal="center" vertical="center" wrapText="1"/>
    </xf>
    <xf numFmtId="168" fontId="225" fillId="0" borderId="267" xfId="0" applyNumberFormat="1" applyFont="1" applyBorder="1" applyAlignment="1">
      <alignment horizontal="center" vertical="center" wrapText="1"/>
    </xf>
    <xf numFmtId="168" fontId="163" fillId="0" borderId="267" xfId="0" applyNumberFormat="1" applyFont="1" applyBorder="1" applyAlignment="1">
      <alignment horizontal="center" vertical="center" wrapText="1"/>
    </xf>
    <xf numFmtId="0" fontId="48" fillId="0" borderId="339" xfId="0" applyFont="1" applyBorder="1" applyAlignment="1">
      <alignment horizontal="center" vertical="center" wrapText="1"/>
    </xf>
    <xf numFmtId="0" fontId="65" fillId="0" borderId="339" xfId="0" applyFont="1" applyBorder="1" applyAlignment="1">
      <alignment horizontal="center" vertical="center" wrapText="1"/>
    </xf>
    <xf numFmtId="0" fontId="297" fillId="0" borderId="339" xfId="0" applyFont="1" applyBorder="1" applyAlignment="1">
      <alignment horizontal="center" vertical="center" wrapText="1"/>
    </xf>
    <xf numFmtId="0" fontId="62" fillId="0" borderId="320" xfId="0" applyFont="1" applyBorder="1" applyAlignment="1">
      <alignment horizontal="center" vertical="center" wrapText="1"/>
    </xf>
    <xf numFmtId="0" fontId="56" fillId="0" borderId="16" xfId="0" applyFont="1" applyBorder="1" applyAlignment="1">
      <alignment horizontal="center" vertical="center" wrapText="1"/>
    </xf>
    <xf numFmtId="0" fontId="48" fillId="0" borderId="338" xfId="0" applyFont="1" applyBorder="1" applyAlignment="1">
      <alignment horizontal="center" vertical="center" wrapText="1"/>
    </xf>
    <xf numFmtId="0" fontId="6" fillId="0" borderId="340" xfId="0" applyFont="1" applyBorder="1" applyAlignment="1">
      <alignment horizontal="center" vertical="center" wrapText="1"/>
    </xf>
    <xf numFmtId="0" fontId="297" fillId="0" borderId="341" xfId="0" applyFont="1" applyBorder="1" applyAlignment="1">
      <alignment horizontal="center" vertical="center" wrapText="1"/>
    </xf>
    <xf numFmtId="0" fontId="40" fillId="0" borderId="254" xfId="0" applyFont="1" applyBorder="1" applyAlignment="1">
      <alignment horizontal="center" vertical="center"/>
    </xf>
    <xf numFmtId="0" fontId="67" fillId="0" borderId="0" xfId="167" applyFont="1" applyAlignment="1">
      <alignment horizontal="right" vertical="center"/>
    </xf>
    <xf numFmtId="0" fontId="110" fillId="20" borderId="267" xfId="149" applyFont="1" applyFill="1" applyBorder="1" applyAlignment="1">
      <alignment horizontal="center" vertical="center"/>
    </xf>
    <xf numFmtId="0" fontId="110" fillId="20" borderId="259" xfId="167" applyFont="1" applyFill="1" applyBorder="1" applyAlignment="1">
      <alignment horizontal="right" vertical="center" indent="1"/>
    </xf>
    <xf numFmtId="0" fontId="110" fillId="20" borderId="254" xfId="167" applyFont="1" applyFill="1" applyBorder="1" applyAlignment="1">
      <alignment horizontal="right" vertical="center" indent="1"/>
    </xf>
    <xf numFmtId="0" fontId="110" fillId="0" borderId="259" xfId="167" applyFont="1" applyBorder="1" applyAlignment="1">
      <alignment horizontal="right" vertical="center" indent="1"/>
    </xf>
    <xf numFmtId="9" fontId="110" fillId="0" borderId="260" xfId="176" applyFont="1" applyBorder="1" applyAlignment="1">
      <alignment horizontal="right" vertical="center" indent="1"/>
    </xf>
    <xf numFmtId="0" fontId="109" fillId="20" borderId="267" xfId="149" applyFont="1" applyFill="1" applyBorder="1" applyAlignment="1">
      <alignment horizontal="center" vertical="center"/>
    </xf>
    <xf numFmtId="0" fontId="109" fillId="20" borderId="259" xfId="167" applyFont="1" applyFill="1" applyBorder="1" applyAlignment="1">
      <alignment horizontal="right" vertical="center" indent="1"/>
    </xf>
    <xf numFmtId="0" fontId="109" fillId="20" borderId="254" xfId="167" applyFont="1" applyFill="1" applyBorder="1" applyAlignment="1">
      <alignment horizontal="right" vertical="center" indent="1"/>
    </xf>
    <xf numFmtId="0" fontId="109" fillId="0" borderId="259" xfId="167" applyFont="1" applyBorder="1" applyAlignment="1">
      <alignment horizontal="right" vertical="center" indent="1"/>
    </xf>
    <xf numFmtId="9" fontId="109" fillId="0" borderId="260" xfId="176" applyFont="1" applyBorder="1" applyAlignment="1">
      <alignment horizontal="right" vertical="center" indent="1"/>
    </xf>
    <xf numFmtId="0" fontId="114" fillId="20" borderId="267" xfId="149" applyFont="1" applyFill="1" applyBorder="1" applyAlignment="1">
      <alignment horizontal="center" vertical="center"/>
    </xf>
    <xf numFmtId="0" fontId="114" fillId="20" borderId="259" xfId="167" applyFont="1" applyFill="1" applyBorder="1" applyAlignment="1">
      <alignment horizontal="right" vertical="center" indent="1"/>
    </xf>
    <xf numFmtId="0" fontId="114" fillId="20" borderId="254" xfId="167" applyFont="1" applyFill="1" applyBorder="1" applyAlignment="1">
      <alignment horizontal="right" vertical="center" indent="1"/>
    </xf>
    <xf numFmtId="0" fontId="114" fillId="0" borderId="259" xfId="167" applyFont="1" applyBorder="1" applyAlignment="1">
      <alignment horizontal="right" vertical="center" indent="1"/>
    </xf>
    <xf numFmtId="9" fontId="114" fillId="0" borderId="260" xfId="176" applyFont="1" applyBorder="1" applyAlignment="1">
      <alignment horizontal="right" vertical="center" indent="1"/>
    </xf>
    <xf numFmtId="0" fontId="112" fillId="20" borderId="267" xfId="149" applyFont="1" applyFill="1" applyBorder="1" applyAlignment="1">
      <alignment horizontal="center" vertical="center"/>
    </xf>
    <xf numFmtId="0" fontId="112" fillId="20" borderId="259" xfId="167" applyFont="1" applyFill="1" applyBorder="1" applyAlignment="1">
      <alignment horizontal="right" vertical="center" indent="1"/>
    </xf>
    <xf numFmtId="0" fontId="112" fillId="20" borderId="254" xfId="167" applyFont="1" applyFill="1" applyBorder="1" applyAlignment="1">
      <alignment horizontal="right" vertical="center" indent="1"/>
    </xf>
    <xf numFmtId="0" fontId="112" fillId="0" borderId="259" xfId="167" applyFont="1" applyBorder="1" applyAlignment="1">
      <alignment horizontal="right" vertical="center" indent="1"/>
    </xf>
    <xf numFmtId="9" fontId="112" fillId="0" borderId="260" xfId="176" applyFont="1" applyBorder="1" applyAlignment="1">
      <alignment horizontal="right" vertical="center" indent="1"/>
    </xf>
    <xf numFmtId="0" fontId="117" fillId="20" borderId="267" xfId="149" applyFont="1" applyFill="1" applyBorder="1" applyAlignment="1">
      <alignment horizontal="center" vertical="center"/>
    </xf>
    <xf numFmtId="0" fontId="117" fillId="20" borderId="259" xfId="167" applyFont="1" applyFill="1" applyBorder="1" applyAlignment="1">
      <alignment horizontal="right" vertical="center" indent="1"/>
    </xf>
    <xf numFmtId="0" fontId="117" fillId="20" borderId="254" xfId="167" applyFont="1" applyFill="1" applyBorder="1" applyAlignment="1">
      <alignment horizontal="right" vertical="center" indent="1"/>
    </xf>
    <xf numFmtId="0" fontId="117" fillId="0" borderId="259" xfId="167" applyFont="1" applyBorder="1" applyAlignment="1">
      <alignment horizontal="right" vertical="center" indent="1"/>
    </xf>
    <xf numFmtId="9" fontId="117" fillId="0" borderId="260" xfId="176" applyFont="1" applyBorder="1" applyAlignment="1">
      <alignment horizontal="right" vertical="center" indent="1"/>
    </xf>
    <xf numFmtId="0" fontId="43" fillId="20" borderId="267" xfId="149" applyFont="1" applyFill="1" applyBorder="1" applyAlignment="1">
      <alignment horizontal="center" vertical="center"/>
    </xf>
    <xf numFmtId="0" fontId="43" fillId="20" borderId="259" xfId="167" applyFont="1" applyFill="1" applyBorder="1" applyAlignment="1">
      <alignment horizontal="right" vertical="center" indent="1"/>
    </xf>
    <xf numFmtId="0" fontId="43" fillId="20" borderId="254" xfId="167" applyFont="1" applyFill="1" applyBorder="1" applyAlignment="1">
      <alignment horizontal="right" vertical="center" indent="1"/>
    </xf>
    <xf numFmtId="0" fontId="43" fillId="0" borderId="259" xfId="167" applyFont="1" applyBorder="1" applyAlignment="1">
      <alignment horizontal="right" vertical="center" indent="1"/>
    </xf>
    <xf numFmtId="9" fontId="43" fillId="0" borderId="260" xfId="176" applyFont="1" applyBorder="1" applyAlignment="1">
      <alignment horizontal="right" vertical="center" indent="1"/>
    </xf>
    <xf numFmtId="0" fontId="0" fillId="0" borderId="96" xfId="0" applyBorder="1" applyAlignment="1">
      <alignment horizontal="center" vertical="center" wrapText="1"/>
    </xf>
    <xf numFmtId="0" fontId="0" fillId="0" borderId="98" xfId="0" applyBorder="1" applyAlignment="1">
      <alignment horizontal="center" vertical="center" wrapText="1"/>
    </xf>
    <xf numFmtId="0" fontId="0" fillId="0" borderId="19" xfId="0" applyBorder="1" applyAlignment="1">
      <alignment horizontal="center" vertical="center" wrapText="1"/>
    </xf>
    <xf numFmtId="0" fontId="40" fillId="0" borderId="16" xfId="0" applyFont="1" applyBorder="1" applyAlignment="1">
      <alignment horizontal="center" vertical="center"/>
    </xf>
    <xf numFmtId="3" fontId="0" fillId="0" borderId="24" xfId="0" applyNumberFormat="1" applyBorder="1" applyAlignment="1">
      <alignment horizontal="center" vertical="center"/>
    </xf>
    <xf numFmtId="0" fontId="40" fillId="20" borderId="254" xfId="0" applyFont="1" applyFill="1" applyBorder="1" applyAlignment="1">
      <alignment horizontal="center" vertical="center"/>
    </xf>
    <xf numFmtId="3" fontId="40" fillId="20" borderId="254" xfId="0" applyNumberFormat="1" applyFont="1" applyFill="1" applyBorder="1" applyAlignment="1">
      <alignment horizontal="center" vertical="center"/>
    </xf>
    <xf numFmtId="0" fontId="0" fillId="0" borderId="30" xfId="0" applyBorder="1" applyAlignment="1">
      <alignment horizontal="center" vertical="center"/>
    </xf>
    <xf numFmtId="3" fontId="0" fillId="0" borderId="30" xfId="0" applyNumberFormat="1" applyBorder="1" applyAlignment="1">
      <alignment horizontal="center" vertical="center"/>
    </xf>
    <xf numFmtId="3" fontId="0" fillId="0" borderId="342" xfId="0" applyNumberFormat="1" applyBorder="1" applyAlignment="1">
      <alignment horizontal="center" vertical="center"/>
    </xf>
    <xf numFmtId="3" fontId="0" fillId="0" borderId="224" xfId="0" applyNumberFormat="1" applyBorder="1" applyAlignment="1">
      <alignment horizontal="center" vertical="center"/>
    </xf>
    <xf numFmtId="3" fontId="0" fillId="0" borderId="290" xfId="0" applyNumberFormat="1" applyBorder="1" applyAlignment="1">
      <alignment horizontal="center" vertical="center"/>
    </xf>
    <xf numFmtId="3" fontId="40" fillId="20" borderId="295" xfId="0" applyNumberFormat="1" applyFont="1" applyFill="1" applyBorder="1" applyAlignment="1">
      <alignment horizontal="center" vertical="center"/>
    </xf>
    <xf numFmtId="0" fontId="110" fillId="0" borderId="25" xfId="0" applyFont="1" applyBorder="1" applyAlignment="1">
      <alignment horizontal="center" vertical="center"/>
    </xf>
    <xf numFmtId="3" fontId="110" fillId="0" borderId="293" xfId="0" applyNumberFormat="1" applyFont="1" applyBorder="1" applyAlignment="1">
      <alignment horizontal="center" vertical="center"/>
    </xf>
    <xf numFmtId="3" fontId="110" fillId="0" borderId="25" xfId="0" applyNumberFormat="1" applyFont="1" applyBorder="1" applyAlignment="1">
      <alignment horizontal="center" vertical="center"/>
    </xf>
    <xf numFmtId="0" fontId="114" fillId="0" borderId="25" xfId="0" applyFont="1" applyBorder="1" applyAlignment="1">
      <alignment horizontal="center" vertical="center"/>
    </xf>
    <xf numFmtId="3" fontId="114" fillId="0" borderId="293" xfId="0" applyNumberFormat="1" applyFont="1" applyBorder="1" applyAlignment="1">
      <alignment horizontal="center" vertical="center"/>
    </xf>
    <xf numFmtId="3" fontId="114" fillId="0" borderId="25" xfId="0" applyNumberFormat="1" applyFont="1" applyBorder="1" applyAlignment="1">
      <alignment horizontal="center" vertical="center"/>
    </xf>
    <xf numFmtId="0" fontId="109" fillId="0" borderId="25" xfId="0" applyFont="1" applyBorder="1" applyAlignment="1">
      <alignment horizontal="center" vertical="center"/>
    </xf>
    <xf numFmtId="3" fontId="109" fillId="0" borderId="293" xfId="0" applyNumberFormat="1" applyFont="1" applyBorder="1" applyAlignment="1">
      <alignment horizontal="center" vertical="center"/>
    </xf>
    <xf numFmtId="3" fontId="109" fillId="0" borderId="25" xfId="0" applyNumberFormat="1" applyFont="1" applyBorder="1" applyAlignment="1">
      <alignment horizontal="center" vertical="center"/>
    </xf>
    <xf numFmtId="0" fontId="117" fillId="0" borderId="25" xfId="0" applyFont="1" applyBorder="1" applyAlignment="1">
      <alignment horizontal="center" vertical="center"/>
    </xf>
    <xf numFmtId="3" fontId="117" fillId="0" borderId="293" xfId="0" applyNumberFormat="1" applyFont="1" applyBorder="1" applyAlignment="1">
      <alignment horizontal="center" vertical="center"/>
    </xf>
    <xf numFmtId="3" fontId="117" fillId="0" borderId="25" xfId="0" applyNumberFormat="1" applyFont="1" applyBorder="1" applyAlignment="1">
      <alignment horizontal="center" vertical="center"/>
    </xf>
    <xf numFmtId="0" fontId="112" fillId="0" borderId="25" xfId="0" applyFont="1" applyBorder="1" applyAlignment="1">
      <alignment horizontal="center" vertical="center"/>
    </xf>
    <xf numFmtId="0" fontId="112" fillId="0" borderId="293" xfId="0" applyFont="1" applyBorder="1" applyAlignment="1">
      <alignment horizontal="center" vertical="center"/>
    </xf>
    <xf numFmtId="3" fontId="112" fillId="0" borderId="293" xfId="0" applyNumberFormat="1" applyFont="1" applyBorder="1" applyAlignment="1">
      <alignment horizontal="center" vertical="center"/>
    </xf>
    <xf numFmtId="3" fontId="112" fillId="0" borderId="25" xfId="0" applyNumberFormat="1" applyFont="1" applyBorder="1" applyAlignment="1">
      <alignment horizontal="center" vertical="center"/>
    </xf>
    <xf numFmtId="0" fontId="40" fillId="0" borderId="295" xfId="0" applyFont="1" applyBorder="1" applyAlignment="1">
      <alignment horizontal="center" vertical="center"/>
    </xf>
    <xf numFmtId="0" fontId="43" fillId="20" borderId="188" xfId="173" applyFont="1" applyFill="1" applyBorder="1" applyAlignment="1">
      <alignment horizontal="center" vertical="center" wrapText="1"/>
    </xf>
    <xf numFmtId="0" fontId="43" fillId="20" borderId="189" xfId="173" applyFont="1" applyFill="1" applyBorder="1" applyAlignment="1">
      <alignment horizontal="center" vertical="center" wrapText="1"/>
    </xf>
    <xf numFmtId="0" fontId="23" fillId="20" borderId="24" xfId="173" applyFont="1" applyFill="1" applyBorder="1" applyAlignment="1">
      <alignment horizontal="center" vertical="center" wrapText="1"/>
    </xf>
    <xf numFmtId="0" fontId="23" fillId="20" borderId="123" xfId="173" applyFont="1" applyFill="1" applyBorder="1" applyAlignment="1">
      <alignment horizontal="center" vertical="center" wrapText="1"/>
    </xf>
    <xf numFmtId="168" fontId="0" fillId="0" borderId="291" xfId="176" applyNumberFormat="1" applyFont="1" applyBorder="1" applyAlignment="1">
      <alignment horizontal="right" vertical="center" indent="1"/>
    </xf>
    <xf numFmtId="168" fontId="0" fillId="20" borderId="294" xfId="176" applyNumberFormat="1" applyFont="1" applyFill="1" applyBorder="1" applyAlignment="1">
      <alignment horizontal="right" vertical="center" indent="1"/>
    </xf>
    <xf numFmtId="168" fontId="0" fillId="0" borderId="0" xfId="176" applyNumberFormat="1" applyFont="1" applyAlignment="1">
      <alignment horizontal="right" vertical="center" indent="1"/>
    </xf>
    <xf numFmtId="3" fontId="0" fillId="0" borderId="234" xfId="0" applyNumberFormat="1" applyBorder="1" applyAlignment="1">
      <alignment horizontal="right" indent="1"/>
    </xf>
    <xf numFmtId="3" fontId="0" fillId="0" borderId="290" xfId="0" applyNumberFormat="1" applyBorder="1" applyAlignment="1">
      <alignment horizontal="right" indent="1"/>
    </xf>
    <xf numFmtId="3" fontId="0" fillId="0" borderId="220" xfId="0" applyNumberFormat="1" applyBorder="1" applyAlignment="1">
      <alignment horizontal="right" indent="1"/>
    </xf>
    <xf numFmtId="3" fontId="0" fillId="0" borderId="224" xfId="0" applyNumberFormat="1" applyBorder="1" applyAlignment="1">
      <alignment horizontal="right" indent="1"/>
    </xf>
    <xf numFmtId="3" fontId="0" fillId="20" borderId="226" xfId="0" applyNumberFormat="1" applyFill="1" applyBorder="1" applyAlignment="1">
      <alignment horizontal="right" indent="1"/>
    </xf>
    <xf numFmtId="3" fontId="0" fillId="20" borderId="293" xfId="0" applyNumberFormat="1" applyFill="1" applyBorder="1" applyAlignment="1">
      <alignment horizontal="right" indent="1"/>
    </xf>
    <xf numFmtId="3" fontId="0" fillId="0" borderId="0" xfId="0" applyNumberFormat="1" applyAlignment="1">
      <alignment horizontal="right" indent="1"/>
    </xf>
    <xf numFmtId="3" fontId="0" fillId="20" borderId="231" xfId="0" applyNumberFormat="1" applyFill="1" applyBorder="1" applyAlignment="1">
      <alignment horizontal="right" indent="1"/>
    </xf>
    <xf numFmtId="3" fontId="0" fillId="20" borderId="295" xfId="0" applyNumberFormat="1" applyFill="1" applyBorder="1" applyAlignment="1">
      <alignment horizontal="right" indent="1"/>
    </xf>
    <xf numFmtId="0" fontId="0" fillId="0" borderId="30" xfId="0" applyBorder="1" applyAlignment="1">
      <alignment horizontal="center"/>
    </xf>
    <xf numFmtId="0" fontId="0" fillId="20" borderId="25" xfId="0" applyFill="1" applyBorder="1" applyAlignment="1">
      <alignment horizontal="center"/>
    </xf>
    <xf numFmtId="168" fontId="40" fillId="44" borderId="294" xfId="176" applyNumberFormat="1" applyFont="1" applyFill="1" applyBorder="1" applyAlignment="1">
      <alignment horizontal="right" vertical="center" indent="1"/>
    </xf>
    <xf numFmtId="169" fontId="42" fillId="0" borderId="291" xfId="108" applyNumberFormat="1" applyFont="1" applyBorder="1"/>
    <xf numFmtId="169" fontId="42" fillId="0" borderId="292" xfId="108" applyNumberFormat="1" applyFont="1" applyBorder="1"/>
    <xf numFmtId="169" fontId="0" fillId="20" borderId="294" xfId="0" applyNumberFormat="1" applyFill="1" applyBorder="1" applyAlignment="1">
      <alignment horizontal="center"/>
    </xf>
    <xf numFmtId="169" fontId="42" fillId="20" borderId="294" xfId="0" applyNumberFormat="1" applyFont="1" applyFill="1" applyBorder="1" applyAlignment="1">
      <alignment horizontal="center"/>
    </xf>
    <xf numFmtId="168" fontId="38" fillId="0" borderId="30" xfId="182" applyNumberFormat="1" applyBorder="1" applyAlignment="1">
      <alignment horizontal="right" indent="1"/>
    </xf>
    <xf numFmtId="168" fontId="38" fillId="0" borderId="24" xfId="182" applyNumberFormat="1" applyBorder="1" applyAlignment="1">
      <alignment horizontal="right" indent="1"/>
    </xf>
    <xf numFmtId="10" fontId="38" fillId="0" borderId="24" xfId="182" applyNumberFormat="1" applyBorder="1" applyAlignment="1">
      <alignment horizontal="right" indent="1"/>
    </xf>
    <xf numFmtId="168" fontId="43" fillId="20" borderId="27" xfId="182" applyNumberFormat="1" applyFont="1" applyFill="1" applyBorder="1" applyAlignment="1">
      <alignment horizontal="right" indent="1"/>
    </xf>
    <xf numFmtId="0" fontId="0" fillId="0" borderId="200" xfId="0" applyBorder="1"/>
    <xf numFmtId="168" fontId="0" fillId="0" borderId="200" xfId="0" applyNumberFormat="1" applyBorder="1" applyAlignment="1">
      <alignment horizontal="right" indent="1"/>
    </xf>
    <xf numFmtId="168" fontId="0" fillId="0" borderId="30" xfId="0" applyNumberFormat="1" applyBorder="1" applyAlignment="1">
      <alignment horizontal="right" indent="1"/>
    </xf>
    <xf numFmtId="168" fontId="43" fillId="20" borderId="25" xfId="182" applyNumberFormat="1" applyFont="1" applyFill="1" applyBorder="1" applyAlignment="1">
      <alignment horizontal="right" indent="1"/>
    </xf>
    <xf numFmtId="168" fontId="40" fillId="44" borderId="294" xfId="182" applyNumberFormat="1" applyFont="1" applyFill="1" applyBorder="1" applyAlignment="1">
      <alignment horizontal="right" indent="1"/>
    </xf>
    <xf numFmtId="0" fontId="298" fillId="0" borderId="0" xfId="0" applyFont="1" applyAlignment="1">
      <alignment horizontal="center" vertical="center"/>
    </xf>
    <xf numFmtId="0" fontId="112" fillId="20" borderId="174" xfId="452" applyFont="1" applyFill="1" applyBorder="1" applyAlignment="1">
      <alignment horizontal="center"/>
    </xf>
    <xf numFmtId="3" fontId="112" fillId="20" borderId="173" xfId="452" applyNumberFormat="1" applyFont="1" applyFill="1" applyBorder="1" applyAlignment="1">
      <alignment horizontal="right"/>
    </xf>
    <xf numFmtId="3" fontId="112" fillId="20" borderId="174" xfId="452" applyNumberFormat="1" applyFont="1" applyFill="1" applyBorder="1" applyAlignment="1">
      <alignment horizontal="right"/>
    </xf>
    <xf numFmtId="3" fontId="112" fillId="20" borderId="175" xfId="452" applyNumberFormat="1" applyFont="1" applyFill="1" applyBorder="1" applyAlignment="1">
      <alignment horizontal="right"/>
    </xf>
    <xf numFmtId="3" fontId="112" fillId="20" borderId="141" xfId="452" applyNumberFormat="1" applyFont="1" applyFill="1" applyBorder="1" applyAlignment="1">
      <alignment horizontal="right"/>
    </xf>
    <xf numFmtId="0" fontId="114" fillId="20" borderId="174" xfId="452" applyFont="1" applyFill="1" applyBorder="1" applyAlignment="1">
      <alignment horizontal="center"/>
    </xf>
    <xf numFmtId="3" fontId="114" fillId="20" borderId="173" xfId="452" applyNumberFormat="1" applyFont="1" applyFill="1" applyBorder="1" applyAlignment="1">
      <alignment horizontal="right"/>
    </xf>
    <xf numFmtId="3" fontId="114" fillId="20" borderId="174" xfId="452" applyNumberFormat="1" applyFont="1" applyFill="1" applyBorder="1" applyAlignment="1">
      <alignment horizontal="right"/>
    </xf>
    <xf numFmtId="3" fontId="114" fillId="20" borderId="175" xfId="452" applyNumberFormat="1" applyFont="1" applyFill="1" applyBorder="1" applyAlignment="1">
      <alignment horizontal="right"/>
    </xf>
    <xf numFmtId="3" fontId="114" fillId="20" borderId="141" xfId="452" applyNumberFormat="1" applyFont="1" applyFill="1" applyBorder="1" applyAlignment="1">
      <alignment horizontal="right"/>
    </xf>
    <xf numFmtId="0" fontId="109" fillId="20" borderId="174" xfId="452" applyFont="1" applyFill="1" applyBorder="1" applyAlignment="1">
      <alignment horizontal="center"/>
    </xf>
    <xf numFmtId="3" fontId="109" fillId="20" borderId="173" xfId="452" applyNumberFormat="1" applyFont="1" applyFill="1" applyBorder="1" applyAlignment="1">
      <alignment horizontal="right"/>
    </xf>
    <xf numFmtId="3" fontId="109" fillId="20" borderId="174" xfId="452" applyNumberFormat="1" applyFont="1" applyFill="1" applyBorder="1" applyAlignment="1">
      <alignment horizontal="right"/>
    </xf>
    <xf numFmtId="3" fontId="109" fillId="20" borderId="175" xfId="452" applyNumberFormat="1" applyFont="1" applyFill="1" applyBorder="1" applyAlignment="1">
      <alignment horizontal="right"/>
    </xf>
    <xf numFmtId="3" fontId="109" fillId="20" borderId="141" xfId="452" applyNumberFormat="1" applyFont="1" applyFill="1" applyBorder="1" applyAlignment="1">
      <alignment horizontal="right"/>
    </xf>
    <xf numFmtId="0" fontId="110" fillId="20" borderId="174" xfId="452" applyFont="1" applyFill="1" applyBorder="1" applyAlignment="1">
      <alignment horizontal="center"/>
    </xf>
    <xf numFmtId="3" fontId="110" fillId="20" borderId="173" xfId="452" applyNumberFormat="1" applyFont="1" applyFill="1" applyBorder="1" applyAlignment="1">
      <alignment horizontal="right"/>
    </xf>
    <xf numFmtId="3" fontId="110" fillId="20" borderId="174" xfId="452" applyNumberFormat="1" applyFont="1" applyFill="1" applyBorder="1" applyAlignment="1">
      <alignment horizontal="right"/>
    </xf>
    <xf numFmtId="3" fontId="110" fillId="20" borderId="175" xfId="452" applyNumberFormat="1" applyFont="1" applyFill="1" applyBorder="1" applyAlignment="1">
      <alignment horizontal="right"/>
    </xf>
    <xf numFmtId="3" fontId="110" fillId="20" borderId="141" xfId="452" applyNumberFormat="1" applyFont="1" applyFill="1" applyBorder="1" applyAlignment="1">
      <alignment horizontal="right"/>
    </xf>
    <xf numFmtId="0" fontId="117" fillId="20" borderId="254" xfId="452" applyFont="1" applyFill="1" applyBorder="1" applyAlignment="1">
      <alignment horizontal="center" vertical="top"/>
    </xf>
    <xf numFmtId="3" fontId="117" fillId="20" borderId="259" xfId="452" applyNumberFormat="1" applyFont="1" applyFill="1" applyBorder="1" applyAlignment="1">
      <alignment horizontal="right"/>
    </xf>
    <xf numFmtId="3" fontId="117" fillId="20" borderId="254" xfId="452" applyNumberFormat="1" applyFont="1" applyFill="1" applyBorder="1" applyAlignment="1">
      <alignment horizontal="right"/>
    </xf>
    <xf numFmtId="3" fontId="117" fillId="20" borderId="260" xfId="452" applyNumberFormat="1" applyFont="1" applyFill="1" applyBorder="1" applyAlignment="1">
      <alignment horizontal="right"/>
    </xf>
    <xf numFmtId="0" fontId="81" fillId="20" borderId="48" xfId="452" applyFont="1" applyFill="1" applyBorder="1" applyAlignment="1">
      <alignment horizontal="center" vertical="center"/>
    </xf>
    <xf numFmtId="0" fontId="81" fillId="20" borderId="142" xfId="452" applyFont="1" applyFill="1" applyBorder="1" applyAlignment="1">
      <alignment horizontal="center" vertical="center"/>
    </xf>
    <xf numFmtId="0" fontId="81" fillId="20" borderId="344" xfId="452" applyFont="1" applyFill="1" applyBorder="1" applyAlignment="1">
      <alignment horizontal="center" vertical="center"/>
    </xf>
    <xf numFmtId="0" fontId="81" fillId="20" borderId="16" xfId="452" applyFont="1" applyFill="1" applyBorder="1" applyAlignment="1">
      <alignment horizontal="center" vertical="center"/>
    </xf>
    <xf numFmtId="0" fontId="81" fillId="20" borderId="193" xfId="452" applyFont="1" applyFill="1" applyBorder="1" applyAlignment="1">
      <alignment horizontal="center" vertical="center"/>
    </xf>
    <xf numFmtId="0" fontId="81" fillId="20" borderId="49" xfId="452" applyFont="1" applyFill="1" applyBorder="1" applyAlignment="1">
      <alignment horizontal="center" vertical="center"/>
    </xf>
    <xf numFmtId="3" fontId="81" fillId="20" borderId="193" xfId="452" applyNumberFormat="1" applyFont="1" applyFill="1" applyBorder="1" applyAlignment="1">
      <alignment horizontal="right"/>
    </xf>
    <xf numFmtId="0" fontId="7" fillId="0" borderId="0" xfId="173" applyFont="1" applyAlignment="1">
      <alignment horizontal="left"/>
    </xf>
    <xf numFmtId="0" fontId="87" fillId="0" borderId="0" xfId="0" applyFont="1" applyAlignment="1">
      <alignment vertical="center" wrapText="1"/>
    </xf>
    <xf numFmtId="0" fontId="23" fillId="20" borderId="27" xfId="173" applyFont="1" applyFill="1" applyBorder="1" applyAlignment="1">
      <alignment horizontal="center" vertical="center" wrapText="1"/>
    </xf>
    <xf numFmtId="1" fontId="23" fillId="20" borderId="26" xfId="109" applyNumberFormat="1" applyFont="1" applyFill="1" applyBorder="1" applyAlignment="1">
      <alignment horizontal="right" vertical="center" wrapText="1" indent="1"/>
    </xf>
    <xf numFmtId="167" fontId="23" fillId="20" borderId="27" xfId="109" applyNumberFormat="1" applyFont="1" applyFill="1" applyBorder="1" applyAlignment="1">
      <alignment horizontal="right" vertical="center" wrapText="1" indent="1"/>
    </xf>
    <xf numFmtId="168" fontId="23" fillId="20" borderId="28" xfId="176" applyNumberFormat="1" applyFont="1" applyFill="1" applyBorder="1" applyAlignment="1">
      <alignment horizontal="center" vertical="center" wrapText="1"/>
    </xf>
    <xf numFmtId="1" fontId="167" fillId="0" borderId="259" xfId="109" applyNumberFormat="1" applyFont="1" applyBorder="1" applyAlignment="1">
      <alignment horizontal="right" vertical="center" wrapText="1" indent="1"/>
    </xf>
    <xf numFmtId="167" fontId="167" fillId="0" borderId="254" xfId="109" applyNumberFormat="1" applyFont="1" applyBorder="1" applyAlignment="1">
      <alignment horizontal="right" vertical="center" wrapText="1" indent="1"/>
    </xf>
    <xf numFmtId="168" fontId="167" fillId="0" borderId="260" xfId="176" applyNumberFormat="1" applyFont="1" applyBorder="1" applyAlignment="1">
      <alignment horizontal="center" vertical="center" wrapText="1"/>
    </xf>
    <xf numFmtId="0" fontId="167" fillId="0" borderId="260" xfId="173" applyFont="1" applyBorder="1" applyAlignment="1">
      <alignment horizontal="center" vertical="center" wrapText="1"/>
    </xf>
    <xf numFmtId="0" fontId="168" fillId="0" borderId="254" xfId="173" applyFont="1" applyBorder="1" applyAlignment="1">
      <alignment horizontal="center" vertical="center" wrapText="1"/>
    </xf>
    <xf numFmtId="1" fontId="168" fillId="0" borderId="259" xfId="109" applyNumberFormat="1" applyFont="1" applyBorder="1" applyAlignment="1">
      <alignment horizontal="right" vertical="center" wrapText="1" indent="1"/>
    </xf>
    <xf numFmtId="167" fontId="168" fillId="0" borderId="254" xfId="109" applyNumberFormat="1" applyFont="1" applyBorder="1" applyAlignment="1">
      <alignment horizontal="right" vertical="center" wrapText="1" indent="1"/>
    </xf>
    <xf numFmtId="168" fontId="168" fillId="0" borderId="260" xfId="176" applyNumberFormat="1" applyFont="1" applyBorder="1" applyAlignment="1">
      <alignment horizontal="center" vertical="center" wrapText="1"/>
    </xf>
    <xf numFmtId="0" fontId="169" fillId="0" borderId="254" xfId="173" applyFont="1" applyBorder="1" applyAlignment="1">
      <alignment horizontal="center" vertical="center" wrapText="1"/>
    </xf>
    <xf numFmtId="1" fontId="169" fillId="0" borderId="259" xfId="109" applyNumberFormat="1" applyFont="1" applyBorder="1" applyAlignment="1">
      <alignment horizontal="right" vertical="center" wrapText="1" indent="1"/>
    </xf>
    <xf numFmtId="167" fontId="169" fillId="0" borderId="254" xfId="109" applyNumberFormat="1" applyFont="1" applyBorder="1" applyAlignment="1">
      <alignment horizontal="right" vertical="center" wrapText="1" indent="1"/>
    </xf>
    <xf numFmtId="168" fontId="169" fillId="0" borderId="260" xfId="176" applyNumberFormat="1" applyFont="1" applyBorder="1" applyAlignment="1">
      <alignment horizontal="center" vertical="center" wrapText="1"/>
    </xf>
    <xf numFmtId="0" fontId="170" fillId="0" borderId="254" xfId="173" applyFont="1" applyBorder="1" applyAlignment="1">
      <alignment horizontal="center" vertical="center" wrapText="1"/>
    </xf>
    <xf numFmtId="1" fontId="170" fillId="0" borderId="259" xfId="109" applyNumberFormat="1" applyFont="1" applyBorder="1" applyAlignment="1">
      <alignment horizontal="right" vertical="center" wrapText="1" indent="1"/>
    </xf>
    <xf numFmtId="167" fontId="170" fillId="0" borderId="254" xfId="109" applyNumberFormat="1" applyFont="1" applyBorder="1" applyAlignment="1">
      <alignment horizontal="right" vertical="center" wrapText="1" indent="1"/>
    </xf>
    <xf numFmtId="168" fontId="170" fillId="0" borderId="260" xfId="176" applyNumberFormat="1" applyFont="1" applyBorder="1" applyAlignment="1">
      <alignment horizontal="center" vertical="center" wrapText="1"/>
    </xf>
    <xf numFmtId="0" fontId="171" fillId="0" borderId="254" xfId="173" applyFont="1" applyBorder="1" applyAlignment="1">
      <alignment horizontal="center" vertical="center" wrapText="1"/>
    </xf>
    <xf numFmtId="1" fontId="171" fillId="0" borderId="259" xfId="109" applyNumberFormat="1" applyFont="1" applyBorder="1" applyAlignment="1">
      <alignment horizontal="right" vertical="center" wrapText="1" indent="1"/>
    </xf>
    <xf numFmtId="167" fontId="171" fillId="0" borderId="254" xfId="109" applyNumberFormat="1" applyFont="1" applyBorder="1" applyAlignment="1">
      <alignment horizontal="right" vertical="center" wrapText="1" indent="1"/>
    </xf>
    <xf numFmtId="168" fontId="171" fillId="0" borderId="260" xfId="176" applyNumberFormat="1" applyFont="1" applyBorder="1" applyAlignment="1">
      <alignment horizontal="center" vertical="center" wrapText="1"/>
    </xf>
    <xf numFmtId="0" fontId="7" fillId="0" borderId="128" xfId="173" applyFont="1" applyBorder="1" applyAlignment="1">
      <alignment horizontal="left" vertical="center" wrapText="1"/>
    </xf>
    <xf numFmtId="0" fontId="7" fillId="0" borderId="149" xfId="173" applyFont="1" applyBorder="1" applyAlignment="1">
      <alignment horizontal="left" vertical="center" wrapText="1"/>
    </xf>
    <xf numFmtId="0" fontId="7" fillId="0" borderId="154" xfId="173" applyFont="1" applyBorder="1" applyAlignment="1">
      <alignment horizontal="left" vertical="center" wrapText="1"/>
    </xf>
    <xf numFmtId="9" fontId="23" fillId="20" borderId="28" xfId="176" applyFont="1" applyFill="1" applyBorder="1" applyAlignment="1">
      <alignment horizontal="center" vertical="center" wrapText="1"/>
    </xf>
    <xf numFmtId="167" fontId="23" fillId="20" borderId="315" xfId="109" applyNumberFormat="1" applyFont="1" applyFill="1" applyBorder="1" applyAlignment="1">
      <alignment horizontal="right" vertical="center" wrapText="1" indent="1"/>
    </xf>
    <xf numFmtId="0" fontId="167" fillId="0" borderId="254" xfId="173" applyFont="1" applyBorder="1" applyAlignment="1">
      <alignment horizontal="center" vertical="center" wrapText="1"/>
    </xf>
    <xf numFmtId="9" fontId="167" fillId="0" borderId="260" xfId="176" applyFont="1" applyBorder="1" applyAlignment="1">
      <alignment horizontal="center" vertical="center" wrapText="1"/>
    </xf>
    <xf numFmtId="9" fontId="203" fillId="0" borderId="260" xfId="176" applyFont="1" applyBorder="1" applyAlignment="1">
      <alignment horizontal="center" vertical="center" wrapText="1"/>
    </xf>
    <xf numFmtId="167" fontId="167" fillId="0" borderId="295" xfId="109" applyNumberFormat="1" applyFont="1" applyBorder="1" applyAlignment="1">
      <alignment horizontal="right" vertical="center" wrapText="1" indent="1"/>
    </xf>
    <xf numFmtId="9" fontId="168" fillId="0" borderId="260" xfId="176" applyFont="1" applyBorder="1" applyAlignment="1">
      <alignment horizontal="center" vertical="center" wrapText="1"/>
    </xf>
    <xf numFmtId="167" fontId="168" fillId="0" borderId="295" xfId="109" applyNumberFormat="1" applyFont="1" applyBorder="1" applyAlignment="1">
      <alignment horizontal="right" vertical="center" wrapText="1" indent="1"/>
    </xf>
    <xf numFmtId="9" fontId="169" fillId="0" borderId="260" xfId="176" applyFont="1" applyBorder="1" applyAlignment="1">
      <alignment horizontal="center" vertical="center" wrapText="1"/>
    </xf>
    <xf numFmtId="167" fontId="169" fillId="0" borderId="295" xfId="109" applyNumberFormat="1" applyFont="1" applyBorder="1" applyAlignment="1">
      <alignment horizontal="right" vertical="center" wrapText="1" indent="1"/>
    </xf>
    <xf numFmtId="9" fontId="170" fillId="0" borderId="260" xfId="176" applyFont="1" applyBorder="1" applyAlignment="1">
      <alignment horizontal="center" vertical="center" wrapText="1"/>
    </xf>
    <xf numFmtId="167" fontId="170" fillId="0" borderId="295" xfId="109" applyNumberFormat="1" applyFont="1" applyBorder="1" applyAlignment="1">
      <alignment horizontal="right" vertical="center" wrapText="1" indent="1"/>
    </xf>
    <xf numFmtId="9" fontId="171" fillId="0" borderId="260" xfId="176" applyFont="1" applyBorder="1" applyAlignment="1">
      <alignment horizontal="center" vertical="center" wrapText="1"/>
    </xf>
    <xf numFmtId="167" fontId="117" fillId="0" borderId="295" xfId="0" applyNumberFormat="1" applyFont="1" applyBorder="1" applyAlignment="1">
      <alignment horizontal="right" vertical="center" indent="1"/>
    </xf>
    <xf numFmtId="0" fontId="23" fillId="20" borderId="276" xfId="173" applyFont="1" applyFill="1" applyBorder="1" applyAlignment="1">
      <alignment horizontal="center" vertical="center" wrapText="1"/>
    </xf>
    <xf numFmtId="0" fontId="7" fillId="0" borderId="345" xfId="173" applyFont="1" applyBorder="1" applyAlignment="1">
      <alignment horizontal="left" vertical="center" wrapText="1"/>
    </xf>
    <xf numFmtId="1" fontId="7" fillId="0" borderId="346" xfId="804" applyNumberFormat="1" applyFont="1" applyBorder="1" applyAlignment="1">
      <alignment horizontal="right" vertical="center" wrapText="1" indent="1"/>
    </xf>
    <xf numFmtId="0" fontId="7" fillId="0" borderId="347" xfId="804" applyFont="1" applyBorder="1" applyAlignment="1">
      <alignment horizontal="right" vertical="center" wrapText="1" indent="1"/>
    </xf>
    <xf numFmtId="9" fontId="7" fillId="0" borderId="348" xfId="176" applyFont="1" applyBorder="1" applyAlignment="1">
      <alignment horizontal="center" vertical="center" wrapText="1"/>
    </xf>
    <xf numFmtId="0" fontId="7" fillId="0" borderId="349" xfId="804" applyFont="1" applyBorder="1" applyAlignment="1">
      <alignment horizontal="right" vertical="center" wrapText="1" indent="1"/>
    </xf>
    <xf numFmtId="0" fontId="26" fillId="24" borderId="343" xfId="173" applyFont="1" applyFill="1" applyBorder="1" applyAlignment="1">
      <alignment horizontal="center" vertical="center" wrapText="1"/>
    </xf>
    <xf numFmtId="0" fontId="7" fillId="0" borderId="345" xfId="173" applyFont="1" applyBorder="1" applyAlignment="1">
      <alignment vertical="center" wrapText="1"/>
    </xf>
    <xf numFmtId="168" fontId="7" fillId="0" borderId="348" xfId="176" applyNumberFormat="1" applyFont="1" applyBorder="1" applyAlignment="1">
      <alignment horizontal="center" vertical="center" wrapText="1"/>
    </xf>
    <xf numFmtId="0" fontId="25" fillId="0" borderId="49" xfId="173" applyFont="1" applyBorder="1" applyAlignment="1">
      <alignment horizontal="center" vertical="center"/>
    </xf>
    <xf numFmtId="3" fontId="7" fillId="0" borderId="346" xfId="804" applyNumberFormat="1" applyFont="1" applyBorder="1" applyAlignment="1">
      <alignment horizontal="right" vertical="center" wrapText="1" indent="1"/>
    </xf>
    <xf numFmtId="3" fontId="7" fillId="0" borderId="349" xfId="804" applyNumberFormat="1" applyFont="1" applyBorder="1" applyAlignment="1">
      <alignment horizontal="right" vertical="center" wrapText="1" indent="1"/>
    </xf>
    <xf numFmtId="171" fontId="7" fillId="0" borderId="348" xfId="176" applyNumberFormat="1" applyFont="1" applyBorder="1" applyAlignment="1">
      <alignment horizontal="center" vertical="center" wrapText="1"/>
    </xf>
    <xf numFmtId="1" fontId="41" fillId="20" borderId="343" xfId="173" applyNumberFormat="1" applyFont="1" applyFill="1" applyBorder="1" applyAlignment="1">
      <alignment horizontal="center" vertical="center" wrapText="1"/>
    </xf>
    <xf numFmtId="0" fontId="64" fillId="0" borderId="0" xfId="0" applyFont="1" applyAlignment="1">
      <alignment horizontal="left"/>
    </xf>
    <xf numFmtId="3" fontId="23" fillId="20" borderId="26" xfId="109" applyNumberFormat="1" applyFont="1" applyFill="1" applyBorder="1" applyAlignment="1">
      <alignment horizontal="right" vertical="center" wrapText="1" indent="1"/>
    </xf>
    <xf numFmtId="3" fontId="23" fillId="20" borderId="315" xfId="109" applyNumberFormat="1" applyFont="1" applyFill="1" applyBorder="1" applyAlignment="1">
      <alignment horizontal="right" vertical="center" wrapText="1" indent="1"/>
    </xf>
    <xf numFmtId="171" fontId="23" fillId="20" borderId="28" xfId="176" applyNumberFormat="1" applyFont="1" applyFill="1" applyBorder="1" applyAlignment="1">
      <alignment horizontal="center" vertical="center" wrapText="1"/>
    </xf>
    <xf numFmtId="3" fontId="167" fillId="0" borderId="352" xfId="109" applyNumberFormat="1" applyFont="1" applyBorder="1" applyAlignment="1">
      <alignment horizontal="right" vertical="center" wrapText="1" indent="1"/>
    </xf>
    <xf numFmtId="3" fontId="167" fillId="0" borderId="353" xfId="109" applyNumberFormat="1" applyFont="1" applyBorder="1" applyAlignment="1">
      <alignment horizontal="right" vertical="center" wrapText="1" indent="1"/>
    </xf>
    <xf numFmtId="171" fontId="167" fillId="0" borderId="350" xfId="176" applyNumberFormat="1" applyFont="1" applyBorder="1" applyAlignment="1">
      <alignment horizontal="center" vertical="center" wrapText="1"/>
    </xf>
    <xf numFmtId="167" fontId="167" fillId="0" borderId="353" xfId="109" applyNumberFormat="1" applyFont="1" applyBorder="1" applyAlignment="1">
      <alignment horizontal="right" vertical="center" wrapText="1" indent="1"/>
    </xf>
    <xf numFmtId="0" fontId="167" fillId="0" borderId="351" xfId="173" applyFont="1" applyBorder="1" applyAlignment="1">
      <alignment horizontal="center" vertical="center" wrapText="1"/>
    </xf>
    <xf numFmtId="0" fontId="168" fillId="0" borderId="351" xfId="173" applyFont="1" applyBorder="1" applyAlignment="1">
      <alignment horizontal="center" vertical="center" wrapText="1"/>
    </xf>
    <xf numFmtId="3" fontId="168" fillId="0" borderId="352" xfId="109" applyNumberFormat="1" applyFont="1" applyBorder="1" applyAlignment="1">
      <alignment horizontal="right" vertical="center" wrapText="1" indent="1"/>
    </xf>
    <xf numFmtId="3" fontId="168" fillId="0" borderId="353" xfId="109" applyNumberFormat="1" applyFont="1" applyBorder="1" applyAlignment="1">
      <alignment horizontal="right" vertical="center" wrapText="1" indent="1"/>
    </xf>
    <xf numFmtId="171" fontId="168" fillId="0" borderId="350" xfId="176" applyNumberFormat="1" applyFont="1" applyBorder="1" applyAlignment="1">
      <alignment horizontal="center" vertical="center" wrapText="1"/>
    </xf>
    <xf numFmtId="167" fontId="168" fillId="0" borderId="353" xfId="109" applyNumberFormat="1" applyFont="1" applyBorder="1" applyAlignment="1">
      <alignment horizontal="right" vertical="center" wrapText="1" indent="1"/>
    </xf>
    <xf numFmtId="0" fontId="169" fillId="0" borderId="351" xfId="173" applyFont="1" applyBorder="1" applyAlignment="1">
      <alignment horizontal="center" vertical="center" wrapText="1"/>
    </xf>
    <xf numFmtId="3" fontId="169" fillId="0" borderId="352" xfId="109" applyNumberFormat="1" applyFont="1" applyBorder="1" applyAlignment="1">
      <alignment horizontal="right" vertical="center" wrapText="1" indent="1"/>
    </xf>
    <xf numFmtId="3" fontId="169" fillId="0" borderId="353" xfId="109" applyNumberFormat="1" applyFont="1" applyBorder="1" applyAlignment="1">
      <alignment horizontal="right" vertical="center" wrapText="1" indent="1"/>
    </xf>
    <xf numFmtId="171" fontId="169" fillId="0" borderId="350" xfId="176" applyNumberFormat="1" applyFont="1" applyBorder="1" applyAlignment="1">
      <alignment horizontal="center" vertical="center" wrapText="1"/>
    </xf>
    <xf numFmtId="167" fontId="169" fillId="0" borderId="353" xfId="109" applyNumberFormat="1" applyFont="1" applyBorder="1" applyAlignment="1">
      <alignment horizontal="right" vertical="center" wrapText="1" indent="1"/>
    </xf>
    <xf numFmtId="0" fontId="170" fillId="0" borderId="351" xfId="173" applyFont="1" applyBorder="1" applyAlignment="1">
      <alignment horizontal="center" vertical="center" wrapText="1"/>
    </xf>
    <xf numFmtId="3" fontId="170" fillId="0" borderId="352" xfId="109" applyNumberFormat="1" applyFont="1" applyBorder="1" applyAlignment="1">
      <alignment horizontal="right" vertical="center" wrapText="1" indent="1"/>
    </xf>
    <xf numFmtId="3" fontId="170" fillId="0" borderId="295" xfId="109" applyNumberFormat="1" applyFont="1" applyBorder="1" applyAlignment="1">
      <alignment horizontal="right" vertical="center" wrapText="1" indent="1"/>
    </xf>
    <xf numFmtId="171" fontId="170" fillId="0" borderId="350" xfId="176" applyNumberFormat="1" applyFont="1" applyBorder="1" applyAlignment="1">
      <alignment horizontal="center" vertical="center" wrapText="1"/>
    </xf>
    <xf numFmtId="0" fontId="7" fillId="0" borderId="354" xfId="173" applyFont="1" applyBorder="1" applyAlignment="1">
      <alignment vertical="center" wrapText="1"/>
    </xf>
    <xf numFmtId="0" fontId="23" fillId="20" borderId="0" xfId="173" applyFont="1" applyFill="1" applyAlignment="1">
      <alignment horizontal="center" vertical="center" wrapText="1"/>
    </xf>
    <xf numFmtId="3" fontId="23" fillId="20" borderId="10" xfId="109" applyNumberFormat="1" applyFont="1" applyFill="1" applyBorder="1" applyAlignment="1">
      <alignment horizontal="right" vertical="center" wrapText="1" indent="1"/>
    </xf>
    <xf numFmtId="3" fontId="23" fillId="20" borderId="223" xfId="109" applyNumberFormat="1" applyFont="1" applyFill="1" applyBorder="1" applyAlignment="1">
      <alignment horizontal="right" vertical="center" wrapText="1" indent="1"/>
    </xf>
    <xf numFmtId="171" fontId="23" fillId="20" borderId="11" xfId="176" applyNumberFormat="1" applyFont="1" applyFill="1" applyBorder="1" applyAlignment="1">
      <alignment horizontal="center" vertical="center" wrapText="1"/>
    </xf>
    <xf numFmtId="167" fontId="23" fillId="20" borderId="223" xfId="109" applyNumberFormat="1" applyFont="1" applyFill="1" applyBorder="1" applyAlignment="1">
      <alignment horizontal="right" vertical="center" wrapText="1" indent="1"/>
    </xf>
    <xf numFmtId="0" fontId="171" fillId="0" borderId="351" xfId="173" applyFont="1" applyBorder="1" applyAlignment="1">
      <alignment horizontal="center" vertical="center" wrapText="1"/>
    </xf>
    <xf numFmtId="3" fontId="171" fillId="0" borderId="352" xfId="109" applyNumberFormat="1" applyFont="1" applyBorder="1" applyAlignment="1">
      <alignment horizontal="right" vertical="center" wrapText="1" indent="1"/>
    </xf>
    <xf numFmtId="3" fontId="117" fillId="0" borderId="295" xfId="0" applyNumberFormat="1" applyFont="1" applyBorder="1" applyAlignment="1">
      <alignment horizontal="right" vertical="center" indent="1"/>
    </xf>
    <xf numFmtId="171" fontId="171" fillId="0" borderId="350" xfId="176" applyNumberFormat="1" applyFont="1" applyBorder="1" applyAlignment="1">
      <alignment horizontal="center" vertical="center" wrapText="1"/>
    </xf>
    <xf numFmtId="0" fontId="23" fillId="20" borderId="355" xfId="173" applyFont="1" applyFill="1" applyBorder="1" applyAlignment="1">
      <alignment horizontal="center" vertical="center" wrapText="1"/>
    </xf>
    <xf numFmtId="0" fontId="7" fillId="0" borderId="265" xfId="173" applyFont="1" applyBorder="1" applyAlignment="1">
      <alignment horizontal="center" vertical="center" wrapText="1"/>
    </xf>
    <xf numFmtId="9" fontId="7" fillId="0" borderId="265" xfId="176" applyFont="1" applyBorder="1" applyAlignment="1">
      <alignment horizontal="center" vertical="center" wrapText="1"/>
    </xf>
    <xf numFmtId="0" fontId="2" fillId="0" borderId="0" xfId="149" applyFont="1" applyAlignment="1">
      <alignment vertical="center" wrapText="1"/>
    </xf>
    <xf numFmtId="0" fontId="55" fillId="0" borderId="345" xfId="173" applyFont="1" applyBorder="1" applyAlignment="1">
      <alignment vertical="center" wrapText="1"/>
    </xf>
    <xf numFmtId="0" fontId="81" fillId="0" borderId="16" xfId="173" applyFont="1" applyBorder="1" applyAlignment="1">
      <alignment horizontal="center" vertical="center"/>
    </xf>
    <xf numFmtId="0" fontId="55" fillId="24" borderId="358" xfId="173" applyFont="1" applyFill="1" applyBorder="1" applyAlignment="1">
      <alignment horizontal="center" vertical="center"/>
    </xf>
    <xf numFmtId="0" fontId="55" fillId="24" borderId="359" xfId="173" applyFont="1" applyFill="1" applyBorder="1" applyAlignment="1">
      <alignment horizontal="center" vertical="center"/>
    </xf>
    <xf numFmtId="0" fontId="55" fillId="0" borderId="178" xfId="173" applyFont="1" applyBorder="1" applyAlignment="1">
      <alignment horizontal="left" vertical="center" wrapText="1"/>
    </xf>
    <xf numFmtId="0" fontId="81" fillId="20" borderId="357" xfId="173" applyFont="1" applyFill="1" applyBorder="1" applyAlignment="1">
      <alignment horizontal="center" vertical="center" wrapText="1"/>
    </xf>
    <xf numFmtId="0" fontId="117" fillId="22" borderId="260" xfId="173" applyFont="1" applyFill="1" applyBorder="1" applyAlignment="1">
      <alignment horizontal="center" vertical="center" wrapText="1"/>
    </xf>
    <xf numFmtId="0" fontId="117" fillId="0" borderId="174" xfId="0" applyFont="1" applyBorder="1" applyAlignment="1">
      <alignment horizontal="right" vertical="center" indent="1"/>
    </xf>
    <xf numFmtId="168" fontId="117" fillId="0" borderId="260" xfId="176" applyNumberFormat="1" applyFont="1" applyBorder="1" applyAlignment="1">
      <alignment horizontal="right" vertical="center" indent="1"/>
    </xf>
    <xf numFmtId="0" fontId="112" fillId="22" borderId="174" xfId="173" applyFont="1" applyFill="1" applyBorder="1" applyAlignment="1">
      <alignment horizontal="center" vertical="center" wrapText="1"/>
    </xf>
    <xf numFmtId="0" fontId="112" fillId="0" borderId="174" xfId="173" applyFont="1" applyBorder="1" applyAlignment="1">
      <alignment horizontal="right" vertical="center" wrapText="1" indent="1"/>
    </xf>
    <xf numFmtId="168" fontId="112" fillId="0" borderId="260" xfId="176" applyNumberFormat="1" applyFont="1" applyBorder="1" applyAlignment="1">
      <alignment horizontal="right" vertical="center" indent="1"/>
    </xf>
    <xf numFmtId="0" fontId="114" fillId="22" borderId="174" xfId="173" applyFont="1" applyFill="1" applyBorder="1" applyAlignment="1">
      <alignment horizontal="center" vertical="center" wrapText="1"/>
    </xf>
    <xf numFmtId="0" fontId="114" fillId="0" borderId="174" xfId="173" applyFont="1" applyBorder="1" applyAlignment="1">
      <alignment horizontal="right" vertical="center" wrapText="1" indent="1"/>
    </xf>
    <xf numFmtId="168" fontId="114" fillId="0" borderId="260" xfId="176" applyNumberFormat="1" applyFont="1" applyBorder="1" applyAlignment="1">
      <alignment horizontal="right" vertical="center" indent="1"/>
    </xf>
    <xf numFmtId="0" fontId="109" fillId="22" borderId="174" xfId="173" applyFont="1" applyFill="1" applyBorder="1" applyAlignment="1">
      <alignment horizontal="center" vertical="center" wrapText="1"/>
    </xf>
    <xf numFmtId="168" fontId="109" fillId="0" borderId="260" xfId="176" applyNumberFormat="1" applyFont="1" applyBorder="1" applyAlignment="1">
      <alignment horizontal="right" vertical="center" indent="1"/>
    </xf>
    <xf numFmtId="0" fontId="110" fillId="22" borderId="174" xfId="173" applyFont="1" applyFill="1" applyBorder="1" applyAlignment="1">
      <alignment horizontal="center" vertical="center" wrapText="1"/>
    </xf>
    <xf numFmtId="0" fontId="110" fillId="0" borderId="174" xfId="173" applyFont="1" applyBorder="1" applyAlignment="1">
      <alignment horizontal="right" vertical="center" indent="1"/>
    </xf>
    <xf numFmtId="168" fontId="110" fillId="0" borderId="260" xfId="176" applyNumberFormat="1" applyFont="1" applyBorder="1" applyAlignment="1">
      <alignment horizontal="right" vertical="center" indent="1"/>
    </xf>
    <xf numFmtId="1" fontId="42" fillId="0" borderId="265" xfId="173" applyNumberFormat="1" applyFont="1" applyBorder="1" applyAlignment="1">
      <alignment horizontal="center" vertical="center" wrapText="1"/>
    </xf>
    <xf numFmtId="0" fontId="3" fillId="0" borderId="0" xfId="0" applyFont="1" applyAlignment="1">
      <alignment wrapText="1"/>
    </xf>
    <xf numFmtId="0" fontId="55" fillId="0" borderId="360" xfId="173" applyFont="1" applyBorder="1" applyAlignment="1">
      <alignment vertical="center" wrapText="1"/>
    </xf>
    <xf numFmtId="0" fontId="81" fillId="0" borderId="49" xfId="173" applyFont="1" applyBorder="1" applyAlignment="1">
      <alignment horizontal="center" vertical="center"/>
    </xf>
    <xf numFmtId="0" fontId="55" fillId="24" borderId="343" xfId="173" applyFont="1" applyFill="1" applyBorder="1" applyAlignment="1">
      <alignment horizontal="center" vertical="center"/>
    </xf>
    <xf numFmtId="0" fontId="110" fillId="0" borderId="231" xfId="173" applyFont="1" applyBorder="1" applyAlignment="1">
      <alignment horizontal="right" vertical="center" indent="1"/>
    </xf>
    <xf numFmtId="168" fontId="110" fillId="0" borderId="361" xfId="176" applyNumberFormat="1" applyFont="1" applyBorder="1" applyAlignment="1">
      <alignment horizontal="right" vertical="center" indent="1"/>
    </xf>
    <xf numFmtId="0" fontId="110" fillId="0" borderId="238" xfId="173" applyFont="1" applyBorder="1" applyAlignment="1">
      <alignment horizontal="right" vertical="center" indent="1"/>
    </xf>
    <xf numFmtId="168" fontId="109" fillId="0" borderId="361" xfId="176" applyNumberFormat="1" applyFont="1" applyBorder="1" applyAlignment="1">
      <alignment horizontal="right" vertical="center" indent="1"/>
    </xf>
    <xf numFmtId="0" fontId="114" fillId="0" borderId="231" xfId="173" applyFont="1" applyBorder="1" applyAlignment="1">
      <alignment horizontal="right" vertical="center" wrapText="1" indent="1"/>
    </xf>
    <xf numFmtId="168" fontId="114" fillId="0" borderId="361" xfId="176" applyNumberFormat="1" applyFont="1" applyBorder="1" applyAlignment="1">
      <alignment horizontal="right" vertical="center" indent="1"/>
    </xf>
    <xf numFmtId="0" fontId="114" fillId="0" borderId="238" xfId="173" applyFont="1" applyBorder="1" applyAlignment="1">
      <alignment horizontal="right" vertical="center" wrapText="1" indent="1"/>
    </xf>
    <xf numFmtId="0" fontId="112" fillId="0" borderId="231" xfId="173" applyFont="1" applyBorder="1" applyAlignment="1">
      <alignment horizontal="right" vertical="center" wrapText="1" indent="1"/>
    </xf>
    <xf numFmtId="168" fontId="112" fillId="0" borderId="361" xfId="176" applyNumberFormat="1" applyFont="1" applyBorder="1" applyAlignment="1">
      <alignment horizontal="right" vertical="center" indent="1"/>
    </xf>
    <xf numFmtId="0" fontId="112" fillId="0" borderId="238" xfId="173" applyFont="1" applyBorder="1" applyAlignment="1">
      <alignment horizontal="right" vertical="center" wrapText="1" indent="1"/>
    </xf>
    <xf numFmtId="0" fontId="117" fillId="0" borderId="231" xfId="0" applyFont="1" applyBorder="1" applyAlignment="1">
      <alignment horizontal="right" vertical="center" indent="1"/>
    </xf>
    <xf numFmtId="167" fontId="171" fillId="0" borderId="295" xfId="109" applyNumberFormat="1" applyFont="1" applyBorder="1" applyAlignment="1">
      <alignment horizontal="right" vertical="center" wrapText="1" indent="1"/>
    </xf>
    <xf numFmtId="168" fontId="117" fillId="0" borderId="361" xfId="176" applyNumberFormat="1" applyFont="1" applyBorder="1" applyAlignment="1">
      <alignment horizontal="right" vertical="center" indent="1"/>
    </xf>
    <xf numFmtId="0" fontId="117" fillId="0" borderId="238" xfId="0" applyFont="1" applyBorder="1" applyAlignment="1">
      <alignment horizontal="right" vertical="center" indent="1"/>
    </xf>
    <xf numFmtId="0" fontId="117" fillId="0" borderId="295" xfId="0" applyFont="1" applyBorder="1" applyAlignment="1">
      <alignment horizontal="right" vertical="center" indent="1"/>
    </xf>
    <xf numFmtId="9" fontId="240" fillId="29" borderId="288" xfId="0" applyNumberFormat="1" applyFont="1" applyFill="1" applyBorder="1" applyAlignment="1">
      <alignment horizontal="center" vertical="center" wrapText="1"/>
    </xf>
    <xf numFmtId="3" fontId="0" fillId="0" borderId="234" xfId="0" applyNumberFormat="1" applyBorder="1"/>
    <xf numFmtId="3" fontId="0" fillId="0" borderId="220" xfId="0" applyNumberFormat="1" applyBorder="1"/>
    <xf numFmtId="3" fontId="40" fillId="20" borderId="226" xfId="0" applyNumberFormat="1" applyFont="1" applyFill="1" applyBorder="1"/>
    <xf numFmtId="3" fontId="40" fillId="20" borderId="231" xfId="0" applyNumberFormat="1" applyFont="1" applyFill="1" applyBorder="1"/>
    <xf numFmtId="3" fontId="0" fillId="0" borderId="290" xfId="0" applyNumberFormat="1" applyBorder="1"/>
    <xf numFmtId="3" fontId="0" fillId="0" borderId="224" xfId="0" applyNumberFormat="1" applyBorder="1"/>
    <xf numFmtId="3" fontId="40" fillId="20" borderId="293" xfId="0" applyNumberFormat="1" applyFont="1" applyFill="1" applyBorder="1"/>
    <xf numFmtId="3" fontId="40" fillId="20" borderId="295" xfId="0" applyNumberFormat="1" applyFont="1" applyFill="1" applyBorder="1"/>
    <xf numFmtId="168" fontId="0" fillId="0" borderId="291" xfId="176" applyNumberFormat="1" applyFont="1" applyBorder="1" applyAlignment="1">
      <alignment horizontal="center" vertical="center"/>
    </xf>
    <xf numFmtId="168" fontId="40" fillId="20" borderId="294" xfId="176" applyNumberFormat="1" applyFont="1" applyFill="1" applyBorder="1" applyAlignment="1">
      <alignment horizontal="center" vertical="center"/>
    </xf>
    <xf numFmtId="168" fontId="0" fillId="0" borderId="0" xfId="176" applyNumberFormat="1" applyFont="1" applyAlignment="1">
      <alignment horizontal="center" vertical="center"/>
    </xf>
    <xf numFmtId="168" fontId="40" fillId="44" borderId="294" xfId="176" applyNumberFormat="1" applyFont="1" applyFill="1" applyBorder="1" applyAlignment="1">
      <alignment horizontal="center" vertical="center"/>
    </xf>
    <xf numFmtId="0" fontId="59" fillId="0" borderId="16" xfId="0" applyFont="1" applyBorder="1" applyAlignment="1">
      <alignment horizontal="center" vertical="center" wrapText="1"/>
    </xf>
    <xf numFmtId="0" fontId="0" fillId="0" borderId="145" xfId="0" applyBorder="1" applyAlignment="1">
      <alignment horizontal="center" vertical="center"/>
    </xf>
    <xf numFmtId="3" fontId="58" fillId="0" borderId="145" xfId="0" applyNumberFormat="1" applyFont="1" applyBorder="1" applyAlignment="1">
      <alignment horizontal="center" vertical="center" wrapText="1"/>
    </xf>
    <xf numFmtId="0" fontId="0" fillId="0" borderId="351" xfId="0" applyBorder="1" applyAlignment="1">
      <alignment horizontal="center" vertical="center"/>
    </xf>
    <xf numFmtId="3" fontId="58" fillId="0" borderId="351" xfId="0" applyNumberFormat="1" applyFont="1" applyBorder="1" applyAlignment="1">
      <alignment horizontal="center" vertical="center" wrapText="1"/>
    </xf>
    <xf numFmtId="0" fontId="61" fillId="0" borderId="0" xfId="0" applyFont="1" applyAlignment="1">
      <alignment horizontal="right"/>
    </xf>
    <xf numFmtId="0" fontId="299" fillId="0" borderId="0" xfId="0" applyFont="1" applyAlignment="1">
      <alignment horizontal="center" vertical="center" wrapText="1"/>
    </xf>
    <xf numFmtId="0" fontId="299" fillId="0" borderId="0" xfId="0" applyFont="1" applyAlignment="1">
      <alignment horizontal="left" vertical="center"/>
    </xf>
    <xf numFmtId="0" fontId="0" fillId="0" borderId="362" xfId="0" applyBorder="1" applyAlignment="1">
      <alignment horizontal="center" vertical="center"/>
    </xf>
    <xf numFmtId="0" fontId="42" fillId="0" borderId="289" xfId="0" applyFont="1" applyBorder="1" applyAlignment="1">
      <alignment horizontal="left" vertical="center" wrapText="1"/>
    </xf>
    <xf numFmtId="9" fontId="0" fillId="0" borderId="289" xfId="176" applyFont="1" applyBorder="1" applyAlignment="1">
      <alignment horizontal="center" vertical="center"/>
    </xf>
    <xf numFmtId="3" fontId="58" fillId="0" borderId="363" xfId="0" applyNumberFormat="1" applyFont="1" applyBorder="1" applyAlignment="1">
      <alignment horizontal="center" vertical="center" wrapText="1" readingOrder="1"/>
    </xf>
    <xf numFmtId="168" fontId="0" fillId="0" borderId="289" xfId="176" applyNumberFormat="1" applyFont="1" applyBorder="1" applyAlignment="1">
      <alignment vertical="center"/>
    </xf>
    <xf numFmtId="3" fontId="42" fillId="0" borderId="363" xfId="0" applyNumberFormat="1" applyFont="1" applyBorder="1" applyAlignment="1">
      <alignment horizontal="center" vertical="center"/>
    </xf>
    <xf numFmtId="3" fontId="42" fillId="0" borderId="363" xfId="2650" applyNumberFormat="1" applyFont="1" applyBorder="1" applyAlignment="1">
      <alignment horizontal="center" vertical="center"/>
    </xf>
    <xf numFmtId="168" fontId="0" fillId="0" borderId="289" xfId="3386" applyNumberFormat="1" applyFont="1" applyBorder="1" applyAlignment="1">
      <alignment vertical="center"/>
    </xf>
    <xf numFmtId="0" fontId="219" fillId="27" borderId="362" xfId="246" applyFont="1" applyFill="1" applyBorder="1" applyAlignment="1">
      <alignment horizontal="center" vertical="center" wrapText="1"/>
    </xf>
    <xf numFmtId="0" fontId="42" fillId="0" borderId="362" xfId="246" applyFont="1" applyBorder="1" applyAlignment="1">
      <alignment horizontal="center" vertical="center" wrapText="1"/>
    </xf>
    <xf numFmtId="0" fontId="219" fillId="26" borderId="362" xfId="246" applyFont="1" applyFill="1" applyBorder="1" applyAlignment="1">
      <alignment horizontal="center" vertical="center" wrapText="1"/>
    </xf>
    <xf numFmtId="0" fontId="139" fillId="29" borderId="362" xfId="246" applyFont="1" applyFill="1" applyBorder="1" applyAlignment="1">
      <alignment wrapText="1"/>
    </xf>
    <xf numFmtId="0" fontId="219" fillId="23" borderId="363" xfId="246" applyFont="1" applyFill="1" applyBorder="1" applyAlignment="1">
      <alignment horizontal="center" vertical="center" wrapText="1"/>
    </xf>
    <xf numFmtId="0" fontId="43" fillId="0" borderId="135" xfId="0" applyFont="1" applyBorder="1" applyAlignment="1">
      <alignment horizontal="center" vertical="center"/>
    </xf>
    <xf numFmtId="0" fontId="0" fillId="0" borderId="0" xfId="0"/>
    <xf numFmtId="0" fontId="86" fillId="0" borderId="0" xfId="0" applyFont="1" applyAlignment="1">
      <alignment horizontal="center"/>
    </xf>
    <xf numFmtId="0" fontId="5" fillId="20" borderId="274" xfId="149" applyFont="1" applyFill="1" applyBorder="1" applyAlignment="1">
      <alignment horizontal="center" vertical="center"/>
    </xf>
    <xf numFmtId="0" fontId="0" fillId="0" borderId="0" xfId="0" applyAlignment="1">
      <alignment horizontal="center"/>
    </xf>
    <xf numFmtId="0" fontId="300" fillId="0" borderId="0" xfId="0" applyFont="1" applyAlignment="1">
      <alignment horizontal="center" vertical="center"/>
    </xf>
    <xf numFmtId="0" fontId="136" fillId="0" borderId="103" xfId="0" applyFont="1" applyFill="1" applyBorder="1" applyAlignment="1">
      <alignment horizontal="center" vertical="center" wrapText="1"/>
    </xf>
    <xf numFmtId="0" fontId="136" fillId="0" borderId="123" xfId="0" applyFont="1" applyFill="1" applyBorder="1" applyAlignment="1">
      <alignment vertical="center" wrapText="1"/>
    </xf>
    <xf numFmtId="0" fontId="102" fillId="0" borderId="103" xfId="377" applyFill="1" applyBorder="1" applyAlignment="1">
      <alignment horizontal="center" vertical="center" wrapText="1"/>
    </xf>
    <xf numFmtId="0" fontId="136" fillId="0" borderId="124" xfId="0" applyFont="1" applyFill="1" applyBorder="1" applyAlignment="1">
      <alignment horizontal="left" vertical="center" wrapText="1"/>
    </xf>
    <xf numFmtId="0" fontId="102" fillId="0" borderId="267" xfId="377" applyFill="1" applyBorder="1" applyAlignment="1">
      <alignment horizontal="center" vertical="center" wrapText="1"/>
    </xf>
    <xf numFmtId="0" fontId="44" fillId="0" borderId="260" xfId="0" applyFont="1" applyFill="1" applyBorder="1" applyAlignment="1">
      <alignment horizontal="left" vertical="center" wrapText="1"/>
    </xf>
    <xf numFmtId="0" fontId="102" fillId="0" borderId="133" xfId="377" applyFill="1" applyBorder="1" applyAlignment="1">
      <alignment horizontal="center" vertical="center" wrapText="1"/>
    </xf>
    <xf numFmtId="0" fontId="163" fillId="0" borderId="103" xfId="0" applyFont="1" applyFill="1" applyBorder="1" applyAlignment="1">
      <alignment horizontal="left" vertical="center" wrapText="1"/>
    </xf>
    <xf numFmtId="0" fontId="136" fillId="0" borderId="103" xfId="0" applyFont="1" applyFill="1" applyBorder="1" applyAlignment="1">
      <alignment vertical="center" wrapText="1"/>
    </xf>
    <xf numFmtId="0" fontId="136" fillId="0" borderId="103" xfId="0" applyFont="1" applyFill="1" applyBorder="1" applyAlignment="1">
      <alignment horizontal="center" vertical="center"/>
    </xf>
    <xf numFmtId="0" fontId="136" fillId="0" borderId="124" xfId="0" applyFont="1" applyFill="1" applyBorder="1" applyAlignment="1">
      <alignment vertical="center" wrapText="1"/>
    </xf>
    <xf numFmtId="0" fontId="30" fillId="0" borderId="267" xfId="149" applyFont="1" applyFill="1" applyBorder="1" applyAlignment="1">
      <alignment horizontal="center" vertical="center"/>
    </xf>
    <xf numFmtId="0" fontId="40" fillId="0" borderId="362" xfId="0" applyFont="1" applyFill="1" applyBorder="1" applyAlignment="1">
      <alignment horizontal="center"/>
    </xf>
    <xf numFmtId="0" fontId="234" fillId="0" borderId="0" xfId="149" applyFont="1" applyBorder="1"/>
    <xf numFmtId="173" fontId="1" fillId="0" borderId="362" xfId="149" applyNumberFormat="1" applyFont="1" applyBorder="1" applyAlignment="1">
      <alignment horizontal="center" vertical="center"/>
    </xf>
    <xf numFmtId="49" fontId="1" fillId="0" borderId="362" xfId="149" applyNumberFormat="1" applyFont="1" applyBorder="1" applyAlignment="1">
      <alignment horizontal="center" vertical="center"/>
    </xf>
    <xf numFmtId="3" fontId="1" fillId="0" borderId="362" xfId="149" applyNumberFormat="1" applyFont="1" applyBorder="1" applyAlignment="1">
      <alignment horizontal="center"/>
    </xf>
    <xf numFmtId="173" fontId="234" fillId="0" borderId="362" xfId="149" applyNumberFormat="1" applyFont="1" applyBorder="1" applyAlignment="1">
      <alignment horizontal="center" vertical="center"/>
    </xf>
    <xf numFmtId="0" fontId="234" fillId="0" borderId="362" xfId="149" applyFont="1" applyBorder="1" applyAlignment="1">
      <alignment horizontal="center"/>
    </xf>
    <xf numFmtId="3" fontId="234" fillId="0" borderId="362" xfId="149" applyNumberFormat="1" applyFont="1" applyBorder="1" applyAlignment="1">
      <alignment horizontal="center"/>
    </xf>
    <xf numFmtId="3" fontId="0" fillId="0" borderId="362" xfId="0" applyNumberFormat="1" applyBorder="1" applyAlignment="1">
      <alignment horizontal="center"/>
    </xf>
    <xf numFmtId="173" fontId="1" fillId="0" borderId="362" xfId="0" applyNumberFormat="1" applyFont="1" applyBorder="1" applyAlignment="1">
      <alignment horizontal="center" vertical="center"/>
    </xf>
    <xf numFmtId="3" fontId="1" fillId="0" borderId="362" xfId="0" applyNumberFormat="1" applyFont="1" applyBorder="1" applyAlignment="1">
      <alignment horizontal="center" vertical="center"/>
    </xf>
    <xf numFmtId="3" fontId="1" fillId="0" borderId="362" xfId="0" applyNumberFormat="1" applyFont="1" applyBorder="1" applyAlignment="1">
      <alignment horizontal="center"/>
    </xf>
    <xf numFmtId="173" fontId="234" fillId="0" borderId="364" xfId="0" applyNumberFormat="1" applyFont="1" applyBorder="1" applyAlignment="1">
      <alignment vertical="center" wrapText="1"/>
    </xf>
    <xf numFmtId="3" fontId="271" fillId="0" borderId="364" xfId="0" applyNumberFormat="1" applyFont="1" applyBorder="1" applyAlignment="1">
      <alignment vertical="center"/>
    </xf>
    <xf numFmtId="3" fontId="234" fillId="0" borderId="364" xfId="0" applyNumberFormat="1" applyFont="1" applyBorder="1" applyAlignment="1">
      <alignment horizontal="center" vertical="center"/>
    </xf>
    <xf numFmtId="3" fontId="0" fillId="0" borderId="364" xfId="0" applyNumberFormat="1" applyBorder="1" applyAlignment="1">
      <alignment horizontal="center" vertical="center"/>
    </xf>
    <xf numFmtId="173" fontId="1" fillId="0" borderId="362" xfId="0" applyNumberFormat="1" applyFont="1" applyBorder="1" applyAlignment="1">
      <alignment horizontal="center" vertical="center" wrapText="1"/>
    </xf>
    <xf numFmtId="173" fontId="234" fillId="0" borderId="362" xfId="0" applyNumberFormat="1" applyFont="1" applyBorder="1" applyAlignment="1">
      <alignment horizontal="center" vertical="center"/>
    </xf>
    <xf numFmtId="3" fontId="271" fillId="0" borderId="364" xfId="0" applyNumberFormat="1" applyFont="1" applyBorder="1" applyAlignment="1">
      <alignment horizontal="center" vertical="center"/>
    </xf>
    <xf numFmtId="3" fontId="234" fillId="0" borderId="362" xfId="0" applyNumberFormat="1" applyFont="1" applyBorder="1" applyAlignment="1">
      <alignment horizontal="center" vertical="center"/>
    </xf>
    <xf numFmtId="3" fontId="0" fillId="0" borderId="362" xfId="0" applyNumberFormat="1" applyBorder="1" applyAlignment="1">
      <alignment horizontal="center" vertical="center"/>
    </xf>
    <xf numFmtId="173" fontId="234" fillId="0" borderId="362" xfId="0" applyNumberFormat="1" applyFont="1" applyBorder="1" applyAlignment="1">
      <alignment horizontal="center"/>
    </xf>
    <xf numFmtId="3" fontId="271" fillId="0" borderId="362" xfId="0" applyNumberFormat="1" applyFont="1" applyBorder="1" applyAlignment="1">
      <alignment horizontal="center" vertical="center"/>
    </xf>
    <xf numFmtId="3" fontId="234" fillId="0" borderId="362" xfId="0" applyNumberFormat="1" applyFont="1" applyBorder="1" applyAlignment="1">
      <alignment horizontal="center"/>
    </xf>
    <xf numFmtId="0" fontId="30" fillId="20" borderId="362" xfId="149" applyFont="1" applyFill="1" applyBorder="1" applyAlignment="1">
      <alignment horizontal="center" vertical="center"/>
    </xf>
    <xf numFmtId="3" fontId="30" fillId="20" borderId="362" xfId="149" applyNumberFormat="1" applyFont="1" applyFill="1" applyBorder="1" applyAlignment="1">
      <alignment horizontal="center" vertical="center"/>
    </xf>
    <xf numFmtId="0" fontId="0" fillId="0" borderId="362" xfId="0" applyBorder="1" applyAlignment="1">
      <alignment horizontal="center"/>
    </xf>
    <xf numFmtId="0" fontId="0" fillId="0" borderId="0" xfId="0" applyAlignment="1"/>
    <xf numFmtId="3" fontId="234" fillId="0" borderId="0" xfId="0" applyNumberFormat="1" applyFont="1" applyBorder="1" applyAlignment="1">
      <alignment horizontal="center" vertical="center"/>
    </xf>
    <xf numFmtId="173" fontId="32" fillId="0" borderId="362" xfId="0" applyNumberFormat="1" applyFont="1" applyBorder="1" applyAlignment="1">
      <alignment horizontal="center" vertical="center"/>
    </xf>
    <xf numFmtId="3" fontId="0" fillId="0" borderId="0" xfId="0" applyNumberFormat="1" applyBorder="1" applyAlignment="1">
      <alignment horizontal="center" vertical="center"/>
    </xf>
    <xf numFmtId="3" fontId="0" fillId="0" borderId="0" xfId="0" applyNumberFormat="1" applyBorder="1"/>
    <xf numFmtId="173" fontId="32" fillId="0" borderId="362" xfId="0" applyNumberFormat="1" applyFont="1" applyBorder="1" applyAlignment="1">
      <alignment horizontal="center" vertical="center" wrapText="1"/>
    </xf>
    <xf numFmtId="0" fontId="44" fillId="0" borderId="362" xfId="0" applyFont="1" applyBorder="1" applyAlignment="1">
      <alignment horizontal="center" vertical="center"/>
    </xf>
    <xf numFmtId="0" fontId="1" fillId="0" borderId="362" xfId="149" applyFont="1" applyBorder="1" applyAlignment="1">
      <alignment horizontal="center" vertical="center"/>
    </xf>
    <xf numFmtId="0" fontId="5" fillId="20" borderId="362" xfId="149" applyFont="1" applyFill="1" applyBorder="1" applyAlignment="1">
      <alignment horizontal="center" vertical="center"/>
    </xf>
    <xf numFmtId="0" fontId="46" fillId="0" borderId="0" xfId="0" applyFont="1" applyAlignment="1"/>
    <xf numFmtId="3" fontId="44" fillId="0" borderId="362" xfId="0" applyNumberFormat="1" applyFont="1" applyBorder="1" applyAlignment="1">
      <alignment horizontal="center"/>
    </xf>
    <xf numFmtId="173" fontId="1" fillId="0" borderId="362" xfId="0" applyNumberFormat="1" applyFont="1" applyFill="1" applyBorder="1" applyAlignment="1">
      <alignment horizontal="center" vertical="center"/>
    </xf>
    <xf numFmtId="3" fontId="5" fillId="20" borderId="362" xfId="149" applyNumberFormat="1" applyFont="1" applyFill="1" applyBorder="1" applyAlignment="1">
      <alignment horizontal="center"/>
    </xf>
    <xf numFmtId="3" fontId="5" fillId="44" borderId="362" xfId="149" applyNumberFormat="1" applyFont="1" applyFill="1" applyBorder="1" applyAlignment="1">
      <alignment horizontal="center" vertical="center"/>
    </xf>
    <xf numFmtId="3" fontId="5" fillId="42" borderId="362" xfId="149" applyNumberFormat="1" applyFont="1" applyFill="1" applyBorder="1" applyAlignment="1">
      <alignment horizontal="center"/>
    </xf>
    <xf numFmtId="168" fontId="163" fillId="38" borderId="287" xfId="0" applyNumberFormat="1" applyFont="1" applyFill="1" applyBorder="1" applyAlignment="1">
      <alignment horizontal="center" vertical="center" wrapText="1"/>
    </xf>
    <xf numFmtId="0" fontId="88" fillId="0" borderId="0" xfId="0" applyFont="1" applyFill="1" applyBorder="1" applyAlignment="1">
      <alignment horizontal="center" vertical="center" wrapText="1"/>
    </xf>
    <xf numFmtId="0" fontId="155" fillId="36" borderId="362" xfId="149" applyFont="1" applyFill="1" applyBorder="1" applyAlignment="1">
      <alignment horizontal="center" vertical="center" wrapText="1"/>
    </xf>
    <xf numFmtId="0" fontId="155" fillId="36" borderId="362" xfId="0" applyFont="1" applyFill="1" applyBorder="1" applyAlignment="1">
      <alignment horizontal="center" vertical="center" wrapText="1"/>
    </xf>
    <xf numFmtId="0" fontId="88" fillId="0" borderId="362" xfId="0" applyFont="1" applyBorder="1" applyAlignment="1">
      <alignment horizontal="center" vertical="center"/>
    </xf>
    <xf numFmtId="0" fontId="206" fillId="0" borderId="362" xfId="0" applyFont="1" applyBorder="1" applyAlignment="1">
      <alignment horizontal="center" vertical="center" wrapText="1"/>
    </xf>
    <xf numFmtId="0" fontId="206" fillId="0" borderId="362" xfId="0" applyFont="1" applyBorder="1" applyAlignment="1">
      <alignment horizontal="center" vertical="center"/>
    </xf>
    <xf numFmtId="0" fontId="206" fillId="0" borderId="362" xfId="0" applyFont="1" applyBorder="1" applyAlignment="1">
      <alignment horizontal="left" vertical="center" wrapText="1"/>
    </xf>
    <xf numFmtId="0" fontId="206" fillId="0" borderId="362" xfId="0" applyFont="1" applyBorder="1" applyAlignment="1">
      <alignment horizontal="right" vertical="center"/>
    </xf>
    <xf numFmtId="0" fontId="88" fillId="0" borderId="362" xfId="0" applyFont="1" applyBorder="1" applyAlignment="1">
      <alignment vertical="center"/>
    </xf>
    <xf numFmtId="0" fontId="206" fillId="35" borderId="362" xfId="0" applyFont="1" applyFill="1" applyBorder="1" applyAlignment="1">
      <alignment horizontal="right" vertical="center" wrapText="1"/>
    </xf>
    <xf numFmtId="0" fontId="129" fillId="22" borderId="362" xfId="0" applyFont="1" applyFill="1" applyBorder="1" applyAlignment="1">
      <alignment horizontal="center" vertical="center" wrapText="1"/>
    </xf>
    <xf numFmtId="0" fontId="67" fillId="0" borderId="362" xfId="0" applyFont="1" applyBorder="1" applyAlignment="1">
      <alignment horizontal="center" vertical="center" wrapText="1"/>
    </xf>
    <xf numFmtId="0" fontId="67" fillId="0" borderId="362" xfId="0" applyFont="1" applyBorder="1" applyAlignment="1">
      <alignment horizontal="center" vertical="center"/>
    </xf>
    <xf numFmtId="0" fontId="67" fillId="0" borderId="362" xfId="0" applyFont="1" applyBorder="1" applyAlignment="1">
      <alignment horizontal="left" vertical="center" wrapText="1"/>
    </xf>
    <xf numFmtId="0" fontId="67" fillId="0" borderId="362" xfId="0" applyFont="1" applyBorder="1" applyAlignment="1">
      <alignment horizontal="left" vertical="center"/>
    </xf>
    <xf numFmtId="0" fontId="129" fillId="22" borderId="362" xfId="0" applyFont="1" applyFill="1" applyBorder="1" applyAlignment="1">
      <alignment horizontal="left" vertical="center" wrapText="1"/>
    </xf>
    <xf numFmtId="0" fontId="129" fillId="0" borderId="362" xfId="0" applyFont="1" applyBorder="1" applyAlignment="1">
      <alignment horizontal="center" vertical="center" wrapText="1"/>
    </xf>
    <xf numFmtId="0" fontId="206" fillId="0" borderId="362" xfId="0" applyFont="1" applyBorder="1" applyAlignment="1">
      <alignment horizontal="left" vertical="center"/>
    </xf>
    <xf numFmtId="0" fontId="264" fillId="0" borderId="362" xfId="0" applyFont="1" applyBorder="1" applyAlignment="1">
      <alignment horizontal="left" vertical="center"/>
    </xf>
    <xf numFmtId="0" fontId="206" fillId="0" borderId="362" xfId="0" applyFont="1" applyBorder="1" applyAlignment="1">
      <alignment horizontal="right" vertical="center" wrapText="1"/>
    </xf>
    <xf numFmtId="0" fontId="88" fillId="0" borderId="362" xfId="0" applyFont="1" applyBorder="1" applyAlignment="1">
      <alignment horizontal="center" vertical="center" wrapText="1"/>
    </xf>
    <xf numFmtId="0" fontId="88" fillId="22" borderId="362" xfId="0" applyFont="1" applyFill="1" applyBorder="1" applyAlignment="1">
      <alignment horizontal="center" vertical="center" wrapText="1"/>
    </xf>
    <xf numFmtId="0" fontId="206" fillId="0" borderId="0" xfId="0" applyFont="1" applyBorder="1" applyAlignment="1">
      <alignment horizontal="left" vertical="center" wrapText="1"/>
    </xf>
    <xf numFmtId="0" fontId="206" fillId="0" borderId="364" xfId="0" applyFont="1" applyBorder="1" applyAlignment="1">
      <alignment horizontal="left" vertical="center" wrapText="1"/>
    </xf>
    <xf numFmtId="0" fontId="206" fillId="0" borderId="364" xfId="0" applyFont="1" applyBorder="1" applyAlignment="1">
      <alignment horizontal="center" vertical="center" wrapText="1"/>
    </xf>
    <xf numFmtId="0" fontId="206" fillId="0" borderId="0" xfId="0" applyFont="1" applyBorder="1" applyAlignment="1">
      <alignment horizontal="right" vertical="center"/>
    </xf>
    <xf numFmtId="0" fontId="264" fillId="0" borderId="362" xfId="0" applyFont="1" applyFill="1" applyBorder="1" applyAlignment="1">
      <alignment horizontal="left" vertical="center" wrapText="1"/>
    </xf>
    <xf numFmtId="0" fontId="206" fillId="0" borderId="362" xfId="0" applyFont="1" applyFill="1" applyBorder="1" applyAlignment="1">
      <alignment horizontal="left" vertical="center" wrapText="1"/>
    </xf>
    <xf numFmtId="0" fontId="206" fillId="0" borderId="362" xfId="0" applyFont="1" applyFill="1" applyBorder="1" applyAlignment="1">
      <alignment horizontal="right" vertical="center"/>
    </xf>
    <xf numFmtId="0" fontId="206" fillId="0" borderId="362" xfId="0" applyFont="1" applyFill="1" applyBorder="1" applyAlignment="1">
      <alignment horizontal="center" vertical="center" wrapText="1"/>
    </xf>
    <xf numFmtId="0" fontId="67" fillId="0" borderId="362" xfId="0" applyFont="1" applyBorder="1" applyAlignment="1">
      <alignment vertical="center" wrapText="1"/>
    </xf>
    <xf numFmtId="0" fontId="129" fillId="22" borderId="362" xfId="0" applyFont="1" applyFill="1" applyBorder="1" applyAlignment="1">
      <alignment vertical="center" wrapText="1"/>
    </xf>
    <xf numFmtId="0" fontId="67" fillId="0" borderId="0" xfId="0" applyFont="1" applyBorder="1" applyAlignment="1">
      <alignment horizontal="left" vertical="center" wrapText="1"/>
    </xf>
    <xf numFmtId="0" fontId="67" fillId="0" borderId="0" xfId="0" applyFont="1" applyBorder="1" applyAlignment="1">
      <alignment horizontal="center" vertical="center" wrapText="1"/>
    </xf>
    <xf numFmtId="0" fontId="155" fillId="37" borderId="362" xfId="149" applyFont="1" applyFill="1" applyBorder="1" applyAlignment="1">
      <alignment horizontal="center" vertical="center" wrapText="1"/>
    </xf>
    <xf numFmtId="0" fontId="155" fillId="37" borderId="362" xfId="0" applyFont="1" applyFill="1" applyBorder="1" applyAlignment="1">
      <alignment horizontal="center" vertical="center" wrapText="1"/>
    </xf>
    <xf numFmtId="0" fontId="67" fillId="0" borderId="362" xfId="0" applyFont="1" applyBorder="1" applyAlignment="1">
      <alignment vertical="center"/>
    </xf>
    <xf numFmtId="0" fontId="67" fillId="0" borderId="0" xfId="0" applyFont="1" applyBorder="1" applyAlignment="1">
      <alignment horizontal="center" vertical="center"/>
    </xf>
    <xf numFmtId="0" fontId="129" fillId="22" borderId="267" xfId="0" applyFont="1" applyFill="1" applyBorder="1" applyAlignment="1">
      <alignment horizontal="center" vertical="center" wrapText="1"/>
    </xf>
    <xf numFmtId="0" fontId="302" fillId="0" borderId="362" xfId="0" applyFont="1" applyBorder="1" applyAlignment="1">
      <alignment horizontal="center" vertical="center" wrapText="1"/>
    </xf>
    <xf numFmtId="0" fontId="302" fillId="0" borderId="362" xfId="0" applyFont="1" applyBorder="1" applyAlignment="1">
      <alignment horizontal="left" vertical="center" wrapText="1"/>
    </xf>
    <xf numFmtId="0" fontId="302" fillId="22" borderId="362" xfId="0" applyFont="1" applyFill="1" applyBorder="1" applyAlignment="1">
      <alignment horizontal="left" vertical="center" wrapText="1"/>
    </xf>
    <xf numFmtId="0" fontId="302" fillId="22" borderId="362" xfId="0" applyFont="1" applyFill="1" applyBorder="1" applyAlignment="1">
      <alignment horizontal="center" vertical="center" wrapText="1"/>
    </xf>
    <xf numFmtId="0" fontId="302" fillId="0" borderId="362" xfId="0" applyFont="1" applyBorder="1" applyAlignment="1">
      <alignment horizontal="center" vertical="center"/>
    </xf>
    <xf numFmtId="0" fontId="302" fillId="0" borderId="362" xfId="0" applyFont="1" applyBorder="1" applyAlignment="1">
      <alignment vertical="center"/>
    </xf>
    <xf numFmtId="0" fontId="273" fillId="0" borderId="362" xfId="0" applyFont="1" applyBorder="1" applyAlignment="1">
      <alignment horizontal="center" vertical="center" wrapText="1"/>
    </xf>
    <xf numFmtId="0" fontId="273" fillId="0" borderId="362" xfId="0" applyFont="1" applyBorder="1" applyAlignment="1">
      <alignment horizontal="left" vertical="center" wrapText="1"/>
    </xf>
    <xf numFmtId="0" fontId="273" fillId="0" borderId="362" xfId="0" applyFont="1" applyFill="1" applyBorder="1" applyAlignment="1">
      <alignment horizontal="center" vertical="center" wrapText="1"/>
    </xf>
    <xf numFmtId="0" fontId="88" fillId="0" borderId="362" xfId="0" applyFont="1" applyBorder="1" applyAlignment="1">
      <alignment horizontal="left" vertical="center" wrapText="1"/>
    </xf>
    <xf numFmtId="0" fontId="88" fillId="0" borderId="362" xfId="0" applyFont="1" applyBorder="1" applyAlignment="1">
      <alignment horizontal="left" wrapText="1"/>
    </xf>
    <xf numFmtId="0" fontId="88" fillId="22" borderId="362" xfId="0" applyFont="1" applyFill="1" applyBorder="1" applyAlignment="1">
      <alignment horizontal="left" vertical="center" wrapText="1"/>
    </xf>
    <xf numFmtId="0" fontId="88" fillId="0" borderId="362" xfId="3792" applyFont="1" applyBorder="1" applyAlignment="1">
      <alignment horizontal="center" vertical="center" wrapText="1"/>
    </xf>
    <xf numFmtId="0" fontId="88" fillId="0" borderId="364" xfId="3792" applyFont="1" applyBorder="1" applyAlignment="1">
      <alignment horizontal="left" vertical="center"/>
    </xf>
    <xf numFmtId="0" fontId="88" fillId="0" borderId="364" xfId="3792" applyFont="1" applyBorder="1" applyAlignment="1">
      <alignment vertical="center"/>
    </xf>
    <xf numFmtId="0" fontId="88" fillId="0" borderId="364" xfId="3792" applyFont="1" applyBorder="1" applyAlignment="1">
      <alignment horizontal="center" vertical="center"/>
    </xf>
    <xf numFmtId="0" fontId="88" fillId="0" borderId="362" xfId="3792" applyFont="1" applyBorder="1" applyAlignment="1">
      <alignment horizontal="center" vertical="center"/>
    </xf>
    <xf numFmtId="0" fontId="88" fillId="0" borderId="363" xfId="3792" applyFont="1" applyBorder="1" applyAlignment="1">
      <alignment horizontal="center" vertical="center" wrapText="1"/>
    </xf>
    <xf numFmtId="0" fontId="88" fillId="0" borderId="362" xfId="3792" applyFont="1" applyBorder="1" applyAlignment="1">
      <alignment horizontal="left" vertical="center"/>
    </xf>
    <xf numFmtId="0" fontId="88" fillId="0" borderId="362" xfId="3792" applyFont="1" applyBorder="1" applyAlignment="1">
      <alignment horizontal="left" vertical="center" wrapText="1"/>
    </xf>
    <xf numFmtId="0" fontId="88" fillId="0" borderId="357" xfId="3792" applyFont="1" applyBorder="1" applyAlignment="1">
      <alignment horizontal="center" vertical="center"/>
    </xf>
    <xf numFmtId="0" fontId="88" fillId="0" borderId="362" xfId="3792" applyFont="1" applyBorder="1" applyAlignment="1">
      <alignment vertical="center" wrapText="1"/>
    </xf>
    <xf numFmtId="0" fontId="88" fillId="0" borderId="267" xfId="3792" applyFont="1" applyBorder="1" applyAlignment="1">
      <alignment horizontal="left" vertical="center" wrapText="1"/>
    </xf>
    <xf numFmtId="0" fontId="88" fillId="0" borderId="267" xfId="3792" applyFont="1" applyBorder="1" applyAlignment="1">
      <alignment vertical="center"/>
    </xf>
    <xf numFmtId="0" fontId="88" fillId="0" borderId="267" xfId="3792" applyFont="1" applyBorder="1" applyAlignment="1">
      <alignment horizontal="center" vertical="center"/>
    </xf>
    <xf numFmtId="0" fontId="88" fillId="0" borderId="362" xfId="3792" applyFont="1" applyBorder="1" applyAlignment="1">
      <alignment vertical="center"/>
    </xf>
    <xf numFmtId="0" fontId="88" fillId="0" borderId="362" xfId="3792" applyFont="1" applyFill="1" applyBorder="1" applyAlignment="1">
      <alignment horizontal="left" vertical="center"/>
    </xf>
    <xf numFmtId="0" fontId="88" fillId="0" borderId="362" xfId="3792" applyFont="1" applyFill="1" applyBorder="1" applyAlignment="1">
      <alignment vertical="center"/>
    </xf>
    <xf numFmtId="0" fontId="88" fillId="0" borderId="362" xfId="3792" applyFont="1" applyFill="1" applyBorder="1" applyAlignment="1">
      <alignment horizontal="center" vertical="center"/>
    </xf>
    <xf numFmtId="0" fontId="88" fillId="0" borderId="357" xfId="0" applyFont="1" applyBorder="1" applyAlignment="1">
      <alignment horizontal="center" vertical="center"/>
    </xf>
    <xf numFmtId="0" fontId="88" fillId="0" borderId="362" xfId="0" applyFont="1" applyBorder="1" applyAlignment="1">
      <alignment vertical="center" wrapText="1"/>
    </xf>
    <xf numFmtId="3" fontId="88" fillId="0" borderId="362" xfId="0" applyNumberFormat="1" applyFont="1" applyBorder="1" applyAlignment="1">
      <alignment horizontal="center" vertical="center" wrapText="1"/>
    </xf>
    <xf numFmtId="0" fontId="88" fillId="0" borderId="362" xfId="0" applyFont="1" applyBorder="1" applyAlignment="1">
      <alignment horizontal="left" vertical="top" wrapText="1"/>
    </xf>
    <xf numFmtId="0" fontId="88" fillId="0" borderId="362" xfId="0" applyFont="1" applyFill="1" applyBorder="1" applyAlignment="1">
      <alignment horizontal="center" vertical="center" wrapText="1"/>
    </xf>
    <xf numFmtId="0" fontId="129" fillId="0" borderId="362" xfId="0" applyFont="1" applyBorder="1" applyAlignment="1">
      <alignment horizontal="center" vertical="center"/>
    </xf>
    <xf numFmtId="0" fontId="88" fillId="0" borderId="0" xfId="0" applyFont="1" applyBorder="1" applyAlignment="1">
      <alignment horizontal="center" vertical="center"/>
    </xf>
    <xf numFmtId="0" fontId="88" fillId="0" borderId="0" xfId="0" applyFont="1" applyBorder="1" applyAlignment="1">
      <alignment horizontal="center" vertical="center" wrapText="1"/>
    </xf>
    <xf numFmtId="0" fontId="88" fillId="22" borderId="0" xfId="0" applyFont="1" applyFill="1" applyBorder="1" applyAlignment="1">
      <alignment horizontal="center" vertical="center" wrapText="1"/>
    </xf>
    <xf numFmtId="0" fontId="88" fillId="0" borderId="0" xfId="0" applyFont="1" applyBorder="1" applyAlignment="1">
      <alignment horizontal="left" vertical="top" wrapText="1"/>
    </xf>
    <xf numFmtId="0" fontId="29" fillId="0" borderId="0" xfId="0" applyFont="1" applyBorder="1" applyAlignment="1">
      <alignment horizontal="left" vertical="top" wrapText="1"/>
    </xf>
    <xf numFmtId="0" fontId="29" fillId="0" borderId="0" xfId="0" applyFont="1" applyBorder="1" applyAlignment="1">
      <alignment vertical="top"/>
    </xf>
    <xf numFmtId="0" fontId="155" fillId="38" borderId="362" xfId="149" applyFont="1" applyFill="1" applyBorder="1" applyAlignment="1">
      <alignment horizontal="center" vertical="center" wrapText="1"/>
    </xf>
    <xf numFmtId="0" fontId="155" fillId="38" borderId="362" xfId="0" applyFont="1" applyFill="1" applyBorder="1" applyAlignment="1">
      <alignment horizontal="center" vertical="center" wrapText="1"/>
    </xf>
    <xf numFmtId="0" fontId="129" fillId="0" borderId="267" xfId="0" applyFont="1" applyBorder="1" applyAlignment="1">
      <alignment horizontal="center" vertical="center" wrapText="1"/>
    </xf>
    <xf numFmtId="0" fontId="67" fillId="0" borderId="364" xfId="0" applyFont="1" applyBorder="1" applyAlignment="1">
      <alignment horizontal="center" vertical="center" wrapText="1"/>
    </xf>
    <xf numFmtId="0" fontId="273" fillId="22" borderId="362" xfId="0" applyFont="1" applyFill="1" applyBorder="1" applyAlignment="1">
      <alignment horizontal="left" vertical="center" wrapText="1"/>
    </xf>
    <xf numFmtId="0" fontId="273" fillId="22" borderId="362" xfId="0" applyFont="1" applyFill="1" applyBorder="1" applyAlignment="1">
      <alignment horizontal="center" vertical="center" wrapText="1"/>
    </xf>
    <xf numFmtId="0" fontId="88" fillId="0" borderId="362" xfId="0" applyFont="1" applyFill="1" applyBorder="1" applyAlignment="1">
      <alignment horizontal="center" vertical="center"/>
    </xf>
    <xf numFmtId="0" fontId="88" fillId="0" borderId="362" xfId="0" applyFont="1" applyFill="1" applyBorder="1" applyAlignment="1">
      <alignment vertical="center" wrapText="1"/>
    </xf>
    <xf numFmtId="3" fontId="88" fillId="0" borderId="362" xfId="0" applyNumberFormat="1" applyFont="1" applyFill="1" applyBorder="1" applyAlignment="1">
      <alignment horizontal="center" vertical="center" wrapText="1"/>
    </xf>
    <xf numFmtId="0" fontId="303" fillId="22" borderId="362" xfId="0" applyFont="1" applyFill="1" applyBorder="1" applyAlignment="1">
      <alignment horizontal="center" vertical="center" wrapText="1"/>
    </xf>
    <xf numFmtId="0" fontId="303" fillId="0" borderId="362" xfId="0" applyFont="1" applyBorder="1" applyAlignment="1">
      <alignment horizontal="left" vertical="center" wrapText="1"/>
    </xf>
    <xf numFmtId="0" fontId="303" fillId="0" borderId="362" xfId="0" applyFont="1" applyBorder="1" applyAlignment="1">
      <alignment horizontal="center" vertical="center" wrapText="1"/>
    </xf>
    <xf numFmtId="0" fontId="155" fillId="39" borderId="362" xfId="149" applyFont="1" applyFill="1" applyBorder="1" applyAlignment="1">
      <alignment horizontal="center" vertical="center" wrapText="1"/>
    </xf>
    <xf numFmtId="0" fontId="155" fillId="39" borderId="362" xfId="0" applyFont="1" applyFill="1" applyBorder="1" applyAlignment="1">
      <alignment horizontal="center" vertical="center" wrapText="1"/>
    </xf>
    <xf numFmtId="0" fontId="273" fillId="0" borderId="362" xfId="0" applyFont="1" applyBorder="1" applyAlignment="1">
      <alignment horizontal="center" vertical="center"/>
    </xf>
    <xf numFmtId="0" fontId="303" fillId="0" borderId="362" xfId="0" applyFont="1" applyBorder="1" applyAlignment="1">
      <alignment horizontal="center" vertical="center"/>
    </xf>
    <xf numFmtId="0" fontId="129" fillId="0" borderId="0" xfId="0" applyFont="1" applyBorder="1" applyAlignment="1">
      <alignment horizontal="center" vertical="center"/>
    </xf>
    <xf numFmtId="0" fontId="273" fillId="0" borderId="0" xfId="0" applyFont="1" applyBorder="1" applyAlignment="1">
      <alignment horizontal="center" vertical="center" wrapText="1"/>
    </xf>
    <xf numFmtId="0" fontId="129" fillId="0" borderId="0" xfId="0" applyFont="1" applyBorder="1" applyAlignment="1">
      <alignment horizontal="center" vertical="center" wrapText="1"/>
    </xf>
    <xf numFmtId="0" fontId="155" fillId="40" borderId="362" xfId="149" applyFont="1" applyFill="1" applyBorder="1" applyAlignment="1">
      <alignment horizontal="center" vertical="center" wrapText="1"/>
    </xf>
    <xf numFmtId="0" fontId="155" fillId="40" borderId="362" xfId="149" applyFont="1" applyFill="1" applyBorder="1" applyAlignment="1">
      <alignment vertical="center" wrapText="1"/>
    </xf>
    <xf numFmtId="0" fontId="155" fillId="40" borderId="362" xfId="0" applyFont="1" applyFill="1" applyBorder="1" applyAlignment="1">
      <alignment horizontal="center" vertical="center" wrapText="1"/>
    </xf>
    <xf numFmtId="0" fontId="67" fillId="0" borderId="0" xfId="0" applyFont="1" applyBorder="1" applyAlignment="1">
      <alignment vertical="center" wrapText="1"/>
    </xf>
    <xf numFmtId="0" fontId="67" fillId="0" borderId="364" xfId="0" applyFont="1" applyBorder="1" applyAlignment="1">
      <alignment vertical="center" wrapText="1"/>
    </xf>
    <xf numFmtId="0" fontId="67" fillId="0" borderId="364" xfId="0" applyFont="1" applyBorder="1" applyAlignment="1">
      <alignment horizontal="center" vertical="center"/>
    </xf>
    <xf numFmtId="0" fontId="129" fillId="0" borderId="262" xfId="0" applyFont="1" applyBorder="1" applyAlignment="1">
      <alignment horizontal="center" vertical="center" wrapText="1"/>
    </xf>
    <xf numFmtId="0" fontId="67" fillId="0" borderId="262" xfId="0" applyFont="1" applyBorder="1" applyAlignment="1">
      <alignment vertical="center" wrapText="1"/>
    </xf>
    <xf numFmtId="0" fontId="273" fillId="0" borderId="362" xfId="0" applyFont="1" applyBorder="1" applyAlignment="1">
      <alignment vertical="center" wrapText="1"/>
    </xf>
    <xf numFmtId="0" fontId="273" fillId="22" borderId="362" xfId="0" applyFont="1" applyFill="1" applyBorder="1" applyAlignment="1">
      <alignment vertical="center" wrapText="1"/>
    </xf>
    <xf numFmtId="0" fontId="129" fillId="0" borderId="362" xfId="0" applyFont="1" applyBorder="1" applyAlignment="1">
      <alignment vertical="center" wrapText="1"/>
    </xf>
    <xf numFmtId="0" fontId="129" fillId="0" borderId="363" xfId="0" applyFont="1" applyBorder="1" applyAlignment="1">
      <alignment vertical="center" wrapText="1"/>
    </xf>
    <xf numFmtId="0" fontId="273" fillId="0" borderId="365" xfId="0" applyFont="1" applyBorder="1" applyAlignment="1">
      <alignment horizontal="center" vertical="center"/>
    </xf>
    <xf numFmtId="0" fontId="273" fillId="0" borderId="365" xfId="0" applyFont="1" applyBorder="1" applyAlignment="1">
      <alignment vertical="center" wrapText="1"/>
    </xf>
    <xf numFmtId="0" fontId="273" fillId="0" borderId="366" xfId="0" applyFont="1" applyBorder="1" applyAlignment="1">
      <alignment vertical="center" wrapText="1"/>
    </xf>
    <xf numFmtId="0" fontId="273" fillId="0" borderId="367" xfId="0" applyFont="1" applyBorder="1" applyAlignment="1">
      <alignment horizontal="center" vertical="center" wrapText="1"/>
    </xf>
    <xf numFmtId="0" fontId="67" fillId="0" borderId="365" xfId="0" applyFont="1" applyBorder="1" applyAlignment="1">
      <alignment horizontal="center" vertical="center" wrapText="1"/>
    </xf>
    <xf numFmtId="0" fontId="67" fillId="0" borderId="365" xfId="0" applyFont="1" applyBorder="1" applyAlignment="1">
      <alignment vertical="center" wrapText="1"/>
    </xf>
    <xf numFmtId="0" fontId="67" fillId="0" borderId="366" xfId="0" applyFont="1" applyBorder="1" applyAlignment="1">
      <alignment vertical="center" wrapText="1"/>
    </xf>
    <xf numFmtId="0" fontId="67" fillId="59" borderId="368" xfId="0" applyFont="1" applyFill="1" applyBorder="1" applyAlignment="1">
      <alignment horizontal="center" vertical="center"/>
    </xf>
    <xf numFmtId="0" fontId="67" fillId="0" borderId="369" xfId="0" applyFont="1" applyBorder="1" applyAlignment="1">
      <alignment vertical="center" wrapText="1"/>
    </xf>
    <xf numFmtId="0" fontId="67" fillId="0" borderId="370" xfId="0" applyFont="1" applyBorder="1" applyAlignment="1">
      <alignment vertical="center" wrapText="1"/>
    </xf>
    <xf numFmtId="0" fontId="27" fillId="0" borderId="0" xfId="0" applyFont="1" applyBorder="1"/>
    <xf numFmtId="0" fontId="88" fillId="0" borderId="0" xfId="0" applyFont="1" applyBorder="1" applyAlignment="1">
      <alignment horizontal="center" wrapText="1"/>
    </xf>
    <xf numFmtId="0" fontId="67" fillId="0" borderId="364" xfId="0" applyFont="1" applyBorder="1" applyAlignment="1">
      <alignment horizontal="left" vertical="center" wrapText="1"/>
    </xf>
    <xf numFmtId="0" fontId="129" fillId="22" borderId="364" xfId="0" applyFont="1" applyFill="1" applyBorder="1" applyAlignment="1">
      <alignment horizontal="center" vertical="center" wrapText="1"/>
    </xf>
    <xf numFmtId="0" fontId="304" fillId="0" borderId="362" xfId="0" applyFont="1" applyBorder="1" applyAlignment="1">
      <alignment horizontal="center" vertical="center" wrapText="1"/>
    </xf>
    <xf numFmtId="0" fontId="305" fillId="0" borderId="362" xfId="149" applyNumberFormat="1" applyFont="1" applyBorder="1" applyAlignment="1">
      <alignment vertical="center" wrapText="1"/>
    </xf>
    <xf numFmtId="0" fontId="304" fillId="0" borderId="362" xfId="149" applyNumberFormat="1" applyFont="1" applyBorder="1" applyAlignment="1">
      <alignment vertical="center" wrapText="1"/>
    </xf>
    <xf numFmtId="0" fontId="304" fillId="22" borderId="362" xfId="0" applyFont="1" applyFill="1" applyBorder="1" applyAlignment="1">
      <alignment horizontal="center" vertical="center" wrapText="1"/>
    </xf>
    <xf numFmtId="0" fontId="304" fillId="0" borderId="362" xfId="149" applyNumberFormat="1" applyFont="1" applyBorder="1" applyAlignment="1">
      <alignment horizontal="center" vertical="center" wrapText="1"/>
    </xf>
    <xf numFmtId="0" fontId="263" fillId="0" borderId="362" xfId="149" applyNumberFormat="1" applyFont="1" applyBorder="1" applyAlignment="1">
      <alignment vertical="center" wrapText="1"/>
    </xf>
    <xf numFmtId="0" fontId="303" fillId="0" borderId="362" xfId="149" applyNumberFormat="1" applyFont="1" applyBorder="1" applyAlignment="1">
      <alignment vertical="center" wrapText="1"/>
    </xf>
    <xf numFmtId="0" fontId="0" fillId="0" borderId="16" xfId="0" applyFont="1" applyBorder="1" applyAlignment="1">
      <alignment horizontal="center" vertical="center" wrapText="1"/>
    </xf>
    <xf numFmtId="0" fontId="99" fillId="0" borderId="0" xfId="0" applyFont="1" applyAlignment="1">
      <alignment horizontal="center"/>
    </xf>
    <xf numFmtId="0" fontId="0" fillId="0" borderId="0" xfId="0"/>
    <xf numFmtId="0" fontId="17" fillId="0" borderId="0" xfId="0" applyFont="1" applyFill="1" applyBorder="1" applyAlignment="1">
      <alignment horizontal="center" vertical="center"/>
    </xf>
    <xf numFmtId="3" fontId="17" fillId="0" borderId="0" xfId="0" applyNumberFormat="1" applyFont="1" applyFill="1" applyBorder="1" applyAlignment="1">
      <alignment horizontal="center" vertical="center"/>
    </xf>
    <xf numFmtId="181" fontId="40" fillId="0" borderId="0" xfId="107" applyNumberFormat="1" applyFont="1" applyFill="1" applyBorder="1" applyAlignment="1">
      <alignment horizontal="right" vertical="center" indent="2"/>
    </xf>
    <xf numFmtId="3" fontId="44" fillId="0" borderId="0" xfId="0" applyNumberFormat="1" applyFont="1" applyFill="1" applyBorder="1" applyAlignment="1">
      <alignment horizontal="center"/>
    </xf>
    <xf numFmtId="0" fontId="24" fillId="0" borderId="16" xfId="0" applyFont="1" applyFill="1" applyBorder="1" applyAlignment="1">
      <alignment horizontal="center" vertical="center" wrapText="1"/>
    </xf>
    <xf numFmtId="0" fontId="24" fillId="20" borderId="351" xfId="0" applyFont="1" applyFill="1" applyBorder="1" applyAlignment="1">
      <alignment horizontal="center" vertical="center"/>
    </xf>
    <xf numFmtId="3" fontId="24" fillId="20" borderId="351" xfId="0" applyNumberFormat="1" applyFont="1" applyFill="1" applyBorder="1" applyAlignment="1">
      <alignment horizontal="center" vertical="center"/>
    </xf>
    <xf numFmtId="181" fontId="40" fillId="20" borderId="351" xfId="107" applyNumberFormat="1" applyFont="1" applyFill="1" applyBorder="1" applyAlignment="1">
      <alignment horizontal="right" vertical="center" indent="2"/>
    </xf>
    <xf numFmtId="0" fontId="99" fillId="0" borderId="0" xfId="0" applyFont="1" applyBorder="1"/>
    <xf numFmtId="2" fontId="99" fillId="0" borderId="0" xfId="0" applyNumberFormat="1" applyFont="1" applyBorder="1" applyAlignment="1">
      <alignment horizontal="center"/>
    </xf>
    <xf numFmtId="0" fontId="99" fillId="0" borderId="0" xfId="0" applyFont="1" applyBorder="1" applyAlignment="1">
      <alignment horizontal="center"/>
    </xf>
    <xf numFmtId="0" fontId="51" fillId="0" borderId="351" xfId="0" applyFont="1" applyBorder="1"/>
    <xf numFmtId="0" fontId="99" fillId="0" borderId="351" xfId="0" applyFont="1" applyBorder="1"/>
    <xf numFmtId="2" fontId="99" fillId="0" borderId="351" xfId="0" applyNumberFormat="1" applyFont="1" applyBorder="1" applyAlignment="1">
      <alignment horizontal="center"/>
    </xf>
    <xf numFmtId="0" fontId="99" fillId="0" borderId="351" xfId="0" applyFont="1" applyBorder="1" applyAlignment="1">
      <alignment horizontal="center"/>
    </xf>
    <xf numFmtId="0" fontId="81" fillId="42" borderId="104" xfId="441" applyFont="1" applyFill="1" applyBorder="1" applyAlignment="1">
      <alignment horizontal="center" vertical="center"/>
    </xf>
    <xf numFmtId="171" fontId="40" fillId="42" borderId="94" xfId="0" applyNumberFormat="1" applyFont="1" applyFill="1" applyBorder="1" applyAlignment="1">
      <alignment horizontal="center" vertical="center"/>
    </xf>
    <xf numFmtId="171" fontId="40" fillId="42" borderId="287" xfId="0" applyNumberFormat="1" applyFont="1" applyFill="1" applyBorder="1" applyAlignment="1">
      <alignment horizontal="center" vertical="center"/>
    </xf>
    <xf numFmtId="0" fontId="0" fillId="0" borderId="0" xfId="0" applyFont="1"/>
    <xf numFmtId="0" fontId="0" fillId="0" borderId="0" xfId="0" applyFont="1" applyAlignment="1">
      <alignment horizontal="center" vertical="center"/>
    </xf>
    <xf numFmtId="0" fontId="81" fillId="20" borderId="118" xfId="453" applyFont="1" applyFill="1" applyBorder="1" applyAlignment="1">
      <alignment horizontal="center" vertical="center" wrapText="1"/>
    </xf>
    <xf numFmtId="0" fontId="40" fillId="20" borderId="104" xfId="0" applyFont="1" applyFill="1" applyBorder="1" applyAlignment="1">
      <alignment horizontal="center" vertical="center"/>
    </xf>
    <xf numFmtId="0" fontId="43" fillId="20" borderId="211" xfId="0" applyFont="1" applyFill="1" applyBorder="1" applyAlignment="1">
      <alignment horizontal="center" vertical="center"/>
    </xf>
    <xf numFmtId="0" fontId="55" fillId="0" borderId="118" xfId="441" applyFont="1" applyBorder="1" applyAlignment="1">
      <alignment horizontal="left" vertical="top"/>
    </xf>
    <xf numFmtId="171" fontId="0" fillId="0" borderId="11" xfId="0" applyNumberFormat="1" applyFont="1" applyBorder="1" applyAlignment="1">
      <alignment horizontal="center" vertical="center"/>
    </xf>
    <xf numFmtId="0" fontId="55" fillId="0" borderId="13" xfId="441" applyFont="1" applyBorder="1" applyAlignment="1">
      <alignment horizontal="left" vertical="top"/>
    </xf>
    <xf numFmtId="171" fontId="0" fillId="20" borderId="135" xfId="0" applyNumberFormat="1" applyFont="1" applyFill="1" applyBorder="1" applyAlignment="1">
      <alignment horizontal="center" vertical="center"/>
    </xf>
    <xf numFmtId="0" fontId="55" fillId="0" borderId="183" xfId="238" applyFont="1" applyBorder="1" applyAlignment="1">
      <alignment horizontal="left"/>
    </xf>
    <xf numFmtId="0" fontId="55" fillId="0" borderId="10" xfId="238" applyFont="1" applyBorder="1" applyAlignment="1">
      <alignment horizontal="left"/>
    </xf>
    <xf numFmtId="171" fontId="55" fillId="0" borderId="11" xfId="796" applyNumberFormat="1" applyFont="1" applyBorder="1" applyAlignment="1">
      <alignment horizontal="center" vertical="center"/>
    </xf>
    <xf numFmtId="171" fontId="55" fillId="0" borderId="95" xfId="796" applyNumberFormat="1" applyFont="1" applyBorder="1" applyAlignment="1">
      <alignment horizontal="center" vertical="center"/>
    </xf>
    <xf numFmtId="171" fontId="40" fillId="0" borderId="11" xfId="0" applyNumberFormat="1" applyFont="1" applyBorder="1" applyAlignment="1">
      <alignment horizontal="center" vertical="center"/>
    </xf>
    <xf numFmtId="171" fontId="81" fillId="0" borderId="11" xfId="796" applyNumberFormat="1" applyFont="1" applyBorder="1" applyAlignment="1">
      <alignment horizontal="center" vertical="center"/>
    </xf>
    <xf numFmtId="171" fontId="40" fillId="20" borderId="135" xfId="0" applyNumberFormat="1" applyFont="1" applyFill="1" applyBorder="1" applyAlignment="1">
      <alignment horizontal="center" vertical="center"/>
    </xf>
    <xf numFmtId="171" fontId="81" fillId="20" borderId="11" xfId="796" applyNumberFormat="1" applyFont="1" applyFill="1" applyBorder="1" applyAlignment="1">
      <alignment horizontal="center" vertical="center"/>
    </xf>
    <xf numFmtId="171" fontId="81" fillId="20" borderId="135" xfId="796" applyNumberFormat="1" applyFont="1" applyFill="1" applyBorder="1" applyAlignment="1">
      <alignment horizontal="center" vertical="center"/>
    </xf>
    <xf numFmtId="171" fontId="40" fillId="0" borderId="364" xfId="0" applyNumberFormat="1" applyFont="1" applyBorder="1" applyAlignment="1">
      <alignment horizontal="center" vertical="center"/>
    </xf>
    <xf numFmtId="171" fontId="81" fillId="0" borderId="364" xfId="796" applyNumberFormat="1" applyFont="1" applyBorder="1" applyAlignment="1">
      <alignment horizontal="center" vertical="center"/>
    </xf>
    <xf numFmtId="171" fontId="0" fillId="0" borderId="364" xfId="0" applyNumberFormat="1" applyFont="1" applyBorder="1" applyAlignment="1">
      <alignment horizontal="center" vertical="center"/>
    </xf>
    <xf numFmtId="171" fontId="40" fillId="0" borderId="262" xfId="0" applyNumberFormat="1" applyFont="1" applyBorder="1" applyAlignment="1">
      <alignment horizontal="center" vertical="center"/>
    </xf>
    <xf numFmtId="171" fontId="81" fillId="0" borderId="262" xfId="796" applyNumberFormat="1" applyFont="1" applyBorder="1" applyAlignment="1">
      <alignment horizontal="center" vertical="center"/>
    </xf>
    <xf numFmtId="171" fontId="0" fillId="0" borderId="262" xfId="0" applyNumberFormat="1" applyFont="1" applyBorder="1" applyAlignment="1">
      <alignment horizontal="center" vertical="center"/>
    </xf>
    <xf numFmtId="171" fontId="40" fillId="20" borderId="267" xfId="0" applyNumberFormat="1" applyFont="1" applyFill="1" applyBorder="1" applyAlignment="1">
      <alignment horizontal="center" vertical="center"/>
    </xf>
    <xf numFmtId="171" fontId="81" fillId="20" borderId="267" xfId="796" applyNumberFormat="1" applyFont="1" applyFill="1" applyBorder="1" applyAlignment="1">
      <alignment horizontal="center" vertical="center"/>
    </xf>
    <xf numFmtId="171" fontId="0" fillId="20" borderId="267" xfId="0" applyNumberFormat="1" applyFont="1" applyFill="1" applyBorder="1" applyAlignment="1">
      <alignment horizontal="center" vertical="center"/>
    </xf>
    <xf numFmtId="0" fontId="87" fillId="0" borderId="0" xfId="0" applyFont="1"/>
    <xf numFmtId="171" fontId="55" fillId="0" borderId="185" xfId="441" applyNumberFormat="1" applyFont="1" applyBorder="1" applyAlignment="1">
      <alignment horizontal="center" vertical="center"/>
    </xf>
    <xf numFmtId="171" fontId="55" fillId="0" borderId="11" xfId="441" applyNumberFormat="1" applyFont="1" applyBorder="1" applyAlignment="1">
      <alignment horizontal="center" vertical="center"/>
    </xf>
    <xf numFmtId="171" fontId="81" fillId="0" borderId="11" xfId="441" applyNumberFormat="1" applyFont="1" applyBorder="1" applyAlignment="1">
      <alignment horizontal="center" vertical="center"/>
    </xf>
    <xf numFmtId="171" fontId="81" fillId="20" borderId="175" xfId="441" applyNumberFormat="1" applyFont="1" applyFill="1" applyBorder="1" applyAlignment="1">
      <alignment horizontal="center" vertical="center"/>
    </xf>
    <xf numFmtId="171" fontId="0" fillId="0" borderId="275" xfId="0" applyNumberFormat="1" applyFont="1" applyBorder="1" applyAlignment="1">
      <alignment horizontal="center" vertical="center"/>
    </xf>
    <xf numFmtId="171" fontId="0" fillId="0" borderId="185" xfId="0" applyNumberFormat="1" applyFont="1" applyBorder="1" applyAlignment="1">
      <alignment horizontal="center" vertical="center"/>
    </xf>
    <xf numFmtId="171" fontId="40" fillId="20" borderId="175" xfId="0" applyNumberFormat="1" applyFont="1" applyFill="1" applyBorder="1" applyAlignment="1">
      <alignment horizontal="center" vertical="center"/>
    </xf>
    <xf numFmtId="171" fontId="81" fillId="42" borderId="197" xfId="441" applyNumberFormat="1" applyFont="1" applyFill="1" applyBorder="1" applyAlignment="1">
      <alignment horizontal="center" vertical="center"/>
    </xf>
    <xf numFmtId="171" fontId="81" fillId="42" borderId="274" xfId="441" applyNumberFormat="1" applyFont="1" applyFill="1" applyBorder="1" applyAlignment="1">
      <alignment horizontal="center" vertical="center"/>
    </xf>
    <xf numFmtId="0" fontId="81" fillId="0" borderId="13" xfId="441" applyFont="1" applyBorder="1" applyAlignment="1">
      <alignment horizontal="center" vertical="top"/>
    </xf>
    <xf numFmtId="1" fontId="61" fillId="0" borderId="0" xfId="211" applyNumberFormat="1" applyFont="1" applyBorder="1" applyAlignment="1">
      <alignment horizontal="center"/>
    </xf>
    <xf numFmtId="1" fontId="61" fillId="0" borderId="351" xfId="211" applyNumberFormat="1" applyFont="1" applyBorder="1" applyAlignment="1">
      <alignment horizontal="center"/>
    </xf>
    <xf numFmtId="1" fontId="61" fillId="0" borderId="142" xfId="211" applyNumberFormat="1" applyFont="1" applyBorder="1" applyAlignment="1">
      <alignment horizontal="center"/>
    </xf>
    <xf numFmtId="0" fontId="141" fillId="0" borderId="287" xfId="211" applyFont="1" applyFill="1" applyBorder="1" applyAlignment="1">
      <alignment horizontal="center" vertical="center" wrapText="1"/>
    </xf>
    <xf numFmtId="2" fontId="51" fillId="0" borderId="16" xfId="0" applyNumberFormat="1" applyFont="1" applyBorder="1" applyAlignment="1">
      <alignment horizontal="center"/>
    </xf>
    <xf numFmtId="1" fontId="189" fillId="0" borderId="16" xfId="211" applyNumberFormat="1" applyFont="1" applyBorder="1" applyAlignment="1">
      <alignment horizontal="center"/>
    </xf>
    <xf numFmtId="0" fontId="99" fillId="0" borderId="0" xfId="0" applyFont="1" applyAlignment="1">
      <alignment horizontal="center"/>
    </xf>
    <xf numFmtId="0" fontId="136" fillId="22" borderId="262" xfId="0" applyFont="1" applyFill="1" applyBorder="1" applyAlignment="1">
      <alignment vertical="center" wrapText="1"/>
    </xf>
    <xf numFmtId="0" fontId="136" fillId="22" borderId="118" xfId="0" applyFont="1" applyFill="1" applyBorder="1" applyAlignment="1">
      <alignment vertical="center" wrapText="1"/>
    </xf>
    <xf numFmtId="0" fontId="136" fillId="22" borderId="123" xfId="0" applyFont="1" applyFill="1" applyBorder="1" applyAlignment="1">
      <alignment vertical="center" wrapText="1"/>
    </xf>
    <xf numFmtId="0" fontId="136" fillId="22" borderId="13" xfId="0" applyFont="1" applyFill="1" applyBorder="1" applyAlignment="1">
      <alignment vertical="center" wrapText="1"/>
    </xf>
    <xf numFmtId="0" fontId="136" fillId="22" borderId="103" xfId="0" applyFont="1" applyFill="1" applyBorder="1" applyAlignment="1">
      <alignment vertical="center" wrapText="1"/>
    </xf>
    <xf numFmtId="0" fontId="76" fillId="0" borderId="0" xfId="0" applyFont="1" applyAlignment="1">
      <alignment horizontal="center"/>
    </xf>
    <xf numFmtId="0" fontId="99" fillId="0" borderId="0" xfId="0" applyFont="1" applyAlignment="1">
      <alignment horizontal="center"/>
    </xf>
    <xf numFmtId="0" fontId="40" fillId="0" borderId="0" xfId="0" applyFont="1" applyAlignment="1">
      <alignment horizontal="left" wrapText="1"/>
    </xf>
    <xf numFmtId="0" fontId="0" fillId="0" borderId="0" xfId="0"/>
    <xf numFmtId="0" fontId="50" fillId="0" borderId="0" xfId="0" applyFont="1" applyAlignment="1">
      <alignment horizontal="center" vertical="center"/>
    </xf>
    <xf numFmtId="0" fontId="0" fillId="0" borderId="0" xfId="0" applyAlignment="1">
      <alignment horizontal="center"/>
    </xf>
    <xf numFmtId="168" fontId="40" fillId="20" borderId="299" xfId="0" applyNumberFormat="1" applyFont="1" applyFill="1" applyBorder="1" applyAlignment="1">
      <alignment horizontal="center" vertical="center"/>
    </xf>
    <xf numFmtId="10" fontId="99" fillId="0" borderId="0" xfId="176" applyNumberFormat="1" applyFont="1" applyBorder="1" applyAlignment="1">
      <alignment horizontal="center"/>
    </xf>
    <xf numFmtId="10" fontId="76" fillId="0" borderId="0" xfId="176" applyNumberFormat="1" applyFont="1" applyAlignment="1">
      <alignment horizontal="center"/>
    </xf>
    <xf numFmtId="168" fontId="42" fillId="0" borderId="262" xfId="228" applyNumberFormat="1" applyFont="1" applyBorder="1" applyAlignment="1">
      <alignment horizontal="center" vertical="center"/>
    </xf>
    <xf numFmtId="168" fontId="55" fillId="0" borderId="262" xfId="176" applyNumberFormat="1" applyFont="1" applyBorder="1" applyAlignment="1">
      <alignment horizontal="center" vertical="center"/>
    </xf>
    <xf numFmtId="168" fontId="0" fillId="0" borderId="262" xfId="0" applyNumberFormat="1" applyBorder="1" applyAlignment="1">
      <alignment horizontal="center" vertical="center"/>
    </xf>
    <xf numFmtId="0" fontId="81" fillId="0" borderId="0" xfId="451" applyFont="1" applyAlignment="1">
      <alignment horizontal="center" vertical="center"/>
    </xf>
    <xf numFmtId="0" fontId="81" fillId="0" borderId="141" xfId="451" applyFont="1" applyBorder="1" applyAlignment="1">
      <alignment horizontal="center" vertical="center"/>
    </xf>
    <xf numFmtId="0" fontId="40" fillId="0" borderId="0" xfId="0" applyFont="1" applyBorder="1"/>
    <xf numFmtId="10" fontId="40" fillId="0" borderId="0" xfId="176" applyNumberFormat="1" applyFont="1" applyBorder="1" applyAlignment="1">
      <alignment horizontal="center"/>
    </xf>
    <xf numFmtId="0" fontId="76" fillId="0" borderId="0" xfId="0" applyFont="1" applyBorder="1" applyAlignment="1">
      <alignment horizontal="center"/>
    </xf>
    <xf numFmtId="0" fontId="138" fillId="0" borderId="10" xfId="453" applyFont="1" applyBorder="1" applyAlignment="1">
      <alignment horizontal="center" vertical="center"/>
    </xf>
    <xf numFmtId="0" fontId="138" fillId="0" borderId="259" xfId="453" applyFont="1" applyBorder="1" applyAlignment="1">
      <alignment horizontal="center" vertical="center"/>
    </xf>
    <xf numFmtId="0" fontId="138" fillId="0" borderId="13" xfId="453" applyFont="1" applyBorder="1" applyAlignment="1">
      <alignment horizontal="center" vertical="center"/>
    </xf>
    <xf numFmtId="0" fontId="138" fillId="0" borderId="50" xfId="453" applyFont="1" applyBorder="1" applyAlignment="1">
      <alignment horizontal="center" vertical="center"/>
    </xf>
    <xf numFmtId="0" fontId="99" fillId="21" borderId="0" xfId="0" applyFont="1" applyFill="1"/>
    <xf numFmtId="0" fontId="99" fillId="21" borderId="16" xfId="0" applyFont="1" applyFill="1" applyBorder="1"/>
    <xf numFmtId="0" fontId="306" fillId="44" borderId="16" xfId="238" applyFont="1" applyFill="1" applyBorder="1" applyAlignment="1">
      <alignment horizontal="center" vertical="center"/>
    </xf>
    <xf numFmtId="0" fontId="41" fillId="0" borderId="0" xfId="0" applyFont="1" applyAlignment="1">
      <alignment horizontal="center"/>
    </xf>
    <xf numFmtId="0" fontId="76" fillId="0" borderId="0" xfId="0" applyFont="1" applyBorder="1"/>
    <xf numFmtId="2" fontId="76" fillId="0" borderId="0" xfId="0" applyNumberFormat="1" applyFont="1" applyBorder="1" applyAlignment="1">
      <alignment horizontal="center"/>
    </xf>
    <xf numFmtId="0" fontId="50" fillId="0" borderId="0" xfId="0" applyFont="1" applyBorder="1"/>
    <xf numFmtId="185" fontId="101" fillId="0" borderId="0" xfId="455" applyNumberFormat="1" applyFont="1" applyBorder="1" applyAlignment="1">
      <alignment horizontal="center" vertical="center"/>
    </xf>
    <xf numFmtId="0" fontId="50" fillId="0" borderId="0" xfId="0" applyFont="1" applyBorder="1" applyAlignment="1">
      <alignment horizontal="center"/>
    </xf>
    <xf numFmtId="0" fontId="50" fillId="0" borderId="351" xfId="0" applyFont="1" applyBorder="1"/>
    <xf numFmtId="0" fontId="76" fillId="0" borderId="351" xfId="0" applyFont="1" applyBorder="1"/>
    <xf numFmtId="2" fontId="76" fillId="0" borderId="351" xfId="0" applyNumberFormat="1" applyFont="1" applyBorder="1" applyAlignment="1">
      <alignment horizontal="center"/>
    </xf>
    <xf numFmtId="0" fontId="76" fillId="0" borderId="351" xfId="0" applyFont="1" applyBorder="1" applyAlignment="1">
      <alignment horizontal="center"/>
    </xf>
    <xf numFmtId="2" fontId="101" fillId="0" borderId="351" xfId="238" applyNumberFormat="1" applyFont="1" applyBorder="1" applyAlignment="1">
      <alignment horizontal="center" vertical="center"/>
    </xf>
    <xf numFmtId="0" fontId="50" fillId="0" borderId="351" xfId="0" applyFont="1" applyBorder="1" applyAlignment="1">
      <alignment horizontal="center"/>
    </xf>
    <xf numFmtId="0" fontId="49" fillId="0" borderId="0" xfId="0" applyFont="1" applyAlignment="1">
      <alignment vertical="center" wrapText="1"/>
    </xf>
    <xf numFmtId="0" fontId="74" fillId="0" borderId="262" xfId="456" applyFont="1" applyBorder="1" applyAlignment="1">
      <alignment horizontal="left" vertical="center"/>
    </xf>
    <xf numFmtId="0" fontId="138" fillId="0" borderId="10" xfId="456" applyFont="1" applyBorder="1" applyAlignment="1">
      <alignment horizontal="center" vertical="center"/>
    </xf>
    <xf numFmtId="0" fontId="138" fillId="0" borderId="13" xfId="456" applyFont="1" applyBorder="1" applyAlignment="1">
      <alignment horizontal="center" vertical="center"/>
    </xf>
    <xf numFmtId="0" fontId="138" fillId="0" borderId="13" xfId="238" applyFont="1" applyBorder="1" applyAlignment="1">
      <alignment horizontal="center" vertical="top"/>
    </xf>
    <xf numFmtId="185" fontId="99" fillId="0" borderId="351" xfId="0" applyNumberFormat="1" applyFont="1" applyBorder="1" applyAlignment="1">
      <alignment horizontal="center" vertical="center"/>
    </xf>
    <xf numFmtId="0" fontId="51" fillId="0" borderId="351" xfId="0" applyFont="1" applyBorder="1" applyAlignment="1">
      <alignment horizontal="center" vertical="center"/>
    </xf>
    <xf numFmtId="0" fontId="188" fillId="44" borderId="16" xfId="238" applyFont="1" applyFill="1" applyBorder="1" applyAlignment="1">
      <alignment horizontal="center"/>
    </xf>
    <xf numFmtId="0" fontId="138" fillId="0" borderId="13" xfId="457" applyFont="1" applyBorder="1" applyAlignment="1">
      <alignment horizontal="center" vertical="center"/>
    </xf>
    <xf numFmtId="0" fontId="138" fillId="0" borderId="10" xfId="457" applyFont="1" applyBorder="1" applyAlignment="1">
      <alignment horizontal="center" vertical="center"/>
    </xf>
    <xf numFmtId="0" fontId="138" fillId="0" borderId="11" xfId="457" applyFont="1" applyBorder="1" applyAlignment="1">
      <alignment horizontal="center" vertical="center"/>
    </xf>
    <xf numFmtId="0" fontId="43" fillId="20" borderId="188" xfId="173" applyFont="1" applyFill="1" applyBorder="1" applyAlignment="1">
      <alignment horizontal="center" vertical="center" wrapText="1"/>
    </xf>
    <xf numFmtId="185" fontId="75" fillId="0" borderId="132" xfId="455" applyNumberFormat="1" applyFont="1" applyBorder="1" applyAlignment="1">
      <alignment horizontal="center" vertical="center"/>
    </xf>
    <xf numFmtId="9" fontId="240" fillId="29" borderId="267" xfId="0" applyNumberFormat="1" applyFont="1" applyFill="1" applyBorder="1" applyAlignment="1">
      <alignment horizontal="center" vertical="center" wrapText="1"/>
    </xf>
    <xf numFmtId="0" fontId="87" fillId="0" borderId="0" xfId="0" applyFont="1" applyAlignment="1">
      <alignment vertical="center"/>
    </xf>
    <xf numFmtId="0" fontId="298" fillId="0" borderId="0" xfId="0" applyFont="1" applyAlignment="1">
      <alignment vertical="center"/>
    </xf>
    <xf numFmtId="0" fontId="298" fillId="0" borderId="0" xfId="0" applyFont="1" applyAlignment="1">
      <alignment horizontal="right" vertical="center"/>
    </xf>
    <xf numFmtId="0" fontId="55" fillId="0" borderId="371" xfId="0" applyFont="1" applyBorder="1" applyAlignment="1">
      <alignment horizontal="center" vertical="center"/>
    </xf>
    <xf numFmtId="43" fontId="55" fillId="0" borderId="372" xfId="128" applyFont="1" applyBorder="1" applyAlignment="1">
      <alignment horizontal="right" vertical="center"/>
    </xf>
    <xf numFmtId="10" fontId="55" fillId="0" borderId="372" xfId="180" applyNumberFormat="1" applyFont="1" applyBorder="1" applyAlignment="1">
      <alignment horizontal="right" vertical="center"/>
    </xf>
    <xf numFmtId="2" fontId="55" fillId="0" borderId="372" xfId="0" applyNumberFormat="1" applyFont="1" applyBorder="1" applyAlignment="1">
      <alignment horizontal="right" vertical="center"/>
    </xf>
    <xf numFmtId="168" fontId="55" fillId="0" borderId="373" xfId="176" applyNumberFormat="1" applyFont="1" applyBorder="1" applyAlignment="1">
      <alignment horizontal="right" vertical="center"/>
    </xf>
    <xf numFmtId="0" fontId="0" fillId="0" borderId="0" xfId="0"/>
    <xf numFmtId="0" fontId="135" fillId="0" borderId="0" xfId="0" applyFont="1" applyAlignment="1">
      <alignment horizontal="center" vertical="center" wrapText="1"/>
    </xf>
    <xf numFmtId="0" fontId="2" fillId="0" borderId="0" xfId="0" applyFont="1" applyBorder="1" applyAlignment="1">
      <alignment horizontal="center" wrapText="1"/>
    </xf>
    <xf numFmtId="0" fontId="43" fillId="0" borderId="0" xfId="0" applyFont="1" applyBorder="1"/>
    <xf numFmtId="0" fontId="43" fillId="0" borderId="0" xfId="0" applyFont="1" applyBorder="1" applyAlignment="1">
      <alignment horizontal="center" vertical="center"/>
    </xf>
    <xf numFmtId="0" fontId="2" fillId="0" borderId="0" xfId="0" applyFont="1" applyBorder="1"/>
    <xf numFmtId="0" fontId="56" fillId="0" borderId="0" xfId="0" applyFont="1" applyBorder="1"/>
    <xf numFmtId="0" fontId="42" fillId="0" borderId="0" xfId="0" applyFont="1" applyBorder="1"/>
    <xf numFmtId="0" fontId="56" fillId="0" borderId="0" xfId="0" applyFont="1" applyFill="1" applyBorder="1"/>
    <xf numFmtId="0" fontId="42" fillId="0" borderId="30" xfId="149" applyFont="1" applyBorder="1" applyAlignment="1">
      <alignment horizontal="center" vertical="center"/>
    </xf>
    <xf numFmtId="0" fontId="42" fillId="0" borderId="24" xfId="149" applyFont="1" applyBorder="1" applyAlignment="1">
      <alignment horizontal="center" vertical="center"/>
    </xf>
    <xf numFmtId="0" fontId="43" fillId="20" borderId="25" xfId="149" applyFont="1" applyFill="1" applyBorder="1" applyAlignment="1">
      <alignment horizontal="center" vertical="center"/>
    </xf>
    <xf numFmtId="0" fontId="43" fillId="0" borderId="351" xfId="149" applyFont="1" applyBorder="1" applyAlignment="1">
      <alignment horizontal="center" vertical="center"/>
    </xf>
    <xf numFmtId="3" fontId="42" fillId="0" borderId="30" xfId="149" applyNumberFormat="1" applyFont="1" applyBorder="1" applyAlignment="1">
      <alignment horizontal="right" vertical="center" indent="1"/>
    </xf>
    <xf numFmtId="168" fontId="42" fillId="0" borderId="30" xfId="176" applyNumberFormat="1" applyFont="1" applyBorder="1" applyAlignment="1">
      <alignment horizontal="right" vertical="center" indent="1"/>
    </xf>
    <xf numFmtId="3" fontId="42" fillId="0" borderId="24" xfId="149" applyNumberFormat="1" applyFont="1" applyBorder="1" applyAlignment="1">
      <alignment horizontal="right" vertical="center" indent="1"/>
    </xf>
    <xf numFmtId="168" fontId="42" fillId="0" borderId="24" xfId="176" applyNumberFormat="1" applyFont="1" applyBorder="1" applyAlignment="1">
      <alignment horizontal="right" vertical="center" indent="1"/>
    </xf>
    <xf numFmtId="3" fontId="43" fillId="20" borderId="25" xfId="149" applyNumberFormat="1" applyFont="1" applyFill="1" applyBorder="1" applyAlignment="1">
      <alignment horizontal="right" vertical="center" indent="1"/>
    </xf>
    <xf numFmtId="168" fontId="43" fillId="20" borderId="25" xfId="176" applyNumberFormat="1" applyFont="1" applyFill="1" applyBorder="1" applyAlignment="1">
      <alignment horizontal="right" vertical="center" indent="1"/>
    </xf>
    <xf numFmtId="3" fontId="43" fillId="20" borderId="351" xfId="149" applyNumberFormat="1" applyFont="1" applyFill="1" applyBorder="1" applyAlignment="1">
      <alignment horizontal="right" vertical="center" indent="1"/>
    </xf>
    <xf numFmtId="168" fontId="40" fillId="20" borderId="351" xfId="176" applyNumberFormat="1" applyFont="1" applyFill="1" applyBorder="1" applyAlignment="1">
      <alignment horizontal="right" indent="1"/>
    </xf>
    <xf numFmtId="172" fontId="0" fillId="0" borderId="24" xfId="107" applyNumberFormat="1" applyFont="1" applyBorder="1" applyAlignment="1">
      <alignment horizontal="center" vertical="center"/>
    </xf>
    <xf numFmtId="10" fontId="0" fillId="0" borderId="24" xfId="176" applyNumberFormat="1" applyFont="1" applyBorder="1" applyAlignment="1">
      <alignment horizontal="center" vertical="center"/>
    </xf>
    <xf numFmtId="172" fontId="0" fillId="0" borderId="25" xfId="107" applyNumberFormat="1" applyFont="1" applyBorder="1" applyAlignment="1">
      <alignment horizontal="center" vertical="center"/>
    </xf>
    <xf numFmtId="10" fontId="0" fillId="0" borderId="25" xfId="176" applyNumberFormat="1" applyFont="1" applyBorder="1" applyAlignment="1">
      <alignment horizontal="center" vertical="center"/>
    </xf>
    <xf numFmtId="172" fontId="0" fillId="0" borderId="30" xfId="107" applyNumberFormat="1" applyFont="1" applyBorder="1" applyAlignment="1">
      <alignment horizontal="center" vertical="center"/>
    </xf>
    <xf numFmtId="0" fontId="40" fillId="0" borderId="16" xfId="0" applyFont="1" applyFill="1" applyBorder="1" applyAlignment="1">
      <alignment horizontal="center" vertical="center"/>
    </xf>
    <xf numFmtId="0" fontId="40" fillId="0" borderId="16" xfId="0" applyFont="1" applyFill="1" applyBorder="1" applyAlignment="1">
      <alignment horizontal="center" vertical="center" wrapText="1"/>
    </xf>
    <xf numFmtId="0" fontId="50" fillId="0" borderId="0" xfId="0" applyFont="1" applyFill="1" applyBorder="1"/>
    <xf numFmtId="172" fontId="44" fillId="0" borderId="0" xfId="107" applyNumberFormat="1" applyFont="1" applyFill="1" applyBorder="1"/>
    <xf numFmtId="2" fontId="44" fillId="0" borderId="0" xfId="176" applyNumberFormat="1" applyFont="1" applyFill="1" applyBorder="1"/>
    <xf numFmtId="0" fontId="24" fillId="0" borderId="16" xfId="173" applyFont="1" applyFill="1" applyBorder="1" applyAlignment="1">
      <alignment horizontal="center" vertical="center"/>
    </xf>
    <xf numFmtId="0" fontId="24" fillId="0" borderId="351" xfId="173" applyFont="1" applyFill="1" applyBorder="1" applyAlignment="1">
      <alignment horizontal="center" vertical="center" wrapText="1"/>
    </xf>
    <xf numFmtId="172" fontId="24" fillId="0" borderId="351" xfId="107" applyNumberFormat="1" applyFont="1" applyFill="1" applyBorder="1" applyAlignment="1">
      <alignment horizontal="center" vertical="center" wrapText="1"/>
    </xf>
    <xf numFmtId="2" fontId="24" fillId="0" borderId="351" xfId="176" applyNumberFormat="1" applyFont="1" applyFill="1" applyBorder="1" applyAlignment="1">
      <alignment horizontal="center" vertical="center" wrapText="1"/>
    </xf>
    <xf numFmtId="0" fontId="24" fillId="0" borderId="30" xfId="173" applyFont="1" applyFill="1" applyBorder="1" applyAlignment="1">
      <alignment horizontal="center" vertical="center" wrapText="1"/>
    </xf>
    <xf numFmtId="172" fontId="17" fillId="0" borderId="30" xfId="107" applyNumberFormat="1" applyFont="1" applyFill="1" applyBorder="1" applyAlignment="1">
      <alignment horizontal="center" vertical="center" wrapText="1"/>
    </xf>
    <xf numFmtId="172" fontId="24" fillId="0" borderId="30" xfId="107" applyNumberFormat="1" applyFont="1" applyFill="1" applyBorder="1" applyAlignment="1">
      <alignment horizontal="center" vertical="center" wrapText="1"/>
    </xf>
    <xf numFmtId="2" fontId="24" fillId="0" borderId="30" xfId="176" applyNumberFormat="1" applyFont="1" applyFill="1" applyBorder="1" applyAlignment="1">
      <alignment horizontal="center" vertical="center" wrapText="1"/>
    </xf>
    <xf numFmtId="0" fontId="59" fillId="0" borderId="16" xfId="0" applyFont="1" applyFill="1" applyBorder="1" applyAlignment="1">
      <alignment horizontal="center" vertical="center"/>
    </xf>
    <xf numFmtId="0" fontId="58" fillId="0" borderId="334" xfId="0" applyFont="1" applyFill="1" applyBorder="1" applyAlignment="1">
      <alignment horizontal="center" vertical="center"/>
    </xf>
    <xf numFmtId="3" fontId="58" fillId="0" borderId="334" xfId="0" applyNumberFormat="1" applyFont="1" applyFill="1" applyBorder="1" applyAlignment="1">
      <alignment horizontal="center" vertical="center"/>
    </xf>
    <xf numFmtId="0" fontId="58" fillId="0" borderId="24" xfId="0" applyFont="1" applyFill="1" applyBorder="1" applyAlignment="1">
      <alignment horizontal="center" vertical="center"/>
    </xf>
    <xf numFmtId="3" fontId="58" fillId="0" borderId="24" xfId="0" applyNumberFormat="1" applyFont="1" applyFill="1" applyBorder="1" applyAlignment="1">
      <alignment horizontal="center" vertical="center"/>
    </xf>
    <xf numFmtId="0" fontId="59" fillId="0" borderId="25" xfId="0" applyFont="1" applyFill="1" applyBorder="1" applyAlignment="1">
      <alignment horizontal="center" vertical="center"/>
    </xf>
    <xf numFmtId="3" fontId="59" fillId="0" borderId="25" xfId="0" applyNumberFormat="1" applyFont="1" applyFill="1" applyBorder="1" applyAlignment="1">
      <alignment horizontal="center" vertical="center"/>
    </xf>
    <xf numFmtId="3" fontId="67" fillId="0" borderId="0" xfId="0" applyNumberFormat="1" applyFont="1" applyBorder="1"/>
    <xf numFmtId="0" fontId="76" fillId="0" borderId="16" xfId="0" applyFont="1" applyFill="1" applyBorder="1" applyAlignment="1">
      <alignment horizontal="center" vertical="center" wrapText="1"/>
    </xf>
    <xf numFmtId="0" fontId="125" fillId="0" borderId="16" xfId="0" applyFont="1" applyFill="1" applyBorder="1" applyAlignment="1">
      <alignment horizontal="center" vertical="center" wrapText="1"/>
    </xf>
    <xf numFmtId="9" fontId="110" fillId="0" borderId="16" xfId="0" applyNumberFormat="1" applyFont="1" applyFill="1" applyBorder="1" applyAlignment="1">
      <alignment horizontal="center" vertical="center" wrapText="1"/>
    </xf>
    <xf numFmtId="0" fontId="0" fillId="0" borderId="334" xfId="0" applyFill="1" applyBorder="1" applyAlignment="1">
      <alignment horizontal="center" vertical="center"/>
    </xf>
    <xf numFmtId="3" fontId="0" fillId="0" borderId="334" xfId="0" applyNumberFormat="1" applyFill="1" applyBorder="1" applyAlignment="1">
      <alignment horizontal="center" vertical="center"/>
    </xf>
    <xf numFmtId="168" fontId="0" fillId="0" borderId="334" xfId="176" applyNumberFormat="1" applyFont="1" applyFill="1" applyBorder="1" applyAlignment="1">
      <alignment horizontal="center" vertical="center"/>
    </xf>
    <xf numFmtId="0" fontId="0" fillId="0" borderId="24" xfId="0" applyFill="1" applyBorder="1" applyAlignment="1">
      <alignment horizontal="center" vertical="center"/>
    </xf>
    <xf numFmtId="3" fontId="0" fillId="0" borderId="24" xfId="0" applyNumberFormat="1" applyFill="1" applyBorder="1" applyAlignment="1">
      <alignment horizontal="center" vertical="center"/>
    </xf>
    <xf numFmtId="168" fontId="0" fillId="0" borderId="24" xfId="176" applyNumberFormat="1" applyFont="1" applyFill="1" applyBorder="1" applyAlignment="1">
      <alignment horizontal="center" vertical="center"/>
    </xf>
    <xf numFmtId="0" fontId="40" fillId="0" borderId="25" xfId="0" applyFont="1" applyFill="1" applyBorder="1" applyAlignment="1">
      <alignment horizontal="center" vertical="center"/>
    </xf>
    <xf numFmtId="3" fontId="40" fillId="0" borderId="25" xfId="0" applyNumberFormat="1" applyFont="1" applyFill="1" applyBorder="1" applyAlignment="1">
      <alignment horizontal="center" vertical="center"/>
    </xf>
    <xf numFmtId="168" fontId="43" fillId="0" borderId="25" xfId="176" applyNumberFormat="1" applyFont="1" applyFill="1" applyBorder="1" applyAlignment="1">
      <alignment horizontal="center" vertical="center"/>
    </xf>
    <xf numFmtId="9" fontId="240" fillId="29" borderId="289" xfId="0" applyNumberFormat="1" applyFont="1" applyFill="1" applyBorder="1" applyAlignment="1">
      <alignment horizontal="center" vertical="center" wrapText="1"/>
    </xf>
    <xf numFmtId="0" fontId="136" fillId="0" borderId="103" xfId="0" applyFont="1" applyBorder="1" applyAlignment="1">
      <alignment vertical="center" wrapText="1"/>
    </xf>
    <xf numFmtId="0" fontId="136" fillId="0" borderId="133" xfId="0" applyFont="1" applyBorder="1" applyAlignment="1">
      <alignment horizontal="center" vertical="center" wrapText="1"/>
    </xf>
    <xf numFmtId="0" fontId="136" fillId="0" borderId="13" xfId="0" applyFont="1" applyBorder="1" applyAlignment="1">
      <alignment horizontal="center" vertical="center" wrapText="1"/>
    </xf>
    <xf numFmtId="0" fontId="136" fillId="0" borderId="136" xfId="0" applyFont="1" applyBorder="1" applyAlignment="1">
      <alignment horizontal="center" vertical="center" wrapText="1"/>
    </xf>
    <xf numFmtId="0" fontId="136" fillId="0" borderId="214" xfId="0" applyFont="1" applyBorder="1" applyAlignment="1">
      <alignment horizontal="center" vertical="center" wrapText="1"/>
    </xf>
    <xf numFmtId="0" fontId="136" fillId="0" borderId="15" xfId="0" applyFont="1" applyBorder="1" applyAlignment="1">
      <alignment horizontal="center" vertical="center" wrapText="1"/>
    </xf>
    <xf numFmtId="0" fontId="136" fillId="0" borderId="214" xfId="0" applyFont="1" applyBorder="1" applyAlignment="1">
      <alignment horizontal="left" vertical="center" wrapText="1"/>
    </xf>
    <xf numFmtId="0" fontId="136" fillId="0" borderId="136" xfId="0" applyFont="1" applyBorder="1" applyAlignment="1">
      <alignment horizontal="left" vertical="center" wrapText="1"/>
    </xf>
    <xf numFmtId="0" fontId="44" fillId="0" borderId="0" xfId="0" applyFont="1" applyAlignment="1">
      <alignment horizontal="center" vertical="center"/>
    </xf>
    <xf numFmtId="0" fontId="240" fillId="55" borderId="270" xfId="0" applyFont="1" applyFill="1" applyBorder="1" applyAlignment="1">
      <alignment horizontal="center" vertical="center" wrapText="1"/>
    </xf>
    <xf numFmtId="0" fontId="240" fillId="55" borderId="248" xfId="0" applyFont="1" applyFill="1" applyBorder="1" applyAlignment="1">
      <alignment horizontal="center" vertical="center" wrapText="1"/>
    </xf>
    <xf numFmtId="0" fontId="240" fillId="55" borderId="256" xfId="0" applyFont="1" applyFill="1" applyBorder="1" applyAlignment="1">
      <alignment horizontal="center" vertical="center" wrapText="1"/>
    </xf>
    <xf numFmtId="0" fontId="240" fillId="55" borderId="270" xfId="0" applyFont="1" applyFill="1" applyBorder="1" applyAlignment="1">
      <alignment horizontal="center" vertical="center"/>
    </xf>
    <xf numFmtId="0" fontId="240" fillId="55" borderId="276" xfId="0" applyFont="1" applyFill="1" applyBorder="1" applyAlignment="1">
      <alignment horizontal="center" vertical="center"/>
    </xf>
    <xf numFmtId="0" fontId="240" fillId="55" borderId="271" xfId="0" applyFont="1" applyFill="1" applyBorder="1" applyAlignment="1">
      <alignment horizontal="center" vertical="center"/>
    </xf>
    <xf numFmtId="0" fontId="67" fillId="42" borderId="143" xfId="0" applyFont="1" applyFill="1" applyBorder="1" applyAlignment="1">
      <alignment horizontal="center" vertical="center" wrapText="1"/>
    </xf>
    <xf numFmtId="0" fontId="67" fillId="42" borderId="0" xfId="0" applyFont="1" applyFill="1" applyAlignment="1">
      <alignment horizontal="center" vertical="center" wrapText="1"/>
    </xf>
    <xf numFmtId="0" fontId="136" fillId="0" borderId="133" xfId="0" applyFont="1" applyBorder="1" applyAlignment="1">
      <alignment horizontal="left" vertical="center" wrapText="1"/>
    </xf>
    <xf numFmtId="0" fontId="136" fillId="0" borderId="198" xfId="0" applyFont="1" applyBorder="1" applyAlignment="1">
      <alignment horizontal="center" vertical="center" wrapText="1"/>
    </xf>
    <xf numFmtId="0" fontId="239" fillId="55" borderId="285" xfId="0" applyFont="1" applyFill="1" applyBorder="1" applyAlignment="1">
      <alignment horizontal="center" vertical="center" wrapText="1"/>
    </xf>
    <xf numFmtId="0" fontId="239" fillId="55" borderId="143" xfId="0" applyFont="1" applyFill="1" applyBorder="1" applyAlignment="1">
      <alignment horizontal="center" vertical="center" wrapText="1"/>
    </xf>
    <xf numFmtId="0" fontId="239" fillId="55" borderId="335" xfId="0" applyFont="1" applyFill="1" applyBorder="1" applyAlignment="1">
      <alignment horizontal="center" vertical="center" wrapText="1"/>
    </xf>
    <xf numFmtId="0" fontId="239" fillId="55" borderId="257" xfId="0" applyFont="1" applyFill="1" applyBorder="1" applyAlignment="1">
      <alignment horizontal="center" vertical="center" wrapText="1"/>
    </xf>
    <xf numFmtId="0" fontId="239" fillId="55" borderId="248" xfId="0" applyFont="1" applyFill="1" applyBorder="1" applyAlignment="1">
      <alignment horizontal="center" vertical="center" wrapText="1"/>
    </xf>
    <xf numFmtId="0" fontId="239" fillId="55" borderId="269" xfId="0" applyFont="1" applyFill="1" applyBorder="1" applyAlignment="1">
      <alignment horizontal="center" vertical="center" wrapText="1"/>
    </xf>
    <xf numFmtId="0" fontId="136" fillId="0" borderId="262" xfId="0" applyFont="1" applyFill="1" applyBorder="1" applyAlignment="1">
      <alignment horizontal="center" vertical="center" wrapText="1"/>
    </xf>
    <xf numFmtId="0" fontId="136" fillId="0" borderId="13" xfId="0" applyFont="1" applyFill="1" applyBorder="1" applyAlignment="1">
      <alignment horizontal="center" vertical="center" wrapText="1"/>
    </xf>
    <xf numFmtId="0" fontId="136" fillId="0" borderId="133" xfId="0" applyFont="1" applyFill="1" applyBorder="1" applyAlignment="1">
      <alignment horizontal="center" vertical="center" wrapText="1"/>
    </xf>
    <xf numFmtId="0" fontId="136" fillId="0" borderId="136" xfId="0" applyFont="1" applyFill="1" applyBorder="1" applyAlignment="1">
      <alignment horizontal="center" vertical="center" wrapText="1"/>
    </xf>
    <xf numFmtId="0" fontId="240" fillId="55" borderId="336" xfId="0" applyFont="1" applyFill="1" applyBorder="1" applyAlignment="1">
      <alignment horizontal="center" vertical="center" wrapText="1"/>
    </xf>
    <xf numFmtId="0" fontId="240" fillId="55" borderId="143" xfId="0" applyFont="1" applyFill="1" applyBorder="1" applyAlignment="1">
      <alignment horizontal="center" vertical="center" wrapText="1"/>
    </xf>
    <xf numFmtId="0" fontId="240" fillId="55" borderId="168" xfId="0" applyFont="1" applyFill="1" applyBorder="1" applyAlignment="1">
      <alignment horizontal="center" vertical="center" wrapText="1"/>
    </xf>
    <xf numFmtId="0" fontId="240" fillId="55" borderId="336" xfId="0" applyFont="1" applyFill="1" applyBorder="1" applyAlignment="1">
      <alignment horizontal="center" vertical="center"/>
    </xf>
    <xf numFmtId="0" fontId="240" fillId="55" borderId="143" xfId="0" applyFont="1" applyFill="1" applyBorder="1" applyAlignment="1">
      <alignment horizontal="center" vertical="center"/>
    </xf>
    <xf numFmtId="0" fontId="240" fillId="55" borderId="337" xfId="0" applyFont="1" applyFill="1" applyBorder="1" applyAlignment="1">
      <alignment horizontal="center" vertical="center"/>
    </xf>
    <xf numFmtId="0" fontId="184" fillId="0" borderId="0" xfId="0" applyFont="1" applyAlignment="1">
      <alignment horizontal="center" vertical="center"/>
    </xf>
    <xf numFmtId="0" fontId="44" fillId="0" borderId="0" xfId="0" applyFont="1" applyAlignment="1">
      <alignment horizontal="left" vertical="center"/>
    </xf>
    <xf numFmtId="0" fontId="185" fillId="0" borderId="0" xfId="0" applyFont="1" applyAlignment="1">
      <alignment horizontal="center" vertical="center"/>
    </xf>
    <xf numFmtId="0" fontId="44" fillId="0" borderId="0" xfId="0" applyFont="1" applyAlignment="1">
      <alignment vertical="center"/>
    </xf>
    <xf numFmtId="0" fontId="186" fillId="0" borderId="0" xfId="0" applyFont="1" applyAlignment="1">
      <alignment horizontal="center" vertical="center"/>
    </xf>
    <xf numFmtId="0" fontId="81" fillId="0" borderId="0" xfId="736" applyFont="1" applyAlignment="1">
      <alignment horizontal="center" vertical="center" wrapText="1"/>
    </xf>
    <xf numFmtId="0" fontId="81" fillId="0" borderId="16" xfId="736" applyFont="1" applyBorder="1" applyAlignment="1">
      <alignment horizontal="center" vertical="center" wrapText="1"/>
    </xf>
    <xf numFmtId="0" fontId="81" fillId="0" borderId="0" xfId="736" applyFont="1" applyAlignment="1">
      <alignment horizontal="center" vertical="center"/>
    </xf>
    <xf numFmtId="0" fontId="81" fillId="0" borderId="16" xfId="736" applyFont="1" applyBorder="1" applyAlignment="1">
      <alignment horizontal="center" vertical="center"/>
    </xf>
    <xf numFmtId="0" fontId="40" fillId="20" borderId="351" xfId="0" applyFont="1" applyFill="1" applyBorder="1" applyAlignment="1">
      <alignment horizontal="center" vertical="center"/>
    </xf>
    <xf numFmtId="0" fontId="55" fillId="0" borderId="287" xfId="736" applyFont="1" applyBorder="1" applyAlignment="1">
      <alignment horizontal="center" vertical="center"/>
    </xf>
    <xf numFmtId="0" fontId="55" fillId="0" borderId="296" xfId="736" applyFont="1" applyBorder="1" applyAlignment="1">
      <alignment horizontal="center" vertical="center"/>
    </xf>
    <xf numFmtId="0" fontId="55" fillId="0" borderId="287" xfId="823" applyFont="1" applyBorder="1" applyAlignment="1">
      <alignment horizontal="center" vertical="center"/>
    </xf>
    <xf numFmtId="0" fontId="55" fillId="0" borderId="286" xfId="823" applyFont="1" applyBorder="1" applyAlignment="1">
      <alignment horizontal="center" vertical="center"/>
    </xf>
    <xf numFmtId="0" fontId="81" fillId="20" borderId="288" xfId="800" applyFont="1" applyFill="1" applyBorder="1" applyAlignment="1">
      <alignment horizontal="center" vertical="center"/>
    </xf>
    <xf numFmtId="0" fontId="81" fillId="20" borderId="289" xfId="800" applyFont="1" applyFill="1" applyBorder="1" applyAlignment="1">
      <alignment horizontal="center" vertical="center"/>
    </xf>
    <xf numFmtId="0" fontId="99" fillId="0" borderId="0" xfId="0" applyFont="1" applyAlignment="1">
      <alignment horizontal="center"/>
    </xf>
    <xf numFmtId="0" fontId="183" fillId="0" borderId="0" xfId="227" applyFont="1" applyAlignment="1">
      <alignment horizontal="center" vertical="center"/>
    </xf>
    <xf numFmtId="0" fontId="187" fillId="0" borderId="123" xfId="227" applyFont="1" applyBorder="1" applyAlignment="1">
      <alignment horizontal="center" vertical="center"/>
    </xf>
    <xf numFmtId="0" fontId="187" fillId="0" borderId="125" xfId="227" applyFont="1" applyBorder="1" applyAlignment="1">
      <alignment horizontal="center" vertical="center"/>
    </xf>
    <xf numFmtId="0" fontId="187" fillId="0" borderId="124" xfId="227" applyFont="1" applyBorder="1" applyAlignment="1">
      <alignment horizontal="center" vertical="center"/>
    </xf>
    <xf numFmtId="0" fontId="101" fillId="0" borderId="0" xfId="173" applyFont="1" applyAlignment="1">
      <alignment horizontal="center" vertical="center"/>
    </xf>
    <xf numFmtId="0" fontId="101" fillId="0" borderId="132" xfId="454" applyFont="1" applyBorder="1" applyAlignment="1">
      <alignment horizontal="center" vertical="center"/>
    </xf>
    <xf numFmtId="0" fontId="101" fillId="0" borderId="123" xfId="238" applyFont="1" applyBorder="1" applyAlignment="1">
      <alignment horizontal="center" vertical="center"/>
    </xf>
    <xf numFmtId="0" fontId="101" fillId="0" borderId="125" xfId="238" applyFont="1" applyBorder="1" applyAlignment="1">
      <alignment horizontal="center" vertical="center"/>
    </xf>
    <xf numFmtId="0" fontId="101" fillId="0" borderId="124" xfId="238" applyFont="1" applyBorder="1" applyAlignment="1">
      <alignment horizontal="center" vertical="center"/>
    </xf>
    <xf numFmtId="0" fontId="81" fillId="0" borderId="123" xfId="238" applyFont="1" applyBorder="1" applyAlignment="1">
      <alignment horizontal="center" vertical="center"/>
    </xf>
    <xf numFmtId="0" fontId="81" fillId="0" borderId="125" xfId="238" applyFont="1" applyBorder="1" applyAlignment="1">
      <alignment horizontal="center" vertical="center"/>
    </xf>
    <xf numFmtId="0" fontId="81" fillId="0" borderId="124" xfId="238" applyFont="1" applyBorder="1" applyAlignment="1">
      <alignment horizontal="center" vertical="center"/>
    </xf>
    <xf numFmtId="0" fontId="49" fillId="0" borderId="123" xfId="0" applyFont="1" applyBorder="1" applyAlignment="1">
      <alignment horizontal="center" vertical="center"/>
    </xf>
    <xf numFmtId="0" fontId="49" fillId="0" borderId="125" xfId="0" applyFont="1" applyBorder="1" applyAlignment="1">
      <alignment horizontal="center" vertical="center"/>
    </xf>
    <xf numFmtId="0" fontId="49" fillId="0" borderId="124" xfId="0" applyFont="1" applyBorder="1" applyAlignment="1">
      <alignment horizontal="center" vertical="center"/>
    </xf>
    <xf numFmtId="0" fontId="40" fillId="0" borderId="254" xfId="0" applyFont="1" applyBorder="1" applyAlignment="1">
      <alignment horizontal="center"/>
    </xf>
    <xf numFmtId="0" fontId="101" fillId="0" borderId="247" xfId="824" applyFont="1" applyBorder="1" applyAlignment="1">
      <alignment horizontal="center"/>
    </xf>
    <xf numFmtId="0" fontId="101" fillId="0" borderId="248" xfId="824" applyFont="1" applyBorder="1" applyAlignment="1">
      <alignment horizontal="center"/>
    </xf>
    <xf numFmtId="0" fontId="99" fillId="0" borderId="123" xfId="0" applyFont="1" applyBorder="1" applyAlignment="1">
      <alignment horizontal="center" vertical="center"/>
    </xf>
    <xf numFmtId="0" fontId="99" fillId="0" borderId="125" xfId="0" applyFont="1" applyBorder="1" applyAlignment="1">
      <alignment horizontal="center" vertical="center"/>
    </xf>
    <xf numFmtId="0" fontId="99" fillId="0" borderId="124" xfId="0" applyFont="1" applyBorder="1" applyAlignment="1">
      <alignment horizontal="center" vertical="center"/>
    </xf>
    <xf numFmtId="0" fontId="74" fillId="0" borderId="287" xfId="824" applyFont="1" applyBorder="1" applyAlignment="1">
      <alignment horizontal="center" vertical="center"/>
    </xf>
    <xf numFmtId="0" fontId="138" fillId="20" borderId="288" xfId="454" applyFont="1" applyFill="1" applyBorder="1" applyAlignment="1">
      <alignment horizontal="center" vertical="center"/>
    </xf>
    <xf numFmtId="0" fontId="138" fillId="20" borderId="289" xfId="454" applyFont="1" applyFill="1" applyBorder="1" applyAlignment="1">
      <alignment horizontal="center" vertical="center"/>
    </xf>
    <xf numFmtId="0" fontId="138" fillId="0" borderId="259" xfId="824" applyFont="1" applyBorder="1" applyAlignment="1">
      <alignment horizontal="center" vertical="center"/>
    </xf>
    <xf numFmtId="0" fontId="138" fillId="0" borderId="260" xfId="824" applyFont="1" applyBorder="1" applyAlignment="1">
      <alignment horizontal="center" vertical="center"/>
    </xf>
    <xf numFmtId="0" fontId="74" fillId="0" borderId="287" xfId="454" applyFont="1" applyBorder="1" applyAlignment="1">
      <alignment horizontal="center" vertical="center"/>
    </xf>
    <xf numFmtId="0" fontId="138" fillId="0" borderId="0" xfId="454" applyFont="1" applyAlignment="1">
      <alignment horizontal="center" vertical="center" wrapText="1"/>
    </xf>
    <xf numFmtId="0" fontId="138" fillId="0" borderId="0" xfId="454" applyFont="1" applyAlignment="1">
      <alignment horizontal="center" vertical="center"/>
    </xf>
    <xf numFmtId="0" fontId="138" fillId="0" borderId="16" xfId="454" applyFont="1" applyBorder="1" applyAlignment="1">
      <alignment horizontal="center" vertical="center"/>
    </xf>
    <xf numFmtId="0" fontId="74" fillId="0" borderId="286" xfId="454" applyFont="1" applyBorder="1" applyAlignment="1">
      <alignment horizontal="center" vertical="center"/>
    </xf>
    <xf numFmtId="0" fontId="74" fillId="0" borderId="262" xfId="454" applyFont="1" applyBorder="1" applyAlignment="1">
      <alignment horizontal="center" vertical="center"/>
    </xf>
    <xf numFmtId="0" fontId="74" fillId="0" borderId="267" xfId="454" applyFont="1" applyBorder="1" applyAlignment="1">
      <alignment horizontal="center" vertical="center"/>
    </xf>
    <xf numFmtId="0" fontId="81" fillId="20" borderId="259" xfId="441" applyFont="1" applyFill="1" applyBorder="1" applyAlignment="1">
      <alignment horizontal="center" vertical="top"/>
    </xf>
    <xf numFmtId="0" fontId="81" fillId="20" borderId="260" xfId="441" applyFont="1" applyFill="1" applyBorder="1" applyAlignment="1">
      <alignment horizontal="center" vertical="top"/>
    </xf>
    <xf numFmtId="0" fontId="55" fillId="0" borderId="287" xfId="441" applyFont="1" applyBorder="1" applyAlignment="1">
      <alignment horizontal="center" vertical="center"/>
    </xf>
    <xf numFmtId="0" fontId="55" fillId="0" borderId="287" xfId="238" applyFont="1" applyBorder="1" applyAlignment="1">
      <alignment horizontal="center" vertical="center"/>
    </xf>
    <xf numFmtId="0" fontId="81" fillId="20" borderId="259" xfId="238" applyFont="1" applyFill="1" applyBorder="1" applyAlignment="1">
      <alignment horizontal="center"/>
    </xf>
    <xf numFmtId="0" fontId="81" fillId="20" borderId="254" xfId="238" applyFont="1" applyFill="1" applyBorder="1" applyAlignment="1">
      <alignment horizontal="center"/>
    </xf>
    <xf numFmtId="0" fontId="104" fillId="0" borderId="16" xfId="0" applyFont="1" applyBorder="1" applyAlignment="1">
      <alignment horizontal="center" vertical="center"/>
    </xf>
    <xf numFmtId="0" fontId="81" fillId="20" borderId="288" xfId="451" applyFont="1" applyFill="1" applyBorder="1" applyAlignment="1">
      <alignment horizontal="center" vertical="center"/>
    </xf>
    <xf numFmtId="0" fontId="81" fillId="20" borderId="289" xfId="451" applyFont="1" applyFill="1" applyBorder="1" applyAlignment="1">
      <alignment horizontal="center" vertical="center"/>
    </xf>
    <xf numFmtId="0" fontId="55" fillId="0" borderId="118" xfId="451" applyFont="1" applyBorder="1" applyAlignment="1">
      <alignment horizontal="center" vertical="center"/>
    </xf>
    <xf numFmtId="0" fontId="55" fillId="0" borderId="13" xfId="451" applyFont="1" applyBorder="1" applyAlignment="1">
      <alignment horizontal="center" vertical="center"/>
    </xf>
    <xf numFmtId="0" fontId="55" fillId="0" borderId="50" xfId="451" applyFont="1" applyBorder="1" applyAlignment="1">
      <alignment horizontal="center" vertical="center"/>
    </xf>
    <xf numFmtId="0" fontId="55" fillId="0" borderId="118" xfId="797" applyFont="1" applyBorder="1" applyAlignment="1">
      <alignment horizontal="center" vertical="center"/>
    </xf>
    <xf numFmtId="0" fontId="55" fillId="0" borderId="262" xfId="797" applyFont="1" applyBorder="1" applyAlignment="1">
      <alignment horizontal="center" vertical="center"/>
    </xf>
    <xf numFmtId="0" fontId="55" fillId="0" borderId="13" xfId="797" applyFont="1" applyBorder="1" applyAlignment="1">
      <alignment horizontal="center" vertical="center"/>
    </xf>
    <xf numFmtId="0" fontId="55" fillId="0" borderId="50" xfId="797" applyFont="1" applyBorder="1" applyAlignment="1">
      <alignment horizontal="center" vertical="center"/>
    </xf>
    <xf numFmtId="0" fontId="182" fillId="0" borderId="0" xfId="144" applyFont="1" applyAlignment="1">
      <alignment horizontal="center"/>
    </xf>
    <xf numFmtId="0" fontId="5" fillId="0" borderId="0" xfId="0" applyFont="1" applyAlignment="1">
      <alignment horizontal="center"/>
    </xf>
    <xf numFmtId="0" fontId="182" fillId="0" borderId="0" xfId="227" applyFont="1" applyAlignment="1">
      <alignment horizontal="center"/>
    </xf>
    <xf numFmtId="0" fontId="138" fillId="0" borderId="0" xfId="451" applyFont="1" applyAlignment="1">
      <alignment horizontal="center" vertical="center"/>
    </xf>
    <xf numFmtId="0" fontId="138" fillId="0" borderId="0" xfId="797" applyFont="1" applyAlignment="1">
      <alignment horizontal="center"/>
    </xf>
    <xf numFmtId="0" fontId="101" fillId="0" borderId="132" xfId="428" applyFont="1" applyBorder="1" applyAlignment="1">
      <alignment horizontal="center"/>
    </xf>
    <xf numFmtId="0" fontId="76" fillId="0" borderId="132" xfId="0" applyFont="1" applyBorder="1" applyAlignment="1">
      <alignment horizontal="center"/>
    </xf>
    <xf numFmtId="0" fontId="194" fillId="0" borderId="132" xfId="227" applyFont="1" applyBorder="1" applyAlignment="1">
      <alignment horizontal="center" vertical="center"/>
    </xf>
    <xf numFmtId="0" fontId="40" fillId="0" borderId="351" xfId="0" applyFont="1" applyBorder="1" applyAlignment="1">
      <alignment horizontal="center" vertical="center"/>
    </xf>
    <xf numFmtId="0" fontId="76" fillId="0" borderId="254" xfId="0" applyFont="1" applyBorder="1" applyAlignment="1">
      <alignment horizontal="center"/>
    </xf>
    <xf numFmtId="0" fontId="76" fillId="0" borderId="0" xfId="0" applyFont="1" applyAlignment="1">
      <alignment horizontal="center"/>
    </xf>
    <xf numFmtId="0" fontId="194" fillId="0" borderId="0" xfId="227" applyFont="1" applyAlignment="1">
      <alignment horizontal="center"/>
    </xf>
    <xf numFmtId="0" fontId="101" fillId="0" borderId="247" xfId="3786" applyFont="1" applyBorder="1" applyAlignment="1">
      <alignment horizontal="center"/>
    </xf>
    <xf numFmtId="0" fontId="101" fillId="0" borderId="248" xfId="3786" applyFont="1" applyBorder="1" applyAlignment="1">
      <alignment horizontal="center"/>
    </xf>
    <xf numFmtId="0" fontId="101" fillId="0" borderId="252" xfId="3786" applyFont="1" applyBorder="1" applyAlignment="1">
      <alignment horizontal="center"/>
    </xf>
    <xf numFmtId="0" fontId="74" fillId="0" borderId="118" xfId="453" applyFont="1" applyBorder="1" applyAlignment="1">
      <alignment horizontal="center" vertical="center"/>
    </xf>
    <xf numFmtId="0" fontId="74" fillId="0" borderId="13" xfId="453" applyFont="1" applyBorder="1" applyAlignment="1">
      <alignment horizontal="center" vertical="center"/>
    </xf>
    <xf numFmtId="0" fontId="74" fillId="0" borderId="262" xfId="453" applyFont="1" applyBorder="1" applyAlignment="1">
      <alignment horizontal="center" vertical="center"/>
    </xf>
    <xf numFmtId="0" fontId="74" fillId="0" borderId="50" xfId="453" applyFont="1" applyBorder="1" applyAlignment="1">
      <alignment horizontal="center" vertical="center"/>
    </xf>
    <xf numFmtId="0" fontId="138" fillId="20" borderId="276" xfId="453" applyFont="1" applyFill="1" applyBorder="1" applyAlignment="1">
      <alignment horizontal="center" vertical="center"/>
    </xf>
    <xf numFmtId="0" fontId="6" fillId="0" borderId="0" xfId="0" applyFont="1" applyAlignment="1">
      <alignment horizontal="center"/>
    </xf>
    <xf numFmtId="0" fontId="182" fillId="0" borderId="0" xfId="0" applyFont="1" applyAlignment="1">
      <alignment horizontal="center"/>
    </xf>
    <xf numFmtId="0" fontId="138" fillId="0" borderId="0" xfId="453" applyFont="1" applyAlignment="1">
      <alignment horizontal="center"/>
    </xf>
    <xf numFmtId="0" fontId="138" fillId="0" borderId="0" xfId="239" applyFont="1" applyAlignment="1">
      <alignment horizontal="center"/>
    </xf>
    <xf numFmtId="0" fontId="101" fillId="0" borderId="132" xfId="173" applyFont="1" applyBorder="1" applyAlignment="1">
      <alignment horizontal="center"/>
    </xf>
    <xf numFmtId="0" fontId="80" fillId="0" borderId="132" xfId="0" applyFont="1" applyBorder="1" applyAlignment="1">
      <alignment horizontal="center"/>
    </xf>
    <xf numFmtId="0" fontId="194" fillId="0" borderId="132" xfId="227" applyFont="1" applyBorder="1" applyAlignment="1">
      <alignment horizontal="center"/>
    </xf>
    <xf numFmtId="0" fontId="99" fillId="0" borderId="0" xfId="0" applyFont="1" applyBorder="1" applyAlignment="1">
      <alignment horizontal="center"/>
    </xf>
    <xf numFmtId="0" fontId="99" fillId="0" borderId="254" xfId="0" applyFont="1" applyBorder="1" applyAlignment="1">
      <alignment horizontal="center"/>
    </xf>
    <xf numFmtId="0" fontId="101" fillId="0" borderId="247" xfId="428" applyFont="1" applyBorder="1" applyAlignment="1">
      <alignment horizontal="center" vertical="center" wrapText="1"/>
    </xf>
    <xf numFmtId="0" fontId="101" fillId="0" borderId="248" xfId="428" applyFont="1" applyBorder="1" applyAlignment="1">
      <alignment horizontal="center" vertical="center" wrapText="1"/>
    </xf>
    <xf numFmtId="0" fontId="101" fillId="0" borderId="252" xfId="428" applyFont="1" applyBorder="1" applyAlignment="1">
      <alignment horizontal="center" vertical="center" wrapText="1"/>
    </xf>
    <xf numFmtId="0" fontId="74" fillId="0" borderId="266" xfId="452" applyFont="1" applyBorder="1" applyAlignment="1">
      <alignment horizontal="center" vertical="center"/>
    </xf>
    <xf numFmtId="0" fontId="74" fillId="0" borderId="262" xfId="452" applyFont="1" applyBorder="1" applyAlignment="1">
      <alignment horizontal="center" vertical="center"/>
    </xf>
    <xf numFmtId="0" fontId="74" fillId="0" borderId="267" xfId="452" applyFont="1" applyBorder="1" applyAlignment="1">
      <alignment horizontal="center" vertical="center"/>
    </xf>
    <xf numFmtId="0" fontId="74" fillId="0" borderId="118" xfId="452" applyFont="1" applyBorder="1" applyAlignment="1">
      <alignment horizontal="center" vertical="center"/>
    </xf>
    <xf numFmtId="0" fontId="74" fillId="0" borderId="13" xfId="452" applyFont="1" applyBorder="1" applyAlignment="1">
      <alignment horizontal="center" vertical="center"/>
    </xf>
    <xf numFmtId="0" fontId="74" fillId="0" borderId="50" xfId="452" applyFont="1" applyBorder="1" applyAlignment="1">
      <alignment horizontal="center" vertical="center"/>
    </xf>
    <xf numFmtId="0" fontId="138" fillId="20" borderId="276" xfId="452" applyFont="1" applyFill="1" applyBorder="1" applyAlignment="1">
      <alignment horizontal="center" vertical="center"/>
    </xf>
    <xf numFmtId="0" fontId="138" fillId="20" borderId="289" xfId="452" applyFont="1" applyFill="1" applyBorder="1" applyAlignment="1">
      <alignment horizontal="center" vertical="center"/>
    </xf>
    <xf numFmtId="0" fontId="74" fillId="0" borderId="118" xfId="451" applyFont="1" applyBorder="1" applyAlignment="1">
      <alignment horizontal="center" vertical="center"/>
    </xf>
    <xf numFmtId="0" fontId="74" fillId="0" borderId="50" xfId="451" applyFont="1" applyBorder="1" applyAlignment="1">
      <alignment horizontal="center" vertical="center"/>
    </xf>
    <xf numFmtId="0" fontId="74" fillId="0" borderId="118" xfId="428" applyFont="1" applyBorder="1" applyAlignment="1">
      <alignment horizontal="center" vertical="center"/>
    </xf>
    <xf numFmtId="0" fontId="74" fillId="0" borderId="13" xfId="428" applyFont="1" applyBorder="1" applyAlignment="1">
      <alignment horizontal="center" vertical="center"/>
    </xf>
    <xf numFmtId="0" fontId="74" fillId="0" borderId="50" xfId="428" applyFont="1" applyBorder="1" applyAlignment="1">
      <alignment horizontal="center" vertical="center"/>
    </xf>
    <xf numFmtId="0" fontId="101" fillId="0" borderId="0" xfId="452" applyFont="1" applyAlignment="1">
      <alignment horizontal="center"/>
    </xf>
    <xf numFmtId="0" fontId="101" fillId="0" borderId="0" xfId="428" applyFont="1" applyAlignment="1">
      <alignment horizontal="center"/>
    </xf>
    <xf numFmtId="0" fontId="101" fillId="0" borderId="132" xfId="238" applyFont="1" applyBorder="1" applyAlignment="1">
      <alignment horizontal="center"/>
    </xf>
    <xf numFmtId="0" fontId="131" fillId="0" borderId="132" xfId="0" applyFont="1" applyBorder="1" applyAlignment="1">
      <alignment horizontal="center"/>
    </xf>
    <xf numFmtId="0" fontId="189" fillId="0" borderId="132" xfId="227" applyFont="1" applyBorder="1" applyAlignment="1">
      <alignment horizontal="center"/>
    </xf>
    <xf numFmtId="0" fontId="99" fillId="0" borderId="132" xfId="0" applyFont="1" applyBorder="1" applyAlignment="1">
      <alignment horizontal="center"/>
    </xf>
    <xf numFmtId="0" fontId="40" fillId="0" borderId="351" xfId="0" applyFont="1" applyBorder="1" applyAlignment="1">
      <alignment horizontal="center"/>
    </xf>
    <xf numFmtId="0" fontId="181" fillId="0" borderId="254" xfId="0" applyFont="1" applyBorder="1" applyAlignment="1">
      <alignment horizontal="center"/>
    </xf>
    <xf numFmtId="0" fontId="101" fillId="0" borderId="247" xfId="3787" applyFont="1" applyBorder="1" applyAlignment="1">
      <alignment horizontal="center"/>
    </xf>
    <xf numFmtId="0" fontId="101" fillId="0" borderId="248" xfId="3787" applyFont="1" applyBorder="1" applyAlignment="1">
      <alignment horizontal="center"/>
    </xf>
    <xf numFmtId="0" fontId="101" fillId="0" borderId="249" xfId="3787" applyFont="1" applyBorder="1" applyAlignment="1">
      <alignment horizontal="center"/>
    </xf>
    <xf numFmtId="0" fontId="138" fillId="20" borderId="276" xfId="455" applyFont="1" applyFill="1" applyBorder="1" applyAlignment="1">
      <alignment horizontal="center" vertical="center"/>
    </xf>
    <xf numFmtId="0" fontId="138" fillId="20" borderId="289" xfId="455" applyFont="1" applyFill="1" applyBorder="1" applyAlignment="1">
      <alignment horizontal="center" vertical="center"/>
    </xf>
    <xf numFmtId="0" fontId="74" fillId="0" borderId="118" xfId="455" applyFont="1" applyBorder="1" applyAlignment="1">
      <alignment horizontal="center" vertical="center"/>
    </xf>
    <xf numFmtId="0" fontId="74" fillId="0" borderId="13" xfId="455" applyFont="1" applyBorder="1" applyAlignment="1">
      <alignment horizontal="center" vertical="center"/>
    </xf>
    <xf numFmtId="0" fontId="74" fillId="0" borderId="50" xfId="455" applyFont="1" applyBorder="1" applyAlignment="1">
      <alignment horizontal="center" vertical="center"/>
    </xf>
    <xf numFmtId="0" fontId="74" fillId="0" borderId="262" xfId="455" applyFont="1" applyBorder="1" applyAlignment="1">
      <alignment horizontal="center" vertical="center"/>
    </xf>
    <xf numFmtId="0" fontId="104" fillId="0" borderId="132" xfId="173" applyFont="1" applyBorder="1" applyAlignment="1">
      <alignment horizontal="center" vertical="center"/>
    </xf>
    <xf numFmtId="0" fontId="101" fillId="0" borderId="104" xfId="173" applyFont="1" applyBorder="1" applyAlignment="1">
      <alignment horizontal="center" vertical="center"/>
    </xf>
    <xf numFmtId="0" fontId="101" fillId="0" borderId="94" xfId="173" applyFont="1" applyBorder="1" applyAlignment="1">
      <alignment horizontal="center" vertical="center"/>
    </xf>
    <xf numFmtId="0" fontId="40" fillId="0" borderId="0" xfId="0" applyFont="1" applyAlignment="1">
      <alignment horizontal="left" wrapText="1"/>
    </xf>
    <xf numFmtId="0" fontId="104" fillId="0" borderId="246" xfId="0" applyFont="1" applyBorder="1" applyAlignment="1">
      <alignment horizontal="center" vertical="center"/>
    </xf>
    <xf numFmtId="0" fontId="50" fillId="0" borderId="0" xfId="0" applyFont="1" applyAlignment="1">
      <alignment horizontal="left" vertical="center" wrapText="1"/>
    </xf>
    <xf numFmtId="0" fontId="50" fillId="0" borderId="0" xfId="0" applyFont="1" applyAlignment="1">
      <alignment horizontal="left" wrapText="1"/>
    </xf>
    <xf numFmtId="0" fontId="76" fillId="0" borderId="0" xfId="0" applyFont="1" applyAlignment="1">
      <alignment horizontal="left" vertical="center" wrapText="1"/>
    </xf>
    <xf numFmtId="0" fontId="104" fillId="0" borderId="132" xfId="0" applyFont="1" applyBorder="1" applyAlignment="1">
      <alignment horizontal="center" vertical="center"/>
    </xf>
    <xf numFmtId="0" fontId="124" fillId="0" borderId="16" xfId="238" applyFont="1" applyBorder="1" applyAlignment="1">
      <alignment horizontal="center" vertical="center"/>
    </xf>
    <xf numFmtId="0" fontId="74" fillId="0" borderId="118" xfId="456" applyFont="1" applyBorder="1" applyAlignment="1">
      <alignment horizontal="center" vertical="center"/>
    </xf>
    <xf numFmtId="0" fontId="74" fillId="0" borderId="262" xfId="456" applyFont="1" applyBorder="1" applyAlignment="1">
      <alignment horizontal="center" vertical="center"/>
    </xf>
    <xf numFmtId="0" fontId="74" fillId="0" borderId="13" xfId="456" applyFont="1" applyBorder="1" applyAlignment="1">
      <alignment horizontal="center" vertical="center"/>
    </xf>
    <xf numFmtId="0" fontId="138" fillId="20" borderId="276" xfId="456" applyFont="1" applyFill="1" applyBorder="1" applyAlignment="1">
      <alignment horizontal="center" vertical="center"/>
    </xf>
    <xf numFmtId="0" fontId="138" fillId="20" borderId="289" xfId="456" applyFont="1" applyFill="1" applyBorder="1" applyAlignment="1">
      <alignment horizontal="center" vertical="center"/>
    </xf>
    <xf numFmtId="0" fontId="74" fillId="0" borderId="266" xfId="456" applyFont="1" applyBorder="1" applyAlignment="1">
      <alignment horizontal="center" vertical="center"/>
    </xf>
    <xf numFmtId="0" fontId="74" fillId="0" borderId="267" xfId="456" applyFont="1" applyBorder="1" applyAlignment="1">
      <alignment horizontal="center" vertical="center"/>
    </xf>
    <xf numFmtId="0" fontId="74" fillId="0" borderId="275" xfId="456" applyFont="1" applyBorder="1" applyAlignment="1">
      <alignment horizontal="center" vertical="center"/>
    </xf>
    <xf numFmtId="0" fontId="74" fillId="0" borderId="50" xfId="456" applyFont="1" applyBorder="1" applyAlignment="1">
      <alignment horizontal="center" vertical="center"/>
    </xf>
    <xf numFmtId="0" fontId="104" fillId="0" borderId="132" xfId="173" applyFont="1" applyBorder="1" applyAlignment="1">
      <alignment horizontal="center" vertical="center" wrapText="1"/>
    </xf>
    <xf numFmtId="0" fontId="49" fillId="0" borderId="0" xfId="0" applyFont="1" applyAlignment="1">
      <alignment horizontal="left" vertical="center" wrapText="1"/>
    </xf>
    <xf numFmtId="0" fontId="40" fillId="0" borderId="0" xfId="0" applyFont="1" applyAlignment="1">
      <alignment horizontal="left" vertical="center" wrapText="1"/>
    </xf>
    <xf numFmtId="0" fontId="43" fillId="0" borderId="0" xfId="0" applyFont="1" applyAlignment="1">
      <alignment horizontal="left" vertical="center" wrapText="1"/>
    </xf>
    <xf numFmtId="0" fontId="104" fillId="0" borderId="246" xfId="173" applyFont="1" applyBorder="1" applyAlignment="1">
      <alignment horizontal="center" vertical="center" wrapText="1"/>
    </xf>
    <xf numFmtId="0" fontId="138" fillId="20" borderId="288" xfId="457" applyFont="1" applyFill="1" applyBorder="1" applyAlignment="1">
      <alignment horizontal="center" vertical="center"/>
    </xf>
    <xf numFmtId="0" fontId="138" fillId="20" borderId="289" xfId="457" applyFont="1" applyFill="1" applyBorder="1" applyAlignment="1">
      <alignment horizontal="center" vertical="center"/>
    </xf>
    <xf numFmtId="0" fontId="74" fillId="0" borderId="118" xfId="457" applyFont="1" applyBorder="1" applyAlignment="1">
      <alignment horizontal="center" vertical="center"/>
    </xf>
    <xf numFmtId="0" fontId="74" fillId="0" borderId="50" xfId="457" applyFont="1" applyBorder="1" applyAlignment="1">
      <alignment horizontal="center" vertical="center"/>
    </xf>
    <xf numFmtId="0" fontId="74" fillId="0" borderId="13" xfId="457" applyFont="1" applyBorder="1" applyAlignment="1">
      <alignment horizontal="center" vertical="center"/>
    </xf>
    <xf numFmtId="0" fontId="74" fillId="0" borderId="262" xfId="457" applyFont="1" applyBorder="1" applyAlignment="1">
      <alignment horizontal="center" vertical="center"/>
    </xf>
    <xf numFmtId="0" fontId="74" fillId="0" borderId="198" xfId="457" applyFont="1" applyBorder="1" applyAlignment="1">
      <alignment horizontal="center" vertical="center"/>
    </xf>
    <xf numFmtId="0" fontId="74" fillId="0" borderId="15" xfId="457" applyFont="1" applyBorder="1" applyAlignment="1">
      <alignment horizontal="center" vertical="center"/>
    </xf>
    <xf numFmtId="0" fontId="51" fillId="0" borderId="0" xfId="0" applyFont="1" applyAlignment="1">
      <alignment horizontal="left" vertical="center" wrapText="1"/>
    </xf>
    <xf numFmtId="0" fontId="53" fillId="0" borderId="0" xfId="0" applyFont="1" applyAlignment="1">
      <alignment horizontal="left" vertical="center" wrapText="1"/>
    </xf>
    <xf numFmtId="0" fontId="44" fillId="0" borderId="272" xfId="0" applyFont="1" applyBorder="1" applyAlignment="1">
      <alignment horizontal="center" vertical="center"/>
    </xf>
    <xf numFmtId="0" fontId="44" fillId="0" borderId="262" xfId="0" applyFont="1" applyBorder="1" applyAlignment="1">
      <alignment horizontal="center" vertical="center"/>
    </xf>
    <xf numFmtId="0" fontId="44" fillId="0" borderId="267" xfId="0" applyFont="1" applyBorder="1" applyAlignment="1">
      <alignment horizontal="center" vertical="center"/>
    </xf>
    <xf numFmtId="0" fontId="44" fillId="0" borderId="272" xfId="0" applyFont="1" applyBorder="1" applyAlignment="1">
      <alignment horizontal="center" vertical="center" wrapText="1"/>
    </xf>
    <xf numFmtId="0" fontId="44" fillId="0" borderId="262" xfId="0" applyFont="1" applyBorder="1" applyAlignment="1">
      <alignment horizontal="center" vertical="center" wrapText="1"/>
    </xf>
    <xf numFmtId="0" fontId="44" fillId="0" borderId="267" xfId="0" applyFont="1" applyBorder="1" applyAlignment="1">
      <alignment horizontal="center" vertical="center" wrapText="1"/>
    </xf>
    <xf numFmtId="0" fontId="40" fillId="44" borderId="258" xfId="0" applyFont="1" applyFill="1" applyBorder="1" applyAlignment="1">
      <alignment horizontal="center"/>
    </xf>
    <xf numFmtId="0" fontId="40" fillId="0" borderId="258" xfId="0" applyFont="1" applyBorder="1" applyAlignment="1">
      <alignment horizontal="center"/>
    </xf>
    <xf numFmtId="0" fontId="45" fillId="0" borderId="257" xfId="0" applyFont="1" applyBorder="1" applyAlignment="1">
      <alignment horizontal="center"/>
    </xf>
    <xf numFmtId="0" fontId="45" fillId="0" borderId="256" xfId="0" applyFont="1" applyBorder="1" applyAlignment="1">
      <alignment horizontal="center"/>
    </xf>
    <xf numFmtId="0" fontId="125" fillId="0" borderId="195" xfId="0" applyFont="1" applyBorder="1" applyAlignment="1">
      <alignment horizontal="center" vertical="center" wrapText="1"/>
    </xf>
    <xf numFmtId="0" fontId="125" fillId="0" borderId="196" xfId="0" applyFont="1" applyBorder="1" applyAlignment="1">
      <alignment horizontal="center" vertical="center" wrapText="1"/>
    </xf>
    <xf numFmtId="0" fontId="125" fillId="0" borderId="197" xfId="0" applyFont="1" applyBorder="1" applyAlignment="1">
      <alignment horizontal="center" vertical="center" wrapText="1"/>
    </xf>
    <xf numFmtId="0" fontId="27" fillId="0" borderId="0" xfId="0" applyFont="1" applyAlignment="1">
      <alignment horizontal="left" vertical="center" wrapText="1"/>
    </xf>
    <xf numFmtId="0" fontId="57" fillId="0" borderId="0" xfId="0" applyFont="1" applyAlignment="1">
      <alignment horizontal="left" vertical="center" wrapText="1"/>
    </xf>
    <xf numFmtId="0" fontId="64" fillId="35" borderId="123" xfId="0" applyFont="1" applyFill="1" applyBorder="1" applyAlignment="1">
      <alignment horizontal="center" vertical="center" wrapText="1"/>
    </xf>
    <xf numFmtId="0" fontId="83" fillId="20" borderId="122" xfId="0" applyFont="1" applyFill="1" applyBorder="1" applyAlignment="1">
      <alignment horizontal="center" vertical="center" wrapText="1"/>
    </xf>
    <xf numFmtId="0" fontId="181" fillId="0" borderId="123" xfId="0" applyFont="1" applyBorder="1" applyAlignment="1">
      <alignment horizontal="center" vertical="center"/>
    </xf>
    <xf numFmtId="0" fontId="181" fillId="0" borderId="125" xfId="0" applyFont="1" applyBorder="1" applyAlignment="1">
      <alignment horizontal="center" vertical="center"/>
    </xf>
    <xf numFmtId="0" fontId="181" fillId="0" borderId="124" xfId="0" applyFont="1" applyBorder="1" applyAlignment="1">
      <alignment horizontal="center" vertical="center"/>
    </xf>
    <xf numFmtId="0" fontId="2" fillId="0" borderId="0" xfId="0" applyFont="1" applyAlignment="1">
      <alignment horizontal="center"/>
    </xf>
    <xf numFmtId="0" fontId="40" fillId="0" borderId="195" xfId="0" applyFont="1" applyBorder="1" applyAlignment="1">
      <alignment horizontal="center" vertical="center"/>
    </xf>
    <xf numFmtId="0" fontId="40" fillId="0" borderId="196" xfId="0" applyFont="1" applyBorder="1" applyAlignment="1">
      <alignment horizontal="center" vertical="center"/>
    </xf>
    <xf numFmtId="0" fontId="40" fillId="0" borderId="197" xfId="0" applyFont="1" applyBorder="1" applyAlignment="1">
      <alignment horizontal="center" vertical="center"/>
    </xf>
    <xf numFmtId="0" fontId="125" fillId="0" borderId="195" xfId="0" applyFont="1" applyBorder="1" applyAlignment="1">
      <alignment horizontal="center" vertical="center"/>
    </xf>
    <xf numFmtId="0" fontId="125" fillId="0" borderId="197" xfId="0" applyFont="1" applyBorder="1" applyAlignment="1">
      <alignment horizontal="center" vertical="center"/>
    </xf>
    <xf numFmtId="0" fontId="125" fillId="20" borderId="195" xfId="0" applyFont="1" applyFill="1" applyBorder="1" applyAlignment="1">
      <alignment horizontal="center" vertical="center"/>
    </xf>
    <xf numFmtId="0" fontId="125" fillId="20" borderId="196" xfId="0" applyFont="1" applyFill="1" applyBorder="1" applyAlignment="1">
      <alignment horizontal="center" vertical="center"/>
    </xf>
    <xf numFmtId="0" fontId="125" fillId="20" borderId="197" xfId="0" applyFont="1" applyFill="1" applyBorder="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vertical="top" wrapText="1"/>
    </xf>
    <xf numFmtId="0" fontId="45" fillId="0" borderId="257" xfId="0" applyFont="1" applyBorder="1" applyAlignment="1">
      <alignment horizontal="center" vertical="center"/>
    </xf>
    <xf numFmtId="0" fontId="45" fillId="0" borderId="248" xfId="0" applyFont="1" applyBorder="1" applyAlignment="1">
      <alignment horizontal="center" vertical="center"/>
    </xf>
    <xf numFmtId="0" fontId="45" fillId="0" borderId="256" xfId="0" applyFont="1" applyBorder="1" applyAlignment="1">
      <alignment horizontal="center" vertical="center"/>
    </xf>
    <xf numFmtId="0" fontId="83" fillId="35" borderId="258" xfId="0" applyFont="1" applyFill="1" applyBorder="1" applyAlignment="1">
      <alignment horizontal="center" vertical="top" wrapText="1"/>
    </xf>
    <xf numFmtId="0" fontId="83" fillId="44" borderId="257" xfId="0" applyFont="1" applyFill="1" applyBorder="1" applyAlignment="1">
      <alignment horizontal="center" vertical="center" wrapText="1"/>
    </xf>
    <xf numFmtId="0" fontId="83" fillId="44" borderId="256" xfId="0" applyFont="1" applyFill="1" applyBorder="1" applyAlignment="1">
      <alignment horizontal="center" vertical="center" wrapText="1"/>
    </xf>
    <xf numFmtId="183" fontId="57" fillId="0" borderId="0" xfId="821" applyNumberFormat="1" applyFont="1" applyAlignment="1">
      <alignment horizontal="left" vertical="center" wrapText="1"/>
    </xf>
    <xf numFmtId="0" fontId="157" fillId="0" borderId="257" xfId="0" applyFont="1" applyBorder="1" applyAlignment="1">
      <alignment horizontal="center"/>
    </xf>
    <xf numFmtId="0" fontId="157" fillId="0" borderId="256" xfId="0" applyFont="1" applyBorder="1" applyAlignment="1">
      <alignment horizontal="center"/>
    </xf>
    <xf numFmtId="0" fontId="157" fillId="0" borderId="0" xfId="0" applyFont="1" applyAlignment="1">
      <alignment horizontal="left" vertical="center" wrapText="1"/>
    </xf>
    <xf numFmtId="0" fontId="262" fillId="0" borderId="0" xfId="0" applyFont="1" applyAlignment="1">
      <alignment horizontal="left" vertical="center" wrapText="1"/>
    </xf>
    <xf numFmtId="0" fontId="0" fillId="0" borderId="0" xfId="0"/>
    <xf numFmtId="0" fontId="166" fillId="0" borderId="0" xfId="0" applyFont="1" applyAlignment="1">
      <alignment horizontal="left" vertical="center" wrapText="1"/>
    </xf>
    <xf numFmtId="0" fontId="166" fillId="44" borderId="287" xfId="0" applyFont="1" applyFill="1" applyBorder="1" applyAlignment="1">
      <alignment horizontal="center"/>
    </xf>
    <xf numFmtId="0" fontId="166" fillId="0" borderId="287" xfId="0" applyFont="1" applyBorder="1" applyAlignment="1">
      <alignment horizontal="center"/>
    </xf>
    <xf numFmtId="0" fontId="32" fillId="0" borderId="287" xfId="0" applyFont="1" applyBorder="1" applyAlignment="1">
      <alignment horizontal="center" vertical="center" wrapText="1"/>
    </xf>
    <xf numFmtId="0" fontId="32" fillId="0" borderId="289" xfId="0" applyFont="1" applyBorder="1" applyAlignment="1">
      <alignment horizontal="center" vertical="center" wrapText="1"/>
    </xf>
    <xf numFmtId="0" fontId="32" fillId="0" borderId="287" xfId="0" applyFont="1" applyBorder="1" applyAlignment="1">
      <alignment horizontal="center" vertical="center"/>
    </xf>
    <xf numFmtId="0" fontId="166" fillId="0" borderId="287" xfId="2462" applyFont="1" applyBorder="1" applyAlignment="1">
      <alignment horizontal="center"/>
    </xf>
    <xf numFmtId="0" fontId="40" fillId="44" borderId="273" xfId="0" applyFont="1" applyFill="1" applyBorder="1" applyAlignment="1">
      <alignment horizontal="center"/>
    </xf>
    <xf numFmtId="0" fontId="40" fillId="44" borderId="277" xfId="0" applyFont="1" applyFill="1" applyBorder="1" applyAlignment="1">
      <alignment horizontal="center"/>
    </xf>
    <xf numFmtId="0" fontId="40" fillId="0" borderId="273" xfId="0" applyFont="1" applyBorder="1" applyAlignment="1">
      <alignment horizontal="center"/>
    </xf>
    <xf numFmtId="0" fontId="40" fillId="0" borderId="276" xfId="0" applyFont="1" applyBorder="1" applyAlignment="1">
      <alignment horizontal="center"/>
    </xf>
    <xf numFmtId="0" fontId="40" fillId="0" borderId="277" xfId="0" applyFont="1" applyBorder="1" applyAlignment="1">
      <alignment horizontal="center"/>
    </xf>
    <xf numFmtId="0" fontId="138" fillId="0" borderId="273" xfId="238" applyFont="1" applyBorder="1" applyAlignment="1">
      <alignment horizontal="center" vertical="center"/>
    </xf>
    <xf numFmtId="0" fontId="138" fillId="0" borderId="277" xfId="238" applyFont="1" applyBorder="1" applyAlignment="1">
      <alignment horizontal="center" vertical="center"/>
    </xf>
    <xf numFmtId="2" fontId="181" fillId="0" borderId="273" xfId="825" applyNumberFormat="1" applyFont="1" applyBorder="1" applyAlignment="1">
      <alignment horizontal="center" vertical="center"/>
    </xf>
    <xf numFmtId="2" fontId="181" fillId="0" borderId="276" xfId="825" applyNumberFormat="1" applyFont="1" applyBorder="1" applyAlignment="1">
      <alignment horizontal="center" vertical="center"/>
    </xf>
    <xf numFmtId="2" fontId="181" fillId="0" borderId="277" xfId="825" applyNumberFormat="1" applyFont="1" applyBorder="1" applyAlignment="1">
      <alignment horizontal="center" vertical="center"/>
    </xf>
    <xf numFmtId="0" fontId="138" fillId="20" borderId="275" xfId="238" applyFont="1" applyFill="1" applyBorder="1" applyAlignment="1">
      <alignment horizontal="center" vertical="center"/>
    </xf>
    <xf numFmtId="0" fontId="138" fillId="20" borderId="267" xfId="238" applyFont="1" applyFill="1" applyBorder="1" applyAlignment="1">
      <alignment horizontal="center" vertical="center"/>
    </xf>
    <xf numFmtId="0" fontId="138" fillId="20" borderId="275" xfId="238" applyFont="1" applyFill="1" applyBorder="1" applyAlignment="1">
      <alignment horizontal="center" vertical="center" wrapText="1"/>
    </xf>
    <xf numFmtId="0" fontId="138" fillId="20" borderId="267" xfId="238" applyFont="1" applyFill="1" applyBorder="1" applyAlignment="1">
      <alignment horizontal="center" vertical="center" wrapText="1"/>
    </xf>
    <xf numFmtId="0" fontId="138" fillId="0" borderId="275" xfId="238" applyFont="1" applyBorder="1" applyAlignment="1">
      <alignment horizontal="center" vertical="top"/>
    </xf>
    <xf numFmtId="0" fontId="138" fillId="0" borderId="262" xfId="238" applyFont="1" applyBorder="1" applyAlignment="1">
      <alignment horizontal="center" vertical="top"/>
    </xf>
    <xf numFmtId="0" fontId="138" fillId="0" borderId="267" xfId="238" applyFont="1" applyBorder="1" applyAlignment="1">
      <alignment horizontal="center" vertical="top"/>
    </xf>
    <xf numFmtId="0" fontId="74" fillId="0" borderId="275" xfId="238" applyFont="1" applyBorder="1" applyAlignment="1">
      <alignment horizontal="center" vertical="center" wrapText="1"/>
    </xf>
    <xf numFmtId="0" fontId="74" fillId="0" borderId="267" xfId="238" applyFont="1" applyBorder="1" applyAlignment="1">
      <alignment horizontal="center" vertical="center" wrapText="1"/>
    </xf>
    <xf numFmtId="0" fontId="74" fillId="0" borderId="262" xfId="238" applyFont="1" applyBorder="1" applyAlignment="1">
      <alignment horizontal="center" vertical="center" wrapText="1"/>
    </xf>
    <xf numFmtId="0" fontId="74" fillId="0" borderId="275" xfId="238" applyFont="1" applyBorder="1" applyAlignment="1">
      <alignment horizontal="center" vertical="center"/>
    </xf>
    <xf numFmtId="0" fontId="74" fillId="0" borderId="267" xfId="238" applyFont="1" applyBorder="1" applyAlignment="1">
      <alignment horizontal="center" vertical="center"/>
    </xf>
    <xf numFmtId="0" fontId="74" fillId="0" borderId="262" xfId="238" applyFont="1" applyBorder="1" applyAlignment="1">
      <alignment horizontal="center" vertical="center"/>
    </xf>
    <xf numFmtId="0" fontId="157" fillId="0" borderId="258" xfId="0" applyFont="1" applyBorder="1" applyAlignment="1">
      <alignment horizontal="center" vertical="center"/>
    </xf>
    <xf numFmtId="0" fontId="157" fillId="20" borderId="258" xfId="825" applyFont="1" applyFill="1" applyBorder="1" applyAlignment="1">
      <alignment horizontal="center" vertical="center"/>
    </xf>
    <xf numFmtId="0" fontId="52" fillId="0" borderId="0" xfId="825" applyAlignment="1">
      <alignment horizontal="left" vertical="center" wrapText="1"/>
    </xf>
    <xf numFmtId="2" fontId="157" fillId="20" borderId="257" xfId="825" applyNumberFormat="1" applyFont="1" applyFill="1" applyBorder="1" applyAlignment="1">
      <alignment horizontal="left"/>
    </xf>
    <xf numFmtId="2" fontId="157" fillId="20" borderId="248" xfId="825" applyNumberFormat="1" applyFont="1" applyFill="1" applyBorder="1" applyAlignment="1">
      <alignment horizontal="left"/>
    </xf>
    <xf numFmtId="2" fontId="157" fillId="20" borderId="256" xfId="825" applyNumberFormat="1" applyFont="1" applyFill="1" applyBorder="1" applyAlignment="1">
      <alignment horizontal="left"/>
    </xf>
    <xf numFmtId="0" fontId="44" fillId="0" borderId="0" xfId="825" applyFont="1" applyAlignment="1">
      <alignment horizontal="center" vertical="center" wrapText="1"/>
    </xf>
    <xf numFmtId="0" fontId="157" fillId="20" borderId="266" xfId="825" applyFont="1" applyFill="1" applyBorder="1" applyAlignment="1">
      <alignment horizontal="center" vertical="center" wrapText="1"/>
    </xf>
    <xf numFmtId="0" fontId="157" fillId="20" borderId="267" xfId="825" applyFont="1" applyFill="1" applyBorder="1" applyAlignment="1">
      <alignment horizontal="center" vertical="center" wrapText="1"/>
    </xf>
    <xf numFmtId="2" fontId="157" fillId="20" borderId="266" xfId="825" applyNumberFormat="1" applyFont="1" applyFill="1" applyBorder="1" applyAlignment="1">
      <alignment horizontal="center" vertical="center" wrapText="1"/>
    </xf>
    <xf numFmtId="2" fontId="157" fillId="20" borderId="267" xfId="825" applyNumberFormat="1" applyFont="1" applyFill="1" applyBorder="1" applyAlignment="1">
      <alignment horizontal="center" vertical="center" wrapText="1"/>
    </xf>
    <xf numFmtId="0" fontId="157" fillId="20" borderId="258" xfId="825" applyFont="1" applyFill="1" applyBorder="1" applyAlignment="1">
      <alignment horizontal="center"/>
    </xf>
    <xf numFmtId="0" fontId="45" fillId="0" borderId="0" xfId="0" applyFont="1" applyAlignment="1">
      <alignment horizontal="left" vertical="center" wrapText="1"/>
    </xf>
    <xf numFmtId="0" fontId="125" fillId="0" borderId="146" xfId="639" applyFont="1" applyBorder="1" applyAlignment="1">
      <alignment horizontal="center"/>
    </xf>
    <xf numFmtId="0" fontId="67" fillId="0" borderId="0" xfId="825" applyFont="1" applyAlignment="1">
      <alignment horizontal="left" vertical="center" wrapText="1"/>
    </xf>
    <xf numFmtId="0" fontId="45" fillId="20" borderId="258" xfId="0" applyFont="1" applyFill="1" applyBorder="1" applyAlignment="1">
      <alignment horizontal="center" vertical="center" wrapText="1"/>
    </xf>
    <xf numFmtId="0" fontId="157" fillId="0" borderId="258" xfId="825" applyFont="1" applyBorder="1" applyAlignment="1">
      <alignment horizontal="center" vertical="center"/>
    </xf>
    <xf numFmtId="0" fontId="157" fillId="0" borderId="266" xfId="0" applyFont="1" applyBorder="1" applyAlignment="1">
      <alignment horizontal="center" vertical="center"/>
    </xf>
    <xf numFmtId="0" fontId="157" fillId="0" borderId="262" xfId="0" applyFont="1" applyBorder="1" applyAlignment="1">
      <alignment horizontal="center" vertical="center"/>
    </xf>
    <xf numFmtId="0" fontId="157" fillId="0" borderId="267" xfId="0" applyFont="1" applyBorder="1" applyAlignment="1">
      <alignment horizontal="center" vertical="center"/>
    </xf>
    <xf numFmtId="2" fontId="125" fillId="0" borderId="195" xfId="639" applyNumberFormat="1" applyFont="1" applyBorder="1" applyAlignment="1">
      <alignment horizontal="center"/>
    </xf>
    <xf numFmtId="2" fontId="125" fillId="0" borderId="196" xfId="639" applyNumberFormat="1" applyFont="1" applyBorder="1" applyAlignment="1">
      <alignment horizontal="center"/>
    </xf>
    <xf numFmtId="2" fontId="125" fillId="0" borderId="197" xfId="639" applyNumberFormat="1" applyFont="1" applyBorder="1" applyAlignment="1">
      <alignment horizontal="center"/>
    </xf>
    <xf numFmtId="0" fontId="40" fillId="0" borderId="287" xfId="0" applyFont="1" applyBorder="1" applyAlignment="1">
      <alignment horizontal="center"/>
    </xf>
    <xf numFmtId="0" fontId="32" fillId="0" borderId="287" xfId="239" applyFont="1" applyBorder="1" applyAlignment="1">
      <alignment horizontal="center" vertical="center"/>
    </xf>
    <xf numFmtId="0" fontId="32" fillId="0" borderId="287" xfId="239" applyFont="1" applyBorder="1" applyAlignment="1">
      <alignment horizontal="center" vertical="center" wrapText="1"/>
    </xf>
    <xf numFmtId="0" fontId="40" fillId="44" borderId="287" xfId="0" applyFont="1" applyFill="1" applyBorder="1" applyAlignment="1">
      <alignment horizontal="center"/>
    </xf>
    <xf numFmtId="0" fontId="166" fillId="0" borderId="288" xfId="0" applyFont="1" applyBorder="1" applyAlignment="1">
      <alignment horizontal="center"/>
    </xf>
    <xf numFmtId="0" fontId="166" fillId="0" borderId="276" xfId="0" applyFont="1" applyBorder="1" applyAlignment="1">
      <alignment horizontal="center"/>
    </xf>
    <xf numFmtId="0" fontId="166" fillId="0" borderId="289" xfId="0" applyFont="1" applyBorder="1" applyAlignment="1">
      <alignment horizontal="center"/>
    </xf>
    <xf numFmtId="0" fontId="2" fillId="0" borderId="0" xfId="142" applyFont="1" applyAlignment="1">
      <alignment horizontal="center"/>
    </xf>
    <xf numFmtId="0" fontId="1" fillId="0" borderId="0" xfId="142" applyFont="1" applyAlignment="1">
      <alignment horizontal="center" vertical="top"/>
    </xf>
    <xf numFmtId="0" fontId="81" fillId="0" borderId="0" xfId="142" applyFont="1" applyAlignment="1">
      <alignment horizontal="center" vertical="center" wrapText="1"/>
    </xf>
    <xf numFmtId="0" fontId="81" fillId="0" borderId="16" xfId="142" applyFont="1" applyBorder="1" applyAlignment="1">
      <alignment horizontal="center" vertical="center" wrapText="1"/>
    </xf>
    <xf numFmtId="0" fontId="81" fillId="0" borderId="254" xfId="576" applyFont="1" applyBorder="1" applyAlignment="1">
      <alignment horizontal="center"/>
    </xf>
    <xf numFmtId="0" fontId="0" fillId="0" borderId="254" xfId="576" applyFont="1" applyBorder="1" applyAlignment="1">
      <alignment horizontal="center" vertical="center"/>
    </xf>
    <xf numFmtId="0" fontId="55" fillId="0" borderId="254" xfId="576" applyFont="1" applyBorder="1" applyAlignment="1">
      <alignment horizontal="center" vertical="center" wrapText="1"/>
    </xf>
    <xf numFmtId="0" fontId="42" fillId="0" borderId="231" xfId="0" applyFont="1" applyBorder="1" applyAlignment="1">
      <alignment horizontal="center" vertical="center" wrapText="1"/>
    </xf>
    <xf numFmtId="0" fontId="42" fillId="0" borderId="312" xfId="0" applyFont="1" applyBorder="1" applyAlignment="1">
      <alignment horizontal="center" vertical="center" wrapText="1"/>
    </xf>
    <xf numFmtId="0" fontId="88" fillId="0" borderId="0" xfId="0" applyFont="1" applyAlignment="1">
      <alignment horizontal="right" vertical="center" wrapText="1"/>
    </xf>
    <xf numFmtId="0" fontId="42" fillId="0" borderId="234" xfId="0" applyFont="1" applyBorder="1" applyAlignment="1">
      <alignment horizontal="center" vertical="center" wrapText="1"/>
    </xf>
    <xf numFmtId="0" fontId="42" fillId="0" borderId="220" xfId="0" applyFont="1" applyBorder="1" applyAlignment="1">
      <alignment horizontal="center" vertical="center" wrapText="1"/>
    </xf>
    <xf numFmtId="0" fontId="42" fillId="0" borderId="226" xfId="0" applyFont="1" applyBorder="1" applyAlignment="1">
      <alignment horizontal="center" vertical="center" wrapText="1"/>
    </xf>
    <xf numFmtId="0" fontId="42" fillId="56" borderId="312" xfId="0" applyFont="1" applyFill="1" applyBorder="1" applyAlignment="1">
      <alignment horizontal="center" vertical="center" wrapText="1"/>
    </xf>
    <xf numFmtId="0" fontId="42" fillId="56" borderId="317" xfId="0" applyFont="1" applyFill="1" applyBorder="1" applyAlignment="1">
      <alignment horizontal="center" vertical="center" wrapText="1"/>
    </xf>
    <xf numFmtId="0" fontId="42" fillId="56" borderId="227" xfId="0" applyFont="1" applyFill="1" applyBorder="1" applyAlignment="1">
      <alignment horizontal="center" vertical="center" wrapText="1"/>
    </xf>
    <xf numFmtId="0" fontId="42" fillId="56" borderId="231" xfId="0" applyFont="1" applyFill="1" applyBorder="1" applyAlignment="1">
      <alignment horizontal="center" vertical="center" wrapText="1"/>
    </xf>
    <xf numFmtId="0" fontId="42" fillId="0" borderId="219" xfId="0" applyFont="1" applyBorder="1" applyAlignment="1">
      <alignment horizontal="center" vertical="center" wrapText="1"/>
    </xf>
    <xf numFmtId="0" fontId="42" fillId="0" borderId="227" xfId="0" applyFont="1" applyBorder="1" applyAlignment="1">
      <alignment horizontal="center" vertical="center" wrapText="1"/>
    </xf>
    <xf numFmtId="0" fontId="42" fillId="0" borderId="317" xfId="0" applyFont="1" applyBorder="1" applyAlignment="1">
      <alignment horizontal="center" vertical="center" wrapText="1"/>
    </xf>
    <xf numFmtId="0" fontId="61" fillId="0" borderId="0" xfId="3789" applyFont="1" applyAlignment="1">
      <alignment horizontal="right" vertical="center" wrapText="1"/>
    </xf>
    <xf numFmtId="0" fontId="42" fillId="34" borderId="313" xfId="3789" applyFont="1" applyFill="1" applyBorder="1" applyAlignment="1">
      <alignment horizontal="center" vertical="center" wrapText="1"/>
    </xf>
    <xf numFmtId="0" fontId="42" fillId="34" borderId="224" xfId="3789" applyFont="1" applyFill="1" applyBorder="1" applyAlignment="1">
      <alignment horizontal="center" vertical="center" wrapText="1"/>
    </xf>
    <xf numFmtId="0" fontId="42" fillId="0" borderId="234" xfId="3789" applyFont="1" applyBorder="1" applyAlignment="1">
      <alignment horizontal="center" vertical="center" wrapText="1"/>
    </xf>
    <xf numFmtId="0" fontId="42" fillId="0" borderId="220" xfId="3789" applyFont="1" applyBorder="1" applyAlignment="1">
      <alignment horizontal="center" vertical="center" wrapText="1"/>
    </xf>
    <xf numFmtId="0" fontId="42" fillId="0" borderId="226" xfId="3789" applyFont="1" applyBorder="1" applyAlignment="1">
      <alignment horizontal="center" vertical="center" wrapText="1"/>
    </xf>
    <xf numFmtId="0" fontId="42" fillId="0" borderId="290" xfId="3789" applyFont="1" applyBorder="1" applyAlignment="1">
      <alignment horizontal="center" vertical="center" wrapText="1"/>
    </xf>
    <xf numFmtId="0" fontId="42" fillId="0" borderId="224" xfId="3789" applyFont="1" applyBorder="1" applyAlignment="1">
      <alignment horizontal="center" vertical="center" wrapText="1"/>
    </xf>
    <xf numFmtId="0" fontId="42" fillId="34" borderId="293" xfId="3789" applyFont="1" applyFill="1" applyBorder="1" applyAlignment="1">
      <alignment horizontal="center" vertical="center" wrapText="1"/>
    </xf>
    <xf numFmtId="0" fontId="223" fillId="0" borderId="0" xfId="142" applyFont="1" applyAlignment="1">
      <alignment horizontal="center"/>
    </xf>
    <xf numFmtId="0" fontId="81" fillId="0" borderId="254" xfId="142" applyFont="1" applyBorder="1" applyAlignment="1">
      <alignment horizontal="center" vertical="center"/>
    </xf>
    <xf numFmtId="0" fontId="105" fillId="0" borderId="254" xfId="142" applyFont="1" applyBorder="1" applyAlignment="1">
      <alignment horizontal="center" vertical="center"/>
    </xf>
    <xf numFmtId="0" fontId="40" fillId="0" borderId="254" xfId="142" applyFont="1" applyBorder="1" applyAlignment="1">
      <alignment horizontal="center"/>
    </xf>
    <xf numFmtId="0" fontId="42" fillId="0" borderId="322" xfId="3789" applyFont="1" applyBorder="1" applyAlignment="1">
      <alignment horizontal="center" vertical="center" wrapText="1"/>
    </xf>
    <xf numFmtId="0" fontId="42" fillId="0" borderId="227" xfId="3789" applyFont="1" applyBorder="1" applyAlignment="1">
      <alignment horizontal="center" vertical="center" wrapText="1"/>
    </xf>
    <xf numFmtId="0" fontId="42" fillId="0" borderId="231" xfId="3789" applyFont="1" applyBorder="1" applyAlignment="1">
      <alignment horizontal="center" vertical="center" wrapText="1"/>
    </xf>
    <xf numFmtId="0" fontId="42" fillId="0" borderId="323" xfId="3789" applyFont="1" applyBorder="1" applyAlignment="1">
      <alignment horizontal="center" vertical="center" wrapText="1"/>
    </xf>
    <xf numFmtId="0" fontId="42" fillId="0" borderId="223" xfId="3789" applyFont="1" applyBorder="1" applyAlignment="1">
      <alignment horizontal="center" vertical="center" wrapText="1"/>
    </xf>
    <xf numFmtId="0" fontId="42" fillId="34" borderId="315" xfId="3789" applyFont="1" applyFill="1" applyBorder="1" applyAlignment="1">
      <alignment horizontal="center" vertical="center" wrapText="1"/>
    </xf>
    <xf numFmtId="0" fontId="42" fillId="34" borderId="223" xfId="3789" applyFont="1" applyFill="1" applyBorder="1" applyAlignment="1">
      <alignment horizontal="center" vertical="center" wrapText="1"/>
    </xf>
    <xf numFmtId="0" fontId="42" fillId="34" borderId="295" xfId="3789" applyFont="1" applyFill="1" applyBorder="1" applyAlignment="1">
      <alignment horizontal="center" vertical="center" wrapText="1"/>
    </xf>
    <xf numFmtId="0" fontId="42" fillId="0" borderId="317" xfId="3789" applyFont="1" applyBorder="1" applyAlignment="1">
      <alignment horizontal="center" vertical="center" wrapText="1"/>
    </xf>
    <xf numFmtId="0" fontId="42" fillId="0" borderId="324" xfId="3789" applyFont="1" applyBorder="1" applyAlignment="1">
      <alignment horizontal="center" vertical="center" wrapText="1"/>
    </xf>
    <xf numFmtId="0" fontId="42" fillId="34" borderId="290" xfId="3789" applyFont="1" applyFill="1" applyBorder="1" applyAlignment="1">
      <alignment horizontal="center" vertical="center" wrapText="1"/>
    </xf>
    <xf numFmtId="0" fontId="42" fillId="0" borderId="315" xfId="3789" applyFont="1" applyBorder="1" applyAlignment="1">
      <alignment horizontal="center" vertical="center" wrapText="1"/>
    </xf>
    <xf numFmtId="0" fontId="42" fillId="0" borderId="295" xfId="3789" applyFont="1" applyBorder="1" applyAlignment="1">
      <alignment horizontal="center" vertical="center" wrapText="1"/>
    </xf>
    <xf numFmtId="0" fontId="61" fillId="0" borderId="143" xfId="3789" applyFont="1" applyBorder="1" applyAlignment="1">
      <alignment horizontal="right" vertical="center" wrapText="1"/>
    </xf>
    <xf numFmtId="0" fontId="42" fillId="0" borderId="312" xfId="3789" applyFont="1" applyBorder="1" applyAlignment="1">
      <alignment horizontal="center" vertical="center" wrapText="1"/>
    </xf>
    <xf numFmtId="0" fontId="42" fillId="0" borderId="293" xfId="3789" applyFont="1" applyBorder="1" applyAlignment="1">
      <alignment horizontal="center" vertical="center" wrapText="1"/>
    </xf>
    <xf numFmtId="0" fontId="42" fillId="0" borderId="313" xfId="3789" applyFont="1" applyBorder="1" applyAlignment="1">
      <alignment horizontal="center" vertical="center" wrapText="1"/>
    </xf>
    <xf numFmtId="0" fontId="42" fillId="0" borderId="219" xfId="3789" applyFont="1" applyBorder="1" applyAlignment="1">
      <alignment horizontal="center" vertical="center" wrapText="1"/>
    </xf>
    <xf numFmtId="0" fontId="87" fillId="0" borderId="0" xfId="0" applyFont="1" applyAlignment="1">
      <alignment horizontal="left" vertical="center"/>
    </xf>
    <xf numFmtId="0" fontId="88" fillId="0" borderId="0" xfId="246" applyFont="1" applyAlignment="1">
      <alignment horizontal="center" vertical="center" wrapText="1"/>
    </xf>
    <xf numFmtId="0" fontId="24" fillId="20" borderId="205" xfId="0" applyFont="1" applyFill="1" applyBorder="1" applyAlignment="1">
      <alignment horizontal="center" vertical="center" wrapText="1"/>
    </xf>
    <xf numFmtId="0" fontId="1" fillId="20" borderId="15" xfId="0" applyFont="1" applyFill="1" applyBorder="1" applyAlignment="1">
      <alignment horizontal="center" vertical="center" wrapText="1"/>
    </xf>
    <xf numFmtId="170" fontId="2" fillId="0" borderId="104" xfId="217" applyNumberFormat="1" applyFont="1" applyBorder="1" applyAlignment="1">
      <alignment horizontal="center" vertical="center"/>
    </xf>
    <xf numFmtId="170" fontId="2" fillId="0" borderId="207" xfId="217" applyNumberFormat="1" applyFont="1" applyBorder="1" applyAlignment="1">
      <alignment horizontal="center" vertical="center"/>
    </xf>
    <xf numFmtId="170" fontId="2" fillId="0" borderId="206" xfId="217" applyNumberFormat="1" applyFont="1" applyBorder="1" applyAlignment="1">
      <alignment horizontal="center" vertical="center"/>
    </xf>
    <xf numFmtId="0" fontId="67" fillId="20" borderId="205" xfId="0" applyFont="1" applyFill="1" applyBorder="1" applyAlignment="1">
      <alignment horizontal="center" vertical="center" wrapText="1"/>
    </xf>
    <xf numFmtId="0" fontId="67" fillId="20" borderId="15" xfId="0" applyFont="1" applyFill="1" applyBorder="1" applyAlignment="1">
      <alignment horizontal="center" vertical="center" wrapText="1"/>
    </xf>
    <xf numFmtId="0" fontId="67" fillId="20" borderId="208" xfId="0" applyFont="1" applyFill="1" applyBorder="1" applyAlignment="1">
      <alignment horizontal="center" vertical="center" wrapText="1"/>
    </xf>
    <xf numFmtId="0" fontId="67" fillId="20" borderId="175" xfId="0" applyFont="1" applyFill="1" applyBorder="1" applyAlignment="1">
      <alignment horizontal="center" vertical="center" wrapText="1"/>
    </xf>
    <xf numFmtId="0" fontId="43" fillId="20" borderId="288" xfId="149" applyFont="1" applyFill="1" applyBorder="1" applyAlignment="1">
      <alignment horizontal="center" vertical="center"/>
    </xf>
    <xf numFmtId="0" fontId="43" fillId="20" borderId="289" xfId="149" applyFont="1" applyFill="1" applyBorder="1" applyAlignment="1">
      <alignment horizontal="center" vertical="center"/>
    </xf>
    <xf numFmtId="0" fontId="42" fillId="0" borderId="286" xfId="149" applyFont="1" applyBorder="1" applyAlignment="1">
      <alignment horizontal="center" vertical="center"/>
    </xf>
    <xf numFmtId="0" fontId="42" fillId="0" borderId="262" xfId="149" applyFont="1" applyBorder="1" applyAlignment="1">
      <alignment horizontal="center" vertical="center"/>
    </xf>
    <xf numFmtId="0" fontId="42" fillId="0" borderId="267" xfId="149" applyFont="1" applyBorder="1" applyAlignment="1">
      <alignment horizontal="center" vertical="center"/>
    </xf>
    <xf numFmtId="0" fontId="42" fillId="0" borderId="285" xfId="149" applyFont="1" applyBorder="1" applyAlignment="1">
      <alignment horizontal="center" vertical="center"/>
    </xf>
    <xf numFmtId="0" fontId="42" fillId="0" borderId="10" xfId="149" applyFont="1" applyBorder="1" applyAlignment="1">
      <alignment horizontal="center" vertical="center"/>
    </xf>
    <xf numFmtId="0" fontId="42" fillId="0" borderId="259" xfId="149" applyFont="1" applyBorder="1" applyAlignment="1">
      <alignment horizontal="center" vertical="center"/>
    </xf>
    <xf numFmtId="0" fontId="43" fillId="0" borderId="351" xfId="0" applyFont="1" applyBorder="1" applyAlignment="1">
      <alignment horizontal="center" vertical="center"/>
    </xf>
    <xf numFmtId="1" fontId="41" fillId="0" borderId="351" xfId="173" applyNumberFormat="1" applyFont="1" applyFill="1" applyBorder="1" applyAlignment="1">
      <alignment horizontal="center" vertical="center" wrapText="1"/>
    </xf>
    <xf numFmtId="1" fontId="41" fillId="0" borderId="142" xfId="173" applyNumberFormat="1" applyFont="1" applyFill="1" applyBorder="1" applyAlignment="1">
      <alignment horizontal="center" vertical="center" wrapText="1"/>
    </xf>
    <xf numFmtId="1" fontId="41" fillId="0" borderId="0" xfId="173" applyNumberFormat="1" applyFont="1" applyFill="1" applyBorder="1" applyAlignment="1">
      <alignment horizontal="center" vertical="center" wrapText="1"/>
    </xf>
    <xf numFmtId="1" fontId="41" fillId="0" borderId="16" xfId="173" applyNumberFormat="1" applyFont="1" applyFill="1" applyBorder="1" applyAlignment="1">
      <alignment horizontal="center" vertical="center" wrapText="1"/>
    </xf>
    <xf numFmtId="1" fontId="43" fillId="0" borderId="0" xfId="173" applyNumberFormat="1" applyFont="1" applyFill="1" applyBorder="1" applyAlignment="1">
      <alignment horizontal="center" vertical="center" wrapText="1"/>
    </xf>
    <xf numFmtId="1" fontId="43" fillId="0" borderId="16" xfId="173" applyNumberFormat="1" applyFont="1" applyFill="1" applyBorder="1" applyAlignment="1">
      <alignment horizontal="center" vertical="center" wrapText="1"/>
    </xf>
    <xf numFmtId="0" fontId="61" fillId="0" borderId="212" xfId="229" applyFont="1" applyBorder="1" applyAlignment="1">
      <alignment horizontal="center" vertical="center"/>
    </xf>
    <xf numFmtId="0" fontId="61" fillId="0" borderId="215" xfId="229" applyFont="1" applyBorder="1" applyAlignment="1">
      <alignment horizontal="center" vertical="center"/>
    </xf>
    <xf numFmtId="0" fontId="61" fillId="0" borderId="213" xfId="229" applyFont="1" applyBorder="1" applyAlignment="1">
      <alignment horizontal="center" vertical="center"/>
    </xf>
    <xf numFmtId="167" fontId="61" fillId="0" borderId="211" xfId="197" applyNumberFormat="1" applyFont="1" applyBorder="1" applyAlignment="1">
      <alignment horizontal="center" vertical="center"/>
    </xf>
    <xf numFmtId="0" fontId="90" fillId="0" borderId="212" xfId="229" applyFont="1" applyBorder="1" applyAlignment="1">
      <alignment horizontal="center" vertical="center"/>
    </xf>
    <xf numFmtId="0" fontId="90" fillId="0" borderId="213" xfId="229" applyFont="1" applyBorder="1" applyAlignment="1">
      <alignment horizontal="center" vertical="center"/>
    </xf>
    <xf numFmtId="0" fontId="46" fillId="0" borderId="10" xfId="0" applyFont="1" applyBorder="1" applyAlignment="1">
      <alignment horizontal="left" vertical="center" wrapText="1"/>
    </xf>
    <xf numFmtId="0" fontId="90" fillId="20" borderId="214" xfId="229" applyFont="1" applyFill="1" applyBorder="1" applyAlignment="1">
      <alignment horizontal="center" vertical="center"/>
    </xf>
    <xf numFmtId="0" fontId="90" fillId="20" borderId="15" xfId="229" applyFont="1" applyFill="1" applyBorder="1" applyAlignment="1">
      <alignment horizontal="center" vertical="center"/>
    </xf>
    <xf numFmtId="0" fontId="90" fillId="20" borderId="214" xfId="229" applyFont="1" applyFill="1" applyBorder="1" applyAlignment="1">
      <alignment horizontal="center" vertical="center" wrapText="1"/>
    </xf>
    <xf numFmtId="0" fontId="90" fillId="20" borderId="15" xfId="229" applyFont="1" applyFill="1" applyBorder="1" applyAlignment="1">
      <alignment horizontal="center" vertical="center" wrapText="1"/>
    </xf>
    <xf numFmtId="0" fontId="61" fillId="0" borderId="104" xfId="229" applyFont="1" applyBorder="1" applyAlignment="1">
      <alignment horizontal="center" vertical="center"/>
    </xf>
    <xf numFmtId="0" fontId="61" fillId="0" borderId="207" xfId="229" applyFont="1" applyBorder="1" applyAlignment="1">
      <alignment horizontal="center" vertical="center"/>
    </xf>
    <xf numFmtId="0" fontId="61" fillId="0" borderId="206" xfId="229" applyFont="1" applyBorder="1" applyAlignment="1">
      <alignment horizontal="center" vertical="center"/>
    </xf>
    <xf numFmtId="167" fontId="61" fillId="0" borderId="214" xfId="197" applyNumberFormat="1" applyFont="1" applyBorder="1" applyAlignment="1">
      <alignment horizontal="center" vertical="center" wrapText="1"/>
    </xf>
    <xf numFmtId="167" fontId="61" fillId="0" borderId="13" xfId="197" applyNumberFormat="1" applyFont="1" applyBorder="1" applyAlignment="1">
      <alignment horizontal="center" vertical="center" wrapText="1"/>
    </xf>
    <xf numFmtId="167" fontId="61" fillId="0" borderId="15" xfId="197" applyNumberFormat="1" applyFont="1" applyBorder="1" applyAlignment="1">
      <alignment horizontal="center" vertical="center" wrapText="1"/>
    </xf>
    <xf numFmtId="167" fontId="212" fillId="0" borderId="211" xfId="197" applyNumberFormat="1" applyFont="1" applyBorder="1" applyAlignment="1">
      <alignment horizontal="center" vertical="center" wrapText="1"/>
    </xf>
    <xf numFmtId="167" fontId="61" fillId="0" borderId="214" xfId="197" applyNumberFormat="1" applyFont="1" applyBorder="1" applyAlignment="1">
      <alignment horizontal="center" vertical="center"/>
    </xf>
    <xf numFmtId="167" fontId="61" fillId="0" borderId="13" xfId="197" applyNumberFormat="1" applyFont="1" applyBorder="1" applyAlignment="1">
      <alignment horizontal="center" vertical="center"/>
    </xf>
    <xf numFmtId="167" fontId="61" fillId="0" borderId="15" xfId="197" applyNumberFormat="1" applyFont="1" applyBorder="1" applyAlignment="1">
      <alignment horizontal="center" vertical="center"/>
    </xf>
    <xf numFmtId="0" fontId="211" fillId="0" borderId="212" xfId="229" applyFont="1" applyBorder="1" applyAlignment="1">
      <alignment horizontal="center" vertical="center"/>
    </xf>
    <xf numFmtId="0" fontId="211" fillId="0" borderId="213" xfId="229" applyFont="1" applyBorder="1" applyAlignment="1">
      <alignment horizontal="center" vertical="center"/>
    </xf>
    <xf numFmtId="0" fontId="212" fillId="20" borderId="214" xfId="229" applyFont="1" applyFill="1" applyBorder="1" applyAlignment="1">
      <alignment horizontal="center" vertical="center"/>
    </xf>
    <xf numFmtId="0" fontId="212" fillId="20" borderId="15" xfId="229" applyFont="1" applyFill="1" applyBorder="1" applyAlignment="1">
      <alignment horizontal="center" vertical="center"/>
    </xf>
    <xf numFmtId="0" fontId="212" fillId="20" borderId="214" xfId="229" applyFont="1" applyFill="1" applyBorder="1" applyAlignment="1">
      <alignment horizontal="center" vertical="center" wrapText="1"/>
    </xf>
    <xf numFmtId="0" fontId="212" fillId="20" borderId="15" xfId="229" applyFont="1" applyFill="1" applyBorder="1" applyAlignment="1">
      <alignment horizontal="center" vertical="center" wrapText="1"/>
    </xf>
    <xf numFmtId="0" fontId="210" fillId="0" borderId="212" xfId="229" applyFont="1" applyBorder="1" applyAlignment="1">
      <alignment horizontal="center" vertical="center"/>
    </xf>
    <xf numFmtId="0" fontId="210" fillId="0" borderId="213" xfId="229" applyFont="1" applyBorder="1" applyAlignment="1">
      <alignment horizontal="center" vertical="center"/>
    </xf>
    <xf numFmtId="0" fontId="211" fillId="20" borderId="214" xfId="229" applyFont="1" applyFill="1" applyBorder="1" applyAlignment="1">
      <alignment horizontal="center" vertical="center"/>
    </xf>
    <xf numFmtId="0" fontId="211" fillId="20" borderId="15" xfId="229" applyFont="1" applyFill="1" applyBorder="1" applyAlignment="1">
      <alignment horizontal="center" vertical="center"/>
    </xf>
    <xf numFmtId="0" fontId="211" fillId="20" borderId="214" xfId="229" applyFont="1" applyFill="1" applyBorder="1" applyAlignment="1">
      <alignment horizontal="center" vertical="center" wrapText="1"/>
    </xf>
    <xf numFmtId="0" fontId="211" fillId="20" borderId="15" xfId="229" applyFont="1" applyFill="1" applyBorder="1" applyAlignment="1">
      <alignment horizontal="center" vertical="center" wrapText="1"/>
    </xf>
    <xf numFmtId="167" fontId="61" fillId="0" borderId="103" xfId="197" applyNumberFormat="1" applyFont="1" applyBorder="1" applyAlignment="1">
      <alignment horizontal="center" vertical="center"/>
    </xf>
    <xf numFmtId="0" fontId="209" fillId="0" borderId="212" xfId="229" applyFont="1" applyBorder="1" applyAlignment="1">
      <alignment horizontal="center" vertical="center"/>
    </xf>
    <xf numFmtId="0" fontId="209" fillId="0" borderId="213" xfId="229" applyFont="1" applyBorder="1" applyAlignment="1">
      <alignment horizontal="center" vertical="center"/>
    </xf>
    <xf numFmtId="0" fontId="210" fillId="20" borderId="214" xfId="229" applyFont="1" applyFill="1" applyBorder="1" applyAlignment="1">
      <alignment horizontal="center" vertical="center"/>
    </xf>
    <xf numFmtId="0" fontId="210" fillId="20" borderId="15" xfId="229" applyFont="1" applyFill="1" applyBorder="1" applyAlignment="1">
      <alignment horizontal="center" vertical="center"/>
    </xf>
    <xf numFmtId="0" fontId="210" fillId="20" borderId="214" xfId="229" applyFont="1" applyFill="1" applyBorder="1" applyAlignment="1">
      <alignment horizontal="center" vertical="center" wrapText="1"/>
    </xf>
    <xf numFmtId="0" fontId="210" fillId="20" borderId="15" xfId="229" applyFont="1" applyFill="1" applyBorder="1" applyAlignment="1">
      <alignment horizontal="center" vertical="center" wrapText="1"/>
    </xf>
    <xf numFmtId="0" fontId="208" fillId="20" borderId="205" xfId="229" applyFont="1" applyFill="1" applyBorder="1" applyAlignment="1">
      <alignment horizontal="center" vertical="center"/>
    </xf>
    <xf numFmtId="0" fontId="208" fillId="20" borderId="15" xfId="229" applyFont="1" applyFill="1" applyBorder="1" applyAlignment="1">
      <alignment horizontal="center" vertical="center"/>
    </xf>
    <xf numFmtId="0" fontId="208" fillId="20" borderId="205" xfId="229" applyFont="1" applyFill="1" applyBorder="1" applyAlignment="1">
      <alignment horizontal="center" vertical="center" wrapText="1"/>
    </xf>
    <xf numFmtId="0" fontId="208" fillId="20" borderId="15" xfId="229" applyFont="1" applyFill="1" applyBorder="1" applyAlignment="1">
      <alignment horizontal="center" vertical="center" wrapText="1"/>
    </xf>
    <xf numFmtId="0" fontId="208" fillId="0" borderId="104" xfId="229" applyFont="1" applyBorder="1" applyAlignment="1">
      <alignment horizontal="center" vertical="center"/>
    </xf>
    <xf numFmtId="0" fontId="208" fillId="0" borderId="206" xfId="229" applyFont="1" applyBorder="1" applyAlignment="1">
      <alignment horizontal="center" vertical="center"/>
    </xf>
    <xf numFmtId="0" fontId="209" fillId="20" borderId="205" xfId="229" applyFont="1" applyFill="1" applyBorder="1" applyAlignment="1">
      <alignment horizontal="center" vertical="center"/>
    </xf>
    <xf numFmtId="0" fontId="209" fillId="20" borderId="15" xfId="229" applyFont="1" applyFill="1" applyBorder="1" applyAlignment="1">
      <alignment horizontal="center" vertical="center"/>
    </xf>
    <xf numFmtId="0" fontId="209" fillId="20" borderId="205" xfId="229" applyFont="1" applyFill="1" applyBorder="1" applyAlignment="1">
      <alignment horizontal="center" vertical="center" wrapText="1"/>
    </xf>
    <xf numFmtId="0" fontId="209" fillId="20" borderId="15" xfId="229" applyFont="1" applyFill="1" applyBorder="1" applyAlignment="1">
      <alignment horizontal="center" vertical="center" wrapText="1"/>
    </xf>
    <xf numFmtId="0" fontId="43" fillId="0" borderId="104" xfId="149" applyFont="1" applyBorder="1" applyAlignment="1">
      <alignment horizontal="center" vertical="center"/>
    </xf>
    <xf numFmtId="0" fontId="43" fillId="0" borderId="150" xfId="149" applyFont="1" applyBorder="1" applyAlignment="1">
      <alignment horizontal="center" vertical="center"/>
    </xf>
    <xf numFmtId="0" fontId="43" fillId="0" borderId="356" xfId="149" applyFont="1" applyBorder="1" applyAlignment="1">
      <alignment horizontal="center" vertical="center"/>
    </xf>
    <xf numFmtId="0" fontId="2" fillId="0" borderId="0" xfId="149" applyFont="1" applyAlignment="1">
      <alignment horizontal="left" vertical="center" wrapText="1"/>
    </xf>
    <xf numFmtId="0" fontId="117" fillId="22" borderId="103" xfId="173" applyFont="1" applyFill="1" applyBorder="1" applyAlignment="1">
      <alignment horizontal="center" vertical="center" wrapText="1"/>
    </xf>
    <xf numFmtId="0" fontId="81" fillId="20" borderId="103" xfId="173" applyFont="1" applyFill="1" applyBorder="1" applyAlignment="1">
      <alignment horizontal="center" vertical="center" wrapText="1"/>
    </xf>
    <xf numFmtId="0" fontId="43" fillId="0" borderId="185" xfId="149" applyFont="1" applyBorder="1" applyAlignment="1">
      <alignment horizontal="center" vertical="center"/>
    </xf>
    <xf numFmtId="0" fontId="43" fillId="0" borderId="183" xfId="149" applyFont="1" applyBorder="1" applyAlignment="1">
      <alignment horizontal="center" vertical="center"/>
    </xf>
    <xf numFmtId="0" fontId="43" fillId="0" borderId="184" xfId="149" applyFont="1" applyBorder="1" applyAlignment="1">
      <alignment horizontal="center" vertical="center"/>
    </xf>
    <xf numFmtId="0" fontId="43" fillId="20" borderId="186" xfId="173" applyFont="1" applyFill="1" applyBorder="1" applyAlignment="1">
      <alignment horizontal="center" vertical="center" wrapText="1"/>
    </xf>
    <xf numFmtId="0" fontId="43" fillId="20" borderId="187" xfId="173" applyFont="1" applyFill="1" applyBorder="1" applyAlignment="1">
      <alignment horizontal="center" vertical="center" wrapText="1"/>
    </xf>
    <xf numFmtId="0" fontId="43" fillId="20" borderId="188" xfId="173" applyFont="1" applyFill="1" applyBorder="1" applyAlignment="1">
      <alignment horizontal="center" vertical="center" wrapText="1"/>
    </xf>
    <xf numFmtId="0" fontId="43" fillId="20" borderId="192" xfId="173" applyFont="1" applyFill="1" applyBorder="1" applyAlignment="1">
      <alignment horizontal="center" vertical="center" wrapText="1"/>
    </xf>
    <xf numFmtId="0" fontId="43" fillId="20" borderId="190" xfId="173" applyFont="1" applyFill="1" applyBorder="1" applyAlignment="1">
      <alignment horizontal="center" vertical="center" wrapText="1"/>
    </xf>
    <xf numFmtId="0" fontId="43" fillId="20" borderId="191" xfId="173" applyFont="1" applyFill="1" applyBorder="1" applyAlignment="1">
      <alignment horizontal="center" vertical="center" wrapText="1"/>
    </xf>
    <xf numFmtId="0" fontId="114" fillId="22" borderId="104" xfId="173" applyFont="1" applyFill="1" applyBorder="1" applyAlignment="1">
      <alignment horizontal="center" vertical="center" wrapText="1"/>
    </xf>
    <xf numFmtId="0" fontId="114" fillId="22" borderId="150" xfId="173" applyFont="1" applyFill="1" applyBorder="1" applyAlignment="1">
      <alignment horizontal="center" vertical="center" wrapText="1"/>
    </xf>
    <xf numFmtId="0" fontId="114" fillId="22" borderId="182" xfId="173" applyFont="1" applyFill="1" applyBorder="1" applyAlignment="1">
      <alignment horizontal="center" vertical="center" wrapText="1"/>
    </xf>
    <xf numFmtId="0" fontId="112" fillId="22" borderId="104" xfId="173" applyFont="1" applyFill="1" applyBorder="1" applyAlignment="1">
      <alignment horizontal="center" vertical="center" wrapText="1"/>
    </xf>
    <xf numFmtId="0" fontId="112" fillId="22" borderId="150" xfId="173" applyFont="1" applyFill="1" applyBorder="1" applyAlignment="1">
      <alignment horizontal="center" vertical="center" wrapText="1"/>
    </xf>
    <xf numFmtId="0" fontId="112" fillId="22" borderId="182" xfId="173" applyFont="1" applyFill="1" applyBorder="1" applyAlignment="1">
      <alignment horizontal="center" vertical="center" wrapText="1"/>
    </xf>
    <xf numFmtId="0" fontId="110" fillId="22" borderId="104" xfId="173" applyFont="1" applyFill="1" applyBorder="1" applyAlignment="1">
      <alignment horizontal="center" vertical="center" wrapText="1"/>
    </xf>
    <xf numFmtId="0" fontId="110" fillId="22" borderId="150" xfId="173" applyFont="1" applyFill="1" applyBorder="1" applyAlignment="1">
      <alignment horizontal="center" vertical="center" wrapText="1"/>
    </xf>
    <xf numFmtId="0" fontId="110" fillId="22" borderId="182" xfId="173" applyFont="1" applyFill="1" applyBorder="1" applyAlignment="1">
      <alignment horizontal="center" vertical="center" wrapText="1"/>
    </xf>
    <xf numFmtId="0" fontId="109" fillId="22" borderId="104" xfId="173" applyFont="1" applyFill="1" applyBorder="1" applyAlignment="1">
      <alignment horizontal="center" vertical="center" wrapText="1"/>
    </xf>
    <xf numFmtId="0" fontId="109" fillId="22" borderId="150" xfId="173" applyFont="1" applyFill="1" applyBorder="1" applyAlignment="1">
      <alignment horizontal="center" vertical="center" wrapText="1"/>
    </xf>
    <xf numFmtId="0" fontId="109" fillId="22" borderId="182" xfId="173" applyFont="1" applyFill="1" applyBorder="1" applyAlignment="1">
      <alignment horizontal="center" vertical="center" wrapText="1"/>
    </xf>
    <xf numFmtId="2" fontId="40" fillId="44" borderId="145" xfId="0" applyNumberFormat="1" applyFont="1" applyFill="1" applyBorder="1" applyAlignment="1">
      <alignment horizontal="center" vertical="center"/>
    </xf>
    <xf numFmtId="2" fontId="40" fillId="44" borderId="351" xfId="0" applyNumberFormat="1" applyFont="1" applyFill="1" applyBorder="1" applyAlignment="1">
      <alignment horizontal="center" vertical="center"/>
    </xf>
    <xf numFmtId="43" fontId="40" fillId="44" borderId="214" xfId="107" applyFont="1" applyFill="1" applyBorder="1" applyAlignment="1">
      <alignment vertical="center"/>
    </xf>
    <xf numFmtId="43" fontId="40" fillId="44" borderId="15" xfId="107" applyFont="1" applyFill="1" applyBorder="1" applyAlignment="1">
      <alignment vertical="center"/>
    </xf>
    <xf numFmtId="0" fontId="45" fillId="20" borderId="118" xfId="0" applyFont="1" applyFill="1" applyBorder="1" applyAlignment="1">
      <alignment horizontal="center" vertical="center"/>
    </xf>
    <xf numFmtId="0" fontId="45" fillId="20" borderId="101" xfId="0" applyFont="1" applyFill="1" applyBorder="1" applyAlignment="1">
      <alignment horizontal="center" vertical="center"/>
    </xf>
    <xf numFmtId="0" fontId="45" fillId="0" borderId="123" xfId="0" applyFont="1" applyBorder="1" applyAlignment="1">
      <alignment horizontal="center" vertical="center"/>
    </xf>
    <xf numFmtId="0" fontId="45" fillId="0" borderId="125" xfId="0" applyFont="1" applyBorder="1" applyAlignment="1">
      <alignment horizontal="center" vertical="center"/>
    </xf>
    <xf numFmtId="0" fontId="45" fillId="0" borderId="124" xfId="0" applyFont="1" applyBorder="1" applyAlignment="1">
      <alignment horizontal="center" vertical="center"/>
    </xf>
    <xf numFmtId="43" fontId="40" fillId="44" borderId="214" xfId="107" applyFont="1" applyFill="1" applyBorder="1" applyAlignment="1">
      <alignment horizontal="center" vertical="center"/>
    </xf>
    <xf numFmtId="43" fontId="40" fillId="44" borderId="15" xfId="107" applyFont="1" applyFill="1" applyBorder="1" applyAlignment="1">
      <alignment horizontal="center" vertical="center"/>
    </xf>
    <xf numFmtId="2" fontId="81" fillId="44" borderId="133" xfId="802" applyNumberFormat="1" applyFont="1" applyFill="1" applyBorder="1" applyAlignment="1">
      <alignment horizontal="center" vertical="center"/>
    </xf>
    <xf numFmtId="2" fontId="81" fillId="44" borderId="139" xfId="802" applyNumberFormat="1" applyFont="1" applyFill="1" applyBorder="1" applyAlignment="1">
      <alignment horizontal="center" vertical="center"/>
    </xf>
    <xf numFmtId="43" fontId="40" fillId="44" borderId="284" xfId="107" applyFont="1" applyFill="1" applyBorder="1" applyAlignment="1">
      <alignment vertical="center"/>
    </xf>
    <xf numFmtId="43" fontId="40" fillId="44" borderId="267" xfId="107" applyFont="1" applyFill="1" applyBorder="1" applyAlignment="1">
      <alignment vertical="center"/>
    </xf>
    <xf numFmtId="0" fontId="40" fillId="0" borderId="0" xfId="0" applyFont="1" applyAlignment="1">
      <alignment horizontal="center" vertical="center" wrapText="1"/>
    </xf>
    <xf numFmtId="0" fontId="40" fillId="0" borderId="16" xfId="0" applyFont="1" applyBorder="1" applyAlignment="1">
      <alignment horizontal="center" vertical="center" wrapText="1"/>
    </xf>
    <xf numFmtId="0" fontId="45" fillId="0" borderId="0" xfId="0" applyFont="1" applyAlignment="1">
      <alignment horizontal="center" vertical="center" wrapText="1"/>
    </xf>
    <xf numFmtId="0" fontId="62" fillId="0" borderId="0" xfId="0" applyFont="1" applyAlignment="1">
      <alignment horizontal="center" vertical="center" wrapText="1"/>
    </xf>
    <xf numFmtId="0" fontId="40" fillId="0" borderId="104" xfId="0" applyFont="1" applyBorder="1" applyAlignment="1">
      <alignment horizontal="center"/>
    </xf>
    <xf numFmtId="0" fontId="40" fillId="0" borderId="150" xfId="0" applyFont="1" applyBorder="1" applyAlignment="1">
      <alignment horizontal="center"/>
    </xf>
    <xf numFmtId="0" fontId="40" fillId="0" borderId="356" xfId="0" applyFont="1" applyBorder="1" applyAlignment="1">
      <alignment horizontal="center"/>
    </xf>
    <xf numFmtId="0" fontId="40" fillId="0" borderId="123" xfId="0" applyFont="1" applyBorder="1" applyAlignment="1">
      <alignment horizontal="center" vertical="center"/>
    </xf>
    <xf numFmtId="0" fontId="40" fillId="0" borderId="125" xfId="0" applyFont="1" applyBorder="1" applyAlignment="1">
      <alignment horizontal="center" vertical="center"/>
    </xf>
    <xf numFmtId="0" fontId="40" fillId="0" borderId="356" xfId="0" applyFont="1" applyBorder="1" applyAlignment="1">
      <alignment horizontal="center" vertical="center"/>
    </xf>
    <xf numFmtId="0" fontId="81" fillId="0" borderId="287" xfId="452" applyFont="1" applyBorder="1" applyAlignment="1">
      <alignment horizontal="center"/>
    </xf>
    <xf numFmtId="0" fontId="81" fillId="0" borderId="0" xfId="452" applyFont="1" applyAlignment="1">
      <alignment horizontal="center" vertical="center"/>
    </xf>
    <xf numFmtId="0" fontId="81" fillId="0" borderId="16" xfId="452" applyFont="1" applyBorder="1" applyAlignment="1">
      <alignment horizontal="center" vertical="center"/>
    </xf>
    <xf numFmtId="0" fontId="43" fillId="20" borderId="133" xfId="167" applyFont="1" applyFill="1" applyBorder="1" applyAlignment="1">
      <alignment horizontal="center" vertical="center" wrapText="1"/>
    </xf>
    <xf numFmtId="0" fontId="43" fillId="20" borderId="15" xfId="167" applyFont="1" applyFill="1" applyBorder="1" applyAlignment="1">
      <alignment horizontal="center" vertical="center" wrapText="1"/>
    </xf>
    <xf numFmtId="0" fontId="43" fillId="0" borderId="104" xfId="167" applyFont="1" applyBorder="1" applyAlignment="1">
      <alignment horizontal="center" vertical="center"/>
    </xf>
    <xf numFmtId="0" fontId="43" fillId="0" borderId="125" xfId="167" applyFont="1" applyBorder="1" applyAlignment="1">
      <alignment horizontal="center" vertical="center"/>
    </xf>
    <xf numFmtId="0" fontId="43" fillId="0" borderId="143" xfId="167" applyFont="1" applyBorder="1" applyAlignment="1">
      <alignment horizontal="center" vertical="center"/>
    </xf>
    <xf numFmtId="0" fontId="43" fillId="0" borderId="94" xfId="167" applyFont="1" applyBorder="1" applyAlignment="1">
      <alignment horizontal="center" vertical="center"/>
    </xf>
    <xf numFmtId="0" fontId="66" fillId="0" borderId="123" xfId="0" applyFont="1" applyBorder="1" applyAlignment="1">
      <alignment horizontal="left" vertical="center" wrapText="1"/>
    </xf>
    <xf numFmtId="0" fontId="66" fillId="0" borderId="125" xfId="0" applyFont="1" applyBorder="1" applyAlignment="1">
      <alignment horizontal="left" vertical="center" wrapText="1"/>
    </xf>
    <xf numFmtId="0" fontId="66" fillId="0" borderId="124" xfId="0" applyFont="1" applyBorder="1" applyAlignment="1">
      <alignment horizontal="left" vertical="center" wrapText="1"/>
    </xf>
    <xf numFmtId="0" fontId="103" fillId="0" borderId="10" xfId="0" applyFont="1" applyBorder="1" applyAlignment="1">
      <alignment horizontal="center" vertical="center" wrapText="1"/>
    </xf>
    <xf numFmtId="0" fontId="103" fillId="0" borderId="0" xfId="0" applyFont="1" applyAlignment="1">
      <alignment horizontal="center" vertical="center" wrapText="1"/>
    </xf>
    <xf numFmtId="0" fontId="86" fillId="0" borderId="0" xfId="0" applyFont="1" applyAlignment="1">
      <alignment horizontal="center" vertical="center"/>
    </xf>
    <xf numFmtId="0" fontId="50" fillId="0" borderId="117" xfId="0" applyFont="1" applyBorder="1" applyAlignment="1">
      <alignment horizontal="left" vertical="center" wrapText="1"/>
    </xf>
    <xf numFmtId="0" fontId="67" fillId="0" borderId="0" xfId="0" applyFont="1" applyAlignment="1">
      <alignment horizontal="left" vertical="center" wrapText="1"/>
    </xf>
    <xf numFmtId="0" fontId="3" fillId="0" borderId="0" xfId="0" applyFont="1" applyAlignment="1">
      <alignment horizontal="center"/>
    </xf>
    <xf numFmtId="0" fontId="17" fillId="0" borderId="0" xfId="0" applyFont="1" applyAlignment="1">
      <alignment horizontal="center"/>
    </xf>
    <xf numFmtId="0" fontId="86" fillId="0" borderId="0" xfId="0" applyFont="1" applyAlignment="1">
      <alignment horizontal="center"/>
    </xf>
    <xf numFmtId="0" fontId="50" fillId="0" borderId="0" xfId="0" applyFont="1" applyAlignment="1">
      <alignment horizontal="center" vertical="center"/>
    </xf>
    <xf numFmtId="0" fontId="104" fillId="0" borderId="0" xfId="0" applyFont="1" applyBorder="1" applyAlignment="1">
      <alignment horizontal="center" vertical="center"/>
    </xf>
    <xf numFmtId="0" fontId="24" fillId="0" borderId="0"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40" fillId="0" borderId="351" xfId="0" applyFont="1" applyFill="1" applyBorder="1" applyAlignment="1">
      <alignment horizontal="center" vertical="center"/>
    </xf>
    <xf numFmtId="0" fontId="40" fillId="0" borderId="123" xfId="0" applyFont="1" applyBorder="1" applyAlignment="1">
      <alignment horizontal="center" wrapText="1"/>
    </xf>
    <xf numFmtId="0" fontId="40" fillId="0" borderId="125" xfId="0" applyFont="1" applyBorder="1" applyAlignment="1">
      <alignment horizontal="center" wrapText="1"/>
    </xf>
    <xf numFmtId="0" fontId="40" fillId="0" borderId="124" xfId="0" applyFont="1" applyBorder="1" applyAlignment="1">
      <alignment horizontal="center" wrapText="1"/>
    </xf>
    <xf numFmtId="0" fontId="24" fillId="0" borderId="0" xfId="173" applyFont="1" applyFill="1" applyBorder="1" applyAlignment="1">
      <alignment horizontal="center" vertical="center"/>
    </xf>
    <xf numFmtId="0" fontId="24" fillId="0" borderId="16" xfId="173" applyFont="1" applyFill="1" applyBorder="1" applyAlignment="1">
      <alignment horizontal="center" vertical="center"/>
    </xf>
    <xf numFmtId="0" fontId="24" fillId="0" borderId="0" xfId="173" applyFont="1" applyFill="1" applyBorder="1" applyAlignment="1">
      <alignment horizontal="center" vertical="center" wrapText="1"/>
    </xf>
    <xf numFmtId="0" fontId="50" fillId="0" borderId="0" xfId="0" applyFont="1" applyFill="1" applyBorder="1" applyAlignment="1">
      <alignment wrapText="1"/>
    </xf>
    <xf numFmtId="0" fontId="50" fillId="0" borderId="16" xfId="0" applyFont="1" applyFill="1" applyBorder="1" applyAlignment="1">
      <alignment wrapText="1"/>
    </xf>
    <xf numFmtId="0" fontId="45" fillId="0" borderId="0" xfId="0" applyFont="1" applyFill="1" applyBorder="1" applyAlignment="1">
      <alignment horizontal="center" vertical="center" wrapText="1"/>
    </xf>
    <xf numFmtId="0" fontId="45" fillId="0" borderId="16" xfId="0" applyFont="1" applyFill="1" applyBorder="1" applyAlignment="1">
      <alignment horizontal="center" vertical="center" wrapText="1"/>
    </xf>
    <xf numFmtId="0" fontId="24" fillId="0" borderId="351" xfId="173" applyFont="1" applyFill="1" applyBorder="1" applyAlignment="1">
      <alignment horizontal="center" vertical="center"/>
    </xf>
    <xf numFmtId="0" fontId="17" fillId="0" borderId="200" xfId="173" applyFont="1" applyFill="1" applyBorder="1" applyAlignment="1">
      <alignment horizontal="center" vertical="center"/>
    </xf>
    <xf numFmtId="0" fontId="24" fillId="24" borderId="214" xfId="173" applyFont="1" applyFill="1" applyBorder="1" applyAlignment="1">
      <alignment horizontal="center" vertical="center"/>
    </xf>
    <xf numFmtId="0" fontId="50" fillId="20" borderId="13" xfId="0" applyFont="1" applyFill="1" applyBorder="1"/>
    <xf numFmtId="0" fontId="50" fillId="20" borderId="15" xfId="0" applyFont="1" applyFill="1" applyBorder="1"/>
    <xf numFmtId="0" fontId="45" fillId="20" borderId="214" xfId="0" applyFont="1" applyFill="1" applyBorder="1" applyAlignment="1">
      <alignment horizontal="center" vertical="center" wrapText="1"/>
    </xf>
    <xf numFmtId="0" fontId="50" fillId="20" borderId="13" xfId="0" applyFont="1" applyFill="1" applyBorder="1" applyAlignment="1">
      <alignment wrapText="1"/>
    </xf>
    <xf numFmtId="0" fontId="50" fillId="20" borderId="15" xfId="0" applyFont="1" applyFill="1" applyBorder="1" applyAlignment="1">
      <alignment wrapText="1"/>
    </xf>
    <xf numFmtId="0" fontId="24" fillId="24" borderId="214" xfId="173" applyFont="1" applyFill="1" applyBorder="1" applyAlignment="1">
      <alignment horizontal="center" vertical="center" wrapText="1"/>
    </xf>
    <xf numFmtId="0" fontId="24" fillId="0" borderId="214" xfId="173" applyFont="1" applyBorder="1" applyAlignment="1">
      <alignment horizontal="center" vertical="center"/>
    </xf>
    <xf numFmtId="0" fontId="24" fillId="0" borderId="15" xfId="173" applyFont="1" applyBorder="1" applyAlignment="1">
      <alignment horizontal="center" vertical="center"/>
    </xf>
    <xf numFmtId="0" fontId="24" fillId="0" borderId="217" xfId="173" applyFont="1" applyBorder="1" applyAlignment="1">
      <alignment horizontal="center" vertical="center"/>
    </xf>
    <xf numFmtId="0" fontId="24" fillId="0" borderId="175" xfId="173" applyFont="1" applyBorder="1" applyAlignment="1">
      <alignment horizontal="center" vertical="center"/>
    </xf>
    <xf numFmtId="0" fontId="86" fillId="0" borderId="0" xfId="0" applyFont="1" applyAlignment="1">
      <alignment horizontal="center" vertical="center" wrapText="1"/>
    </xf>
    <xf numFmtId="0" fontId="135" fillId="0" borderId="0" xfId="0" applyFont="1" applyAlignment="1">
      <alignment horizontal="center" vertical="center" wrapText="1"/>
    </xf>
    <xf numFmtId="0" fontId="24" fillId="24" borderId="133" xfId="173" applyFont="1" applyFill="1" applyBorder="1" applyAlignment="1">
      <alignment horizontal="center" vertical="center"/>
    </xf>
    <xf numFmtId="0" fontId="50" fillId="20" borderId="136" xfId="0" applyFont="1" applyFill="1" applyBorder="1"/>
    <xf numFmtId="0" fontId="45" fillId="20" borderId="133" xfId="0" applyFont="1" applyFill="1" applyBorder="1" applyAlignment="1">
      <alignment horizontal="center" vertical="center" wrapText="1"/>
    </xf>
    <xf numFmtId="0" fontId="24" fillId="24" borderId="133" xfId="173" applyFont="1" applyFill="1" applyBorder="1" applyAlignment="1">
      <alignment horizontal="center" vertical="center" wrapText="1"/>
    </xf>
    <xf numFmtId="0" fontId="24" fillId="0" borderId="133" xfId="173" applyFont="1" applyBorder="1" applyAlignment="1">
      <alignment horizontal="center" vertical="center"/>
    </xf>
    <xf numFmtId="0" fontId="24" fillId="0" borderId="134" xfId="173" applyFont="1" applyBorder="1" applyAlignment="1">
      <alignment horizontal="center" vertical="center"/>
    </xf>
    <xf numFmtId="0" fontId="24" fillId="0" borderId="135" xfId="173" applyFont="1" applyBorder="1" applyAlignment="1">
      <alignment horizontal="center" vertical="center"/>
    </xf>
    <xf numFmtId="0" fontId="50" fillId="20" borderId="136" xfId="0" applyFont="1" applyFill="1" applyBorder="1" applyAlignment="1">
      <alignment wrapText="1"/>
    </xf>
    <xf numFmtId="0" fontId="24" fillId="0" borderId="136" xfId="173" applyFont="1" applyBorder="1" applyAlignment="1">
      <alignment horizontal="center" vertical="center"/>
    </xf>
    <xf numFmtId="0" fontId="24" fillId="24" borderId="109" xfId="173" applyFont="1" applyFill="1" applyBorder="1" applyAlignment="1">
      <alignment horizontal="center" vertical="center"/>
    </xf>
    <xf numFmtId="0" fontId="44" fillId="20" borderId="110" xfId="0" applyFont="1" applyFill="1" applyBorder="1"/>
    <xf numFmtId="0" fontId="44" fillId="20" borderId="111" xfId="0" applyFont="1" applyFill="1" applyBorder="1"/>
    <xf numFmtId="0" fontId="45" fillId="20" borderId="108" xfId="0" applyFont="1" applyFill="1" applyBorder="1" applyAlignment="1">
      <alignment horizontal="center" vertical="center" wrapText="1"/>
    </xf>
    <xf numFmtId="0" fontId="44" fillId="20" borderId="45" xfId="0" applyFont="1" applyFill="1" applyBorder="1" applyAlignment="1">
      <alignment wrapText="1"/>
    </xf>
    <xf numFmtId="0" fontId="44" fillId="20" borderId="40" xfId="0" applyFont="1" applyFill="1" applyBorder="1" applyAlignment="1">
      <alignment wrapText="1"/>
    </xf>
    <xf numFmtId="0" fontId="24" fillId="24" borderId="109" xfId="173" applyFont="1" applyFill="1" applyBorder="1" applyAlignment="1">
      <alignment horizontal="center" vertical="center" wrapText="1"/>
    </xf>
    <xf numFmtId="0" fontId="44" fillId="20" borderId="110" xfId="0" applyFont="1" applyFill="1" applyBorder="1" applyAlignment="1">
      <alignment wrapText="1"/>
    </xf>
    <xf numFmtId="0" fontId="44" fillId="20" borderId="111" xfId="0" applyFont="1" applyFill="1" applyBorder="1" applyAlignment="1">
      <alignment wrapText="1"/>
    </xf>
    <xf numFmtId="0" fontId="24" fillId="0" borderId="140" xfId="173" applyFont="1" applyBorder="1" applyAlignment="1">
      <alignment horizontal="center" vertical="center"/>
    </xf>
    <xf numFmtId="0" fontId="24" fillId="0" borderId="39" xfId="173" applyFont="1" applyBorder="1" applyAlignment="1">
      <alignment horizontal="center" vertical="center"/>
    </xf>
    <xf numFmtId="0" fontId="24" fillId="0" borderId="49" xfId="173" applyFont="1" applyBorder="1" applyAlignment="1">
      <alignment horizontal="center" vertical="center"/>
    </xf>
    <xf numFmtId="0" fontId="50" fillId="20" borderId="139" xfId="0" applyFont="1" applyFill="1" applyBorder="1" applyAlignment="1">
      <alignment wrapText="1"/>
    </xf>
    <xf numFmtId="0" fontId="24" fillId="0" borderId="139" xfId="173" applyFont="1" applyBorder="1" applyAlignment="1">
      <alignment horizontal="center" vertical="center"/>
    </xf>
    <xf numFmtId="0" fontId="105" fillId="0" borderId="103" xfId="0" applyFont="1" applyBorder="1" applyAlignment="1">
      <alignment horizontal="center"/>
    </xf>
    <xf numFmtId="0" fontId="105" fillId="0" borderId="282" xfId="0" applyFont="1" applyBorder="1" applyAlignment="1">
      <alignment horizontal="center"/>
    </xf>
    <xf numFmtId="0" fontId="23" fillId="20" borderId="103" xfId="0" applyFont="1" applyFill="1" applyBorder="1" applyAlignment="1">
      <alignment horizontal="center" vertical="center" wrapText="1"/>
    </xf>
    <xf numFmtId="0" fontId="108" fillId="0" borderId="133" xfId="0" applyFont="1" applyBorder="1" applyAlignment="1">
      <alignment horizontal="center" vertical="center" wrapText="1"/>
    </xf>
    <xf numFmtId="0" fontId="108" fillId="0" borderId="139" xfId="0" applyFont="1" applyBorder="1" applyAlignment="1">
      <alignment horizontal="center" vertical="center" wrapText="1"/>
    </xf>
    <xf numFmtId="0" fontId="108" fillId="20" borderId="284" xfId="0" applyFont="1" applyFill="1" applyBorder="1" applyAlignment="1">
      <alignment horizontal="center" vertical="center" wrapText="1"/>
    </xf>
    <xf numFmtId="0" fontId="108" fillId="20" borderId="267" xfId="0" applyFont="1" applyFill="1" applyBorder="1" applyAlignment="1">
      <alignment horizontal="center" vertical="center" wrapText="1"/>
    </xf>
    <xf numFmtId="0" fontId="277" fillId="0" borderId="0" xfId="0" applyFont="1" applyAlignment="1">
      <alignment horizontal="center" vertical="center" wrapText="1"/>
    </xf>
    <xf numFmtId="0" fontId="277" fillId="0" borderId="16" xfId="0" applyFont="1" applyBorder="1" applyAlignment="1">
      <alignment horizontal="center" vertical="center" wrapText="1"/>
    </xf>
    <xf numFmtId="0" fontId="23" fillId="0" borderId="0" xfId="0" applyFont="1" applyAlignment="1">
      <alignment horizontal="center" vertical="center" wrapText="1"/>
    </xf>
    <xf numFmtId="0" fontId="23" fillId="0" borderId="16" xfId="0" applyFont="1" applyBorder="1" applyAlignment="1">
      <alignment horizontal="center" vertical="center" wrapText="1"/>
    </xf>
    <xf numFmtId="0" fontId="89" fillId="0" borderId="254" xfId="0" applyFont="1" applyBorder="1" applyAlignment="1">
      <alignment horizontal="center" vertical="center"/>
    </xf>
    <xf numFmtId="0" fontId="23" fillId="20" borderId="282" xfId="0" applyFont="1" applyFill="1" applyBorder="1" applyAlignment="1">
      <alignment horizontal="center" vertical="center" wrapText="1"/>
    </xf>
    <xf numFmtId="0" fontId="43" fillId="20" borderId="123" xfId="0" applyFont="1" applyFill="1" applyBorder="1" applyAlignment="1">
      <alignment horizontal="center"/>
    </xf>
    <xf numFmtId="0" fontId="43" fillId="20" borderId="125" xfId="0" applyFont="1" applyFill="1" applyBorder="1" applyAlignment="1">
      <alignment horizontal="center"/>
    </xf>
    <xf numFmtId="0" fontId="43" fillId="20" borderId="124" xfId="0" applyFont="1" applyFill="1" applyBorder="1" applyAlignment="1">
      <alignment horizontal="center"/>
    </xf>
    <xf numFmtId="0" fontId="43" fillId="20" borderId="212" xfId="0" applyFont="1" applyFill="1" applyBorder="1" applyAlignment="1">
      <alignment horizontal="center"/>
    </xf>
    <xf numFmtId="0" fontId="43" fillId="20" borderId="215" xfId="0" applyFont="1" applyFill="1" applyBorder="1" applyAlignment="1">
      <alignment horizontal="center"/>
    </xf>
    <xf numFmtId="0" fontId="43" fillId="20" borderId="213" xfId="0" applyFont="1" applyFill="1" applyBorder="1" applyAlignment="1">
      <alignment horizontal="center"/>
    </xf>
    <xf numFmtId="0" fontId="43" fillId="0" borderId="212" xfId="0" applyFont="1" applyBorder="1" applyAlignment="1">
      <alignment horizontal="center" vertical="center"/>
    </xf>
    <xf numFmtId="0" fontId="43" fillId="0" borderId="215" xfId="0" applyFont="1" applyBorder="1" applyAlignment="1">
      <alignment horizontal="center" vertical="center"/>
    </xf>
    <xf numFmtId="0" fontId="43" fillId="0" borderId="213" xfId="0" applyFont="1" applyBorder="1" applyAlignment="1">
      <alignment horizontal="center" vertical="center"/>
    </xf>
    <xf numFmtId="0" fontId="109" fillId="0" borderId="133" xfId="0" applyFont="1" applyBorder="1" applyAlignment="1">
      <alignment horizontal="center" vertical="center"/>
    </xf>
    <xf numFmtId="0" fontId="109" fillId="0" borderId="139" xfId="0" applyFont="1" applyBorder="1" applyAlignment="1">
      <alignment horizontal="center" vertical="center"/>
    </xf>
    <xf numFmtId="0" fontId="42" fillId="31" borderId="123" xfId="0" applyFont="1" applyFill="1" applyBorder="1" applyAlignment="1">
      <alignment horizontal="center"/>
    </xf>
    <xf numFmtId="0" fontId="42" fillId="31" borderId="125" xfId="0" applyFont="1" applyFill="1" applyBorder="1" applyAlignment="1">
      <alignment horizontal="center"/>
    </xf>
    <xf numFmtId="0" fontId="42" fillId="31" borderId="124" xfId="0" applyFont="1" applyFill="1" applyBorder="1" applyAlignment="1">
      <alignment horizontal="center"/>
    </xf>
    <xf numFmtId="0" fontId="110" fillId="0" borderId="133" xfId="0" applyFont="1" applyBorder="1" applyAlignment="1">
      <alignment horizontal="center" vertical="center"/>
    </xf>
    <xf numFmtId="0" fontId="110" fillId="0" borderId="139" xfId="0" applyFont="1" applyBorder="1" applyAlignment="1">
      <alignment horizontal="center" vertical="center"/>
    </xf>
    <xf numFmtId="0" fontId="42" fillId="23" borderId="123" xfId="0" applyFont="1" applyFill="1" applyBorder="1" applyAlignment="1">
      <alignment horizontal="center"/>
    </xf>
    <xf numFmtId="0" fontId="42" fillId="23" borderId="125" xfId="0" applyFont="1" applyFill="1" applyBorder="1" applyAlignment="1">
      <alignment horizontal="center"/>
    </xf>
    <xf numFmtId="0" fontId="42" fillId="23" borderId="124" xfId="0" applyFont="1" applyFill="1" applyBorder="1" applyAlignment="1">
      <alignment horizontal="center"/>
    </xf>
    <xf numFmtId="0" fontId="114" fillId="0" borderId="133" xfId="0" applyFont="1" applyBorder="1" applyAlignment="1">
      <alignment horizontal="center" vertical="center"/>
    </xf>
    <xf numFmtId="0" fontId="114" fillId="0" borderId="139" xfId="0" applyFont="1" applyBorder="1" applyAlignment="1">
      <alignment horizontal="center" vertical="center"/>
    </xf>
    <xf numFmtId="0" fontId="42" fillId="28" borderId="123" xfId="0" applyFont="1" applyFill="1" applyBorder="1" applyAlignment="1">
      <alignment horizontal="center"/>
    </xf>
    <xf numFmtId="0" fontId="42" fillId="28" borderId="125" xfId="0" applyFont="1" applyFill="1" applyBorder="1" applyAlignment="1">
      <alignment horizontal="center"/>
    </xf>
    <xf numFmtId="0" fontId="42" fillId="28" borderId="124" xfId="0" applyFont="1" applyFill="1" applyBorder="1" applyAlignment="1">
      <alignment horizontal="center"/>
    </xf>
    <xf numFmtId="0" fontId="112" fillId="0" borderId="133" xfId="0" applyFont="1" applyBorder="1" applyAlignment="1">
      <alignment horizontal="center" vertical="center"/>
    </xf>
    <xf numFmtId="0" fontId="112" fillId="0" borderId="139" xfId="0" applyFont="1" applyBorder="1" applyAlignment="1">
      <alignment horizontal="center" vertical="center"/>
    </xf>
    <xf numFmtId="0" fontId="42" fillId="30" borderId="123" xfId="0" applyFont="1" applyFill="1" applyBorder="1" applyAlignment="1">
      <alignment horizontal="center"/>
    </xf>
    <xf numFmtId="0" fontId="42" fillId="30" borderId="125" xfId="0" applyFont="1" applyFill="1" applyBorder="1" applyAlignment="1">
      <alignment horizontal="center"/>
    </xf>
    <xf numFmtId="0" fontId="42" fillId="30" borderId="124" xfId="0" applyFont="1" applyFill="1" applyBorder="1" applyAlignment="1">
      <alignment horizontal="center"/>
    </xf>
    <xf numFmtId="0" fontId="40" fillId="0" borderId="133" xfId="0" applyFont="1" applyBorder="1" applyAlignment="1">
      <alignment horizontal="center" vertical="center"/>
    </xf>
    <xf numFmtId="0" fontId="40" fillId="0" borderId="139" xfId="0" applyFont="1" applyBorder="1" applyAlignment="1">
      <alignment horizontal="center" vertical="center"/>
    </xf>
    <xf numFmtId="0" fontId="40" fillId="0" borderId="123" xfId="0" applyFont="1" applyBorder="1" applyAlignment="1">
      <alignment horizontal="center"/>
    </xf>
    <xf numFmtId="0" fontId="40" fillId="0" borderId="125" xfId="0" applyFont="1" applyBorder="1" applyAlignment="1">
      <alignment horizontal="center"/>
    </xf>
    <xf numFmtId="0" fontId="40" fillId="0" borderId="124" xfId="0" applyFont="1" applyBorder="1" applyAlignment="1">
      <alignment horizontal="center"/>
    </xf>
    <xf numFmtId="0" fontId="117" fillId="0" borderId="133" xfId="0" applyFont="1" applyBorder="1" applyAlignment="1">
      <alignment horizontal="center" vertical="center"/>
    </xf>
    <xf numFmtId="0" fontId="117" fillId="0" borderId="139" xfId="0" applyFont="1" applyBorder="1" applyAlignment="1">
      <alignment horizontal="center" vertical="center"/>
    </xf>
    <xf numFmtId="0" fontId="43" fillId="21" borderId="123" xfId="0" applyFont="1" applyFill="1" applyBorder="1" applyAlignment="1">
      <alignment horizontal="center"/>
    </xf>
    <xf numFmtId="0" fontId="43" fillId="21" borderId="125" xfId="0" applyFont="1" applyFill="1" applyBorder="1" applyAlignment="1">
      <alignment horizontal="center"/>
    </xf>
    <xf numFmtId="0" fontId="43" fillId="21" borderId="124" xfId="0" applyFont="1" applyFill="1" applyBorder="1" applyAlignment="1">
      <alignment horizontal="center"/>
    </xf>
    <xf numFmtId="0" fontId="43" fillId="0" borderId="123" xfId="0" applyFont="1" applyBorder="1" applyAlignment="1">
      <alignment horizontal="center" vertical="center"/>
    </xf>
    <xf numFmtId="0" fontId="43" fillId="0" borderId="125" xfId="0" applyFont="1" applyBorder="1" applyAlignment="1">
      <alignment horizontal="center" vertical="center"/>
    </xf>
    <xf numFmtId="0" fontId="43" fillId="0" borderId="124" xfId="0" applyFont="1" applyBorder="1" applyAlignment="1">
      <alignment horizontal="center" vertical="center"/>
    </xf>
    <xf numFmtId="0" fontId="43" fillId="42" borderId="133" xfId="0" applyFont="1" applyFill="1" applyBorder="1" applyAlignment="1">
      <alignment horizontal="center" vertical="center"/>
    </xf>
    <xf numFmtId="0" fontId="43" fillId="42" borderId="139" xfId="0" applyFont="1" applyFill="1" applyBorder="1" applyAlignment="1">
      <alignment horizontal="center" vertical="center"/>
    </xf>
    <xf numFmtId="0" fontId="43" fillId="20" borderId="123" xfId="0" applyFont="1" applyFill="1" applyBorder="1" applyAlignment="1">
      <alignment horizontal="center" vertical="center"/>
    </xf>
    <xf numFmtId="0" fontId="43" fillId="20" borderId="125" xfId="0" applyFont="1" applyFill="1" applyBorder="1" applyAlignment="1">
      <alignment horizontal="center" vertical="center"/>
    </xf>
    <xf numFmtId="0" fontId="43" fillId="20" borderId="124" xfId="0" applyFont="1" applyFill="1" applyBorder="1" applyAlignment="1">
      <alignment horizontal="center" vertical="center"/>
    </xf>
    <xf numFmtId="0" fontId="119" fillId="20" borderId="123" xfId="0" applyFont="1" applyFill="1" applyBorder="1" applyAlignment="1">
      <alignment horizontal="center" vertical="center"/>
    </xf>
    <xf numFmtId="0" fontId="119" fillId="20" borderId="124" xfId="0" applyFont="1" applyFill="1" applyBorder="1" applyAlignment="1">
      <alignment horizontal="center" vertical="center"/>
    </xf>
    <xf numFmtId="0" fontId="62" fillId="0" borderId="0" xfId="0" applyFont="1" applyAlignment="1">
      <alignment horizontal="center"/>
    </xf>
    <xf numFmtId="0" fontId="119" fillId="0" borderId="132" xfId="0" applyFont="1" applyBorder="1" applyAlignment="1">
      <alignment horizontal="center" vertical="center"/>
    </xf>
    <xf numFmtId="0" fontId="119" fillId="0" borderId="0" xfId="0" applyFont="1" applyAlignment="1">
      <alignment horizontal="center" vertical="center"/>
    </xf>
    <xf numFmtId="0" fontId="119" fillId="0" borderId="16" xfId="0" applyFont="1" applyBorder="1" applyAlignment="1">
      <alignment horizontal="center" vertical="center"/>
    </xf>
    <xf numFmtId="0" fontId="119" fillId="0" borderId="174" xfId="0" applyFont="1" applyBorder="1" applyAlignment="1">
      <alignment horizontal="center" vertical="center"/>
    </xf>
    <xf numFmtId="0" fontId="119" fillId="0" borderId="246" xfId="0" applyFont="1" applyBorder="1" applyAlignment="1">
      <alignment horizontal="center" vertical="center"/>
    </xf>
    <xf numFmtId="0" fontId="119" fillId="0" borderId="254" xfId="0" applyFont="1" applyBorder="1" applyAlignment="1">
      <alignment horizontal="center" vertical="center"/>
    </xf>
    <xf numFmtId="0" fontId="119" fillId="0" borderId="0" xfId="0" applyFont="1" applyBorder="1" applyAlignment="1">
      <alignment horizontal="center" vertical="center"/>
    </xf>
    <xf numFmtId="0" fontId="0" fillId="0" borderId="214" xfId="0" applyBorder="1" applyAlignment="1">
      <alignment horizontal="center" vertical="center" wrapText="1"/>
    </xf>
    <xf numFmtId="0" fontId="0" fillId="0" borderId="199" xfId="0" applyBorder="1" applyAlignment="1">
      <alignment horizontal="center" vertical="center" wrapText="1"/>
    </xf>
    <xf numFmtId="0" fontId="49" fillId="20" borderId="247" xfId="0" applyFont="1" applyFill="1" applyBorder="1" applyAlignment="1">
      <alignment horizontal="center" vertical="center"/>
    </xf>
    <xf numFmtId="0" fontId="49" fillId="20" borderId="248" xfId="0" applyFont="1" applyFill="1" applyBorder="1" applyAlignment="1">
      <alignment horizontal="center" vertical="center"/>
    </xf>
    <xf numFmtId="0" fontId="49" fillId="20" borderId="249" xfId="0" applyFont="1" applyFill="1" applyBorder="1" applyAlignment="1">
      <alignment horizontal="center" vertical="center"/>
    </xf>
    <xf numFmtId="0" fontId="49" fillId="0" borderId="247" xfId="0" applyFont="1" applyBorder="1" applyAlignment="1">
      <alignment horizontal="center" vertical="center"/>
    </xf>
    <xf numFmtId="0" fontId="49" fillId="0" borderId="248" xfId="0" applyFont="1" applyBorder="1" applyAlignment="1">
      <alignment horizontal="center" vertical="center"/>
    </xf>
    <xf numFmtId="0" fontId="49" fillId="0" borderId="249" xfId="0" applyFont="1" applyBorder="1" applyAlignment="1">
      <alignment horizontal="center" vertical="center"/>
    </xf>
    <xf numFmtId="0" fontId="43" fillId="20" borderId="250" xfId="149" applyFont="1" applyFill="1" applyBorder="1" applyAlignment="1">
      <alignment horizontal="center" vertical="center"/>
    </xf>
    <xf numFmtId="0" fontId="43" fillId="20" borderId="251" xfId="149" applyFont="1" applyFill="1" applyBorder="1" applyAlignment="1">
      <alignment horizontal="center" vertical="center" wrapText="1"/>
    </xf>
    <xf numFmtId="0" fontId="43" fillId="20" borderId="15" xfId="149" applyFont="1" applyFill="1" applyBorder="1" applyAlignment="1">
      <alignment horizontal="center" vertical="center" wrapText="1"/>
    </xf>
    <xf numFmtId="0" fontId="0" fillId="0" borderId="0" xfId="0" applyAlignment="1">
      <alignment horizontal="center"/>
    </xf>
    <xf numFmtId="0" fontId="40" fillId="20" borderId="247" xfId="0" applyFont="1" applyFill="1" applyBorder="1" applyAlignment="1">
      <alignment horizontal="center" vertical="center"/>
    </xf>
    <xf numFmtId="0" fontId="40" fillId="20" borderId="248" xfId="0" applyFont="1" applyFill="1" applyBorder="1" applyAlignment="1">
      <alignment horizontal="center" vertical="center"/>
    </xf>
    <xf numFmtId="0" fontId="40" fillId="20" borderId="249" xfId="0" applyFont="1" applyFill="1" applyBorder="1" applyAlignment="1">
      <alignment horizontal="center" vertical="center"/>
    </xf>
    <xf numFmtId="0" fontId="91" fillId="20" borderId="13" xfId="149" applyFont="1" applyFill="1" applyBorder="1" applyAlignment="1">
      <alignment horizontal="center" vertical="center"/>
    </xf>
    <xf numFmtId="0" fontId="91" fillId="20" borderId="15" xfId="149" applyFont="1" applyFill="1" applyBorder="1" applyAlignment="1">
      <alignment horizontal="center" vertical="center"/>
    </xf>
    <xf numFmtId="0" fontId="91" fillId="20" borderId="251" xfId="149" applyFont="1" applyFill="1" applyBorder="1" applyAlignment="1">
      <alignment horizontal="center" vertical="center"/>
    </xf>
    <xf numFmtId="0" fontId="91" fillId="0" borderId="247" xfId="149" applyFont="1" applyBorder="1" applyAlignment="1">
      <alignment horizontal="center" vertical="center"/>
    </xf>
    <xf numFmtId="0" fontId="91" fillId="0" borderId="249" xfId="149" applyFont="1" applyBorder="1" applyAlignment="1">
      <alignment horizontal="center" vertical="center"/>
    </xf>
    <xf numFmtId="0" fontId="0" fillId="0" borderId="266" xfId="0" applyBorder="1" applyAlignment="1">
      <alignment horizontal="center" vertical="center"/>
    </xf>
    <xf numFmtId="0" fontId="0" fillId="0" borderId="267" xfId="0" applyBorder="1" applyAlignment="1">
      <alignment horizontal="center" vertical="center"/>
    </xf>
    <xf numFmtId="0" fontId="49" fillId="20" borderId="363" xfId="0" applyFont="1" applyFill="1" applyBorder="1" applyAlignment="1">
      <alignment horizontal="center" vertical="center"/>
    </xf>
    <xf numFmtId="0" fontId="49" fillId="20" borderId="355" xfId="0" applyFont="1" applyFill="1" applyBorder="1" applyAlignment="1">
      <alignment horizontal="center" vertical="center"/>
    </xf>
    <xf numFmtId="0" fontId="49" fillId="20" borderId="357" xfId="0" applyFont="1" applyFill="1" applyBorder="1" applyAlignment="1">
      <alignment horizontal="center" vertical="center"/>
    </xf>
    <xf numFmtId="0" fontId="56" fillId="0" borderId="363" xfId="0" applyFont="1" applyBorder="1" applyAlignment="1">
      <alignment horizontal="center" vertical="center"/>
    </xf>
    <xf numFmtId="0" fontId="56" fillId="0" borderId="355" xfId="0" applyFont="1" applyBorder="1" applyAlignment="1">
      <alignment horizontal="center" vertical="center"/>
    </xf>
    <xf numFmtId="0" fontId="56" fillId="0" borderId="357" xfId="0" applyFont="1" applyBorder="1" applyAlignment="1">
      <alignment horizontal="center" vertical="center"/>
    </xf>
    <xf numFmtId="0" fontId="5" fillId="20" borderId="364" xfId="149" applyFont="1" applyFill="1" applyBorder="1" applyAlignment="1">
      <alignment horizontal="center" vertical="center"/>
    </xf>
    <xf numFmtId="0" fontId="5" fillId="20" borderId="267" xfId="149" applyFont="1" applyFill="1" applyBorder="1" applyAlignment="1">
      <alignment horizontal="center" vertical="center"/>
    </xf>
    <xf numFmtId="0" fontId="5" fillId="20" borderId="364" xfId="149" applyFont="1" applyFill="1" applyBorder="1" applyAlignment="1">
      <alignment horizontal="center" vertical="center" wrapText="1"/>
    </xf>
    <xf numFmtId="0" fontId="5" fillId="20" borderId="267" xfId="149" applyFont="1" applyFill="1" applyBorder="1" applyAlignment="1">
      <alignment horizontal="center" vertical="center" wrapText="1"/>
    </xf>
    <xf numFmtId="0" fontId="5" fillId="20" borderId="364" xfId="149" applyFont="1" applyFill="1" applyBorder="1" applyAlignment="1">
      <alignment horizontal="center" wrapText="1"/>
    </xf>
    <xf numFmtId="0" fontId="5" fillId="20" borderId="267" xfId="149" applyFont="1" applyFill="1" applyBorder="1" applyAlignment="1">
      <alignment horizontal="center" wrapText="1"/>
    </xf>
    <xf numFmtId="3" fontId="234" fillId="0" borderId="266" xfId="149" applyNumberFormat="1" applyFont="1" applyBorder="1" applyAlignment="1">
      <alignment horizontal="center" vertical="center"/>
    </xf>
    <xf numFmtId="3" fontId="234" fillId="0" borderId="262" xfId="149" applyNumberFormat="1" applyFont="1" applyBorder="1" applyAlignment="1">
      <alignment horizontal="center" vertical="center"/>
    </xf>
    <xf numFmtId="3" fontId="234" fillId="0" borderId="267" xfId="149" applyNumberFormat="1" applyFont="1" applyBorder="1" applyAlignment="1">
      <alignment horizontal="center" vertical="center"/>
    </xf>
    <xf numFmtId="3" fontId="0" fillId="0" borderId="266" xfId="0" applyNumberFormat="1" applyBorder="1" applyAlignment="1">
      <alignment horizontal="center" vertical="center"/>
    </xf>
    <xf numFmtId="3" fontId="0" fillId="0" borderId="262" xfId="0" applyNumberFormat="1" applyBorder="1" applyAlignment="1">
      <alignment horizontal="center" vertical="center"/>
    </xf>
    <xf numFmtId="3" fontId="0" fillId="0" borderId="267" xfId="0" applyNumberFormat="1" applyBorder="1" applyAlignment="1">
      <alignment horizontal="center" vertical="center"/>
    </xf>
    <xf numFmtId="0" fontId="49" fillId="20" borderId="257" xfId="0" applyFont="1" applyFill="1" applyBorder="1" applyAlignment="1">
      <alignment horizontal="center" vertical="center"/>
    </xf>
    <xf numFmtId="0" fontId="49" fillId="20" borderId="256" xfId="0" applyFont="1" applyFill="1" applyBorder="1" applyAlignment="1">
      <alignment horizontal="center" vertical="center"/>
    </xf>
    <xf numFmtId="0" fontId="56" fillId="0" borderId="257" xfId="0" applyFont="1" applyBorder="1" applyAlignment="1">
      <alignment horizontal="center" vertical="center"/>
    </xf>
    <xf numFmtId="0" fontId="56" fillId="0" borderId="248" xfId="0" applyFont="1" applyBorder="1" applyAlignment="1">
      <alignment horizontal="center" vertical="center"/>
    </xf>
    <xf numFmtId="0" fontId="56" fillId="0" borderId="256" xfId="0" applyFont="1" applyBorder="1" applyAlignment="1">
      <alignment horizontal="center" vertical="center"/>
    </xf>
    <xf numFmtId="0" fontId="30" fillId="20" borderId="262" xfId="149" applyFont="1" applyFill="1" applyBorder="1" applyAlignment="1">
      <alignment horizontal="center" vertical="center"/>
    </xf>
    <xf numFmtId="0" fontId="30" fillId="20" borderId="267" xfId="149" applyFont="1" applyFill="1" applyBorder="1" applyAlignment="1">
      <alignment horizontal="center" vertical="center"/>
    </xf>
    <xf numFmtId="0" fontId="30" fillId="20" borderId="266" xfId="149" applyFont="1" applyFill="1" applyBorder="1" applyAlignment="1">
      <alignment horizontal="center" vertical="center"/>
    </xf>
    <xf numFmtId="0" fontId="30" fillId="20" borderId="257" xfId="149" applyFont="1" applyFill="1" applyBorder="1" applyAlignment="1">
      <alignment horizontal="center" vertical="center"/>
    </xf>
    <xf numFmtId="0" fontId="30" fillId="20" borderId="256" xfId="149" applyFont="1" applyFill="1" applyBorder="1" applyAlignment="1">
      <alignment horizontal="center" vertical="center"/>
    </xf>
    <xf numFmtId="0" fontId="5" fillId="20" borderId="258" xfId="149" applyFont="1" applyFill="1" applyBorder="1" applyAlignment="1">
      <alignment horizontal="center" vertical="center"/>
    </xf>
    <xf numFmtId="0" fontId="5" fillId="20" borderId="266" xfId="149" applyFont="1" applyFill="1" applyBorder="1" applyAlignment="1">
      <alignment horizontal="center" vertical="center" wrapText="1"/>
    </xf>
    <xf numFmtId="173" fontId="233" fillId="0" borderId="266" xfId="0" applyNumberFormat="1" applyFont="1" applyBorder="1" applyAlignment="1">
      <alignment horizontal="center" vertical="center" wrapText="1"/>
    </xf>
    <xf numFmtId="173" fontId="233" fillId="0" borderId="267" xfId="0" applyNumberFormat="1" applyFont="1" applyBorder="1" applyAlignment="1">
      <alignment horizontal="center" vertical="center" wrapText="1"/>
    </xf>
    <xf numFmtId="0" fontId="0" fillId="0" borderId="266" xfId="0" applyBorder="1" applyAlignment="1">
      <alignment horizontal="center" vertical="center" wrapText="1"/>
    </xf>
    <xf numFmtId="0" fontId="0" fillId="0" borderId="267" xfId="0" applyBorder="1" applyAlignment="1">
      <alignment horizontal="center" vertical="center" wrapText="1"/>
    </xf>
    <xf numFmtId="0" fontId="49" fillId="0" borderId="257" xfId="0" applyFont="1" applyBorder="1" applyAlignment="1">
      <alignment horizontal="center" vertical="center"/>
    </xf>
    <xf numFmtId="0" fontId="49" fillId="0" borderId="256" xfId="0" applyFont="1" applyBorder="1" applyAlignment="1">
      <alignment horizontal="center" vertical="center"/>
    </xf>
    <xf numFmtId="173" fontId="234" fillId="0" borderId="266" xfId="0" applyNumberFormat="1" applyFont="1" applyBorder="1" applyAlignment="1">
      <alignment horizontal="center" vertical="center"/>
    </xf>
    <xf numFmtId="173" fontId="234" fillId="0" borderId="267" xfId="0" applyNumberFormat="1" applyFont="1" applyBorder="1" applyAlignment="1">
      <alignment horizontal="center" vertical="center"/>
    </xf>
    <xf numFmtId="173" fontId="235" fillId="0" borderId="266" xfId="149" applyNumberFormat="1" applyFont="1" applyBorder="1" applyAlignment="1">
      <alignment horizontal="center" vertical="center" wrapText="1"/>
    </xf>
    <xf numFmtId="173" fontId="235" fillId="0" borderId="262" xfId="149" applyNumberFormat="1" applyFont="1" applyBorder="1" applyAlignment="1">
      <alignment horizontal="center" vertical="center" wrapText="1"/>
    </xf>
    <xf numFmtId="173" fontId="235" fillId="0" borderId="267" xfId="149" applyNumberFormat="1" applyFont="1" applyBorder="1" applyAlignment="1">
      <alignment horizontal="center" vertical="center" wrapText="1"/>
    </xf>
    <xf numFmtId="0" fontId="234" fillId="0" borderId="266" xfId="149" applyFont="1" applyBorder="1" applyAlignment="1">
      <alignment horizontal="center" vertical="center"/>
    </xf>
    <xf numFmtId="0" fontId="234" fillId="0" borderId="262" xfId="149" applyFont="1" applyBorder="1" applyAlignment="1">
      <alignment horizontal="center" vertical="center"/>
    </xf>
    <xf numFmtId="0" fontId="234" fillId="0" borderId="267" xfId="149" applyFont="1" applyBorder="1" applyAlignment="1">
      <alignment horizontal="center" vertical="center"/>
    </xf>
    <xf numFmtId="0" fontId="30" fillId="0" borderId="257" xfId="149" applyFont="1" applyBorder="1" applyAlignment="1">
      <alignment horizontal="center" vertical="center"/>
    </xf>
    <xf numFmtId="0" fontId="30" fillId="0" borderId="256" xfId="149" applyFont="1" applyBorder="1" applyAlignment="1">
      <alignment horizontal="center" vertical="center"/>
    </xf>
    <xf numFmtId="173" fontId="234" fillId="0" borderId="266" xfId="149" applyNumberFormat="1" applyFont="1" applyBorder="1" applyAlignment="1">
      <alignment horizontal="center" vertical="center" wrapText="1"/>
    </xf>
    <xf numFmtId="173" fontId="234" fillId="0" borderId="262" xfId="149" applyNumberFormat="1" applyFont="1" applyBorder="1" applyAlignment="1">
      <alignment horizontal="center" vertical="center" wrapText="1"/>
    </xf>
    <xf numFmtId="173" fontId="234" fillId="0" borderId="267" xfId="149" applyNumberFormat="1" applyFont="1" applyBorder="1" applyAlignment="1">
      <alignment horizontal="center" vertical="center" wrapText="1"/>
    </xf>
    <xf numFmtId="0" fontId="236" fillId="0" borderId="266" xfId="149" applyFont="1" applyBorder="1" applyAlignment="1">
      <alignment horizontal="center" vertical="center" wrapText="1"/>
    </xf>
    <xf numFmtId="0" fontId="236" fillId="0" borderId="262" xfId="149" applyFont="1" applyBorder="1" applyAlignment="1">
      <alignment horizontal="center" vertical="center" wrapText="1"/>
    </xf>
    <xf numFmtId="0" fontId="236" fillId="0" borderId="267" xfId="149" applyFont="1" applyBorder="1" applyAlignment="1">
      <alignment horizontal="center" vertical="center" wrapText="1"/>
    </xf>
    <xf numFmtId="3" fontId="236" fillId="0" borderId="266" xfId="149" applyNumberFormat="1" applyFont="1" applyBorder="1" applyAlignment="1">
      <alignment horizontal="center" vertical="center"/>
    </xf>
    <xf numFmtId="3" fontId="236" fillId="0" borderId="262" xfId="149" applyNumberFormat="1" applyFont="1" applyBorder="1" applyAlignment="1">
      <alignment horizontal="center" vertical="center"/>
    </xf>
    <xf numFmtId="3" fontId="236" fillId="0" borderId="267" xfId="149" applyNumberFormat="1" applyFont="1" applyBorder="1" applyAlignment="1">
      <alignment horizontal="center" vertical="center"/>
    </xf>
    <xf numFmtId="0" fontId="234" fillId="0" borderId="266" xfId="149" applyFont="1" applyBorder="1" applyAlignment="1">
      <alignment horizontal="center" vertical="center" wrapText="1"/>
    </xf>
    <xf numFmtId="0" fontId="234" fillId="0" borderId="262" xfId="149" applyFont="1" applyBorder="1" applyAlignment="1">
      <alignment horizontal="center" vertical="center" wrapText="1"/>
    </xf>
    <xf numFmtId="0" fontId="234" fillId="0" borderId="267" xfId="149" applyFont="1" applyBorder="1" applyAlignment="1">
      <alignment horizontal="center" vertical="center" wrapText="1"/>
    </xf>
    <xf numFmtId="0" fontId="46" fillId="0" borderId="143" xfId="0" applyFont="1" applyBorder="1" applyAlignment="1">
      <alignment horizontal="left" wrapText="1"/>
    </xf>
    <xf numFmtId="0" fontId="5" fillId="20" borderId="262" xfId="149" applyFont="1" applyFill="1" applyBorder="1" applyAlignment="1">
      <alignment horizontal="center" vertical="center"/>
    </xf>
    <xf numFmtId="0" fontId="5" fillId="20" borderId="266" xfId="149" applyFont="1" applyFill="1" applyBorder="1" applyAlignment="1">
      <alignment horizontal="center" vertical="center"/>
    </xf>
    <xf numFmtId="0" fontId="5" fillId="20" borderId="257" xfId="149" applyFont="1" applyFill="1" applyBorder="1" applyAlignment="1">
      <alignment horizontal="center" vertical="center"/>
    </xf>
    <xf numFmtId="0" fontId="5" fillId="20" borderId="256" xfId="149" applyFont="1" applyFill="1" applyBorder="1" applyAlignment="1">
      <alignment horizontal="center" vertical="center"/>
    </xf>
    <xf numFmtId="17" fontId="234" fillId="0" borderId="266" xfId="0" applyNumberFormat="1" applyFont="1" applyBorder="1" applyAlignment="1">
      <alignment horizontal="center" vertical="center" wrapText="1"/>
    </xf>
    <xf numFmtId="0" fontId="234" fillId="0" borderId="262" xfId="0" applyFont="1" applyBorder="1" applyAlignment="1">
      <alignment horizontal="center" vertical="center" wrapText="1"/>
    </xf>
    <xf numFmtId="173" fontId="234" fillId="0" borderId="262" xfId="0" applyNumberFormat="1" applyFont="1" applyBorder="1" applyAlignment="1">
      <alignment horizontal="center" vertical="center" wrapText="1"/>
    </xf>
    <xf numFmtId="3" fontId="234" fillId="0" borderId="262" xfId="0" applyNumberFormat="1" applyFont="1" applyBorder="1" applyAlignment="1">
      <alignment horizontal="center" vertical="center" wrapText="1"/>
    </xf>
    <xf numFmtId="3" fontId="234" fillId="0" borderId="267" xfId="0" applyNumberFormat="1" applyFont="1" applyBorder="1" applyAlignment="1">
      <alignment horizontal="center" vertical="center" wrapText="1"/>
    </xf>
    <xf numFmtId="173" fontId="234" fillId="0" borderId="267" xfId="0" applyNumberFormat="1" applyFont="1" applyBorder="1" applyAlignment="1">
      <alignment horizontal="center" vertical="center" wrapText="1"/>
    </xf>
    <xf numFmtId="0" fontId="40" fillId="20" borderId="257" xfId="0" applyFont="1" applyFill="1" applyBorder="1" applyAlignment="1">
      <alignment horizontal="center" vertical="center"/>
    </xf>
    <xf numFmtId="0" fontId="40" fillId="20" borderId="256" xfId="0" applyFont="1" applyFill="1" applyBorder="1" applyAlignment="1">
      <alignment horizontal="center" vertical="center"/>
    </xf>
    <xf numFmtId="3" fontId="234" fillId="0" borderId="266" xfId="0" applyNumberFormat="1" applyFont="1" applyBorder="1" applyAlignment="1">
      <alignment horizontal="center" vertical="center"/>
    </xf>
    <xf numFmtId="3" fontId="234" fillId="0" borderId="267" xfId="0" applyNumberFormat="1" applyFont="1" applyBorder="1" applyAlignment="1">
      <alignment horizontal="center" vertical="center"/>
    </xf>
    <xf numFmtId="173" fontId="233" fillId="0" borderId="262" xfId="0" applyNumberFormat="1" applyFont="1" applyBorder="1" applyAlignment="1">
      <alignment horizontal="center" vertical="center" wrapText="1"/>
    </xf>
    <xf numFmtId="3" fontId="234" fillId="0" borderId="262" xfId="0" applyNumberFormat="1" applyFont="1" applyBorder="1" applyAlignment="1">
      <alignment horizontal="center" vertical="center"/>
    </xf>
    <xf numFmtId="3" fontId="1" fillId="0" borderId="266" xfId="0" applyNumberFormat="1" applyFont="1" applyBorder="1" applyAlignment="1">
      <alignment horizontal="center" vertical="center"/>
    </xf>
    <xf numFmtId="3" fontId="1" fillId="0" borderId="262" xfId="0" applyNumberFormat="1" applyFont="1" applyBorder="1" applyAlignment="1">
      <alignment horizontal="center" vertical="center"/>
    </xf>
    <xf numFmtId="3" fontId="1" fillId="0" borderId="267" xfId="0" applyNumberFormat="1" applyFont="1" applyBorder="1" applyAlignment="1">
      <alignment horizontal="center" vertical="center"/>
    </xf>
    <xf numFmtId="3" fontId="48" fillId="0" borderId="266" xfId="0" applyNumberFormat="1" applyFont="1" applyBorder="1" applyAlignment="1">
      <alignment horizontal="center" vertical="center"/>
    </xf>
    <xf numFmtId="3" fontId="48" fillId="0" borderId="262" xfId="0" applyNumberFormat="1" applyFont="1" applyBorder="1" applyAlignment="1">
      <alignment horizontal="center" vertical="center"/>
    </xf>
    <xf numFmtId="3" fontId="48" fillId="0" borderId="267" xfId="0" applyNumberFormat="1" applyFont="1" applyBorder="1" applyAlignment="1">
      <alignment horizontal="center" vertical="center"/>
    </xf>
    <xf numFmtId="173" fontId="1" fillId="0" borderId="262" xfId="0" applyNumberFormat="1" applyFont="1" applyBorder="1" applyAlignment="1">
      <alignment horizontal="center" vertical="center" wrapText="1"/>
    </xf>
    <xf numFmtId="173" fontId="1" fillId="0" borderId="267" xfId="0" applyNumberFormat="1" applyFont="1" applyBorder="1" applyAlignment="1">
      <alignment horizontal="center" vertical="center" wrapText="1"/>
    </xf>
    <xf numFmtId="3" fontId="1" fillId="0" borderId="262" xfId="0" applyNumberFormat="1" applyFont="1" applyBorder="1" applyAlignment="1">
      <alignment horizontal="center" vertical="center" wrapText="1"/>
    </xf>
    <xf numFmtId="3" fontId="1" fillId="0" borderId="267" xfId="0" applyNumberFormat="1" applyFont="1" applyBorder="1" applyAlignment="1">
      <alignment horizontal="center" vertical="center" wrapText="1"/>
    </xf>
    <xf numFmtId="17" fontId="1" fillId="0" borderId="266" xfId="0" quotePrefix="1" applyNumberFormat="1" applyFont="1" applyBorder="1" applyAlignment="1">
      <alignment horizontal="center" vertical="center"/>
    </xf>
    <xf numFmtId="0" fontId="1" fillId="0" borderId="262" xfId="0" applyFont="1" applyBorder="1" applyAlignment="1">
      <alignment horizontal="center" vertical="center"/>
    </xf>
    <xf numFmtId="3" fontId="1" fillId="0" borderId="266" xfId="149" applyNumberFormat="1" applyBorder="1" applyAlignment="1">
      <alignment horizontal="center" vertical="center"/>
    </xf>
    <xf numFmtId="3" fontId="1" fillId="0" borderId="262" xfId="149" applyNumberFormat="1" applyBorder="1" applyAlignment="1">
      <alignment horizontal="center" vertical="center"/>
    </xf>
    <xf numFmtId="3" fontId="1" fillId="0" borderId="267" xfId="149" applyNumberFormat="1" applyBorder="1" applyAlignment="1">
      <alignment horizontal="center" vertical="center"/>
    </xf>
    <xf numFmtId="0" fontId="46" fillId="0" borderId="0" xfId="0" applyFont="1" applyAlignment="1">
      <alignment horizontal="left" wrapText="1"/>
    </xf>
    <xf numFmtId="173" fontId="5" fillId="0" borderId="266" xfId="0" applyNumberFormat="1" applyFont="1" applyBorder="1" applyAlignment="1">
      <alignment horizontal="center" vertical="center" wrapText="1"/>
    </xf>
    <xf numFmtId="173" fontId="5" fillId="0" borderId="267" xfId="0" applyNumberFormat="1" applyFont="1" applyBorder="1" applyAlignment="1">
      <alignment horizontal="center" vertical="center" wrapText="1"/>
    </xf>
    <xf numFmtId="173" fontId="5" fillId="0" borderId="262" xfId="0" applyNumberFormat="1" applyFont="1" applyBorder="1" applyAlignment="1">
      <alignment horizontal="center" vertical="center" wrapText="1"/>
    </xf>
    <xf numFmtId="173" fontId="234" fillId="0" borderId="258" xfId="0" applyNumberFormat="1" applyFont="1" applyBorder="1" applyAlignment="1">
      <alignment horizontal="center" vertical="center" wrapText="1"/>
    </xf>
    <xf numFmtId="3" fontId="234" fillId="0" borderId="258" xfId="0" applyNumberFormat="1" applyFont="1" applyBorder="1" applyAlignment="1">
      <alignment horizontal="center" vertical="center"/>
    </xf>
    <xf numFmtId="0" fontId="40" fillId="0" borderId="257" xfId="0" applyFont="1" applyBorder="1" applyAlignment="1">
      <alignment horizontal="center" vertical="center"/>
    </xf>
    <xf numFmtId="0" fontId="40" fillId="0" borderId="248" xfId="0" applyFont="1" applyBorder="1" applyAlignment="1">
      <alignment horizontal="center" vertical="center"/>
    </xf>
    <xf numFmtId="0" fontId="40" fillId="0" borderId="256" xfId="0" applyFont="1" applyBorder="1" applyAlignment="1">
      <alignment horizontal="center" vertical="center"/>
    </xf>
    <xf numFmtId="0" fontId="49" fillId="0" borderId="273" xfId="0" applyFont="1" applyBorder="1" applyAlignment="1">
      <alignment horizontal="center" vertical="center"/>
    </xf>
    <xf numFmtId="0" fontId="49" fillId="0" borderId="276" xfId="0" applyFont="1" applyBorder="1" applyAlignment="1">
      <alignment horizontal="center" vertical="center"/>
    </xf>
    <xf numFmtId="0" fontId="49" fillId="0" borderId="277" xfId="0" applyFont="1" applyBorder="1" applyAlignment="1">
      <alignment horizontal="center" vertical="center"/>
    </xf>
    <xf numFmtId="0" fontId="5" fillId="20" borderId="274" xfId="149" applyFont="1" applyFill="1" applyBorder="1" applyAlignment="1">
      <alignment horizontal="center" vertical="center"/>
    </xf>
    <xf numFmtId="0" fontId="5" fillId="20" borderId="275" xfId="149" applyFont="1" applyFill="1" applyBorder="1" applyAlignment="1">
      <alignment horizontal="center" vertical="center" wrapText="1"/>
    </xf>
    <xf numFmtId="0" fontId="5" fillId="20" borderId="275" xfId="149" applyFont="1" applyFill="1" applyBorder="1" applyAlignment="1">
      <alignment horizontal="center" wrapText="1"/>
    </xf>
    <xf numFmtId="0" fontId="49" fillId="0" borderId="363" xfId="0" applyFont="1" applyBorder="1" applyAlignment="1">
      <alignment horizontal="center" vertical="center"/>
    </xf>
    <xf numFmtId="0" fontId="49" fillId="0" borderId="355" xfId="0" applyFont="1" applyBorder="1" applyAlignment="1">
      <alignment horizontal="center" vertical="center"/>
    </xf>
    <xf numFmtId="0" fontId="49" fillId="0" borderId="357" xfId="0" applyFont="1" applyBorder="1" applyAlignment="1">
      <alignment horizontal="center" vertical="center"/>
    </xf>
    <xf numFmtId="0" fontId="30" fillId="20" borderId="364" xfId="149" applyFont="1" applyFill="1" applyBorder="1" applyAlignment="1">
      <alignment horizontal="center" vertical="center"/>
    </xf>
    <xf numFmtId="0" fontId="30" fillId="20" borderId="363" xfId="149" applyFont="1" applyFill="1" applyBorder="1" applyAlignment="1">
      <alignment horizontal="center" vertical="center"/>
    </xf>
    <xf numFmtId="0" fontId="30" fillId="20" borderId="357" xfId="149" applyFont="1" applyFill="1" applyBorder="1" applyAlignment="1">
      <alignment horizontal="center" vertical="center"/>
    </xf>
    <xf numFmtId="0" fontId="0" fillId="0" borderId="364" xfId="0" applyBorder="1" applyAlignment="1">
      <alignment horizontal="center" vertical="center" wrapText="1"/>
    </xf>
    <xf numFmtId="0" fontId="0" fillId="0" borderId="364" xfId="0" applyBorder="1" applyAlignment="1">
      <alignment horizontal="center" vertical="center"/>
    </xf>
    <xf numFmtId="3" fontId="0" fillId="0" borderId="364" xfId="0" applyNumberFormat="1" applyBorder="1" applyAlignment="1">
      <alignment horizontal="center" vertical="center"/>
    </xf>
    <xf numFmtId="0" fontId="87" fillId="20" borderId="363" xfId="0" applyFont="1" applyFill="1" applyBorder="1" applyAlignment="1">
      <alignment horizontal="center" vertical="center"/>
    </xf>
    <xf numFmtId="0" fontId="87" fillId="20" borderId="355" xfId="0" applyFont="1" applyFill="1" applyBorder="1" applyAlignment="1">
      <alignment horizontal="center" vertical="center"/>
    </xf>
    <xf numFmtId="0" fontId="87" fillId="20" borderId="357" xfId="0" applyFont="1" applyFill="1" applyBorder="1" applyAlignment="1">
      <alignment horizontal="center" vertical="center"/>
    </xf>
    <xf numFmtId="0" fontId="87" fillId="0" borderId="363" xfId="0" applyFont="1" applyFill="1" applyBorder="1" applyAlignment="1">
      <alignment horizontal="center" vertical="center"/>
    </xf>
    <xf numFmtId="0" fontId="87" fillId="0" borderId="355" xfId="0" applyFont="1" applyFill="1" applyBorder="1" applyAlignment="1">
      <alignment horizontal="center" vertical="center"/>
    </xf>
    <xf numFmtId="0" fontId="87" fillId="0" borderId="357" xfId="0" applyFont="1" applyFill="1" applyBorder="1" applyAlignment="1">
      <alignment horizontal="center" vertical="center"/>
    </xf>
    <xf numFmtId="0" fontId="5" fillId="20" borderId="362" xfId="149" applyFont="1" applyFill="1" applyBorder="1" applyAlignment="1">
      <alignment horizontal="center" vertical="center"/>
    </xf>
    <xf numFmtId="0" fontId="56" fillId="0" borderId="363" xfId="0" applyFont="1" applyFill="1" applyBorder="1" applyAlignment="1">
      <alignment horizontal="center" vertical="center"/>
    </xf>
    <xf numFmtId="0" fontId="56" fillId="0" borderId="355" xfId="0" applyFont="1" applyFill="1" applyBorder="1" applyAlignment="1">
      <alignment horizontal="center" vertical="center"/>
    </xf>
    <xf numFmtId="0" fontId="56" fillId="0" borderId="357" xfId="0" applyFont="1" applyFill="1" applyBorder="1" applyAlignment="1">
      <alignment horizontal="center" vertical="center"/>
    </xf>
    <xf numFmtId="0" fontId="296" fillId="0" borderId="0" xfId="0" applyFont="1" applyAlignment="1">
      <alignment horizontal="center" vertical="center" wrapText="1"/>
    </xf>
    <xf numFmtId="17" fontId="124" fillId="0" borderId="254" xfId="0" applyNumberFormat="1" applyFont="1" applyBorder="1" applyAlignment="1">
      <alignment horizontal="center" vertical="center" wrapText="1"/>
    </xf>
    <xf numFmtId="17" fontId="79" fillId="0" borderId="103" xfId="0" applyNumberFormat="1" applyFont="1" applyBorder="1" applyAlignment="1">
      <alignment horizontal="center" vertical="center" wrapText="1"/>
    </xf>
    <xf numFmtId="17" fontId="79" fillId="0" borderId="123" xfId="0" applyNumberFormat="1" applyFont="1" applyBorder="1" applyAlignment="1">
      <alignment horizontal="center" vertical="center" wrapText="1"/>
    </xf>
    <xf numFmtId="17" fontId="79" fillId="0" borderId="125" xfId="0" applyNumberFormat="1" applyFont="1" applyBorder="1" applyAlignment="1">
      <alignment horizontal="center" vertical="center" wrapText="1"/>
    </xf>
    <xf numFmtId="17" fontId="79" fillId="0" borderId="124" xfId="0" applyNumberFormat="1" applyFont="1" applyBorder="1" applyAlignment="1">
      <alignment horizontal="center" vertical="center" wrapText="1"/>
    </xf>
    <xf numFmtId="0" fontId="44" fillId="0" borderId="0" xfId="0" applyFont="1" applyAlignment="1">
      <alignment horizontal="center" vertical="center" wrapText="1"/>
    </xf>
    <xf numFmtId="17" fontId="213" fillId="0" borderId="212" xfId="0" applyNumberFormat="1" applyFont="1" applyBorder="1" applyAlignment="1">
      <alignment horizontal="center" vertical="center" wrapText="1"/>
    </xf>
    <xf numFmtId="17" fontId="213" fillId="0" borderId="215" xfId="0" applyNumberFormat="1" applyFont="1" applyBorder="1" applyAlignment="1">
      <alignment horizontal="center" vertical="center" wrapText="1"/>
    </xf>
    <xf numFmtId="17" fontId="213" fillId="0" borderId="213" xfId="0" applyNumberFormat="1" applyFont="1" applyBorder="1" applyAlignment="1">
      <alignment horizontal="center" vertical="center" wrapText="1"/>
    </xf>
    <xf numFmtId="17" fontId="213" fillId="0" borderId="247" xfId="0" applyNumberFormat="1" applyFont="1" applyBorder="1" applyAlignment="1">
      <alignment horizontal="center" vertical="center" wrapText="1"/>
    </xf>
    <xf numFmtId="17" fontId="213" fillId="0" borderId="248" xfId="0" applyNumberFormat="1" applyFont="1" applyBorder="1" applyAlignment="1">
      <alignment horizontal="center" vertical="center" wrapText="1"/>
    </xf>
    <xf numFmtId="17" fontId="213" fillId="0" borderId="249" xfId="0" applyNumberFormat="1" applyFont="1" applyBorder="1" applyAlignment="1">
      <alignment horizontal="center" vertical="center" wrapText="1"/>
    </xf>
    <xf numFmtId="17" fontId="79" fillId="0" borderId="257" xfId="0" applyNumberFormat="1" applyFont="1" applyBorder="1" applyAlignment="1">
      <alignment horizontal="center" vertical="center" wrapText="1"/>
    </xf>
    <xf numFmtId="17" fontId="79" fillId="0" borderId="248" xfId="0" applyNumberFormat="1" applyFont="1" applyBorder="1" applyAlignment="1">
      <alignment horizontal="center" vertical="center" wrapText="1"/>
    </xf>
    <xf numFmtId="17" fontId="79" fillId="0" borderId="256" xfId="0" applyNumberFormat="1" applyFont="1" applyBorder="1" applyAlignment="1">
      <alignment horizontal="center" vertical="center" wrapText="1"/>
    </xf>
    <xf numFmtId="17" fontId="2" fillId="0" borderId="0" xfId="0" applyNumberFormat="1" applyFont="1" applyAlignment="1">
      <alignment horizontal="center" vertical="center" wrapText="1"/>
    </xf>
    <xf numFmtId="0" fontId="214" fillId="0" borderId="143" xfId="377" applyFont="1" applyBorder="1" applyAlignment="1">
      <alignment horizontal="left" wrapText="1"/>
    </xf>
    <xf numFmtId="0" fontId="49" fillId="0" borderId="254" xfId="0" applyFont="1" applyBorder="1" applyAlignment="1">
      <alignment horizontal="center" wrapText="1"/>
    </xf>
    <xf numFmtId="0" fontId="190" fillId="0" borderId="254" xfId="0" applyFont="1" applyBorder="1" applyAlignment="1">
      <alignment horizontal="center" vertical="center" wrapText="1"/>
    </xf>
    <xf numFmtId="0" fontId="247" fillId="0" borderId="0" xfId="0" applyFont="1" applyAlignment="1">
      <alignment horizontal="center" vertical="center" wrapText="1"/>
    </xf>
    <xf numFmtId="0" fontId="267" fillId="0" borderId="254" xfId="0" applyFont="1" applyBorder="1" applyAlignment="1">
      <alignment horizontal="center" vertical="center" wrapText="1"/>
    </xf>
    <xf numFmtId="0" fontId="105" fillId="0" borderId="212" xfId="0" applyFont="1" applyBorder="1" applyAlignment="1">
      <alignment horizontal="center" vertical="center" readingOrder="1"/>
    </xf>
    <xf numFmtId="0" fontId="105" fillId="0" borderId="215" xfId="0" applyFont="1" applyBorder="1" applyAlignment="1">
      <alignment horizontal="center" vertical="center" readingOrder="1"/>
    </xf>
    <xf numFmtId="0" fontId="105" fillId="0" borderId="213" xfId="0" applyFont="1" applyBorder="1" applyAlignment="1">
      <alignment horizontal="center" vertical="center" readingOrder="1"/>
    </xf>
    <xf numFmtId="0" fontId="105" fillId="0" borderId="123" xfId="0" applyFont="1" applyBorder="1" applyAlignment="1">
      <alignment horizontal="center" vertical="center" readingOrder="1"/>
    </xf>
    <xf numFmtId="0" fontId="105" fillId="0" borderId="125" xfId="0" applyFont="1" applyBorder="1" applyAlignment="1">
      <alignment horizontal="center" vertical="center" readingOrder="1"/>
    </xf>
    <xf numFmtId="0" fontId="105" fillId="0" borderId="124" xfId="0" applyFont="1" applyBorder="1" applyAlignment="1">
      <alignment horizontal="center" vertical="center" readingOrder="1"/>
    </xf>
    <xf numFmtId="0" fontId="43" fillId="0" borderId="212" xfId="2650" applyFont="1" applyBorder="1" applyAlignment="1">
      <alignment horizontal="center"/>
    </xf>
    <xf numFmtId="0" fontId="43" fillId="0" borderId="215" xfId="2650" applyFont="1" applyBorder="1" applyAlignment="1">
      <alignment horizontal="center"/>
    </xf>
    <xf numFmtId="0" fontId="43" fillId="0" borderId="213" xfId="2650" applyFont="1" applyBorder="1" applyAlignment="1">
      <alignment horizontal="center"/>
    </xf>
    <xf numFmtId="0" fontId="43" fillId="0" borderId="123" xfId="0" applyFont="1" applyBorder="1" applyAlignment="1">
      <alignment horizontal="center"/>
    </xf>
    <xf numFmtId="0" fontId="43" fillId="0" borderId="125" xfId="0" applyFont="1" applyBorder="1" applyAlignment="1">
      <alignment horizontal="center"/>
    </xf>
    <xf numFmtId="0" fontId="43" fillId="0" borderId="124" xfId="0" applyFont="1" applyBorder="1" applyAlignment="1">
      <alignment horizontal="center"/>
    </xf>
  </cellXfs>
  <cellStyles count="3793">
    <cellStyle name="20% - Énfasis1 2" xfId="1"/>
    <cellStyle name="20% - Énfasis1 2 2" xfId="2"/>
    <cellStyle name="20% - Énfasis1 2 2 2" xfId="3"/>
    <cellStyle name="20% - Énfasis1 2 2 2 2" xfId="826"/>
    <cellStyle name="20% - Énfasis1 2 2 2 2 2" xfId="827"/>
    <cellStyle name="20% - Énfasis1 2 2 2 3" xfId="828"/>
    <cellStyle name="20% - Énfasis1 2 2 3" xfId="829"/>
    <cellStyle name="20% - Énfasis1 2 2 3 2" xfId="830"/>
    <cellStyle name="20% - Énfasis1 2 2 4" xfId="831"/>
    <cellStyle name="20% - Énfasis1 2 2_ARTURO SSMC110113xls" xfId="832"/>
    <cellStyle name="20% - Énfasis1 2 3" xfId="4"/>
    <cellStyle name="20% - Énfasis1 2 3 2" xfId="5"/>
    <cellStyle name="20% - Énfasis1 2 3 2 2" xfId="833"/>
    <cellStyle name="20% - Énfasis1 2 3 2 2 2" xfId="834"/>
    <cellStyle name="20% - Énfasis1 2 3 2 3" xfId="835"/>
    <cellStyle name="20% - Énfasis1 2 3 3" xfId="836"/>
    <cellStyle name="20% - Énfasis1 2 3 3 2" xfId="837"/>
    <cellStyle name="20% - Énfasis1 2 3 4" xfId="838"/>
    <cellStyle name="20% - Énfasis1 2 3_ARTURO SSMC110113xls" xfId="839"/>
    <cellStyle name="20% - Énfasis1 2 4" xfId="6"/>
    <cellStyle name="20% - Énfasis1 2 4 2" xfId="840"/>
    <cellStyle name="20% - Énfasis1 2 4 2 2" xfId="841"/>
    <cellStyle name="20% - Énfasis1 2 4 3" xfId="842"/>
    <cellStyle name="20% - Énfasis1 2 5" xfId="843"/>
    <cellStyle name="20% - Énfasis1 2 5 2" xfId="844"/>
    <cellStyle name="20% - Énfasis1 2 6" xfId="845"/>
    <cellStyle name="20% - Énfasis1 2_ARTURO SSMC110113xls" xfId="846"/>
    <cellStyle name="20% - Énfasis1 3" xfId="458"/>
    <cellStyle name="20% - Énfasis2 2" xfId="7"/>
    <cellStyle name="20% - Énfasis2 2 2" xfId="8"/>
    <cellStyle name="20% - Énfasis2 2 2 2" xfId="9"/>
    <cellStyle name="20% - Énfasis2 2 2 2 2" xfId="847"/>
    <cellStyle name="20% - Énfasis2 2 2 2 2 2" xfId="848"/>
    <cellStyle name="20% - Énfasis2 2 2 2 3" xfId="849"/>
    <cellStyle name="20% - Énfasis2 2 2 3" xfId="850"/>
    <cellStyle name="20% - Énfasis2 2 2 3 2" xfId="851"/>
    <cellStyle name="20% - Énfasis2 2 2 4" xfId="852"/>
    <cellStyle name="20% - Énfasis2 2 2_ARTURO SSMC110113xls" xfId="853"/>
    <cellStyle name="20% - Énfasis2 2 3" xfId="10"/>
    <cellStyle name="20% - Énfasis2 2 3 2" xfId="11"/>
    <cellStyle name="20% - Énfasis2 2 3 2 2" xfId="854"/>
    <cellStyle name="20% - Énfasis2 2 3 2 2 2" xfId="855"/>
    <cellStyle name="20% - Énfasis2 2 3 2 3" xfId="856"/>
    <cellStyle name="20% - Énfasis2 2 3 3" xfId="857"/>
    <cellStyle name="20% - Énfasis2 2 3 3 2" xfId="858"/>
    <cellStyle name="20% - Énfasis2 2 3 4" xfId="859"/>
    <cellStyle name="20% - Énfasis2 2 3_ARTURO SSMC110113xls" xfId="860"/>
    <cellStyle name="20% - Énfasis2 2 4" xfId="12"/>
    <cellStyle name="20% - Énfasis2 2 4 2" xfId="861"/>
    <cellStyle name="20% - Énfasis2 2 4 2 2" xfId="862"/>
    <cellStyle name="20% - Énfasis2 2 4 3" xfId="863"/>
    <cellStyle name="20% - Énfasis2 2 5" xfId="864"/>
    <cellStyle name="20% - Énfasis2 2 5 2" xfId="865"/>
    <cellStyle name="20% - Énfasis2 2 6" xfId="866"/>
    <cellStyle name="20% - Énfasis2 2_ARTURO SSMC110113xls" xfId="867"/>
    <cellStyle name="20% - Énfasis2 3" xfId="459"/>
    <cellStyle name="20% - Énfasis3 2" xfId="13"/>
    <cellStyle name="20% - Énfasis3 2 2" xfId="14"/>
    <cellStyle name="20% - Énfasis3 2 2 2" xfId="15"/>
    <cellStyle name="20% - Énfasis3 2 2 2 2" xfId="868"/>
    <cellStyle name="20% - Énfasis3 2 2 2 2 2" xfId="869"/>
    <cellStyle name="20% - Énfasis3 2 2 2 3" xfId="870"/>
    <cellStyle name="20% - Énfasis3 2 2 3" xfId="871"/>
    <cellStyle name="20% - Énfasis3 2 2 3 2" xfId="872"/>
    <cellStyle name="20% - Énfasis3 2 2 4" xfId="873"/>
    <cellStyle name="20% - Énfasis3 2 2_ARTURO SSMC110113xls" xfId="874"/>
    <cellStyle name="20% - Énfasis3 2 3" xfId="16"/>
    <cellStyle name="20% - Énfasis3 2 3 2" xfId="17"/>
    <cellStyle name="20% - Énfasis3 2 3 2 2" xfId="875"/>
    <cellStyle name="20% - Énfasis3 2 3 2 2 2" xfId="876"/>
    <cellStyle name="20% - Énfasis3 2 3 2 3" xfId="877"/>
    <cellStyle name="20% - Énfasis3 2 3 3" xfId="878"/>
    <cellStyle name="20% - Énfasis3 2 3 3 2" xfId="879"/>
    <cellStyle name="20% - Énfasis3 2 3 4" xfId="880"/>
    <cellStyle name="20% - Énfasis3 2 3_ARTURO SSMC110113xls" xfId="881"/>
    <cellStyle name="20% - Énfasis3 2 4" xfId="18"/>
    <cellStyle name="20% - Énfasis3 2 4 2" xfId="882"/>
    <cellStyle name="20% - Énfasis3 2 4 2 2" xfId="883"/>
    <cellStyle name="20% - Énfasis3 2 4 3" xfId="884"/>
    <cellStyle name="20% - Énfasis3 2 5" xfId="885"/>
    <cellStyle name="20% - Énfasis3 2 5 2" xfId="886"/>
    <cellStyle name="20% - Énfasis3 2 6" xfId="887"/>
    <cellStyle name="20% - Énfasis3 2_ARTURO SSMC110113xls" xfId="888"/>
    <cellStyle name="20% - Énfasis3 3" xfId="460"/>
    <cellStyle name="20% - Énfasis4 2" xfId="19"/>
    <cellStyle name="20% - Énfasis4 2 2" xfId="20"/>
    <cellStyle name="20% - Énfasis4 2 2 2" xfId="21"/>
    <cellStyle name="20% - Énfasis4 2 2 2 2" xfId="889"/>
    <cellStyle name="20% - Énfasis4 2 2 2 2 2" xfId="890"/>
    <cellStyle name="20% - Énfasis4 2 2 2 3" xfId="891"/>
    <cellStyle name="20% - Énfasis4 2 2 3" xfId="892"/>
    <cellStyle name="20% - Énfasis4 2 2 3 2" xfId="893"/>
    <cellStyle name="20% - Énfasis4 2 2 4" xfId="894"/>
    <cellStyle name="20% - Énfasis4 2 2_ARTURO SSMC110113xls" xfId="895"/>
    <cellStyle name="20% - Énfasis4 2 3" xfId="22"/>
    <cellStyle name="20% - Énfasis4 2 3 2" xfId="23"/>
    <cellStyle name="20% - Énfasis4 2 3 2 2" xfId="896"/>
    <cellStyle name="20% - Énfasis4 2 3 2 2 2" xfId="897"/>
    <cellStyle name="20% - Énfasis4 2 3 2 3" xfId="898"/>
    <cellStyle name="20% - Énfasis4 2 3 3" xfId="899"/>
    <cellStyle name="20% - Énfasis4 2 3 3 2" xfId="900"/>
    <cellStyle name="20% - Énfasis4 2 3 4" xfId="901"/>
    <cellStyle name="20% - Énfasis4 2 3_ARTURO SSMC110113xls" xfId="902"/>
    <cellStyle name="20% - Énfasis4 2 4" xfId="24"/>
    <cellStyle name="20% - Énfasis4 2 4 2" xfId="903"/>
    <cellStyle name="20% - Énfasis4 2 4 2 2" xfId="904"/>
    <cellStyle name="20% - Énfasis4 2 4 3" xfId="905"/>
    <cellStyle name="20% - Énfasis4 2 5" xfId="906"/>
    <cellStyle name="20% - Énfasis4 2 5 2" xfId="907"/>
    <cellStyle name="20% - Énfasis4 2 6" xfId="908"/>
    <cellStyle name="20% - Énfasis4 2_ARTURO SSMC110113xls" xfId="909"/>
    <cellStyle name="20% - Énfasis4 3" xfId="461"/>
    <cellStyle name="20% - Énfasis5 2" xfId="25"/>
    <cellStyle name="20% - Énfasis5 2 2" xfId="26"/>
    <cellStyle name="20% - Énfasis5 2 2 2" xfId="27"/>
    <cellStyle name="20% - Énfasis5 2 2 2 2" xfId="910"/>
    <cellStyle name="20% - Énfasis5 2 2 2 2 2" xfId="911"/>
    <cellStyle name="20% - Énfasis5 2 2 2 3" xfId="912"/>
    <cellStyle name="20% - Énfasis5 2 2 3" xfId="913"/>
    <cellStyle name="20% - Énfasis5 2 2 3 2" xfId="914"/>
    <cellStyle name="20% - Énfasis5 2 2 4" xfId="915"/>
    <cellStyle name="20% - Énfasis5 2 2_ARTURO SSMC110113xls" xfId="916"/>
    <cellStyle name="20% - Énfasis5 2 3" xfId="28"/>
    <cellStyle name="20% - Énfasis5 2 3 2" xfId="29"/>
    <cellStyle name="20% - Énfasis5 2 3 2 2" xfId="917"/>
    <cellStyle name="20% - Énfasis5 2 3 2 2 2" xfId="918"/>
    <cellStyle name="20% - Énfasis5 2 3 2 3" xfId="919"/>
    <cellStyle name="20% - Énfasis5 2 3 3" xfId="920"/>
    <cellStyle name="20% - Énfasis5 2 3 3 2" xfId="921"/>
    <cellStyle name="20% - Énfasis5 2 3 4" xfId="922"/>
    <cellStyle name="20% - Énfasis5 2 3_ARTURO SSMC110113xls" xfId="923"/>
    <cellStyle name="20% - Énfasis5 2 4" xfId="30"/>
    <cellStyle name="20% - Énfasis5 2 4 2" xfId="924"/>
    <cellStyle name="20% - Énfasis5 2 4 2 2" xfId="925"/>
    <cellStyle name="20% - Énfasis5 2 4 3" xfId="926"/>
    <cellStyle name="20% - Énfasis5 2 5" xfId="927"/>
    <cellStyle name="20% - Énfasis5 2 5 2" xfId="928"/>
    <cellStyle name="20% - Énfasis5 2 6" xfId="929"/>
    <cellStyle name="20% - Énfasis5 2_ARTURO SSMC110113xls" xfId="930"/>
    <cellStyle name="20% - Énfasis5 3" xfId="31"/>
    <cellStyle name="20% - Énfasis5 3 10" xfId="931"/>
    <cellStyle name="20% - Énfasis5 3 2" xfId="462"/>
    <cellStyle name="20% - Énfasis5 3 2 2" xfId="463"/>
    <cellStyle name="20% - Énfasis5 3 2 2 2" xfId="932"/>
    <cellStyle name="20% - Énfasis5 3 2 2 2 2" xfId="933"/>
    <cellStyle name="20% - Énfasis5 3 2 2 3" xfId="934"/>
    <cellStyle name="20% - Énfasis5 3 2 3" xfId="935"/>
    <cellStyle name="20% - Énfasis5 3 2 3 2" xfId="936"/>
    <cellStyle name="20% - Énfasis5 3 2 4" xfId="937"/>
    <cellStyle name="20% - Énfasis5 3 3" xfId="938"/>
    <cellStyle name="20% - Énfasis5 3 3 2" xfId="939"/>
    <cellStyle name="20% - Énfasis5 3 3 2 2" xfId="940"/>
    <cellStyle name="20% - Énfasis5 3 3 2 2 2" xfId="941"/>
    <cellStyle name="20% - Énfasis5 3 3 2 3" xfId="942"/>
    <cellStyle name="20% - Énfasis5 3 3 3" xfId="943"/>
    <cellStyle name="20% - Énfasis5 3 3 3 2" xfId="944"/>
    <cellStyle name="20% - Énfasis5 3 3 4" xfId="945"/>
    <cellStyle name="20% - Énfasis5 3 4" xfId="946"/>
    <cellStyle name="20% - Énfasis5 3 4 2" xfId="947"/>
    <cellStyle name="20% - Énfasis5 3 4 2 2" xfId="948"/>
    <cellStyle name="20% - Énfasis5 3 4 2 2 2" xfId="949"/>
    <cellStyle name="20% - Énfasis5 3 4 2 3" xfId="950"/>
    <cellStyle name="20% - Énfasis5 3 4 3" xfId="951"/>
    <cellStyle name="20% - Énfasis5 3 4 3 2" xfId="952"/>
    <cellStyle name="20% - Énfasis5 3 4 4" xfId="953"/>
    <cellStyle name="20% - Énfasis5 3 5" xfId="954"/>
    <cellStyle name="20% - Énfasis5 3 5 2" xfId="955"/>
    <cellStyle name="20% - Énfasis5 3 5 2 2" xfId="956"/>
    <cellStyle name="20% - Énfasis5 3 5 2 2 2" xfId="957"/>
    <cellStyle name="20% - Énfasis5 3 5 2 3" xfId="958"/>
    <cellStyle name="20% - Énfasis5 3 5 3" xfId="959"/>
    <cellStyle name="20% - Énfasis5 3 5 3 2" xfId="960"/>
    <cellStyle name="20% - Énfasis5 3 5 4" xfId="961"/>
    <cellStyle name="20% - Énfasis5 3 6" xfId="962"/>
    <cellStyle name="20% - Énfasis5 3 6 2" xfId="963"/>
    <cellStyle name="20% - Énfasis5 3 6 2 2" xfId="964"/>
    <cellStyle name="20% - Énfasis5 3 6 2 2 2" xfId="965"/>
    <cellStyle name="20% - Énfasis5 3 6 2 3" xfId="966"/>
    <cellStyle name="20% - Énfasis5 3 6 3" xfId="967"/>
    <cellStyle name="20% - Énfasis5 3 6 3 2" xfId="968"/>
    <cellStyle name="20% - Énfasis5 3 6 4" xfId="969"/>
    <cellStyle name="20% - Énfasis5 3 7" xfId="970"/>
    <cellStyle name="20% - Énfasis5 3 7 2" xfId="971"/>
    <cellStyle name="20% - Énfasis5 3 7 2 2" xfId="972"/>
    <cellStyle name="20% - Énfasis5 3 7 2 2 2" xfId="973"/>
    <cellStyle name="20% - Énfasis5 3 7 2 3" xfId="974"/>
    <cellStyle name="20% - Énfasis5 3 7 3" xfId="975"/>
    <cellStyle name="20% - Énfasis5 3 7 3 2" xfId="976"/>
    <cellStyle name="20% - Énfasis5 3 7 4" xfId="977"/>
    <cellStyle name="20% - Énfasis5 3 8" xfId="978"/>
    <cellStyle name="20% - Énfasis5 3 8 2" xfId="979"/>
    <cellStyle name="20% - Énfasis5 3 8 2 2" xfId="980"/>
    <cellStyle name="20% - Énfasis5 3 8 3" xfId="981"/>
    <cellStyle name="20% - Énfasis5 3 9" xfId="982"/>
    <cellStyle name="20% - Énfasis5 3 9 2" xfId="983"/>
    <cellStyle name="20% - Énfasis5 4" xfId="32"/>
    <cellStyle name="20% - Énfasis5 4 10" xfId="984"/>
    <cellStyle name="20% - Énfasis5 4 2" xfId="464"/>
    <cellStyle name="20% - Énfasis5 4 2 2" xfId="985"/>
    <cellStyle name="20% - Énfasis5 4 2 2 2" xfId="986"/>
    <cellStyle name="20% - Énfasis5 4 2 2 2 2" xfId="987"/>
    <cellStyle name="20% - Énfasis5 4 2 2 3" xfId="988"/>
    <cellStyle name="20% - Énfasis5 4 2 3" xfId="989"/>
    <cellStyle name="20% - Énfasis5 4 2 3 2" xfId="990"/>
    <cellStyle name="20% - Énfasis5 4 2 4" xfId="991"/>
    <cellStyle name="20% - Énfasis5 4 3" xfId="992"/>
    <cellStyle name="20% - Énfasis5 4 3 2" xfId="993"/>
    <cellStyle name="20% - Énfasis5 4 3 2 2" xfId="994"/>
    <cellStyle name="20% - Énfasis5 4 3 2 2 2" xfId="995"/>
    <cellStyle name="20% - Énfasis5 4 3 2 3" xfId="996"/>
    <cellStyle name="20% - Énfasis5 4 3 3" xfId="997"/>
    <cellStyle name="20% - Énfasis5 4 3 3 2" xfId="998"/>
    <cellStyle name="20% - Énfasis5 4 3 4" xfId="999"/>
    <cellStyle name="20% - Énfasis5 4 4" xfId="1000"/>
    <cellStyle name="20% - Énfasis5 4 4 2" xfId="1001"/>
    <cellStyle name="20% - Énfasis5 4 4 2 2" xfId="1002"/>
    <cellStyle name="20% - Énfasis5 4 4 2 2 2" xfId="1003"/>
    <cellStyle name="20% - Énfasis5 4 4 2 3" xfId="1004"/>
    <cellStyle name="20% - Énfasis5 4 4 3" xfId="1005"/>
    <cellStyle name="20% - Énfasis5 4 4 3 2" xfId="1006"/>
    <cellStyle name="20% - Énfasis5 4 4 4" xfId="1007"/>
    <cellStyle name="20% - Énfasis5 4 5" xfId="1008"/>
    <cellStyle name="20% - Énfasis5 4 5 2" xfId="1009"/>
    <cellStyle name="20% - Énfasis5 4 5 2 2" xfId="1010"/>
    <cellStyle name="20% - Énfasis5 4 5 2 2 2" xfId="1011"/>
    <cellStyle name="20% - Énfasis5 4 5 2 3" xfId="1012"/>
    <cellStyle name="20% - Énfasis5 4 5 3" xfId="1013"/>
    <cellStyle name="20% - Énfasis5 4 5 3 2" xfId="1014"/>
    <cellStyle name="20% - Énfasis5 4 5 4" xfId="1015"/>
    <cellStyle name="20% - Énfasis5 4 6" xfId="1016"/>
    <cellStyle name="20% - Énfasis5 4 6 2" xfId="1017"/>
    <cellStyle name="20% - Énfasis5 4 6 2 2" xfId="1018"/>
    <cellStyle name="20% - Énfasis5 4 6 2 2 2" xfId="1019"/>
    <cellStyle name="20% - Énfasis5 4 6 2 3" xfId="1020"/>
    <cellStyle name="20% - Énfasis5 4 6 3" xfId="1021"/>
    <cellStyle name="20% - Énfasis5 4 6 3 2" xfId="1022"/>
    <cellStyle name="20% - Énfasis5 4 6 4" xfId="1023"/>
    <cellStyle name="20% - Énfasis5 4 7" xfId="1024"/>
    <cellStyle name="20% - Énfasis5 4 7 2" xfId="1025"/>
    <cellStyle name="20% - Énfasis5 4 7 2 2" xfId="1026"/>
    <cellStyle name="20% - Énfasis5 4 7 2 2 2" xfId="1027"/>
    <cellStyle name="20% - Énfasis5 4 7 2 3" xfId="1028"/>
    <cellStyle name="20% - Énfasis5 4 7 3" xfId="1029"/>
    <cellStyle name="20% - Énfasis5 4 7 3 2" xfId="1030"/>
    <cellStyle name="20% - Énfasis5 4 7 4" xfId="1031"/>
    <cellStyle name="20% - Énfasis5 4 8" xfId="1032"/>
    <cellStyle name="20% - Énfasis5 4 8 2" xfId="1033"/>
    <cellStyle name="20% - Énfasis5 4 8 2 2" xfId="1034"/>
    <cellStyle name="20% - Énfasis5 4 8 3" xfId="1035"/>
    <cellStyle name="20% - Énfasis5 4 9" xfId="1036"/>
    <cellStyle name="20% - Énfasis5 4 9 2" xfId="1037"/>
    <cellStyle name="20% - Énfasis5 5" xfId="33"/>
    <cellStyle name="20% - Énfasis5 5 10" xfId="1038"/>
    <cellStyle name="20% - Énfasis5 5 2" xfId="465"/>
    <cellStyle name="20% - Énfasis5 5 2 2" xfId="1039"/>
    <cellStyle name="20% - Énfasis5 5 2 2 2" xfId="1040"/>
    <cellStyle name="20% - Énfasis5 5 2 2 2 2" xfId="1041"/>
    <cellStyle name="20% - Énfasis5 5 2 2 3" xfId="1042"/>
    <cellStyle name="20% - Énfasis5 5 2 3" xfId="1043"/>
    <cellStyle name="20% - Énfasis5 5 2 3 2" xfId="1044"/>
    <cellStyle name="20% - Énfasis5 5 2 4" xfId="1045"/>
    <cellStyle name="20% - Énfasis5 5 3" xfId="1046"/>
    <cellStyle name="20% - Énfasis5 5 3 2" xfId="1047"/>
    <cellStyle name="20% - Énfasis5 5 3 2 2" xfId="1048"/>
    <cellStyle name="20% - Énfasis5 5 3 2 2 2" xfId="1049"/>
    <cellStyle name="20% - Énfasis5 5 3 2 3" xfId="1050"/>
    <cellStyle name="20% - Énfasis5 5 3 3" xfId="1051"/>
    <cellStyle name="20% - Énfasis5 5 3 3 2" xfId="1052"/>
    <cellStyle name="20% - Énfasis5 5 3 4" xfId="1053"/>
    <cellStyle name="20% - Énfasis5 5 4" xfId="1054"/>
    <cellStyle name="20% - Énfasis5 5 4 2" xfId="1055"/>
    <cellStyle name="20% - Énfasis5 5 4 2 2" xfId="1056"/>
    <cellStyle name="20% - Énfasis5 5 4 2 2 2" xfId="1057"/>
    <cellStyle name="20% - Énfasis5 5 4 2 3" xfId="1058"/>
    <cellStyle name="20% - Énfasis5 5 4 3" xfId="1059"/>
    <cellStyle name="20% - Énfasis5 5 4 3 2" xfId="1060"/>
    <cellStyle name="20% - Énfasis5 5 4 4" xfId="1061"/>
    <cellStyle name="20% - Énfasis5 5 5" xfId="1062"/>
    <cellStyle name="20% - Énfasis5 5 5 2" xfId="1063"/>
    <cellStyle name="20% - Énfasis5 5 5 2 2" xfId="1064"/>
    <cellStyle name="20% - Énfasis5 5 5 2 2 2" xfId="1065"/>
    <cellStyle name="20% - Énfasis5 5 5 2 3" xfId="1066"/>
    <cellStyle name="20% - Énfasis5 5 5 3" xfId="1067"/>
    <cellStyle name="20% - Énfasis5 5 5 3 2" xfId="1068"/>
    <cellStyle name="20% - Énfasis5 5 5 4" xfId="1069"/>
    <cellStyle name="20% - Énfasis5 5 6" xfId="1070"/>
    <cellStyle name="20% - Énfasis5 5 6 2" xfId="1071"/>
    <cellStyle name="20% - Énfasis5 5 6 2 2" xfId="1072"/>
    <cellStyle name="20% - Énfasis5 5 6 2 2 2" xfId="1073"/>
    <cellStyle name="20% - Énfasis5 5 6 2 3" xfId="1074"/>
    <cellStyle name="20% - Énfasis5 5 6 3" xfId="1075"/>
    <cellStyle name="20% - Énfasis5 5 6 3 2" xfId="1076"/>
    <cellStyle name="20% - Énfasis5 5 6 4" xfId="1077"/>
    <cellStyle name="20% - Énfasis5 5 7" xfId="1078"/>
    <cellStyle name="20% - Énfasis5 5 7 2" xfId="1079"/>
    <cellStyle name="20% - Énfasis5 5 7 2 2" xfId="1080"/>
    <cellStyle name="20% - Énfasis5 5 7 2 2 2" xfId="1081"/>
    <cellStyle name="20% - Énfasis5 5 7 2 3" xfId="1082"/>
    <cellStyle name="20% - Énfasis5 5 7 3" xfId="1083"/>
    <cellStyle name="20% - Énfasis5 5 7 3 2" xfId="1084"/>
    <cellStyle name="20% - Énfasis5 5 7 4" xfId="1085"/>
    <cellStyle name="20% - Énfasis5 5 8" xfId="1086"/>
    <cellStyle name="20% - Énfasis5 5 8 2" xfId="1087"/>
    <cellStyle name="20% - Énfasis5 5 8 2 2" xfId="1088"/>
    <cellStyle name="20% - Énfasis5 5 8 3" xfId="1089"/>
    <cellStyle name="20% - Énfasis5 5 9" xfId="1090"/>
    <cellStyle name="20% - Énfasis5 5 9 2" xfId="1091"/>
    <cellStyle name="20% - Énfasis5 6" xfId="34"/>
    <cellStyle name="20% - Énfasis5 6 10" xfId="1092"/>
    <cellStyle name="20% - Énfasis5 6 2" xfId="466"/>
    <cellStyle name="20% - Énfasis5 6 2 2" xfId="1093"/>
    <cellStyle name="20% - Énfasis5 6 2 2 2" xfId="1094"/>
    <cellStyle name="20% - Énfasis5 6 2 2 2 2" xfId="1095"/>
    <cellStyle name="20% - Énfasis5 6 2 2 3" xfId="1096"/>
    <cellStyle name="20% - Énfasis5 6 2 3" xfId="1097"/>
    <cellStyle name="20% - Énfasis5 6 2 3 2" xfId="1098"/>
    <cellStyle name="20% - Énfasis5 6 2 4" xfId="1099"/>
    <cellStyle name="20% - Énfasis5 6 3" xfId="1100"/>
    <cellStyle name="20% - Énfasis5 6 3 2" xfId="1101"/>
    <cellStyle name="20% - Énfasis5 6 3 2 2" xfId="1102"/>
    <cellStyle name="20% - Énfasis5 6 3 2 2 2" xfId="1103"/>
    <cellStyle name="20% - Énfasis5 6 3 2 3" xfId="1104"/>
    <cellStyle name="20% - Énfasis5 6 3 3" xfId="1105"/>
    <cellStyle name="20% - Énfasis5 6 3 3 2" xfId="1106"/>
    <cellStyle name="20% - Énfasis5 6 3 4" xfId="1107"/>
    <cellStyle name="20% - Énfasis5 6 4" xfId="1108"/>
    <cellStyle name="20% - Énfasis5 6 4 2" xfId="1109"/>
    <cellStyle name="20% - Énfasis5 6 4 2 2" xfId="1110"/>
    <cellStyle name="20% - Énfasis5 6 4 2 2 2" xfId="1111"/>
    <cellStyle name="20% - Énfasis5 6 4 2 3" xfId="1112"/>
    <cellStyle name="20% - Énfasis5 6 4 3" xfId="1113"/>
    <cellStyle name="20% - Énfasis5 6 4 3 2" xfId="1114"/>
    <cellStyle name="20% - Énfasis5 6 4 4" xfId="1115"/>
    <cellStyle name="20% - Énfasis5 6 5" xfId="1116"/>
    <cellStyle name="20% - Énfasis5 6 5 2" xfId="1117"/>
    <cellStyle name="20% - Énfasis5 6 5 2 2" xfId="1118"/>
    <cellStyle name="20% - Énfasis5 6 5 2 2 2" xfId="1119"/>
    <cellStyle name="20% - Énfasis5 6 5 2 3" xfId="1120"/>
    <cellStyle name="20% - Énfasis5 6 5 3" xfId="1121"/>
    <cellStyle name="20% - Énfasis5 6 5 3 2" xfId="1122"/>
    <cellStyle name="20% - Énfasis5 6 5 4" xfId="1123"/>
    <cellStyle name="20% - Énfasis5 6 6" xfId="1124"/>
    <cellStyle name="20% - Énfasis5 6 6 2" xfId="1125"/>
    <cellStyle name="20% - Énfasis5 6 6 2 2" xfId="1126"/>
    <cellStyle name="20% - Énfasis5 6 6 2 2 2" xfId="1127"/>
    <cellStyle name="20% - Énfasis5 6 6 2 3" xfId="1128"/>
    <cellStyle name="20% - Énfasis5 6 6 3" xfId="1129"/>
    <cellStyle name="20% - Énfasis5 6 6 3 2" xfId="1130"/>
    <cellStyle name="20% - Énfasis5 6 6 4" xfId="1131"/>
    <cellStyle name="20% - Énfasis5 6 7" xfId="1132"/>
    <cellStyle name="20% - Énfasis5 6 7 2" xfId="1133"/>
    <cellStyle name="20% - Énfasis5 6 7 2 2" xfId="1134"/>
    <cellStyle name="20% - Énfasis5 6 7 2 2 2" xfId="1135"/>
    <cellStyle name="20% - Énfasis5 6 7 2 3" xfId="1136"/>
    <cellStyle name="20% - Énfasis5 6 7 3" xfId="1137"/>
    <cellStyle name="20% - Énfasis5 6 7 3 2" xfId="1138"/>
    <cellStyle name="20% - Énfasis5 6 7 4" xfId="1139"/>
    <cellStyle name="20% - Énfasis5 6 8" xfId="1140"/>
    <cellStyle name="20% - Énfasis5 6 8 2" xfId="1141"/>
    <cellStyle name="20% - Énfasis5 6 8 2 2" xfId="1142"/>
    <cellStyle name="20% - Énfasis5 6 8 3" xfId="1143"/>
    <cellStyle name="20% - Énfasis5 6 9" xfId="1144"/>
    <cellStyle name="20% - Énfasis5 6 9 2" xfId="1145"/>
    <cellStyle name="20% - Énfasis6 2" xfId="35"/>
    <cellStyle name="20% - Énfasis6 2 2" xfId="36"/>
    <cellStyle name="20% - Énfasis6 2 2 2" xfId="37"/>
    <cellStyle name="20% - Énfasis6 2 2 2 2" xfId="1146"/>
    <cellStyle name="20% - Énfasis6 2 2 2 2 2" xfId="1147"/>
    <cellStyle name="20% - Énfasis6 2 2 2 3" xfId="1148"/>
    <cellStyle name="20% - Énfasis6 2 2 3" xfId="1149"/>
    <cellStyle name="20% - Énfasis6 2 2 3 2" xfId="1150"/>
    <cellStyle name="20% - Énfasis6 2 2 4" xfId="1151"/>
    <cellStyle name="20% - Énfasis6 2 2_ARTURO SSMC110113xls" xfId="1152"/>
    <cellStyle name="20% - Énfasis6 2 3" xfId="38"/>
    <cellStyle name="20% - Énfasis6 2 3 2" xfId="39"/>
    <cellStyle name="20% - Énfasis6 2 3 2 2" xfId="1153"/>
    <cellStyle name="20% - Énfasis6 2 3 2 2 2" xfId="1154"/>
    <cellStyle name="20% - Énfasis6 2 3 2 3" xfId="1155"/>
    <cellStyle name="20% - Énfasis6 2 3 3" xfId="1156"/>
    <cellStyle name="20% - Énfasis6 2 3 3 2" xfId="1157"/>
    <cellStyle name="20% - Énfasis6 2 3 4" xfId="1158"/>
    <cellStyle name="20% - Énfasis6 2 3_ARTURO SSMC110113xls" xfId="1159"/>
    <cellStyle name="20% - Énfasis6 2 4" xfId="40"/>
    <cellStyle name="20% - Énfasis6 2 4 2" xfId="1160"/>
    <cellStyle name="20% - Énfasis6 2 4 2 2" xfId="1161"/>
    <cellStyle name="20% - Énfasis6 2 4 3" xfId="1162"/>
    <cellStyle name="20% - Énfasis6 2 5" xfId="1163"/>
    <cellStyle name="20% - Énfasis6 2 5 2" xfId="1164"/>
    <cellStyle name="20% - Énfasis6 2 6" xfId="1165"/>
    <cellStyle name="20% - Énfasis6 2_ARTURO SSMC110113xls" xfId="1166"/>
    <cellStyle name="20% - Énfasis6 3" xfId="467"/>
    <cellStyle name="40% - Énfasis1 2" xfId="41"/>
    <cellStyle name="40% - Énfasis1 2 2" xfId="42"/>
    <cellStyle name="40% - Énfasis1 2 2 2" xfId="43"/>
    <cellStyle name="40% - Énfasis1 2 2 2 2" xfId="1167"/>
    <cellStyle name="40% - Énfasis1 2 2 2 2 2" xfId="1168"/>
    <cellStyle name="40% - Énfasis1 2 2 2 3" xfId="1169"/>
    <cellStyle name="40% - Énfasis1 2 2 3" xfId="1170"/>
    <cellStyle name="40% - Énfasis1 2 2 3 2" xfId="1171"/>
    <cellStyle name="40% - Énfasis1 2 2 4" xfId="1172"/>
    <cellStyle name="40% - Énfasis1 2 2_ARTURO SSMC110113xls" xfId="1173"/>
    <cellStyle name="40% - Énfasis1 2 3" xfId="44"/>
    <cellStyle name="40% - Énfasis1 2 3 2" xfId="45"/>
    <cellStyle name="40% - Énfasis1 2 3 2 2" xfId="1174"/>
    <cellStyle name="40% - Énfasis1 2 3 2 2 2" xfId="1175"/>
    <cellStyle name="40% - Énfasis1 2 3 2 3" xfId="1176"/>
    <cellStyle name="40% - Énfasis1 2 3 3" xfId="1177"/>
    <cellStyle name="40% - Énfasis1 2 3 3 2" xfId="1178"/>
    <cellStyle name="40% - Énfasis1 2 3 4" xfId="1179"/>
    <cellStyle name="40% - Énfasis1 2 3_ARTURO SSMC110113xls" xfId="1180"/>
    <cellStyle name="40% - Énfasis1 2 4" xfId="46"/>
    <cellStyle name="40% - Énfasis1 2 4 2" xfId="1181"/>
    <cellStyle name="40% - Énfasis1 2 4 2 2" xfId="1182"/>
    <cellStyle name="40% - Énfasis1 2 4 3" xfId="1183"/>
    <cellStyle name="40% - Énfasis1 2 5" xfId="1184"/>
    <cellStyle name="40% - Énfasis1 2 5 2" xfId="1185"/>
    <cellStyle name="40% - Énfasis1 2 6" xfId="1186"/>
    <cellStyle name="40% - Énfasis1 2_ARTURO SSMC110113xls" xfId="1187"/>
    <cellStyle name="40% - Énfasis1 3" xfId="468"/>
    <cellStyle name="40% - Énfasis2 2" xfId="47"/>
    <cellStyle name="40% - Énfasis2 2 2" xfId="48"/>
    <cellStyle name="40% - Énfasis2 2 2 2" xfId="49"/>
    <cellStyle name="40% - Énfasis2 2 2 2 2" xfId="1188"/>
    <cellStyle name="40% - Énfasis2 2 2 2 2 2" xfId="1189"/>
    <cellStyle name="40% - Énfasis2 2 2 2 3" xfId="1190"/>
    <cellStyle name="40% - Énfasis2 2 2 3" xfId="1191"/>
    <cellStyle name="40% - Énfasis2 2 2 3 2" xfId="1192"/>
    <cellStyle name="40% - Énfasis2 2 2 4" xfId="1193"/>
    <cellStyle name="40% - Énfasis2 2 2_ARTURO SSMC110113xls" xfId="1194"/>
    <cellStyle name="40% - Énfasis2 2 3" xfId="50"/>
    <cellStyle name="40% - Énfasis2 2 3 2" xfId="51"/>
    <cellStyle name="40% - Énfasis2 2 3 2 2" xfId="1195"/>
    <cellStyle name="40% - Énfasis2 2 3 2 2 2" xfId="1196"/>
    <cellStyle name="40% - Énfasis2 2 3 2 3" xfId="1197"/>
    <cellStyle name="40% - Énfasis2 2 3 3" xfId="1198"/>
    <cellStyle name="40% - Énfasis2 2 3 3 2" xfId="1199"/>
    <cellStyle name="40% - Énfasis2 2 3 4" xfId="1200"/>
    <cellStyle name="40% - Énfasis2 2 3_ARTURO SSMC110113xls" xfId="1201"/>
    <cellStyle name="40% - Énfasis2 2 4" xfId="52"/>
    <cellStyle name="40% - Énfasis2 2 4 2" xfId="1202"/>
    <cellStyle name="40% - Énfasis2 2 4 2 2" xfId="1203"/>
    <cellStyle name="40% - Énfasis2 2 4 3" xfId="1204"/>
    <cellStyle name="40% - Énfasis2 2 5" xfId="1205"/>
    <cellStyle name="40% - Énfasis2 2 5 2" xfId="1206"/>
    <cellStyle name="40% - Énfasis2 2 6" xfId="1207"/>
    <cellStyle name="40% - Énfasis2 2_ARTURO SSMC110113xls" xfId="1208"/>
    <cellStyle name="40% - Énfasis2 3" xfId="469"/>
    <cellStyle name="40% - Énfasis3 2" xfId="53"/>
    <cellStyle name="40% - Énfasis3 2 2" xfId="54"/>
    <cellStyle name="40% - Énfasis3 2 2 2" xfId="55"/>
    <cellStyle name="40% - Énfasis3 2 2 2 2" xfId="1209"/>
    <cellStyle name="40% - Énfasis3 2 2 2 2 2" xfId="1210"/>
    <cellStyle name="40% - Énfasis3 2 2 2 3" xfId="1211"/>
    <cellStyle name="40% - Énfasis3 2 2 3" xfId="1212"/>
    <cellStyle name="40% - Énfasis3 2 2 3 2" xfId="1213"/>
    <cellStyle name="40% - Énfasis3 2 2 4" xfId="1214"/>
    <cellStyle name="40% - Énfasis3 2 2_ARTURO SSMC110113xls" xfId="1215"/>
    <cellStyle name="40% - Énfasis3 2 3" xfId="56"/>
    <cellStyle name="40% - Énfasis3 2 3 2" xfId="57"/>
    <cellStyle name="40% - Énfasis3 2 3 2 2" xfId="1216"/>
    <cellStyle name="40% - Énfasis3 2 3 2 2 2" xfId="1217"/>
    <cellStyle name="40% - Énfasis3 2 3 2 3" xfId="1218"/>
    <cellStyle name="40% - Énfasis3 2 3 3" xfId="1219"/>
    <cellStyle name="40% - Énfasis3 2 3 3 2" xfId="1220"/>
    <cellStyle name="40% - Énfasis3 2 3 4" xfId="1221"/>
    <cellStyle name="40% - Énfasis3 2 3_ARTURO SSMC110113xls" xfId="1222"/>
    <cellStyle name="40% - Énfasis3 2 4" xfId="58"/>
    <cellStyle name="40% - Énfasis3 2 4 2" xfId="1223"/>
    <cellStyle name="40% - Énfasis3 2 4 2 2" xfId="1224"/>
    <cellStyle name="40% - Énfasis3 2 4 3" xfId="1225"/>
    <cellStyle name="40% - Énfasis3 2 5" xfId="1226"/>
    <cellStyle name="40% - Énfasis3 2 5 2" xfId="1227"/>
    <cellStyle name="40% - Énfasis3 2 6" xfId="1228"/>
    <cellStyle name="40% - Énfasis3 2_ARTURO SSMC110113xls" xfId="1229"/>
    <cellStyle name="40% - Énfasis3 3" xfId="470"/>
    <cellStyle name="40% - Énfasis4 2" xfId="59"/>
    <cellStyle name="40% - Énfasis4 2 2" xfId="60"/>
    <cellStyle name="40% - Énfasis4 2 2 2" xfId="61"/>
    <cellStyle name="40% - Énfasis4 2 2 2 2" xfId="1230"/>
    <cellStyle name="40% - Énfasis4 2 2 2 2 2" xfId="1231"/>
    <cellStyle name="40% - Énfasis4 2 2 2 3" xfId="1232"/>
    <cellStyle name="40% - Énfasis4 2 2 3" xfId="1233"/>
    <cellStyle name="40% - Énfasis4 2 2 3 2" xfId="1234"/>
    <cellStyle name="40% - Énfasis4 2 2 4" xfId="1235"/>
    <cellStyle name="40% - Énfasis4 2 2_ARTURO SSMC110113xls" xfId="1236"/>
    <cellStyle name="40% - Énfasis4 2 3" xfId="62"/>
    <cellStyle name="40% - Énfasis4 2 3 2" xfId="63"/>
    <cellStyle name="40% - Énfasis4 2 3 2 2" xfId="1237"/>
    <cellStyle name="40% - Énfasis4 2 3 2 2 2" xfId="1238"/>
    <cellStyle name="40% - Énfasis4 2 3 2 3" xfId="1239"/>
    <cellStyle name="40% - Énfasis4 2 3 3" xfId="1240"/>
    <cellStyle name="40% - Énfasis4 2 3 3 2" xfId="1241"/>
    <cellStyle name="40% - Énfasis4 2 3 4" xfId="1242"/>
    <cellStyle name="40% - Énfasis4 2 3_ARTURO SSMC110113xls" xfId="1243"/>
    <cellStyle name="40% - Énfasis4 2 4" xfId="64"/>
    <cellStyle name="40% - Énfasis4 2 4 2" xfId="1244"/>
    <cellStyle name="40% - Énfasis4 2 4 2 2" xfId="1245"/>
    <cellStyle name="40% - Énfasis4 2 4 3" xfId="1246"/>
    <cellStyle name="40% - Énfasis4 2 5" xfId="1247"/>
    <cellStyle name="40% - Énfasis4 2 5 2" xfId="1248"/>
    <cellStyle name="40% - Énfasis4 2 6" xfId="1249"/>
    <cellStyle name="40% - Énfasis4 2_ARTURO SSMC110113xls" xfId="1250"/>
    <cellStyle name="40% - Énfasis4 3" xfId="471"/>
    <cellStyle name="40% - Énfasis5 2" xfId="65"/>
    <cellStyle name="40% - Énfasis5 2 2" xfId="66"/>
    <cellStyle name="40% - Énfasis5 2 2 2" xfId="67"/>
    <cellStyle name="40% - Énfasis5 2 2 2 2" xfId="1251"/>
    <cellStyle name="40% - Énfasis5 2 2 2 2 2" xfId="1252"/>
    <cellStyle name="40% - Énfasis5 2 2 2 3" xfId="1253"/>
    <cellStyle name="40% - Énfasis5 2 2 3" xfId="1254"/>
    <cellStyle name="40% - Énfasis5 2 2 3 2" xfId="1255"/>
    <cellStyle name="40% - Énfasis5 2 2 4" xfId="1256"/>
    <cellStyle name="40% - Énfasis5 2 2_ARTURO SSMC110113xls" xfId="1257"/>
    <cellStyle name="40% - Énfasis5 2 3" xfId="68"/>
    <cellStyle name="40% - Énfasis5 2 3 2" xfId="69"/>
    <cellStyle name="40% - Énfasis5 2 3 2 2" xfId="1258"/>
    <cellStyle name="40% - Énfasis5 2 3 2 2 2" xfId="1259"/>
    <cellStyle name="40% - Énfasis5 2 3 2 3" xfId="1260"/>
    <cellStyle name="40% - Énfasis5 2 3 3" xfId="1261"/>
    <cellStyle name="40% - Énfasis5 2 3 3 2" xfId="1262"/>
    <cellStyle name="40% - Énfasis5 2 3 4" xfId="1263"/>
    <cellStyle name="40% - Énfasis5 2 3_ARTURO SSMC110113xls" xfId="1264"/>
    <cellStyle name="40% - Énfasis5 2 4" xfId="70"/>
    <cellStyle name="40% - Énfasis5 2 4 2" xfId="1265"/>
    <cellStyle name="40% - Énfasis5 2 4 2 2" xfId="1266"/>
    <cellStyle name="40% - Énfasis5 2 4 3" xfId="1267"/>
    <cellStyle name="40% - Énfasis5 2 5" xfId="1268"/>
    <cellStyle name="40% - Énfasis5 2 5 2" xfId="1269"/>
    <cellStyle name="40% - Énfasis5 2 6" xfId="1270"/>
    <cellStyle name="40% - Énfasis5 2_ARTURO SSMC110113xls" xfId="1271"/>
    <cellStyle name="40% - Énfasis5 3" xfId="472"/>
    <cellStyle name="40% - Énfasis6 2" xfId="71"/>
    <cellStyle name="40% - Énfasis6 2 2" xfId="72"/>
    <cellStyle name="40% - Énfasis6 2 2 2" xfId="73"/>
    <cellStyle name="40% - Énfasis6 2 2 2 2" xfId="1272"/>
    <cellStyle name="40% - Énfasis6 2 2 2 2 2" xfId="1273"/>
    <cellStyle name="40% - Énfasis6 2 2 2 3" xfId="1274"/>
    <cellStyle name="40% - Énfasis6 2 2 3" xfId="1275"/>
    <cellStyle name="40% - Énfasis6 2 2 3 2" xfId="1276"/>
    <cellStyle name="40% - Énfasis6 2 2 4" xfId="1277"/>
    <cellStyle name="40% - Énfasis6 2 2_ARTURO SSMC110113xls" xfId="1278"/>
    <cellStyle name="40% - Énfasis6 2 3" xfId="74"/>
    <cellStyle name="40% - Énfasis6 2 3 2" xfId="75"/>
    <cellStyle name="40% - Énfasis6 2 3 2 2" xfId="1279"/>
    <cellStyle name="40% - Énfasis6 2 3 2 2 2" xfId="1280"/>
    <cellStyle name="40% - Énfasis6 2 3 2 3" xfId="1281"/>
    <cellStyle name="40% - Énfasis6 2 3 3" xfId="1282"/>
    <cellStyle name="40% - Énfasis6 2 3 3 2" xfId="1283"/>
    <cellStyle name="40% - Énfasis6 2 3 4" xfId="1284"/>
    <cellStyle name="40% - Énfasis6 2 3_ARTURO SSMC110113xls" xfId="1285"/>
    <cellStyle name="40% - Énfasis6 2 4" xfId="76"/>
    <cellStyle name="40% - Énfasis6 2 4 2" xfId="1286"/>
    <cellStyle name="40% - Énfasis6 2 4 2 2" xfId="1287"/>
    <cellStyle name="40% - Énfasis6 2 4 3" xfId="1288"/>
    <cellStyle name="40% - Énfasis6 2 5" xfId="1289"/>
    <cellStyle name="40% - Énfasis6 2 5 2" xfId="1290"/>
    <cellStyle name="40% - Énfasis6 2 6" xfId="1291"/>
    <cellStyle name="40% - Énfasis6 2_ARTURO SSMC110113xls" xfId="1292"/>
    <cellStyle name="40% - Énfasis6 3" xfId="77"/>
    <cellStyle name="40% - Énfasis6 3 10" xfId="1293"/>
    <cellStyle name="40% - Énfasis6 3 2" xfId="473"/>
    <cellStyle name="40% - Énfasis6 3 2 2" xfId="474"/>
    <cellStyle name="40% - Énfasis6 3 2 2 2" xfId="1294"/>
    <cellStyle name="40% - Énfasis6 3 2 2 2 2" xfId="1295"/>
    <cellStyle name="40% - Énfasis6 3 2 2 3" xfId="1296"/>
    <cellStyle name="40% - Énfasis6 3 2 3" xfId="1297"/>
    <cellStyle name="40% - Énfasis6 3 2 3 2" xfId="1298"/>
    <cellStyle name="40% - Énfasis6 3 2 4" xfId="1299"/>
    <cellStyle name="40% - Énfasis6 3 3" xfId="1300"/>
    <cellStyle name="40% - Énfasis6 3 3 2" xfId="1301"/>
    <cellStyle name="40% - Énfasis6 3 3 2 2" xfId="1302"/>
    <cellStyle name="40% - Énfasis6 3 3 2 2 2" xfId="1303"/>
    <cellStyle name="40% - Énfasis6 3 3 2 3" xfId="1304"/>
    <cellStyle name="40% - Énfasis6 3 3 3" xfId="1305"/>
    <cellStyle name="40% - Énfasis6 3 3 3 2" xfId="1306"/>
    <cellStyle name="40% - Énfasis6 3 3 4" xfId="1307"/>
    <cellStyle name="40% - Énfasis6 3 4" xfId="1308"/>
    <cellStyle name="40% - Énfasis6 3 4 2" xfId="1309"/>
    <cellStyle name="40% - Énfasis6 3 4 2 2" xfId="1310"/>
    <cellStyle name="40% - Énfasis6 3 4 2 2 2" xfId="1311"/>
    <cellStyle name="40% - Énfasis6 3 4 2 3" xfId="1312"/>
    <cellStyle name="40% - Énfasis6 3 4 3" xfId="1313"/>
    <cellStyle name="40% - Énfasis6 3 4 3 2" xfId="1314"/>
    <cellStyle name="40% - Énfasis6 3 4 4" xfId="1315"/>
    <cellStyle name="40% - Énfasis6 3 5" xfId="1316"/>
    <cellStyle name="40% - Énfasis6 3 5 2" xfId="1317"/>
    <cellStyle name="40% - Énfasis6 3 5 2 2" xfId="1318"/>
    <cellStyle name="40% - Énfasis6 3 5 2 2 2" xfId="1319"/>
    <cellStyle name="40% - Énfasis6 3 5 2 3" xfId="1320"/>
    <cellStyle name="40% - Énfasis6 3 5 3" xfId="1321"/>
    <cellStyle name="40% - Énfasis6 3 5 3 2" xfId="1322"/>
    <cellStyle name="40% - Énfasis6 3 5 4" xfId="1323"/>
    <cellStyle name="40% - Énfasis6 3 6" xfId="1324"/>
    <cellStyle name="40% - Énfasis6 3 6 2" xfId="1325"/>
    <cellStyle name="40% - Énfasis6 3 6 2 2" xfId="1326"/>
    <cellStyle name="40% - Énfasis6 3 6 2 2 2" xfId="1327"/>
    <cellStyle name="40% - Énfasis6 3 6 2 3" xfId="1328"/>
    <cellStyle name="40% - Énfasis6 3 6 3" xfId="1329"/>
    <cellStyle name="40% - Énfasis6 3 6 3 2" xfId="1330"/>
    <cellStyle name="40% - Énfasis6 3 6 4" xfId="1331"/>
    <cellStyle name="40% - Énfasis6 3 7" xfId="1332"/>
    <cellStyle name="40% - Énfasis6 3 7 2" xfId="1333"/>
    <cellStyle name="40% - Énfasis6 3 7 2 2" xfId="1334"/>
    <cellStyle name="40% - Énfasis6 3 7 2 2 2" xfId="1335"/>
    <cellStyle name="40% - Énfasis6 3 7 2 3" xfId="1336"/>
    <cellStyle name="40% - Énfasis6 3 7 3" xfId="1337"/>
    <cellStyle name="40% - Énfasis6 3 7 3 2" xfId="1338"/>
    <cellStyle name="40% - Énfasis6 3 7 4" xfId="1339"/>
    <cellStyle name="40% - Énfasis6 3 8" xfId="1340"/>
    <cellStyle name="40% - Énfasis6 3 8 2" xfId="1341"/>
    <cellStyle name="40% - Énfasis6 3 8 2 2" xfId="1342"/>
    <cellStyle name="40% - Énfasis6 3 8 3" xfId="1343"/>
    <cellStyle name="40% - Énfasis6 3 9" xfId="1344"/>
    <cellStyle name="40% - Énfasis6 3 9 2" xfId="1345"/>
    <cellStyle name="60% - Énfasis1 2" xfId="78"/>
    <cellStyle name="60% - Énfasis1 3" xfId="475"/>
    <cellStyle name="60% - Énfasis2 2" xfId="79"/>
    <cellStyle name="60% - Énfasis2 3" xfId="476"/>
    <cellStyle name="60% - Énfasis3 2" xfId="80"/>
    <cellStyle name="60% - Énfasis3 3" xfId="477"/>
    <cellStyle name="60% - Énfasis4 2" xfId="81"/>
    <cellStyle name="60% - Énfasis4 3" xfId="478"/>
    <cellStyle name="60% - Énfasis5 2" xfId="82"/>
    <cellStyle name="60% - Énfasis5 3" xfId="479"/>
    <cellStyle name="60% - Énfasis6 2" xfId="83"/>
    <cellStyle name="60% - Énfasis6 3" xfId="480"/>
    <cellStyle name="Buena 2" xfId="84"/>
    <cellStyle name="Buena 3" xfId="481"/>
    <cellStyle name="Cálculo 2" xfId="85"/>
    <cellStyle name="Cálculo 2 2" xfId="230"/>
    <cellStyle name="Cálculo 2 2 2" xfId="241"/>
    <cellStyle name="Cálculo 2 2 2 10" xfId="1346"/>
    <cellStyle name="Cálculo 2 2 2 11" xfId="1347"/>
    <cellStyle name="Cálculo 2 2 2 2" xfId="262"/>
    <cellStyle name="Cálculo 2 2 2 2 2" xfId="1348"/>
    <cellStyle name="Cálculo 2 2 2 2 3" xfId="1349"/>
    <cellStyle name="Cálculo 2 2 2 2 4" xfId="1350"/>
    <cellStyle name="Cálculo 2 2 2 2 5" xfId="1351"/>
    <cellStyle name="Cálculo 2 2 2 3" xfId="291"/>
    <cellStyle name="Cálculo 2 2 2 3 2" xfId="1352"/>
    <cellStyle name="Cálculo 2 2 2 3 3" xfId="1353"/>
    <cellStyle name="Cálculo 2 2 2 3 4" xfId="1354"/>
    <cellStyle name="Cálculo 2 2 2 3 5" xfId="1355"/>
    <cellStyle name="Cálculo 2 2 2 4" xfId="323"/>
    <cellStyle name="Cálculo 2 2 2 4 2" xfId="1356"/>
    <cellStyle name="Cálculo 2 2 2 4 3" xfId="1357"/>
    <cellStyle name="Cálculo 2 2 2 4 4" xfId="1358"/>
    <cellStyle name="Cálculo 2 2 2 4 5" xfId="1359"/>
    <cellStyle name="Cálculo 2 2 2 5" xfId="335"/>
    <cellStyle name="Cálculo 2 2 2 5 2" xfId="1360"/>
    <cellStyle name="Cálculo 2 2 2 5 3" xfId="1361"/>
    <cellStyle name="Cálculo 2 2 2 5 4" xfId="1362"/>
    <cellStyle name="Cálculo 2 2 2 5 5" xfId="1363"/>
    <cellStyle name="Cálculo 2 2 2 6" xfId="351"/>
    <cellStyle name="Cálculo 2 2 2 6 2" xfId="1364"/>
    <cellStyle name="Cálculo 2 2 2 6 3" xfId="1365"/>
    <cellStyle name="Cálculo 2 2 2 6 4" xfId="1366"/>
    <cellStyle name="Cálculo 2 2 2 6 5" xfId="1367"/>
    <cellStyle name="Cálculo 2 2 2 7" xfId="367"/>
    <cellStyle name="Cálculo 2 2 2 7 2" xfId="1368"/>
    <cellStyle name="Cálculo 2 2 2 7 3" xfId="1369"/>
    <cellStyle name="Cálculo 2 2 2 7 4" xfId="1370"/>
    <cellStyle name="Cálculo 2 2 2 7 5" xfId="1371"/>
    <cellStyle name="Cálculo 2 2 2 8" xfId="1372"/>
    <cellStyle name="Cálculo 2 2 2 9" xfId="1373"/>
    <cellStyle name="Cálculo 2 2 3" xfId="312"/>
    <cellStyle name="Cálculo 2 2 3 2" xfId="1374"/>
    <cellStyle name="Cálculo 2 2 3 3" xfId="1375"/>
    <cellStyle name="Cálculo 2 2 3 4" xfId="1376"/>
    <cellStyle name="Cálculo 2 2 3 5" xfId="1377"/>
    <cellStyle name="Cálculo 2 2 4" xfId="398"/>
    <cellStyle name="Cálculo 2 2 4 2" xfId="1378"/>
    <cellStyle name="Cálculo 2 2 4 3" xfId="1379"/>
    <cellStyle name="Cálculo 2 2 4 4" xfId="1380"/>
    <cellStyle name="Cálculo 2 2 4 5" xfId="1381"/>
    <cellStyle name="Cálculo 2 2 5" xfId="418"/>
    <cellStyle name="Cálculo 2 2 5 2" xfId="1382"/>
    <cellStyle name="Cálculo 2 2 5 3" xfId="1383"/>
    <cellStyle name="Cálculo 2 2 5 4" xfId="1384"/>
    <cellStyle name="Cálculo 2 2 5 5" xfId="1385"/>
    <cellStyle name="Cálculo 2 3" xfId="213"/>
    <cellStyle name="Cálculo 2 3 2" xfId="242"/>
    <cellStyle name="Cálculo 2 3 2 10" xfId="1386"/>
    <cellStyle name="Cálculo 2 3 2 11" xfId="1387"/>
    <cellStyle name="Cálculo 2 3 2 2" xfId="261"/>
    <cellStyle name="Cálculo 2 3 2 2 2" xfId="1388"/>
    <cellStyle name="Cálculo 2 3 2 2 3" xfId="1389"/>
    <cellStyle name="Cálculo 2 3 2 2 4" xfId="1390"/>
    <cellStyle name="Cálculo 2 3 2 2 5" xfId="1391"/>
    <cellStyle name="Cálculo 2 3 2 3" xfId="292"/>
    <cellStyle name="Cálculo 2 3 2 3 2" xfId="1392"/>
    <cellStyle name="Cálculo 2 3 2 3 3" xfId="1393"/>
    <cellStyle name="Cálculo 2 3 2 3 4" xfId="1394"/>
    <cellStyle name="Cálculo 2 3 2 3 5" xfId="1395"/>
    <cellStyle name="Cálculo 2 3 2 4" xfId="324"/>
    <cellStyle name="Cálculo 2 3 2 4 2" xfId="1396"/>
    <cellStyle name="Cálculo 2 3 2 4 3" xfId="1397"/>
    <cellStyle name="Cálculo 2 3 2 4 4" xfId="1398"/>
    <cellStyle name="Cálculo 2 3 2 4 5" xfId="1399"/>
    <cellStyle name="Cálculo 2 3 2 5" xfId="336"/>
    <cellStyle name="Cálculo 2 3 2 5 2" xfId="1400"/>
    <cellStyle name="Cálculo 2 3 2 5 3" xfId="1401"/>
    <cellStyle name="Cálculo 2 3 2 5 4" xfId="1402"/>
    <cellStyle name="Cálculo 2 3 2 5 5" xfId="1403"/>
    <cellStyle name="Cálculo 2 3 2 6" xfId="352"/>
    <cellStyle name="Cálculo 2 3 2 6 2" xfId="1404"/>
    <cellStyle name="Cálculo 2 3 2 6 3" xfId="1405"/>
    <cellStyle name="Cálculo 2 3 2 6 4" xfId="1406"/>
    <cellStyle name="Cálculo 2 3 2 6 5" xfId="1407"/>
    <cellStyle name="Cálculo 2 3 2 7" xfId="368"/>
    <cellStyle name="Cálculo 2 3 2 7 2" xfId="1408"/>
    <cellStyle name="Cálculo 2 3 2 7 3" xfId="1409"/>
    <cellStyle name="Cálculo 2 3 2 7 4" xfId="1410"/>
    <cellStyle name="Cálculo 2 3 2 7 5" xfId="1411"/>
    <cellStyle name="Cálculo 2 3 2 8" xfId="1412"/>
    <cellStyle name="Cálculo 2 3 2 9" xfId="1413"/>
    <cellStyle name="Cálculo 2 3 3" xfId="283"/>
    <cellStyle name="Cálculo 2 3 3 2" xfId="1414"/>
    <cellStyle name="Cálculo 2 3 3 3" xfId="1415"/>
    <cellStyle name="Cálculo 2 3 3 4" xfId="1416"/>
    <cellStyle name="Cálculo 2 3 3 5" xfId="1417"/>
    <cellStyle name="Cálculo 2 3 4" xfId="399"/>
    <cellStyle name="Cálculo 2 3 4 2" xfId="1418"/>
    <cellStyle name="Cálculo 2 3 4 3" xfId="1419"/>
    <cellStyle name="Cálculo 2 3 4 4" xfId="1420"/>
    <cellStyle name="Cálculo 2 3 4 5" xfId="1421"/>
    <cellStyle name="Cálculo 2 3 5" xfId="419"/>
    <cellStyle name="Cálculo 2 3 5 2" xfId="1422"/>
    <cellStyle name="Cálculo 2 3 5 3" xfId="1423"/>
    <cellStyle name="Cálculo 2 3 5 4" xfId="1424"/>
    <cellStyle name="Cálculo 2 3 5 5" xfId="1425"/>
    <cellStyle name="Cálculo 2 4" xfId="240"/>
    <cellStyle name="Cálculo 2 4 2" xfId="268"/>
    <cellStyle name="Cálculo 2 4 2 2" xfId="1426"/>
    <cellStyle name="Cálculo 2 4 2 3" xfId="1427"/>
    <cellStyle name="Cálculo 2 4 2 4" xfId="1428"/>
    <cellStyle name="Cálculo 2 4 2 5" xfId="1429"/>
    <cellStyle name="Cálculo 2 4 3" xfId="285"/>
    <cellStyle name="Cálculo 2 4 3 2" xfId="1430"/>
    <cellStyle name="Cálculo 2 4 3 3" xfId="1431"/>
    <cellStyle name="Cálculo 2 4 3 4" xfId="1432"/>
    <cellStyle name="Cálculo 2 4 3 5" xfId="1433"/>
    <cellStyle name="Cálculo 2 4 4" xfId="317"/>
    <cellStyle name="Cálculo 2 4 4 2" xfId="1434"/>
    <cellStyle name="Cálculo 2 4 4 3" xfId="1435"/>
    <cellStyle name="Cálculo 2 4 4 4" xfId="1436"/>
    <cellStyle name="Cálculo 2 4 4 5" xfId="1437"/>
    <cellStyle name="Cálculo 2 4 5" xfId="301"/>
    <cellStyle name="Cálculo 2 4 5 2" xfId="1438"/>
    <cellStyle name="Cálculo 2 4 5 3" xfId="1439"/>
    <cellStyle name="Cálculo 2 4 5 4" xfId="1440"/>
    <cellStyle name="Cálculo 2 4 5 5" xfId="1441"/>
    <cellStyle name="Cálculo 2 4 6" xfId="345"/>
    <cellStyle name="Cálculo 2 4 6 2" xfId="1442"/>
    <cellStyle name="Cálculo 2 4 6 3" xfId="1443"/>
    <cellStyle name="Cálculo 2 4 6 4" xfId="1444"/>
    <cellStyle name="Cálculo 2 4 6 5" xfId="1445"/>
    <cellStyle name="Cálculo 2 4 7" xfId="361"/>
    <cellStyle name="Cálculo 2 4 7 2" xfId="1446"/>
    <cellStyle name="Cálculo 2 4 7 3" xfId="1447"/>
    <cellStyle name="Cálculo 2 4 7 4" xfId="1448"/>
    <cellStyle name="Cálculo 2 4 7 5" xfId="1449"/>
    <cellStyle name="Cálculo 2 5" xfId="270"/>
    <cellStyle name="Cálculo 2 5 2" xfId="1450"/>
    <cellStyle name="Cálculo 2 5 3" xfId="1451"/>
    <cellStyle name="Cálculo 2 5 4" xfId="1452"/>
    <cellStyle name="Cálculo 2 5 5" xfId="1453"/>
    <cellStyle name="Cálculo 2 6" xfId="389"/>
    <cellStyle name="Cálculo 2 6 2" xfId="1454"/>
    <cellStyle name="Cálculo 2 6 3" xfId="1455"/>
    <cellStyle name="Cálculo 2 6 4" xfId="1456"/>
    <cellStyle name="Cálculo 2 6 5" xfId="1457"/>
    <cellStyle name="Cálculo 2 7" xfId="393"/>
    <cellStyle name="Cálculo 2 7 2" xfId="1458"/>
    <cellStyle name="Cálculo 2 7 3" xfId="1459"/>
    <cellStyle name="Cálculo 2 7 4" xfId="1460"/>
    <cellStyle name="Cálculo 2 7 5" xfId="1461"/>
    <cellStyle name="Cálculo 2 8" xfId="1462"/>
    <cellStyle name="Cálculo 3" xfId="482"/>
    <cellStyle name="Cálculo 3 2" xfId="483"/>
    <cellStyle name="Celda de comprobación 2" xfId="86"/>
    <cellStyle name="Celda de comprobación 3" xfId="484"/>
    <cellStyle name="Celda vinculada 2" xfId="87"/>
    <cellStyle name="Celda vinculada 3" xfId="485"/>
    <cellStyle name="Comma" xfId="88"/>
    <cellStyle name="Comma [0]" xfId="89"/>
    <cellStyle name="Comma [0] 2" xfId="1463"/>
    <cellStyle name="Comma 2" xfId="1464"/>
    <cellStyle name="Comma 2 2" xfId="1465"/>
    <cellStyle name="Comma 3" xfId="1466"/>
    <cellStyle name="Comma 4" xfId="1467"/>
    <cellStyle name="Comma 5" xfId="1468"/>
    <cellStyle name="Currency" xfId="90"/>
    <cellStyle name="Currency [0]" xfId="91"/>
    <cellStyle name="Currency [0] 2" xfId="1469"/>
    <cellStyle name="Currency 2" xfId="1470"/>
    <cellStyle name="Currency 2 2" xfId="1471"/>
    <cellStyle name="Currency 3" xfId="1472"/>
    <cellStyle name="Currency 3 2" xfId="1473"/>
    <cellStyle name="Currency 4" xfId="1474"/>
    <cellStyle name="Currency 5" xfId="1475"/>
    <cellStyle name="Date" xfId="92"/>
    <cellStyle name="Encabezado 4 2" xfId="93"/>
    <cellStyle name="Encabezado 4 3" xfId="486"/>
    <cellStyle name="Énfasis1 2" xfId="94"/>
    <cellStyle name="Énfasis1 3" xfId="487"/>
    <cellStyle name="Énfasis2 2" xfId="95"/>
    <cellStyle name="Énfasis2 3" xfId="488"/>
    <cellStyle name="Énfasis3 2" xfId="96"/>
    <cellStyle name="Énfasis3 3" xfId="489"/>
    <cellStyle name="Énfasis4 2" xfId="97"/>
    <cellStyle name="Énfasis4 3" xfId="490"/>
    <cellStyle name="Énfasis5 2" xfId="98"/>
    <cellStyle name="Énfasis5 3" xfId="491"/>
    <cellStyle name="Énfasis6 2" xfId="99"/>
    <cellStyle name="Énfasis6 3" xfId="492"/>
    <cellStyle name="Entrada 2" xfId="100"/>
    <cellStyle name="Entrada 2 2" xfId="231"/>
    <cellStyle name="Entrada 2 2 2" xfId="244"/>
    <cellStyle name="Entrada 2 2 2 10" xfId="1476"/>
    <cellStyle name="Entrada 2 2 2 11" xfId="1477"/>
    <cellStyle name="Entrada 2 2 2 2" xfId="260"/>
    <cellStyle name="Entrada 2 2 2 2 2" xfId="1478"/>
    <cellStyle name="Entrada 2 2 2 2 3" xfId="1479"/>
    <cellStyle name="Entrada 2 2 2 2 4" xfId="1480"/>
    <cellStyle name="Entrada 2 2 2 2 5" xfId="1481"/>
    <cellStyle name="Entrada 2 2 2 3" xfId="293"/>
    <cellStyle name="Entrada 2 2 2 3 2" xfId="1482"/>
    <cellStyle name="Entrada 2 2 2 3 3" xfId="1483"/>
    <cellStyle name="Entrada 2 2 2 3 4" xfId="1484"/>
    <cellStyle name="Entrada 2 2 2 3 5" xfId="1485"/>
    <cellStyle name="Entrada 2 2 2 4" xfId="325"/>
    <cellStyle name="Entrada 2 2 2 4 2" xfId="1486"/>
    <cellStyle name="Entrada 2 2 2 4 3" xfId="1487"/>
    <cellStyle name="Entrada 2 2 2 4 4" xfId="1488"/>
    <cellStyle name="Entrada 2 2 2 4 5" xfId="1489"/>
    <cellStyle name="Entrada 2 2 2 5" xfId="337"/>
    <cellStyle name="Entrada 2 2 2 5 2" xfId="1490"/>
    <cellStyle name="Entrada 2 2 2 5 3" xfId="1491"/>
    <cellStyle name="Entrada 2 2 2 5 4" xfId="1492"/>
    <cellStyle name="Entrada 2 2 2 5 5" xfId="1493"/>
    <cellStyle name="Entrada 2 2 2 6" xfId="353"/>
    <cellStyle name="Entrada 2 2 2 6 2" xfId="1494"/>
    <cellStyle name="Entrada 2 2 2 6 3" xfId="1495"/>
    <cellStyle name="Entrada 2 2 2 6 4" xfId="1496"/>
    <cellStyle name="Entrada 2 2 2 6 5" xfId="1497"/>
    <cellStyle name="Entrada 2 2 2 7" xfId="369"/>
    <cellStyle name="Entrada 2 2 2 7 2" xfId="1498"/>
    <cellStyle name="Entrada 2 2 2 7 3" xfId="1499"/>
    <cellStyle name="Entrada 2 2 2 7 4" xfId="1500"/>
    <cellStyle name="Entrada 2 2 2 7 5" xfId="1501"/>
    <cellStyle name="Entrada 2 2 2 8" xfId="1502"/>
    <cellStyle name="Entrada 2 2 2 9" xfId="1503"/>
    <cellStyle name="Entrada 2 2 3" xfId="309"/>
    <cellStyle name="Entrada 2 2 3 2" xfId="1504"/>
    <cellStyle name="Entrada 2 2 3 3" xfId="1505"/>
    <cellStyle name="Entrada 2 2 3 4" xfId="1506"/>
    <cellStyle name="Entrada 2 2 3 5" xfId="1507"/>
    <cellStyle name="Entrada 2 2 4" xfId="400"/>
    <cellStyle name="Entrada 2 2 4 2" xfId="1508"/>
    <cellStyle name="Entrada 2 2 4 3" xfId="1509"/>
    <cellStyle name="Entrada 2 2 4 4" xfId="1510"/>
    <cellStyle name="Entrada 2 2 4 5" xfId="1511"/>
    <cellStyle name="Entrada 2 2 5" xfId="420"/>
    <cellStyle name="Entrada 2 2 5 2" xfId="1512"/>
    <cellStyle name="Entrada 2 2 5 3" xfId="1513"/>
    <cellStyle name="Entrada 2 2 5 4" xfId="1514"/>
    <cellStyle name="Entrada 2 2 5 5" xfId="1515"/>
    <cellStyle name="Entrada 2 3" xfId="214"/>
    <cellStyle name="Entrada 2 3 2" xfId="245"/>
    <cellStyle name="Entrada 2 3 2 10" xfId="1516"/>
    <cellStyle name="Entrada 2 3 2 11" xfId="1517"/>
    <cellStyle name="Entrada 2 3 2 2" xfId="259"/>
    <cellStyle name="Entrada 2 3 2 2 2" xfId="1518"/>
    <cellStyle name="Entrada 2 3 2 2 3" xfId="1519"/>
    <cellStyle name="Entrada 2 3 2 2 4" xfId="1520"/>
    <cellStyle name="Entrada 2 3 2 2 5" xfId="1521"/>
    <cellStyle name="Entrada 2 3 2 3" xfId="294"/>
    <cellStyle name="Entrada 2 3 2 3 2" xfId="1522"/>
    <cellStyle name="Entrada 2 3 2 3 3" xfId="1523"/>
    <cellStyle name="Entrada 2 3 2 3 4" xfId="1524"/>
    <cellStyle name="Entrada 2 3 2 3 5" xfId="1525"/>
    <cellStyle name="Entrada 2 3 2 4" xfId="326"/>
    <cellStyle name="Entrada 2 3 2 4 2" xfId="1526"/>
    <cellStyle name="Entrada 2 3 2 4 3" xfId="1527"/>
    <cellStyle name="Entrada 2 3 2 4 4" xfId="1528"/>
    <cellStyle name="Entrada 2 3 2 4 5" xfId="1529"/>
    <cellStyle name="Entrada 2 3 2 5" xfId="338"/>
    <cellStyle name="Entrada 2 3 2 5 2" xfId="1530"/>
    <cellStyle name="Entrada 2 3 2 5 3" xfId="1531"/>
    <cellStyle name="Entrada 2 3 2 5 4" xfId="1532"/>
    <cellStyle name="Entrada 2 3 2 5 5" xfId="1533"/>
    <cellStyle name="Entrada 2 3 2 6" xfId="354"/>
    <cellStyle name="Entrada 2 3 2 6 2" xfId="1534"/>
    <cellStyle name="Entrada 2 3 2 6 3" xfId="1535"/>
    <cellStyle name="Entrada 2 3 2 6 4" xfId="1536"/>
    <cellStyle name="Entrada 2 3 2 6 5" xfId="1537"/>
    <cellStyle name="Entrada 2 3 2 7" xfId="370"/>
    <cellStyle name="Entrada 2 3 2 7 2" xfId="1538"/>
    <cellStyle name="Entrada 2 3 2 7 3" xfId="1539"/>
    <cellStyle name="Entrada 2 3 2 7 4" xfId="1540"/>
    <cellStyle name="Entrada 2 3 2 7 5" xfId="1541"/>
    <cellStyle name="Entrada 2 3 2 8" xfId="1542"/>
    <cellStyle name="Entrada 2 3 2 9" xfId="1543"/>
    <cellStyle name="Entrada 2 3 3" xfId="313"/>
    <cellStyle name="Entrada 2 3 3 2" xfId="1544"/>
    <cellStyle name="Entrada 2 3 3 3" xfId="1545"/>
    <cellStyle name="Entrada 2 3 3 4" xfId="1546"/>
    <cellStyle name="Entrada 2 3 3 5" xfId="1547"/>
    <cellStyle name="Entrada 2 3 4" xfId="401"/>
    <cellStyle name="Entrada 2 3 4 2" xfId="1548"/>
    <cellStyle name="Entrada 2 3 4 3" xfId="1549"/>
    <cellStyle name="Entrada 2 3 4 4" xfId="1550"/>
    <cellStyle name="Entrada 2 3 4 5" xfId="1551"/>
    <cellStyle name="Entrada 2 3 5" xfId="421"/>
    <cellStyle name="Entrada 2 3 5 2" xfId="1552"/>
    <cellStyle name="Entrada 2 3 5 3" xfId="1553"/>
    <cellStyle name="Entrada 2 3 5 4" xfId="1554"/>
    <cellStyle name="Entrada 2 3 5 5" xfId="1555"/>
    <cellStyle name="Entrada 2 4" xfId="243"/>
    <cellStyle name="Entrada 2 4 2" xfId="267"/>
    <cellStyle name="Entrada 2 4 2 2" xfId="1556"/>
    <cellStyle name="Entrada 2 4 2 3" xfId="1557"/>
    <cellStyle name="Entrada 2 4 2 4" xfId="1558"/>
    <cellStyle name="Entrada 2 4 2 5" xfId="1559"/>
    <cellStyle name="Entrada 2 4 3" xfId="286"/>
    <cellStyle name="Entrada 2 4 3 2" xfId="1560"/>
    <cellStyle name="Entrada 2 4 3 3" xfId="1561"/>
    <cellStyle name="Entrada 2 4 3 4" xfId="1562"/>
    <cellStyle name="Entrada 2 4 3 5" xfId="1563"/>
    <cellStyle name="Entrada 2 4 4" xfId="318"/>
    <cellStyle name="Entrada 2 4 4 2" xfId="1564"/>
    <cellStyle name="Entrada 2 4 4 3" xfId="1565"/>
    <cellStyle name="Entrada 2 4 4 4" xfId="1566"/>
    <cellStyle name="Entrada 2 4 4 5" xfId="1567"/>
    <cellStyle name="Entrada 2 4 5" xfId="306"/>
    <cellStyle name="Entrada 2 4 5 2" xfId="1568"/>
    <cellStyle name="Entrada 2 4 5 3" xfId="1569"/>
    <cellStyle name="Entrada 2 4 5 4" xfId="1570"/>
    <cellStyle name="Entrada 2 4 5 5" xfId="1571"/>
    <cellStyle name="Entrada 2 4 6" xfId="346"/>
    <cellStyle name="Entrada 2 4 6 2" xfId="1572"/>
    <cellStyle name="Entrada 2 4 6 3" xfId="1573"/>
    <cellStyle name="Entrada 2 4 6 4" xfId="1574"/>
    <cellStyle name="Entrada 2 4 6 5" xfId="1575"/>
    <cellStyle name="Entrada 2 4 7" xfId="362"/>
    <cellStyle name="Entrada 2 4 7 2" xfId="1576"/>
    <cellStyle name="Entrada 2 4 7 3" xfId="1577"/>
    <cellStyle name="Entrada 2 4 7 4" xfId="1578"/>
    <cellStyle name="Entrada 2 4 7 5" xfId="1579"/>
    <cellStyle name="Entrada 2 5" xfId="269"/>
    <cellStyle name="Entrada 2 5 2" xfId="1580"/>
    <cellStyle name="Entrada 2 5 3" xfId="1581"/>
    <cellStyle name="Entrada 2 5 4" xfId="1582"/>
    <cellStyle name="Entrada 2 5 5" xfId="1583"/>
    <cellStyle name="Entrada 2 6" xfId="388"/>
    <cellStyle name="Entrada 2 6 2" xfId="1584"/>
    <cellStyle name="Entrada 2 6 3" xfId="1585"/>
    <cellStyle name="Entrada 2 6 4" xfId="1586"/>
    <cellStyle name="Entrada 2 6 5" xfId="1587"/>
    <cellStyle name="Entrada 2 7" xfId="404"/>
    <cellStyle name="Entrada 2 7 2" xfId="1588"/>
    <cellStyle name="Entrada 2 7 3" xfId="1589"/>
    <cellStyle name="Entrada 2 7 4" xfId="1590"/>
    <cellStyle name="Entrada 2 7 5" xfId="1591"/>
    <cellStyle name="Entrada 2 8" xfId="1592"/>
    <cellStyle name="Entrada 3" xfId="493"/>
    <cellStyle name="Entrada 3 2" xfId="494"/>
    <cellStyle name="Euro" xfId="101"/>
    <cellStyle name="Euro 2" xfId="194"/>
    <cellStyle name="Excel Built-in Normal" xfId="395"/>
    <cellStyle name="Excel Built-in Normal 2" xfId="1593"/>
    <cellStyle name="Fixed" xfId="102"/>
    <cellStyle name="Heading1" xfId="103"/>
    <cellStyle name="Heading2" xfId="104"/>
    <cellStyle name="Hipervínculo" xfId="377" builtinId="8"/>
    <cellStyle name="Hipervínculo 14" xfId="1594"/>
    <cellStyle name="Hipervínculo 2" xfId="105"/>
    <cellStyle name="Hipervínculo 2 2" xfId="1595"/>
    <cellStyle name="Hipervínculo 3" xfId="807"/>
    <cellStyle name="Hipervínculo 4" xfId="1596"/>
    <cellStyle name="Incorrecto 2" xfId="106"/>
    <cellStyle name="Incorrecto 3" xfId="495"/>
    <cellStyle name="Millares" xfId="107" builtinId="3"/>
    <cellStyle name="Millares 10" xfId="108"/>
    <cellStyle name="Millares 10 10" xfId="1597"/>
    <cellStyle name="Millares 10 10 2" xfId="1598"/>
    <cellStyle name="Millares 10 10 2 2" xfId="1599"/>
    <cellStyle name="Millares 10 10 2 2 2" xfId="1600"/>
    <cellStyle name="Millares 10 10 2 3" xfId="1601"/>
    <cellStyle name="Millares 10 10 3" xfId="1602"/>
    <cellStyle name="Millares 10 10 3 2" xfId="1603"/>
    <cellStyle name="Millares 10 10 4" xfId="1604"/>
    <cellStyle name="Millares 10 11" xfId="1605"/>
    <cellStyle name="Millares 10 11 2" xfId="1606"/>
    <cellStyle name="Millares 10 11 2 2" xfId="1607"/>
    <cellStyle name="Millares 10 11 3" xfId="1608"/>
    <cellStyle name="Millares 10 12" xfId="1609"/>
    <cellStyle name="Millares 10 12 2" xfId="1610"/>
    <cellStyle name="Millares 10 13" xfId="1611"/>
    <cellStyle name="Millares 10 2" xfId="109"/>
    <cellStyle name="Millares 10 2 10" xfId="1612"/>
    <cellStyle name="Millares 10 2 10 2" xfId="1613"/>
    <cellStyle name="Millares 10 2 11" xfId="1614"/>
    <cellStyle name="Millares 10 2 2" xfId="379"/>
    <cellStyle name="Millares 10 2 2 2" xfId="496"/>
    <cellStyle name="Millares 10 2 2 2 2" xfId="497"/>
    <cellStyle name="Millares 10 2 2 3" xfId="498"/>
    <cellStyle name="Millares 10 2 3" xfId="499"/>
    <cellStyle name="Millares 10 2 3 2" xfId="500"/>
    <cellStyle name="Millares 10 2 3 2 2" xfId="1615"/>
    <cellStyle name="Millares 10 2 3 2 2 2" xfId="1616"/>
    <cellStyle name="Millares 10 2 3 2 2 2 2" xfId="1617"/>
    <cellStyle name="Millares 10 2 3 2 2 3" xfId="1618"/>
    <cellStyle name="Millares 10 2 3 2 3" xfId="1619"/>
    <cellStyle name="Millares 10 2 3 2 3 2" xfId="1620"/>
    <cellStyle name="Millares 10 2 3 2 4" xfId="1621"/>
    <cellStyle name="Millares 10 2 3 3" xfId="1622"/>
    <cellStyle name="Millares 10 2 3 3 2" xfId="1623"/>
    <cellStyle name="Millares 10 2 3 3 2 2" xfId="1624"/>
    <cellStyle name="Millares 10 2 3 3 3" xfId="1625"/>
    <cellStyle name="Millares 10 2 3 4" xfId="1626"/>
    <cellStyle name="Millares 10 2 3 4 2" xfId="1627"/>
    <cellStyle name="Millares 10 2 3 5" xfId="1628"/>
    <cellStyle name="Millares 10 2 4" xfId="501"/>
    <cellStyle name="Millares 10 2 4 2" xfId="502"/>
    <cellStyle name="Millares 10 2 4 2 2" xfId="1629"/>
    <cellStyle name="Millares 10 2 4 2 2 2" xfId="1630"/>
    <cellStyle name="Millares 10 2 4 2 2 2 2" xfId="1631"/>
    <cellStyle name="Millares 10 2 4 2 2 3" xfId="1632"/>
    <cellStyle name="Millares 10 2 4 2 3" xfId="1633"/>
    <cellStyle name="Millares 10 2 4 2 3 2" xfId="1634"/>
    <cellStyle name="Millares 10 2 4 2 4" xfId="1635"/>
    <cellStyle name="Millares 10 2 4 3" xfId="1636"/>
    <cellStyle name="Millares 10 2 4 3 2" xfId="1637"/>
    <cellStyle name="Millares 10 2 4 3 2 2" xfId="1638"/>
    <cellStyle name="Millares 10 2 4 3 3" xfId="1639"/>
    <cellStyle name="Millares 10 2 4 4" xfId="1640"/>
    <cellStyle name="Millares 10 2 4 4 2" xfId="1641"/>
    <cellStyle name="Millares 10 2 4 5" xfId="1642"/>
    <cellStyle name="Millares 10 2 5" xfId="503"/>
    <cellStyle name="Millares 10 2 5 2" xfId="1643"/>
    <cellStyle name="Millares 10 2 5 2 2" xfId="1644"/>
    <cellStyle name="Millares 10 2 5 2 2 2" xfId="1645"/>
    <cellStyle name="Millares 10 2 5 2 2 2 2" xfId="1646"/>
    <cellStyle name="Millares 10 2 5 2 2 3" xfId="1647"/>
    <cellStyle name="Millares 10 2 5 2 3" xfId="1648"/>
    <cellStyle name="Millares 10 2 5 2 3 2" xfId="1649"/>
    <cellStyle name="Millares 10 2 5 2 4" xfId="1650"/>
    <cellStyle name="Millares 10 2 5 3" xfId="1651"/>
    <cellStyle name="Millares 10 2 5 3 2" xfId="1652"/>
    <cellStyle name="Millares 10 2 5 3 2 2" xfId="1653"/>
    <cellStyle name="Millares 10 2 5 3 3" xfId="1654"/>
    <cellStyle name="Millares 10 2 5 4" xfId="1655"/>
    <cellStyle name="Millares 10 2 5 4 2" xfId="1656"/>
    <cellStyle name="Millares 10 2 5 5" xfId="1657"/>
    <cellStyle name="Millares 10 2 6" xfId="1658"/>
    <cellStyle name="Millares 10 2 6 2" xfId="1659"/>
    <cellStyle name="Millares 10 2 6 2 2" xfId="1660"/>
    <cellStyle name="Millares 10 2 6 2 2 2" xfId="1661"/>
    <cellStyle name="Millares 10 2 6 2 2 2 2" xfId="1662"/>
    <cellStyle name="Millares 10 2 6 2 2 3" xfId="1663"/>
    <cellStyle name="Millares 10 2 6 2 3" xfId="1664"/>
    <cellStyle name="Millares 10 2 6 2 3 2" xfId="1665"/>
    <cellStyle name="Millares 10 2 6 2 4" xfId="1666"/>
    <cellStyle name="Millares 10 2 6 3" xfId="1667"/>
    <cellStyle name="Millares 10 2 6 3 2" xfId="1668"/>
    <cellStyle name="Millares 10 2 6 3 2 2" xfId="1669"/>
    <cellStyle name="Millares 10 2 6 3 3" xfId="1670"/>
    <cellStyle name="Millares 10 2 6 4" xfId="1671"/>
    <cellStyle name="Millares 10 2 6 4 2" xfId="1672"/>
    <cellStyle name="Millares 10 2 6 5" xfId="1673"/>
    <cellStyle name="Millares 10 2 7" xfId="1674"/>
    <cellStyle name="Millares 10 2 7 2" xfId="1675"/>
    <cellStyle name="Millares 10 2 7 2 2" xfId="1676"/>
    <cellStyle name="Millares 10 2 7 2 2 2" xfId="1677"/>
    <cellStyle name="Millares 10 2 7 2 2 2 2" xfId="1678"/>
    <cellStyle name="Millares 10 2 7 2 2 3" xfId="1679"/>
    <cellStyle name="Millares 10 2 7 2 3" xfId="1680"/>
    <cellStyle name="Millares 10 2 7 2 3 2" xfId="1681"/>
    <cellStyle name="Millares 10 2 7 2 4" xfId="1682"/>
    <cellStyle name="Millares 10 2 7 3" xfId="1683"/>
    <cellStyle name="Millares 10 2 7 3 2" xfId="1684"/>
    <cellStyle name="Millares 10 2 7 3 2 2" xfId="1685"/>
    <cellStyle name="Millares 10 2 7 3 3" xfId="1686"/>
    <cellStyle name="Millares 10 2 7 4" xfId="1687"/>
    <cellStyle name="Millares 10 2 7 4 2" xfId="1688"/>
    <cellStyle name="Millares 10 2 7 5" xfId="1689"/>
    <cellStyle name="Millares 10 2 8" xfId="1690"/>
    <cellStyle name="Millares 10 2 8 2" xfId="1691"/>
    <cellStyle name="Millares 10 2 8 2 2" xfId="1692"/>
    <cellStyle name="Millares 10 2 8 2 2 2" xfId="1693"/>
    <cellStyle name="Millares 10 2 8 2 3" xfId="1694"/>
    <cellStyle name="Millares 10 2 8 3" xfId="1695"/>
    <cellStyle name="Millares 10 2 8 3 2" xfId="1696"/>
    <cellStyle name="Millares 10 2 8 4" xfId="1697"/>
    <cellStyle name="Millares 10 2 9" xfId="1698"/>
    <cellStyle name="Millares 10 2 9 2" xfId="1699"/>
    <cellStyle name="Millares 10 2 9 2 2" xfId="1700"/>
    <cellStyle name="Millares 10 2 9 3" xfId="1701"/>
    <cellStyle name="Millares 10 3" xfId="235"/>
    <cellStyle name="Millares 10 3 2" xfId="504"/>
    <cellStyle name="Millares 10 3 2 2" xfId="505"/>
    <cellStyle name="Millares 10 3 3" xfId="506"/>
    <cellStyle name="Millares 10 3 4" xfId="507"/>
    <cellStyle name="Millares 10 4" xfId="508"/>
    <cellStyle name="Millares 10 4 2" xfId="509"/>
    <cellStyle name="Millares 10 4 2 2" xfId="1702"/>
    <cellStyle name="Millares 10 4 2 2 2" xfId="1703"/>
    <cellStyle name="Millares 10 4 2 2 2 2" xfId="1704"/>
    <cellStyle name="Millares 10 4 2 2 3" xfId="1705"/>
    <cellStyle name="Millares 10 4 2 3" xfId="1706"/>
    <cellStyle name="Millares 10 4 2 3 2" xfId="1707"/>
    <cellStyle name="Millares 10 4 2 4" xfId="1708"/>
    <cellStyle name="Millares 10 4 3" xfId="1709"/>
    <cellStyle name="Millares 10 4 3 2" xfId="1710"/>
    <cellStyle name="Millares 10 4 3 2 2" xfId="1711"/>
    <cellStyle name="Millares 10 4 3 3" xfId="1712"/>
    <cellStyle name="Millares 10 4 4" xfId="1713"/>
    <cellStyle name="Millares 10 4 4 2" xfId="1714"/>
    <cellStyle name="Millares 10 4 5" xfId="1715"/>
    <cellStyle name="Millares 10 5" xfId="510"/>
    <cellStyle name="Millares 10 5 2" xfId="511"/>
    <cellStyle name="Millares 10 5 2 2" xfId="1716"/>
    <cellStyle name="Millares 10 5 2 2 2" xfId="1717"/>
    <cellStyle name="Millares 10 5 2 2 2 2" xfId="1718"/>
    <cellStyle name="Millares 10 5 2 2 3" xfId="1719"/>
    <cellStyle name="Millares 10 5 2 3" xfId="1720"/>
    <cellStyle name="Millares 10 5 2 3 2" xfId="1721"/>
    <cellStyle name="Millares 10 5 2 4" xfId="1722"/>
    <cellStyle name="Millares 10 5 3" xfId="1723"/>
    <cellStyle name="Millares 10 5 3 2" xfId="1724"/>
    <cellStyle name="Millares 10 5 3 2 2" xfId="1725"/>
    <cellStyle name="Millares 10 5 3 3" xfId="1726"/>
    <cellStyle name="Millares 10 5 4" xfId="1727"/>
    <cellStyle name="Millares 10 5 4 2" xfId="1728"/>
    <cellStyle name="Millares 10 5 5" xfId="1729"/>
    <cellStyle name="Millares 10 6" xfId="512"/>
    <cellStyle name="Millares 10 6 2" xfId="1730"/>
    <cellStyle name="Millares 10 6 2 2" xfId="1731"/>
    <cellStyle name="Millares 10 6 2 2 2" xfId="1732"/>
    <cellStyle name="Millares 10 6 2 2 2 2" xfId="1733"/>
    <cellStyle name="Millares 10 6 2 2 3" xfId="1734"/>
    <cellStyle name="Millares 10 6 2 3" xfId="1735"/>
    <cellStyle name="Millares 10 6 2 3 2" xfId="1736"/>
    <cellStyle name="Millares 10 6 2 4" xfId="1737"/>
    <cellStyle name="Millares 10 6 3" xfId="1738"/>
    <cellStyle name="Millares 10 6 3 2" xfId="1739"/>
    <cellStyle name="Millares 10 6 3 2 2" xfId="1740"/>
    <cellStyle name="Millares 10 6 3 3" xfId="1741"/>
    <cellStyle name="Millares 10 6 4" xfId="1742"/>
    <cellStyle name="Millares 10 6 4 2" xfId="1743"/>
    <cellStyle name="Millares 10 6 5" xfId="1744"/>
    <cellStyle name="Millares 10 7" xfId="1745"/>
    <cellStyle name="Millares 10 7 2" xfId="1746"/>
    <cellStyle name="Millares 10 7 2 2" xfId="1747"/>
    <cellStyle name="Millares 10 7 2 2 2" xfId="1748"/>
    <cellStyle name="Millares 10 7 2 2 2 2" xfId="1749"/>
    <cellStyle name="Millares 10 7 2 2 3" xfId="1750"/>
    <cellStyle name="Millares 10 7 2 3" xfId="1751"/>
    <cellStyle name="Millares 10 7 2 3 2" xfId="1752"/>
    <cellStyle name="Millares 10 7 2 4" xfId="1753"/>
    <cellStyle name="Millares 10 7 3" xfId="1754"/>
    <cellStyle name="Millares 10 7 3 2" xfId="1755"/>
    <cellStyle name="Millares 10 7 3 2 2" xfId="1756"/>
    <cellStyle name="Millares 10 7 3 3" xfId="1757"/>
    <cellStyle name="Millares 10 7 4" xfId="1758"/>
    <cellStyle name="Millares 10 7 4 2" xfId="1759"/>
    <cellStyle name="Millares 10 7 5" xfId="1760"/>
    <cellStyle name="Millares 10 8" xfId="1761"/>
    <cellStyle name="Millares 10 8 2" xfId="1762"/>
    <cellStyle name="Millares 10 8 2 2" xfId="1763"/>
    <cellStyle name="Millares 10 8 2 2 2" xfId="1764"/>
    <cellStyle name="Millares 10 8 2 2 2 2" xfId="1765"/>
    <cellStyle name="Millares 10 8 2 2 3" xfId="1766"/>
    <cellStyle name="Millares 10 8 2 3" xfId="1767"/>
    <cellStyle name="Millares 10 8 2 3 2" xfId="1768"/>
    <cellStyle name="Millares 10 8 2 4" xfId="1769"/>
    <cellStyle name="Millares 10 8 3" xfId="1770"/>
    <cellStyle name="Millares 10 8 3 2" xfId="1771"/>
    <cellStyle name="Millares 10 8 3 2 2" xfId="1772"/>
    <cellStyle name="Millares 10 8 3 3" xfId="1773"/>
    <cellStyle name="Millares 10 8 4" xfId="1774"/>
    <cellStyle name="Millares 10 8 4 2" xfId="1775"/>
    <cellStyle name="Millares 10 8 5" xfId="1776"/>
    <cellStyle name="Millares 10 9" xfId="1777"/>
    <cellStyle name="Millares 10 9 2" xfId="1778"/>
    <cellStyle name="Millares 10 9 2 2" xfId="1779"/>
    <cellStyle name="Millares 10 9 2 2 2" xfId="1780"/>
    <cellStyle name="Millares 10 9 2 3" xfId="1781"/>
    <cellStyle name="Millares 10 9 3" xfId="1782"/>
    <cellStyle name="Millares 10 9 3 2" xfId="1783"/>
    <cellStyle name="Millares 10 9 4" xfId="1784"/>
    <cellStyle name="Millares 11" xfId="110"/>
    <cellStyle name="Millares 11 2" xfId="111"/>
    <cellStyle name="Millares 11 2 2" xfId="1785"/>
    <cellStyle name="Millares 11 2 2 2" xfId="1786"/>
    <cellStyle name="Millares 11 2 3" xfId="1787"/>
    <cellStyle name="Millares 11 3" xfId="1788"/>
    <cellStyle name="Millares 11 3 2" xfId="1789"/>
    <cellStyle name="Millares 11 4" xfId="1790"/>
    <cellStyle name="Millares 12" xfId="215"/>
    <cellStyle name="Millares 12 10" xfId="1791"/>
    <cellStyle name="Millares 12 10 2" xfId="1792"/>
    <cellStyle name="Millares 12 11" xfId="1793"/>
    <cellStyle name="Millares 12 2" xfId="380"/>
    <cellStyle name="Millares 12 2 2" xfId="513"/>
    <cellStyle name="Millares 12 2 2 2" xfId="514"/>
    <cellStyle name="Millares 12 2 3" xfId="515"/>
    <cellStyle name="Millares 12 3" xfId="516"/>
    <cellStyle name="Millares 12 3 2" xfId="517"/>
    <cellStyle name="Millares 12 3 2 2" xfId="1794"/>
    <cellStyle name="Millares 12 3 2 2 2" xfId="1795"/>
    <cellStyle name="Millares 12 3 2 2 2 2" xfId="1796"/>
    <cellStyle name="Millares 12 3 2 2 3" xfId="1797"/>
    <cellStyle name="Millares 12 3 2 3" xfId="1798"/>
    <cellStyle name="Millares 12 3 2 3 2" xfId="1799"/>
    <cellStyle name="Millares 12 3 2 4" xfId="1800"/>
    <cellStyle name="Millares 12 3 3" xfId="1801"/>
    <cellStyle name="Millares 12 3 3 2" xfId="1802"/>
    <cellStyle name="Millares 12 3 3 2 2" xfId="1803"/>
    <cellStyle name="Millares 12 3 3 3" xfId="1804"/>
    <cellStyle name="Millares 12 3 4" xfId="1805"/>
    <cellStyle name="Millares 12 3 4 2" xfId="1806"/>
    <cellStyle name="Millares 12 3 5" xfId="1807"/>
    <cellStyle name="Millares 12 4" xfId="518"/>
    <cellStyle name="Millares 12 4 2" xfId="519"/>
    <cellStyle name="Millares 12 4 2 2" xfId="1808"/>
    <cellStyle name="Millares 12 4 2 2 2" xfId="1809"/>
    <cellStyle name="Millares 12 4 2 2 2 2" xfId="1810"/>
    <cellStyle name="Millares 12 4 2 2 3" xfId="1811"/>
    <cellStyle name="Millares 12 4 2 3" xfId="1812"/>
    <cellStyle name="Millares 12 4 2 3 2" xfId="1813"/>
    <cellStyle name="Millares 12 4 2 4" xfId="1814"/>
    <cellStyle name="Millares 12 4 3" xfId="1815"/>
    <cellStyle name="Millares 12 4 3 2" xfId="1816"/>
    <cellStyle name="Millares 12 4 3 2 2" xfId="1817"/>
    <cellStyle name="Millares 12 4 3 3" xfId="1818"/>
    <cellStyle name="Millares 12 4 4" xfId="1819"/>
    <cellStyle name="Millares 12 4 4 2" xfId="1820"/>
    <cellStyle name="Millares 12 4 5" xfId="1821"/>
    <cellStyle name="Millares 12 5" xfId="520"/>
    <cellStyle name="Millares 12 5 2" xfId="1822"/>
    <cellStyle name="Millares 12 5 2 2" xfId="1823"/>
    <cellStyle name="Millares 12 5 2 2 2" xfId="1824"/>
    <cellStyle name="Millares 12 5 2 2 2 2" xfId="1825"/>
    <cellStyle name="Millares 12 5 2 2 3" xfId="1826"/>
    <cellStyle name="Millares 12 5 2 3" xfId="1827"/>
    <cellStyle name="Millares 12 5 2 3 2" xfId="1828"/>
    <cellStyle name="Millares 12 5 2 4" xfId="1829"/>
    <cellStyle name="Millares 12 5 3" xfId="1830"/>
    <cellStyle name="Millares 12 5 3 2" xfId="1831"/>
    <cellStyle name="Millares 12 5 3 2 2" xfId="1832"/>
    <cellStyle name="Millares 12 5 3 3" xfId="1833"/>
    <cellStyle name="Millares 12 5 4" xfId="1834"/>
    <cellStyle name="Millares 12 5 4 2" xfId="1835"/>
    <cellStyle name="Millares 12 5 5" xfId="1836"/>
    <cellStyle name="Millares 12 6" xfId="1837"/>
    <cellStyle name="Millares 12 6 2" xfId="1838"/>
    <cellStyle name="Millares 12 6 2 2" xfId="1839"/>
    <cellStyle name="Millares 12 6 2 2 2" xfId="1840"/>
    <cellStyle name="Millares 12 6 2 2 2 2" xfId="1841"/>
    <cellStyle name="Millares 12 6 2 2 3" xfId="1842"/>
    <cellStyle name="Millares 12 6 2 3" xfId="1843"/>
    <cellStyle name="Millares 12 6 2 3 2" xfId="1844"/>
    <cellStyle name="Millares 12 6 2 4" xfId="1845"/>
    <cellStyle name="Millares 12 6 3" xfId="1846"/>
    <cellStyle name="Millares 12 6 3 2" xfId="1847"/>
    <cellStyle name="Millares 12 6 3 2 2" xfId="1848"/>
    <cellStyle name="Millares 12 6 3 3" xfId="1849"/>
    <cellStyle name="Millares 12 6 4" xfId="1850"/>
    <cellStyle name="Millares 12 6 4 2" xfId="1851"/>
    <cellStyle name="Millares 12 6 5" xfId="1852"/>
    <cellStyle name="Millares 12 7" xfId="1853"/>
    <cellStyle name="Millares 12 7 2" xfId="1854"/>
    <cellStyle name="Millares 12 7 2 2" xfId="1855"/>
    <cellStyle name="Millares 12 7 2 2 2" xfId="1856"/>
    <cellStyle name="Millares 12 7 2 2 2 2" xfId="1857"/>
    <cellStyle name="Millares 12 7 2 2 3" xfId="1858"/>
    <cellStyle name="Millares 12 7 2 3" xfId="1859"/>
    <cellStyle name="Millares 12 7 2 3 2" xfId="1860"/>
    <cellStyle name="Millares 12 7 2 4" xfId="1861"/>
    <cellStyle name="Millares 12 7 3" xfId="1862"/>
    <cellStyle name="Millares 12 7 3 2" xfId="1863"/>
    <cellStyle name="Millares 12 7 3 2 2" xfId="1864"/>
    <cellStyle name="Millares 12 7 3 3" xfId="1865"/>
    <cellStyle name="Millares 12 7 4" xfId="1866"/>
    <cellStyle name="Millares 12 7 4 2" xfId="1867"/>
    <cellStyle name="Millares 12 7 5" xfId="1868"/>
    <cellStyle name="Millares 12 8" xfId="1869"/>
    <cellStyle name="Millares 12 8 2" xfId="1870"/>
    <cellStyle name="Millares 12 8 2 2" xfId="1871"/>
    <cellStyle name="Millares 12 8 2 2 2" xfId="1872"/>
    <cellStyle name="Millares 12 8 2 3" xfId="1873"/>
    <cellStyle name="Millares 12 8 3" xfId="1874"/>
    <cellStyle name="Millares 12 8 3 2" xfId="1875"/>
    <cellStyle name="Millares 12 8 4" xfId="1876"/>
    <cellStyle name="Millares 12 9" xfId="1877"/>
    <cellStyle name="Millares 12 9 2" xfId="1878"/>
    <cellStyle name="Millares 12 9 2 2" xfId="1879"/>
    <cellStyle name="Millares 12 9 3" xfId="1880"/>
    <cellStyle name="Millares 13" xfId="521"/>
    <cellStyle name="Millares 13 2" xfId="522"/>
    <cellStyle name="Millares 13 2 2" xfId="523"/>
    <cellStyle name="Millares 13 2 2 2" xfId="524"/>
    <cellStyle name="Millares 13 2 2 2 2" xfId="1881"/>
    <cellStyle name="Millares 13 2 2 3" xfId="1882"/>
    <cellStyle name="Millares 13 2 3" xfId="525"/>
    <cellStyle name="Millares 13 2 3 2" xfId="1883"/>
    <cellStyle name="Millares 13 2 4" xfId="1884"/>
    <cellStyle name="Millares 13 3" xfId="526"/>
    <cellStyle name="Millares 13 3 2" xfId="527"/>
    <cellStyle name="Millares 13 4" xfId="528"/>
    <cellStyle name="Millares 14" xfId="529"/>
    <cellStyle name="Millares 14 2" xfId="530"/>
    <cellStyle name="Millares 15" xfId="531"/>
    <cellStyle name="Millares 15 2" xfId="532"/>
    <cellStyle name="Millares 16" xfId="397"/>
    <cellStyle name="Millares 17" xfId="533"/>
    <cellStyle name="Millares 17 2" xfId="534"/>
    <cellStyle name="Millares 18" xfId="535"/>
    <cellStyle name="Millares 18 2" xfId="536"/>
    <cellStyle name="Millares 19" xfId="440"/>
    <cellStyle name="Millares 19 2" xfId="537"/>
    <cellStyle name="Millares 19 2 2" xfId="538"/>
    <cellStyle name="Millares 19 3" xfId="539"/>
    <cellStyle name="Millares 2" xfId="112"/>
    <cellStyle name="Millares 2 2" xfId="113"/>
    <cellStyle name="Millares 2 2 2" xfId="195"/>
    <cellStyle name="Millares 2 2 2 2" xfId="1885"/>
    <cellStyle name="Millares 2 2 3" xfId="1886"/>
    <cellStyle name="Millares 2 3" xfId="114"/>
    <cellStyle name="Millares 2 3 2" xfId="1887"/>
    <cellStyle name="Millares 2 4" xfId="1888"/>
    <cellStyle name="Millares 3" xfId="115"/>
    <cellStyle name="Millares 3 2" xfId="116"/>
    <cellStyle name="Millares 3 2 2" xfId="197"/>
    <cellStyle name="Millares 3 2 2 2" xfId="1889"/>
    <cellStyle name="Millares 3 2 3" xfId="1890"/>
    <cellStyle name="Millares 3 3" xfId="196"/>
    <cellStyle name="Millares 3 3 2" xfId="1891"/>
    <cellStyle name="Millares 3 4" xfId="216"/>
    <cellStyle name="Millares 3 4 2" xfId="1892"/>
    <cellStyle name="Millares 3 5" xfId="1893"/>
    <cellStyle name="Millares 4" xfId="117"/>
    <cellStyle name="Millares 4 2" xfId="118"/>
    <cellStyle name="Millares 4 2 2" xfId="119"/>
    <cellStyle name="Millares 4 2 2 2" xfId="1894"/>
    <cellStyle name="Millares 4 2 2 2 2" xfId="1895"/>
    <cellStyle name="Millares 4 2 2 3" xfId="1896"/>
    <cellStyle name="Millares 4 2 3" xfId="1897"/>
    <cellStyle name="Millares 4 2 3 2" xfId="1898"/>
    <cellStyle name="Millares 4 2 4" xfId="1899"/>
    <cellStyle name="Millares 4 3" xfId="120"/>
    <cellStyle name="Millares 4 3 2" xfId="121"/>
    <cellStyle name="Millares 4 3 2 2" xfId="1900"/>
    <cellStyle name="Millares 4 3 2 2 2" xfId="1901"/>
    <cellStyle name="Millares 4 3 2 3" xfId="1902"/>
    <cellStyle name="Millares 4 3 3" xfId="1903"/>
    <cellStyle name="Millares 4 3 3 2" xfId="1904"/>
    <cellStyle name="Millares 4 3 4" xfId="1905"/>
    <cellStyle name="Millares 4 4" xfId="122"/>
    <cellStyle name="Millares 4 4 2" xfId="1906"/>
    <cellStyle name="Millares 4 4 2 2" xfId="1907"/>
    <cellStyle name="Millares 4 4 3" xfId="1908"/>
    <cellStyle name="Millares 4 5" xfId="1909"/>
    <cellStyle name="Millares 4 5 2" xfId="1910"/>
    <cellStyle name="Millares 4 6" xfId="1911"/>
    <cellStyle name="Millares 5" xfId="123"/>
    <cellStyle name="Millares 5 2" xfId="124"/>
    <cellStyle name="Millares 5 2 2" xfId="217"/>
    <cellStyle name="Millares 5 2 2 2" xfId="1912"/>
    <cellStyle name="Millares 5 2 3" xfId="1913"/>
    <cellStyle name="Millares 5 3" xfId="198"/>
    <cellStyle name="Millares 5 3 2" xfId="1914"/>
    <cellStyle name="Millares 5 4" xfId="1915"/>
    <cellStyle name="Millares 6" xfId="125"/>
    <cellStyle name="Millares 6 2" xfId="199"/>
    <cellStyle name="Millares 6 2 2" xfId="1916"/>
    <cellStyle name="Millares 6 3" xfId="1917"/>
    <cellStyle name="Millares 7" xfId="126"/>
    <cellStyle name="Millares 7 2" xfId="127"/>
    <cellStyle name="Millares 7 2 10" xfId="1918"/>
    <cellStyle name="Millares 7 2 10 2" xfId="1919"/>
    <cellStyle name="Millares 7 2 11" xfId="1920"/>
    <cellStyle name="Millares 7 2 2" xfId="381"/>
    <cellStyle name="Millares 7 2 2 2" xfId="540"/>
    <cellStyle name="Millares 7 2 2 2 2" xfId="541"/>
    <cellStyle name="Millares 7 2 2 3" xfId="542"/>
    <cellStyle name="Millares 7 2 3" xfId="543"/>
    <cellStyle name="Millares 7 2 3 2" xfId="544"/>
    <cellStyle name="Millares 7 2 3 2 2" xfId="1921"/>
    <cellStyle name="Millares 7 2 3 2 2 2" xfId="1922"/>
    <cellStyle name="Millares 7 2 3 2 2 2 2" xfId="1923"/>
    <cellStyle name="Millares 7 2 3 2 2 3" xfId="1924"/>
    <cellStyle name="Millares 7 2 3 2 3" xfId="1925"/>
    <cellStyle name="Millares 7 2 3 2 3 2" xfId="1926"/>
    <cellStyle name="Millares 7 2 3 2 4" xfId="1927"/>
    <cellStyle name="Millares 7 2 3 3" xfId="1928"/>
    <cellStyle name="Millares 7 2 3 3 2" xfId="1929"/>
    <cellStyle name="Millares 7 2 3 3 2 2" xfId="1930"/>
    <cellStyle name="Millares 7 2 3 3 3" xfId="1931"/>
    <cellStyle name="Millares 7 2 3 4" xfId="1932"/>
    <cellStyle name="Millares 7 2 3 4 2" xfId="1933"/>
    <cellStyle name="Millares 7 2 3 5" xfId="1934"/>
    <cellStyle name="Millares 7 2 4" xfId="545"/>
    <cellStyle name="Millares 7 2 4 2" xfId="546"/>
    <cellStyle name="Millares 7 2 4 2 2" xfId="1935"/>
    <cellStyle name="Millares 7 2 4 2 2 2" xfId="1936"/>
    <cellStyle name="Millares 7 2 4 2 2 2 2" xfId="1937"/>
    <cellStyle name="Millares 7 2 4 2 2 3" xfId="1938"/>
    <cellStyle name="Millares 7 2 4 2 3" xfId="1939"/>
    <cellStyle name="Millares 7 2 4 2 3 2" xfId="1940"/>
    <cellStyle name="Millares 7 2 4 2 4" xfId="1941"/>
    <cellStyle name="Millares 7 2 4 3" xfId="1942"/>
    <cellStyle name="Millares 7 2 4 3 2" xfId="1943"/>
    <cellStyle name="Millares 7 2 4 3 2 2" xfId="1944"/>
    <cellStyle name="Millares 7 2 4 3 3" xfId="1945"/>
    <cellStyle name="Millares 7 2 4 4" xfId="1946"/>
    <cellStyle name="Millares 7 2 4 4 2" xfId="1947"/>
    <cellStyle name="Millares 7 2 4 5" xfId="1948"/>
    <cellStyle name="Millares 7 2 5" xfId="547"/>
    <cellStyle name="Millares 7 2 5 2" xfId="1949"/>
    <cellStyle name="Millares 7 2 5 2 2" xfId="1950"/>
    <cellStyle name="Millares 7 2 5 2 2 2" xfId="1951"/>
    <cellStyle name="Millares 7 2 5 2 2 2 2" xfId="1952"/>
    <cellStyle name="Millares 7 2 5 2 2 3" xfId="1953"/>
    <cellStyle name="Millares 7 2 5 2 3" xfId="1954"/>
    <cellStyle name="Millares 7 2 5 2 3 2" xfId="1955"/>
    <cellStyle name="Millares 7 2 5 2 4" xfId="1956"/>
    <cellStyle name="Millares 7 2 5 3" xfId="1957"/>
    <cellStyle name="Millares 7 2 5 3 2" xfId="1958"/>
    <cellStyle name="Millares 7 2 5 3 2 2" xfId="1959"/>
    <cellStyle name="Millares 7 2 5 3 3" xfId="1960"/>
    <cellStyle name="Millares 7 2 5 4" xfId="1961"/>
    <cellStyle name="Millares 7 2 5 4 2" xfId="1962"/>
    <cellStyle name="Millares 7 2 5 5" xfId="1963"/>
    <cellStyle name="Millares 7 2 6" xfId="1964"/>
    <cellStyle name="Millares 7 2 6 2" xfId="1965"/>
    <cellStyle name="Millares 7 2 6 2 2" xfId="1966"/>
    <cellStyle name="Millares 7 2 6 2 2 2" xfId="1967"/>
    <cellStyle name="Millares 7 2 6 2 2 2 2" xfId="1968"/>
    <cellStyle name="Millares 7 2 6 2 2 3" xfId="1969"/>
    <cellStyle name="Millares 7 2 6 2 3" xfId="1970"/>
    <cellStyle name="Millares 7 2 6 2 3 2" xfId="1971"/>
    <cellStyle name="Millares 7 2 6 2 4" xfId="1972"/>
    <cellStyle name="Millares 7 2 6 3" xfId="1973"/>
    <cellStyle name="Millares 7 2 6 3 2" xfId="1974"/>
    <cellStyle name="Millares 7 2 6 3 2 2" xfId="1975"/>
    <cellStyle name="Millares 7 2 6 3 3" xfId="1976"/>
    <cellStyle name="Millares 7 2 6 4" xfId="1977"/>
    <cellStyle name="Millares 7 2 6 4 2" xfId="1978"/>
    <cellStyle name="Millares 7 2 6 5" xfId="1979"/>
    <cellStyle name="Millares 7 2 7" xfId="1980"/>
    <cellStyle name="Millares 7 2 7 2" xfId="1981"/>
    <cellStyle name="Millares 7 2 7 2 2" xfId="1982"/>
    <cellStyle name="Millares 7 2 7 2 2 2" xfId="1983"/>
    <cellStyle name="Millares 7 2 7 2 2 2 2" xfId="1984"/>
    <cellStyle name="Millares 7 2 7 2 2 3" xfId="1985"/>
    <cellStyle name="Millares 7 2 7 2 3" xfId="1986"/>
    <cellStyle name="Millares 7 2 7 2 3 2" xfId="1987"/>
    <cellStyle name="Millares 7 2 7 2 4" xfId="1988"/>
    <cellStyle name="Millares 7 2 7 3" xfId="1989"/>
    <cellStyle name="Millares 7 2 7 3 2" xfId="1990"/>
    <cellStyle name="Millares 7 2 7 3 2 2" xfId="1991"/>
    <cellStyle name="Millares 7 2 7 3 3" xfId="1992"/>
    <cellStyle name="Millares 7 2 7 4" xfId="1993"/>
    <cellStyle name="Millares 7 2 7 4 2" xfId="1994"/>
    <cellStyle name="Millares 7 2 7 5" xfId="1995"/>
    <cellStyle name="Millares 7 2 8" xfId="1996"/>
    <cellStyle name="Millares 7 2 8 2" xfId="1997"/>
    <cellStyle name="Millares 7 2 8 2 2" xfId="1998"/>
    <cellStyle name="Millares 7 2 8 2 2 2" xfId="1999"/>
    <cellStyle name="Millares 7 2 8 2 3" xfId="2000"/>
    <cellStyle name="Millares 7 2 8 3" xfId="2001"/>
    <cellStyle name="Millares 7 2 8 3 2" xfId="2002"/>
    <cellStyle name="Millares 7 2 8 4" xfId="2003"/>
    <cellStyle name="Millares 7 2 9" xfId="2004"/>
    <cellStyle name="Millares 7 2 9 2" xfId="2005"/>
    <cellStyle name="Millares 7 2 9 2 2" xfId="2006"/>
    <cellStyle name="Millares 7 2 9 3" xfId="2007"/>
    <cellStyle name="Millares 7 3" xfId="200"/>
    <cellStyle name="Millares 7 3 2" xfId="548"/>
    <cellStyle name="Millares 7 3 2 2" xfId="549"/>
    <cellStyle name="Millares 7 3 3" xfId="550"/>
    <cellStyle name="Millares 7 3 4" xfId="551"/>
    <cellStyle name="Millares 7 4" xfId="552"/>
    <cellStyle name="Millares 7 4 2" xfId="553"/>
    <cellStyle name="Millares 7 5" xfId="554"/>
    <cellStyle name="Millares 7 6" xfId="555"/>
    <cellStyle name="Millares 8" xfId="128"/>
    <cellStyle name="Millares 8 2" xfId="129"/>
    <cellStyle name="Millares 8 2 2" xfId="2008"/>
    <cellStyle name="Millares 8 2 2 2" xfId="2009"/>
    <cellStyle name="Millares 8 2 3" xfId="2010"/>
    <cellStyle name="Millares 8 3" xfId="130"/>
    <cellStyle name="Millares 8 3 2" xfId="2011"/>
    <cellStyle name="Millares 8 3 2 2" xfId="2012"/>
    <cellStyle name="Millares 8 3 3" xfId="2013"/>
    <cellStyle name="Millares 8 4" xfId="2014"/>
    <cellStyle name="Millares 8 4 2" xfId="2015"/>
    <cellStyle name="Millares 8 5" xfId="2016"/>
    <cellStyle name="Millares 9" xfId="131"/>
    <cellStyle name="Millares 9 2" xfId="201"/>
    <cellStyle name="Millares 9 2 2" xfId="2017"/>
    <cellStyle name="Millares 9 3" xfId="2018"/>
    <cellStyle name="Moneda 2" xfId="132"/>
    <cellStyle name="Moneda 2 2" xfId="133"/>
    <cellStyle name="Moneda 2 2 2" xfId="134"/>
    <cellStyle name="Moneda 2 2 2 2" xfId="2019"/>
    <cellStyle name="Moneda 2 2 2 2 2" xfId="2020"/>
    <cellStyle name="Moneda 2 2 2 3" xfId="2021"/>
    <cellStyle name="Moneda 2 2 3" xfId="2022"/>
    <cellStyle name="Moneda 2 2 3 2" xfId="2023"/>
    <cellStyle name="Moneda 2 2 4" xfId="2024"/>
    <cellStyle name="Moneda 2 3" xfId="135"/>
    <cellStyle name="Moneda 2 3 2" xfId="136"/>
    <cellStyle name="Moneda 2 3 2 2" xfId="2025"/>
    <cellStyle name="Moneda 2 3 2 2 2" xfId="2026"/>
    <cellStyle name="Moneda 2 3 2 3" xfId="2027"/>
    <cellStyle name="Moneda 2 3 3" xfId="2028"/>
    <cellStyle name="Moneda 2 3 3 2" xfId="2029"/>
    <cellStyle name="Moneda 2 3 4" xfId="2030"/>
    <cellStyle name="Moneda 2 4" xfId="137"/>
    <cellStyle name="Moneda 2 4 2" xfId="2031"/>
    <cellStyle name="Moneda 2 4 2 2" xfId="2032"/>
    <cellStyle name="Moneda 2 4 3" xfId="2033"/>
    <cellStyle name="Moneda 2 5" xfId="2034"/>
    <cellStyle name="Moneda 2 5 2" xfId="2035"/>
    <cellStyle name="Moneda 2 6" xfId="2036"/>
    <cellStyle name="Moneda 2 6 2" xfId="2037"/>
    <cellStyle name="Moneda 2 7" xfId="2038"/>
    <cellStyle name="Moneda 3" xfId="138"/>
    <cellStyle name="Moneda 3 2" xfId="202"/>
    <cellStyle name="Moneda 3 2 2" xfId="2039"/>
    <cellStyle name="Moneda 3 3" xfId="2040"/>
    <cellStyle name="Moneda 4" xfId="139"/>
    <cellStyle name="Moneda 4 2" xfId="140"/>
    <cellStyle name="Moneda 4 2 2" xfId="2041"/>
    <cellStyle name="Moneda 4 2 2 2" xfId="2042"/>
    <cellStyle name="Moneda 4 2 3" xfId="2043"/>
    <cellStyle name="Moneda 4 3" xfId="2044"/>
    <cellStyle name="Moneda 4 3 2" xfId="2045"/>
    <cellStyle name="Moneda 4 4" xfId="2046"/>
    <cellStyle name="Moneda 5" xfId="378"/>
    <cellStyle name="Moneda 5 2" xfId="2047"/>
    <cellStyle name="Moneda 5 2 2" xfId="2048"/>
    <cellStyle name="Moneda 5 2 2 2" xfId="2049"/>
    <cellStyle name="Moneda 5 2 2 2 2" xfId="2050"/>
    <cellStyle name="Moneda 5 2 2 2 2 2" xfId="2051"/>
    <cellStyle name="Moneda 5 2 2 2 3" xfId="2052"/>
    <cellStyle name="Moneda 5 2 2 3" xfId="2053"/>
    <cellStyle name="Moneda 5 2 2 3 2" xfId="2054"/>
    <cellStyle name="Moneda 5 2 2 4" xfId="2055"/>
    <cellStyle name="Moneda 5 2 3" xfId="2056"/>
    <cellStyle name="Moneda 5 2 3 2" xfId="2057"/>
    <cellStyle name="Moneda 5 2 3 2 2" xfId="2058"/>
    <cellStyle name="Moneda 5 2 3 3" xfId="2059"/>
    <cellStyle name="Moneda 5 2 4" xfId="2060"/>
    <cellStyle name="Moneda 5 2 4 2" xfId="2061"/>
    <cellStyle name="Moneda 5 2 5" xfId="2062"/>
    <cellStyle name="Moneda 5 3" xfId="2063"/>
    <cellStyle name="Moneda 5 3 2" xfId="2064"/>
    <cellStyle name="Moneda 5 3 2 2" xfId="2065"/>
    <cellStyle name="Moneda 5 3 2 2 2" xfId="2066"/>
    <cellStyle name="Moneda 5 3 2 3" xfId="2067"/>
    <cellStyle name="Moneda 5 3 3" xfId="2068"/>
    <cellStyle name="Moneda 5 3 3 2" xfId="2069"/>
    <cellStyle name="Moneda 5 3 4" xfId="2070"/>
    <cellStyle name="Moneda 5 4" xfId="2071"/>
    <cellStyle name="Moneda 5 4 2" xfId="2072"/>
    <cellStyle name="Moneda 5 5" xfId="2073"/>
    <cellStyle name="Moneda 6" xfId="2074"/>
    <cellStyle name="Moneda 6 2" xfId="2075"/>
    <cellStyle name="Moneda 7" xfId="2076"/>
    <cellStyle name="Moneda 7 2" xfId="2077"/>
    <cellStyle name="Moneda 7 2 2" xfId="2078"/>
    <cellStyle name="Moneda 7 2 2 2" xfId="2079"/>
    <cellStyle name="Moneda 7 2 3" xfId="2080"/>
    <cellStyle name="Moneda 7 3" xfId="2081"/>
    <cellStyle name="Moneda 7 3 2" xfId="2082"/>
    <cellStyle name="Moneda 7 4" xfId="2083"/>
    <cellStyle name="Moneda 8" xfId="2084"/>
    <cellStyle name="Moneda 8 2" xfId="2085"/>
    <cellStyle name="Neutral 2" xfId="141"/>
    <cellStyle name="Neutral 3" xfId="556"/>
    <cellStyle name="Normal" xfId="0" builtinId="0"/>
    <cellStyle name="Normal - Modelo1" xfId="808"/>
    <cellStyle name="Normal - Modelo2" xfId="809"/>
    <cellStyle name="Normal - Modelo3" xfId="810"/>
    <cellStyle name="Normal - Modelo4" xfId="811"/>
    <cellStyle name="Normal - Modelo5" xfId="812"/>
    <cellStyle name="Normal - Modelo6" xfId="813"/>
    <cellStyle name="Normal - Modelo7" xfId="814"/>
    <cellStyle name="Normal - Modelo8" xfId="815"/>
    <cellStyle name="Normal 10" xfId="142"/>
    <cellStyle name="Normal 10 10" xfId="434"/>
    <cellStyle name="Normal 10 10 10 2" xfId="3792"/>
    <cellStyle name="Normal 10 10 2" xfId="557"/>
    <cellStyle name="Normal 10 10 3" xfId="2086"/>
    <cellStyle name="Normal 10 10 4" xfId="2087"/>
    <cellStyle name="Normal 10 10 5" xfId="2088"/>
    <cellStyle name="Normal 10 11" xfId="2089"/>
    <cellStyle name="Normal 10 2" xfId="143"/>
    <cellStyle name="Normal 10 2 10" xfId="2090"/>
    <cellStyle name="Normal 10 2 2" xfId="558"/>
    <cellStyle name="Normal 10 2 2 2" xfId="559"/>
    <cellStyle name="Normal 10 2 2 2 2" xfId="560"/>
    <cellStyle name="Normal 10 2 2 2 2 2" xfId="2091"/>
    <cellStyle name="Normal 10 2 2 2 2 2 2" xfId="2092"/>
    <cellStyle name="Normal 10 2 2 2 2 3" xfId="2093"/>
    <cellStyle name="Normal 10 2 2 2 3" xfId="2094"/>
    <cellStyle name="Normal 10 2 2 2 3 2" xfId="2095"/>
    <cellStyle name="Normal 10 2 2 2 3 2 2" xfId="2096"/>
    <cellStyle name="Normal 10 2 2 2 3 2 2 2" xfId="2097"/>
    <cellStyle name="Normal 10 2 2 2 3 2 3" xfId="2098"/>
    <cellStyle name="Normal 10 2 2 2 3 3" xfId="2099"/>
    <cellStyle name="Normal 10 2 2 2 3 3 2" xfId="2100"/>
    <cellStyle name="Normal 10 2 2 2 3 4" xfId="2101"/>
    <cellStyle name="Normal 10 2 2 2 4" xfId="2102"/>
    <cellStyle name="Normal 10 2 2 2 4 2" xfId="2103"/>
    <cellStyle name="Normal 10 2 2 2 5" xfId="2104"/>
    <cellStyle name="Normal 10 2 2 3" xfId="561"/>
    <cellStyle name="Normal 10 2 2 3 2" xfId="2105"/>
    <cellStyle name="Normal 10 2 2 3 2 2" xfId="2106"/>
    <cellStyle name="Normal 10 2 2 3 2 2 2" xfId="2107"/>
    <cellStyle name="Normal 10 2 2 3 2 2 2 2" xfId="2108"/>
    <cellStyle name="Normal 10 2 2 3 2 2 3" xfId="2109"/>
    <cellStyle name="Normal 10 2 2 3 2 3" xfId="2110"/>
    <cellStyle name="Normal 10 2 2 3 2 3 2" xfId="2111"/>
    <cellStyle name="Normal 10 2 2 3 2 4" xfId="2112"/>
    <cellStyle name="Normal 10 2 2 3 3" xfId="2113"/>
    <cellStyle name="Normal 10 2 2 3 3 2" xfId="2114"/>
    <cellStyle name="Normal 10 2 2 3 4" xfId="2115"/>
    <cellStyle name="Normal 10 2 2 4" xfId="2116"/>
    <cellStyle name="Normal 10 2 2 4 2" xfId="2117"/>
    <cellStyle name="Normal 10 2 2 5" xfId="2118"/>
    <cellStyle name="Normal 10 2 3" xfId="562"/>
    <cellStyle name="Normal 10 2 3 2" xfId="563"/>
    <cellStyle name="Normal 10 2 3 2 2" xfId="2119"/>
    <cellStyle name="Normal 10 2 3 2 2 2" xfId="2120"/>
    <cellStyle name="Normal 10 2 3 2 3" xfId="2121"/>
    <cellStyle name="Normal 10 2 3 3" xfId="2122"/>
    <cellStyle name="Normal 10 2 3 3 2" xfId="2123"/>
    <cellStyle name="Normal 10 2 3 4" xfId="2124"/>
    <cellStyle name="Normal 10 2 4" xfId="564"/>
    <cellStyle name="Normal 10 2 4 2" xfId="565"/>
    <cellStyle name="Normal 10 2 4 2 2" xfId="2125"/>
    <cellStyle name="Normal 10 2 4 2 2 2" xfId="2126"/>
    <cellStyle name="Normal 10 2 4 2 3" xfId="2127"/>
    <cellStyle name="Normal 10 2 4 3" xfId="2128"/>
    <cellStyle name="Normal 10 2 4 3 2" xfId="2129"/>
    <cellStyle name="Normal 10 2 4 4" xfId="2130"/>
    <cellStyle name="Normal 10 2 5" xfId="566"/>
    <cellStyle name="Normal 10 2 5 2" xfId="2131"/>
    <cellStyle name="Normal 10 2 5 2 2" xfId="2132"/>
    <cellStyle name="Normal 10 2 5 2 2 2" xfId="2133"/>
    <cellStyle name="Normal 10 2 5 2 3" xfId="2134"/>
    <cellStyle name="Normal 10 2 5 3" xfId="2135"/>
    <cellStyle name="Normal 10 2 5 3 2" xfId="2136"/>
    <cellStyle name="Normal 10 2 5 4" xfId="2137"/>
    <cellStyle name="Normal 10 2 6" xfId="2138"/>
    <cellStyle name="Normal 10 2 6 2" xfId="2139"/>
    <cellStyle name="Normal 10 2 6 2 2" xfId="2140"/>
    <cellStyle name="Normal 10 2 6 2 2 2" xfId="2141"/>
    <cellStyle name="Normal 10 2 6 2 3" xfId="2142"/>
    <cellStyle name="Normal 10 2 6 3" xfId="2143"/>
    <cellStyle name="Normal 10 2 6 3 2" xfId="2144"/>
    <cellStyle name="Normal 10 2 6 4" xfId="2145"/>
    <cellStyle name="Normal 10 2 7" xfId="2146"/>
    <cellStyle name="Normal 10 2 7 2" xfId="2147"/>
    <cellStyle name="Normal 10 2 7 2 2" xfId="2148"/>
    <cellStyle name="Normal 10 2 7 2 2 2" xfId="2149"/>
    <cellStyle name="Normal 10 2 7 2 3" xfId="2150"/>
    <cellStyle name="Normal 10 2 7 3" xfId="2151"/>
    <cellStyle name="Normal 10 2 7 3 2" xfId="2152"/>
    <cellStyle name="Normal 10 2 7 4" xfId="2153"/>
    <cellStyle name="Normal 10 2 8" xfId="2154"/>
    <cellStyle name="Normal 10 2 8 2" xfId="2155"/>
    <cellStyle name="Normal 10 2 8 2 2" xfId="2156"/>
    <cellStyle name="Normal 10 2 8 3" xfId="2157"/>
    <cellStyle name="Normal 10 2 9" xfId="2158"/>
    <cellStyle name="Normal 10 2 9 2" xfId="2159"/>
    <cellStyle name="Normal 10 3" xfId="567"/>
    <cellStyle name="Normal 10 3 2" xfId="568"/>
    <cellStyle name="Normal 10 3 2 2" xfId="569"/>
    <cellStyle name="Normal 10 3 2 2 2" xfId="2160"/>
    <cellStyle name="Normal 10 3 2 3" xfId="2161"/>
    <cellStyle name="Normal 10 3 3" xfId="570"/>
    <cellStyle name="Normal 10 3 3 2" xfId="2162"/>
    <cellStyle name="Normal 10 3 4" xfId="2163"/>
    <cellStyle name="Normal 10 4" xfId="571"/>
    <cellStyle name="Normal 10 4 2" xfId="572"/>
    <cellStyle name="Normal 10 4 2 2" xfId="2164"/>
    <cellStyle name="Normal 10 4 2 2 2" xfId="2165"/>
    <cellStyle name="Normal 10 4 2 3" xfId="2166"/>
    <cellStyle name="Normal 10 4 3" xfId="2167"/>
    <cellStyle name="Normal 10 4 3 2" xfId="2168"/>
    <cellStyle name="Normal 10 4 3 2 2" xfId="2169"/>
    <cellStyle name="Normal 10 4 3 2 2 2" xfId="2170"/>
    <cellStyle name="Normal 10 4 3 2 2 2 2" xfId="2171"/>
    <cellStyle name="Normal 10 4 3 2 2 2 2 2" xfId="2172"/>
    <cellStyle name="Normal 10 4 3 2 2 2 3" xfId="2173"/>
    <cellStyle name="Normal 10 4 3 2 2 3" xfId="2174"/>
    <cellStyle name="Normal 10 4 3 2 2 3 2" xfId="2175"/>
    <cellStyle name="Normal 10 4 3 2 2 3 2 2" xfId="2176"/>
    <cellStyle name="Normal 10 4 3 2 2 3 3" xfId="2177"/>
    <cellStyle name="Normal 10 4 3 2 2 4" xfId="2178"/>
    <cellStyle name="Normal 10 4 3 2 2 4 2" xfId="2179"/>
    <cellStyle name="Normal 10 4 3 2 2 4 2 2" xfId="2180"/>
    <cellStyle name="Normal 10 4 3 2 2 4 3" xfId="2181"/>
    <cellStyle name="Normal 10 4 3 2 2 5" xfId="2182"/>
    <cellStyle name="Normal 10 4 3 2 2 5 2" xfId="2183"/>
    <cellStyle name="Normal 10 4 3 2 2 6" xfId="2184"/>
    <cellStyle name="Normal 10 4 3 2 2 6 2" xfId="2185"/>
    <cellStyle name="Normal 10 4 3 2 3" xfId="2186"/>
    <cellStyle name="Normal 10 4 3 2 3 2" xfId="2187"/>
    <cellStyle name="Normal 10 4 3 2 4" xfId="2188"/>
    <cellStyle name="Normal 10 4 3 3" xfId="2189"/>
    <cellStyle name="Normal 10 4 3 3 2" xfId="2190"/>
    <cellStyle name="Normal 10 4 3 4" xfId="2191"/>
    <cellStyle name="Normal 10 4 4" xfId="2192"/>
    <cellStyle name="Normal 10 4 4 2" xfId="2193"/>
    <cellStyle name="Normal 10 4 5" xfId="2194"/>
    <cellStyle name="Normal 10 5" xfId="573"/>
    <cellStyle name="Normal 10 5 2" xfId="574"/>
    <cellStyle name="Normal 10 5 2 2" xfId="2195"/>
    <cellStyle name="Normal 10 5 2 2 2" xfId="2196"/>
    <cellStyle name="Normal 10 5 2 3" xfId="2197"/>
    <cellStyle name="Normal 10 5 3" xfId="2198"/>
    <cellStyle name="Normal 10 5 3 2" xfId="2199"/>
    <cellStyle name="Normal 10 5 4" xfId="2200"/>
    <cellStyle name="Normal 10 6" xfId="575"/>
    <cellStyle name="Normal 10 6 2" xfId="2201"/>
    <cellStyle name="Normal 10 6 2 2" xfId="2202"/>
    <cellStyle name="Normal 10 6 2 2 2" xfId="2203"/>
    <cellStyle name="Normal 10 6 2 3" xfId="2204"/>
    <cellStyle name="Normal 10 6 3" xfId="2205"/>
    <cellStyle name="Normal 10 6 3 2" xfId="2206"/>
    <cellStyle name="Normal 10 6 4" xfId="2207"/>
    <cellStyle name="Normal 10 7" xfId="576"/>
    <cellStyle name="Normal 10 7 2" xfId="2208"/>
    <cellStyle name="Normal 10 7 2 2" xfId="2209"/>
    <cellStyle name="Normal 10 7 2 2 2" xfId="2210"/>
    <cellStyle name="Normal 10 7 2 3" xfId="2211"/>
    <cellStyle name="Normal 10 7 3" xfId="2212"/>
    <cellStyle name="Normal 10 7 3 2" xfId="2213"/>
    <cellStyle name="Normal 10 7 4" xfId="2214"/>
    <cellStyle name="Normal 10 8" xfId="2215"/>
    <cellStyle name="Normal 10 8 2" xfId="2216"/>
    <cellStyle name="Normal 10 8 2 2" xfId="2217"/>
    <cellStyle name="Normal 10 8 2 2 2" xfId="2218"/>
    <cellStyle name="Normal 10 8 2 3" xfId="2219"/>
    <cellStyle name="Normal 10 8 3" xfId="2220"/>
    <cellStyle name="Normal 10 8 3 2" xfId="2221"/>
    <cellStyle name="Normal 10 8 4" xfId="2222"/>
    <cellStyle name="Normal 10 9" xfId="2223"/>
    <cellStyle name="Normal 10 9 2" xfId="2224"/>
    <cellStyle name="Normal 10 9 2 2" xfId="2225"/>
    <cellStyle name="Normal 10 9 3" xfId="2226"/>
    <cellStyle name="Normal 10_ARTURO SSMC110113xls" xfId="2227"/>
    <cellStyle name="Normal 100" xfId="2228"/>
    <cellStyle name="Normal 101" xfId="2229"/>
    <cellStyle name="Normal 102" xfId="2230"/>
    <cellStyle name="Normal 103" xfId="2231"/>
    <cellStyle name="Normal 104" xfId="2232"/>
    <cellStyle name="Normal 105" xfId="2233"/>
    <cellStyle name="Normal 106" xfId="2234"/>
    <cellStyle name="Normal 107" xfId="2235"/>
    <cellStyle name="Normal 108" xfId="2236"/>
    <cellStyle name="Normal 109" xfId="2237"/>
    <cellStyle name="Normal 11" xfId="144"/>
    <cellStyle name="Normal 11 2" xfId="577"/>
    <cellStyle name="Normal 11 2 2" xfId="578"/>
    <cellStyle name="Normal 11 2 2 2" xfId="579"/>
    <cellStyle name="Normal 11 2 2 2 2" xfId="2238"/>
    <cellStyle name="Normal 11 2 2 3" xfId="2239"/>
    <cellStyle name="Normal 11 2 3" xfId="580"/>
    <cellStyle name="Normal 11 2 3 2" xfId="2240"/>
    <cellStyle name="Normal 11 2 4" xfId="2241"/>
    <cellStyle name="Normal 11 3" xfId="581"/>
    <cellStyle name="Normal 11 3 2" xfId="582"/>
    <cellStyle name="Normal 11 4" xfId="583"/>
    <cellStyle name="Normal 11 5" xfId="584"/>
    <cellStyle name="Normal 11_Evolución de becas SEP-UAM-PRONABES" xfId="2242"/>
    <cellStyle name="Normal 110" xfId="2243"/>
    <cellStyle name="Normal 111" xfId="2244"/>
    <cellStyle name="Normal 112" xfId="2245"/>
    <cellStyle name="Normal 113" xfId="2246"/>
    <cellStyle name="Normal 114" xfId="2247"/>
    <cellStyle name="Normal 115" xfId="2248"/>
    <cellStyle name="Normal 116" xfId="2249"/>
    <cellStyle name="Normal 117" xfId="2250"/>
    <cellStyle name="Normal 118" xfId="2251"/>
    <cellStyle name="Normal 119" xfId="2252"/>
    <cellStyle name="Normal 12" xfId="145"/>
    <cellStyle name="Normal 12 2" xfId="585"/>
    <cellStyle name="Normal 12 2 2" xfId="586"/>
    <cellStyle name="Normal 12 2 2 2" xfId="587"/>
    <cellStyle name="Normal 12 2 3" xfId="588"/>
    <cellStyle name="Normal 12 3" xfId="589"/>
    <cellStyle name="Normal 12 3 2" xfId="590"/>
    <cellStyle name="Normal 12 4" xfId="591"/>
    <cellStyle name="Normal 12 5" xfId="592"/>
    <cellStyle name="Normal 120" xfId="2253"/>
    <cellStyle name="Normal 121" xfId="2254"/>
    <cellStyle name="Normal 122" xfId="2255"/>
    <cellStyle name="Normal 123" xfId="2256"/>
    <cellStyle name="Normal 124" xfId="2257"/>
    <cellStyle name="Normal 125" xfId="2258"/>
    <cellStyle name="Normal 13" xfId="146"/>
    <cellStyle name="Normal 13 2" xfId="211"/>
    <cellStyle name="Normal 13 2 2" xfId="593"/>
    <cellStyle name="Normal 13 2 3" xfId="594"/>
    <cellStyle name="Normal 13 3" xfId="595"/>
    <cellStyle name="Normal 13 4" xfId="596"/>
    <cellStyle name="Normal 13_Evolución de becas SEP-UAM-PRONABES" xfId="2259"/>
    <cellStyle name="Normal 131" xfId="3784"/>
    <cellStyle name="Normal 136" xfId="3782"/>
    <cellStyle name="Normal 14" xfId="209"/>
    <cellStyle name="Normal 14 2" xfId="227"/>
    <cellStyle name="Normal 14 2 2" xfId="597"/>
    <cellStyle name="Normal 14 2 3" xfId="598"/>
    <cellStyle name="Normal 14 3" xfId="599"/>
    <cellStyle name="Normal 14 4" xfId="600"/>
    <cellStyle name="Normal 14 4 2" xfId="601"/>
    <cellStyle name="Normal 14 4 2 2" xfId="602"/>
    <cellStyle name="Normal 14 4 3" xfId="603"/>
    <cellStyle name="Normal 14 5" xfId="604"/>
    <cellStyle name="Normal 14 6" xfId="2260"/>
    <cellStyle name="Normal 15" xfId="234"/>
    <cellStyle name="Normal 15 2" xfId="246"/>
    <cellStyle name="Normal 15 2 2" xfId="605"/>
    <cellStyle name="Normal 15 2 2 2" xfId="2261"/>
    <cellStyle name="Normal 15 2 2 2 2" xfId="2262"/>
    <cellStyle name="Normal 15 2 2 2 2 2" xfId="2263"/>
    <cellStyle name="Normal 15 2 2 2 3" xfId="2264"/>
    <cellStyle name="Normal 15 2 2 3" xfId="2265"/>
    <cellStyle name="Normal 15 2 2 3 2" xfId="2266"/>
    <cellStyle name="Normal 15 2 2 3 2 2" xfId="2267"/>
    <cellStyle name="Normal 15 2 2 3 2 2 2" xfId="2268"/>
    <cellStyle name="Normal 15 2 2 3 2 3" xfId="2269"/>
    <cellStyle name="Normal 15 2 2 3 3" xfId="2270"/>
    <cellStyle name="Normal 15 2 2 3 3 2" xfId="2271"/>
    <cellStyle name="Normal 15 2 2 3 4" xfId="2272"/>
    <cellStyle name="Normal 15 2 2 4" xfId="2273"/>
    <cellStyle name="Normal 15 2 2 4 2" xfId="2274"/>
    <cellStyle name="Normal 15 2 2 4 2 2" xfId="2275"/>
    <cellStyle name="Normal 15 2 2 4 3" xfId="2276"/>
    <cellStyle name="Normal 15 2 2 5" xfId="2277"/>
    <cellStyle name="Normal 15 2 2 5 2" xfId="2278"/>
    <cellStyle name="Normal 15 2 2 6" xfId="2279"/>
    <cellStyle name="Normal 15 2 3" xfId="2280"/>
    <cellStyle name="Normal 15 2 3 2" xfId="2281"/>
    <cellStyle name="Normal 15 2 3 2 2" xfId="2282"/>
    <cellStyle name="Normal 15 2 3 2 2 2" xfId="2283"/>
    <cellStyle name="Normal 15 2 3 2 2 2 2" xfId="2284"/>
    <cellStyle name="Normal 15 2 3 2 2 2 2 2" xfId="2285"/>
    <cellStyle name="Normal 15 2 3 2 2 2 3" xfId="2286"/>
    <cellStyle name="Normal 15 2 3 2 2 3" xfId="2287"/>
    <cellStyle name="Normal 15 2 3 2 2 3 2" xfId="2288"/>
    <cellStyle name="Normal 15 2 3 2 2 3 2 2" xfId="2289"/>
    <cellStyle name="Normal 15 2 3 2 2 3 3" xfId="2290"/>
    <cellStyle name="Normal 15 2 3 2 2 4" xfId="2291"/>
    <cellStyle name="Normal 15 2 3 2 2 4 2" xfId="2292"/>
    <cellStyle name="Normal 15 2 3 2 2 4 2 2" xfId="2293"/>
    <cellStyle name="Normal 15 2 3 2 2 4 3" xfId="2294"/>
    <cellStyle name="Normal 15 2 3 2 2 5" xfId="2295"/>
    <cellStyle name="Normal 15 2 3 2 2 5 2" xfId="2296"/>
    <cellStyle name="Normal 15 2 3 2 2 6" xfId="2297"/>
    <cellStyle name="Normal 15 2 3 2 3" xfId="2298"/>
    <cellStyle name="Normal 15 2 3 2 3 2" xfId="2299"/>
    <cellStyle name="Normal 15 2 3 2 4" xfId="2300"/>
    <cellStyle name="Normal 15 2 3 3" xfId="2301"/>
    <cellStyle name="Normal 15 2 3 3 2" xfId="2302"/>
    <cellStyle name="Normal 15 2 3 4" xfId="2303"/>
    <cellStyle name="Normal 15 2 4" xfId="2304"/>
    <cellStyle name="Normal 15 2 4 2" xfId="2305"/>
    <cellStyle name="Normal 15 2 5" xfId="2306"/>
    <cellStyle name="Normal 15 3" xfId="2307"/>
    <cellStyle name="Normal 15 4" xfId="2308"/>
    <cellStyle name="Normal 15 5" xfId="2309"/>
    <cellStyle name="Normal 15_Evolución de becas SEP-UAM-PRONABES" xfId="2310"/>
    <cellStyle name="Normal 16" xfId="236"/>
    <cellStyle name="Normal 16 2" xfId="247"/>
    <cellStyle name="Normal 16 2 2" xfId="606"/>
    <cellStyle name="Normal 16_Evolución de becas SEP-UAM-PRONABES" xfId="2311"/>
    <cellStyle name="Normal 17" xfId="444"/>
    <cellStyle name="Normal 17 2" xfId="607"/>
    <cellStyle name="Normal 17 3" xfId="825"/>
    <cellStyle name="Normal 17_Evolución de becas SEP-UAM-PRONABES" xfId="2312"/>
    <cellStyle name="Normal 18" xfId="608"/>
    <cellStyle name="Normal 18 2" xfId="609"/>
    <cellStyle name="Normal 18 3" xfId="3785"/>
    <cellStyle name="Normal 18_Evolución de becas SEP-UAM-PRONABES" xfId="2313"/>
    <cellStyle name="Normal 19" xfId="445"/>
    <cellStyle name="Normal 19 2" xfId="610"/>
    <cellStyle name="Normal 19 2 2" xfId="2314"/>
    <cellStyle name="Normal 19 3" xfId="2315"/>
    <cellStyle name="Normal 19 4" xfId="2316"/>
    <cellStyle name="Normal 2" xfId="147"/>
    <cellStyle name="Normal 2 2" xfId="148"/>
    <cellStyle name="Normal 2 2 2" xfId="149"/>
    <cellStyle name="Normal 2 2 3" xfId="2317"/>
    <cellStyle name="Normal 2 2_Evolución de becas SEP-UAM-PRONABES" xfId="2318"/>
    <cellStyle name="Normal 2 3" xfId="611"/>
    <cellStyle name="Normal 2 3 2" xfId="612"/>
    <cellStyle name="Normal 2 3 3" xfId="2319"/>
    <cellStyle name="Normal 2 3_Evolución de becas SEP-UAM-PRONABES" xfId="2320"/>
    <cellStyle name="Normal 2 4" xfId="801"/>
    <cellStyle name="Normal 2 4 2" xfId="2321"/>
    <cellStyle name="Normal 2 4 2 2" xfId="2322"/>
    <cellStyle name="Normal 2 4 2 2 2" xfId="2323"/>
    <cellStyle name="Normal 2 4 2 3" xfId="2324"/>
    <cellStyle name="Normal 2 4 3" xfId="2325"/>
    <cellStyle name="Normal 2 4 3 2" xfId="2326"/>
    <cellStyle name="Normal 2 4 3 2 2" xfId="2327"/>
    <cellStyle name="Normal 2 4 3 3" xfId="2328"/>
    <cellStyle name="Normal 2 4 4" xfId="2329"/>
    <cellStyle name="Normal 2 4 4 2" xfId="2330"/>
    <cellStyle name="Normal 2 4 4 2 2" xfId="2331"/>
    <cellStyle name="Normal 2 4 4 3" xfId="2332"/>
    <cellStyle name="Normal 2 4 5" xfId="2333"/>
    <cellStyle name="Normal 2 4 5 2" xfId="2334"/>
    <cellStyle name="Normal 2 4 5 2 2" xfId="2335"/>
    <cellStyle name="Normal 2 4 5 2 2 2" xfId="2336"/>
    <cellStyle name="Normal 2 4 5 2 3" xfId="2337"/>
    <cellStyle name="Normal 2 4 5 3" xfId="2338"/>
    <cellStyle name="Normal 2 4 5 3 2" xfId="2339"/>
    <cellStyle name="Normal 2 4 5 4" xfId="2340"/>
    <cellStyle name="Normal 2 4 5 5" xfId="2341"/>
    <cellStyle name="Normal 2 4 6" xfId="2342"/>
    <cellStyle name="Normal 2 4 6 2" xfId="2343"/>
    <cellStyle name="Normal 2 4 7" xfId="2344"/>
    <cellStyle name="Normal 2 6" xfId="3783"/>
    <cellStyle name="Normal 2_BASE_POSTULADOS_NOPOSTULADOS_G08_020211(2)" xfId="2345"/>
    <cellStyle name="Normal 20" xfId="435"/>
    <cellStyle name="Normal 20 2" xfId="613"/>
    <cellStyle name="Normal 21" xfId="436"/>
    <cellStyle name="Normal 21 2" xfId="437"/>
    <cellStyle name="Normal 22" xfId="614"/>
    <cellStyle name="Normal 22 2" xfId="615"/>
    <cellStyle name="Normal 23" xfId="616"/>
    <cellStyle name="Normal 23 2" xfId="617"/>
    <cellStyle name="Normal 23 2 2" xfId="2346"/>
    <cellStyle name="Normal 23 3" xfId="2347"/>
    <cellStyle name="Normal 24" xfId="618"/>
    <cellStyle name="Normal 24 2" xfId="619"/>
    <cellStyle name="Normal 25" xfId="620"/>
    <cellStyle name="Normal 25 2" xfId="621"/>
    <cellStyle name="Normal 26" xfId="446"/>
    <cellStyle name="Normal 26 10" xfId="2348"/>
    <cellStyle name="Normal 26 11" xfId="2349"/>
    <cellStyle name="Normal 26 12" xfId="2350"/>
    <cellStyle name="Normal 26 2" xfId="622"/>
    <cellStyle name="Normal 26 2 2" xfId="2351"/>
    <cellStyle name="Normal 26 2 2 2" xfId="2352"/>
    <cellStyle name="Normal 26 2 2 2 2" xfId="2353"/>
    <cellStyle name="Normal 26 2 2 2 2 2" xfId="2354"/>
    <cellStyle name="Normal 26 2 2 2 3" xfId="2355"/>
    <cellStyle name="Normal 26 2 2 3" xfId="2356"/>
    <cellStyle name="Normal 26 2 2 3 2" xfId="2357"/>
    <cellStyle name="Normal 26 2 2 3 2 2" xfId="2358"/>
    <cellStyle name="Normal 26 2 2 3 3" xfId="2359"/>
    <cellStyle name="Normal 26 2 2 4" xfId="2360"/>
    <cellStyle name="Normal 26 2 2 4 2" xfId="2361"/>
    <cellStyle name="Normal 26 2 2 4 2 2" xfId="2362"/>
    <cellStyle name="Normal 26 2 2 4 3" xfId="2363"/>
    <cellStyle name="Normal 26 2 2 5" xfId="2364"/>
    <cellStyle name="Normal 26 2 2 5 2" xfId="2365"/>
    <cellStyle name="Normal 26 2 2 6" xfId="431"/>
    <cellStyle name="Normal 26 2 2 6 2" xfId="623"/>
    <cellStyle name="Normal 26 2 3" xfId="2366"/>
    <cellStyle name="Normal 26 2 3 2" xfId="2367"/>
    <cellStyle name="Normal 26 2 4" xfId="2368"/>
    <cellStyle name="Normal 26 3" xfId="2369"/>
    <cellStyle name="Normal 26 3 2" xfId="2370"/>
    <cellStyle name="Normal 26 3 2 2" xfId="2371"/>
    <cellStyle name="Normal 26 3 3" xfId="2372"/>
    <cellStyle name="Normal 26 4" xfId="2373"/>
    <cellStyle name="Normal 26 4 2" xfId="2374"/>
    <cellStyle name="Normal 26 4 2 2" xfId="2375"/>
    <cellStyle name="Normal 26 4 3" xfId="2376"/>
    <cellStyle name="Normal 26 5" xfId="2377"/>
    <cellStyle name="Normal 26 5 2" xfId="2378"/>
    <cellStyle name="Normal 26 5 2 2" xfId="2379"/>
    <cellStyle name="Normal 26 5 3" xfId="2380"/>
    <cellStyle name="Normal 26 6" xfId="2381"/>
    <cellStyle name="Normal 26 6 2" xfId="2382"/>
    <cellStyle name="Normal 26 6 2 2" xfId="2383"/>
    <cellStyle name="Normal 26 6 3" xfId="2384"/>
    <cellStyle name="Normal 26 7" xfId="2385"/>
    <cellStyle name="Normal 26 7 2" xfId="2386"/>
    <cellStyle name="Normal 26 7 2 2" xfId="2387"/>
    <cellStyle name="Normal 26 7 2 2 2" xfId="2388"/>
    <cellStyle name="Normal 26 7 2 3" xfId="2389"/>
    <cellStyle name="Normal 26 7 3" xfId="2390"/>
    <cellStyle name="Normal 26 7 3 2" xfId="2391"/>
    <cellStyle name="Normal 26 7 4" xfId="2392"/>
    <cellStyle name="Normal 26 8" xfId="2393"/>
    <cellStyle name="Normal 26 8 2" xfId="2394"/>
    <cellStyle name="Normal 26 8 2 2" xfId="2395"/>
    <cellStyle name="Normal 26 8 3" xfId="2396"/>
    <cellStyle name="Normal 26 8 3 2" xfId="2397"/>
    <cellStyle name="Normal 26 9" xfId="2398"/>
    <cellStyle name="Normal 26 9 2" xfId="2399"/>
    <cellStyle name="Normal 27" xfId="624"/>
    <cellStyle name="Normal 27 2" xfId="625"/>
    <cellStyle name="Normal 28" xfId="626"/>
    <cellStyle name="Normal 28 2" xfId="627"/>
    <cellStyle name="Normal 29" xfId="628"/>
    <cellStyle name="Normal 29 2" xfId="629"/>
    <cellStyle name="Normal 29 2 2" xfId="630"/>
    <cellStyle name="Normal 29 2 2 2" xfId="2400"/>
    <cellStyle name="Normal 29 2 2 2 2" xfId="2401"/>
    <cellStyle name="Normal 29 2 2 2 2 2" xfId="2402"/>
    <cellStyle name="Normal 29 2 2 2 3" xfId="2403"/>
    <cellStyle name="Normal 29 2 2 3" xfId="2404"/>
    <cellStyle name="Normal 29 2 2 3 2" xfId="2405"/>
    <cellStyle name="Normal 29 2 2 3 2 2" xfId="2406"/>
    <cellStyle name="Normal 29 2 2 3 3" xfId="2407"/>
    <cellStyle name="Normal 29 2 2 4" xfId="2408"/>
    <cellStyle name="Normal 29 2 2 4 2" xfId="2409"/>
    <cellStyle name="Normal 29 2 2 4 2 2" xfId="2410"/>
    <cellStyle name="Normal 29 2 2 4 3" xfId="2411"/>
    <cellStyle name="Normal 29 2 2 5" xfId="2412"/>
    <cellStyle name="Normal 29 2 2 5 2" xfId="2413"/>
    <cellStyle name="Normal 29 2 2 6" xfId="2414"/>
    <cellStyle name="Normal 29 2 2 7" xfId="2415"/>
    <cellStyle name="Normal 29 2 3" xfId="2416"/>
    <cellStyle name="Normal 29 2 3 2" xfId="2417"/>
    <cellStyle name="Normal 29 2 4" xfId="2418"/>
    <cellStyle name="Normal 29 3" xfId="631"/>
    <cellStyle name="Normal 29 3 2" xfId="2419"/>
    <cellStyle name="Normal 29 4" xfId="2420"/>
    <cellStyle name="Normal 3" xfId="150"/>
    <cellStyle name="Normal 3 10" xfId="2421"/>
    <cellStyle name="Normal 3 11" xfId="2422"/>
    <cellStyle name="Normal 3 12" xfId="2423"/>
    <cellStyle name="Normal 3 12 2" xfId="2424"/>
    <cellStyle name="Normal 3 12 2 2" xfId="2425"/>
    <cellStyle name="Normal 3 12 2 2 2" xfId="2426"/>
    <cellStyle name="Normal 3 12 2 3" xfId="2427"/>
    <cellStyle name="Normal 3 12 3" xfId="2428"/>
    <cellStyle name="Normal 3 12 3 2" xfId="2429"/>
    <cellStyle name="Normal 3 12 3 2 2" xfId="2430"/>
    <cellStyle name="Normal 3 12 3 3" xfId="2431"/>
    <cellStyle name="Normal 3 12 4" xfId="2432"/>
    <cellStyle name="Normal 3 12 4 2" xfId="2433"/>
    <cellStyle name="Normal 3 12 4 2 2" xfId="2434"/>
    <cellStyle name="Normal 3 12 4 2 2 2" xfId="2435"/>
    <cellStyle name="Normal 3 12 4 2 3" xfId="2436"/>
    <cellStyle name="Normal 3 12 4 3" xfId="2437"/>
    <cellStyle name="Normal 3 12 4 3 2" xfId="2438"/>
    <cellStyle name="Normal 3 12 4 3 2 2" xfId="2439"/>
    <cellStyle name="Normal 3 12 4 3 3" xfId="2440"/>
    <cellStyle name="Normal 3 12 4 4" xfId="2441"/>
    <cellStyle name="Normal 3 12 4 4 2" xfId="2442"/>
    <cellStyle name="Normal 3 12 4 4 2 2" xfId="2443"/>
    <cellStyle name="Normal 3 12 4 4 3" xfId="2444"/>
    <cellStyle name="Normal 3 12 4 5" xfId="2445"/>
    <cellStyle name="Normal 3 12 4 5 2" xfId="2446"/>
    <cellStyle name="Normal 3 12 4 6" xfId="2447"/>
    <cellStyle name="Normal 3 12 5" xfId="2448"/>
    <cellStyle name="Normal 3 12 5 2" xfId="2449"/>
    <cellStyle name="Normal 3 12 6" xfId="2450"/>
    <cellStyle name="Normal 3 13" xfId="2451"/>
    <cellStyle name="Normal 3 14" xfId="2452"/>
    <cellStyle name="Normal 3 15" xfId="2453"/>
    <cellStyle name="Normal 3 15 2" xfId="2454"/>
    <cellStyle name="Normal 3 15 2 2" xfId="2455"/>
    <cellStyle name="Normal 3 15 3" xfId="2456"/>
    <cellStyle name="Normal 3 16" xfId="2457"/>
    <cellStyle name="Normal 3 17" xfId="2458"/>
    <cellStyle name="Normal 3 18" xfId="2459"/>
    <cellStyle name="Normal 3 18 2" xfId="2460"/>
    <cellStyle name="Normal 3 19" xfId="2461"/>
    <cellStyle name="Normal 3 2" xfId="151"/>
    <cellStyle name="Normal 3 2 2" xfId="152"/>
    <cellStyle name="Normal 3 2 2 2" xfId="2462"/>
    <cellStyle name="Normal 3 2 2 2 2" xfId="2463"/>
    <cellStyle name="Normal 3 2 2 3" xfId="2464"/>
    <cellStyle name="Normal 3 2 3" xfId="818"/>
    <cellStyle name="Normal 3 2 3 2" xfId="2465"/>
    <cellStyle name="Normal 3 2 4" xfId="2466"/>
    <cellStyle name="Normal 3 2_ARTURO SSMC110113xls" xfId="2467"/>
    <cellStyle name="Normal 3 3" xfId="153"/>
    <cellStyle name="Normal 3 3 2" xfId="154"/>
    <cellStyle name="Normal 3 3 2 2" xfId="2468"/>
    <cellStyle name="Normal 3 3 2 2 2" xfId="2469"/>
    <cellStyle name="Normal 3 3 2 3" xfId="2470"/>
    <cellStyle name="Normal 3 3 3" xfId="2471"/>
    <cellStyle name="Normal 3 3 3 2" xfId="2472"/>
    <cellStyle name="Normal 3 3 4" xfId="2473"/>
    <cellStyle name="Normal 3 3_ARTURO SSMC110113xls" xfId="2474"/>
    <cellStyle name="Normal 3 4" xfId="155"/>
    <cellStyle name="Normal 3 4 2" xfId="2475"/>
    <cellStyle name="Normal 3 4 2 2" xfId="2476"/>
    <cellStyle name="Normal 3 4 3" xfId="2477"/>
    <cellStyle name="Normal 3 5" xfId="218"/>
    <cellStyle name="Normal 3 5 2" xfId="2478"/>
    <cellStyle name="Normal 3 5 2 2" xfId="2479"/>
    <cellStyle name="Normal 3 5 3" xfId="2480"/>
    <cellStyle name="Normal 3 6" xfId="382"/>
    <cellStyle name="Normal 3 6 2" xfId="632"/>
    <cellStyle name="Normal 3 6 2 2" xfId="2481"/>
    <cellStyle name="Normal 3 6 2 2 2" xfId="2482"/>
    <cellStyle name="Normal 3 6 2 3" xfId="2483"/>
    <cellStyle name="Normal 3 7" xfId="2484"/>
    <cellStyle name="Normal 3 7 2" xfId="2485"/>
    <cellStyle name="Normal 3 7 2 2" xfId="2486"/>
    <cellStyle name="Normal 3 7 2 2 2" xfId="2487"/>
    <cellStyle name="Normal 3 7 2 3" xfId="2488"/>
    <cellStyle name="Normal 3 7 3" xfId="2489"/>
    <cellStyle name="Normal 3 7 3 2" xfId="2490"/>
    <cellStyle name="Normal 3 7 4" xfId="2491"/>
    <cellStyle name="Normal 3 8" xfId="2492"/>
    <cellStyle name="Normal 3 9" xfId="2493"/>
    <cellStyle name="Normal 3_ARTURO SSMC110113xls" xfId="2494"/>
    <cellStyle name="Normal 30" xfId="633"/>
    <cellStyle name="Normal 30 2" xfId="634"/>
    <cellStyle name="Normal 30 2 2" xfId="2495"/>
    <cellStyle name="Normal 30 2 2 2" xfId="2496"/>
    <cellStyle name="Normal 30 2 2 2 2" xfId="2497"/>
    <cellStyle name="Normal 30 2 2 2 2 2" xfId="2498"/>
    <cellStyle name="Normal 30 2 2 2 3" xfId="2499"/>
    <cellStyle name="Normal 30 2 2 3" xfId="2500"/>
    <cellStyle name="Normal 30 2 2 3 2" xfId="2501"/>
    <cellStyle name="Normal 30 2 2 3 2 2" xfId="2502"/>
    <cellStyle name="Normal 30 2 2 3 3" xfId="2503"/>
    <cellStyle name="Normal 30 2 2 4" xfId="2504"/>
    <cellStyle name="Normal 30 2 2 4 2" xfId="2505"/>
    <cellStyle name="Normal 30 2 2 4 2 2" xfId="2506"/>
    <cellStyle name="Normal 30 2 2 4 3" xfId="2507"/>
    <cellStyle name="Normal 30 2 2 5" xfId="2508"/>
    <cellStyle name="Normal 30 2 2 5 2" xfId="2509"/>
    <cellStyle name="Normal 30 2 2 6" xfId="2510"/>
    <cellStyle name="Normal 30 2 2 7" xfId="2511"/>
    <cellStyle name="Normal 30 2 3" xfId="2512"/>
    <cellStyle name="Normal 30 2 3 2" xfId="2513"/>
    <cellStyle name="Normal 30 2 4" xfId="2514"/>
    <cellStyle name="Normal 30 3" xfId="2515"/>
    <cellStyle name="Normal 30 3 2" xfId="2516"/>
    <cellStyle name="Normal 30 4" xfId="2517"/>
    <cellStyle name="Normal 31" xfId="635"/>
    <cellStyle name="Normal 31 2" xfId="636"/>
    <cellStyle name="Normal 32" xfId="637"/>
    <cellStyle name="Normal 32 2" xfId="2518"/>
    <cellStyle name="Normal 32 2 2" xfId="2519"/>
    <cellStyle name="Normal 32 2 2 2" xfId="2520"/>
    <cellStyle name="Normal 32 2 2 2 2" xfId="2521"/>
    <cellStyle name="Normal 32 2 2 2 2 2" xfId="2522"/>
    <cellStyle name="Normal 32 2 2 2 2 2 2" xfId="2523"/>
    <cellStyle name="Normal 32 2 2 2 2 3" xfId="2524"/>
    <cellStyle name="Normal 32 2 2 2 3" xfId="2525"/>
    <cellStyle name="Normal 32 2 2 2 3 2" xfId="2526"/>
    <cellStyle name="Normal 32 2 2 2 3 2 2" xfId="2527"/>
    <cellStyle name="Normal 32 2 2 2 3 3" xfId="2528"/>
    <cellStyle name="Normal 32 2 2 2 4" xfId="2529"/>
    <cellStyle name="Normal 32 2 2 2 4 2" xfId="2530"/>
    <cellStyle name="Normal 32 2 2 2 4 2 2" xfId="2531"/>
    <cellStyle name="Normal 32 2 2 2 4 3" xfId="2532"/>
    <cellStyle name="Normal 32 2 2 2 5" xfId="2533"/>
    <cellStyle name="Normal 32 2 2 2 5 2" xfId="2534"/>
    <cellStyle name="Normal 32 2 2 2 6" xfId="2535"/>
    <cellStyle name="Normal 32 2 2 2 7" xfId="2536"/>
    <cellStyle name="Normal 32 2 2 3" xfId="2537"/>
    <cellStyle name="Normal 32 2 2 3 2" xfId="2538"/>
    <cellStyle name="Normal 32 2 2 4" xfId="2539"/>
    <cellStyle name="Normal 32 2 3" xfId="2540"/>
    <cellStyle name="Normal 32 2 3 2" xfId="2541"/>
    <cellStyle name="Normal 32 2 4" xfId="2542"/>
    <cellStyle name="Normal 32 3" xfId="2543"/>
    <cellStyle name="Normal 32 3 2" xfId="2544"/>
    <cellStyle name="Normal 32 4" xfId="2545"/>
    <cellStyle name="Normal 33" xfId="638"/>
    <cellStyle name="Normal 33 2" xfId="2546"/>
    <cellStyle name="Normal 33 2 2" xfId="2547"/>
    <cellStyle name="Normal 33 2 2 2" xfId="2548"/>
    <cellStyle name="Normal 33 2 2 2 2" xfId="2549"/>
    <cellStyle name="Normal 33 2 2 2 2 2" xfId="2550"/>
    <cellStyle name="Normal 33 2 2 2 3" xfId="2551"/>
    <cellStyle name="Normal 33 2 2 3" xfId="2552"/>
    <cellStyle name="Normal 33 2 2 3 2" xfId="2553"/>
    <cellStyle name="Normal 33 2 2 3 2 2" xfId="2554"/>
    <cellStyle name="Normal 33 2 2 3 3" xfId="2555"/>
    <cellStyle name="Normal 33 2 2 4" xfId="2556"/>
    <cellStyle name="Normal 33 2 2 4 2" xfId="2557"/>
    <cellStyle name="Normal 33 2 2 4 2 2" xfId="2558"/>
    <cellStyle name="Normal 33 2 2 4 3" xfId="2559"/>
    <cellStyle name="Normal 33 2 2 5" xfId="2560"/>
    <cellStyle name="Normal 33 2 2 5 2" xfId="2561"/>
    <cellStyle name="Normal 33 2 2 6" xfId="2562"/>
    <cellStyle name="Normal 33 2 2 6 2" xfId="2563"/>
    <cellStyle name="Normal 33 2 2 6 2 2" xfId="2564"/>
    <cellStyle name="Normal 33 2 2 7" xfId="2565"/>
    <cellStyle name="Normal 33 2 3" xfId="2566"/>
    <cellStyle name="Normal 33 2 3 2" xfId="2567"/>
    <cellStyle name="Normal 33 2 4" xfId="2568"/>
    <cellStyle name="Normal 33 3" xfId="2569"/>
    <cellStyle name="Normal 33 3 2" xfId="2570"/>
    <cellStyle name="Normal 33 4" xfId="2571"/>
    <cellStyle name="Normal 34" xfId="639"/>
    <cellStyle name="Normal 34 2" xfId="2572"/>
    <cellStyle name="Normal 34 2 2" xfId="2573"/>
    <cellStyle name="Normal 34 2 2 2" xfId="2574"/>
    <cellStyle name="Normal 34 2 2 2 2" xfId="2575"/>
    <cellStyle name="Normal 34 2 2 3" xfId="2576"/>
    <cellStyle name="Normal 34 2 3" xfId="2577"/>
    <cellStyle name="Normal 34 2 3 10" xfId="2578"/>
    <cellStyle name="Normal 34 2 3 2" xfId="2579"/>
    <cellStyle name="Normal 34 2 3 2 2" xfId="2580"/>
    <cellStyle name="Normal 34 2 3 2 2 2" xfId="2581"/>
    <cellStyle name="Normal 34 2 3 2 3" xfId="2582"/>
    <cellStyle name="Normal 34 2 3 3" xfId="2583"/>
    <cellStyle name="Normal 34 2 3 3 2" xfId="2584"/>
    <cellStyle name="Normal 34 2 3 3 2 2" xfId="2585"/>
    <cellStyle name="Normal 34 2 3 3 3" xfId="2586"/>
    <cellStyle name="Normal 34 2 3 4" xfId="2587"/>
    <cellStyle name="Normal 34 2 3 4 2" xfId="2588"/>
    <cellStyle name="Normal 34 2 3 4 2 2" xfId="2589"/>
    <cellStyle name="Normal 34 2 3 4 3" xfId="2590"/>
    <cellStyle name="Normal 34 2 3 5" xfId="2591"/>
    <cellStyle name="Normal 34 2 3 5 2" xfId="2592"/>
    <cellStyle name="Normal 34 2 3 6" xfId="2593"/>
    <cellStyle name="Normal 34 2 3 7" xfId="2594"/>
    <cellStyle name="Normal 34 2 3 8" xfId="2595"/>
    <cellStyle name="Normal 34 2 3 9" xfId="2596"/>
    <cellStyle name="Normal 34 2 4" xfId="2597"/>
    <cellStyle name="Normal 34 2 4 2" xfId="2598"/>
    <cellStyle name="Normal 34 2 5" xfId="2599"/>
    <cellStyle name="Normal 34 3" xfId="2600"/>
    <cellStyle name="Normal 34 3 2" xfId="2601"/>
    <cellStyle name="Normal 34 4" xfId="2602"/>
    <cellStyle name="Normal 35" xfId="802"/>
    <cellStyle name="Normal 35 2" xfId="2603"/>
    <cellStyle name="Normal 35 2 2" xfId="2604"/>
    <cellStyle name="Normal 35 2 2 2" xfId="2605"/>
    <cellStyle name="Normal 35 2 2 2 2" xfId="2606"/>
    <cellStyle name="Normal 35 2 2 2 2 2" xfId="2607"/>
    <cellStyle name="Normal 35 2 2 2 3" xfId="2608"/>
    <cellStyle name="Normal 35 2 2 3" xfId="2609"/>
    <cellStyle name="Normal 35 2 2 3 2" xfId="2610"/>
    <cellStyle name="Normal 35 2 2 3 2 2" xfId="2611"/>
    <cellStyle name="Normal 35 2 2 3 3" xfId="2612"/>
    <cellStyle name="Normal 35 2 2 4" xfId="2613"/>
    <cellStyle name="Normal 35 2 2 4 2" xfId="2614"/>
    <cellStyle name="Normal 35 2 2 4 2 2" xfId="2615"/>
    <cellStyle name="Normal 35 2 2 4 3" xfId="2616"/>
    <cellStyle name="Normal 35 2 2 5" xfId="2617"/>
    <cellStyle name="Normal 35 2 2 5 2" xfId="2618"/>
    <cellStyle name="Normal 35 2 2 6" xfId="2619"/>
    <cellStyle name="Normal 35 2 3" xfId="2620"/>
    <cellStyle name="Normal 35 2 3 2" xfId="2621"/>
    <cellStyle name="Normal 35 2 4" xfId="2622"/>
    <cellStyle name="Normal 35 3" xfId="2623"/>
    <cellStyle name="Normal 35 3 2" xfId="2624"/>
    <cellStyle name="Normal 35 4" xfId="2625"/>
    <cellStyle name="Normal 36" xfId="2626"/>
    <cellStyle name="Normal 36 2" xfId="2627"/>
    <cellStyle name="Normal 36 2 2" xfId="2628"/>
    <cellStyle name="Normal 36 2 2 2" xfId="2629"/>
    <cellStyle name="Normal 36 2 3" xfId="2630"/>
    <cellStyle name="Normal 36 3" xfId="2631"/>
    <cellStyle name="Normal 36 3 2" xfId="2632"/>
    <cellStyle name="Normal 36 3 2 2" xfId="2633"/>
    <cellStyle name="Normal 36 3 2 2 2" xfId="2634"/>
    <cellStyle name="Normal 36 3 2 3" xfId="2635"/>
    <cellStyle name="Normal 36 3 3" xfId="2636"/>
    <cellStyle name="Normal 36 3 3 2" xfId="2637"/>
    <cellStyle name="Normal 36 3 3 2 2" xfId="2638"/>
    <cellStyle name="Normal 36 3 3 3" xfId="2639"/>
    <cellStyle name="Normal 36 3 4" xfId="2640"/>
    <cellStyle name="Normal 36 3 4 2" xfId="2641"/>
    <cellStyle name="Normal 36 3 4 2 2" xfId="2642"/>
    <cellStyle name="Normal 36 3 4 3" xfId="2643"/>
    <cellStyle name="Normal 36 3 5" xfId="2644"/>
    <cellStyle name="Normal 36 3 5 2" xfId="2645"/>
    <cellStyle name="Normal 36 3 6" xfId="2646"/>
    <cellStyle name="Normal 36 4" xfId="2647"/>
    <cellStyle name="Normal 36 4 2" xfId="2648"/>
    <cellStyle name="Normal 36 5" xfId="2649"/>
    <cellStyle name="Normal 37" xfId="2650"/>
    <cellStyle name="Normal 37 2" xfId="2651"/>
    <cellStyle name="Normal 37 2 2" xfId="2652"/>
    <cellStyle name="Normal 37 2 2 2" xfId="2653"/>
    <cellStyle name="Normal 37 2 3" xfId="2654"/>
    <cellStyle name="Normal 37 3" xfId="2655"/>
    <cellStyle name="Normal 37 3 2" xfId="2656"/>
    <cellStyle name="Normal 37 3 2 2" xfId="2657"/>
    <cellStyle name="Normal 37 3 3" xfId="2658"/>
    <cellStyle name="Normal 37 4" xfId="2659"/>
    <cellStyle name="Normal 37 4 2" xfId="2660"/>
    <cellStyle name="Normal 37 4 2 2" xfId="2661"/>
    <cellStyle name="Normal 37 4 3" xfId="2662"/>
    <cellStyle name="Normal 37 5" xfId="2663"/>
    <cellStyle name="Normal 37 5 2" xfId="2664"/>
    <cellStyle name="Normal 37 5 2 2" xfId="2665"/>
    <cellStyle name="Normal 37 5 3" xfId="2666"/>
    <cellStyle name="Normal 37 6" xfId="2667"/>
    <cellStyle name="Normal 37 6 2" xfId="2668"/>
    <cellStyle name="Normal 37 7" xfId="2669"/>
    <cellStyle name="Normal 38" xfId="2670"/>
    <cellStyle name="Normal 38 2" xfId="2671"/>
    <cellStyle name="Normal 38 2 2" xfId="2672"/>
    <cellStyle name="Normal 38 2 2 2" xfId="2673"/>
    <cellStyle name="Normal 38 2 2 2 2" xfId="2674"/>
    <cellStyle name="Normal 38 2 2 3" xfId="2675"/>
    <cellStyle name="Normal 38 2 3" xfId="2676"/>
    <cellStyle name="Normal 38 2 3 2" xfId="2677"/>
    <cellStyle name="Normal 38 2 4" xfId="2678"/>
    <cellStyle name="Normal 38 3" xfId="2679"/>
    <cellStyle name="Normal 38 3 2" xfId="2680"/>
    <cellStyle name="Normal 38 4" xfId="2681"/>
    <cellStyle name="Normal 39" xfId="2682"/>
    <cellStyle name="Normal 39 2" xfId="2683"/>
    <cellStyle name="Normal 39 2 2" xfId="2684"/>
    <cellStyle name="Normal 39 3" xfId="2685"/>
    <cellStyle name="Normal 4" xfId="156"/>
    <cellStyle name="Normal 4 2" xfId="157"/>
    <cellStyle name="Normal 4 2 10" xfId="2686"/>
    <cellStyle name="Normal 4 2 10 2" xfId="2687"/>
    <cellStyle name="Normal 4 2 11" xfId="2688"/>
    <cellStyle name="Normal 4 2 2" xfId="158"/>
    <cellStyle name="Normal 4 2 2 10" xfId="2689"/>
    <cellStyle name="Normal 4 2 2 2" xfId="640"/>
    <cellStyle name="Normal 4 2 2 2 2" xfId="641"/>
    <cellStyle name="Normal 4 2 2 2 2 2" xfId="642"/>
    <cellStyle name="Normal 4 2 2 2 2 2 2" xfId="2690"/>
    <cellStyle name="Normal 4 2 2 2 2 3" xfId="2691"/>
    <cellStyle name="Normal 4 2 2 2 3" xfId="643"/>
    <cellStyle name="Normal 4 2 2 2 3 2" xfId="2692"/>
    <cellStyle name="Normal 4 2 2 2 4" xfId="2693"/>
    <cellStyle name="Normal 4 2 2 3" xfId="644"/>
    <cellStyle name="Normal 4 2 2 3 2" xfId="645"/>
    <cellStyle name="Normal 4 2 2 3 2 2" xfId="2694"/>
    <cellStyle name="Normal 4 2 2 3 2 2 2" xfId="2695"/>
    <cellStyle name="Normal 4 2 2 3 2 3" xfId="2696"/>
    <cellStyle name="Normal 4 2 2 3 3" xfId="2697"/>
    <cellStyle name="Normal 4 2 2 3 3 2" xfId="2698"/>
    <cellStyle name="Normal 4 2 2 3 4" xfId="2699"/>
    <cellStyle name="Normal 4 2 2 4" xfId="646"/>
    <cellStyle name="Normal 4 2 2 4 2" xfId="647"/>
    <cellStyle name="Normal 4 2 2 4 2 2" xfId="2700"/>
    <cellStyle name="Normal 4 2 2 4 2 2 2" xfId="2701"/>
    <cellStyle name="Normal 4 2 2 4 2 3" xfId="2702"/>
    <cellStyle name="Normal 4 2 2 4 3" xfId="2703"/>
    <cellStyle name="Normal 4 2 2 4 3 2" xfId="2704"/>
    <cellStyle name="Normal 4 2 2 4 4" xfId="2705"/>
    <cellStyle name="Normal 4 2 2 5" xfId="648"/>
    <cellStyle name="Normal 4 2 2 5 2" xfId="2706"/>
    <cellStyle name="Normal 4 2 2 5 2 2" xfId="2707"/>
    <cellStyle name="Normal 4 2 2 5 2 2 2" xfId="2708"/>
    <cellStyle name="Normal 4 2 2 5 2 3" xfId="2709"/>
    <cellStyle name="Normal 4 2 2 5 3" xfId="2710"/>
    <cellStyle name="Normal 4 2 2 5 3 2" xfId="2711"/>
    <cellStyle name="Normal 4 2 2 5 4" xfId="2712"/>
    <cellStyle name="Normal 4 2 2 6" xfId="2713"/>
    <cellStyle name="Normal 4 2 2 6 2" xfId="2714"/>
    <cellStyle name="Normal 4 2 2 6 2 2" xfId="2715"/>
    <cellStyle name="Normal 4 2 2 6 2 2 2" xfId="2716"/>
    <cellStyle name="Normal 4 2 2 6 2 3" xfId="2717"/>
    <cellStyle name="Normal 4 2 2 6 3" xfId="2718"/>
    <cellStyle name="Normal 4 2 2 6 3 2" xfId="2719"/>
    <cellStyle name="Normal 4 2 2 6 4" xfId="2720"/>
    <cellStyle name="Normal 4 2 2 7" xfId="2721"/>
    <cellStyle name="Normal 4 2 2 7 2" xfId="2722"/>
    <cellStyle name="Normal 4 2 2 7 2 2" xfId="2723"/>
    <cellStyle name="Normal 4 2 2 7 2 2 2" xfId="2724"/>
    <cellStyle name="Normal 4 2 2 7 2 3" xfId="2725"/>
    <cellStyle name="Normal 4 2 2 7 3" xfId="2726"/>
    <cellStyle name="Normal 4 2 2 7 3 2" xfId="2727"/>
    <cellStyle name="Normal 4 2 2 7 4" xfId="2728"/>
    <cellStyle name="Normal 4 2 2 8" xfId="2729"/>
    <cellStyle name="Normal 4 2 2 8 2" xfId="2730"/>
    <cellStyle name="Normal 4 2 2 8 2 2" xfId="2731"/>
    <cellStyle name="Normal 4 2 2 8 3" xfId="2732"/>
    <cellStyle name="Normal 4 2 2 9" xfId="2733"/>
    <cellStyle name="Normal 4 2 2 9 2" xfId="2734"/>
    <cellStyle name="Normal 4 2 3" xfId="649"/>
    <cellStyle name="Normal 4 2 3 2" xfId="650"/>
    <cellStyle name="Normal 4 2 3 2 2" xfId="651"/>
    <cellStyle name="Normal 4 2 3 2 2 2" xfId="2735"/>
    <cellStyle name="Normal 4 2 3 2 3" xfId="2736"/>
    <cellStyle name="Normal 4 2 3 3" xfId="652"/>
    <cellStyle name="Normal 4 2 3 3 2" xfId="2737"/>
    <cellStyle name="Normal 4 2 3 4" xfId="2738"/>
    <cellStyle name="Normal 4 2 3 5" xfId="3781"/>
    <cellStyle name="Normal 4 2 4" xfId="653"/>
    <cellStyle name="Normal 4 2 4 2" xfId="654"/>
    <cellStyle name="Normal 4 2 4 2 2" xfId="2739"/>
    <cellStyle name="Normal 4 2 4 2 2 2" xfId="2740"/>
    <cellStyle name="Normal 4 2 4 2 3" xfId="2741"/>
    <cellStyle name="Normal 4 2 4 3" xfId="2742"/>
    <cellStyle name="Normal 4 2 4 3 2" xfId="2743"/>
    <cellStyle name="Normal 4 2 4 4" xfId="2744"/>
    <cellStyle name="Normal 4 2 5" xfId="655"/>
    <cellStyle name="Normal 4 2 5 2" xfId="656"/>
    <cellStyle name="Normal 4 2 5 2 2" xfId="2745"/>
    <cellStyle name="Normal 4 2 5 2 2 2" xfId="2746"/>
    <cellStyle name="Normal 4 2 5 2 3" xfId="2747"/>
    <cellStyle name="Normal 4 2 5 3" xfId="2748"/>
    <cellStyle name="Normal 4 2 5 3 2" xfId="2749"/>
    <cellStyle name="Normal 4 2 5 4" xfId="2750"/>
    <cellStyle name="Normal 4 2 6" xfId="657"/>
    <cellStyle name="Normal 4 2 6 2" xfId="2751"/>
    <cellStyle name="Normal 4 2 6 2 2" xfId="2752"/>
    <cellStyle name="Normal 4 2 6 2 2 2" xfId="2753"/>
    <cellStyle name="Normal 4 2 6 2 3" xfId="2754"/>
    <cellStyle name="Normal 4 2 6 3" xfId="2755"/>
    <cellStyle name="Normal 4 2 6 3 2" xfId="2756"/>
    <cellStyle name="Normal 4 2 6 4" xfId="2757"/>
    <cellStyle name="Normal 4 2 7" xfId="2758"/>
    <cellStyle name="Normal 4 2 7 2" xfId="2759"/>
    <cellStyle name="Normal 4 2 7 2 2" xfId="2760"/>
    <cellStyle name="Normal 4 2 7 2 2 2" xfId="2761"/>
    <cellStyle name="Normal 4 2 7 2 3" xfId="2762"/>
    <cellStyle name="Normal 4 2 7 3" xfId="2763"/>
    <cellStyle name="Normal 4 2 7 3 2" xfId="2764"/>
    <cellStyle name="Normal 4 2 7 4" xfId="2765"/>
    <cellStyle name="Normal 4 2 8" xfId="2766"/>
    <cellStyle name="Normal 4 2 8 2" xfId="2767"/>
    <cellStyle name="Normal 4 2 8 2 2" xfId="2768"/>
    <cellStyle name="Normal 4 2 8 2 2 2" xfId="2769"/>
    <cellStyle name="Normal 4 2 8 2 3" xfId="2770"/>
    <cellStyle name="Normal 4 2 8 3" xfId="2771"/>
    <cellStyle name="Normal 4 2 8 3 2" xfId="2772"/>
    <cellStyle name="Normal 4 2 8 4" xfId="2773"/>
    <cellStyle name="Normal 4 2 9" xfId="2774"/>
    <cellStyle name="Normal 4 2 9 2" xfId="2775"/>
    <cellStyle name="Normal 4 2 9 2 2" xfId="2776"/>
    <cellStyle name="Normal 4 2 9 3" xfId="2777"/>
    <cellStyle name="Normal 4 2_ARTURO SSMC110113xls" xfId="2778"/>
    <cellStyle name="Normal 4 3" xfId="159"/>
    <cellStyle name="Normal 4 3 10" xfId="2779"/>
    <cellStyle name="Normal 4 3 2" xfId="658"/>
    <cellStyle name="Normal 4 3 2 2" xfId="659"/>
    <cellStyle name="Normal 4 3 2 2 2" xfId="660"/>
    <cellStyle name="Normal 4 3 2 2 2 2" xfId="2780"/>
    <cellStyle name="Normal 4 3 2 2 3" xfId="2781"/>
    <cellStyle name="Normal 4 3 2 3" xfId="661"/>
    <cellStyle name="Normal 4 3 2 3 2" xfId="2782"/>
    <cellStyle name="Normal 4 3 2 4" xfId="2783"/>
    <cellStyle name="Normal 4 3 3" xfId="662"/>
    <cellStyle name="Normal 4 3 3 2" xfId="663"/>
    <cellStyle name="Normal 4 3 3 2 2" xfId="2784"/>
    <cellStyle name="Normal 4 3 3 2 2 2" xfId="2785"/>
    <cellStyle name="Normal 4 3 3 2 3" xfId="2786"/>
    <cellStyle name="Normal 4 3 3 3" xfId="2787"/>
    <cellStyle name="Normal 4 3 3 3 2" xfId="2788"/>
    <cellStyle name="Normal 4 3 3 4" xfId="2789"/>
    <cellStyle name="Normal 4 3 4" xfId="664"/>
    <cellStyle name="Normal 4 3 4 2" xfId="665"/>
    <cellStyle name="Normal 4 3 4 2 2" xfId="2790"/>
    <cellStyle name="Normal 4 3 4 2 2 2" xfId="2791"/>
    <cellStyle name="Normal 4 3 4 2 3" xfId="2792"/>
    <cellStyle name="Normal 4 3 4 3" xfId="2793"/>
    <cellStyle name="Normal 4 3 4 3 2" xfId="2794"/>
    <cellStyle name="Normal 4 3 4 4" xfId="2795"/>
    <cellStyle name="Normal 4 3 5" xfId="666"/>
    <cellStyle name="Normal 4 3 5 2" xfId="2796"/>
    <cellStyle name="Normal 4 3 5 2 2" xfId="2797"/>
    <cellStyle name="Normal 4 3 5 2 2 2" xfId="2798"/>
    <cellStyle name="Normal 4 3 5 2 3" xfId="2799"/>
    <cellStyle name="Normal 4 3 5 3" xfId="2800"/>
    <cellStyle name="Normal 4 3 5 3 2" xfId="2801"/>
    <cellStyle name="Normal 4 3 5 4" xfId="2802"/>
    <cellStyle name="Normal 4 3 6" xfId="2803"/>
    <cellStyle name="Normal 4 3 6 2" xfId="2804"/>
    <cellStyle name="Normal 4 3 6 2 2" xfId="2805"/>
    <cellStyle name="Normal 4 3 6 2 2 2" xfId="2806"/>
    <cellStyle name="Normal 4 3 6 2 3" xfId="2807"/>
    <cellStyle name="Normal 4 3 6 3" xfId="2808"/>
    <cellStyle name="Normal 4 3 6 3 2" xfId="2809"/>
    <cellStyle name="Normal 4 3 6 4" xfId="2810"/>
    <cellStyle name="Normal 4 3 7" xfId="2811"/>
    <cellStyle name="Normal 4 3 7 2" xfId="2812"/>
    <cellStyle name="Normal 4 3 7 2 2" xfId="2813"/>
    <cellStyle name="Normal 4 3 7 2 2 2" xfId="2814"/>
    <cellStyle name="Normal 4 3 7 2 3" xfId="2815"/>
    <cellStyle name="Normal 4 3 7 3" xfId="2816"/>
    <cellStyle name="Normal 4 3 7 3 2" xfId="2817"/>
    <cellStyle name="Normal 4 3 7 4" xfId="2818"/>
    <cellStyle name="Normal 4 3 8" xfId="2819"/>
    <cellStyle name="Normal 4 3 8 2" xfId="2820"/>
    <cellStyle name="Normal 4 3 8 2 2" xfId="2821"/>
    <cellStyle name="Normal 4 3 8 3" xfId="2822"/>
    <cellStyle name="Normal 4 3 9" xfId="2823"/>
    <cellStyle name="Normal 4 3 9 2" xfId="2824"/>
    <cellStyle name="Normal 4 4" xfId="219"/>
    <cellStyle name="Normal 4 4 10" xfId="2825"/>
    <cellStyle name="Normal 4 4 2" xfId="667"/>
    <cellStyle name="Normal 4 4 2 2" xfId="668"/>
    <cellStyle name="Normal 4 4 2 2 2" xfId="2826"/>
    <cellStyle name="Normal 4 4 2 2 2 2" xfId="2827"/>
    <cellStyle name="Normal 4 4 2 2 3" xfId="2828"/>
    <cellStyle name="Normal 4 4 2 3" xfId="2829"/>
    <cellStyle name="Normal 4 4 2 3 2" xfId="2830"/>
    <cellStyle name="Normal 4 4 2 4" xfId="2831"/>
    <cellStyle name="Normal 4 4 3" xfId="669"/>
    <cellStyle name="Normal 4 4 3 2" xfId="670"/>
    <cellStyle name="Normal 4 4 3 2 2" xfId="2832"/>
    <cellStyle name="Normal 4 4 3 2 2 2" xfId="2833"/>
    <cellStyle name="Normal 4 4 3 2 3" xfId="2834"/>
    <cellStyle name="Normal 4 4 3 3" xfId="2835"/>
    <cellStyle name="Normal 4 4 3 3 2" xfId="2836"/>
    <cellStyle name="Normal 4 4 3 4" xfId="2837"/>
    <cellStyle name="Normal 4 4 4" xfId="671"/>
    <cellStyle name="Normal 4 4 4 2" xfId="2838"/>
    <cellStyle name="Normal 4 4 4 2 2" xfId="2839"/>
    <cellStyle name="Normal 4 4 4 2 2 2" xfId="2840"/>
    <cellStyle name="Normal 4 4 4 2 3" xfId="2841"/>
    <cellStyle name="Normal 4 4 4 3" xfId="2842"/>
    <cellStyle name="Normal 4 4 4 3 2" xfId="2843"/>
    <cellStyle name="Normal 4 4 4 4" xfId="2844"/>
    <cellStyle name="Normal 4 4 5" xfId="2845"/>
    <cellStyle name="Normal 4 4 5 2" xfId="2846"/>
    <cellStyle name="Normal 4 4 5 2 2" xfId="2847"/>
    <cellStyle name="Normal 4 4 5 2 2 2" xfId="2848"/>
    <cellStyle name="Normal 4 4 5 2 3" xfId="2849"/>
    <cellStyle name="Normal 4 4 5 3" xfId="2850"/>
    <cellStyle name="Normal 4 4 5 3 2" xfId="2851"/>
    <cellStyle name="Normal 4 4 5 4" xfId="2852"/>
    <cellStyle name="Normal 4 4 6" xfId="2853"/>
    <cellStyle name="Normal 4 4 6 2" xfId="2854"/>
    <cellStyle name="Normal 4 4 6 2 2" xfId="2855"/>
    <cellStyle name="Normal 4 4 6 2 2 2" xfId="2856"/>
    <cellStyle name="Normal 4 4 6 2 3" xfId="2857"/>
    <cellStyle name="Normal 4 4 6 3" xfId="2858"/>
    <cellStyle name="Normal 4 4 6 3 2" xfId="2859"/>
    <cellStyle name="Normal 4 4 6 4" xfId="2860"/>
    <cellStyle name="Normal 4 4 7" xfId="2861"/>
    <cellStyle name="Normal 4 4 7 2" xfId="2862"/>
    <cellStyle name="Normal 4 4 7 2 2" xfId="2863"/>
    <cellStyle name="Normal 4 4 7 2 2 2" xfId="2864"/>
    <cellStyle name="Normal 4 4 7 2 3" xfId="2865"/>
    <cellStyle name="Normal 4 4 7 3" xfId="2866"/>
    <cellStyle name="Normal 4 4 7 3 2" xfId="2867"/>
    <cellStyle name="Normal 4 4 7 4" xfId="2868"/>
    <cellStyle name="Normal 4 4 8" xfId="2869"/>
    <cellStyle name="Normal 4 4 8 2" xfId="2870"/>
    <cellStyle name="Normal 4 4 8 2 2" xfId="2871"/>
    <cellStyle name="Normal 4 4 8 3" xfId="2872"/>
    <cellStyle name="Normal 4 4 9" xfId="2873"/>
    <cellStyle name="Normal 4 4 9 2" xfId="2874"/>
    <cellStyle name="Normal 4 5" xfId="229"/>
    <cellStyle name="Normal 4 6" xfId="212"/>
    <cellStyle name="Normal 4 6 2" xfId="672"/>
    <cellStyle name="Normal 4 6 3" xfId="673"/>
    <cellStyle name="Normal 4 7" xfId="674"/>
    <cellStyle name="Normal 4 7 2" xfId="675"/>
    <cellStyle name="Normal 4 8" xfId="676"/>
    <cellStyle name="Normal 4 8 2" xfId="677"/>
    <cellStyle name="Normal 4 9" xfId="678"/>
    <cellStyle name="Normal 4_Evolución de becas SEP-UAM-PRONABES" xfId="2875"/>
    <cellStyle name="Normal 40" xfId="2876"/>
    <cellStyle name="Normal 40 2" xfId="2877"/>
    <cellStyle name="Normal 40 2 2" xfId="2878"/>
    <cellStyle name="Normal 40 3" xfId="2879"/>
    <cellStyle name="Normal 41" xfId="442"/>
    <cellStyle name="Normal 41 2" xfId="443"/>
    <cellStyle name="Normal 42" xfId="447"/>
    <cellStyle name="Normal 42 2" xfId="2880"/>
    <cellStyle name="Normal 43" xfId="2881"/>
    <cellStyle name="Normal 43 2" xfId="2882"/>
    <cellStyle name="Normal 44" xfId="448"/>
    <cellStyle name="Normal 45" xfId="449"/>
    <cellStyle name="Normal 46" xfId="2883"/>
    <cellStyle name="Normal 47" xfId="2884"/>
    <cellStyle name="Normal 48" xfId="2885"/>
    <cellStyle name="Normal 49" xfId="2886"/>
    <cellStyle name="Normal 5" xfId="160"/>
    <cellStyle name="Normal 5 2" xfId="203"/>
    <cellStyle name="Normal 5 3" xfId="220"/>
    <cellStyle name="Normal 5 4" xfId="817"/>
    <cellStyle name="Normal 5_Evolución de becas SEP-UAM-PRONABES" xfId="2887"/>
    <cellStyle name="Normal 50" xfId="2888"/>
    <cellStyle name="Normal 51" xfId="2889"/>
    <cellStyle name="Normal 52" xfId="2890"/>
    <cellStyle name="Normal 53" xfId="2891"/>
    <cellStyle name="Normal 54" xfId="2892"/>
    <cellStyle name="Normal 55" xfId="2893"/>
    <cellStyle name="Normal 56" xfId="2894"/>
    <cellStyle name="Normal 57" xfId="2895"/>
    <cellStyle name="Normal 58" xfId="2896"/>
    <cellStyle name="Normal 59" xfId="2897"/>
    <cellStyle name="Normal 6" xfId="161"/>
    <cellStyle name="Normal 6 2" xfId="162"/>
    <cellStyle name="Normal 6 2 2" xfId="163"/>
    <cellStyle name="Normal 6 2 2 2" xfId="2898"/>
    <cellStyle name="Normal 6 2 2 2 2" xfId="2899"/>
    <cellStyle name="Normal 6 2 2 3" xfId="2900"/>
    <cellStyle name="Normal 6 2 3" xfId="2901"/>
    <cellStyle name="Normal 6 2 3 2" xfId="2902"/>
    <cellStyle name="Normal 6 2 4" xfId="2903"/>
    <cellStyle name="Normal 6 2_ARTURO SSMC110113xls" xfId="2904"/>
    <cellStyle name="Normal 6 3" xfId="164"/>
    <cellStyle name="Normal 6 3 2" xfId="165"/>
    <cellStyle name="Normal 6 3 2 2" xfId="2905"/>
    <cellStyle name="Normal 6 3 2 2 2" xfId="2906"/>
    <cellStyle name="Normal 6 3 2 3" xfId="2907"/>
    <cellStyle name="Normal 6 3 3" xfId="2908"/>
    <cellStyle name="Normal 6 3 3 2" xfId="2909"/>
    <cellStyle name="Normal 6 3 4" xfId="2910"/>
    <cellStyle name="Normal 6 3_ARTURO SSMC110113xls" xfId="2911"/>
    <cellStyle name="Normal 6 4" xfId="166"/>
    <cellStyle name="Normal 6 4 2" xfId="2912"/>
    <cellStyle name="Normal 6 4 2 2" xfId="2913"/>
    <cellStyle name="Normal 6 4 3" xfId="2914"/>
    <cellStyle name="Normal 6 5" xfId="2915"/>
    <cellStyle name="Normal 6 5 2" xfId="2916"/>
    <cellStyle name="Normal 6 6" xfId="2917"/>
    <cellStyle name="Normal 6_ARTURO SSMC110113xls" xfId="2918"/>
    <cellStyle name="Normal 60" xfId="2919"/>
    <cellStyle name="Normal 61" xfId="2920"/>
    <cellStyle name="Normal 62" xfId="2921"/>
    <cellStyle name="Normal 63" xfId="2922"/>
    <cellStyle name="Normal 64" xfId="2923"/>
    <cellStyle name="Normal 65" xfId="2924"/>
    <cellStyle name="Normal 66" xfId="2925"/>
    <cellStyle name="Normal 67" xfId="2926"/>
    <cellStyle name="Normal 68" xfId="2927"/>
    <cellStyle name="Normal 69" xfId="2928"/>
    <cellStyle name="Normal 7" xfId="167"/>
    <cellStyle name="Normal 7 10" xfId="2929"/>
    <cellStyle name="Normal 7 10 2" xfId="2930"/>
    <cellStyle name="Normal 7 11" xfId="2931"/>
    <cellStyle name="Normal 7 2" xfId="168"/>
    <cellStyle name="Normal 7 2 10" xfId="2932"/>
    <cellStyle name="Normal 7 2 2" xfId="679"/>
    <cellStyle name="Normal 7 2 2 2" xfId="680"/>
    <cellStyle name="Normal 7 2 2 2 2" xfId="681"/>
    <cellStyle name="Normal 7 2 2 2 2 2" xfId="2933"/>
    <cellStyle name="Normal 7 2 2 2 3" xfId="2934"/>
    <cellStyle name="Normal 7 2 2 3" xfId="682"/>
    <cellStyle name="Normal 7 2 2 3 2" xfId="2935"/>
    <cellStyle name="Normal 7 2 2 4" xfId="2936"/>
    <cellStyle name="Normal 7 2 3" xfId="683"/>
    <cellStyle name="Normal 7 2 3 2" xfId="684"/>
    <cellStyle name="Normal 7 2 3 2 2" xfId="2937"/>
    <cellStyle name="Normal 7 2 3 2 2 2" xfId="2938"/>
    <cellStyle name="Normal 7 2 3 2 3" xfId="2939"/>
    <cellStyle name="Normal 7 2 3 3" xfId="2940"/>
    <cellStyle name="Normal 7 2 3 3 2" xfId="2941"/>
    <cellStyle name="Normal 7 2 3 4" xfId="2942"/>
    <cellStyle name="Normal 7 2 4" xfId="685"/>
    <cellStyle name="Normal 7 2 4 2" xfId="686"/>
    <cellStyle name="Normal 7 2 4 2 2" xfId="2943"/>
    <cellStyle name="Normal 7 2 4 2 2 2" xfId="2944"/>
    <cellStyle name="Normal 7 2 4 2 3" xfId="2945"/>
    <cellStyle name="Normal 7 2 4 3" xfId="2946"/>
    <cellStyle name="Normal 7 2 4 3 2" xfId="2947"/>
    <cellStyle name="Normal 7 2 4 4" xfId="2948"/>
    <cellStyle name="Normal 7 2 5" xfId="687"/>
    <cellStyle name="Normal 7 2 5 2" xfId="2949"/>
    <cellStyle name="Normal 7 2 5 2 2" xfId="2950"/>
    <cellStyle name="Normal 7 2 5 2 2 2" xfId="2951"/>
    <cellStyle name="Normal 7 2 5 2 3" xfId="2952"/>
    <cellStyle name="Normal 7 2 5 3" xfId="2953"/>
    <cellStyle name="Normal 7 2 5 3 2" xfId="2954"/>
    <cellStyle name="Normal 7 2 5 4" xfId="2955"/>
    <cellStyle name="Normal 7 2 6" xfId="2956"/>
    <cellStyle name="Normal 7 2 6 2" xfId="2957"/>
    <cellStyle name="Normal 7 2 6 2 2" xfId="2958"/>
    <cellStyle name="Normal 7 2 6 2 2 2" xfId="2959"/>
    <cellStyle name="Normal 7 2 6 2 3" xfId="2960"/>
    <cellStyle name="Normal 7 2 6 3" xfId="2961"/>
    <cellStyle name="Normal 7 2 6 3 2" xfId="2962"/>
    <cellStyle name="Normal 7 2 6 4" xfId="2963"/>
    <cellStyle name="Normal 7 2 7" xfId="2964"/>
    <cellStyle name="Normal 7 2 7 2" xfId="2965"/>
    <cellStyle name="Normal 7 2 7 2 2" xfId="2966"/>
    <cellStyle name="Normal 7 2 7 2 2 2" xfId="2967"/>
    <cellStyle name="Normal 7 2 7 2 3" xfId="2968"/>
    <cellStyle name="Normal 7 2 7 3" xfId="2969"/>
    <cellStyle name="Normal 7 2 7 3 2" xfId="2970"/>
    <cellStyle name="Normal 7 2 7 4" xfId="2971"/>
    <cellStyle name="Normal 7 2 8" xfId="2972"/>
    <cellStyle name="Normal 7 2 8 2" xfId="2973"/>
    <cellStyle name="Normal 7 2 8 2 2" xfId="2974"/>
    <cellStyle name="Normal 7 2 8 3" xfId="2975"/>
    <cellStyle name="Normal 7 2 9" xfId="2976"/>
    <cellStyle name="Normal 7 2 9 2" xfId="2977"/>
    <cellStyle name="Normal 7 3" xfId="438"/>
    <cellStyle name="Normal 7 3 2" xfId="688"/>
    <cellStyle name="Normal 7 3 2 2" xfId="689"/>
    <cellStyle name="Normal 7 3 2 2 2" xfId="2978"/>
    <cellStyle name="Normal 7 3 2 3" xfId="2979"/>
    <cellStyle name="Normal 7 3 3" xfId="690"/>
    <cellStyle name="Normal 7 3 3 2" xfId="2980"/>
    <cellStyle name="Normal 7 3 4" xfId="2981"/>
    <cellStyle name="Normal 7 4" xfId="691"/>
    <cellStyle name="Normal 7 4 2" xfId="692"/>
    <cellStyle name="Normal 7 4 2 2" xfId="2982"/>
    <cellStyle name="Normal 7 4 2 2 2" xfId="2983"/>
    <cellStyle name="Normal 7 4 2 3" xfId="2984"/>
    <cellStyle name="Normal 7 4 3" xfId="2985"/>
    <cellStyle name="Normal 7 4 3 2" xfId="2986"/>
    <cellStyle name="Normal 7 4 4" xfId="2987"/>
    <cellStyle name="Normal 7 5" xfId="693"/>
    <cellStyle name="Normal 7 5 2" xfId="694"/>
    <cellStyle name="Normal 7 5 2 2" xfId="2988"/>
    <cellStyle name="Normal 7 5 2 2 2" xfId="2989"/>
    <cellStyle name="Normal 7 5 2 3" xfId="2990"/>
    <cellStyle name="Normal 7 5 3" xfId="2991"/>
    <cellStyle name="Normal 7 5 3 2" xfId="2992"/>
    <cellStyle name="Normal 7 5 4" xfId="2993"/>
    <cellStyle name="Normal 7 6" xfId="695"/>
    <cellStyle name="Normal 7 6 2" xfId="696"/>
    <cellStyle name="Normal 7 6 2 2" xfId="2994"/>
    <cellStyle name="Normal 7 6 2 2 2" xfId="2995"/>
    <cellStyle name="Normal 7 6 2 3" xfId="2996"/>
    <cellStyle name="Normal 7 6 3" xfId="2997"/>
    <cellStyle name="Normal 7 6 3 2" xfId="2998"/>
    <cellStyle name="Normal 7 6 4" xfId="2999"/>
    <cellStyle name="Normal 7 7" xfId="697"/>
    <cellStyle name="Normal 7 7 2" xfId="3000"/>
    <cellStyle name="Normal 7 7 2 2" xfId="3001"/>
    <cellStyle name="Normal 7 7 2 2 2" xfId="3002"/>
    <cellStyle name="Normal 7 7 2 3" xfId="3003"/>
    <cellStyle name="Normal 7 7 3" xfId="3004"/>
    <cellStyle name="Normal 7 7 3 2" xfId="3005"/>
    <cellStyle name="Normal 7 7 4" xfId="3006"/>
    <cellStyle name="Normal 7 8" xfId="3007"/>
    <cellStyle name="Normal 7 8 2" xfId="3008"/>
    <cellStyle name="Normal 7 8 2 2" xfId="3009"/>
    <cellStyle name="Normal 7 8 2 2 2" xfId="3010"/>
    <cellStyle name="Normal 7 8 2 3" xfId="3011"/>
    <cellStyle name="Normal 7 8 3" xfId="3012"/>
    <cellStyle name="Normal 7 8 3 2" xfId="3013"/>
    <cellStyle name="Normal 7 8 4" xfId="3014"/>
    <cellStyle name="Normal 7 9" xfId="3015"/>
    <cellStyle name="Normal 7 9 2" xfId="3016"/>
    <cellStyle name="Normal 7 9 2 2" xfId="3017"/>
    <cellStyle name="Normal 7 9 3" xfId="3018"/>
    <cellStyle name="Normal 7_ARTURO SSMC110113xls" xfId="3019"/>
    <cellStyle name="Normal 70" xfId="3020"/>
    <cellStyle name="Normal 71" xfId="3021"/>
    <cellStyle name="Normal 72" xfId="3022"/>
    <cellStyle name="Normal 73" xfId="3023"/>
    <cellStyle name="Normal 74" xfId="3024"/>
    <cellStyle name="Normal 75" xfId="3025"/>
    <cellStyle name="Normal 76" xfId="3026"/>
    <cellStyle name="Normal 77" xfId="3027"/>
    <cellStyle name="Normal 78" xfId="3028"/>
    <cellStyle name="Normal 79" xfId="3029"/>
    <cellStyle name="Normal 8" xfId="169"/>
    <cellStyle name="Normal 8 2" xfId="170"/>
    <cellStyle name="Normal 8 2 10" xfId="3030"/>
    <cellStyle name="Normal 8 2 2" xfId="698"/>
    <cellStyle name="Normal 8 2 2 2" xfId="699"/>
    <cellStyle name="Normal 8 2 2 2 2" xfId="700"/>
    <cellStyle name="Normal 8 2 2 2 2 2" xfId="3031"/>
    <cellStyle name="Normal 8 2 2 2 3" xfId="3032"/>
    <cellStyle name="Normal 8 2 2 3" xfId="701"/>
    <cellStyle name="Normal 8 2 2 3 2" xfId="3033"/>
    <cellStyle name="Normal 8 2 2 4" xfId="3034"/>
    <cellStyle name="Normal 8 2 3" xfId="702"/>
    <cellStyle name="Normal 8 2 3 2" xfId="703"/>
    <cellStyle name="Normal 8 2 3 2 2" xfId="3035"/>
    <cellStyle name="Normal 8 2 3 2 2 2" xfId="3036"/>
    <cellStyle name="Normal 8 2 3 2 3" xfId="3037"/>
    <cellStyle name="Normal 8 2 3 3" xfId="3038"/>
    <cellStyle name="Normal 8 2 3 3 2" xfId="3039"/>
    <cellStyle name="Normal 8 2 3 4" xfId="3040"/>
    <cellStyle name="Normal 8 2 4" xfId="704"/>
    <cellStyle name="Normal 8 2 4 2" xfId="705"/>
    <cellStyle name="Normal 8 2 4 2 2" xfId="3041"/>
    <cellStyle name="Normal 8 2 4 2 2 2" xfId="3042"/>
    <cellStyle name="Normal 8 2 4 2 3" xfId="3043"/>
    <cellStyle name="Normal 8 2 4 3" xfId="3044"/>
    <cellStyle name="Normal 8 2 4 3 2" xfId="3045"/>
    <cellStyle name="Normal 8 2 4 4" xfId="3046"/>
    <cellStyle name="Normal 8 2 5" xfId="706"/>
    <cellStyle name="Normal 8 2 5 2" xfId="3047"/>
    <cellStyle name="Normal 8 2 5 2 2" xfId="3048"/>
    <cellStyle name="Normal 8 2 5 2 2 2" xfId="3049"/>
    <cellStyle name="Normal 8 2 5 2 3" xfId="3050"/>
    <cellStyle name="Normal 8 2 5 3" xfId="3051"/>
    <cellStyle name="Normal 8 2 5 3 2" xfId="3052"/>
    <cellStyle name="Normal 8 2 5 4" xfId="3053"/>
    <cellStyle name="Normal 8 2 6" xfId="3054"/>
    <cellStyle name="Normal 8 2 6 2" xfId="3055"/>
    <cellStyle name="Normal 8 2 6 2 2" xfId="3056"/>
    <cellStyle name="Normal 8 2 6 2 2 2" xfId="3057"/>
    <cellStyle name="Normal 8 2 6 2 3" xfId="3058"/>
    <cellStyle name="Normal 8 2 6 3" xfId="3059"/>
    <cellStyle name="Normal 8 2 6 3 2" xfId="3060"/>
    <cellStyle name="Normal 8 2 6 4" xfId="3061"/>
    <cellStyle name="Normal 8 2 7" xfId="3062"/>
    <cellStyle name="Normal 8 2 7 2" xfId="3063"/>
    <cellStyle name="Normal 8 2 7 2 2" xfId="3064"/>
    <cellStyle name="Normal 8 2 7 2 2 2" xfId="3065"/>
    <cellStyle name="Normal 8 2 7 2 3" xfId="3066"/>
    <cellStyle name="Normal 8 2 7 3" xfId="3067"/>
    <cellStyle name="Normal 8 2 7 3 2" xfId="3068"/>
    <cellStyle name="Normal 8 2 7 4" xfId="3069"/>
    <cellStyle name="Normal 8 2 8" xfId="3070"/>
    <cellStyle name="Normal 8 2 8 2" xfId="3071"/>
    <cellStyle name="Normal 8 2 8 2 2" xfId="3072"/>
    <cellStyle name="Normal 8 2 8 3" xfId="3073"/>
    <cellStyle name="Normal 8 2 9" xfId="3074"/>
    <cellStyle name="Normal 8 2 9 2" xfId="3075"/>
    <cellStyle name="Normal 8 3" xfId="204"/>
    <cellStyle name="Normal 8 3 2" xfId="707"/>
    <cellStyle name="Normal 8 3 2 2" xfId="708"/>
    <cellStyle name="Normal 8 3 3" xfId="709"/>
    <cellStyle name="Normal 8 3 4" xfId="710"/>
    <cellStyle name="Normal 8 4" xfId="711"/>
    <cellStyle name="Normal 8 4 2" xfId="712"/>
    <cellStyle name="Normal 8 5" xfId="713"/>
    <cellStyle name="Normal 8 6" xfId="714"/>
    <cellStyle name="Normal 8 6 2" xfId="715"/>
    <cellStyle name="Normal 8 7" xfId="716"/>
    <cellStyle name="Normal 8_Evolución de becas SEP-UAM-PRONABES" xfId="3076"/>
    <cellStyle name="Normal 80" xfId="3077"/>
    <cellStyle name="Normal 81" xfId="3078"/>
    <cellStyle name="Normal 82" xfId="3079"/>
    <cellStyle name="Normal 83" xfId="3080"/>
    <cellStyle name="Normal 84" xfId="3081"/>
    <cellStyle name="Normal 85" xfId="3082"/>
    <cellStyle name="Normal 86" xfId="3083"/>
    <cellStyle name="Normal 87" xfId="3084"/>
    <cellStyle name="Normal 88" xfId="3085"/>
    <cellStyle name="Normal 89" xfId="3086"/>
    <cellStyle name="Normal 9" xfId="171"/>
    <cellStyle name="Normal 9 10" xfId="439"/>
    <cellStyle name="Normal 9 10 2" xfId="432"/>
    <cellStyle name="Normal 9 10 2 2" xfId="717"/>
    <cellStyle name="Normal 9 11" xfId="433"/>
    <cellStyle name="Normal 9 11 2" xfId="718"/>
    <cellStyle name="Normal 9 2" xfId="172"/>
    <cellStyle name="Normal 9 2 10" xfId="3087"/>
    <cellStyle name="Normal 9 2 2" xfId="719"/>
    <cellStyle name="Normal 9 2 2 2" xfId="720"/>
    <cellStyle name="Normal 9 2 2 2 2" xfId="721"/>
    <cellStyle name="Normal 9 2 2 2 2 2" xfId="3088"/>
    <cellStyle name="Normal 9 2 2 2 3" xfId="3089"/>
    <cellStyle name="Normal 9 2 2 3" xfId="722"/>
    <cellStyle name="Normal 9 2 2 3 2" xfId="3090"/>
    <cellStyle name="Normal 9 2 2 4" xfId="3091"/>
    <cellStyle name="Normal 9 2 3" xfId="723"/>
    <cellStyle name="Normal 9 2 3 2" xfId="724"/>
    <cellStyle name="Normal 9 2 3 2 2" xfId="3092"/>
    <cellStyle name="Normal 9 2 3 2 2 2" xfId="3093"/>
    <cellStyle name="Normal 9 2 3 2 3" xfId="3094"/>
    <cellStyle name="Normal 9 2 3 3" xfId="3095"/>
    <cellStyle name="Normal 9 2 3 3 2" xfId="3096"/>
    <cellStyle name="Normal 9 2 3 4" xfId="3097"/>
    <cellStyle name="Normal 9 2 4" xfId="725"/>
    <cellStyle name="Normal 9 2 4 2" xfId="726"/>
    <cellStyle name="Normal 9 2 4 2 2" xfId="3098"/>
    <cellStyle name="Normal 9 2 4 2 2 2" xfId="3099"/>
    <cellStyle name="Normal 9 2 4 2 3" xfId="3100"/>
    <cellStyle name="Normal 9 2 4 3" xfId="3101"/>
    <cellStyle name="Normal 9 2 4 3 2" xfId="3102"/>
    <cellStyle name="Normal 9 2 4 4" xfId="3103"/>
    <cellStyle name="Normal 9 2 5" xfId="727"/>
    <cellStyle name="Normal 9 2 5 2" xfId="3104"/>
    <cellStyle name="Normal 9 2 5 2 2" xfId="3105"/>
    <cellStyle name="Normal 9 2 5 2 2 2" xfId="3106"/>
    <cellStyle name="Normal 9 2 5 2 3" xfId="3107"/>
    <cellStyle name="Normal 9 2 5 3" xfId="3108"/>
    <cellStyle name="Normal 9 2 5 3 2" xfId="3109"/>
    <cellStyle name="Normal 9 2 5 4" xfId="3110"/>
    <cellStyle name="Normal 9 2 6" xfId="3111"/>
    <cellStyle name="Normal 9 2 6 2" xfId="3112"/>
    <cellStyle name="Normal 9 2 6 2 2" xfId="3113"/>
    <cellStyle name="Normal 9 2 6 2 2 2" xfId="3114"/>
    <cellStyle name="Normal 9 2 6 2 3" xfId="3115"/>
    <cellStyle name="Normal 9 2 6 3" xfId="3116"/>
    <cellStyle name="Normal 9 2 6 3 2" xfId="3117"/>
    <cellStyle name="Normal 9 2 6 4" xfId="3118"/>
    <cellStyle name="Normal 9 2 7" xfId="3119"/>
    <cellStyle name="Normal 9 2 7 2" xfId="3120"/>
    <cellStyle name="Normal 9 2 7 2 2" xfId="3121"/>
    <cellStyle name="Normal 9 2 7 2 2 2" xfId="3122"/>
    <cellStyle name="Normal 9 2 7 2 3" xfId="3123"/>
    <cellStyle name="Normal 9 2 7 3" xfId="3124"/>
    <cellStyle name="Normal 9 2 7 3 2" xfId="3125"/>
    <cellStyle name="Normal 9 2 7 4" xfId="3126"/>
    <cellStyle name="Normal 9 2 8" xfId="3127"/>
    <cellStyle name="Normal 9 2 8 2" xfId="3128"/>
    <cellStyle name="Normal 9 2 8 2 2" xfId="3129"/>
    <cellStyle name="Normal 9 2 8 3" xfId="3130"/>
    <cellStyle name="Normal 9 2 9" xfId="3131"/>
    <cellStyle name="Normal 9 2 9 2" xfId="3132"/>
    <cellStyle name="Normal 9 3" xfId="205"/>
    <cellStyle name="Normal 9 3 2" xfId="728"/>
    <cellStyle name="Normal 9 3 2 2" xfId="729"/>
    <cellStyle name="Normal 9 3 3" xfId="730"/>
    <cellStyle name="Normal 9 3 4" xfId="731"/>
    <cellStyle name="Normal 9 4" xfId="394"/>
    <cellStyle name="Normal 9 4 2" xfId="396"/>
    <cellStyle name="Normal 9 4 2 2" xfId="732"/>
    <cellStyle name="Normal 9 4 3" xfId="733"/>
    <cellStyle name="Normal 9 4 7" xfId="3133"/>
    <cellStyle name="Normal 9 5" xfId="734"/>
    <cellStyle name="Normal 9 6" xfId="735"/>
    <cellStyle name="Normal 9_Evolución de becas SEP-UAM-PRONABES" xfId="3134"/>
    <cellStyle name="Normal 90" xfId="3135"/>
    <cellStyle name="Normal 91" xfId="3136"/>
    <cellStyle name="Normal 92" xfId="3137"/>
    <cellStyle name="Normal 93" xfId="3138"/>
    <cellStyle name="Normal 94" xfId="3139"/>
    <cellStyle name="Normal 95" xfId="3140"/>
    <cellStyle name="Normal 96" xfId="3141"/>
    <cellStyle name="Normal 97" xfId="3142"/>
    <cellStyle name="Normal 98" xfId="3143"/>
    <cellStyle name="Normal 99" xfId="3144"/>
    <cellStyle name="Normal_2005-2011 X UDD" xfId="804"/>
    <cellStyle name="Normal_2008 2" xfId="822"/>
    <cellStyle name="Normal_2009O-" xfId="736"/>
    <cellStyle name="Normal_2010O-2014P" xfId="800"/>
    <cellStyle name="Normal_CAP_3_ANEXO_2007" xfId="429"/>
    <cellStyle name="Normal_D1.5 Empleabilidad_Lic_1" xfId="821"/>
    <cellStyle name="Normal_D1.5 Empleabilidad_Pos" xfId="803"/>
    <cellStyle name="Normal_Efic Term Doc 2015" xfId="3787"/>
    <cellStyle name="Normal_Efic Term Esp 2015" xfId="3786"/>
    <cellStyle name="Normal_Eficiencia 2014 Especialidad" xfId="451"/>
    <cellStyle name="Normal_Eficiencia 2014 Maestría" xfId="453"/>
    <cellStyle name="Normal_Eficiencia Esp 2012-2013" xfId="816"/>
    <cellStyle name="Normal_Eficiencia Lic 10 años" xfId="454"/>
    <cellStyle name="Normal_Eficiencia Terminal 14 Trim" xfId="823"/>
    <cellStyle name="Normal_Eficiencia Terminal a 10 años" xfId="824"/>
    <cellStyle name="Normal_Empleabilidad_ POS" xfId="3790"/>
    <cellStyle name="Normal_Hoja1" xfId="173"/>
    <cellStyle name="Normal_Hoja1 2" xfId="452"/>
    <cellStyle name="Normal_Hoja1_1" xfId="820"/>
    <cellStyle name="Normal_Hoja2" xfId="238"/>
    <cellStyle name="Normal_Hoja2_1" xfId="239"/>
    <cellStyle name="Normal_Hoja3" xfId="430"/>
    <cellStyle name="Normal_Hoja3_1" xfId="797"/>
    <cellStyle name="Normal_Hoja4" xfId="428"/>
    <cellStyle name="Normal_Hoja6" xfId="441"/>
    <cellStyle name="Normal_NTRC Doctorado" xfId="799"/>
    <cellStyle name="Normal_NTRC Maestría" xfId="798"/>
    <cellStyle name="Normal_Posgrados evaluados 2007 2" xfId="3789"/>
    <cellStyle name="Normal_Ptos Acum 2011-2014" xfId="806"/>
    <cellStyle name="Normal_Ptos Acum 2011-2014_1" xfId="805"/>
    <cellStyle name="Normal_SNI_2011 NOV (914) X DEPTO" xfId="819"/>
    <cellStyle name="Normal_Tiempo Prom para Egresar 2012" xfId="796"/>
    <cellStyle name="Normal_TRC Para Egresar Doc 2014" xfId="457"/>
    <cellStyle name="Normal_TRC Para Egresar Mtría 2014" xfId="456"/>
    <cellStyle name="Normal_TRC Para Egresar Posg 2014" xfId="455"/>
    <cellStyle name="Normal_Trim Prom Acred Plan Est Lic" xfId="3788"/>
    <cellStyle name="Nota 2" xfId="3791"/>
    <cellStyle name="Notas 2" xfId="174"/>
    <cellStyle name="Notas 2 2" xfId="206"/>
    <cellStyle name="Notas 2 2 2" xfId="226"/>
    <cellStyle name="Notas 2 2 2 2" xfId="250"/>
    <cellStyle name="Notas 2 2 2 2 10" xfId="3145"/>
    <cellStyle name="Notas 2 2 2 2 11" xfId="3146"/>
    <cellStyle name="Notas 2 2 2 2 12" xfId="3147"/>
    <cellStyle name="Notas 2 2 2 2 2" xfId="275"/>
    <cellStyle name="Notas 2 2 2 2 2 2" xfId="3148"/>
    <cellStyle name="Notas 2 2 2 2 2 3" xfId="3149"/>
    <cellStyle name="Notas 2 2 2 2 2 4" xfId="3150"/>
    <cellStyle name="Notas 2 2 2 2 2 5" xfId="3151"/>
    <cellStyle name="Notas 2 2 2 2 3" xfId="277"/>
    <cellStyle name="Notas 2 2 2 2 3 2" xfId="3152"/>
    <cellStyle name="Notas 2 2 2 2 3 3" xfId="3153"/>
    <cellStyle name="Notas 2 2 2 2 3 4" xfId="3154"/>
    <cellStyle name="Notas 2 2 2 2 3 5" xfId="3155"/>
    <cellStyle name="Notas 2 2 2 2 4" xfId="295"/>
    <cellStyle name="Notas 2 2 2 2 4 2" xfId="3156"/>
    <cellStyle name="Notas 2 2 2 2 4 3" xfId="3157"/>
    <cellStyle name="Notas 2 2 2 2 4 4" xfId="3158"/>
    <cellStyle name="Notas 2 2 2 2 4 5" xfId="3159"/>
    <cellStyle name="Notas 2 2 2 2 5" xfId="327"/>
    <cellStyle name="Notas 2 2 2 2 5 2" xfId="3160"/>
    <cellStyle name="Notas 2 2 2 2 5 3" xfId="3161"/>
    <cellStyle name="Notas 2 2 2 2 5 4" xfId="3162"/>
    <cellStyle name="Notas 2 2 2 2 5 5" xfId="3163"/>
    <cellStyle name="Notas 2 2 2 2 6" xfId="339"/>
    <cellStyle name="Notas 2 2 2 2 6 2" xfId="3164"/>
    <cellStyle name="Notas 2 2 2 2 6 3" xfId="3165"/>
    <cellStyle name="Notas 2 2 2 2 6 4" xfId="3166"/>
    <cellStyle name="Notas 2 2 2 2 6 5" xfId="3167"/>
    <cellStyle name="Notas 2 2 2 2 7" xfId="355"/>
    <cellStyle name="Notas 2 2 2 2 7 2" xfId="3168"/>
    <cellStyle name="Notas 2 2 2 2 7 3" xfId="3169"/>
    <cellStyle name="Notas 2 2 2 2 7 4" xfId="3170"/>
    <cellStyle name="Notas 2 2 2 2 7 5" xfId="3171"/>
    <cellStyle name="Notas 2 2 2 2 8" xfId="371"/>
    <cellStyle name="Notas 2 2 2 2 8 2" xfId="3172"/>
    <cellStyle name="Notas 2 2 2 2 8 3" xfId="3173"/>
    <cellStyle name="Notas 2 2 2 2 8 4" xfId="3174"/>
    <cellStyle name="Notas 2 2 2 2 8 5" xfId="3175"/>
    <cellStyle name="Notas 2 2 2 2 9" xfId="3176"/>
    <cellStyle name="Notas 2 2 2 3" xfId="271"/>
    <cellStyle name="Notas 2 2 2 3 2" xfId="3177"/>
    <cellStyle name="Notas 2 2 2 3 3" xfId="3178"/>
    <cellStyle name="Notas 2 2 2 3 4" xfId="3179"/>
    <cellStyle name="Notas 2 2 2 3 5" xfId="3180"/>
    <cellStyle name="Notas 2 2 2 4" xfId="310"/>
    <cellStyle name="Notas 2 2 2 4 2" xfId="3181"/>
    <cellStyle name="Notas 2 2 2 4 3" xfId="3182"/>
    <cellStyle name="Notas 2 2 2 4 4" xfId="3183"/>
    <cellStyle name="Notas 2 2 2 4 5" xfId="3184"/>
    <cellStyle name="Notas 2 2 2 5" xfId="410"/>
    <cellStyle name="Notas 2 2 2 5 2" xfId="3185"/>
    <cellStyle name="Notas 2 2 2 5 3" xfId="3186"/>
    <cellStyle name="Notas 2 2 2 5 4" xfId="3187"/>
    <cellStyle name="Notas 2 2 2 5 5" xfId="3188"/>
    <cellStyle name="Notas 2 2 2 6" xfId="422"/>
    <cellStyle name="Notas 2 2 2 6 2" xfId="3189"/>
    <cellStyle name="Notas 2 2 2 6 3" xfId="3190"/>
    <cellStyle name="Notas 2 2 2 6 4" xfId="3191"/>
    <cellStyle name="Notas 2 2 2 6 5" xfId="3192"/>
    <cellStyle name="Notas 2 2 2 7" xfId="3193"/>
    <cellStyle name="Notas 2 2 3" xfId="249"/>
    <cellStyle name="Notas 2 2 3 2" xfId="274"/>
    <cellStyle name="Notas 2 2 3 2 2" xfId="3194"/>
    <cellStyle name="Notas 2 2 3 2 3" xfId="3195"/>
    <cellStyle name="Notas 2 2 3 2 4" xfId="3196"/>
    <cellStyle name="Notas 2 2 3 2 5" xfId="3197"/>
    <cellStyle name="Notas 2 2 3 3" xfId="263"/>
    <cellStyle name="Notas 2 2 3 3 2" xfId="3198"/>
    <cellStyle name="Notas 2 2 3 3 3" xfId="3199"/>
    <cellStyle name="Notas 2 2 3 3 4" xfId="3200"/>
    <cellStyle name="Notas 2 2 3 3 5" xfId="3201"/>
    <cellStyle name="Notas 2 2 3 4" xfId="290"/>
    <cellStyle name="Notas 2 2 3 4 2" xfId="3202"/>
    <cellStyle name="Notas 2 2 3 4 3" xfId="3203"/>
    <cellStyle name="Notas 2 2 3 4 4" xfId="3204"/>
    <cellStyle name="Notas 2 2 3 4 5" xfId="3205"/>
    <cellStyle name="Notas 2 2 3 5" xfId="322"/>
    <cellStyle name="Notas 2 2 3 5 2" xfId="3206"/>
    <cellStyle name="Notas 2 2 3 5 3" xfId="3207"/>
    <cellStyle name="Notas 2 2 3 5 4" xfId="3208"/>
    <cellStyle name="Notas 2 2 3 5 5" xfId="3209"/>
    <cellStyle name="Notas 2 2 3 6" xfId="284"/>
    <cellStyle name="Notas 2 2 3 6 2" xfId="3210"/>
    <cellStyle name="Notas 2 2 3 6 3" xfId="3211"/>
    <cellStyle name="Notas 2 2 3 6 4" xfId="3212"/>
    <cellStyle name="Notas 2 2 3 6 5" xfId="3213"/>
    <cellStyle name="Notas 2 2 3 7" xfId="350"/>
    <cellStyle name="Notas 2 2 3 7 2" xfId="3214"/>
    <cellStyle name="Notas 2 2 3 7 3" xfId="3215"/>
    <cellStyle name="Notas 2 2 3 7 4" xfId="3216"/>
    <cellStyle name="Notas 2 2 3 7 5" xfId="3217"/>
    <cellStyle name="Notas 2 2 3 8" xfId="366"/>
    <cellStyle name="Notas 2 2 3 8 2" xfId="3218"/>
    <cellStyle name="Notas 2 2 3 8 3" xfId="3219"/>
    <cellStyle name="Notas 2 2 3 8 4" xfId="3220"/>
    <cellStyle name="Notas 2 2 3 8 5" xfId="3221"/>
    <cellStyle name="Notas 2 2 3 9" xfId="3222"/>
    <cellStyle name="Notas 2 2 4" xfId="308"/>
    <cellStyle name="Notas 2 2 4 2" xfId="3223"/>
    <cellStyle name="Notas 2 2 4 3" xfId="3224"/>
    <cellStyle name="Notas 2 2 4 4" xfId="3225"/>
    <cellStyle name="Notas 2 2 4 5" xfId="3226"/>
    <cellStyle name="Notas 2 2 5" xfId="405"/>
    <cellStyle name="Notas 2 2 5 2" xfId="3227"/>
    <cellStyle name="Notas 2 2 5 3" xfId="3228"/>
    <cellStyle name="Notas 2 2 5 4" xfId="3229"/>
    <cellStyle name="Notas 2 2 5 5" xfId="3230"/>
    <cellStyle name="Notas 2 2 6" xfId="417"/>
    <cellStyle name="Notas 2 2 6 2" xfId="3231"/>
    <cellStyle name="Notas 2 2 6 3" xfId="3232"/>
    <cellStyle name="Notas 2 2 6 4" xfId="3233"/>
    <cellStyle name="Notas 2 2 6 5" xfId="3234"/>
    <cellStyle name="Notas 2 2 7" xfId="3235"/>
    <cellStyle name="Notas 2 3" xfId="221"/>
    <cellStyle name="Notas 2 3 2" xfId="251"/>
    <cellStyle name="Notas 2 3 2 10" xfId="3236"/>
    <cellStyle name="Notas 2 3 2 11" xfId="3237"/>
    <cellStyle name="Notas 2 3 2 12" xfId="3238"/>
    <cellStyle name="Notas 2 3 2 2" xfId="276"/>
    <cellStyle name="Notas 2 3 2 2 2" xfId="3239"/>
    <cellStyle name="Notas 2 3 2 2 3" xfId="3240"/>
    <cellStyle name="Notas 2 3 2 2 4" xfId="3241"/>
    <cellStyle name="Notas 2 3 2 2 5" xfId="3242"/>
    <cellStyle name="Notas 2 3 2 3" xfId="278"/>
    <cellStyle name="Notas 2 3 2 3 2" xfId="3243"/>
    <cellStyle name="Notas 2 3 2 3 3" xfId="3244"/>
    <cellStyle name="Notas 2 3 2 3 4" xfId="3245"/>
    <cellStyle name="Notas 2 3 2 3 5" xfId="3246"/>
    <cellStyle name="Notas 2 3 2 4" xfId="296"/>
    <cellStyle name="Notas 2 3 2 4 2" xfId="3247"/>
    <cellStyle name="Notas 2 3 2 4 3" xfId="3248"/>
    <cellStyle name="Notas 2 3 2 4 4" xfId="3249"/>
    <cellStyle name="Notas 2 3 2 4 5" xfId="3250"/>
    <cellStyle name="Notas 2 3 2 5" xfId="328"/>
    <cellStyle name="Notas 2 3 2 5 2" xfId="3251"/>
    <cellStyle name="Notas 2 3 2 5 3" xfId="3252"/>
    <cellStyle name="Notas 2 3 2 5 4" xfId="3253"/>
    <cellStyle name="Notas 2 3 2 5 5" xfId="3254"/>
    <cellStyle name="Notas 2 3 2 6" xfId="340"/>
    <cellStyle name="Notas 2 3 2 6 2" xfId="3255"/>
    <cellStyle name="Notas 2 3 2 6 3" xfId="3256"/>
    <cellStyle name="Notas 2 3 2 6 4" xfId="3257"/>
    <cellStyle name="Notas 2 3 2 6 5" xfId="3258"/>
    <cellStyle name="Notas 2 3 2 7" xfId="356"/>
    <cellStyle name="Notas 2 3 2 7 2" xfId="3259"/>
    <cellStyle name="Notas 2 3 2 7 3" xfId="3260"/>
    <cellStyle name="Notas 2 3 2 7 4" xfId="3261"/>
    <cellStyle name="Notas 2 3 2 7 5" xfId="3262"/>
    <cellStyle name="Notas 2 3 2 8" xfId="372"/>
    <cellStyle name="Notas 2 3 2 8 2" xfId="3263"/>
    <cellStyle name="Notas 2 3 2 8 3" xfId="3264"/>
    <cellStyle name="Notas 2 3 2 8 4" xfId="3265"/>
    <cellStyle name="Notas 2 3 2 8 5" xfId="3266"/>
    <cellStyle name="Notas 2 3 2 9" xfId="3267"/>
    <cellStyle name="Notas 2 3 3" xfId="272"/>
    <cellStyle name="Notas 2 3 3 2" xfId="3268"/>
    <cellStyle name="Notas 2 3 3 3" xfId="3269"/>
    <cellStyle name="Notas 2 3 3 4" xfId="3270"/>
    <cellStyle name="Notas 2 3 3 5" xfId="3271"/>
    <cellStyle name="Notas 2 3 4" xfId="316"/>
    <cellStyle name="Notas 2 3 4 2" xfId="3272"/>
    <cellStyle name="Notas 2 3 4 3" xfId="3273"/>
    <cellStyle name="Notas 2 3 4 4" xfId="3274"/>
    <cellStyle name="Notas 2 3 4 5" xfId="3275"/>
    <cellStyle name="Notas 2 3 5" xfId="411"/>
    <cellStyle name="Notas 2 3 5 2" xfId="3276"/>
    <cellStyle name="Notas 2 3 5 3" xfId="3277"/>
    <cellStyle name="Notas 2 3 5 4" xfId="3278"/>
    <cellStyle name="Notas 2 3 5 5" xfId="3279"/>
    <cellStyle name="Notas 2 3 6" xfId="423"/>
    <cellStyle name="Notas 2 3 6 2" xfId="3280"/>
    <cellStyle name="Notas 2 3 6 3" xfId="3281"/>
    <cellStyle name="Notas 2 3 6 4" xfId="3282"/>
    <cellStyle name="Notas 2 3 6 5" xfId="3283"/>
    <cellStyle name="Notas 2 3 7" xfId="3284"/>
    <cellStyle name="Notas 2 4" xfId="248"/>
    <cellStyle name="Notas 2 4 2" xfId="273"/>
    <cellStyle name="Notas 2 4 2 2" xfId="3285"/>
    <cellStyle name="Notas 2 4 2 3" xfId="3286"/>
    <cellStyle name="Notas 2 4 2 4" xfId="3287"/>
    <cellStyle name="Notas 2 4 2 5" xfId="3288"/>
    <cellStyle name="Notas 2 4 3" xfId="266"/>
    <cellStyle name="Notas 2 4 3 2" xfId="3289"/>
    <cellStyle name="Notas 2 4 3 3" xfId="3290"/>
    <cellStyle name="Notas 2 4 3 4" xfId="3291"/>
    <cellStyle name="Notas 2 4 3 5" xfId="3292"/>
    <cellStyle name="Notas 2 4 4" xfId="287"/>
    <cellStyle name="Notas 2 4 4 2" xfId="3293"/>
    <cellStyle name="Notas 2 4 4 3" xfId="3294"/>
    <cellStyle name="Notas 2 4 4 4" xfId="3295"/>
    <cellStyle name="Notas 2 4 4 5" xfId="3296"/>
    <cellStyle name="Notas 2 4 5" xfId="319"/>
    <cellStyle name="Notas 2 4 5 2" xfId="3297"/>
    <cellStyle name="Notas 2 4 5 3" xfId="3298"/>
    <cellStyle name="Notas 2 4 5 4" xfId="3299"/>
    <cellStyle name="Notas 2 4 5 5" xfId="3300"/>
    <cellStyle name="Notas 2 4 6" xfId="302"/>
    <cellStyle name="Notas 2 4 6 2" xfId="3301"/>
    <cellStyle name="Notas 2 4 6 3" xfId="3302"/>
    <cellStyle name="Notas 2 4 6 4" xfId="3303"/>
    <cellStyle name="Notas 2 4 6 5" xfId="3304"/>
    <cellStyle name="Notas 2 4 7" xfId="347"/>
    <cellStyle name="Notas 2 4 7 2" xfId="3305"/>
    <cellStyle name="Notas 2 4 7 3" xfId="3306"/>
    <cellStyle name="Notas 2 4 7 4" xfId="3307"/>
    <cellStyle name="Notas 2 4 7 5" xfId="3308"/>
    <cellStyle name="Notas 2 4 8" xfId="363"/>
    <cellStyle name="Notas 2 4 8 2" xfId="3309"/>
    <cellStyle name="Notas 2 4 8 3" xfId="3310"/>
    <cellStyle name="Notas 2 4 8 4" xfId="3311"/>
    <cellStyle name="Notas 2 4 8 5" xfId="3312"/>
    <cellStyle name="Notas 2 4 9" xfId="3313"/>
    <cellStyle name="Notas 2 5" xfId="315"/>
    <cellStyle name="Notas 2 5 2" xfId="3314"/>
    <cellStyle name="Notas 2 5 3" xfId="3315"/>
    <cellStyle name="Notas 2 5 4" xfId="3316"/>
    <cellStyle name="Notas 2 5 5" xfId="3317"/>
    <cellStyle name="Notas 2 6" xfId="387"/>
    <cellStyle name="Notas 2 6 2" xfId="3318"/>
    <cellStyle name="Notas 2 6 3" xfId="3319"/>
    <cellStyle name="Notas 2 6 4" xfId="3320"/>
    <cellStyle name="Notas 2 6 5" xfId="3321"/>
    <cellStyle name="Notas 2 7" xfId="386"/>
    <cellStyle name="Notas 2 7 2" xfId="3322"/>
    <cellStyle name="Notas 2 7 3" xfId="3323"/>
    <cellStyle name="Notas 2 7 4" xfId="3324"/>
    <cellStyle name="Notas 2 7 5" xfId="3325"/>
    <cellStyle name="Notas 2 8" xfId="3326"/>
    <cellStyle name="Notas 3" xfId="737"/>
    <cellStyle name="Notas 3 2" xfId="738"/>
    <cellStyle name="Notas 4" xfId="3327"/>
    <cellStyle name="Percent" xfId="175"/>
    <cellStyle name="Percent 2" xfId="3328"/>
    <cellStyle name="Percent 2 2" xfId="3329"/>
    <cellStyle name="Percent 3" xfId="3330"/>
    <cellStyle name="Porcentaje 2" xfId="739"/>
    <cellStyle name="Porcentaje 2 2" xfId="740"/>
    <cellStyle name="Porcentaje 2 2 2" xfId="3331"/>
    <cellStyle name="Porcentaje 2 2 2 2" xfId="3332"/>
    <cellStyle name="Porcentaje 2 2 2 2 2" xfId="3333"/>
    <cellStyle name="Porcentaje 2 2 2 3" xfId="3334"/>
    <cellStyle name="Porcentaje 2 2 3" xfId="3335"/>
    <cellStyle name="Porcentaje 2 2 3 2" xfId="3336"/>
    <cellStyle name="Porcentaje 2 2 3 2 2" xfId="3337"/>
    <cellStyle name="Porcentaje 2 2 3 2 2 2" xfId="3338"/>
    <cellStyle name="Porcentaje 2 2 3 2 2 2 2" xfId="3339"/>
    <cellStyle name="Porcentaje 2 2 3 2 2 2 2 2" xfId="3340"/>
    <cellStyle name="Porcentaje 2 2 3 2 2 2 3" xfId="3341"/>
    <cellStyle name="Porcentaje 2 2 3 2 2 3" xfId="3342"/>
    <cellStyle name="Porcentaje 2 2 3 2 2 3 2" xfId="3343"/>
    <cellStyle name="Porcentaje 2 2 3 2 2 3 2 2" xfId="3344"/>
    <cellStyle name="Porcentaje 2 2 3 2 2 3 3" xfId="3345"/>
    <cellStyle name="Porcentaje 2 2 3 2 2 4" xfId="3346"/>
    <cellStyle name="Porcentaje 2 2 3 2 2 4 2" xfId="3347"/>
    <cellStyle name="Porcentaje 2 2 3 2 2 4 2 2" xfId="3348"/>
    <cellStyle name="Porcentaje 2 2 3 2 2 4 3" xfId="3349"/>
    <cellStyle name="Porcentaje 2 2 3 2 2 5" xfId="3350"/>
    <cellStyle name="Porcentaje 2 2 3 2 2 5 2" xfId="3351"/>
    <cellStyle name="Porcentaje 2 2 3 2 2 6" xfId="3352"/>
    <cellStyle name="Porcentaje 2 2 3 2 3" xfId="3353"/>
    <cellStyle name="Porcentaje 2 2 3 2 3 2" xfId="3354"/>
    <cellStyle name="Porcentaje 2 2 3 2 4" xfId="3355"/>
    <cellStyle name="Porcentaje 2 2 3 3" xfId="3356"/>
    <cellStyle name="Porcentaje 2 2 3 3 2" xfId="3357"/>
    <cellStyle name="Porcentaje 2 2 3 4" xfId="3358"/>
    <cellStyle name="Porcentaje 2 2 4" xfId="3359"/>
    <cellStyle name="Porcentaje 2 2 4 2" xfId="3360"/>
    <cellStyle name="Porcentaje 2 2 5" xfId="3361"/>
    <cellStyle name="Porcentaje 2 2 6" xfId="3362"/>
    <cellStyle name="Porcentaje 2 3" xfId="3363"/>
    <cellStyle name="Porcentaje 3" xfId="741"/>
    <cellStyle name="Porcentaje 3 2" xfId="742"/>
    <cellStyle name="Porcentaje 3 2 2" xfId="743"/>
    <cellStyle name="Porcentaje 3 2 2 2" xfId="3364"/>
    <cellStyle name="Porcentaje 3 2 3" xfId="3365"/>
    <cellStyle name="Porcentaje 3 3" xfId="744"/>
    <cellStyle name="Porcentaje 3 3 2" xfId="3366"/>
    <cellStyle name="Porcentaje 3 4" xfId="3367"/>
    <cellStyle name="Porcentaje 4" xfId="745"/>
    <cellStyle name="Porcentaje 4 2" xfId="746"/>
    <cellStyle name="Porcentaje 4 2 2" xfId="3368"/>
    <cellStyle name="Porcentaje 4 2 2 2" xfId="3369"/>
    <cellStyle name="Porcentaje 4 2 3" xfId="3370"/>
    <cellStyle name="Porcentaje 4 3" xfId="3371"/>
    <cellStyle name="Porcentaje 4 3 2" xfId="3372"/>
    <cellStyle name="Porcentaje 4 3 2 2" xfId="3373"/>
    <cellStyle name="Porcentaje 4 3 3" xfId="3374"/>
    <cellStyle name="Porcentaje 4 4" xfId="3375"/>
    <cellStyle name="Porcentaje 4 4 2" xfId="3376"/>
    <cellStyle name="Porcentaje 4 4 2 2" xfId="3377"/>
    <cellStyle name="Porcentaje 4 4 2 2 2" xfId="3378"/>
    <cellStyle name="Porcentaje 4 4 2 3" xfId="3379"/>
    <cellStyle name="Porcentaje 4 4 3" xfId="3380"/>
    <cellStyle name="Porcentaje 4 4 3 2" xfId="3381"/>
    <cellStyle name="Porcentaje 4 4 4" xfId="3382"/>
    <cellStyle name="Porcentaje 4 5" xfId="3383"/>
    <cellStyle name="Porcentaje 4 5 2" xfId="3384"/>
    <cellStyle name="Porcentaje 4 6" xfId="3385"/>
    <cellStyle name="Porcentaje 5" xfId="747"/>
    <cellStyle name="Porcentaje 6" xfId="748"/>
    <cellStyle name="Porcentaje 6 2" xfId="749"/>
    <cellStyle name="Porcentaje 7" xfId="750"/>
    <cellStyle name="Porcentaje 7 2" xfId="751"/>
    <cellStyle name="Porcentaje 8" xfId="752"/>
    <cellStyle name="Porcentaje 8 2" xfId="753"/>
    <cellStyle name="Porcentaje 8 2 2" xfId="754"/>
    <cellStyle name="Porcentaje 8 3" xfId="755"/>
    <cellStyle name="Porcentaje 9" xfId="3386"/>
    <cellStyle name="Porcentual" xfId="176" builtinId="5"/>
    <cellStyle name="Porcentual 10" xfId="222"/>
    <cellStyle name="Porcentual 10 10" xfId="3387"/>
    <cellStyle name="Porcentual 10 2" xfId="383"/>
    <cellStyle name="Porcentual 10 2 2" xfId="3388"/>
    <cellStyle name="Porcentual 10 3" xfId="756"/>
    <cellStyle name="Porcentual 10 3 2" xfId="3389"/>
    <cellStyle name="Porcentual 10 3 2 2" xfId="3390"/>
    <cellStyle name="Porcentual 10 3 2 2 2" xfId="3391"/>
    <cellStyle name="Porcentual 10 3 2 3" xfId="3392"/>
    <cellStyle name="Porcentual 10 3 3" xfId="3393"/>
    <cellStyle name="Porcentual 10 3 3 2" xfId="3394"/>
    <cellStyle name="Porcentual 10 3 4" xfId="3395"/>
    <cellStyle name="Porcentual 10 4" xfId="3396"/>
    <cellStyle name="Porcentual 10 4 2" xfId="3397"/>
    <cellStyle name="Porcentual 10 4 2 2" xfId="3398"/>
    <cellStyle name="Porcentual 10 4 2 2 2" xfId="3399"/>
    <cellStyle name="Porcentual 10 4 2 3" xfId="3400"/>
    <cellStyle name="Porcentual 10 4 3" xfId="3401"/>
    <cellStyle name="Porcentual 10 4 3 2" xfId="3402"/>
    <cellStyle name="Porcentual 10 4 4" xfId="3403"/>
    <cellStyle name="Porcentual 10 5" xfId="3404"/>
    <cellStyle name="Porcentual 10 5 2" xfId="3405"/>
    <cellStyle name="Porcentual 10 5 2 2" xfId="3406"/>
    <cellStyle name="Porcentual 10 5 2 2 2" xfId="3407"/>
    <cellStyle name="Porcentual 10 5 2 3" xfId="3408"/>
    <cellStyle name="Porcentual 10 5 3" xfId="3409"/>
    <cellStyle name="Porcentual 10 5 3 2" xfId="3410"/>
    <cellStyle name="Porcentual 10 5 4" xfId="3411"/>
    <cellStyle name="Porcentual 10 6" xfId="3412"/>
    <cellStyle name="Porcentual 10 6 2" xfId="3413"/>
    <cellStyle name="Porcentual 10 6 2 2" xfId="3414"/>
    <cellStyle name="Porcentual 10 6 2 2 2" xfId="3415"/>
    <cellStyle name="Porcentual 10 6 2 3" xfId="3416"/>
    <cellStyle name="Porcentual 10 6 3" xfId="3417"/>
    <cellStyle name="Porcentual 10 6 3 2" xfId="3418"/>
    <cellStyle name="Porcentual 10 6 4" xfId="3419"/>
    <cellStyle name="Porcentual 10 7" xfId="3420"/>
    <cellStyle name="Porcentual 10 7 2" xfId="3421"/>
    <cellStyle name="Porcentual 10 7 2 2" xfId="3422"/>
    <cellStyle name="Porcentual 10 7 2 2 2" xfId="3423"/>
    <cellStyle name="Porcentual 10 7 2 3" xfId="3424"/>
    <cellStyle name="Porcentual 10 7 3" xfId="3425"/>
    <cellStyle name="Porcentual 10 7 3 2" xfId="3426"/>
    <cellStyle name="Porcentual 10 7 4" xfId="3427"/>
    <cellStyle name="Porcentual 10 8" xfId="3428"/>
    <cellStyle name="Porcentual 10 8 2" xfId="3429"/>
    <cellStyle name="Porcentual 10 8 2 2" xfId="3430"/>
    <cellStyle name="Porcentual 10 8 3" xfId="3431"/>
    <cellStyle name="Porcentual 10 9" xfId="3432"/>
    <cellStyle name="Porcentual 10 9 2" xfId="3433"/>
    <cellStyle name="Porcentual 11" xfId="237"/>
    <cellStyle name="Porcentual 11 2" xfId="252"/>
    <cellStyle name="Porcentual 2" xfId="177"/>
    <cellStyle name="Porcentual 2 2" xfId="207"/>
    <cellStyle name="Porcentual 3" xfId="178"/>
    <cellStyle name="Porcentual 3 2" xfId="179"/>
    <cellStyle name="Porcentual 3 2 10" xfId="3434"/>
    <cellStyle name="Porcentual 3 2 2" xfId="384"/>
    <cellStyle name="Porcentual 3 2 2 2" xfId="757"/>
    <cellStyle name="Porcentual 3 2 2 2 2" xfId="758"/>
    <cellStyle name="Porcentual 3 2 2 3" xfId="759"/>
    <cellStyle name="Porcentual 3 2 3" xfId="760"/>
    <cellStyle name="Porcentual 3 2 3 2" xfId="761"/>
    <cellStyle name="Porcentual 3 2 3 2 2" xfId="3435"/>
    <cellStyle name="Porcentual 3 2 3 2 2 2" xfId="3436"/>
    <cellStyle name="Porcentual 3 2 3 2 3" xfId="3437"/>
    <cellStyle name="Porcentual 3 2 3 3" xfId="3438"/>
    <cellStyle name="Porcentual 3 2 3 3 2" xfId="3439"/>
    <cellStyle name="Porcentual 3 2 3 4" xfId="3440"/>
    <cellStyle name="Porcentual 3 2 4" xfId="762"/>
    <cellStyle name="Porcentual 3 2 4 2" xfId="763"/>
    <cellStyle name="Porcentual 3 2 4 2 2" xfId="3441"/>
    <cellStyle name="Porcentual 3 2 4 2 2 2" xfId="3442"/>
    <cellStyle name="Porcentual 3 2 4 2 3" xfId="3443"/>
    <cellStyle name="Porcentual 3 2 4 3" xfId="3444"/>
    <cellStyle name="Porcentual 3 2 4 3 2" xfId="3445"/>
    <cellStyle name="Porcentual 3 2 4 4" xfId="3446"/>
    <cellStyle name="Porcentual 3 2 5" xfId="764"/>
    <cellStyle name="Porcentual 3 2 5 2" xfId="3447"/>
    <cellStyle name="Porcentual 3 2 5 2 2" xfId="3448"/>
    <cellStyle name="Porcentual 3 2 5 2 2 2" xfId="3449"/>
    <cellStyle name="Porcentual 3 2 5 2 3" xfId="3450"/>
    <cellStyle name="Porcentual 3 2 5 3" xfId="3451"/>
    <cellStyle name="Porcentual 3 2 5 3 2" xfId="3452"/>
    <cellStyle name="Porcentual 3 2 5 4" xfId="3453"/>
    <cellStyle name="Porcentual 3 2 6" xfId="3454"/>
    <cellStyle name="Porcentual 3 2 6 2" xfId="3455"/>
    <cellStyle name="Porcentual 3 2 6 2 2" xfId="3456"/>
    <cellStyle name="Porcentual 3 2 6 2 2 2" xfId="3457"/>
    <cellStyle name="Porcentual 3 2 6 2 3" xfId="3458"/>
    <cellStyle name="Porcentual 3 2 6 3" xfId="3459"/>
    <cellStyle name="Porcentual 3 2 6 3 2" xfId="3460"/>
    <cellStyle name="Porcentual 3 2 6 4" xfId="3461"/>
    <cellStyle name="Porcentual 3 2 7" xfId="3462"/>
    <cellStyle name="Porcentual 3 2 7 2" xfId="3463"/>
    <cellStyle name="Porcentual 3 2 7 2 2" xfId="3464"/>
    <cellStyle name="Porcentual 3 2 7 2 2 2" xfId="3465"/>
    <cellStyle name="Porcentual 3 2 7 2 3" xfId="3466"/>
    <cellStyle name="Porcentual 3 2 7 3" xfId="3467"/>
    <cellStyle name="Porcentual 3 2 7 3 2" xfId="3468"/>
    <cellStyle name="Porcentual 3 2 7 4" xfId="3469"/>
    <cellStyle name="Porcentual 3 2 8" xfId="3470"/>
    <cellStyle name="Porcentual 3 2 8 2" xfId="3471"/>
    <cellStyle name="Porcentual 3 2 8 2 2" xfId="3472"/>
    <cellStyle name="Porcentual 3 2 8 3" xfId="3473"/>
    <cellStyle name="Porcentual 3 2 9" xfId="3474"/>
    <cellStyle name="Porcentual 3 2 9 2" xfId="3475"/>
    <cellStyle name="Porcentual 3 3" xfId="208"/>
    <cellStyle name="Porcentual 3 3 2" xfId="765"/>
    <cellStyle name="Porcentual 3 3 2 2" xfId="766"/>
    <cellStyle name="Porcentual 3 3 3" xfId="767"/>
    <cellStyle name="Porcentual 3 3 4" xfId="768"/>
    <cellStyle name="Porcentual 3 4" xfId="769"/>
    <cellStyle name="Porcentual 3 4 2" xfId="770"/>
    <cellStyle name="Porcentual 3 5" xfId="771"/>
    <cellStyle name="Porcentual 3 6" xfId="772"/>
    <cellStyle name="Porcentual 4" xfId="180"/>
    <cellStyle name="Porcentual 4 2" xfId="181"/>
    <cellStyle name="Porcentual 4 2 2" xfId="3476"/>
    <cellStyle name="Porcentual 4 2 2 2" xfId="3477"/>
    <cellStyle name="Porcentual 4 2 3" xfId="3478"/>
    <cellStyle name="Porcentual 4 3" xfId="3479"/>
    <cellStyle name="Porcentual 4 3 2" xfId="3480"/>
    <cellStyle name="Porcentual 4 4" xfId="3481"/>
    <cellStyle name="Porcentual 5" xfId="182"/>
    <cellStyle name="Porcentual 5 10" xfId="3482"/>
    <cellStyle name="Porcentual 5 2" xfId="385"/>
    <cellStyle name="Porcentual 5 2 2" xfId="773"/>
    <cellStyle name="Porcentual 5 2 2 2" xfId="774"/>
    <cellStyle name="Porcentual 5 2 3" xfId="775"/>
    <cellStyle name="Porcentual 5 3" xfId="776"/>
    <cellStyle name="Porcentual 5 3 2" xfId="777"/>
    <cellStyle name="Porcentual 5 3 2 2" xfId="3483"/>
    <cellStyle name="Porcentual 5 3 2 2 2" xfId="3484"/>
    <cellStyle name="Porcentual 5 3 2 3" xfId="3485"/>
    <cellStyle name="Porcentual 5 3 3" xfId="3486"/>
    <cellStyle name="Porcentual 5 3 3 2" xfId="3487"/>
    <cellStyle name="Porcentual 5 3 4" xfId="3488"/>
    <cellStyle name="Porcentual 5 4" xfId="778"/>
    <cellStyle name="Porcentual 5 4 2" xfId="779"/>
    <cellStyle name="Porcentual 5 4 2 2" xfId="3489"/>
    <cellStyle name="Porcentual 5 4 2 2 2" xfId="3490"/>
    <cellStyle name="Porcentual 5 4 2 3" xfId="3491"/>
    <cellStyle name="Porcentual 5 4 3" xfId="3492"/>
    <cellStyle name="Porcentual 5 4 3 2" xfId="3493"/>
    <cellStyle name="Porcentual 5 4 4" xfId="3494"/>
    <cellStyle name="Porcentual 5 5" xfId="780"/>
    <cellStyle name="Porcentual 5 5 2" xfId="3495"/>
    <cellStyle name="Porcentual 5 5 2 2" xfId="3496"/>
    <cellStyle name="Porcentual 5 5 2 2 2" xfId="3497"/>
    <cellStyle name="Porcentual 5 5 2 3" xfId="3498"/>
    <cellStyle name="Porcentual 5 5 3" xfId="3499"/>
    <cellStyle name="Porcentual 5 5 3 2" xfId="3500"/>
    <cellStyle name="Porcentual 5 5 4" xfId="3501"/>
    <cellStyle name="Porcentual 5 6" xfId="3502"/>
    <cellStyle name="Porcentual 5 6 2" xfId="3503"/>
    <cellStyle name="Porcentual 5 6 2 2" xfId="3504"/>
    <cellStyle name="Porcentual 5 6 2 2 2" xfId="3505"/>
    <cellStyle name="Porcentual 5 6 2 3" xfId="3506"/>
    <cellStyle name="Porcentual 5 6 3" xfId="3507"/>
    <cellStyle name="Porcentual 5 6 3 2" xfId="3508"/>
    <cellStyle name="Porcentual 5 6 4" xfId="3509"/>
    <cellStyle name="Porcentual 5 7" xfId="3510"/>
    <cellStyle name="Porcentual 5 7 2" xfId="3511"/>
    <cellStyle name="Porcentual 5 7 2 2" xfId="3512"/>
    <cellStyle name="Porcentual 5 7 2 2 2" xfId="3513"/>
    <cellStyle name="Porcentual 5 7 2 3" xfId="3514"/>
    <cellStyle name="Porcentual 5 7 3" xfId="3515"/>
    <cellStyle name="Porcentual 5 7 3 2" xfId="3516"/>
    <cellStyle name="Porcentual 5 7 4" xfId="3517"/>
    <cellStyle name="Porcentual 5 8" xfId="3518"/>
    <cellStyle name="Porcentual 5 8 2" xfId="3519"/>
    <cellStyle name="Porcentual 5 8 2 2" xfId="3520"/>
    <cellStyle name="Porcentual 5 8 3" xfId="3521"/>
    <cellStyle name="Porcentual 5 9" xfId="3522"/>
    <cellStyle name="Porcentual 5 9 2" xfId="3523"/>
    <cellStyle name="Porcentual 6" xfId="183"/>
    <cellStyle name="Porcentual 6 2" xfId="781"/>
    <cellStyle name="Porcentual 7" xfId="184"/>
    <cellStyle name="Porcentual 7 2" xfId="782"/>
    <cellStyle name="Porcentual 7 2 2" xfId="783"/>
    <cellStyle name="Porcentual 7 3" xfId="784"/>
    <cellStyle name="Porcentual 7 4" xfId="785"/>
    <cellStyle name="Porcentual 8" xfId="185"/>
    <cellStyle name="Porcentual 8 2" xfId="223"/>
    <cellStyle name="Porcentual 9" xfId="210"/>
    <cellStyle name="Porcentual 9 2" xfId="228"/>
    <cellStyle name="Salida 2" xfId="186"/>
    <cellStyle name="Salida 2 2" xfId="232"/>
    <cellStyle name="Salida 2 2 2" xfId="254"/>
    <cellStyle name="Salida 2 2 2 10" xfId="3524"/>
    <cellStyle name="Salida 2 2 2 11" xfId="3525"/>
    <cellStyle name="Salida 2 2 2 2" xfId="279"/>
    <cellStyle name="Salida 2 2 2 2 2" xfId="3526"/>
    <cellStyle name="Salida 2 2 2 2 3" xfId="3527"/>
    <cellStyle name="Salida 2 2 2 2 4" xfId="3528"/>
    <cellStyle name="Salida 2 2 2 2 5" xfId="3529"/>
    <cellStyle name="Salida 2 2 2 3" xfId="297"/>
    <cellStyle name="Salida 2 2 2 3 2" xfId="3530"/>
    <cellStyle name="Salida 2 2 2 3 3" xfId="3531"/>
    <cellStyle name="Salida 2 2 2 3 4" xfId="3532"/>
    <cellStyle name="Salida 2 2 2 3 5" xfId="3533"/>
    <cellStyle name="Salida 2 2 2 4" xfId="329"/>
    <cellStyle name="Salida 2 2 2 4 2" xfId="3534"/>
    <cellStyle name="Salida 2 2 2 4 3" xfId="3535"/>
    <cellStyle name="Salida 2 2 2 4 4" xfId="3536"/>
    <cellStyle name="Salida 2 2 2 4 5" xfId="3537"/>
    <cellStyle name="Salida 2 2 2 5" xfId="341"/>
    <cellStyle name="Salida 2 2 2 5 2" xfId="3538"/>
    <cellStyle name="Salida 2 2 2 5 3" xfId="3539"/>
    <cellStyle name="Salida 2 2 2 5 4" xfId="3540"/>
    <cellStyle name="Salida 2 2 2 5 5" xfId="3541"/>
    <cellStyle name="Salida 2 2 2 6" xfId="357"/>
    <cellStyle name="Salida 2 2 2 6 2" xfId="3542"/>
    <cellStyle name="Salida 2 2 2 6 3" xfId="3543"/>
    <cellStyle name="Salida 2 2 2 6 4" xfId="3544"/>
    <cellStyle name="Salida 2 2 2 6 5" xfId="3545"/>
    <cellStyle name="Salida 2 2 2 7" xfId="373"/>
    <cellStyle name="Salida 2 2 2 7 2" xfId="3546"/>
    <cellStyle name="Salida 2 2 2 7 3" xfId="3547"/>
    <cellStyle name="Salida 2 2 2 7 4" xfId="3548"/>
    <cellStyle name="Salida 2 2 2 7 5" xfId="3549"/>
    <cellStyle name="Salida 2 2 2 8" xfId="3550"/>
    <cellStyle name="Salida 2 2 2 9" xfId="3551"/>
    <cellStyle name="Salida 2 2 3" xfId="311"/>
    <cellStyle name="Salida 2 2 3 2" xfId="3552"/>
    <cellStyle name="Salida 2 2 3 3" xfId="3553"/>
    <cellStyle name="Salida 2 2 3 4" xfId="3554"/>
    <cellStyle name="Salida 2 2 3 5" xfId="3555"/>
    <cellStyle name="Salida 2 2 4" xfId="408"/>
    <cellStyle name="Salida 2 2 4 2" xfId="3556"/>
    <cellStyle name="Salida 2 2 4 3" xfId="3557"/>
    <cellStyle name="Salida 2 2 4 4" xfId="3558"/>
    <cellStyle name="Salida 2 2 4 5" xfId="3559"/>
    <cellStyle name="Salida 2 2 5" xfId="412"/>
    <cellStyle name="Salida 2 2 5 2" xfId="3560"/>
    <cellStyle name="Salida 2 2 5 3" xfId="3561"/>
    <cellStyle name="Salida 2 2 5 4" xfId="3562"/>
    <cellStyle name="Salida 2 2 5 5" xfId="3563"/>
    <cellStyle name="Salida 2 2 6" xfId="424"/>
    <cellStyle name="Salida 2 2 6 2" xfId="3564"/>
    <cellStyle name="Salida 2 2 6 3" xfId="3565"/>
    <cellStyle name="Salida 2 2 6 4" xfId="3566"/>
    <cellStyle name="Salida 2 2 6 5" xfId="3567"/>
    <cellStyle name="Salida 2 3" xfId="224"/>
    <cellStyle name="Salida 2 3 2" xfId="255"/>
    <cellStyle name="Salida 2 3 2 10" xfId="3568"/>
    <cellStyle name="Salida 2 3 2 11" xfId="3569"/>
    <cellStyle name="Salida 2 3 2 2" xfId="280"/>
    <cellStyle name="Salida 2 3 2 2 2" xfId="3570"/>
    <cellStyle name="Salida 2 3 2 2 3" xfId="3571"/>
    <cellStyle name="Salida 2 3 2 2 4" xfId="3572"/>
    <cellStyle name="Salida 2 3 2 2 5" xfId="3573"/>
    <cellStyle name="Salida 2 3 2 3" xfId="298"/>
    <cellStyle name="Salida 2 3 2 3 2" xfId="3574"/>
    <cellStyle name="Salida 2 3 2 3 3" xfId="3575"/>
    <cellStyle name="Salida 2 3 2 3 4" xfId="3576"/>
    <cellStyle name="Salida 2 3 2 3 5" xfId="3577"/>
    <cellStyle name="Salida 2 3 2 4" xfId="330"/>
    <cellStyle name="Salida 2 3 2 4 2" xfId="3578"/>
    <cellStyle name="Salida 2 3 2 4 3" xfId="3579"/>
    <cellStyle name="Salida 2 3 2 4 4" xfId="3580"/>
    <cellStyle name="Salida 2 3 2 4 5" xfId="3581"/>
    <cellStyle name="Salida 2 3 2 5" xfId="342"/>
    <cellStyle name="Salida 2 3 2 5 2" xfId="3582"/>
    <cellStyle name="Salida 2 3 2 5 3" xfId="3583"/>
    <cellStyle name="Salida 2 3 2 5 4" xfId="3584"/>
    <cellStyle name="Salida 2 3 2 5 5" xfId="3585"/>
    <cellStyle name="Salida 2 3 2 6" xfId="358"/>
    <cellStyle name="Salida 2 3 2 6 2" xfId="3586"/>
    <cellStyle name="Salida 2 3 2 6 3" xfId="3587"/>
    <cellStyle name="Salida 2 3 2 6 4" xfId="3588"/>
    <cellStyle name="Salida 2 3 2 6 5" xfId="3589"/>
    <cellStyle name="Salida 2 3 2 7" xfId="374"/>
    <cellStyle name="Salida 2 3 2 7 2" xfId="3590"/>
    <cellStyle name="Salida 2 3 2 7 3" xfId="3591"/>
    <cellStyle name="Salida 2 3 2 7 4" xfId="3592"/>
    <cellStyle name="Salida 2 3 2 7 5" xfId="3593"/>
    <cellStyle name="Salida 2 3 2 8" xfId="3594"/>
    <cellStyle name="Salida 2 3 2 9" xfId="3595"/>
    <cellStyle name="Salida 2 3 3" xfId="314"/>
    <cellStyle name="Salida 2 3 3 2" xfId="3596"/>
    <cellStyle name="Salida 2 3 3 3" xfId="3597"/>
    <cellStyle name="Salida 2 3 3 4" xfId="3598"/>
    <cellStyle name="Salida 2 3 3 5" xfId="3599"/>
    <cellStyle name="Salida 2 3 4" xfId="409"/>
    <cellStyle name="Salida 2 3 4 2" xfId="3600"/>
    <cellStyle name="Salida 2 3 4 3" xfId="3601"/>
    <cellStyle name="Salida 2 3 4 4" xfId="3602"/>
    <cellStyle name="Salida 2 3 4 5" xfId="3603"/>
    <cellStyle name="Salida 2 3 5" xfId="413"/>
    <cellStyle name="Salida 2 3 5 2" xfId="3604"/>
    <cellStyle name="Salida 2 3 5 3" xfId="3605"/>
    <cellStyle name="Salida 2 3 5 4" xfId="3606"/>
    <cellStyle name="Salida 2 3 5 5" xfId="3607"/>
    <cellStyle name="Salida 2 3 6" xfId="425"/>
    <cellStyle name="Salida 2 3 6 2" xfId="3608"/>
    <cellStyle name="Salida 2 3 6 3" xfId="3609"/>
    <cellStyle name="Salida 2 3 6 4" xfId="3610"/>
    <cellStyle name="Salida 2 3 6 5" xfId="3611"/>
    <cellStyle name="Salida 2 4" xfId="253"/>
    <cellStyle name="Salida 2 4 2" xfId="265"/>
    <cellStyle name="Salida 2 4 2 2" xfId="3612"/>
    <cellStyle name="Salida 2 4 2 3" xfId="3613"/>
    <cellStyle name="Salida 2 4 2 4" xfId="3614"/>
    <cellStyle name="Salida 2 4 2 5" xfId="3615"/>
    <cellStyle name="Salida 2 4 3" xfId="288"/>
    <cellStyle name="Salida 2 4 3 2" xfId="3616"/>
    <cellStyle name="Salida 2 4 3 3" xfId="3617"/>
    <cellStyle name="Salida 2 4 3 4" xfId="3618"/>
    <cellStyle name="Salida 2 4 3 5" xfId="3619"/>
    <cellStyle name="Salida 2 4 4" xfId="320"/>
    <cellStyle name="Salida 2 4 4 2" xfId="3620"/>
    <cellStyle name="Salida 2 4 4 3" xfId="3621"/>
    <cellStyle name="Salida 2 4 4 4" xfId="3622"/>
    <cellStyle name="Salida 2 4 4 5" xfId="3623"/>
    <cellStyle name="Salida 2 4 5" xfId="303"/>
    <cellStyle name="Salida 2 4 5 2" xfId="3624"/>
    <cellStyle name="Salida 2 4 5 3" xfId="3625"/>
    <cellStyle name="Salida 2 4 5 4" xfId="3626"/>
    <cellStyle name="Salida 2 4 5 5" xfId="3627"/>
    <cellStyle name="Salida 2 4 6" xfId="348"/>
    <cellStyle name="Salida 2 4 6 2" xfId="3628"/>
    <cellStyle name="Salida 2 4 6 3" xfId="3629"/>
    <cellStyle name="Salida 2 4 6 4" xfId="3630"/>
    <cellStyle name="Salida 2 4 6 5" xfId="3631"/>
    <cellStyle name="Salida 2 4 7" xfId="364"/>
    <cellStyle name="Salida 2 4 7 2" xfId="3632"/>
    <cellStyle name="Salida 2 4 7 3" xfId="3633"/>
    <cellStyle name="Salida 2 4 7 4" xfId="3634"/>
    <cellStyle name="Salida 2 4 7 5" xfId="3635"/>
    <cellStyle name="Salida 2 4 8" xfId="3636"/>
    <cellStyle name="Salida 2 5" xfId="304"/>
    <cellStyle name="Salida 2 5 2" xfId="3637"/>
    <cellStyle name="Salida 2 5 3" xfId="3638"/>
    <cellStyle name="Salida 2 5 4" xfId="3639"/>
    <cellStyle name="Salida 2 5 5" xfId="3640"/>
    <cellStyle name="Salida 2 6" xfId="391"/>
    <cellStyle name="Salida 2 6 2" xfId="3641"/>
    <cellStyle name="Salida 2 6 3" xfId="3642"/>
    <cellStyle name="Salida 2 6 4" xfId="3643"/>
    <cellStyle name="Salida 2 6 5" xfId="3644"/>
    <cellStyle name="Salida 2 7" xfId="403"/>
    <cellStyle name="Salida 2 7 2" xfId="3645"/>
    <cellStyle name="Salida 2 7 3" xfId="3646"/>
    <cellStyle name="Salida 2 7 4" xfId="3647"/>
    <cellStyle name="Salida 2 7 5" xfId="3648"/>
    <cellStyle name="Salida 2 8" xfId="390"/>
    <cellStyle name="Salida 2 8 2" xfId="3649"/>
    <cellStyle name="Salida 2 8 3" xfId="3650"/>
    <cellStyle name="Salida 2 8 4" xfId="3651"/>
    <cellStyle name="Salida 2 8 5" xfId="3652"/>
    <cellStyle name="Salida 3" xfId="786"/>
    <cellStyle name="Salida 3 2" xfId="787"/>
    <cellStyle name="TableStyleLight1" xfId="450"/>
    <cellStyle name="Texto de advertencia 2" xfId="187"/>
    <cellStyle name="Texto de advertencia 3" xfId="788"/>
    <cellStyle name="Texto explicativo 2" xfId="188"/>
    <cellStyle name="Texto explicativo 3" xfId="789"/>
    <cellStyle name="Título 1 2" xfId="189"/>
    <cellStyle name="Título 1 3" xfId="790"/>
    <cellStyle name="Título 2 2" xfId="190"/>
    <cellStyle name="Título 2 3" xfId="791"/>
    <cellStyle name="Título 3 2" xfId="191"/>
    <cellStyle name="Título 3 3" xfId="792"/>
    <cellStyle name="Título 4" xfId="192"/>
    <cellStyle name="Título 5" xfId="793"/>
    <cellStyle name="Total 2" xfId="193"/>
    <cellStyle name="Total 2 2" xfId="233"/>
    <cellStyle name="Total 2 2 2" xfId="257"/>
    <cellStyle name="Total 2 2 2 10" xfId="3653"/>
    <cellStyle name="Total 2 2 2 11" xfId="3654"/>
    <cellStyle name="Total 2 2 2 2" xfId="281"/>
    <cellStyle name="Total 2 2 2 2 2" xfId="3655"/>
    <cellStyle name="Total 2 2 2 2 3" xfId="3656"/>
    <cellStyle name="Total 2 2 2 2 4" xfId="3657"/>
    <cellStyle name="Total 2 2 2 2 5" xfId="3658"/>
    <cellStyle name="Total 2 2 2 3" xfId="299"/>
    <cellStyle name="Total 2 2 2 3 2" xfId="3659"/>
    <cellStyle name="Total 2 2 2 3 3" xfId="3660"/>
    <cellStyle name="Total 2 2 2 3 4" xfId="3661"/>
    <cellStyle name="Total 2 2 2 3 5" xfId="3662"/>
    <cellStyle name="Total 2 2 2 4" xfId="331"/>
    <cellStyle name="Total 2 2 2 4 2" xfId="3663"/>
    <cellStyle name="Total 2 2 2 4 3" xfId="3664"/>
    <cellStyle name="Total 2 2 2 4 4" xfId="3665"/>
    <cellStyle name="Total 2 2 2 4 5" xfId="3666"/>
    <cellStyle name="Total 2 2 2 5" xfId="343"/>
    <cellStyle name="Total 2 2 2 5 2" xfId="3667"/>
    <cellStyle name="Total 2 2 2 5 3" xfId="3668"/>
    <cellStyle name="Total 2 2 2 5 4" xfId="3669"/>
    <cellStyle name="Total 2 2 2 5 5" xfId="3670"/>
    <cellStyle name="Total 2 2 2 6" xfId="359"/>
    <cellStyle name="Total 2 2 2 6 2" xfId="3671"/>
    <cellStyle name="Total 2 2 2 6 3" xfId="3672"/>
    <cellStyle name="Total 2 2 2 6 4" xfId="3673"/>
    <cellStyle name="Total 2 2 2 6 5" xfId="3674"/>
    <cellStyle name="Total 2 2 2 7" xfId="375"/>
    <cellStyle name="Total 2 2 2 7 2" xfId="3675"/>
    <cellStyle name="Total 2 2 2 7 3" xfId="3676"/>
    <cellStyle name="Total 2 2 2 7 4" xfId="3677"/>
    <cellStyle name="Total 2 2 2 7 5" xfId="3678"/>
    <cellStyle name="Total 2 2 2 8" xfId="3679"/>
    <cellStyle name="Total 2 2 2 9" xfId="3680"/>
    <cellStyle name="Total 2 2 3" xfId="333"/>
    <cellStyle name="Total 2 2 3 2" xfId="3681"/>
    <cellStyle name="Total 2 2 3 3" xfId="3682"/>
    <cellStyle name="Total 2 2 3 4" xfId="3683"/>
    <cellStyle name="Total 2 2 3 5" xfId="3684"/>
    <cellStyle name="Total 2 2 4" xfId="406"/>
    <cellStyle name="Total 2 2 4 2" xfId="3685"/>
    <cellStyle name="Total 2 2 4 3" xfId="3686"/>
    <cellStyle name="Total 2 2 4 4" xfId="3687"/>
    <cellStyle name="Total 2 2 4 5" xfId="3688"/>
    <cellStyle name="Total 2 2 5" xfId="414"/>
    <cellStyle name="Total 2 2 5 2" xfId="3689"/>
    <cellStyle name="Total 2 2 5 3" xfId="3690"/>
    <cellStyle name="Total 2 2 5 4" xfId="3691"/>
    <cellStyle name="Total 2 2 5 5" xfId="3692"/>
    <cellStyle name="Total 2 2 6" xfId="426"/>
    <cellStyle name="Total 2 2 6 2" xfId="3693"/>
    <cellStyle name="Total 2 2 6 3" xfId="3694"/>
    <cellStyle name="Total 2 2 6 4" xfId="3695"/>
    <cellStyle name="Total 2 2 6 5" xfId="3696"/>
    <cellStyle name="Total 2 3" xfId="225"/>
    <cellStyle name="Total 2 3 2" xfId="258"/>
    <cellStyle name="Total 2 3 2 10" xfId="3697"/>
    <cellStyle name="Total 2 3 2 11" xfId="3698"/>
    <cellStyle name="Total 2 3 2 2" xfId="282"/>
    <cellStyle name="Total 2 3 2 2 2" xfId="3699"/>
    <cellStyle name="Total 2 3 2 2 3" xfId="3700"/>
    <cellStyle name="Total 2 3 2 2 4" xfId="3701"/>
    <cellStyle name="Total 2 3 2 2 5" xfId="3702"/>
    <cellStyle name="Total 2 3 2 3" xfId="300"/>
    <cellStyle name="Total 2 3 2 3 2" xfId="3703"/>
    <cellStyle name="Total 2 3 2 3 3" xfId="3704"/>
    <cellStyle name="Total 2 3 2 3 4" xfId="3705"/>
    <cellStyle name="Total 2 3 2 3 5" xfId="3706"/>
    <cellStyle name="Total 2 3 2 4" xfId="332"/>
    <cellStyle name="Total 2 3 2 4 2" xfId="3707"/>
    <cellStyle name="Total 2 3 2 4 3" xfId="3708"/>
    <cellStyle name="Total 2 3 2 4 4" xfId="3709"/>
    <cellStyle name="Total 2 3 2 4 5" xfId="3710"/>
    <cellStyle name="Total 2 3 2 5" xfId="344"/>
    <cellStyle name="Total 2 3 2 5 2" xfId="3711"/>
    <cellStyle name="Total 2 3 2 5 3" xfId="3712"/>
    <cellStyle name="Total 2 3 2 5 4" xfId="3713"/>
    <cellStyle name="Total 2 3 2 5 5" xfId="3714"/>
    <cellStyle name="Total 2 3 2 6" xfId="360"/>
    <cellStyle name="Total 2 3 2 6 2" xfId="3715"/>
    <cellStyle name="Total 2 3 2 6 3" xfId="3716"/>
    <cellStyle name="Total 2 3 2 6 4" xfId="3717"/>
    <cellStyle name="Total 2 3 2 6 5" xfId="3718"/>
    <cellStyle name="Total 2 3 2 7" xfId="376"/>
    <cellStyle name="Total 2 3 2 7 2" xfId="3719"/>
    <cellStyle name="Total 2 3 2 7 3" xfId="3720"/>
    <cellStyle name="Total 2 3 2 7 4" xfId="3721"/>
    <cellStyle name="Total 2 3 2 7 5" xfId="3722"/>
    <cellStyle name="Total 2 3 2 8" xfId="3723"/>
    <cellStyle name="Total 2 3 2 9" xfId="3724"/>
    <cellStyle name="Total 2 3 3" xfId="334"/>
    <cellStyle name="Total 2 3 3 2" xfId="3725"/>
    <cellStyle name="Total 2 3 3 3" xfId="3726"/>
    <cellStyle name="Total 2 3 3 4" xfId="3727"/>
    <cellStyle name="Total 2 3 3 5" xfId="3728"/>
    <cellStyle name="Total 2 3 4" xfId="407"/>
    <cellStyle name="Total 2 3 4 2" xfId="3729"/>
    <cellStyle name="Total 2 3 4 3" xfId="3730"/>
    <cellStyle name="Total 2 3 4 4" xfId="3731"/>
    <cellStyle name="Total 2 3 4 5" xfId="3732"/>
    <cellStyle name="Total 2 3 5" xfId="415"/>
    <cellStyle name="Total 2 3 5 2" xfId="3733"/>
    <cellStyle name="Total 2 3 5 3" xfId="3734"/>
    <cellStyle name="Total 2 3 5 4" xfId="3735"/>
    <cellStyle name="Total 2 3 5 5" xfId="3736"/>
    <cellStyle name="Total 2 3 6" xfId="427"/>
    <cellStyle name="Total 2 3 6 2" xfId="3737"/>
    <cellStyle name="Total 2 3 6 3" xfId="3738"/>
    <cellStyle name="Total 2 3 6 4" xfId="3739"/>
    <cellStyle name="Total 2 3 6 5" xfId="3740"/>
    <cellStyle name="Total 2 4" xfId="256"/>
    <cellStyle name="Total 2 4 2" xfId="264"/>
    <cellStyle name="Total 2 4 2 2" xfId="3741"/>
    <cellStyle name="Total 2 4 2 3" xfId="3742"/>
    <cellStyle name="Total 2 4 2 4" xfId="3743"/>
    <cellStyle name="Total 2 4 2 5" xfId="3744"/>
    <cellStyle name="Total 2 4 3" xfId="289"/>
    <cellStyle name="Total 2 4 3 2" xfId="3745"/>
    <cellStyle name="Total 2 4 3 3" xfId="3746"/>
    <cellStyle name="Total 2 4 3 4" xfId="3747"/>
    <cellStyle name="Total 2 4 3 5" xfId="3748"/>
    <cellStyle name="Total 2 4 4" xfId="321"/>
    <cellStyle name="Total 2 4 4 2" xfId="3749"/>
    <cellStyle name="Total 2 4 4 3" xfId="3750"/>
    <cellStyle name="Total 2 4 4 4" xfId="3751"/>
    <cellStyle name="Total 2 4 4 5" xfId="3752"/>
    <cellStyle name="Total 2 4 5" xfId="307"/>
    <cellStyle name="Total 2 4 5 2" xfId="3753"/>
    <cellStyle name="Total 2 4 5 3" xfId="3754"/>
    <cellStyle name="Total 2 4 5 4" xfId="3755"/>
    <cellStyle name="Total 2 4 5 5" xfId="3756"/>
    <cellStyle name="Total 2 4 6" xfId="349"/>
    <cellStyle name="Total 2 4 6 2" xfId="3757"/>
    <cellStyle name="Total 2 4 6 3" xfId="3758"/>
    <cellStyle name="Total 2 4 6 4" xfId="3759"/>
    <cellStyle name="Total 2 4 6 5" xfId="3760"/>
    <cellStyle name="Total 2 4 7" xfId="365"/>
    <cellStyle name="Total 2 4 7 2" xfId="3761"/>
    <cellStyle name="Total 2 4 7 3" xfId="3762"/>
    <cellStyle name="Total 2 4 7 4" xfId="3763"/>
    <cellStyle name="Total 2 4 7 5" xfId="3764"/>
    <cellStyle name="Total 2 5" xfId="305"/>
    <cellStyle name="Total 2 5 2" xfId="3765"/>
    <cellStyle name="Total 2 5 3" xfId="3766"/>
    <cellStyle name="Total 2 5 4" xfId="3767"/>
    <cellStyle name="Total 2 5 5" xfId="3768"/>
    <cellStyle name="Total 2 6" xfId="402"/>
    <cellStyle name="Total 2 6 2" xfId="3769"/>
    <cellStyle name="Total 2 6 3" xfId="3770"/>
    <cellStyle name="Total 2 6 4" xfId="3771"/>
    <cellStyle name="Total 2 6 5" xfId="3772"/>
    <cellStyle name="Total 2 7" xfId="392"/>
    <cellStyle name="Total 2 7 2" xfId="3773"/>
    <cellStyle name="Total 2 7 3" xfId="3774"/>
    <cellStyle name="Total 2 7 4" xfId="3775"/>
    <cellStyle name="Total 2 7 5" xfId="3776"/>
    <cellStyle name="Total 2 8" xfId="416"/>
    <cellStyle name="Total 2 8 2" xfId="3777"/>
    <cellStyle name="Total 2 8 3" xfId="3778"/>
    <cellStyle name="Total 2 8 4" xfId="3779"/>
    <cellStyle name="Total 2 8 5" xfId="3780"/>
    <cellStyle name="Total 3" xfId="794"/>
    <cellStyle name="Total 3 2" xfId="795"/>
  </cellStyles>
  <dxfs count="1">
    <dxf>
      <fill>
        <patternFill>
          <bgColor rgb="FFFF0000"/>
        </patternFill>
      </fill>
    </dxf>
  </dxfs>
  <tableStyles count="0" defaultTableStyle="TableStyleMedium9" defaultPivotStyle="PivotStyleLight16"/>
  <colors>
    <mruColors>
      <color rgb="FFFF9900"/>
      <color rgb="FFFFCC00"/>
      <color rgb="FF57A519"/>
      <color rgb="FFCD032E"/>
      <color rgb="FF0072CE"/>
      <color rgb="FFAD25A8"/>
      <color rgb="FFF08200"/>
      <color rgb="FFFFFF66"/>
      <color rgb="FFFFFF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CD032E"/>
                </a:solidFill>
              </a:defRPr>
            </a:pPr>
            <a:r>
              <a:rPr lang="es-MX" sz="1200">
                <a:solidFill>
                  <a:srgbClr val="CD032E"/>
                </a:solidFill>
              </a:rPr>
              <a:t>CSH</a:t>
            </a:r>
          </a:p>
        </c:rich>
      </c:tx>
      <c:layout>
        <c:manualLayout>
          <c:xMode val="edge"/>
          <c:yMode val="edge"/>
          <c:x val="0.457446887559322"/>
          <c:y val="1.6736334635619805E-2"/>
        </c:manualLayout>
      </c:layout>
    </c:title>
    <c:plotArea>
      <c:layout>
        <c:manualLayout>
          <c:layoutTarget val="inner"/>
          <c:xMode val="edge"/>
          <c:yMode val="edge"/>
          <c:x val="3.3485532308505081E-2"/>
          <c:y val="9.9866089084489643E-2"/>
          <c:w val="0.93302893538298992"/>
          <c:h val="0.66336372751321193"/>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extLst xmlns:c16r2="http://schemas.microsoft.com/office/drawing/2015/06/char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extLst xmlns:c16r2="http://schemas.microsoft.com/office/drawing/2015/06/char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5.41765785761087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extLst xmlns:c16r2="http://schemas.microsoft.com/office/drawing/2015/06/chart">
            <c:ext xmlns:c16="http://schemas.microsoft.com/office/drawing/2014/chart" uri="{C3380CC4-5D6E-409C-BE32-E72D297353CC}">
              <c16:uniqueId val="{00000004-1DF6-4B78-87E2-3BE544B8F7BF}"/>
            </c:ext>
          </c:extLst>
        </c:ser>
        <c:dLbls/>
        <c:marker val="1"/>
        <c:axId val="105082240"/>
        <c:axId val="105104512"/>
      </c:lineChart>
      <c:catAx>
        <c:axId val="105082240"/>
        <c:scaling>
          <c:orientation val="minMax"/>
        </c:scaling>
        <c:axPos val="b"/>
        <c:numFmt formatCode="General" sourceLinked="1"/>
        <c:tickLblPos val="nextTo"/>
        <c:txPr>
          <a:bodyPr/>
          <a:lstStyle/>
          <a:p>
            <a:pPr>
              <a:defRPr lang="es-ES" sz="800"/>
            </a:pPr>
            <a:endParaRPr lang="es-MX"/>
          </a:p>
        </c:txPr>
        <c:crossAx val="105104512"/>
        <c:crosses val="autoZero"/>
        <c:auto val="1"/>
        <c:lblAlgn val="ctr"/>
        <c:lblOffset val="100"/>
      </c:catAx>
      <c:valAx>
        <c:axId val="105104512"/>
        <c:scaling>
          <c:orientation val="minMax"/>
        </c:scaling>
        <c:delete val="1"/>
        <c:axPos val="l"/>
        <c:numFmt formatCode="General" sourceLinked="1"/>
        <c:tickLblPos val="none"/>
        <c:crossAx val="105082240"/>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0072CE"/>
                </a:solidFill>
              </a:defRPr>
            </a:pPr>
            <a:r>
              <a:rPr lang="es-MX" sz="1200">
                <a:solidFill>
                  <a:srgbClr val="0072CE"/>
                </a:solidFill>
              </a:rPr>
              <a:t>CBS</a:t>
            </a:r>
          </a:p>
        </c:rich>
      </c:tx>
      <c:layout>
        <c:manualLayout>
          <c:xMode val="edge"/>
          <c:yMode val="edge"/>
          <c:x val="0.46657930546164156"/>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extLst xmlns:c16r2="http://schemas.microsoft.com/office/drawing/2015/06/char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extLst xmlns:c16r2="http://schemas.microsoft.com/office/drawing/2015/06/char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extLst xmlns:c16r2="http://schemas.microsoft.com/office/drawing/2015/06/chart">
            <c:ext xmlns:c16="http://schemas.microsoft.com/office/drawing/2014/chart" uri="{C3380CC4-5D6E-409C-BE32-E72D297353CC}">
              <c16:uniqueId val="{00000002-E9B8-4DC6-866B-C49554062A9F}"/>
            </c:ext>
          </c:extLst>
        </c:ser>
        <c:dLbls/>
        <c:marker val="1"/>
        <c:axId val="107059840"/>
        <c:axId val="107069824"/>
      </c:lineChart>
      <c:catAx>
        <c:axId val="107059840"/>
        <c:scaling>
          <c:orientation val="minMax"/>
        </c:scaling>
        <c:axPos val="b"/>
        <c:numFmt formatCode="General" sourceLinked="1"/>
        <c:tickLblPos val="nextTo"/>
        <c:txPr>
          <a:bodyPr/>
          <a:lstStyle/>
          <a:p>
            <a:pPr>
              <a:defRPr lang="es-ES" sz="800"/>
            </a:pPr>
            <a:endParaRPr lang="es-MX"/>
          </a:p>
        </c:txPr>
        <c:crossAx val="107069824"/>
        <c:crosses val="autoZero"/>
        <c:auto val="1"/>
        <c:lblAlgn val="ctr"/>
        <c:lblOffset val="100"/>
      </c:catAx>
      <c:valAx>
        <c:axId val="107069824"/>
        <c:scaling>
          <c:orientation val="minMax"/>
        </c:scaling>
        <c:delete val="1"/>
        <c:axPos val="l"/>
        <c:numFmt formatCode="General" sourceLinked="1"/>
        <c:tickLblPos val="none"/>
        <c:crossAx val="107059840"/>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0072CE"/>
                </a:solidFill>
              </a:defRPr>
            </a:pPr>
            <a:r>
              <a:rPr lang="es-MX" sz="1200">
                <a:solidFill>
                  <a:srgbClr val="0072CE"/>
                </a:solidFill>
              </a:rPr>
              <a:t>CAD</a:t>
            </a:r>
          </a:p>
        </c:rich>
      </c:tx>
      <c:layout>
        <c:manualLayout>
          <c:xMode val="edge"/>
          <c:yMode val="edge"/>
          <c:x val="0.46657930546164156"/>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extLst xmlns:c16r2="http://schemas.microsoft.com/office/drawing/2015/06/char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extLst xmlns:c16r2="http://schemas.microsoft.com/office/drawing/2015/06/char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extLst xmlns:c16r2="http://schemas.microsoft.com/office/drawing/2015/06/chart">
            <c:ext xmlns:c16="http://schemas.microsoft.com/office/drawing/2014/chart" uri="{C3380CC4-5D6E-409C-BE32-E72D297353CC}">
              <c16:uniqueId val="{00000002-9943-4CE8-B22B-C027380D9C97}"/>
            </c:ext>
          </c:extLst>
        </c:ser>
        <c:dLbls/>
        <c:marker val="1"/>
        <c:axId val="107126784"/>
        <c:axId val="107128320"/>
      </c:lineChart>
      <c:catAx>
        <c:axId val="107126784"/>
        <c:scaling>
          <c:orientation val="minMax"/>
        </c:scaling>
        <c:axPos val="b"/>
        <c:numFmt formatCode="General" sourceLinked="1"/>
        <c:tickLblPos val="nextTo"/>
        <c:txPr>
          <a:bodyPr/>
          <a:lstStyle/>
          <a:p>
            <a:pPr>
              <a:defRPr lang="es-ES" sz="800"/>
            </a:pPr>
            <a:endParaRPr lang="es-MX"/>
          </a:p>
        </c:txPr>
        <c:crossAx val="107128320"/>
        <c:crosses val="autoZero"/>
        <c:auto val="1"/>
        <c:lblAlgn val="ctr"/>
        <c:lblOffset val="100"/>
      </c:catAx>
      <c:valAx>
        <c:axId val="107128320"/>
        <c:scaling>
          <c:orientation val="minMax"/>
        </c:scaling>
        <c:delete val="1"/>
        <c:axPos val="l"/>
        <c:numFmt formatCode="General" sourceLinked="1"/>
        <c:tickLblPos val="none"/>
        <c:crossAx val="107126784"/>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0072CE"/>
                </a:solidFill>
              </a:defRPr>
            </a:pPr>
            <a:r>
              <a:rPr lang="es-MX" sz="1200">
                <a:solidFill>
                  <a:srgbClr val="0072CE"/>
                </a:solidFill>
              </a:rPr>
              <a:t>TOTAL</a:t>
            </a:r>
          </a:p>
        </c:rich>
      </c:tx>
      <c:layout>
        <c:manualLayout>
          <c:xMode val="edge"/>
          <c:yMode val="edge"/>
          <c:x val="0.46657930546164156"/>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extLst xmlns:c16r2="http://schemas.microsoft.com/office/drawing/2015/06/char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346707840619028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51E-2"/>
                  <c:y val="-5.41765785761087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lang="es-ES" sz="800">
                    <a:solidFill>
                      <a:srgbClr val="CC9900"/>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extLst xmlns:c16r2="http://schemas.microsoft.com/office/drawing/2015/06/char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52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52E-2"/>
                  <c:y val="-5.8273173208034955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extLst xmlns:c16r2="http://schemas.microsoft.com/office/drawing/2015/06/chart">
            <c:ext xmlns:c16="http://schemas.microsoft.com/office/drawing/2014/chart" uri="{C3380CC4-5D6E-409C-BE32-E72D297353CC}">
              <c16:uniqueId val="{00000007-F820-4F03-ACCD-EE6A3CD01469}"/>
            </c:ext>
          </c:extLst>
        </c:ser>
        <c:dLbls/>
        <c:marker val="1"/>
        <c:axId val="107244160"/>
        <c:axId val="107282816"/>
      </c:lineChart>
      <c:catAx>
        <c:axId val="107244160"/>
        <c:scaling>
          <c:orientation val="minMax"/>
        </c:scaling>
        <c:axPos val="b"/>
        <c:numFmt formatCode="General" sourceLinked="1"/>
        <c:tickLblPos val="nextTo"/>
        <c:txPr>
          <a:bodyPr/>
          <a:lstStyle/>
          <a:p>
            <a:pPr>
              <a:defRPr lang="es-ES" sz="800"/>
            </a:pPr>
            <a:endParaRPr lang="es-MX"/>
          </a:p>
        </c:txPr>
        <c:crossAx val="107282816"/>
        <c:crosses val="autoZero"/>
        <c:auto val="1"/>
        <c:lblAlgn val="ctr"/>
        <c:lblOffset val="100"/>
      </c:catAx>
      <c:valAx>
        <c:axId val="107282816"/>
        <c:scaling>
          <c:orientation val="minMax"/>
        </c:scaling>
        <c:delete val="1"/>
        <c:axPos val="l"/>
        <c:numFmt formatCode="General" sourceLinked="1"/>
        <c:tickLblPos val="none"/>
        <c:crossAx val="107244160"/>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CD032E"/>
                </a:solidFill>
              </a:defRPr>
            </a:pPr>
            <a:r>
              <a:rPr lang="es-MX" sz="1200">
                <a:solidFill>
                  <a:srgbClr val="CD032E"/>
                </a:solidFill>
              </a:rPr>
              <a:t>CAD</a:t>
            </a:r>
          </a:p>
        </c:rich>
      </c:tx>
      <c:layout>
        <c:manualLayout>
          <c:xMode val="edge"/>
          <c:yMode val="edge"/>
          <c:x val="0.46353516616086832"/>
          <c:y val="1.1381584550660587E-2"/>
        </c:manualLayout>
      </c:layout>
    </c:title>
    <c:plotArea>
      <c:layout>
        <c:manualLayout>
          <c:layoutTarget val="inner"/>
          <c:xMode val="edge"/>
          <c:yMode val="edge"/>
          <c:x val="3.3485532308505081E-2"/>
          <c:y val="0.11593033933936706"/>
          <c:w val="0.93302893538298992"/>
          <c:h val="0.64729947725833525"/>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extLst xmlns:c16r2="http://schemas.microsoft.com/office/drawing/2015/06/char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extLst xmlns:c16r2="http://schemas.microsoft.com/office/drawing/2015/06/chart">
            <c:ext xmlns:c16="http://schemas.microsoft.com/office/drawing/2014/chart" uri="{C3380CC4-5D6E-409C-BE32-E72D297353CC}">
              <c16:uniqueId val="{00000002-1DAF-47A9-9C0B-94CA8CD80233}"/>
            </c:ext>
          </c:extLst>
        </c:ser>
        <c:dLbls/>
        <c:marker val="1"/>
        <c:axId val="104760064"/>
        <c:axId val="104761600"/>
      </c:lineChart>
      <c:catAx>
        <c:axId val="104760064"/>
        <c:scaling>
          <c:orientation val="minMax"/>
        </c:scaling>
        <c:axPos val="b"/>
        <c:numFmt formatCode="General" sourceLinked="1"/>
        <c:tickLblPos val="nextTo"/>
        <c:txPr>
          <a:bodyPr/>
          <a:lstStyle/>
          <a:p>
            <a:pPr>
              <a:defRPr lang="es-ES" sz="800"/>
            </a:pPr>
            <a:endParaRPr lang="es-MX"/>
          </a:p>
        </c:txPr>
        <c:crossAx val="104761600"/>
        <c:crosses val="autoZero"/>
        <c:auto val="1"/>
        <c:lblAlgn val="ctr"/>
        <c:lblOffset val="100"/>
      </c:catAx>
      <c:valAx>
        <c:axId val="104761600"/>
        <c:scaling>
          <c:orientation val="minMax"/>
        </c:scaling>
        <c:delete val="1"/>
        <c:axPos val="l"/>
        <c:numFmt formatCode="General" sourceLinked="1"/>
        <c:tickLblPos val="none"/>
        <c:crossAx val="104760064"/>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CD032E"/>
                </a:solidFill>
              </a:defRPr>
            </a:pPr>
            <a:r>
              <a:rPr lang="es-MX" sz="1200">
                <a:solidFill>
                  <a:srgbClr val="CD032E"/>
                </a:solidFill>
              </a:rPr>
              <a:t>TOTAL</a:t>
            </a:r>
          </a:p>
        </c:rich>
      </c:tx>
      <c:layout>
        <c:manualLayout>
          <c:xMode val="edge"/>
          <c:yMode val="edge"/>
          <c:x val="0.45135860895777563"/>
          <c:y val="1.6736334635619805E-2"/>
        </c:manualLayout>
      </c:layout>
    </c:title>
    <c:plotArea>
      <c:layout>
        <c:manualLayout>
          <c:layoutTarget val="inner"/>
          <c:xMode val="edge"/>
          <c:yMode val="edge"/>
          <c:x val="3.3485532308505081E-2"/>
          <c:y val="0.11057558925440797"/>
          <c:w val="0.93302893538298992"/>
          <c:h val="0.65265422734329459"/>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extLst xmlns:c16r2="http://schemas.microsoft.com/office/drawing/2015/06/char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extLst xmlns:c16r2="http://schemas.microsoft.com/office/drawing/2015/06/char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extLst xmlns:c16r2="http://schemas.microsoft.com/office/drawing/2015/06/chart">
            <c:ext xmlns:c16="http://schemas.microsoft.com/office/drawing/2014/chart" uri="{C3380CC4-5D6E-409C-BE32-E72D297353CC}">
              <c16:uniqueId val="{00000002-2BA8-4F5C-8A80-3688B7DCC2A2}"/>
            </c:ext>
          </c:extLst>
        </c:ser>
        <c:dLbls/>
        <c:marker val="1"/>
        <c:axId val="106579840"/>
        <c:axId val="106581376"/>
      </c:lineChart>
      <c:catAx>
        <c:axId val="106579840"/>
        <c:scaling>
          <c:orientation val="minMax"/>
        </c:scaling>
        <c:axPos val="b"/>
        <c:numFmt formatCode="General" sourceLinked="1"/>
        <c:tickLblPos val="nextTo"/>
        <c:txPr>
          <a:bodyPr/>
          <a:lstStyle/>
          <a:p>
            <a:pPr>
              <a:defRPr lang="es-ES" sz="800"/>
            </a:pPr>
            <a:endParaRPr lang="es-MX"/>
          </a:p>
        </c:txPr>
        <c:crossAx val="106581376"/>
        <c:crosses val="autoZero"/>
        <c:auto val="1"/>
        <c:lblAlgn val="ctr"/>
        <c:lblOffset val="100"/>
      </c:catAx>
      <c:valAx>
        <c:axId val="106581376"/>
        <c:scaling>
          <c:orientation val="minMax"/>
        </c:scaling>
        <c:delete val="1"/>
        <c:axPos val="l"/>
        <c:numFmt formatCode="General" sourceLinked="1"/>
        <c:tickLblPos val="none"/>
        <c:crossAx val="106579840"/>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F08200"/>
                </a:solidFill>
              </a:defRPr>
            </a:pPr>
            <a:r>
              <a:rPr lang="es-MX" sz="1200">
                <a:solidFill>
                  <a:srgbClr val="F08200"/>
                </a:solidFill>
              </a:rPr>
              <a:t>CCD</a:t>
            </a:r>
          </a:p>
        </c:rich>
      </c:tx>
      <c:layout>
        <c:manualLayout>
          <c:xMode val="edge"/>
          <c:yMode val="edge"/>
          <c:x val="0.46657930546164156"/>
          <c:y val="1.1381584550660587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52E-2"/>
                  <c:y val="-5.41765785761087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22E-2"/>
                  <c:y val="-4.346707840619028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925E-2"/>
                  <c:y val="4.220892295315733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lang="es-ES" sz="800">
                    <a:solidFill>
                      <a:srgbClr val="CC9900"/>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extLst xmlns:c16r2="http://schemas.microsoft.com/office/drawing/2015/06/char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518E-2"/>
                  <c:y val="-4.220892295315733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518E-2"/>
                  <c:y val="-3.685417286819812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extLst xmlns:c16r2="http://schemas.microsoft.com/office/drawing/2015/06/chart">
            <c:ext xmlns:c16="http://schemas.microsoft.com/office/drawing/2014/chart" uri="{C3380CC4-5D6E-409C-BE32-E72D297353CC}">
              <c16:uniqueId val="{00000009-4955-4A74-AB20-5450BBCB3624}"/>
            </c:ext>
          </c:extLst>
        </c:ser>
        <c:dLbls/>
        <c:marker val="1"/>
        <c:axId val="106653568"/>
        <c:axId val="106655104"/>
      </c:lineChart>
      <c:catAx>
        <c:axId val="106653568"/>
        <c:scaling>
          <c:orientation val="minMax"/>
        </c:scaling>
        <c:axPos val="b"/>
        <c:numFmt formatCode="General" sourceLinked="1"/>
        <c:tickLblPos val="nextTo"/>
        <c:txPr>
          <a:bodyPr/>
          <a:lstStyle/>
          <a:p>
            <a:pPr>
              <a:defRPr lang="es-ES" sz="800"/>
            </a:pPr>
            <a:endParaRPr lang="es-MX"/>
          </a:p>
        </c:txPr>
        <c:crossAx val="106655104"/>
        <c:crosses val="autoZero"/>
        <c:auto val="1"/>
        <c:lblAlgn val="ctr"/>
        <c:lblOffset val="100"/>
      </c:catAx>
      <c:valAx>
        <c:axId val="106655104"/>
        <c:scaling>
          <c:orientation val="minMax"/>
        </c:scaling>
        <c:delete val="1"/>
        <c:axPos val="l"/>
        <c:numFmt formatCode="General" sourceLinked="1"/>
        <c:tickLblPos val="none"/>
        <c:crossAx val="106653568"/>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F08200"/>
                </a:solidFill>
              </a:defRPr>
            </a:pPr>
            <a:r>
              <a:rPr lang="es-MX" sz="1200">
                <a:solidFill>
                  <a:srgbClr val="F08200"/>
                </a:solidFill>
              </a:rPr>
              <a:t>CNI</a:t>
            </a:r>
          </a:p>
        </c:rich>
      </c:tx>
      <c:layout>
        <c:manualLayout>
          <c:xMode val="edge"/>
          <c:yMode val="edge"/>
          <c:x val="0.46049102686009474"/>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518E-2"/>
                  <c:y val="-2.2048078066353408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52E-2"/>
                  <c:y val="-5.41765785761087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22E-2"/>
                  <c:y val="-4.346707840619028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925E-2"/>
                  <c:y val="4.220892295315733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lang="es-ES" sz="800">
                    <a:solidFill>
                      <a:srgbClr val="CC9900"/>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extLst xmlns:c16r2="http://schemas.microsoft.com/office/drawing/2015/06/char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518E-2"/>
                  <c:y val="-4.220892295315733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518E-2"/>
                  <c:y val="-3.685417286819812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extLst xmlns:c16r2="http://schemas.microsoft.com/office/drawing/2015/06/chart">
            <c:ext xmlns:c16="http://schemas.microsoft.com/office/drawing/2014/chart" uri="{C3380CC4-5D6E-409C-BE32-E72D297353CC}">
              <c16:uniqueId val="{0000000A-4222-4557-9848-5B9113FC0169}"/>
            </c:ext>
          </c:extLst>
        </c:ser>
        <c:dLbls/>
        <c:marker val="1"/>
        <c:axId val="105543936"/>
        <c:axId val="105566208"/>
      </c:lineChart>
      <c:catAx>
        <c:axId val="105543936"/>
        <c:scaling>
          <c:orientation val="minMax"/>
        </c:scaling>
        <c:axPos val="b"/>
        <c:numFmt formatCode="General" sourceLinked="1"/>
        <c:tickLblPos val="nextTo"/>
        <c:txPr>
          <a:bodyPr/>
          <a:lstStyle/>
          <a:p>
            <a:pPr>
              <a:defRPr lang="es-ES" sz="800"/>
            </a:pPr>
            <a:endParaRPr lang="es-MX"/>
          </a:p>
        </c:txPr>
        <c:crossAx val="105566208"/>
        <c:crosses val="autoZero"/>
        <c:auto val="1"/>
        <c:lblAlgn val="ctr"/>
        <c:lblOffset val="100"/>
      </c:catAx>
      <c:valAx>
        <c:axId val="105566208"/>
        <c:scaling>
          <c:orientation val="minMax"/>
        </c:scaling>
        <c:delete val="1"/>
        <c:axPos val="l"/>
        <c:numFmt formatCode="General" sourceLinked="1"/>
        <c:tickLblPos val="none"/>
        <c:crossAx val="105543936"/>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F08200"/>
                </a:solidFill>
              </a:defRPr>
            </a:pPr>
            <a:r>
              <a:rPr lang="es-MX" sz="1200">
                <a:solidFill>
                  <a:srgbClr val="F08200"/>
                </a:solidFill>
              </a:rPr>
              <a:t>TOTAL</a:t>
            </a:r>
          </a:p>
        </c:rich>
      </c:tx>
      <c:layout>
        <c:manualLayout>
          <c:xMode val="edge"/>
          <c:yMode val="edge"/>
          <c:x val="0.45135860895777563"/>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extLst xmlns:c16r2="http://schemas.microsoft.com/office/drawing/2015/06/char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extLst xmlns:c16r2="http://schemas.microsoft.com/office/drawing/2015/06/char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518E-2"/>
                  <c:y val="-4.220892295315733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518E-2"/>
                  <c:y val="-3.685417286819812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lang="es-ES" sz="800">
                    <a:solidFill>
                      <a:schemeClr val="accent2">
                        <a:lumMod val="50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extLst xmlns:c16r2="http://schemas.microsoft.com/office/drawing/2015/06/chart">
            <c:ext xmlns:c16="http://schemas.microsoft.com/office/drawing/2014/chart" uri="{C3380CC4-5D6E-409C-BE32-E72D297353CC}">
              <c16:uniqueId val="{00000005-F19A-4E8A-A649-E40EEC8CE001}"/>
            </c:ext>
          </c:extLst>
        </c:ser>
        <c:dLbls/>
        <c:marker val="1"/>
        <c:axId val="106783872"/>
        <c:axId val="106785408"/>
      </c:lineChart>
      <c:catAx>
        <c:axId val="106783872"/>
        <c:scaling>
          <c:orientation val="minMax"/>
        </c:scaling>
        <c:axPos val="b"/>
        <c:numFmt formatCode="General" sourceLinked="1"/>
        <c:tickLblPos val="nextTo"/>
        <c:txPr>
          <a:bodyPr/>
          <a:lstStyle/>
          <a:p>
            <a:pPr>
              <a:defRPr lang="es-ES" sz="800"/>
            </a:pPr>
            <a:endParaRPr lang="es-MX"/>
          </a:p>
        </c:txPr>
        <c:crossAx val="106785408"/>
        <c:crosses val="autoZero"/>
        <c:auto val="1"/>
        <c:lblAlgn val="ctr"/>
        <c:lblOffset val="100"/>
      </c:catAx>
      <c:valAx>
        <c:axId val="106785408"/>
        <c:scaling>
          <c:orientation val="minMax"/>
        </c:scaling>
        <c:delete val="1"/>
        <c:axPos val="l"/>
        <c:numFmt formatCode="General" sourceLinked="1"/>
        <c:tickLblPos val="none"/>
        <c:crossAx val="106783872"/>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57A519"/>
                </a:solidFill>
              </a:defRPr>
            </a:pPr>
            <a:r>
              <a:rPr lang="es-MX" sz="1200">
                <a:solidFill>
                  <a:srgbClr val="57A519"/>
                </a:solidFill>
              </a:rPr>
              <a:t>CSH</a:t>
            </a:r>
          </a:p>
        </c:rich>
      </c:tx>
      <c:layout>
        <c:manualLayout>
          <c:xMode val="edge"/>
          <c:yMode val="edge"/>
          <c:x val="0.46657930546164156"/>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64E-2"/>
                  <c:y val="2.6144672698279723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52E-2"/>
                  <c:y val="-4.346707840619028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extLst xmlns:c16r2="http://schemas.microsoft.com/office/drawing/2015/06/char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88218284911493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extLst xmlns:c16r2="http://schemas.microsoft.com/office/drawing/2015/06/char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extLst xmlns:c16r2="http://schemas.microsoft.com/office/drawing/2015/06/chart">
            <c:ext xmlns:c16="http://schemas.microsoft.com/office/drawing/2014/chart" uri="{C3380CC4-5D6E-409C-BE32-E72D297353CC}">
              <c16:uniqueId val="{00000007-F349-403D-8F35-8BCC0A922B60}"/>
            </c:ext>
          </c:extLst>
        </c:ser>
        <c:dLbls/>
        <c:marker val="1"/>
        <c:axId val="106721664"/>
        <c:axId val="106723200"/>
      </c:lineChart>
      <c:catAx>
        <c:axId val="106721664"/>
        <c:scaling>
          <c:orientation val="minMax"/>
        </c:scaling>
        <c:axPos val="b"/>
        <c:numFmt formatCode="General" sourceLinked="1"/>
        <c:tickLblPos val="nextTo"/>
        <c:txPr>
          <a:bodyPr/>
          <a:lstStyle/>
          <a:p>
            <a:pPr>
              <a:defRPr lang="es-ES" sz="800"/>
            </a:pPr>
            <a:endParaRPr lang="es-MX"/>
          </a:p>
        </c:txPr>
        <c:crossAx val="106723200"/>
        <c:crosses val="autoZero"/>
        <c:auto val="1"/>
        <c:lblAlgn val="ctr"/>
        <c:lblOffset val="100"/>
      </c:catAx>
      <c:valAx>
        <c:axId val="106723200"/>
        <c:scaling>
          <c:orientation val="minMax"/>
        </c:scaling>
        <c:delete val="1"/>
        <c:axPos val="l"/>
        <c:numFmt formatCode="General" sourceLinked="1"/>
        <c:tickLblPos val="none"/>
        <c:crossAx val="106721664"/>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57A519"/>
                </a:solidFill>
              </a:defRPr>
            </a:pPr>
            <a:r>
              <a:rPr lang="es-MX" sz="1200">
                <a:solidFill>
                  <a:srgbClr val="57A519"/>
                </a:solidFill>
              </a:rPr>
              <a:t>CBS</a:t>
            </a:r>
          </a:p>
        </c:rich>
      </c:tx>
      <c:layout>
        <c:manualLayout>
          <c:xMode val="edge"/>
          <c:yMode val="edge"/>
          <c:x val="0.46657930546164156"/>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lang="es-ES" sz="800">
                    <a:solidFill>
                      <a:schemeClr val="bg2">
                        <a:lumMod val="25000"/>
                      </a:schemeClr>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extLst xmlns:c16r2="http://schemas.microsoft.com/office/drawing/2015/06/char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52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extLst xmlns:c16r2="http://schemas.microsoft.com/office/drawing/2015/06/char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extLst xmlns:c16r2="http://schemas.microsoft.com/office/drawing/2015/06/chart">
            <c:ext xmlns:c16="http://schemas.microsoft.com/office/drawing/2014/chart" uri="{C3380CC4-5D6E-409C-BE32-E72D297353CC}">
              <c16:uniqueId val="{00000004-BCE8-44AD-850C-67BED45234B5}"/>
            </c:ext>
          </c:extLst>
        </c:ser>
        <c:dLbls/>
        <c:marker val="1"/>
        <c:axId val="106850176"/>
        <c:axId val="106851712"/>
      </c:lineChart>
      <c:catAx>
        <c:axId val="106850176"/>
        <c:scaling>
          <c:orientation val="minMax"/>
        </c:scaling>
        <c:axPos val="b"/>
        <c:numFmt formatCode="General" sourceLinked="1"/>
        <c:tickLblPos val="nextTo"/>
        <c:txPr>
          <a:bodyPr/>
          <a:lstStyle/>
          <a:p>
            <a:pPr>
              <a:defRPr lang="es-ES" sz="800"/>
            </a:pPr>
            <a:endParaRPr lang="es-MX"/>
          </a:p>
        </c:txPr>
        <c:crossAx val="106851712"/>
        <c:crosses val="autoZero"/>
        <c:auto val="1"/>
        <c:lblAlgn val="ctr"/>
        <c:lblOffset val="100"/>
      </c:catAx>
      <c:valAx>
        <c:axId val="106851712"/>
        <c:scaling>
          <c:orientation val="minMax"/>
        </c:scaling>
        <c:delete val="1"/>
        <c:axPos val="l"/>
        <c:numFmt formatCode="General" sourceLinked="1"/>
        <c:tickLblPos val="none"/>
        <c:crossAx val="106850176"/>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MX"/>
  <c:chart>
    <c:title>
      <c:tx>
        <c:rich>
          <a:bodyPr/>
          <a:lstStyle/>
          <a:p>
            <a:pPr>
              <a:defRPr lang="es-ES" sz="1200">
                <a:solidFill>
                  <a:srgbClr val="57A519"/>
                </a:solidFill>
              </a:defRPr>
            </a:pPr>
            <a:r>
              <a:rPr lang="es-MX" sz="1200">
                <a:solidFill>
                  <a:srgbClr val="57A519"/>
                </a:solidFill>
              </a:rPr>
              <a:t>TOTAL</a:t>
            </a:r>
          </a:p>
        </c:rich>
      </c:tx>
      <c:layout>
        <c:manualLayout>
          <c:xMode val="edge"/>
          <c:yMode val="edge"/>
          <c:x val="0.46657930546164156"/>
          <c:y val="1.6736334635619805E-2"/>
        </c:manualLayout>
      </c:layout>
    </c:title>
    <c:plotArea>
      <c:layout>
        <c:manualLayout>
          <c:layoutTarget val="inner"/>
          <c:xMode val="edge"/>
          <c:yMode val="edge"/>
          <c:x val="3.3485532308505081E-2"/>
          <c:y val="9.4511338999530375E-2"/>
          <c:w val="0.93302893538298992"/>
          <c:h val="0.66871847759817271"/>
        </c:manualLayout>
      </c:layout>
      <c:lineChart>
        <c:grouping val="standard"/>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5.41765785761087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51E-2"/>
                  <c:y val="-3.8112328321231036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52E-2"/>
                  <c:y val="-4.346707840619028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518E-2"/>
                  <c:y val="-2.2048078066353408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lang="es-ES" sz="800">
                    <a:solidFill>
                      <a:schemeClr val="bg2">
                        <a:lumMod val="25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extLst xmlns:c16r2="http://schemas.microsoft.com/office/drawing/2015/06/char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5.41765785761087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lang="es-ES" sz="800">
                    <a:solidFill>
                      <a:srgbClr val="CC9900"/>
                    </a:solidFill>
                  </a:defRPr>
                </a:pPr>
                <a:endParaRPr lang="es-MX"/>
              </a:p>
            </c:txPr>
            <c:dLblPos val="t"/>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extLst xmlns:c16r2="http://schemas.microsoft.com/office/drawing/2015/06/char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Val val="1"/>
            <c:extLst xmlns:c16r2="http://schemas.microsoft.com/office/drawing/2015/06/char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extLst xmlns:c16r2="http://schemas.microsoft.com/office/drawing/2015/06/chart">
            <c:ext xmlns:c16="http://schemas.microsoft.com/office/drawing/2014/chart" uri="{C3380CC4-5D6E-409C-BE32-E72D297353CC}">
              <c16:uniqueId val="{00000007-1581-41AF-A2B7-B8D165377950}"/>
            </c:ext>
          </c:extLst>
        </c:ser>
        <c:dLbls/>
        <c:marker val="1"/>
        <c:axId val="106984576"/>
        <c:axId val="106986112"/>
      </c:lineChart>
      <c:catAx>
        <c:axId val="106984576"/>
        <c:scaling>
          <c:orientation val="minMax"/>
        </c:scaling>
        <c:axPos val="b"/>
        <c:numFmt formatCode="General" sourceLinked="1"/>
        <c:tickLblPos val="nextTo"/>
        <c:txPr>
          <a:bodyPr/>
          <a:lstStyle/>
          <a:p>
            <a:pPr>
              <a:defRPr lang="es-ES" sz="800"/>
            </a:pPr>
            <a:endParaRPr lang="es-MX"/>
          </a:p>
        </c:txPr>
        <c:crossAx val="106986112"/>
        <c:crosses val="autoZero"/>
        <c:auto val="1"/>
        <c:lblAlgn val="ctr"/>
        <c:lblOffset val="100"/>
      </c:catAx>
      <c:valAx>
        <c:axId val="106986112"/>
        <c:scaling>
          <c:orientation val="minMax"/>
        </c:scaling>
        <c:delete val="1"/>
        <c:axPos val="l"/>
        <c:numFmt formatCode="General" sourceLinked="1"/>
        <c:tickLblPos val="none"/>
        <c:crossAx val="106984576"/>
        <c:crosses val="autoZero"/>
        <c:crossBetween val="between"/>
      </c:valAx>
      <c:spPr>
        <a:noFill/>
        <a:ln>
          <a:noFill/>
        </a:ln>
      </c:spPr>
    </c:plotArea>
    <c:legend>
      <c:legendPos val="b"/>
      <c:layout>
        <c:manualLayout>
          <c:xMode val="edge"/>
          <c:yMode val="edge"/>
          <c:x val="0.17016982897934788"/>
          <c:y val="0.8885048155591434"/>
          <c:w val="0.65401181102362271"/>
          <c:h val="8.3717191601049942E-2"/>
        </c:manualLayout>
      </c:layout>
      <c:txPr>
        <a:bodyPr/>
        <a:lstStyle/>
        <a:p>
          <a:pPr>
            <a:defRPr lang="es-ES" sz="900"/>
          </a:pPr>
          <a:endParaRPr lang="es-MX"/>
        </a:p>
      </c:txPr>
    </c:legend>
    <c:plotVisOnly val="1"/>
    <c:dispBlanksAs val="gap"/>
  </c:chart>
  <c:spPr>
    <a:noFill/>
    <a:ln>
      <a:noFill/>
    </a:ln>
  </c:spPr>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Indicadores!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0"/></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1"/></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 Type="http://schemas.openxmlformats.org/officeDocument/2006/relationships/image" Target="../media/image4.emf"/><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jpeg"/><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3"/></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25"/></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0"/></Relationships>
</file>

<file path=xl/drawings/_rels/drawing25.xml.rels><?xml version="1.0" encoding="UTF-8" standalone="yes"?>
<Relationships xmlns="http://schemas.openxmlformats.org/package/2006/relationships"><Relationship Id="rId1" Type="http://schemas.openxmlformats.org/officeDocument/2006/relationships/hyperlink" Target="#Indicadores!C31"/></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2.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39"/><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5"/></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2"/></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6"/></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1"/></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5"/></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1.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C9"/></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D9"/></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13</xdr:col>
      <xdr:colOff>171450</xdr:colOff>
      <xdr:row>67</xdr:row>
      <xdr:rowOff>75832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8575" y="0"/>
          <a:ext cx="10048875" cy="12839332"/>
        </a:xfrm>
        <a:prstGeom prst="rect">
          <a:avLst/>
        </a:prstGeom>
      </xdr:spPr>
    </xdr:pic>
    <xdr:clientData/>
  </xdr:twoCellAnchor>
  <xdr:twoCellAnchor>
    <xdr:from>
      <xdr:col>6</xdr:col>
      <xdr:colOff>286813</xdr:colOff>
      <xdr:row>18</xdr:row>
      <xdr:rowOff>57150</xdr:rowOff>
    </xdr:from>
    <xdr:to>
      <xdr:col>6</xdr:col>
      <xdr:colOff>683683</xdr:colOff>
      <xdr:row>20</xdr:row>
      <xdr:rowOff>35912</xdr:rowOff>
    </xdr:to>
    <xdr:sp macro="" textlink="">
      <xdr:nvSpPr>
        <xdr:cNvPr id="4" name="5 Botón de acción: Inicio">
          <a:hlinkClick xmlns:r="http://schemas.openxmlformats.org/officeDocument/2006/relationships" r:id="rId2"/>
          <a:extLst>
            <a:ext uri="{FF2B5EF4-FFF2-40B4-BE49-F238E27FC236}">
              <a16:creationId xmlns:a16="http://schemas.microsoft.com/office/drawing/2014/main" xmlns="" id="{00000000-0008-0000-0000-000004000000}"/>
            </a:ext>
          </a:extLst>
        </xdr:cNvPr>
        <xdr:cNvSpPr/>
      </xdr:nvSpPr>
      <xdr:spPr>
        <a:xfrm>
          <a:off x="4858813" y="3486150"/>
          <a:ext cx="396870" cy="359762"/>
        </a:xfrm>
        <a:prstGeom prst="actionButtonHome">
          <a:avLst/>
        </a:prstGeom>
        <a:solidFill>
          <a:srgbClr val="FF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6</xdr:col>
      <xdr:colOff>209550</xdr:colOff>
      <xdr:row>20</xdr:row>
      <xdr:rowOff>59155</xdr:rowOff>
    </xdr:from>
    <xdr:to>
      <xdr:col>7</xdr:col>
      <xdr:colOff>9525</xdr:colOff>
      <xdr:row>21</xdr:row>
      <xdr:rowOff>56582</xdr:rowOff>
    </xdr:to>
    <xdr:sp macro="" textlink="">
      <xdr:nvSpPr>
        <xdr:cNvPr id="5" name="6 CuadroTexto">
          <a:extLst>
            <a:ext uri="{FF2B5EF4-FFF2-40B4-BE49-F238E27FC236}">
              <a16:creationId xmlns:a16="http://schemas.microsoft.com/office/drawing/2014/main" xmlns="" id="{00000000-0008-0000-0000-000005000000}"/>
            </a:ext>
          </a:extLst>
        </xdr:cNvPr>
        <xdr:cNvSpPr txBox="1"/>
      </xdr:nvSpPr>
      <xdr:spPr>
        <a:xfrm>
          <a:off x="4781550" y="3869155"/>
          <a:ext cx="561975" cy="187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chemeClr val="bg1"/>
              </a:solidFill>
            </a:rPr>
            <a:t>Entrar</a:t>
          </a:r>
        </a:p>
      </xdr:txBody>
    </xdr:sp>
    <xdr:clientData/>
  </xdr:twoCellAnchor>
  <xdr:twoCellAnchor>
    <xdr:from>
      <xdr:col>0</xdr:col>
      <xdr:colOff>123825</xdr:colOff>
      <xdr:row>7</xdr:row>
      <xdr:rowOff>133349</xdr:rowOff>
    </xdr:from>
    <xdr:to>
      <xdr:col>7</xdr:col>
      <xdr:colOff>152400</xdr:colOff>
      <xdr:row>13</xdr:row>
      <xdr:rowOff>115846</xdr:rowOff>
    </xdr:to>
    <xdr:sp macro="" textlink="">
      <xdr:nvSpPr>
        <xdr:cNvPr id="8" name="1 Rectángulo">
          <a:extLst>
            <a:ext uri="{FF2B5EF4-FFF2-40B4-BE49-F238E27FC236}">
              <a16:creationId xmlns:a16="http://schemas.microsoft.com/office/drawing/2014/main" xmlns="" id="{00000000-0008-0000-0000-000003000000}"/>
            </a:ext>
          </a:extLst>
        </xdr:cNvPr>
        <xdr:cNvSpPr/>
      </xdr:nvSpPr>
      <xdr:spPr>
        <a:xfrm>
          <a:off x="123825" y="1466849"/>
          <a:ext cx="5362575" cy="1125497"/>
        </a:xfrm>
        <a:prstGeom prst="snip2DiagRect">
          <a:avLst>
            <a:gd name="adj1" fmla="val 0"/>
            <a:gd name="adj2" fmla="val 50000"/>
          </a:avLst>
        </a:prstGeom>
        <a:solidFill>
          <a:srgbClr val="FF9900"/>
        </a:solidFill>
      </xdr:spPr>
      <xdr:txBody>
        <a:bodyPr wrap="square" anchor="ctr">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MX" sz="3600" b="0" i="0">
              <a:solidFill>
                <a:schemeClr val="bg1"/>
              </a:solidFill>
              <a:latin typeface="+mj-lt"/>
            </a:rPr>
            <a:t>Indicadores del Plan de Desarrollo Institucional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409575</xdr:colOff>
      <xdr:row>0</xdr:row>
      <xdr:rowOff>180975</xdr:rowOff>
    </xdr:from>
    <xdr:to>
      <xdr:col>10</xdr:col>
      <xdr:colOff>723900</xdr:colOff>
      <xdr:row>2</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A00-000002000000}"/>
            </a:ext>
          </a:extLst>
        </xdr:cNvPr>
        <xdr:cNvSpPr/>
      </xdr:nvSpPr>
      <xdr:spPr>
        <a:xfrm>
          <a:off x="10058400" y="1809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390525</xdr:colOff>
      <xdr:row>0</xdr:row>
      <xdr:rowOff>171450</xdr:rowOff>
    </xdr:from>
    <xdr:to>
      <xdr:col>11</xdr:col>
      <xdr:colOff>704850</xdr:colOff>
      <xdr:row>2</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C00-000002000000}"/>
            </a:ext>
          </a:extLst>
        </xdr:cNvPr>
        <xdr:cNvSpPr/>
      </xdr:nvSpPr>
      <xdr:spPr>
        <a:xfrm>
          <a:off x="10696575" y="171450"/>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438150</xdr:colOff>
      <xdr:row>0</xdr:row>
      <xdr:rowOff>85725</xdr:rowOff>
    </xdr:from>
    <xdr:to>
      <xdr:col>11</xdr:col>
      <xdr:colOff>752475</xdr:colOff>
      <xdr:row>2</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E00-000002000000}"/>
            </a:ext>
          </a:extLst>
        </xdr:cNvPr>
        <xdr:cNvSpPr/>
      </xdr:nvSpPr>
      <xdr:spPr>
        <a:xfrm>
          <a:off x="10325100" y="8572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371475</xdr:colOff>
      <xdr:row>0</xdr:row>
      <xdr:rowOff>104775</xdr:rowOff>
    </xdr:from>
    <xdr:to>
      <xdr:col>10</xdr:col>
      <xdr:colOff>685800</xdr:colOff>
      <xdr:row>2</xdr:row>
      <xdr:rowOff>9525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1000-000002000000}"/>
            </a:ext>
          </a:extLst>
        </xdr:cNvPr>
        <xdr:cNvSpPr/>
      </xdr:nvSpPr>
      <xdr:spPr>
        <a:xfrm>
          <a:off x="10182225" y="1047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400050</xdr:colOff>
      <xdr:row>0</xdr:row>
      <xdr:rowOff>66675</xdr:rowOff>
    </xdr:from>
    <xdr:to>
      <xdr:col>10</xdr:col>
      <xdr:colOff>714375</xdr:colOff>
      <xdr:row>1</xdr:row>
      <xdr:rowOff>171450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1200-000002000000}"/>
            </a:ext>
          </a:extLst>
        </xdr:cNvPr>
        <xdr:cNvSpPr/>
      </xdr:nvSpPr>
      <xdr:spPr>
        <a:xfrm>
          <a:off x="10182225" y="6667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1314451</xdr:colOff>
      <xdr:row>0</xdr:row>
      <xdr:rowOff>47624</xdr:rowOff>
    </xdr:from>
    <xdr:to>
      <xdr:col>4</xdr:col>
      <xdr:colOff>9526</xdr:colOff>
      <xdr:row>1</xdr:row>
      <xdr:rowOff>114299</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5905501" y="47624"/>
          <a:ext cx="285750" cy="25717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727364</xdr:colOff>
      <xdr:row>0</xdr:row>
      <xdr:rowOff>58016</xdr:rowOff>
    </xdr:from>
    <xdr:to>
      <xdr:col>3</xdr:col>
      <xdr:colOff>961159</xdr:colOff>
      <xdr:row>1</xdr:row>
      <xdr:rowOff>143741</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1500-000002000000}"/>
            </a:ext>
          </a:extLst>
        </xdr:cNvPr>
        <xdr:cNvSpPr/>
      </xdr:nvSpPr>
      <xdr:spPr>
        <a:xfrm>
          <a:off x="7356764" y="58016"/>
          <a:ext cx="233795" cy="27622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352424</xdr:colOff>
      <xdr:row>0</xdr:row>
      <xdr:rowOff>171450</xdr:rowOff>
    </xdr:from>
    <xdr:to>
      <xdr:col>9</xdr:col>
      <xdr:colOff>638175</xdr:colOff>
      <xdr:row>2</xdr:row>
      <xdr:rowOff>38100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1600-000002000000}"/>
            </a:ext>
          </a:extLst>
        </xdr:cNvPr>
        <xdr:cNvSpPr/>
      </xdr:nvSpPr>
      <xdr:spPr>
        <a:xfrm>
          <a:off x="7305674" y="171450"/>
          <a:ext cx="285751" cy="2476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295275</xdr:colOff>
      <xdr:row>0</xdr:row>
      <xdr:rowOff>152400</xdr:rowOff>
    </xdr:from>
    <xdr:to>
      <xdr:col>13</xdr:col>
      <xdr:colOff>609600</xdr:colOff>
      <xdr:row>1</xdr:row>
      <xdr:rowOff>190500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1700-000002000000}"/>
            </a:ext>
          </a:extLst>
        </xdr:cNvPr>
        <xdr:cNvSpPr/>
      </xdr:nvSpPr>
      <xdr:spPr>
        <a:xfrm>
          <a:off x="9467850" y="1524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60</xdr:col>
      <xdr:colOff>352425</xdr:colOff>
      <xdr:row>0</xdr:row>
      <xdr:rowOff>77257</xdr:rowOff>
    </xdr:from>
    <xdr:to>
      <xdr:col>60</xdr:col>
      <xdr:colOff>584200</xdr:colOff>
      <xdr:row>1</xdr:row>
      <xdr:rowOff>95250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1800-000003000000}"/>
            </a:ext>
          </a:extLst>
        </xdr:cNvPr>
        <xdr:cNvSpPr/>
      </xdr:nvSpPr>
      <xdr:spPr>
        <a:xfrm>
          <a:off x="31489650" y="77257"/>
          <a:ext cx="231775" cy="25611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137577</xdr:colOff>
      <xdr:row>6</xdr:row>
      <xdr:rowOff>97894</xdr:rowOff>
    </xdr:from>
    <xdr:to>
      <xdr:col>3</xdr:col>
      <xdr:colOff>2985189</xdr:colOff>
      <xdr:row>6</xdr:row>
      <xdr:rowOff>859896</xdr:rowOff>
    </xdr:to>
    <xdr:pic>
      <xdr:nvPicPr>
        <xdr:cNvPr id="3" name="2 Imagen">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71577" y="2229113"/>
          <a:ext cx="2847612" cy="76200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116415</xdr:colOff>
      <xdr:row>8</xdr:row>
      <xdr:rowOff>31750</xdr:rowOff>
    </xdr:from>
    <xdr:to>
      <xdr:col>3</xdr:col>
      <xdr:colOff>3003577</xdr:colOff>
      <xdr:row>9</xdr:row>
      <xdr:rowOff>63500</xdr:rowOff>
    </xdr:to>
    <xdr:pic>
      <xdr:nvPicPr>
        <xdr:cNvPr id="13" name="12 Imagen">
          <a:extLst>
            <a:ext uri="{FF2B5EF4-FFF2-40B4-BE49-F238E27FC236}">
              <a16:creationId xmlns:a16="http://schemas.microsoft.com/office/drawing/2014/main" xmlns=""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22748" y="5598583"/>
          <a:ext cx="2887162" cy="6455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116414</xdr:colOff>
      <xdr:row>9</xdr:row>
      <xdr:rowOff>42332</xdr:rowOff>
    </xdr:from>
    <xdr:to>
      <xdr:col>3</xdr:col>
      <xdr:colOff>3013464</xdr:colOff>
      <xdr:row>9</xdr:row>
      <xdr:rowOff>666749</xdr:rowOff>
    </xdr:to>
    <xdr:pic>
      <xdr:nvPicPr>
        <xdr:cNvPr id="15" name="14 Imagen">
          <a:extLst>
            <a:ext uri="{FF2B5EF4-FFF2-40B4-BE49-F238E27FC236}">
              <a16:creationId xmlns:a16="http://schemas.microsoft.com/office/drawing/2014/main" xmlns="" id="{00000000-0008-0000-01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116414</xdr:colOff>
      <xdr:row>10</xdr:row>
      <xdr:rowOff>31750</xdr:rowOff>
    </xdr:from>
    <xdr:to>
      <xdr:col>3</xdr:col>
      <xdr:colOff>3003577</xdr:colOff>
      <xdr:row>10</xdr:row>
      <xdr:rowOff>687916</xdr:rowOff>
    </xdr:to>
    <xdr:pic>
      <xdr:nvPicPr>
        <xdr:cNvPr id="16" name="15 Imagen">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179912</xdr:colOff>
      <xdr:row>16</xdr:row>
      <xdr:rowOff>88633</xdr:rowOff>
    </xdr:from>
    <xdr:to>
      <xdr:col>3</xdr:col>
      <xdr:colOff>2920741</xdr:colOff>
      <xdr:row>16</xdr:row>
      <xdr:rowOff>691884</xdr:rowOff>
    </xdr:to>
    <xdr:pic>
      <xdr:nvPicPr>
        <xdr:cNvPr id="21" name="20 Imagen">
          <a:extLst>
            <a:ext uri="{FF2B5EF4-FFF2-40B4-BE49-F238E27FC236}">
              <a16:creationId xmlns:a16="http://schemas.microsoft.com/office/drawing/2014/main" xmlns="" id="{00000000-0008-0000-01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5513912" y="10518508"/>
          <a:ext cx="2740829" cy="6032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95249</xdr:colOff>
      <xdr:row>17</xdr:row>
      <xdr:rowOff>52921</xdr:rowOff>
    </xdr:from>
    <xdr:to>
      <xdr:col>3</xdr:col>
      <xdr:colOff>3016792</xdr:colOff>
      <xdr:row>17</xdr:row>
      <xdr:rowOff>497415</xdr:rowOff>
    </xdr:to>
    <xdr:pic>
      <xdr:nvPicPr>
        <xdr:cNvPr id="22" name="21 Imagen">
          <a:extLst>
            <a:ext uri="{FF2B5EF4-FFF2-40B4-BE49-F238E27FC236}">
              <a16:creationId xmlns:a16="http://schemas.microsoft.com/office/drawing/2014/main" xmlns="" id="{00000000-0008-0000-01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429249" y="10816171"/>
          <a:ext cx="2921543" cy="4444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84665</xdr:colOff>
      <xdr:row>18</xdr:row>
      <xdr:rowOff>10583</xdr:rowOff>
    </xdr:from>
    <xdr:to>
      <xdr:col>3</xdr:col>
      <xdr:colOff>3026287</xdr:colOff>
      <xdr:row>18</xdr:row>
      <xdr:rowOff>603250</xdr:rowOff>
    </xdr:to>
    <xdr:pic>
      <xdr:nvPicPr>
        <xdr:cNvPr id="24" name="23 Imagen">
          <a:extLst>
            <a:ext uri="{FF2B5EF4-FFF2-40B4-BE49-F238E27FC236}">
              <a16:creationId xmlns:a16="http://schemas.microsoft.com/office/drawing/2014/main" xmlns="" id="{00000000-0008-0000-0100-00001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5238748" y="11154833"/>
          <a:ext cx="2941622" cy="5926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84665</xdr:colOff>
      <xdr:row>19</xdr:row>
      <xdr:rowOff>74082</xdr:rowOff>
    </xdr:from>
    <xdr:to>
      <xdr:col>3</xdr:col>
      <xdr:colOff>3016248</xdr:colOff>
      <xdr:row>19</xdr:row>
      <xdr:rowOff>666750</xdr:rowOff>
    </xdr:to>
    <xdr:pic>
      <xdr:nvPicPr>
        <xdr:cNvPr id="26" name="25 Imagen">
          <a:extLst>
            <a:ext uri="{FF2B5EF4-FFF2-40B4-BE49-F238E27FC236}">
              <a16:creationId xmlns:a16="http://schemas.microsoft.com/office/drawing/2014/main" xmlns="" id="{00000000-0008-0000-0100-00001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84665</xdr:colOff>
      <xdr:row>23</xdr:row>
      <xdr:rowOff>209022</xdr:rowOff>
    </xdr:from>
    <xdr:to>
      <xdr:col>3</xdr:col>
      <xdr:colOff>3026287</xdr:colOff>
      <xdr:row>23</xdr:row>
      <xdr:rowOff>561437</xdr:rowOff>
    </xdr:to>
    <xdr:pic>
      <xdr:nvPicPr>
        <xdr:cNvPr id="27" name="26 Imagen">
          <a:extLst>
            <a:ext uri="{FF2B5EF4-FFF2-40B4-BE49-F238E27FC236}">
              <a16:creationId xmlns:a16="http://schemas.microsoft.com/office/drawing/2014/main" xmlns="" id="{00000000-0008-0000-0100-00001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84665</xdr:colOff>
      <xdr:row>24</xdr:row>
      <xdr:rowOff>236794</xdr:rowOff>
    </xdr:from>
    <xdr:to>
      <xdr:col>3</xdr:col>
      <xdr:colOff>3016248</xdr:colOff>
      <xdr:row>24</xdr:row>
      <xdr:rowOff>1055944</xdr:rowOff>
    </xdr:to>
    <xdr:pic>
      <xdr:nvPicPr>
        <xdr:cNvPr id="29" name="28 Imagen">
          <a:extLst>
            <a:ext uri="{FF2B5EF4-FFF2-40B4-BE49-F238E27FC236}">
              <a16:creationId xmlns:a16="http://schemas.microsoft.com/office/drawing/2014/main" xmlns="" id="{00000000-0008-0000-0100-00001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82018</xdr:colOff>
      <xdr:row>20</xdr:row>
      <xdr:rowOff>59532</xdr:rowOff>
    </xdr:from>
    <xdr:to>
      <xdr:col>3</xdr:col>
      <xdr:colOff>2983482</xdr:colOff>
      <xdr:row>20</xdr:row>
      <xdr:rowOff>662782</xdr:rowOff>
    </xdr:to>
    <xdr:pic>
      <xdr:nvPicPr>
        <xdr:cNvPr id="31" name="30 Imagen">
          <a:extLst>
            <a:ext uri="{FF2B5EF4-FFF2-40B4-BE49-F238E27FC236}">
              <a16:creationId xmlns:a16="http://schemas.microsoft.com/office/drawing/2014/main" xmlns="" id="{00000000-0008-0000-0100-00001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84664</xdr:colOff>
      <xdr:row>21</xdr:row>
      <xdr:rowOff>80696</xdr:rowOff>
    </xdr:from>
    <xdr:to>
      <xdr:col>3</xdr:col>
      <xdr:colOff>3016247</xdr:colOff>
      <xdr:row>21</xdr:row>
      <xdr:rowOff>652196</xdr:rowOff>
    </xdr:to>
    <xdr:pic>
      <xdr:nvPicPr>
        <xdr:cNvPr id="33" name="32 Imagen">
          <a:extLst>
            <a:ext uri="{FF2B5EF4-FFF2-40B4-BE49-F238E27FC236}">
              <a16:creationId xmlns:a16="http://schemas.microsoft.com/office/drawing/2014/main" xmlns="" id="{00000000-0008-0000-0100-00002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74082</xdr:colOff>
      <xdr:row>29</xdr:row>
      <xdr:rowOff>148162</xdr:rowOff>
    </xdr:from>
    <xdr:to>
      <xdr:col>3</xdr:col>
      <xdr:colOff>3026832</xdr:colOff>
      <xdr:row>29</xdr:row>
      <xdr:rowOff>643462</xdr:rowOff>
    </xdr:to>
    <xdr:pic>
      <xdr:nvPicPr>
        <xdr:cNvPr id="36" name="35 Imagen">
          <a:extLst>
            <a:ext uri="{FF2B5EF4-FFF2-40B4-BE49-F238E27FC236}">
              <a16:creationId xmlns:a16="http://schemas.microsoft.com/office/drawing/2014/main" xmlns="" id="{00000000-0008-0000-0100-00002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74082</xdr:colOff>
      <xdr:row>30</xdr:row>
      <xdr:rowOff>63498</xdr:rowOff>
    </xdr:from>
    <xdr:to>
      <xdr:col>3</xdr:col>
      <xdr:colOff>3026832</xdr:colOff>
      <xdr:row>30</xdr:row>
      <xdr:rowOff>720723</xdr:rowOff>
    </xdr:to>
    <xdr:pic>
      <xdr:nvPicPr>
        <xdr:cNvPr id="37" name="36 Imagen">
          <a:extLst>
            <a:ext uri="{FF2B5EF4-FFF2-40B4-BE49-F238E27FC236}">
              <a16:creationId xmlns:a16="http://schemas.microsoft.com/office/drawing/2014/main" xmlns="" id="{00000000-0008-0000-0100-00002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63499</xdr:colOff>
      <xdr:row>32</xdr:row>
      <xdr:rowOff>137579</xdr:rowOff>
    </xdr:from>
    <xdr:to>
      <xdr:col>3</xdr:col>
      <xdr:colOff>3026833</xdr:colOff>
      <xdr:row>32</xdr:row>
      <xdr:rowOff>470954</xdr:rowOff>
    </xdr:to>
    <xdr:pic>
      <xdr:nvPicPr>
        <xdr:cNvPr id="40" name="39 Imagen">
          <a:extLst>
            <a:ext uri="{FF2B5EF4-FFF2-40B4-BE49-F238E27FC236}">
              <a16:creationId xmlns:a16="http://schemas.microsoft.com/office/drawing/2014/main" xmlns="" id="{00000000-0008-0000-0100-000028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63498</xdr:colOff>
      <xdr:row>31</xdr:row>
      <xdr:rowOff>63498</xdr:rowOff>
    </xdr:from>
    <xdr:to>
      <xdr:col>3</xdr:col>
      <xdr:colOff>3037415</xdr:colOff>
      <xdr:row>31</xdr:row>
      <xdr:rowOff>647167</xdr:rowOff>
    </xdr:to>
    <xdr:pic>
      <xdr:nvPicPr>
        <xdr:cNvPr id="42" name="41 Imagen">
          <a:extLst>
            <a:ext uri="{FF2B5EF4-FFF2-40B4-BE49-F238E27FC236}">
              <a16:creationId xmlns:a16="http://schemas.microsoft.com/office/drawing/2014/main" xmlns="" id="{00000000-0008-0000-0100-00002A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95247</xdr:colOff>
      <xdr:row>33</xdr:row>
      <xdr:rowOff>52915</xdr:rowOff>
    </xdr:from>
    <xdr:to>
      <xdr:col>3</xdr:col>
      <xdr:colOff>3005664</xdr:colOff>
      <xdr:row>33</xdr:row>
      <xdr:rowOff>872065</xdr:rowOff>
    </xdr:to>
    <xdr:pic>
      <xdr:nvPicPr>
        <xdr:cNvPr id="43" name="42 Imagen">
          <a:extLst>
            <a:ext uri="{FF2B5EF4-FFF2-40B4-BE49-F238E27FC236}">
              <a16:creationId xmlns:a16="http://schemas.microsoft.com/office/drawing/2014/main" xmlns="" id="{00000000-0008-0000-0100-00002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201580" y="24129998"/>
          <a:ext cx="2910417" cy="819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95248</xdr:colOff>
      <xdr:row>34</xdr:row>
      <xdr:rowOff>63498</xdr:rowOff>
    </xdr:from>
    <xdr:to>
      <xdr:col>3</xdr:col>
      <xdr:colOff>3016248</xdr:colOff>
      <xdr:row>34</xdr:row>
      <xdr:rowOff>720723</xdr:rowOff>
    </xdr:to>
    <xdr:pic>
      <xdr:nvPicPr>
        <xdr:cNvPr id="32" name="31 Imagen">
          <a:extLst>
            <a:ext uri="{FF2B5EF4-FFF2-40B4-BE49-F238E27FC236}">
              <a16:creationId xmlns:a16="http://schemas.microsoft.com/office/drawing/2014/main" xmlns="" id="{00000000-0008-0000-01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63498</xdr:colOff>
      <xdr:row>35</xdr:row>
      <xdr:rowOff>63498</xdr:rowOff>
    </xdr:from>
    <xdr:to>
      <xdr:col>3</xdr:col>
      <xdr:colOff>3037415</xdr:colOff>
      <xdr:row>35</xdr:row>
      <xdr:rowOff>720723</xdr:rowOff>
    </xdr:to>
    <xdr:pic>
      <xdr:nvPicPr>
        <xdr:cNvPr id="34" name="33 Imagen">
          <a:extLst>
            <a:ext uri="{FF2B5EF4-FFF2-40B4-BE49-F238E27FC236}">
              <a16:creationId xmlns:a16="http://schemas.microsoft.com/office/drawing/2014/main" xmlns="" id="{00000000-0008-0000-0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84665</xdr:colOff>
      <xdr:row>36</xdr:row>
      <xdr:rowOff>63498</xdr:rowOff>
    </xdr:from>
    <xdr:to>
      <xdr:col>3</xdr:col>
      <xdr:colOff>3016249</xdr:colOff>
      <xdr:row>36</xdr:row>
      <xdr:rowOff>720723</xdr:rowOff>
    </xdr:to>
    <xdr:pic>
      <xdr:nvPicPr>
        <xdr:cNvPr id="35" name="34 Imagen">
          <a:extLst>
            <a:ext uri="{FF2B5EF4-FFF2-40B4-BE49-F238E27FC236}">
              <a16:creationId xmlns:a16="http://schemas.microsoft.com/office/drawing/2014/main" xmlns="" id="{00000000-0008-0000-01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63498</xdr:colOff>
      <xdr:row>37</xdr:row>
      <xdr:rowOff>285741</xdr:rowOff>
    </xdr:from>
    <xdr:to>
      <xdr:col>3</xdr:col>
      <xdr:colOff>3037415</xdr:colOff>
      <xdr:row>37</xdr:row>
      <xdr:rowOff>761995</xdr:rowOff>
    </xdr:to>
    <xdr:pic>
      <xdr:nvPicPr>
        <xdr:cNvPr id="52" name="51 Imagen">
          <a:extLst>
            <a:ext uri="{FF2B5EF4-FFF2-40B4-BE49-F238E27FC236}">
              <a16:creationId xmlns:a16="http://schemas.microsoft.com/office/drawing/2014/main" xmlns="" id="{00000000-0008-0000-0100-000034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42333</xdr:colOff>
      <xdr:row>51</xdr:row>
      <xdr:rowOff>126996</xdr:rowOff>
    </xdr:from>
    <xdr:to>
      <xdr:col>3</xdr:col>
      <xdr:colOff>3037417</xdr:colOff>
      <xdr:row>51</xdr:row>
      <xdr:rowOff>486834</xdr:rowOff>
    </xdr:to>
    <xdr:pic>
      <xdr:nvPicPr>
        <xdr:cNvPr id="53" name="52 Imagen">
          <a:extLst>
            <a:ext uri="{FF2B5EF4-FFF2-40B4-BE49-F238E27FC236}">
              <a16:creationId xmlns:a16="http://schemas.microsoft.com/office/drawing/2014/main" xmlns="" id="{00000000-0008-0000-0100-000035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xdr:colOff>
      <xdr:row>52</xdr:row>
      <xdr:rowOff>126996</xdr:rowOff>
    </xdr:from>
    <xdr:to>
      <xdr:col>4</xdr:col>
      <xdr:colOff>0</xdr:colOff>
      <xdr:row>52</xdr:row>
      <xdr:rowOff>486834</xdr:rowOff>
    </xdr:to>
    <xdr:pic>
      <xdr:nvPicPr>
        <xdr:cNvPr id="55" name="54 Imagen">
          <a:extLst>
            <a:ext uri="{FF2B5EF4-FFF2-40B4-BE49-F238E27FC236}">
              <a16:creationId xmlns:a16="http://schemas.microsoft.com/office/drawing/2014/main" xmlns="" id="{00000000-0008-0000-0100-000037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xdr:colOff>
      <xdr:row>54</xdr:row>
      <xdr:rowOff>772582</xdr:rowOff>
    </xdr:from>
    <xdr:to>
      <xdr:col>5</xdr:col>
      <xdr:colOff>31751</xdr:colOff>
      <xdr:row>56</xdr:row>
      <xdr:rowOff>1059</xdr:rowOff>
    </xdr:to>
    <xdr:pic>
      <xdr:nvPicPr>
        <xdr:cNvPr id="58" name="57 Imagen">
          <a:extLst>
            <a:ext uri="{FF2B5EF4-FFF2-40B4-BE49-F238E27FC236}">
              <a16:creationId xmlns:a16="http://schemas.microsoft.com/office/drawing/2014/main" xmlns="" id="{00000000-0008-0000-0100-00003A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106334" y="35888082"/>
          <a:ext cx="3122084" cy="6138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xdr:colOff>
      <xdr:row>56</xdr:row>
      <xdr:rowOff>0</xdr:rowOff>
    </xdr:from>
    <xdr:to>
      <xdr:col>4</xdr:col>
      <xdr:colOff>0</xdr:colOff>
      <xdr:row>57</xdr:row>
      <xdr:rowOff>31749</xdr:rowOff>
    </xdr:to>
    <xdr:pic>
      <xdr:nvPicPr>
        <xdr:cNvPr id="60" name="59 Imagen">
          <a:extLst>
            <a:ext uri="{FF2B5EF4-FFF2-40B4-BE49-F238E27FC236}">
              <a16:creationId xmlns:a16="http://schemas.microsoft.com/office/drawing/2014/main" xmlns="" id="{00000000-0008-0000-0100-00003C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106334" y="36501917"/>
          <a:ext cx="3111500" cy="6455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169329</xdr:colOff>
      <xdr:row>57</xdr:row>
      <xdr:rowOff>94650</xdr:rowOff>
    </xdr:from>
    <xdr:to>
      <xdr:col>3</xdr:col>
      <xdr:colOff>2942161</xdr:colOff>
      <xdr:row>57</xdr:row>
      <xdr:rowOff>524934</xdr:rowOff>
    </xdr:to>
    <xdr:pic>
      <xdr:nvPicPr>
        <xdr:cNvPr id="66" name="65 Imagen">
          <a:extLst>
            <a:ext uri="{FF2B5EF4-FFF2-40B4-BE49-F238E27FC236}">
              <a16:creationId xmlns:a16="http://schemas.microsoft.com/office/drawing/2014/main" xmlns="" id="{00000000-0008-0000-0100-000042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126996</xdr:colOff>
      <xdr:row>58</xdr:row>
      <xdr:rowOff>9210</xdr:rowOff>
    </xdr:from>
    <xdr:to>
      <xdr:col>3</xdr:col>
      <xdr:colOff>2973913</xdr:colOff>
      <xdr:row>58</xdr:row>
      <xdr:rowOff>449962</xdr:rowOff>
    </xdr:to>
    <xdr:pic>
      <xdr:nvPicPr>
        <xdr:cNvPr id="67" name="66 Imagen">
          <a:extLst>
            <a:ext uri="{FF2B5EF4-FFF2-40B4-BE49-F238E27FC236}">
              <a16:creationId xmlns:a16="http://schemas.microsoft.com/office/drawing/2014/main" xmlns="" id="{00000000-0008-0000-0100-000043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4233329" y="37728210"/>
          <a:ext cx="2846917" cy="4407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285742</xdr:colOff>
      <xdr:row>59</xdr:row>
      <xdr:rowOff>1</xdr:rowOff>
    </xdr:from>
    <xdr:to>
      <xdr:col>3</xdr:col>
      <xdr:colOff>2857497</xdr:colOff>
      <xdr:row>59</xdr:row>
      <xdr:rowOff>400718</xdr:rowOff>
    </xdr:to>
    <xdr:pic>
      <xdr:nvPicPr>
        <xdr:cNvPr id="70" name="69 Imagen">
          <a:extLst>
            <a:ext uri="{FF2B5EF4-FFF2-40B4-BE49-F238E27FC236}">
              <a16:creationId xmlns:a16="http://schemas.microsoft.com/office/drawing/2014/main" xmlns="" id="{00000000-0008-0000-0100-000046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392075" y="38174084"/>
          <a:ext cx="2571755" cy="4007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116414</xdr:colOff>
      <xdr:row>61</xdr:row>
      <xdr:rowOff>55335</xdr:rowOff>
    </xdr:from>
    <xdr:to>
      <xdr:col>3</xdr:col>
      <xdr:colOff>3079747</xdr:colOff>
      <xdr:row>61</xdr:row>
      <xdr:rowOff>527049</xdr:rowOff>
    </xdr:to>
    <xdr:pic>
      <xdr:nvPicPr>
        <xdr:cNvPr id="71" name="70 Imagen">
          <a:extLst>
            <a:ext uri="{FF2B5EF4-FFF2-40B4-BE49-F238E27FC236}">
              <a16:creationId xmlns:a16="http://schemas.microsoft.com/office/drawing/2014/main" xmlns="" id="{00000000-0008-0000-0100-000047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19051</xdr:colOff>
      <xdr:row>68</xdr:row>
      <xdr:rowOff>31749</xdr:rowOff>
    </xdr:from>
    <xdr:to>
      <xdr:col>4</xdr:col>
      <xdr:colOff>0</xdr:colOff>
      <xdr:row>68</xdr:row>
      <xdr:rowOff>550332</xdr:rowOff>
    </xdr:to>
    <xdr:pic>
      <xdr:nvPicPr>
        <xdr:cNvPr id="76" name="75 Imagen">
          <a:extLst>
            <a:ext uri="{FF2B5EF4-FFF2-40B4-BE49-F238E27FC236}">
              <a16:creationId xmlns:a16="http://schemas.microsoft.com/office/drawing/2014/main" xmlns="" id="{00000000-0008-0000-0100-00004C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5353051" y="37560249"/>
          <a:ext cx="3079750" cy="5185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2115</xdr:colOff>
      <xdr:row>7</xdr:row>
      <xdr:rowOff>196851</xdr:rowOff>
    </xdr:from>
    <xdr:to>
      <xdr:col>4</xdr:col>
      <xdr:colOff>0</xdr:colOff>
      <xdr:row>7</xdr:row>
      <xdr:rowOff>733425</xdr:rowOff>
    </xdr:to>
    <xdr:pic>
      <xdr:nvPicPr>
        <xdr:cNvPr id="50" name="49 Imagen">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0</xdr:colOff>
      <xdr:row>11</xdr:row>
      <xdr:rowOff>137579</xdr:rowOff>
    </xdr:from>
    <xdr:to>
      <xdr:col>4</xdr:col>
      <xdr:colOff>0</xdr:colOff>
      <xdr:row>11</xdr:row>
      <xdr:rowOff>794804</xdr:rowOff>
    </xdr:to>
    <xdr:pic>
      <xdr:nvPicPr>
        <xdr:cNvPr id="59" name="58 Imagen">
          <a:extLst>
            <a:ext uri="{FF2B5EF4-FFF2-40B4-BE49-F238E27FC236}">
              <a16:creationId xmlns:a16="http://schemas.microsoft.com/office/drawing/2014/main" xmlns="" id="{00000000-0008-0000-0100-00003B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0</xdr:colOff>
      <xdr:row>12</xdr:row>
      <xdr:rowOff>126996</xdr:rowOff>
    </xdr:from>
    <xdr:to>
      <xdr:col>4</xdr:col>
      <xdr:colOff>0</xdr:colOff>
      <xdr:row>12</xdr:row>
      <xdr:rowOff>784221</xdr:rowOff>
    </xdr:to>
    <xdr:pic>
      <xdr:nvPicPr>
        <xdr:cNvPr id="61" name="60 Imagen">
          <a:extLst>
            <a:ext uri="{FF2B5EF4-FFF2-40B4-BE49-F238E27FC236}">
              <a16:creationId xmlns:a16="http://schemas.microsoft.com/office/drawing/2014/main" xmlns="" id="{00000000-0008-0000-0100-00003D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5154083" y="8233829"/>
          <a:ext cx="3090334"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0</xdr:colOff>
      <xdr:row>13</xdr:row>
      <xdr:rowOff>126996</xdr:rowOff>
    </xdr:from>
    <xdr:to>
      <xdr:col>4</xdr:col>
      <xdr:colOff>0</xdr:colOff>
      <xdr:row>13</xdr:row>
      <xdr:rowOff>784221</xdr:rowOff>
    </xdr:to>
    <xdr:pic>
      <xdr:nvPicPr>
        <xdr:cNvPr id="62" name="61 Imagen">
          <a:extLst>
            <a:ext uri="{FF2B5EF4-FFF2-40B4-BE49-F238E27FC236}">
              <a16:creationId xmlns:a16="http://schemas.microsoft.com/office/drawing/2014/main" xmlns="" id="{00000000-0008-0000-0100-00003E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2592915</xdr:colOff>
      <xdr:row>38</xdr:row>
      <xdr:rowOff>42332</xdr:rowOff>
    </xdr:from>
    <xdr:to>
      <xdr:col>5</xdr:col>
      <xdr:colOff>42332</xdr:colOff>
      <xdr:row>38</xdr:row>
      <xdr:rowOff>537632</xdr:rowOff>
    </xdr:to>
    <xdr:pic>
      <xdr:nvPicPr>
        <xdr:cNvPr id="47" name="46 Imagen">
          <a:extLst>
            <a:ext uri="{FF2B5EF4-FFF2-40B4-BE49-F238E27FC236}">
              <a16:creationId xmlns:a16="http://schemas.microsoft.com/office/drawing/2014/main" xmlns="" id="{00000000-0008-0000-0100-00002F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5154082" y="27135665"/>
          <a:ext cx="3132667" cy="495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2582333</xdr:colOff>
      <xdr:row>45</xdr:row>
      <xdr:rowOff>31749</xdr:rowOff>
    </xdr:from>
    <xdr:to>
      <xdr:col>4</xdr:col>
      <xdr:colOff>0</xdr:colOff>
      <xdr:row>45</xdr:row>
      <xdr:rowOff>361949</xdr:rowOff>
    </xdr:to>
    <xdr:pic>
      <xdr:nvPicPr>
        <xdr:cNvPr id="49" name="48 Imagen">
          <a:extLst>
            <a:ext uri="{FF2B5EF4-FFF2-40B4-BE49-F238E27FC236}">
              <a16:creationId xmlns:a16="http://schemas.microsoft.com/office/drawing/2014/main" xmlns="" id="{00000000-0008-0000-0100-000031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5143500" y="30532916"/>
          <a:ext cx="3100918" cy="3302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219075</xdr:colOff>
      <xdr:row>54</xdr:row>
      <xdr:rowOff>161925</xdr:rowOff>
    </xdr:from>
    <xdr:to>
      <xdr:col>3</xdr:col>
      <xdr:colOff>2933700</xdr:colOff>
      <xdr:row>54</xdr:row>
      <xdr:rowOff>506380</xdr:rowOff>
    </xdr:to>
    <xdr:pic>
      <xdr:nvPicPr>
        <xdr:cNvPr id="44" name="56 Imagen">
          <a:extLst>
            <a:ext uri="{FF2B5EF4-FFF2-40B4-BE49-F238E27FC236}">
              <a16:creationId xmlns:a16="http://schemas.microsoft.com/office/drawing/2014/main" xmlns="" id="{00000000-0008-0000-0100-00002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561975</xdr:colOff>
      <xdr:row>0</xdr:row>
      <xdr:rowOff>38100</xdr:rowOff>
    </xdr:from>
    <xdr:to>
      <xdr:col>17</xdr:col>
      <xdr:colOff>104775</xdr:colOff>
      <xdr:row>2</xdr:row>
      <xdr:rowOff>238296</xdr:rowOff>
    </xdr:to>
    <xdr:pic>
      <xdr:nvPicPr>
        <xdr:cNvPr id="41" name="Imagen 4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4801850" y="38100"/>
          <a:ext cx="838200" cy="7431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54</xdr:col>
      <xdr:colOff>304800</xdr:colOff>
      <xdr:row>0</xdr:row>
      <xdr:rowOff>104775</xdr:rowOff>
    </xdr:from>
    <xdr:to>
      <xdr:col>55</xdr:col>
      <xdr:colOff>64559</xdr:colOff>
      <xdr:row>0</xdr:row>
      <xdr:rowOff>367242</xdr:rowOff>
    </xdr:to>
    <xdr:sp macro="" textlink="">
      <xdr:nvSpPr>
        <xdr:cNvPr id="6" name="5 Botón de acción: Inicio">
          <a:hlinkClick xmlns:r="http://schemas.openxmlformats.org/officeDocument/2006/relationships" r:id="rId1"/>
          <a:extLst>
            <a:ext uri="{FF2B5EF4-FFF2-40B4-BE49-F238E27FC236}">
              <a16:creationId xmlns:a16="http://schemas.microsoft.com/office/drawing/2014/main" xmlns="" id="{00000000-0008-0000-1900-000006000000}"/>
            </a:ext>
          </a:extLst>
        </xdr:cNvPr>
        <xdr:cNvSpPr/>
      </xdr:nvSpPr>
      <xdr:spPr>
        <a:xfrm>
          <a:off x="24107775" y="104775"/>
          <a:ext cx="245534" cy="26246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504825</xdr:colOff>
      <xdr:row>1</xdr:row>
      <xdr:rowOff>28575</xdr:rowOff>
    </xdr:from>
    <xdr:to>
      <xdr:col>18</xdr:col>
      <xdr:colOff>9525</xdr:colOff>
      <xdr:row>2</xdr:row>
      <xdr:rowOff>114299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1A00-000003000000}"/>
            </a:ext>
          </a:extLst>
        </xdr:cNvPr>
        <xdr:cNvSpPr/>
      </xdr:nvSpPr>
      <xdr:spPr>
        <a:xfrm>
          <a:off x="10001250" y="219075"/>
          <a:ext cx="266700" cy="28574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28</xdr:col>
      <xdr:colOff>419100</xdr:colOff>
      <xdr:row>0</xdr:row>
      <xdr:rowOff>161925</xdr:rowOff>
    </xdr:from>
    <xdr:to>
      <xdr:col>28</xdr:col>
      <xdr:colOff>733425</xdr:colOff>
      <xdr:row>2</xdr:row>
      <xdr:rowOff>38100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1B00-000003000000}"/>
            </a:ext>
          </a:extLst>
        </xdr:cNvPr>
        <xdr:cNvSpPr/>
      </xdr:nvSpPr>
      <xdr:spPr>
        <a:xfrm>
          <a:off x="16249650" y="161925"/>
          <a:ext cx="314325" cy="2667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329045</xdr:colOff>
      <xdr:row>0</xdr:row>
      <xdr:rowOff>155863</xdr:rowOff>
    </xdr:from>
    <xdr:to>
      <xdr:col>10</xdr:col>
      <xdr:colOff>8658</xdr:colOff>
      <xdr:row>2</xdr:row>
      <xdr:rowOff>25977</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1C00-000003000000}"/>
            </a:ext>
          </a:extLst>
        </xdr:cNvPr>
        <xdr:cNvSpPr/>
      </xdr:nvSpPr>
      <xdr:spPr>
        <a:xfrm>
          <a:off x="6407727" y="155863"/>
          <a:ext cx="259772" cy="259773"/>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28</xdr:col>
      <xdr:colOff>419100</xdr:colOff>
      <xdr:row>1</xdr:row>
      <xdr:rowOff>0</xdr:rowOff>
    </xdr:from>
    <xdr:to>
      <xdr:col>29</xdr:col>
      <xdr:colOff>0</xdr:colOff>
      <xdr:row>1</xdr:row>
      <xdr:rowOff>285750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1D00-000003000000}"/>
            </a:ext>
          </a:extLst>
        </xdr:cNvPr>
        <xdr:cNvSpPr/>
      </xdr:nvSpPr>
      <xdr:spPr>
        <a:xfrm>
          <a:off x="20574000" y="190500"/>
          <a:ext cx="228600"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304800</xdr:colOff>
      <xdr:row>0</xdr:row>
      <xdr:rowOff>180974</xdr:rowOff>
    </xdr:from>
    <xdr:to>
      <xdr:col>7</xdr:col>
      <xdr:colOff>561975</xdr:colOff>
      <xdr:row>1</xdr:row>
      <xdr:rowOff>247649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1E00-000003000000}"/>
            </a:ext>
          </a:extLst>
        </xdr:cNvPr>
        <xdr:cNvSpPr/>
      </xdr:nvSpPr>
      <xdr:spPr>
        <a:xfrm>
          <a:off x="6619875" y="180974"/>
          <a:ext cx="257175" cy="2571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56</xdr:col>
      <xdr:colOff>476250</xdr:colOff>
      <xdr:row>1</xdr:row>
      <xdr:rowOff>1</xdr:rowOff>
    </xdr:from>
    <xdr:to>
      <xdr:col>56</xdr:col>
      <xdr:colOff>752475</xdr:colOff>
      <xdr:row>1</xdr:row>
      <xdr:rowOff>266701</xdr:rowOff>
    </xdr:to>
    <xdr:sp macro="" textlink="">
      <xdr:nvSpPr>
        <xdr:cNvPr id="17" name="16 Botón de acción: Inicio">
          <a:hlinkClick xmlns:r="http://schemas.openxmlformats.org/officeDocument/2006/relationships" r:id="rId1"/>
          <a:extLst>
            <a:ext uri="{FF2B5EF4-FFF2-40B4-BE49-F238E27FC236}">
              <a16:creationId xmlns:a16="http://schemas.microsoft.com/office/drawing/2014/main" xmlns="" id="{00000000-0008-0000-1F00-000011000000}"/>
            </a:ext>
          </a:extLst>
        </xdr:cNvPr>
        <xdr:cNvSpPr/>
      </xdr:nvSpPr>
      <xdr:spPr>
        <a:xfrm>
          <a:off x="28927425" y="161926"/>
          <a:ext cx="276225" cy="2667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752475</xdr:colOff>
      <xdr:row>0</xdr:row>
      <xdr:rowOff>133350</xdr:rowOff>
    </xdr:from>
    <xdr:to>
      <xdr:col>2</xdr:col>
      <xdr:colOff>219075</xdr:colOff>
      <xdr:row>1</xdr:row>
      <xdr:rowOff>213880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000-000002000000}"/>
            </a:ext>
          </a:extLst>
        </xdr:cNvPr>
        <xdr:cNvSpPr/>
      </xdr:nvSpPr>
      <xdr:spPr>
        <a:xfrm>
          <a:off x="5200650" y="133350"/>
          <a:ext cx="228600" cy="28055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981075</xdr:colOff>
      <xdr:row>0</xdr:row>
      <xdr:rowOff>114300</xdr:rowOff>
    </xdr:from>
    <xdr:to>
      <xdr:col>13</xdr:col>
      <xdr:colOff>180975</xdr:colOff>
      <xdr:row>1</xdr:row>
      <xdr:rowOff>194830</xdr:rowOff>
    </xdr:to>
    <xdr:sp macro="" textlink="">
      <xdr:nvSpPr>
        <xdr:cNvPr id="5" name="4 Botón de acción: Inicio">
          <a:hlinkClick xmlns:r="http://schemas.openxmlformats.org/officeDocument/2006/relationships" r:id="rId1"/>
          <a:extLst>
            <a:ext uri="{FF2B5EF4-FFF2-40B4-BE49-F238E27FC236}">
              <a16:creationId xmlns:a16="http://schemas.microsoft.com/office/drawing/2014/main" xmlns="" id="{00000000-0008-0000-2100-000005000000}"/>
            </a:ext>
          </a:extLst>
        </xdr:cNvPr>
        <xdr:cNvSpPr/>
      </xdr:nvSpPr>
      <xdr:spPr>
        <a:xfrm>
          <a:off x="10782300" y="114300"/>
          <a:ext cx="295275" cy="27103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27</xdr:col>
      <xdr:colOff>733425</xdr:colOff>
      <xdr:row>0</xdr:row>
      <xdr:rowOff>133351</xdr:rowOff>
    </xdr:from>
    <xdr:to>
      <xdr:col>28</xdr:col>
      <xdr:colOff>209550</xdr:colOff>
      <xdr:row>0</xdr:row>
      <xdr:rowOff>438151</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200-000002000000}"/>
            </a:ext>
          </a:extLst>
        </xdr:cNvPr>
        <xdr:cNvSpPr/>
      </xdr:nvSpPr>
      <xdr:spPr>
        <a:xfrm>
          <a:off x="21116925" y="133351"/>
          <a:ext cx="238125" cy="3048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a:extLst>
            <a:ext uri="{FF2B5EF4-FFF2-40B4-BE49-F238E27FC236}">
              <a16:creationId xmlns:a16="http://schemas.microsoft.com/office/drawing/2014/main" xmlns="" id="{00000000-0008-0000-0200-000003000000}"/>
            </a:ext>
          </a:extLst>
        </xdr:cNvPr>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a:extLst>
            <a:ext uri="{FF2B5EF4-FFF2-40B4-BE49-F238E27FC236}">
              <a16:creationId xmlns:a16="http://schemas.microsoft.com/office/drawing/2014/main" xmlns="" id="{00000000-0008-0000-0200-000004000000}"/>
            </a:ext>
          </a:extLst>
        </xdr:cNvPr>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a:extLst>
            <a:ext uri="{FF2B5EF4-FFF2-40B4-BE49-F238E27FC236}">
              <a16:creationId xmlns:a16="http://schemas.microsoft.com/office/drawing/2014/main" xmlns="" id="{00000000-0008-0000-0200-000005000000}"/>
            </a:ext>
          </a:extLst>
        </xdr:cNvPr>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a:extLst>
            <a:ext uri="{FF2B5EF4-FFF2-40B4-BE49-F238E27FC236}">
              <a16:creationId xmlns:a16="http://schemas.microsoft.com/office/drawing/2014/main" xmlns="" id="{00000000-0008-0000-0200-000006000000}"/>
            </a:ext>
          </a:extLst>
        </xdr:cNvPr>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27</xdr:col>
      <xdr:colOff>761999</xdr:colOff>
      <xdr:row>0</xdr:row>
      <xdr:rowOff>95250</xdr:rowOff>
    </xdr:from>
    <xdr:to>
      <xdr:col>28</xdr:col>
      <xdr:colOff>257174</xdr:colOff>
      <xdr:row>0</xdr:row>
      <xdr:rowOff>400050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300-000002000000}"/>
            </a:ext>
          </a:extLst>
        </xdr:cNvPr>
        <xdr:cNvSpPr/>
      </xdr:nvSpPr>
      <xdr:spPr>
        <a:xfrm>
          <a:off x="19421474" y="95250"/>
          <a:ext cx="257175" cy="3048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285750</xdr:colOff>
      <xdr:row>0</xdr:row>
      <xdr:rowOff>57150</xdr:rowOff>
    </xdr:from>
    <xdr:to>
      <xdr:col>25</xdr:col>
      <xdr:colOff>533400</xdr:colOff>
      <xdr:row>0</xdr:row>
      <xdr:rowOff>352425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400-000002000000}"/>
            </a:ext>
          </a:extLst>
        </xdr:cNvPr>
        <xdr:cNvSpPr/>
      </xdr:nvSpPr>
      <xdr:spPr>
        <a:xfrm>
          <a:off x="16125825" y="57150"/>
          <a:ext cx="247650" cy="2952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503093</xdr:colOff>
      <xdr:row>0</xdr:row>
      <xdr:rowOff>170585</xdr:rowOff>
    </xdr:from>
    <xdr:to>
      <xdr:col>25</xdr:col>
      <xdr:colOff>731693</xdr:colOff>
      <xdr:row>2</xdr:row>
      <xdr:rowOff>22515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500-000002000000}"/>
            </a:ext>
          </a:extLst>
        </xdr:cNvPr>
        <xdr:cNvSpPr/>
      </xdr:nvSpPr>
      <xdr:spPr>
        <a:xfrm>
          <a:off x="23518957" y="170585"/>
          <a:ext cx="228600" cy="28488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a:extLst>
            <a:ext uri="{FF2B5EF4-FFF2-40B4-BE49-F238E27FC236}">
              <a16:creationId xmlns:a16="http://schemas.microsoft.com/office/drawing/2014/main" xmlns=""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a:extLst>
            <a:ext uri="{FF2B5EF4-FFF2-40B4-BE49-F238E27FC236}">
              <a16:creationId xmlns:a16="http://schemas.microsoft.com/office/drawing/2014/main" xmlns=""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a:extLst>
            <a:ext uri="{FF2B5EF4-FFF2-40B4-BE49-F238E27FC236}">
              <a16:creationId xmlns:a16="http://schemas.microsoft.com/office/drawing/2014/main" xmlns=""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a:extLst>
            <a:ext uri="{FF2B5EF4-FFF2-40B4-BE49-F238E27FC236}">
              <a16:creationId xmlns:a16="http://schemas.microsoft.com/office/drawing/2014/main" xmlns=""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a:extLst>
            <a:ext uri="{FF2B5EF4-FFF2-40B4-BE49-F238E27FC236}">
              <a16:creationId xmlns:a16="http://schemas.microsoft.com/office/drawing/2014/main" xmlns=""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a:extLst>
            <a:ext uri="{FF2B5EF4-FFF2-40B4-BE49-F238E27FC236}">
              <a16:creationId xmlns:a16="http://schemas.microsoft.com/office/drawing/2014/main" xmlns=""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a:extLst>
            <a:ext uri="{FF2B5EF4-FFF2-40B4-BE49-F238E27FC236}">
              <a16:creationId xmlns:a16="http://schemas.microsoft.com/office/drawing/2014/main" xmlns=""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a:extLst>
            <a:ext uri="{FF2B5EF4-FFF2-40B4-BE49-F238E27FC236}">
              <a16:creationId xmlns:a16="http://schemas.microsoft.com/office/drawing/2014/main" xmlns=""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a:extLst>
            <a:ext uri="{FF2B5EF4-FFF2-40B4-BE49-F238E27FC236}">
              <a16:creationId xmlns:a16="http://schemas.microsoft.com/office/drawing/2014/main" xmlns=""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a:extLst>
            <a:ext uri="{FF2B5EF4-FFF2-40B4-BE49-F238E27FC236}">
              <a16:creationId xmlns:a16="http://schemas.microsoft.com/office/drawing/2014/main" xmlns=""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a:extLst>
            <a:ext uri="{FF2B5EF4-FFF2-40B4-BE49-F238E27FC236}">
              <a16:creationId xmlns:a16="http://schemas.microsoft.com/office/drawing/2014/main" xmlns=""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a:extLst>
            <a:ext uri="{FF2B5EF4-FFF2-40B4-BE49-F238E27FC236}">
              <a16:creationId xmlns:a16="http://schemas.microsoft.com/office/drawing/2014/main" xmlns="" id="{00000000-0008-0000-2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54</xdr:col>
      <xdr:colOff>190499</xdr:colOff>
      <xdr:row>0</xdr:row>
      <xdr:rowOff>114300</xdr:rowOff>
    </xdr:from>
    <xdr:to>
      <xdr:col>54</xdr:col>
      <xdr:colOff>447674</xdr:colOff>
      <xdr:row>0</xdr:row>
      <xdr:rowOff>400050</xdr:rowOff>
    </xdr:to>
    <xdr:sp macro="" textlink="">
      <xdr:nvSpPr>
        <xdr:cNvPr id="14" name="13 Botón de acción: Inicio">
          <a:hlinkClick xmlns:r="http://schemas.openxmlformats.org/officeDocument/2006/relationships" r:id="rId13"/>
          <a:extLst>
            <a:ext uri="{FF2B5EF4-FFF2-40B4-BE49-F238E27FC236}">
              <a16:creationId xmlns:a16="http://schemas.microsoft.com/office/drawing/2014/main" xmlns="" id="{00000000-0008-0000-2600-00000E000000}"/>
            </a:ext>
          </a:extLst>
        </xdr:cNvPr>
        <xdr:cNvSpPr/>
      </xdr:nvSpPr>
      <xdr:spPr>
        <a:xfrm>
          <a:off x="23050499" y="114300"/>
          <a:ext cx="257175"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2700-000003000000}"/>
            </a:ext>
          </a:extLst>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504825</xdr:colOff>
      <xdr:row>0</xdr:row>
      <xdr:rowOff>161925</xdr:rowOff>
    </xdr:from>
    <xdr:to>
      <xdr:col>12</xdr:col>
      <xdr:colOff>219075</xdr:colOff>
      <xdr:row>2</xdr:row>
      <xdr:rowOff>57150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2800-000003000000}"/>
            </a:ext>
          </a:extLst>
        </xdr:cNvPr>
        <xdr:cNvSpPr/>
      </xdr:nvSpPr>
      <xdr:spPr>
        <a:xfrm>
          <a:off x="8115300" y="161925"/>
          <a:ext cx="295275" cy="295275"/>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0</xdr:colOff>
      <xdr:row>1</xdr:row>
      <xdr:rowOff>0</xdr:rowOff>
    </xdr:from>
    <xdr:to>
      <xdr:col>5</xdr:col>
      <xdr:colOff>266700</xdr:colOff>
      <xdr:row>1</xdr:row>
      <xdr:rowOff>271030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2900-000003000000}"/>
            </a:ext>
          </a:extLst>
        </xdr:cNvPr>
        <xdr:cNvSpPr/>
      </xdr:nvSpPr>
      <xdr:spPr>
        <a:xfrm>
          <a:off x="5562600" y="190500"/>
          <a:ext cx="2667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771525</xdr:colOff>
      <xdr:row>0</xdr:row>
      <xdr:rowOff>171450</xdr:rowOff>
    </xdr:from>
    <xdr:to>
      <xdr:col>7</xdr:col>
      <xdr:colOff>9526</xdr:colOff>
      <xdr:row>2</xdr:row>
      <xdr:rowOff>47625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7334250" y="17145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781050</xdr:colOff>
      <xdr:row>0</xdr:row>
      <xdr:rowOff>161925</xdr:rowOff>
    </xdr:from>
    <xdr:to>
      <xdr:col>5</xdr:col>
      <xdr:colOff>1038226</xdr:colOff>
      <xdr:row>2</xdr:row>
      <xdr:rowOff>38100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B00-000002000000}"/>
            </a:ext>
          </a:extLst>
        </xdr:cNvPr>
        <xdr:cNvSpPr/>
      </xdr:nvSpPr>
      <xdr:spPr>
        <a:xfrm>
          <a:off x="6800850" y="1619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685800</xdr:colOff>
      <xdr:row>1</xdr:row>
      <xdr:rowOff>19050</xdr:rowOff>
    </xdr:from>
    <xdr:to>
      <xdr:col>7</xdr:col>
      <xdr:colOff>9526</xdr:colOff>
      <xdr:row>2</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C00-000002000000}"/>
            </a:ext>
          </a:extLst>
        </xdr:cNvPr>
        <xdr:cNvSpPr/>
      </xdr:nvSpPr>
      <xdr:spPr>
        <a:xfrm>
          <a:off x="6838950" y="20955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381000</xdr:colOff>
      <xdr:row>0</xdr:row>
      <xdr:rowOff>85725</xdr:rowOff>
    </xdr:from>
    <xdr:to>
      <xdr:col>16</xdr:col>
      <xdr:colOff>695325</xdr:colOff>
      <xdr:row>1</xdr:row>
      <xdr:rowOff>171450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12858750" y="8572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457200</xdr:colOff>
      <xdr:row>0</xdr:row>
      <xdr:rowOff>180975</xdr:rowOff>
    </xdr:from>
    <xdr:to>
      <xdr:col>13</xdr:col>
      <xdr:colOff>1</xdr:colOff>
      <xdr:row>2</xdr:row>
      <xdr:rowOff>66675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D00-000002000000}"/>
            </a:ext>
          </a:extLst>
        </xdr:cNvPr>
        <xdr:cNvSpPr/>
      </xdr:nvSpPr>
      <xdr:spPr>
        <a:xfrm>
          <a:off x="82581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590550</xdr:colOff>
      <xdr:row>0</xdr:row>
      <xdr:rowOff>180975</xdr:rowOff>
    </xdr:from>
    <xdr:to>
      <xdr:col>6</xdr:col>
      <xdr:colOff>1</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E00-000002000000}"/>
            </a:ext>
          </a:extLst>
        </xdr:cNvPr>
        <xdr:cNvSpPr/>
      </xdr:nvSpPr>
      <xdr:spPr>
        <a:xfrm>
          <a:off x="435292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xdr:col>
      <xdr:colOff>933450</xdr:colOff>
      <xdr:row>0</xdr:row>
      <xdr:rowOff>76200</xdr:rowOff>
    </xdr:from>
    <xdr:to>
      <xdr:col>5</xdr:col>
      <xdr:colOff>1190626</xdr:colOff>
      <xdr:row>1</xdr:row>
      <xdr:rowOff>142875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2F00-000002000000}"/>
            </a:ext>
          </a:extLst>
        </xdr:cNvPr>
        <xdr:cNvSpPr/>
      </xdr:nvSpPr>
      <xdr:spPr>
        <a:xfrm>
          <a:off x="5581650" y="76200"/>
          <a:ext cx="257176" cy="25717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40</xdr:col>
      <xdr:colOff>400050</xdr:colOff>
      <xdr:row>1</xdr:row>
      <xdr:rowOff>0</xdr:rowOff>
    </xdr:from>
    <xdr:to>
      <xdr:col>40</xdr:col>
      <xdr:colOff>657226</xdr:colOff>
      <xdr:row>2</xdr:row>
      <xdr:rowOff>76200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3000-000003000000}"/>
            </a:ext>
          </a:extLst>
        </xdr:cNvPr>
        <xdr:cNvSpPr/>
      </xdr:nvSpPr>
      <xdr:spPr>
        <a:xfrm>
          <a:off x="24917400" y="1905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19050</xdr:colOff>
      <xdr:row>0</xdr:row>
      <xdr:rowOff>142875</xdr:rowOff>
    </xdr:from>
    <xdr:to>
      <xdr:col>3</xdr:col>
      <xdr:colOff>247650</xdr:colOff>
      <xdr:row>1</xdr:row>
      <xdr:rowOff>171450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3100-000002000000}"/>
            </a:ext>
          </a:extLst>
        </xdr:cNvPr>
        <xdr:cNvSpPr/>
      </xdr:nvSpPr>
      <xdr:spPr>
        <a:xfrm>
          <a:off x="3067050" y="142875"/>
          <a:ext cx="228600" cy="2286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xdr:col>
      <xdr:colOff>485775</xdr:colOff>
      <xdr:row>0</xdr:row>
      <xdr:rowOff>114300</xdr:rowOff>
    </xdr:from>
    <xdr:to>
      <xdr:col>4</xdr:col>
      <xdr:colOff>771525</xdr:colOff>
      <xdr:row>2</xdr:row>
      <xdr:rowOff>0</xdr:rowOff>
    </xdr:to>
    <xdr:sp macro="" textlink="">
      <xdr:nvSpPr>
        <xdr:cNvPr id="16" name="15 Botón de acción: Inicio">
          <a:hlinkClick xmlns:r="http://schemas.openxmlformats.org/officeDocument/2006/relationships" r:id="rId1"/>
          <a:extLst>
            <a:ext uri="{FF2B5EF4-FFF2-40B4-BE49-F238E27FC236}">
              <a16:creationId xmlns:a16="http://schemas.microsoft.com/office/drawing/2014/main" xmlns="" id="{00000000-0008-0000-3200-000010000000}"/>
            </a:ext>
          </a:extLst>
        </xdr:cNvPr>
        <xdr:cNvSpPr/>
      </xdr:nvSpPr>
      <xdr:spPr>
        <a:xfrm>
          <a:off x="5734050" y="114300"/>
          <a:ext cx="285750" cy="2762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editAs="oneCell">
    <xdr:from>
      <xdr:col>5</xdr:col>
      <xdr:colOff>0</xdr:colOff>
      <xdr:row>161</xdr:row>
      <xdr:rowOff>353880</xdr:rowOff>
    </xdr:from>
    <xdr:to>
      <xdr:col>5</xdr:col>
      <xdr:colOff>360</xdr:colOff>
      <xdr:row>179</xdr:row>
      <xdr:rowOff>14190</xdr:rowOff>
    </xdr:to>
    <xdr:sp macro="" textlink="">
      <xdr:nvSpPr>
        <xdr:cNvPr id="11" name="CustomShape 1">
          <a:extLst>
            <a:ext uri="{FF2B5EF4-FFF2-40B4-BE49-F238E27FC236}">
              <a16:creationId xmlns:a16="http://schemas.microsoft.com/office/drawing/2014/main" xmlns="" id="{00000000-0008-0000-3200-00000B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161</xdr:row>
      <xdr:rowOff>353880</xdr:rowOff>
    </xdr:from>
    <xdr:to>
      <xdr:col>5</xdr:col>
      <xdr:colOff>360</xdr:colOff>
      <xdr:row>179</xdr:row>
      <xdr:rowOff>14190</xdr:rowOff>
    </xdr:to>
    <xdr:sp macro="" textlink="">
      <xdr:nvSpPr>
        <xdr:cNvPr id="12" name="CustomShape 1">
          <a:extLst>
            <a:ext uri="{FF2B5EF4-FFF2-40B4-BE49-F238E27FC236}">
              <a16:creationId xmlns:a16="http://schemas.microsoft.com/office/drawing/2014/main" xmlns="" id="{00000000-0008-0000-3200-00000C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161</xdr:row>
      <xdr:rowOff>353880</xdr:rowOff>
    </xdr:from>
    <xdr:to>
      <xdr:col>5</xdr:col>
      <xdr:colOff>360</xdr:colOff>
      <xdr:row>179</xdr:row>
      <xdr:rowOff>14190</xdr:rowOff>
    </xdr:to>
    <xdr:sp macro="" textlink="">
      <xdr:nvSpPr>
        <xdr:cNvPr id="13" name="CustomShape 1">
          <a:extLst>
            <a:ext uri="{FF2B5EF4-FFF2-40B4-BE49-F238E27FC236}">
              <a16:creationId xmlns:a16="http://schemas.microsoft.com/office/drawing/2014/main" xmlns="" id="{00000000-0008-0000-3200-00000D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161</xdr:row>
      <xdr:rowOff>353880</xdr:rowOff>
    </xdr:from>
    <xdr:to>
      <xdr:col>5</xdr:col>
      <xdr:colOff>360</xdr:colOff>
      <xdr:row>179</xdr:row>
      <xdr:rowOff>14190</xdr:rowOff>
    </xdr:to>
    <xdr:sp macro="" textlink="">
      <xdr:nvSpPr>
        <xdr:cNvPr id="14" name="CustomShape 1">
          <a:extLst>
            <a:ext uri="{FF2B5EF4-FFF2-40B4-BE49-F238E27FC236}">
              <a16:creationId xmlns:a16="http://schemas.microsoft.com/office/drawing/2014/main" xmlns="" id="{00000000-0008-0000-3200-00000E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127</xdr:row>
      <xdr:rowOff>0</xdr:rowOff>
    </xdr:from>
    <xdr:to>
      <xdr:col>2</xdr:col>
      <xdr:colOff>0</xdr:colOff>
      <xdr:row>145</xdr:row>
      <xdr:rowOff>0</xdr:rowOff>
    </xdr:to>
    <xdr:sp macro="" textlink="">
      <xdr:nvSpPr>
        <xdr:cNvPr id="2" name="Rectangle 107">
          <a:extLst>
            <a:ext uri="{FF2B5EF4-FFF2-40B4-BE49-F238E27FC236}">
              <a16:creationId xmlns:a16="http://schemas.microsoft.com/office/drawing/2014/main" xmlns="" id="{00000000-0008-0000-3300-000002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127</xdr:row>
      <xdr:rowOff>0</xdr:rowOff>
    </xdr:from>
    <xdr:to>
      <xdr:col>2</xdr:col>
      <xdr:colOff>0</xdr:colOff>
      <xdr:row>145</xdr:row>
      <xdr:rowOff>0</xdr:rowOff>
    </xdr:to>
    <xdr:sp macro="" textlink="">
      <xdr:nvSpPr>
        <xdr:cNvPr id="3" name="Rectangle 108">
          <a:extLst>
            <a:ext uri="{FF2B5EF4-FFF2-40B4-BE49-F238E27FC236}">
              <a16:creationId xmlns:a16="http://schemas.microsoft.com/office/drawing/2014/main" xmlns="" id="{00000000-0008-0000-3300-000003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151</xdr:row>
      <xdr:rowOff>0</xdr:rowOff>
    </xdr:from>
    <xdr:to>
      <xdr:col>2</xdr:col>
      <xdr:colOff>0</xdr:colOff>
      <xdr:row>168</xdr:row>
      <xdr:rowOff>0</xdr:rowOff>
    </xdr:to>
    <xdr:sp macro="" textlink="">
      <xdr:nvSpPr>
        <xdr:cNvPr id="4" name="Rectangle 107">
          <a:extLst>
            <a:ext uri="{FF2B5EF4-FFF2-40B4-BE49-F238E27FC236}">
              <a16:creationId xmlns:a16="http://schemas.microsoft.com/office/drawing/2014/main" xmlns="" id="{00000000-0008-0000-3300-000004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151</xdr:row>
      <xdr:rowOff>0</xdr:rowOff>
    </xdr:from>
    <xdr:to>
      <xdr:col>2</xdr:col>
      <xdr:colOff>0</xdr:colOff>
      <xdr:row>168</xdr:row>
      <xdr:rowOff>0</xdr:rowOff>
    </xdr:to>
    <xdr:sp macro="" textlink="">
      <xdr:nvSpPr>
        <xdr:cNvPr id="5" name="Rectangle 108">
          <a:extLst>
            <a:ext uri="{FF2B5EF4-FFF2-40B4-BE49-F238E27FC236}">
              <a16:creationId xmlns:a16="http://schemas.microsoft.com/office/drawing/2014/main" xmlns="" id="{00000000-0008-0000-3300-000005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128</xdr:row>
      <xdr:rowOff>0</xdr:rowOff>
    </xdr:from>
    <xdr:to>
      <xdr:col>6</xdr:col>
      <xdr:colOff>0</xdr:colOff>
      <xdr:row>133</xdr:row>
      <xdr:rowOff>0</xdr:rowOff>
    </xdr:to>
    <xdr:sp macro="" textlink="">
      <xdr:nvSpPr>
        <xdr:cNvPr id="6" name="Rectangle 107">
          <a:extLst>
            <a:ext uri="{FF2B5EF4-FFF2-40B4-BE49-F238E27FC236}">
              <a16:creationId xmlns:a16="http://schemas.microsoft.com/office/drawing/2014/main" xmlns="" id="{00000000-0008-0000-3300-000006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128</xdr:row>
      <xdr:rowOff>0</xdr:rowOff>
    </xdr:from>
    <xdr:to>
      <xdr:col>6</xdr:col>
      <xdr:colOff>0</xdr:colOff>
      <xdr:row>133</xdr:row>
      <xdr:rowOff>0</xdr:rowOff>
    </xdr:to>
    <xdr:sp macro="" textlink="">
      <xdr:nvSpPr>
        <xdr:cNvPr id="7" name="Rectangle 108">
          <a:extLst>
            <a:ext uri="{FF2B5EF4-FFF2-40B4-BE49-F238E27FC236}">
              <a16:creationId xmlns:a16="http://schemas.microsoft.com/office/drawing/2014/main" xmlns="" id="{00000000-0008-0000-3300-000007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133</xdr:row>
      <xdr:rowOff>0</xdr:rowOff>
    </xdr:to>
    <xdr:sp macro="" textlink="">
      <xdr:nvSpPr>
        <xdr:cNvPr id="8" name="Rectangle 107">
          <a:extLst>
            <a:ext uri="{FF2B5EF4-FFF2-40B4-BE49-F238E27FC236}">
              <a16:creationId xmlns:a16="http://schemas.microsoft.com/office/drawing/2014/main" xmlns="" id="{00000000-0008-0000-3300-000008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133</xdr:row>
      <xdr:rowOff>0</xdr:rowOff>
    </xdr:to>
    <xdr:sp macro="" textlink="">
      <xdr:nvSpPr>
        <xdr:cNvPr id="9" name="Rectangle 108">
          <a:extLst>
            <a:ext uri="{FF2B5EF4-FFF2-40B4-BE49-F238E27FC236}">
              <a16:creationId xmlns:a16="http://schemas.microsoft.com/office/drawing/2014/main" xmlns="" id="{00000000-0008-0000-3300-000009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3</xdr:col>
      <xdr:colOff>228601</xdr:colOff>
      <xdr:row>0</xdr:row>
      <xdr:rowOff>152400</xdr:rowOff>
    </xdr:from>
    <xdr:to>
      <xdr:col>3</xdr:col>
      <xdr:colOff>485775</xdr:colOff>
      <xdr:row>2</xdr:row>
      <xdr:rowOff>28575</xdr:rowOff>
    </xdr:to>
    <xdr:sp macro="" textlink="">
      <xdr:nvSpPr>
        <xdr:cNvPr id="10" name="9 Botón de acción: Inicio">
          <a:hlinkClick xmlns:r="http://schemas.openxmlformats.org/officeDocument/2006/relationships" r:id="rId1"/>
          <a:extLst>
            <a:ext uri="{FF2B5EF4-FFF2-40B4-BE49-F238E27FC236}">
              <a16:creationId xmlns:a16="http://schemas.microsoft.com/office/drawing/2014/main" xmlns="" id="{00000000-0008-0000-3300-00000A000000}"/>
            </a:ext>
          </a:extLst>
        </xdr:cNvPr>
        <xdr:cNvSpPr/>
      </xdr:nvSpPr>
      <xdr:spPr>
        <a:xfrm>
          <a:off x="4867276" y="152400"/>
          <a:ext cx="257174"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127</xdr:row>
      <xdr:rowOff>0</xdr:rowOff>
    </xdr:from>
    <xdr:to>
      <xdr:col>2</xdr:col>
      <xdr:colOff>0</xdr:colOff>
      <xdr:row>147</xdr:row>
      <xdr:rowOff>0</xdr:rowOff>
    </xdr:to>
    <xdr:sp macro="" textlink="">
      <xdr:nvSpPr>
        <xdr:cNvPr id="11" name="Rectangle 107">
          <a:extLst>
            <a:ext uri="{FF2B5EF4-FFF2-40B4-BE49-F238E27FC236}">
              <a16:creationId xmlns:a16="http://schemas.microsoft.com/office/drawing/2014/main" xmlns="" id="{00000000-0008-0000-3300-00000B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127</xdr:row>
      <xdr:rowOff>0</xdr:rowOff>
    </xdr:from>
    <xdr:to>
      <xdr:col>2</xdr:col>
      <xdr:colOff>0</xdr:colOff>
      <xdr:row>147</xdr:row>
      <xdr:rowOff>0</xdr:rowOff>
    </xdr:to>
    <xdr:sp macro="" textlink="">
      <xdr:nvSpPr>
        <xdr:cNvPr id="12" name="Rectangle 108">
          <a:extLst>
            <a:ext uri="{FF2B5EF4-FFF2-40B4-BE49-F238E27FC236}">
              <a16:creationId xmlns:a16="http://schemas.microsoft.com/office/drawing/2014/main" xmlns="" id="{00000000-0008-0000-3300-00000C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151</xdr:row>
      <xdr:rowOff>0</xdr:rowOff>
    </xdr:from>
    <xdr:to>
      <xdr:col>2</xdr:col>
      <xdr:colOff>0</xdr:colOff>
      <xdr:row>176</xdr:row>
      <xdr:rowOff>0</xdr:rowOff>
    </xdr:to>
    <xdr:sp macro="" textlink="">
      <xdr:nvSpPr>
        <xdr:cNvPr id="13" name="Rectangle 107">
          <a:extLst>
            <a:ext uri="{FF2B5EF4-FFF2-40B4-BE49-F238E27FC236}">
              <a16:creationId xmlns:a16="http://schemas.microsoft.com/office/drawing/2014/main" xmlns="" id="{00000000-0008-0000-3300-00000D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151</xdr:row>
      <xdr:rowOff>0</xdr:rowOff>
    </xdr:from>
    <xdr:to>
      <xdr:col>2</xdr:col>
      <xdr:colOff>0</xdr:colOff>
      <xdr:row>176</xdr:row>
      <xdr:rowOff>0</xdr:rowOff>
    </xdr:to>
    <xdr:sp macro="" textlink="">
      <xdr:nvSpPr>
        <xdr:cNvPr id="14" name="Rectangle 108">
          <a:extLst>
            <a:ext uri="{FF2B5EF4-FFF2-40B4-BE49-F238E27FC236}">
              <a16:creationId xmlns:a16="http://schemas.microsoft.com/office/drawing/2014/main" xmlns="" id="{00000000-0008-0000-3300-00000E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143</xdr:row>
      <xdr:rowOff>0</xdr:rowOff>
    </xdr:to>
    <xdr:sp macro="" textlink="">
      <xdr:nvSpPr>
        <xdr:cNvPr id="15" name="Rectangle 107">
          <a:extLst>
            <a:ext uri="{FF2B5EF4-FFF2-40B4-BE49-F238E27FC236}">
              <a16:creationId xmlns:a16="http://schemas.microsoft.com/office/drawing/2014/main" xmlns="" id="{00000000-0008-0000-3300-00000F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143</xdr:row>
      <xdr:rowOff>0</xdr:rowOff>
    </xdr:to>
    <xdr:sp macro="" textlink="">
      <xdr:nvSpPr>
        <xdr:cNvPr id="16" name="Rectangle 108">
          <a:extLst>
            <a:ext uri="{FF2B5EF4-FFF2-40B4-BE49-F238E27FC236}">
              <a16:creationId xmlns:a16="http://schemas.microsoft.com/office/drawing/2014/main" xmlns="" id="{00000000-0008-0000-3300-000010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143</xdr:row>
      <xdr:rowOff>0</xdr:rowOff>
    </xdr:to>
    <xdr:sp macro="" textlink="">
      <xdr:nvSpPr>
        <xdr:cNvPr id="17" name="Rectangle 107">
          <a:extLst>
            <a:ext uri="{FF2B5EF4-FFF2-40B4-BE49-F238E27FC236}">
              <a16:creationId xmlns:a16="http://schemas.microsoft.com/office/drawing/2014/main" xmlns="" id="{00000000-0008-0000-3300-000011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143</xdr:row>
      <xdr:rowOff>0</xdr:rowOff>
    </xdr:to>
    <xdr:sp macro="" textlink="">
      <xdr:nvSpPr>
        <xdr:cNvPr id="18" name="Rectangle 108">
          <a:extLst>
            <a:ext uri="{FF2B5EF4-FFF2-40B4-BE49-F238E27FC236}">
              <a16:creationId xmlns:a16="http://schemas.microsoft.com/office/drawing/2014/main" xmlns="" id="{00000000-0008-0000-3300-000012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151</xdr:row>
      <xdr:rowOff>0</xdr:rowOff>
    </xdr:from>
    <xdr:to>
      <xdr:col>2</xdr:col>
      <xdr:colOff>0</xdr:colOff>
      <xdr:row>180</xdr:row>
      <xdr:rowOff>0</xdr:rowOff>
    </xdr:to>
    <xdr:sp macro="" textlink="">
      <xdr:nvSpPr>
        <xdr:cNvPr id="19" name="Rectangle 107">
          <a:extLst>
            <a:ext uri="{FF2B5EF4-FFF2-40B4-BE49-F238E27FC236}">
              <a16:creationId xmlns:a16="http://schemas.microsoft.com/office/drawing/2014/main" xmlns="" id="{00000000-0008-0000-3300-000013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151</xdr:row>
      <xdr:rowOff>0</xdr:rowOff>
    </xdr:from>
    <xdr:to>
      <xdr:col>2</xdr:col>
      <xdr:colOff>0</xdr:colOff>
      <xdr:row>180</xdr:row>
      <xdr:rowOff>0</xdr:rowOff>
    </xdr:to>
    <xdr:sp macro="" textlink="">
      <xdr:nvSpPr>
        <xdr:cNvPr id="20" name="Rectangle 108">
          <a:extLst>
            <a:ext uri="{FF2B5EF4-FFF2-40B4-BE49-F238E27FC236}">
              <a16:creationId xmlns:a16="http://schemas.microsoft.com/office/drawing/2014/main" xmlns="" id="{00000000-0008-0000-3300-000014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141</xdr:row>
      <xdr:rowOff>0</xdr:rowOff>
    </xdr:to>
    <xdr:sp macro="" textlink="">
      <xdr:nvSpPr>
        <xdr:cNvPr id="21" name="Rectangle 107">
          <a:extLst>
            <a:ext uri="{FF2B5EF4-FFF2-40B4-BE49-F238E27FC236}">
              <a16:creationId xmlns:a16="http://schemas.microsoft.com/office/drawing/2014/main" xmlns="" id="{00000000-0008-0000-3300-000015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141</xdr:row>
      <xdr:rowOff>0</xdr:rowOff>
    </xdr:to>
    <xdr:sp macro="" textlink="">
      <xdr:nvSpPr>
        <xdr:cNvPr id="22" name="Rectangle 108">
          <a:extLst>
            <a:ext uri="{FF2B5EF4-FFF2-40B4-BE49-F238E27FC236}">
              <a16:creationId xmlns:a16="http://schemas.microsoft.com/office/drawing/2014/main" xmlns="" id="{00000000-0008-0000-3300-000016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128</xdr:row>
      <xdr:rowOff>0</xdr:rowOff>
    </xdr:from>
    <xdr:to>
      <xdr:col>2</xdr:col>
      <xdr:colOff>0</xdr:colOff>
      <xdr:row>137</xdr:row>
      <xdr:rowOff>0</xdr:rowOff>
    </xdr:to>
    <xdr:sp macro="" textlink="">
      <xdr:nvSpPr>
        <xdr:cNvPr id="23" name="Rectangle 107">
          <a:extLst>
            <a:ext uri="{FF2B5EF4-FFF2-40B4-BE49-F238E27FC236}">
              <a16:creationId xmlns:a16="http://schemas.microsoft.com/office/drawing/2014/main" xmlns="" id="{00000000-0008-0000-3300-000017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137</xdr:row>
      <xdr:rowOff>0</xdr:rowOff>
    </xdr:to>
    <xdr:sp macro="" textlink="">
      <xdr:nvSpPr>
        <xdr:cNvPr id="24" name="Rectangle 108">
          <a:extLst>
            <a:ext uri="{FF2B5EF4-FFF2-40B4-BE49-F238E27FC236}">
              <a16:creationId xmlns:a16="http://schemas.microsoft.com/office/drawing/2014/main" xmlns="" id="{00000000-0008-0000-3300-000018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151</xdr:row>
      <xdr:rowOff>0</xdr:rowOff>
    </xdr:from>
    <xdr:to>
      <xdr:col>2</xdr:col>
      <xdr:colOff>0</xdr:colOff>
      <xdr:row>172</xdr:row>
      <xdr:rowOff>0</xdr:rowOff>
    </xdr:to>
    <xdr:sp macro="" textlink="">
      <xdr:nvSpPr>
        <xdr:cNvPr id="25" name="Rectangle 107">
          <a:extLst>
            <a:ext uri="{FF2B5EF4-FFF2-40B4-BE49-F238E27FC236}">
              <a16:creationId xmlns:a16="http://schemas.microsoft.com/office/drawing/2014/main" xmlns="" id="{00000000-0008-0000-3300-000019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151</xdr:row>
      <xdr:rowOff>0</xdr:rowOff>
    </xdr:from>
    <xdr:to>
      <xdr:col>2</xdr:col>
      <xdr:colOff>0</xdr:colOff>
      <xdr:row>172</xdr:row>
      <xdr:rowOff>0</xdr:rowOff>
    </xdr:to>
    <xdr:sp macro="" textlink="">
      <xdr:nvSpPr>
        <xdr:cNvPr id="26" name="Rectangle 108">
          <a:extLst>
            <a:ext uri="{FF2B5EF4-FFF2-40B4-BE49-F238E27FC236}">
              <a16:creationId xmlns:a16="http://schemas.microsoft.com/office/drawing/2014/main" xmlns="" id="{00000000-0008-0000-3300-00001A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132</xdr:row>
      <xdr:rowOff>0</xdr:rowOff>
    </xdr:from>
    <xdr:to>
      <xdr:col>6</xdr:col>
      <xdr:colOff>0</xdr:colOff>
      <xdr:row>146</xdr:row>
      <xdr:rowOff>0</xdr:rowOff>
    </xdr:to>
    <xdr:sp macro="" textlink="">
      <xdr:nvSpPr>
        <xdr:cNvPr id="27" name="Rectangle 107">
          <a:extLst>
            <a:ext uri="{FF2B5EF4-FFF2-40B4-BE49-F238E27FC236}">
              <a16:creationId xmlns:a16="http://schemas.microsoft.com/office/drawing/2014/main" xmlns="" id="{00000000-0008-0000-3300-00001B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132</xdr:row>
      <xdr:rowOff>0</xdr:rowOff>
    </xdr:from>
    <xdr:to>
      <xdr:col>6</xdr:col>
      <xdr:colOff>0</xdr:colOff>
      <xdr:row>146</xdr:row>
      <xdr:rowOff>0</xdr:rowOff>
    </xdr:to>
    <xdr:sp macro="" textlink="">
      <xdr:nvSpPr>
        <xdr:cNvPr id="28" name="Rectangle 108">
          <a:extLst>
            <a:ext uri="{FF2B5EF4-FFF2-40B4-BE49-F238E27FC236}">
              <a16:creationId xmlns:a16="http://schemas.microsoft.com/office/drawing/2014/main" xmlns="" id="{00000000-0008-0000-3300-00001C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144</xdr:row>
      <xdr:rowOff>0</xdr:rowOff>
    </xdr:from>
    <xdr:to>
      <xdr:col>6</xdr:col>
      <xdr:colOff>0</xdr:colOff>
      <xdr:row>146</xdr:row>
      <xdr:rowOff>0</xdr:rowOff>
    </xdr:to>
    <xdr:sp macro="" textlink="">
      <xdr:nvSpPr>
        <xdr:cNvPr id="29" name="Rectangle 107">
          <a:extLst>
            <a:ext uri="{FF2B5EF4-FFF2-40B4-BE49-F238E27FC236}">
              <a16:creationId xmlns:a16="http://schemas.microsoft.com/office/drawing/2014/main" xmlns="" id="{00000000-0008-0000-3300-00001D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144</xdr:row>
      <xdr:rowOff>0</xdr:rowOff>
    </xdr:from>
    <xdr:to>
      <xdr:col>6</xdr:col>
      <xdr:colOff>0</xdr:colOff>
      <xdr:row>146</xdr:row>
      <xdr:rowOff>0</xdr:rowOff>
    </xdr:to>
    <xdr:sp macro="" textlink="">
      <xdr:nvSpPr>
        <xdr:cNvPr id="30" name="Rectangle 108">
          <a:extLst>
            <a:ext uri="{FF2B5EF4-FFF2-40B4-BE49-F238E27FC236}">
              <a16:creationId xmlns:a16="http://schemas.microsoft.com/office/drawing/2014/main" xmlns="" id="{00000000-0008-0000-3300-00001E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127</xdr:row>
      <xdr:rowOff>0</xdr:rowOff>
    </xdr:from>
    <xdr:to>
      <xdr:col>2</xdr:col>
      <xdr:colOff>0</xdr:colOff>
      <xdr:row>145</xdr:row>
      <xdr:rowOff>0</xdr:rowOff>
    </xdr:to>
    <xdr:sp macro="" textlink="">
      <xdr:nvSpPr>
        <xdr:cNvPr id="31" name="Rectangle 107">
          <a:extLst>
            <a:ext uri="{FF2B5EF4-FFF2-40B4-BE49-F238E27FC236}">
              <a16:creationId xmlns:a16="http://schemas.microsoft.com/office/drawing/2014/main" xmlns="" id="{00000000-0008-0000-3300-00001F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127</xdr:row>
      <xdr:rowOff>0</xdr:rowOff>
    </xdr:from>
    <xdr:to>
      <xdr:col>2</xdr:col>
      <xdr:colOff>0</xdr:colOff>
      <xdr:row>145</xdr:row>
      <xdr:rowOff>0</xdr:rowOff>
    </xdr:to>
    <xdr:sp macro="" textlink="">
      <xdr:nvSpPr>
        <xdr:cNvPr id="32" name="Rectangle 108">
          <a:extLst>
            <a:ext uri="{FF2B5EF4-FFF2-40B4-BE49-F238E27FC236}">
              <a16:creationId xmlns:a16="http://schemas.microsoft.com/office/drawing/2014/main" xmlns="" id="{00000000-0008-0000-3300-000020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161</xdr:row>
      <xdr:rowOff>0</xdr:rowOff>
    </xdr:from>
    <xdr:to>
      <xdr:col>2</xdr:col>
      <xdr:colOff>0</xdr:colOff>
      <xdr:row>180</xdr:row>
      <xdr:rowOff>0</xdr:rowOff>
    </xdr:to>
    <xdr:sp macro="" textlink="">
      <xdr:nvSpPr>
        <xdr:cNvPr id="33" name="Rectangle 107">
          <a:extLst>
            <a:ext uri="{FF2B5EF4-FFF2-40B4-BE49-F238E27FC236}">
              <a16:creationId xmlns:a16="http://schemas.microsoft.com/office/drawing/2014/main" xmlns="" id="{00000000-0008-0000-3300-000021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161</xdr:row>
      <xdr:rowOff>0</xdr:rowOff>
    </xdr:from>
    <xdr:to>
      <xdr:col>2</xdr:col>
      <xdr:colOff>0</xdr:colOff>
      <xdr:row>180</xdr:row>
      <xdr:rowOff>0</xdr:rowOff>
    </xdr:to>
    <xdr:sp macro="" textlink="">
      <xdr:nvSpPr>
        <xdr:cNvPr id="34" name="Rectangle 108">
          <a:extLst>
            <a:ext uri="{FF2B5EF4-FFF2-40B4-BE49-F238E27FC236}">
              <a16:creationId xmlns:a16="http://schemas.microsoft.com/office/drawing/2014/main" xmlns="" id="{00000000-0008-0000-3300-000022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128</xdr:row>
      <xdr:rowOff>0</xdr:rowOff>
    </xdr:from>
    <xdr:to>
      <xdr:col>6</xdr:col>
      <xdr:colOff>0</xdr:colOff>
      <xdr:row>133</xdr:row>
      <xdr:rowOff>0</xdr:rowOff>
    </xdr:to>
    <xdr:sp macro="" textlink="">
      <xdr:nvSpPr>
        <xdr:cNvPr id="35" name="Rectangle 107">
          <a:extLst>
            <a:ext uri="{FF2B5EF4-FFF2-40B4-BE49-F238E27FC236}">
              <a16:creationId xmlns:a16="http://schemas.microsoft.com/office/drawing/2014/main" xmlns="" id="{00000000-0008-0000-3300-000023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128</xdr:row>
      <xdr:rowOff>0</xdr:rowOff>
    </xdr:from>
    <xdr:to>
      <xdr:col>6</xdr:col>
      <xdr:colOff>0</xdr:colOff>
      <xdr:row>133</xdr:row>
      <xdr:rowOff>0</xdr:rowOff>
    </xdr:to>
    <xdr:sp macro="" textlink="">
      <xdr:nvSpPr>
        <xdr:cNvPr id="36" name="Rectangle 108">
          <a:extLst>
            <a:ext uri="{FF2B5EF4-FFF2-40B4-BE49-F238E27FC236}">
              <a16:creationId xmlns:a16="http://schemas.microsoft.com/office/drawing/2014/main" xmlns="" id="{00000000-0008-0000-3300-000024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133</xdr:row>
      <xdr:rowOff>0</xdr:rowOff>
    </xdr:to>
    <xdr:sp macro="" textlink="">
      <xdr:nvSpPr>
        <xdr:cNvPr id="37" name="Rectangle 107">
          <a:extLst>
            <a:ext uri="{FF2B5EF4-FFF2-40B4-BE49-F238E27FC236}">
              <a16:creationId xmlns:a16="http://schemas.microsoft.com/office/drawing/2014/main" xmlns="" id="{00000000-0008-0000-3300-000025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133</xdr:row>
      <xdr:rowOff>0</xdr:rowOff>
    </xdr:to>
    <xdr:sp macro="" textlink="">
      <xdr:nvSpPr>
        <xdr:cNvPr id="38" name="Rectangle 108">
          <a:extLst>
            <a:ext uri="{FF2B5EF4-FFF2-40B4-BE49-F238E27FC236}">
              <a16:creationId xmlns:a16="http://schemas.microsoft.com/office/drawing/2014/main" xmlns="" id="{00000000-0008-0000-3300-000026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127</xdr:row>
      <xdr:rowOff>0</xdr:rowOff>
    </xdr:from>
    <xdr:to>
      <xdr:col>2</xdr:col>
      <xdr:colOff>0</xdr:colOff>
      <xdr:row>147</xdr:row>
      <xdr:rowOff>0</xdr:rowOff>
    </xdr:to>
    <xdr:sp macro="" textlink="">
      <xdr:nvSpPr>
        <xdr:cNvPr id="39" name="Rectangle 107">
          <a:extLst>
            <a:ext uri="{FF2B5EF4-FFF2-40B4-BE49-F238E27FC236}">
              <a16:creationId xmlns:a16="http://schemas.microsoft.com/office/drawing/2014/main" xmlns="" id="{00000000-0008-0000-3300-000027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127</xdr:row>
      <xdr:rowOff>0</xdr:rowOff>
    </xdr:from>
    <xdr:to>
      <xdr:col>2</xdr:col>
      <xdr:colOff>0</xdr:colOff>
      <xdr:row>147</xdr:row>
      <xdr:rowOff>0</xdr:rowOff>
    </xdr:to>
    <xdr:sp macro="" textlink="">
      <xdr:nvSpPr>
        <xdr:cNvPr id="40" name="Rectangle 108">
          <a:extLst>
            <a:ext uri="{FF2B5EF4-FFF2-40B4-BE49-F238E27FC236}">
              <a16:creationId xmlns:a16="http://schemas.microsoft.com/office/drawing/2014/main" xmlns="" id="{00000000-0008-0000-3300-000028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161</xdr:row>
      <xdr:rowOff>0</xdr:rowOff>
    </xdr:from>
    <xdr:to>
      <xdr:col>2</xdr:col>
      <xdr:colOff>0</xdr:colOff>
      <xdr:row>185</xdr:row>
      <xdr:rowOff>0</xdr:rowOff>
    </xdr:to>
    <xdr:sp macro="" textlink="">
      <xdr:nvSpPr>
        <xdr:cNvPr id="41" name="Rectangle 107">
          <a:extLst>
            <a:ext uri="{FF2B5EF4-FFF2-40B4-BE49-F238E27FC236}">
              <a16:creationId xmlns:a16="http://schemas.microsoft.com/office/drawing/2014/main" xmlns="" id="{00000000-0008-0000-3300-000029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161</xdr:row>
      <xdr:rowOff>0</xdr:rowOff>
    </xdr:from>
    <xdr:to>
      <xdr:col>2</xdr:col>
      <xdr:colOff>0</xdr:colOff>
      <xdr:row>185</xdr:row>
      <xdr:rowOff>0</xdr:rowOff>
    </xdr:to>
    <xdr:sp macro="" textlink="">
      <xdr:nvSpPr>
        <xdr:cNvPr id="42" name="Rectangle 108">
          <a:extLst>
            <a:ext uri="{FF2B5EF4-FFF2-40B4-BE49-F238E27FC236}">
              <a16:creationId xmlns:a16="http://schemas.microsoft.com/office/drawing/2014/main" xmlns="" id="{00000000-0008-0000-3300-00002A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136</xdr:row>
      <xdr:rowOff>0</xdr:rowOff>
    </xdr:to>
    <xdr:sp macro="" textlink="">
      <xdr:nvSpPr>
        <xdr:cNvPr id="43" name="Rectangle 107">
          <a:extLst>
            <a:ext uri="{FF2B5EF4-FFF2-40B4-BE49-F238E27FC236}">
              <a16:creationId xmlns:a16="http://schemas.microsoft.com/office/drawing/2014/main" xmlns="" id="{00000000-0008-0000-3300-00002B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136</xdr:row>
      <xdr:rowOff>0</xdr:rowOff>
    </xdr:to>
    <xdr:sp macro="" textlink="">
      <xdr:nvSpPr>
        <xdr:cNvPr id="44" name="Rectangle 108">
          <a:extLst>
            <a:ext uri="{FF2B5EF4-FFF2-40B4-BE49-F238E27FC236}">
              <a16:creationId xmlns:a16="http://schemas.microsoft.com/office/drawing/2014/main" xmlns="" id="{00000000-0008-0000-3300-00002C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136</xdr:row>
      <xdr:rowOff>0</xdr:rowOff>
    </xdr:to>
    <xdr:sp macro="" textlink="">
      <xdr:nvSpPr>
        <xdr:cNvPr id="45" name="Rectangle 107">
          <a:extLst>
            <a:ext uri="{FF2B5EF4-FFF2-40B4-BE49-F238E27FC236}">
              <a16:creationId xmlns:a16="http://schemas.microsoft.com/office/drawing/2014/main" xmlns="" id="{00000000-0008-0000-3300-00002D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129</xdr:row>
      <xdr:rowOff>0</xdr:rowOff>
    </xdr:from>
    <xdr:to>
      <xdr:col>6</xdr:col>
      <xdr:colOff>0</xdr:colOff>
      <xdr:row>136</xdr:row>
      <xdr:rowOff>0</xdr:rowOff>
    </xdr:to>
    <xdr:sp macro="" textlink="">
      <xdr:nvSpPr>
        <xdr:cNvPr id="46" name="Rectangle 108">
          <a:extLst>
            <a:ext uri="{FF2B5EF4-FFF2-40B4-BE49-F238E27FC236}">
              <a16:creationId xmlns:a16="http://schemas.microsoft.com/office/drawing/2014/main" xmlns="" id="{00000000-0008-0000-3300-00002E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161</xdr:row>
      <xdr:rowOff>0</xdr:rowOff>
    </xdr:from>
    <xdr:to>
      <xdr:col>2</xdr:col>
      <xdr:colOff>0</xdr:colOff>
      <xdr:row>186</xdr:row>
      <xdr:rowOff>0</xdr:rowOff>
    </xdr:to>
    <xdr:sp macro="" textlink="">
      <xdr:nvSpPr>
        <xdr:cNvPr id="47" name="Rectangle 107">
          <a:extLst>
            <a:ext uri="{FF2B5EF4-FFF2-40B4-BE49-F238E27FC236}">
              <a16:creationId xmlns:a16="http://schemas.microsoft.com/office/drawing/2014/main" xmlns="" id="{00000000-0008-0000-3300-00002F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161</xdr:row>
      <xdr:rowOff>0</xdr:rowOff>
    </xdr:from>
    <xdr:to>
      <xdr:col>2</xdr:col>
      <xdr:colOff>0</xdr:colOff>
      <xdr:row>186</xdr:row>
      <xdr:rowOff>0</xdr:rowOff>
    </xdr:to>
    <xdr:sp macro="" textlink="">
      <xdr:nvSpPr>
        <xdr:cNvPr id="48" name="Rectangle 108">
          <a:extLst>
            <a:ext uri="{FF2B5EF4-FFF2-40B4-BE49-F238E27FC236}">
              <a16:creationId xmlns:a16="http://schemas.microsoft.com/office/drawing/2014/main" xmlns="" id="{00000000-0008-0000-3300-000030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136</xdr:row>
      <xdr:rowOff>0</xdr:rowOff>
    </xdr:to>
    <xdr:sp macro="" textlink="">
      <xdr:nvSpPr>
        <xdr:cNvPr id="49" name="Rectangle 107">
          <a:extLst>
            <a:ext uri="{FF2B5EF4-FFF2-40B4-BE49-F238E27FC236}">
              <a16:creationId xmlns:a16="http://schemas.microsoft.com/office/drawing/2014/main" xmlns="" id="{00000000-0008-0000-3300-000031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127</xdr:row>
      <xdr:rowOff>0</xdr:rowOff>
    </xdr:from>
    <xdr:to>
      <xdr:col>6</xdr:col>
      <xdr:colOff>0</xdr:colOff>
      <xdr:row>136</xdr:row>
      <xdr:rowOff>0</xdr:rowOff>
    </xdr:to>
    <xdr:sp macro="" textlink="">
      <xdr:nvSpPr>
        <xdr:cNvPr id="50" name="Rectangle 108">
          <a:extLst>
            <a:ext uri="{FF2B5EF4-FFF2-40B4-BE49-F238E27FC236}">
              <a16:creationId xmlns:a16="http://schemas.microsoft.com/office/drawing/2014/main" xmlns="" id="{00000000-0008-0000-3300-000032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128</xdr:row>
      <xdr:rowOff>0</xdr:rowOff>
    </xdr:from>
    <xdr:to>
      <xdr:col>2</xdr:col>
      <xdr:colOff>0</xdr:colOff>
      <xdr:row>137</xdr:row>
      <xdr:rowOff>0</xdr:rowOff>
    </xdr:to>
    <xdr:sp macro="" textlink="">
      <xdr:nvSpPr>
        <xdr:cNvPr id="51" name="Rectangle 107">
          <a:extLst>
            <a:ext uri="{FF2B5EF4-FFF2-40B4-BE49-F238E27FC236}">
              <a16:creationId xmlns:a16="http://schemas.microsoft.com/office/drawing/2014/main" xmlns="" id="{00000000-0008-0000-3300-000033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137</xdr:row>
      <xdr:rowOff>0</xdr:rowOff>
    </xdr:to>
    <xdr:sp macro="" textlink="">
      <xdr:nvSpPr>
        <xdr:cNvPr id="52" name="Rectangle 108">
          <a:extLst>
            <a:ext uri="{FF2B5EF4-FFF2-40B4-BE49-F238E27FC236}">
              <a16:creationId xmlns:a16="http://schemas.microsoft.com/office/drawing/2014/main" xmlns="" id="{00000000-0008-0000-3300-000034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162</xdr:row>
      <xdr:rowOff>0</xdr:rowOff>
    </xdr:from>
    <xdr:to>
      <xdr:col>2</xdr:col>
      <xdr:colOff>0</xdr:colOff>
      <xdr:row>184</xdr:row>
      <xdr:rowOff>0</xdr:rowOff>
    </xdr:to>
    <xdr:sp macro="" textlink="">
      <xdr:nvSpPr>
        <xdr:cNvPr id="53" name="Rectangle 107">
          <a:extLst>
            <a:ext uri="{FF2B5EF4-FFF2-40B4-BE49-F238E27FC236}">
              <a16:creationId xmlns:a16="http://schemas.microsoft.com/office/drawing/2014/main" xmlns="" id="{00000000-0008-0000-3300-000035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162</xdr:row>
      <xdr:rowOff>0</xdr:rowOff>
    </xdr:from>
    <xdr:to>
      <xdr:col>2</xdr:col>
      <xdr:colOff>0</xdr:colOff>
      <xdr:row>184</xdr:row>
      <xdr:rowOff>0</xdr:rowOff>
    </xdr:to>
    <xdr:sp macro="" textlink="">
      <xdr:nvSpPr>
        <xdr:cNvPr id="54" name="Rectangle 108">
          <a:extLst>
            <a:ext uri="{FF2B5EF4-FFF2-40B4-BE49-F238E27FC236}">
              <a16:creationId xmlns:a16="http://schemas.microsoft.com/office/drawing/2014/main" xmlns="" id="{00000000-0008-0000-3300-000036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132</xdr:row>
      <xdr:rowOff>0</xdr:rowOff>
    </xdr:from>
    <xdr:to>
      <xdr:col>6</xdr:col>
      <xdr:colOff>0</xdr:colOff>
      <xdr:row>136</xdr:row>
      <xdr:rowOff>0</xdr:rowOff>
    </xdr:to>
    <xdr:sp macro="" textlink="">
      <xdr:nvSpPr>
        <xdr:cNvPr id="55" name="Rectangle 107">
          <a:extLst>
            <a:ext uri="{FF2B5EF4-FFF2-40B4-BE49-F238E27FC236}">
              <a16:creationId xmlns:a16="http://schemas.microsoft.com/office/drawing/2014/main" xmlns="" id="{00000000-0008-0000-3300-000037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132</xdr:row>
      <xdr:rowOff>0</xdr:rowOff>
    </xdr:from>
    <xdr:to>
      <xdr:col>6</xdr:col>
      <xdr:colOff>0</xdr:colOff>
      <xdr:row>136</xdr:row>
      <xdr:rowOff>0</xdr:rowOff>
    </xdr:to>
    <xdr:sp macro="" textlink="">
      <xdr:nvSpPr>
        <xdr:cNvPr id="56" name="Rectangle 108">
          <a:extLst>
            <a:ext uri="{FF2B5EF4-FFF2-40B4-BE49-F238E27FC236}">
              <a16:creationId xmlns:a16="http://schemas.microsoft.com/office/drawing/2014/main" xmlns="" id="{00000000-0008-0000-3300-000038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139</xdr:row>
      <xdr:rowOff>0</xdr:rowOff>
    </xdr:to>
    <xdr:sp macro="" textlink="">
      <xdr:nvSpPr>
        <xdr:cNvPr id="57" name="Rectangle 107">
          <a:extLst>
            <a:ext uri="{FF2B5EF4-FFF2-40B4-BE49-F238E27FC236}">
              <a16:creationId xmlns:a16="http://schemas.microsoft.com/office/drawing/2014/main" xmlns="" id="{00000000-0008-0000-3300-000039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139</xdr:row>
      <xdr:rowOff>0</xdr:rowOff>
    </xdr:to>
    <xdr:sp macro="" textlink="">
      <xdr:nvSpPr>
        <xdr:cNvPr id="58" name="Rectangle 108">
          <a:extLst>
            <a:ext uri="{FF2B5EF4-FFF2-40B4-BE49-F238E27FC236}">
              <a16:creationId xmlns:a16="http://schemas.microsoft.com/office/drawing/2014/main" xmlns="" id="{00000000-0008-0000-3300-00003A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156</xdr:row>
      <xdr:rowOff>0</xdr:rowOff>
    </xdr:from>
    <xdr:to>
      <xdr:col>2</xdr:col>
      <xdr:colOff>0</xdr:colOff>
      <xdr:row>182</xdr:row>
      <xdr:rowOff>0</xdr:rowOff>
    </xdr:to>
    <xdr:sp macro="" textlink="">
      <xdr:nvSpPr>
        <xdr:cNvPr id="59" name="Rectangle 107">
          <a:extLst>
            <a:ext uri="{FF2B5EF4-FFF2-40B4-BE49-F238E27FC236}">
              <a16:creationId xmlns:a16="http://schemas.microsoft.com/office/drawing/2014/main" xmlns="" id="{00000000-0008-0000-3300-00003B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156</xdr:row>
      <xdr:rowOff>0</xdr:rowOff>
    </xdr:from>
    <xdr:to>
      <xdr:col>2</xdr:col>
      <xdr:colOff>0</xdr:colOff>
      <xdr:row>182</xdr:row>
      <xdr:rowOff>0</xdr:rowOff>
    </xdr:to>
    <xdr:sp macro="" textlink="">
      <xdr:nvSpPr>
        <xdr:cNvPr id="60" name="Rectangle 108">
          <a:extLst>
            <a:ext uri="{FF2B5EF4-FFF2-40B4-BE49-F238E27FC236}">
              <a16:creationId xmlns:a16="http://schemas.microsoft.com/office/drawing/2014/main" xmlns="" id="{00000000-0008-0000-3300-00003C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127</xdr:row>
      <xdr:rowOff>0</xdr:rowOff>
    </xdr:from>
    <xdr:to>
      <xdr:col>6</xdr:col>
      <xdr:colOff>0</xdr:colOff>
      <xdr:row>136</xdr:row>
      <xdr:rowOff>0</xdr:rowOff>
    </xdr:to>
    <xdr:sp macro="" textlink="">
      <xdr:nvSpPr>
        <xdr:cNvPr id="61" name="Rectangle 107">
          <a:extLst>
            <a:ext uri="{FF2B5EF4-FFF2-40B4-BE49-F238E27FC236}">
              <a16:creationId xmlns:a16="http://schemas.microsoft.com/office/drawing/2014/main" xmlns="" id="{00000000-0008-0000-3300-00003D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127</xdr:row>
      <xdr:rowOff>0</xdr:rowOff>
    </xdr:from>
    <xdr:to>
      <xdr:col>6</xdr:col>
      <xdr:colOff>0</xdr:colOff>
      <xdr:row>136</xdr:row>
      <xdr:rowOff>0</xdr:rowOff>
    </xdr:to>
    <xdr:sp macro="" textlink="">
      <xdr:nvSpPr>
        <xdr:cNvPr id="62" name="Rectangle 108">
          <a:extLst>
            <a:ext uri="{FF2B5EF4-FFF2-40B4-BE49-F238E27FC236}">
              <a16:creationId xmlns:a16="http://schemas.microsoft.com/office/drawing/2014/main" xmlns="" id="{00000000-0008-0000-3300-00003E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134</xdr:row>
      <xdr:rowOff>0</xdr:rowOff>
    </xdr:from>
    <xdr:to>
      <xdr:col>6</xdr:col>
      <xdr:colOff>0</xdr:colOff>
      <xdr:row>136</xdr:row>
      <xdr:rowOff>0</xdr:rowOff>
    </xdr:to>
    <xdr:sp macro="" textlink="">
      <xdr:nvSpPr>
        <xdr:cNvPr id="63" name="Rectangle 107">
          <a:extLst>
            <a:ext uri="{FF2B5EF4-FFF2-40B4-BE49-F238E27FC236}">
              <a16:creationId xmlns:a16="http://schemas.microsoft.com/office/drawing/2014/main" xmlns="" id="{00000000-0008-0000-3300-00003F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134</xdr:row>
      <xdr:rowOff>0</xdr:rowOff>
    </xdr:from>
    <xdr:to>
      <xdr:col>6</xdr:col>
      <xdr:colOff>0</xdr:colOff>
      <xdr:row>136</xdr:row>
      <xdr:rowOff>0</xdr:rowOff>
    </xdr:to>
    <xdr:sp macro="" textlink="">
      <xdr:nvSpPr>
        <xdr:cNvPr id="64" name="Rectangle 108">
          <a:extLst>
            <a:ext uri="{FF2B5EF4-FFF2-40B4-BE49-F238E27FC236}">
              <a16:creationId xmlns:a16="http://schemas.microsoft.com/office/drawing/2014/main" xmlns="" id="{00000000-0008-0000-3300-000040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139</xdr:row>
      <xdr:rowOff>0</xdr:rowOff>
    </xdr:to>
    <xdr:sp macro="" textlink="">
      <xdr:nvSpPr>
        <xdr:cNvPr id="67" name="Rectangle 107">
          <a:extLst>
            <a:ext uri="{FF2B5EF4-FFF2-40B4-BE49-F238E27FC236}">
              <a16:creationId xmlns:a16="http://schemas.microsoft.com/office/drawing/2014/main" xmlns="" id="{00000000-0008-0000-3300-000043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128</xdr:row>
      <xdr:rowOff>0</xdr:rowOff>
    </xdr:from>
    <xdr:to>
      <xdr:col>2</xdr:col>
      <xdr:colOff>0</xdr:colOff>
      <xdr:row>139</xdr:row>
      <xdr:rowOff>0</xdr:rowOff>
    </xdr:to>
    <xdr:sp macro="" textlink="">
      <xdr:nvSpPr>
        <xdr:cNvPr id="68" name="Rectangle 108">
          <a:extLst>
            <a:ext uri="{FF2B5EF4-FFF2-40B4-BE49-F238E27FC236}">
              <a16:creationId xmlns:a16="http://schemas.microsoft.com/office/drawing/2014/main" xmlns="" id="{00000000-0008-0000-3300-000044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156</xdr:row>
      <xdr:rowOff>0</xdr:rowOff>
    </xdr:from>
    <xdr:to>
      <xdr:col>2</xdr:col>
      <xdr:colOff>0</xdr:colOff>
      <xdr:row>183</xdr:row>
      <xdr:rowOff>0</xdr:rowOff>
    </xdr:to>
    <xdr:sp macro="" textlink="">
      <xdr:nvSpPr>
        <xdr:cNvPr id="69" name="Rectangle 107">
          <a:extLst>
            <a:ext uri="{FF2B5EF4-FFF2-40B4-BE49-F238E27FC236}">
              <a16:creationId xmlns:a16="http://schemas.microsoft.com/office/drawing/2014/main" xmlns="" id="{00000000-0008-0000-3300-000045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156</xdr:row>
      <xdr:rowOff>0</xdr:rowOff>
    </xdr:from>
    <xdr:to>
      <xdr:col>2</xdr:col>
      <xdr:colOff>0</xdr:colOff>
      <xdr:row>183</xdr:row>
      <xdr:rowOff>0</xdr:rowOff>
    </xdr:to>
    <xdr:sp macro="" textlink="">
      <xdr:nvSpPr>
        <xdr:cNvPr id="70" name="Rectangle 108">
          <a:extLst>
            <a:ext uri="{FF2B5EF4-FFF2-40B4-BE49-F238E27FC236}">
              <a16:creationId xmlns:a16="http://schemas.microsoft.com/office/drawing/2014/main" xmlns="" id="{00000000-0008-0000-3300-000046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5</xdr:col>
      <xdr:colOff>1743075</xdr:colOff>
      <xdr:row>127</xdr:row>
      <xdr:rowOff>180975</xdr:rowOff>
    </xdr:from>
    <xdr:to>
      <xdr:col>5</xdr:col>
      <xdr:colOff>1743075</xdr:colOff>
      <xdr:row>130</xdr:row>
      <xdr:rowOff>0</xdr:rowOff>
    </xdr:to>
    <xdr:sp macro="" textlink="">
      <xdr:nvSpPr>
        <xdr:cNvPr id="71" name="Rectangle 107">
          <a:extLst>
            <a:ext uri="{FF2B5EF4-FFF2-40B4-BE49-F238E27FC236}">
              <a16:creationId xmlns:a16="http://schemas.microsoft.com/office/drawing/2014/main" xmlns="" id="{00000000-0008-0000-3300-000047000000}"/>
            </a:ext>
          </a:extLst>
        </xdr:cNvPr>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127</xdr:row>
      <xdr:rowOff>0</xdr:rowOff>
    </xdr:from>
    <xdr:to>
      <xdr:col>6</xdr:col>
      <xdr:colOff>0</xdr:colOff>
      <xdr:row>130</xdr:row>
      <xdr:rowOff>0</xdr:rowOff>
    </xdr:to>
    <xdr:sp macro="" textlink="">
      <xdr:nvSpPr>
        <xdr:cNvPr id="72" name="Rectangle 108">
          <a:extLst>
            <a:ext uri="{FF2B5EF4-FFF2-40B4-BE49-F238E27FC236}">
              <a16:creationId xmlns:a16="http://schemas.microsoft.com/office/drawing/2014/main" xmlns="" id="{00000000-0008-0000-3300-000048000000}"/>
            </a:ext>
          </a:extLst>
        </xdr:cNvPr>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5</xdr:col>
      <xdr:colOff>1743075</xdr:colOff>
      <xdr:row>128</xdr:row>
      <xdr:rowOff>180975</xdr:rowOff>
    </xdr:from>
    <xdr:to>
      <xdr:col>5</xdr:col>
      <xdr:colOff>1743075</xdr:colOff>
      <xdr:row>131</xdr:row>
      <xdr:rowOff>0</xdr:rowOff>
    </xdr:to>
    <xdr:sp macro="" textlink="">
      <xdr:nvSpPr>
        <xdr:cNvPr id="73" name="Rectangle 107">
          <a:extLst>
            <a:ext uri="{FF2B5EF4-FFF2-40B4-BE49-F238E27FC236}">
              <a16:creationId xmlns:a16="http://schemas.microsoft.com/office/drawing/2014/main" xmlns="" id="{00000000-0008-0000-3300-000049000000}"/>
            </a:ext>
          </a:extLst>
        </xdr:cNvPr>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199</xdr:row>
      <xdr:rowOff>0</xdr:rowOff>
    </xdr:from>
    <xdr:to>
      <xdr:col>2</xdr:col>
      <xdr:colOff>0</xdr:colOff>
      <xdr:row>217</xdr:row>
      <xdr:rowOff>0</xdr:rowOff>
    </xdr:to>
    <xdr:sp macro="" textlink="">
      <xdr:nvSpPr>
        <xdr:cNvPr id="74" name="Rectangle 107">
          <a:extLst>
            <a:ext uri="{FF2B5EF4-FFF2-40B4-BE49-F238E27FC236}">
              <a16:creationId xmlns:a16="http://schemas.microsoft.com/office/drawing/2014/main" xmlns="" id="{00000000-0008-0000-3300-00004A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199</xdr:row>
      <xdr:rowOff>0</xdr:rowOff>
    </xdr:from>
    <xdr:to>
      <xdr:col>2</xdr:col>
      <xdr:colOff>0</xdr:colOff>
      <xdr:row>217</xdr:row>
      <xdr:rowOff>0</xdr:rowOff>
    </xdr:to>
    <xdr:sp macro="" textlink="">
      <xdr:nvSpPr>
        <xdr:cNvPr id="75" name="Rectangle 108">
          <a:extLst>
            <a:ext uri="{FF2B5EF4-FFF2-40B4-BE49-F238E27FC236}">
              <a16:creationId xmlns:a16="http://schemas.microsoft.com/office/drawing/2014/main" xmlns="" id="{00000000-0008-0000-3300-00004B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224</xdr:row>
      <xdr:rowOff>0</xdr:rowOff>
    </xdr:from>
    <xdr:to>
      <xdr:col>2</xdr:col>
      <xdr:colOff>0</xdr:colOff>
      <xdr:row>242</xdr:row>
      <xdr:rowOff>0</xdr:rowOff>
    </xdr:to>
    <xdr:sp macro="" textlink="">
      <xdr:nvSpPr>
        <xdr:cNvPr id="76" name="Rectangle 107">
          <a:extLst>
            <a:ext uri="{FF2B5EF4-FFF2-40B4-BE49-F238E27FC236}">
              <a16:creationId xmlns:a16="http://schemas.microsoft.com/office/drawing/2014/main" xmlns="" id="{00000000-0008-0000-3300-00004C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224</xdr:row>
      <xdr:rowOff>0</xdr:rowOff>
    </xdr:from>
    <xdr:to>
      <xdr:col>2</xdr:col>
      <xdr:colOff>0</xdr:colOff>
      <xdr:row>242</xdr:row>
      <xdr:rowOff>0</xdr:rowOff>
    </xdr:to>
    <xdr:sp macro="" textlink="">
      <xdr:nvSpPr>
        <xdr:cNvPr id="77" name="Rectangle 108">
          <a:extLst>
            <a:ext uri="{FF2B5EF4-FFF2-40B4-BE49-F238E27FC236}">
              <a16:creationId xmlns:a16="http://schemas.microsoft.com/office/drawing/2014/main" xmlns="" id="{00000000-0008-0000-3300-00004D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200</xdr:row>
      <xdr:rowOff>0</xdr:rowOff>
    </xdr:from>
    <xdr:to>
      <xdr:col>6</xdr:col>
      <xdr:colOff>0</xdr:colOff>
      <xdr:row>205</xdr:row>
      <xdr:rowOff>0</xdr:rowOff>
    </xdr:to>
    <xdr:sp macro="" textlink="">
      <xdr:nvSpPr>
        <xdr:cNvPr id="78" name="Rectangle 107">
          <a:extLst>
            <a:ext uri="{FF2B5EF4-FFF2-40B4-BE49-F238E27FC236}">
              <a16:creationId xmlns:a16="http://schemas.microsoft.com/office/drawing/2014/main" xmlns="" id="{00000000-0008-0000-3300-00004E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200</xdr:row>
      <xdr:rowOff>0</xdr:rowOff>
    </xdr:from>
    <xdr:to>
      <xdr:col>6</xdr:col>
      <xdr:colOff>0</xdr:colOff>
      <xdr:row>205</xdr:row>
      <xdr:rowOff>0</xdr:rowOff>
    </xdr:to>
    <xdr:sp macro="" textlink="">
      <xdr:nvSpPr>
        <xdr:cNvPr id="79" name="Rectangle 108">
          <a:extLst>
            <a:ext uri="{FF2B5EF4-FFF2-40B4-BE49-F238E27FC236}">
              <a16:creationId xmlns:a16="http://schemas.microsoft.com/office/drawing/2014/main" xmlns="" id="{00000000-0008-0000-3300-00004F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205</xdr:row>
      <xdr:rowOff>0</xdr:rowOff>
    </xdr:to>
    <xdr:sp macro="" textlink="">
      <xdr:nvSpPr>
        <xdr:cNvPr id="80" name="Rectangle 107">
          <a:extLst>
            <a:ext uri="{FF2B5EF4-FFF2-40B4-BE49-F238E27FC236}">
              <a16:creationId xmlns:a16="http://schemas.microsoft.com/office/drawing/2014/main" xmlns="" id="{00000000-0008-0000-3300-000050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205</xdr:row>
      <xdr:rowOff>0</xdr:rowOff>
    </xdr:to>
    <xdr:sp macro="" textlink="">
      <xdr:nvSpPr>
        <xdr:cNvPr id="81" name="Rectangle 108">
          <a:extLst>
            <a:ext uri="{FF2B5EF4-FFF2-40B4-BE49-F238E27FC236}">
              <a16:creationId xmlns:a16="http://schemas.microsoft.com/office/drawing/2014/main" xmlns="" id="{00000000-0008-0000-3300-000051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199</xdr:row>
      <xdr:rowOff>0</xdr:rowOff>
    </xdr:from>
    <xdr:to>
      <xdr:col>2</xdr:col>
      <xdr:colOff>0</xdr:colOff>
      <xdr:row>219</xdr:row>
      <xdr:rowOff>0</xdr:rowOff>
    </xdr:to>
    <xdr:sp macro="" textlink="">
      <xdr:nvSpPr>
        <xdr:cNvPr id="82" name="Rectangle 107">
          <a:extLst>
            <a:ext uri="{FF2B5EF4-FFF2-40B4-BE49-F238E27FC236}">
              <a16:creationId xmlns:a16="http://schemas.microsoft.com/office/drawing/2014/main" xmlns="" id="{00000000-0008-0000-3300-000052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199</xdr:row>
      <xdr:rowOff>0</xdr:rowOff>
    </xdr:from>
    <xdr:to>
      <xdr:col>2</xdr:col>
      <xdr:colOff>0</xdr:colOff>
      <xdr:row>219</xdr:row>
      <xdr:rowOff>0</xdr:rowOff>
    </xdr:to>
    <xdr:sp macro="" textlink="">
      <xdr:nvSpPr>
        <xdr:cNvPr id="83" name="Rectangle 108">
          <a:extLst>
            <a:ext uri="{FF2B5EF4-FFF2-40B4-BE49-F238E27FC236}">
              <a16:creationId xmlns:a16="http://schemas.microsoft.com/office/drawing/2014/main" xmlns="" id="{00000000-0008-0000-3300-000053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224</xdr:row>
      <xdr:rowOff>0</xdr:rowOff>
    </xdr:from>
    <xdr:to>
      <xdr:col>2</xdr:col>
      <xdr:colOff>0</xdr:colOff>
      <xdr:row>250</xdr:row>
      <xdr:rowOff>0</xdr:rowOff>
    </xdr:to>
    <xdr:sp macro="" textlink="">
      <xdr:nvSpPr>
        <xdr:cNvPr id="84" name="Rectangle 107">
          <a:extLst>
            <a:ext uri="{FF2B5EF4-FFF2-40B4-BE49-F238E27FC236}">
              <a16:creationId xmlns:a16="http://schemas.microsoft.com/office/drawing/2014/main" xmlns="" id="{00000000-0008-0000-3300-000054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224</xdr:row>
      <xdr:rowOff>0</xdr:rowOff>
    </xdr:from>
    <xdr:to>
      <xdr:col>2</xdr:col>
      <xdr:colOff>0</xdr:colOff>
      <xdr:row>250</xdr:row>
      <xdr:rowOff>0</xdr:rowOff>
    </xdr:to>
    <xdr:sp macro="" textlink="">
      <xdr:nvSpPr>
        <xdr:cNvPr id="85" name="Rectangle 108">
          <a:extLst>
            <a:ext uri="{FF2B5EF4-FFF2-40B4-BE49-F238E27FC236}">
              <a16:creationId xmlns:a16="http://schemas.microsoft.com/office/drawing/2014/main" xmlns="" id="{00000000-0008-0000-3300-000055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215</xdr:row>
      <xdr:rowOff>0</xdr:rowOff>
    </xdr:to>
    <xdr:sp macro="" textlink="">
      <xdr:nvSpPr>
        <xdr:cNvPr id="86" name="Rectangle 107">
          <a:extLst>
            <a:ext uri="{FF2B5EF4-FFF2-40B4-BE49-F238E27FC236}">
              <a16:creationId xmlns:a16="http://schemas.microsoft.com/office/drawing/2014/main" xmlns="" id="{00000000-0008-0000-3300-000056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215</xdr:row>
      <xdr:rowOff>0</xdr:rowOff>
    </xdr:to>
    <xdr:sp macro="" textlink="">
      <xdr:nvSpPr>
        <xdr:cNvPr id="87" name="Rectangle 108">
          <a:extLst>
            <a:ext uri="{FF2B5EF4-FFF2-40B4-BE49-F238E27FC236}">
              <a16:creationId xmlns:a16="http://schemas.microsoft.com/office/drawing/2014/main" xmlns="" id="{00000000-0008-0000-3300-000057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215</xdr:row>
      <xdr:rowOff>0</xdr:rowOff>
    </xdr:to>
    <xdr:sp macro="" textlink="">
      <xdr:nvSpPr>
        <xdr:cNvPr id="88" name="Rectangle 107">
          <a:extLst>
            <a:ext uri="{FF2B5EF4-FFF2-40B4-BE49-F238E27FC236}">
              <a16:creationId xmlns:a16="http://schemas.microsoft.com/office/drawing/2014/main" xmlns="" id="{00000000-0008-0000-3300-000058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215</xdr:row>
      <xdr:rowOff>0</xdr:rowOff>
    </xdr:to>
    <xdr:sp macro="" textlink="">
      <xdr:nvSpPr>
        <xdr:cNvPr id="89" name="Rectangle 108">
          <a:extLst>
            <a:ext uri="{FF2B5EF4-FFF2-40B4-BE49-F238E27FC236}">
              <a16:creationId xmlns:a16="http://schemas.microsoft.com/office/drawing/2014/main" xmlns="" id="{00000000-0008-0000-3300-000059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224</xdr:row>
      <xdr:rowOff>0</xdr:rowOff>
    </xdr:from>
    <xdr:to>
      <xdr:col>2</xdr:col>
      <xdr:colOff>0</xdr:colOff>
      <xdr:row>254</xdr:row>
      <xdr:rowOff>0</xdr:rowOff>
    </xdr:to>
    <xdr:sp macro="" textlink="">
      <xdr:nvSpPr>
        <xdr:cNvPr id="90" name="Rectangle 107">
          <a:extLst>
            <a:ext uri="{FF2B5EF4-FFF2-40B4-BE49-F238E27FC236}">
              <a16:creationId xmlns:a16="http://schemas.microsoft.com/office/drawing/2014/main" xmlns="" id="{00000000-0008-0000-3300-00005A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224</xdr:row>
      <xdr:rowOff>0</xdr:rowOff>
    </xdr:from>
    <xdr:to>
      <xdr:col>2</xdr:col>
      <xdr:colOff>0</xdr:colOff>
      <xdr:row>254</xdr:row>
      <xdr:rowOff>0</xdr:rowOff>
    </xdr:to>
    <xdr:sp macro="" textlink="">
      <xdr:nvSpPr>
        <xdr:cNvPr id="91" name="Rectangle 108">
          <a:extLst>
            <a:ext uri="{FF2B5EF4-FFF2-40B4-BE49-F238E27FC236}">
              <a16:creationId xmlns:a16="http://schemas.microsoft.com/office/drawing/2014/main" xmlns="" id="{00000000-0008-0000-3300-00005B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213</xdr:row>
      <xdr:rowOff>0</xdr:rowOff>
    </xdr:to>
    <xdr:sp macro="" textlink="">
      <xdr:nvSpPr>
        <xdr:cNvPr id="92" name="Rectangle 107">
          <a:extLst>
            <a:ext uri="{FF2B5EF4-FFF2-40B4-BE49-F238E27FC236}">
              <a16:creationId xmlns:a16="http://schemas.microsoft.com/office/drawing/2014/main" xmlns="" id="{00000000-0008-0000-3300-00005C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213</xdr:row>
      <xdr:rowOff>0</xdr:rowOff>
    </xdr:to>
    <xdr:sp macro="" textlink="">
      <xdr:nvSpPr>
        <xdr:cNvPr id="93" name="Rectangle 108">
          <a:extLst>
            <a:ext uri="{FF2B5EF4-FFF2-40B4-BE49-F238E27FC236}">
              <a16:creationId xmlns:a16="http://schemas.microsoft.com/office/drawing/2014/main" xmlns="" id="{00000000-0008-0000-3300-00005D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200</xdr:row>
      <xdr:rowOff>0</xdr:rowOff>
    </xdr:from>
    <xdr:to>
      <xdr:col>2</xdr:col>
      <xdr:colOff>0</xdr:colOff>
      <xdr:row>209</xdr:row>
      <xdr:rowOff>0</xdr:rowOff>
    </xdr:to>
    <xdr:sp macro="" textlink="">
      <xdr:nvSpPr>
        <xdr:cNvPr id="94" name="Rectangle 107">
          <a:extLst>
            <a:ext uri="{FF2B5EF4-FFF2-40B4-BE49-F238E27FC236}">
              <a16:creationId xmlns:a16="http://schemas.microsoft.com/office/drawing/2014/main" xmlns="" id="{00000000-0008-0000-3300-00005E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200</xdr:row>
      <xdr:rowOff>0</xdr:rowOff>
    </xdr:from>
    <xdr:to>
      <xdr:col>2</xdr:col>
      <xdr:colOff>0</xdr:colOff>
      <xdr:row>209</xdr:row>
      <xdr:rowOff>0</xdr:rowOff>
    </xdr:to>
    <xdr:sp macro="" textlink="">
      <xdr:nvSpPr>
        <xdr:cNvPr id="95" name="Rectangle 108">
          <a:extLst>
            <a:ext uri="{FF2B5EF4-FFF2-40B4-BE49-F238E27FC236}">
              <a16:creationId xmlns:a16="http://schemas.microsoft.com/office/drawing/2014/main" xmlns="" id="{00000000-0008-0000-3300-00005F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225</xdr:row>
      <xdr:rowOff>0</xdr:rowOff>
    </xdr:from>
    <xdr:to>
      <xdr:col>2</xdr:col>
      <xdr:colOff>0</xdr:colOff>
      <xdr:row>246</xdr:row>
      <xdr:rowOff>0</xdr:rowOff>
    </xdr:to>
    <xdr:sp macro="" textlink="">
      <xdr:nvSpPr>
        <xdr:cNvPr id="96" name="Rectangle 107">
          <a:extLst>
            <a:ext uri="{FF2B5EF4-FFF2-40B4-BE49-F238E27FC236}">
              <a16:creationId xmlns:a16="http://schemas.microsoft.com/office/drawing/2014/main" xmlns="" id="{00000000-0008-0000-3300-000060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225</xdr:row>
      <xdr:rowOff>0</xdr:rowOff>
    </xdr:from>
    <xdr:to>
      <xdr:col>2</xdr:col>
      <xdr:colOff>0</xdr:colOff>
      <xdr:row>246</xdr:row>
      <xdr:rowOff>0</xdr:rowOff>
    </xdr:to>
    <xdr:sp macro="" textlink="">
      <xdr:nvSpPr>
        <xdr:cNvPr id="97" name="Rectangle 108">
          <a:extLst>
            <a:ext uri="{FF2B5EF4-FFF2-40B4-BE49-F238E27FC236}">
              <a16:creationId xmlns:a16="http://schemas.microsoft.com/office/drawing/2014/main" xmlns="" id="{00000000-0008-0000-3300-000061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204</xdr:row>
      <xdr:rowOff>0</xdr:rowOff>
    </xdr:from>
    <xdr:to>
      <xdr:col>6</xdr:col>
      <xdr:colOff>0</xdr:colOff>
      <xdr:row>218</xdr:row>
      <xdr:rowOff>0</xdr:rowOff>
    </xdr:to>
    <xdr:sp macro="" textlink="">
      <xdr:nvSpPr>
        <xdr:cNvPr id="98" name="Rectangle 107">
          <a:extLst>
            <a:ext uri="{FF2B5EF4-FFF2-40B4-BE49-F238E27FC236}">
              <a16:creationId xmlns:a16="http://schemas.microsoft.com/office/drawing/2014/main" xmlns="" id="{00000000-0008-0000-3300-000062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204</xdr:row>
      <xdr:rowOff>0</xdr:rowOff>
    </xdr:from>
    <xdr:to>
      <xdr:col>6</xdr:col>
      <xdr:colOff>0</xdr:colOff>
      <xdr:row>218</xdr:row>
      <xdr:rowOff>0</xdr:rowOff>
    </xdr:to>
    <xdr:sp macro="" textlink="">
      <xdr:nvSpPr>
        <xdr:cNvPr id="99" name="Rectangle 108">
          <a:extLst>
            <a:ext uri="{FF2B5EF4-FFF2-40B4-BE49-F238E27FC236}">
              <a16:creationId xmlns:a16="http://schemas.microsoft.com/office/drawing/2014/main" xmlns="" id="{00000000-0008-0000-3300-000063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216</xdr:row>
      <xdr:rowOff>0</xdr:rowOff>
    </xdr:from>
    <xdr:to>
      <xdr:col>6</xdr:col>
      <xdr:colOff>0</xdr:colOff>
      <xdr:row>218</xdr:row>
      <xdr:rowOff>0</xdr:rowOff>
    </xdr:to>
    <xdr:sp macro="" textlink="">
      <xdr:nvSpPr>
        <xdr:cNvPr id="100" name="Rectangle 107">
          <a:extLst>
            <a:ext uri="{FF2B5EF4-FFF2-40B4-BE49-F238E27FC236}">
              <a16:creationId xmlns:a16="http://schemas.microsoft.com/office/drawing/2014/main" xmlns="" id="{00000000-0008-0000-3300-000064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216</xdr:row>
      <xdr:rowOff>0</xdr:rowOff>
    </xdr:from>
    <xdr:to>
      <xdr:col>6</xdr:col>
      <xdr:colOff>0</xdr:colOff>
      <xdr:row>218</xdr:row>
      <xdr:rowOff>0</xdr:rowOff>
    </xdr:to>
    <xdr:sp macro="" textlink="">
      <xdr:nvSpPr>
        <xdr:cNvPr id="101" name="Rectangle 108">
          <a:extLst>
            <a:ext uri="{FF2B5EF4-FFF2-40B4-BE49-F238E27FC236}">
              <a16:creationId xmlns:a16="http://schemas.microsoft.com/office/drawing/2014/main" xmlns="" id="{00000000-0008-0000-3300-000065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199</xdr:row>
      <xdr:rowOff>0</xdr:rowOff>
    </xdr:from>
    <xdr:to>
      <xdr:col>2</xdr:col>
      <xdr:colOff>0</xdr:colOff>
      <xdr:row>217</xdr:row>
      <xdr:rowOff>0</xdr:rowOff>
    </xdr:to>
    <xdr:sp macro="" textlink="">
      <xdr:nvSpPr>
        <xdr:cNvPr id="102" name="Rectangle 107">
          <a:extLst>
            <a:ext uri="{FF2B5EF4-FFF2-40B4-BE49-F238E27FC236}">
              <a16:creationId xmlns:a16="http://schemas.microsoft.com/office/drawing/2014/main" xmlns="" id="{00000000-0008-0000-3300-000066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199</xdr:row>
      <xdr:rowOff>0</xdr:rowOff>
    </xdr:from>
    <xdr:to>
      <xdr:col>2</xdr:col>
      <xdr:colOff>0</xdr:colOff>
      <xdr:row>217</xdr:row>
      <xdr:rowOff>0</xdr:rowOff>
    </xdr:to>
    <xdr:sp macro="" textlink="">
      <xdr:nvSpPr>
        <xdr:cNvPr id="103" name="Rectangle 108">
          <a:extLst>
            <a:ext uri="{FF2B5EF4-FFF2-40B4-BE49-F238E27FC236}">
              <a16:creationId xmlns:a16="http://schemas.microsoft.com/office/drawing/2014/main" xmlns="" id="{00000000-0008-0000-3300-000067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235</xdr:row>
      <xdr:rowOff>0</xdr:rowOff>
    </xdr:from>
    <xdr:to>
      <xdr:col>2</xdr:col>
      <xdr:colOff>0</xdr:colOff>
      <xdr:row>254</xdr:row>
      <xdr:rowOff>0</xdr:rowOff>
    </xdr:to>
    <xdr:sp macro="" textlink="">
      <xdr:nvSpPr>
        <xdr:cNvPr id="104" name="Rectangle 107">
          <a:extLst>
            <a:ext uri="{FF2B5EF4-FFF2-40B4-BE49-F238E27FC236}">
              <a16:creationId xmlns:a16="http://schemas.microsoft.com/office/drawing/2014/main" xmlns="" id="{00000000-0008-0000-3300-000068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235</xdr:row>
      <xdr:rowOff>0</xdr:rowOff>
    </xdr:from>
    <xdr:to>
      <xdr:col>2</xdr:col>
      <xdr:colOff>0</xdr:colOff>
      <xdr:row>254</xdr:row>
      <xdr:rowOff>0</xdr:rowOff>
    </xdr:to>
    <xdr:sp macro="" textlink="">
      <xdr:nvSpPr>
        <xdr:cNvPr id="105" name="Rectangle 108">
          <a:extLst>
            <a:ext uri="{FF2B5EF4-FFF2-40B4-BE49-F238E27FC236}">
              <a16:creationId xmlns:a16="http://schemas.microsoft.com/office/drawing/2014/main" xmlns="" id="{00000000-0008-0000-3300-000069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200</xdr:row>
      <xdr:rowOff>0</xdr:rowOff>
    </xdr:from>
    <xdr:to>
      <xdr:col>6</xdr:col>
      <xdr:colOff>0</xdr:colOff>
      <xdr:row>205</xdr:row>
      <xdr:rowOff>0</xdr:rowOff>
    </xdr:to>
    <xdr:sp macro="" textlink="">
      <xdr:nvSpPr>
        <xdr:cNvPr id="106" name="Rectangle 107">
          <a:extLst>
            <a:ext uri="{FF2B5EF4-FFF2-40B4-BE49-F238E27FC236}">
              <a16:creationId xmlns:a16="http://schemas.microsoft.com/office/drawing/2014/main" xmlns="" id="{00000000-0008-0000-3300-00006A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200</xdr:row>
      <xdr:rowOff>0</xdr:rowOff>
    </xdr:from>
    <xdr:to>
      <xdr:col>6</xdr:col>
      <xdr:colOff>0</xdr:colOff>
      <xdr:row>205</xdr:row>
      <xdr:rowOff>0</xdr:rowOff>
    </xdr:to>
    <xdr:sp macro="" textlink="">
      <xdr:nvSpPr>
        <xdr:cNvPr id="107" name="Rectangle 108">
          <a:extLst>
            <a:ext uri="{FF2B5EF4-FFF2-40B4-BE49-F238E27FC236}">
              <a16:creationId xmlns:a16="http://schemas.microsoft.com/office/drawing/2014/main" xmlns="" id="{00000000-0008-0000-3300-00006B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205</xdr:row>
      <xdr:rowOff>0</xdr:rowOff>
    </xdr:to>
    <xdr:sp macro="" textlink="">
      <xdr:nvSpPr>
        <xdr:cNvPr id="108" name="Rectangle 107">
          <a:extLst>
            <a:ext uri="{FF2B5EF4-FFF2-40B4-BE49-F238E27FC236}">
              <a16:creationId xmlns:a16="http://schemas.microsoft.com/office/drawing/2014/main" xmlns="" id="{00000000-0008-0000-3300-00006C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205</xdr:row>
      <xdr:rowOff>0</xdr:rowOff>
    </xdr:to>
    <xdr:sp macro="" textlink="">
      <xdr:nvSpPr>
        <xdr:cNvPr id="109" name="Rectangle 108">
          <a:extLst>
            <a:ext uri="{FF2B5EF4-FFF2-40B4-BE49-F238E27FC236}">
              <a16:creationId xmlns:a16="http://schemas.microsoft.com/office/drawing/2014/main" xmlns="" id="{00000000-0008-0000-3300-00006D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199</xdr:row>
      <xdr:rowOff>0</xdr:rowOff>
    </xdr:from>
    <xdr:to>
      <xdr:col>2</xdr:col>
      <xdr:colOff>0</xdr:colOff>
      <xdr:row>219</xdr:row>
      <xdr:rowOff>0</xdr:rowOff>
    </xdr:to>
    <xdr:sp macro="" textlink="">
      <xdr:nvSpPr>
        <xdr:cNvPr id="110" name="Rectangle 107">
          <a:extLst>
            <a:ext uri="{FF2B5EF4-FFF2-40B4-BE49-F238E27FC236}">
              <a16:creationId xmlns:a16="http://schemas.microsoft.com/office/drawing/2014/main" xmlns="" id="{00000000-0008-0000-3300-00006E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199</xdr:row>
      <xdr:rowOff>0</xdr:rowOff>
    </xdr:from>
    <xdr:to>
      <xdr:col>2</xdr:col>
      <xdr:colOff>0</xdr:colOff>
      <xdr:row>219</xdr:row>
      <xdr:rowOff>0</xdr:rowOff>
    </xdr:to>
    <xdr:sp macro="" textlink="">
      <xdr:nvSpPr>
        <xdr:cNvPr id="111" name="Rectangle 108">
          <a:extLst>
            <a:ext uri="{FF2B5EF4-FFF2-40B4-BE49-F238E27FC236}">
              <a16:creationId xmlns:a16="http://schemas.microsoft.com/office/drawing/2014/main" xmlns="" id="{00000000-0008-0000-3300-00006F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235</xdr:row>
      <xdr:rowOff>0</xdr:rowOff>
    </xdr:from>
    <xdr:to>
      <xdr:col>2</xdr:col>
      <xdr:colOff>0</xdr:colOff>
      <xdr:row>259</xdr:row>
      <xdr:rowOff>0</xdr:rowOff>
    </xdr:to>
    <xdr:sp macro="" textlink="">
      <xdr:nvSpPr>
        <xdr:cNvPr id="112" name="Rectangle 107">
          <a:extLst>
            <a:ext uri="{FF2B5EF4-FFF2-40B4-BE49-F238E27FC236}">
              <a16:creationId xmlns:a16="http://schemas.microsoft.com/office/drawing/2014/main" xmlns="" id="{00000000-0008-0000-3300-000070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235</xdr:row>
      <xdr:rowOff>0</xdr:rowOff>
    </xdr:from>
    <xdr:to>
      <xdr:col>2</xdr:col>
      <xdr:colOff>0</xdr:colOff>
      <xdr:row>259</xdr:row>
      <xdr:rowOff>0</xdr:rowOff>
    </xdr:to>
    <xdr:sp macro="" textlink="">
      <xdr:nvSpPr>
        <xdr:cNvPr id="113" name="Rectangle 108">
          <a:extLst>
            <a:ext uri="{FF2B5EF4-FFF2-40B4-BE49-F238E27FC236}">
              <a16:creationId xmlns:a16="http://schemas.microsoft.com/office/drawing/2014/main" xmlns="" id="{00000000-0008-0000-3300-000071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208</xdr:row>
      <xdr:rowOff>0</xdr:rowOff>
    </xdr:to>
    <xdr:sp macro="" textlink="">
      <xdr:nvSpPr>
        <xdr:cNvPr id="114" name="Rectangle 107">
          <a:extLst>
            <a:ext uri="{FF2B5EF4-FFF2-40B4-BE49-F238E27FC236}">
              <a16:creationId xmlns:a16="http://schemas.microsoft.com/office/drawing/2014/main" xmlns="" id="{00000000-0008-0000-3300-000072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208</xdr:row>
      <xdr:rowOff>0</xdr:rowOff>
    </xdr:to>
    <xdr:sp macro="" textlink="">
      <xdr:nvSpPr>
        <xdr:cNvPr id="115" name="Rectangle 108">
          <a:extLst>
            <a:ext uri="{FF2B5EF4-FFF2-40B4-BE49-F238E27FC236}">
              <a16:creationId xmlns:a16="http://schemas.microsoft.com/office/drawing/2014/main" xmlns="" id="{00000000-0008-0000-3300-000073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208</xdr:row>
      <xdr:rowOff>0</xdr:rowOff>
    </xdr:to>
    <xdr:sp macro="" textlink="">
      <xdr:nvSpPr>
        <xdr:cNvPr id="116" name="Rectangle 107">
          <a:extLst>
            <a:ext uri="{FF2B5EF4-FFF2-40B4-BE49-F238E27FC236}">
              <a16:creationId xmlns:a16="http://schemas.microsoft.com/office/drawing/2014/main" xmlns="" id="{00000000-0008-0000-3300-000074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201</xdr:row>
      <xdr:rowOff>0</xdr:rowOff>
    </xdr:from>
    <xdr:to>
      <xdr:col>6</xdr:col>
      <xdr:colOff>0</xdr:colOff>
      <xdr:row>208</xdr:row>
      <xdr:rowOff>0</xdr:rowOff>
    </xdr:to>
    <xdr:sp macro="" textlink="">
      <xdr:nvSpPr>
        <xdr:cNvPr id="117" name="Rectangle 108">
          <a:extLst>
            <a:ext uri="{FF2B5EF4-FFF2-40B4-BE49-F238E27FC236}">
              <a16:creationId xmlns:a16="http://schemas.microsoft.com/office/drawing/2014/main" xmlns="" id="{00000000-0008-0000-3300-000075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235</xdr:row>
      <xdr:rowOff>0</xdr:rowOff>
    </xdr:from>
    <xdr:to>
      <xdr:col>2</xdr:col>
      <xdr:colOff>0</xdr:colOff>
      <xdr:row>260</xdr:row>
      <xdr:rowOff>0</xdr:rowOff>
    </xdr:to>
    <xdr:sp macro="" textlink="">
      <xdr:nvSpPr>
        <xdr:cNvPr id="118" name="Rectangle 107">
          <a:extLst>
            <a:ext uri="{FF2B5EF4-FFF2-40B4-BE49-F238E27FC236}">
              <a16:creationId xmlns:a16="http://schemas.microsoft.com/office/drawing/2014/main" xmlns="" id="{00000000-0008-0000-3300-000076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235</xdr:row>
      <xdr:rowOff>0</xdr:rowOff>
    </xdr:from>
    <xdr:to>
      <xdr:col>2</xdr:col>
      <xdr:colOff>0</xdr:colOff>
      <xdr:row>260</xdr:row>
      <xdr:rowOff>0</xdr:rowOff>
    </xdr:to>
    <xdr:sp macro="" textlink="">
      <xdr:nvSpPr>
        <xdr:cNvPr id="119" name="Rectangle 108">
          <a:extLst>
            <a:ext uri="{FF2B5EF4-FFF2-40B4-BE49-F238E27FC236}">
              <a16:creationId xmlns:a16="http://schemas.microsoft.com/office/drawing/2014/main" xmlns="" id="{00000000-0008-0000-3300-000077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208</xdr:row>
      <xdr:rowOff>0</xdr:rowOff>
    </xdr:to>
    <xdr:sp macro="" textlink="">
      <xdr:nvSpPr>
        <xdr:cNvPr id="120" name="Rectangle 107">
          <a:extLst>
            <a:ext uri="{FF2B5EF4-FFF2-40B4-BE49-F238E27FC236}">
              <a16:creationId xmlns:a16="http://schemas.microsoft.com/office/drawing/2014/main" xmlns="" id="{00000000-0008-0000-3300-000078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199</xdr:row>
      <xdr:rowOff>0</xdr:rowOff>
    </xdr:from>
    <xdr:to>
      <xdr:col>6</xdr:col>
      <xdr:colOff>0</xdr:colOff>
      <xdr:row>208</xdr:row>
      <xdr:rowOff>0</xdr:rowOff>
    </xdr:to>
    <xdr:sp macro="" textlink="">
      <xdr:nvSpPr>
        <xdr:cNvPr id="121" name="Rectangle 108">
          <a:extLst>
            <a:ext uri="{FF2B5EF4-FFF2-40B4-BE49-F238E27FC236}">
              <a16:creationId xmlns:a16="http://schemas.microsoft.com/office/drawing/2014/main" xmlns="" id="{00000000-0008-0000-3300-000079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200</xdr:row>
      <xdr:rowOff>0</xdr:rowOff>
    </xdr:from>
    <xdr:to>
      <xdr:col>2</xdr:col>
      <xdr:colOff>0</xdr:colOff>
      <xdr:row>209</xdr:row>
      <xdr:rowOff>0</xdr:rowOff>
    </xdr:to>
    <xdr:sp macro="" textlink="">
      <xdr:nvSpPr>
        <xdr:cNvPr id="122" name="Rectangle 107">
          <a:extLst>
            <a:ext uri="{FF2B5EF4-FFF2-40B4-BE49-F238E27FC236}">
              <a16:creationId xmlns:a16="http://schemas.microsoft.com/office/drawing/2014/main" xmlns="" id="{00000000-0008-0000-3300-00007A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200</xdr:row>
      <xdr:rowOff>0</xdr:rowOff>
    </xdr:from>
    <xdr:to>
      <xdr:col>2</xdr:col>
      <xdr:colOff>0</xdr:colOff>
      <xdr:row>209</xdr:row>
      <xdr:rowOff>0</xdr:rowOff>
    </xdr:to>
    <xdr:sp macro="" textlink="">
      <xdr:nvSpPr>
        <xdr:cNvPr id="123" name="Rectangle 108">
          <a:extLst>
            <a:ext uri="{FF2B5EF4-FFF2-40B4-BE49-F238E27FC236}">
              <a16:creationId xmlns:a16="http://schemas.microsoft.com/office/drawing/2014/main" xmlns="" id="{00000000-0008-0000-3300-00007B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236</xdr:row>
      <xdr:rowOff>0</xdr:rowOff>
    </xdr:from>
    <xdr:to>
      <xdr:col>2</xdr:col>
      <xdr:colOff>0</xdr:colOff>
      <xdr:row>258</xdr:row>
      <xdr:rowOff>0</xdr:rowOff>
    </xdr:to>
    <xdr:sp macro="" textlink="">
      <xdr:nvSpPr>
        <xdr:cNvPr id="124" name="Rectangle 107">
          <a:extLst>
            <a:ext uri="{FF2B5EF4-FFF2-40B4-BE49-F238E27FC236}">
              <a16:creationId xmlns:a16="http://schemas.microsoft.com/office/drawing/2014/main" xmlns="" id="{00000000-0008-0000-3300-00007C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236</xdr:row>
      <xdr:rowOff>0</xdr:rowOff>
    </xdr:from>
    <xdr:to>
      <xdr:col>2</xdr:col>
      <xdr:colOff>0</xdr:colOff>
      <xdr:row>258</xdr:row>
      <xdr:rowOff>0</xdr:rowOff>
    </xdr:to>
    <xdr:sp macro="" textlink="">
      <xdr:nvSpPr>
        <xdr:cNvPr id="125" name="Rectangle 108">
          <a:extLst>
            <a:ext uri="{FF2B5EF4-FFF2-40B4-BE49-F238E27FC236}">
              <a16:creationId xmlns:a16="http://schemas.microsoft.com/office/drawing/2014/main" xmlns="" id="{00000000-0008-0000-3300-00007D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204</xdr:row>
      <xdr:rowOff>0</xdr:rowOff>
    </xdr:from>
    <xdr:to>
      <xdr:col>6</xdr:col>
      <xdr:colOff>0</xdr:colOff>
      <xdr:row>208</xdr:row>
      <xdr:rowOff>0</xdr:rowOff>
    </xdr:to>
    <xdr:sp macro="" textlink="">
      <xdr:nvSpPr>
        <xdr:cNvPr id="126" name="Rectangle 107">
          <a:extLst>
            <a:ext uri="{FF2B5EF4-FFF2-40B4-BE49-F238E27FC236}">
              <a16:creationId xmlns:a16="http://schemas.microsoft.com/office/drawing/2014/main" xmlns="" id="{00000000-0008-0000-3300-00007E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204</xdr:row>
      <xdr:rowOff>0</xdr:rowOff>
    </xdr:from>
    <xdr:to>
      <xdr:col>6</xdr:col>
      <xdr:colOff>0</xdr:colOff>
      <xdr:row>208</xdr:row>
      <xdr:rowOff>0</xdr:rowOff>
    </xdr:to>
    <xdr:sp macro="" textlink="">
      <xdr:nvSpPr>
        <xdr:cNvPr id="127" name="Rectangle 108">
          <a:extLst>
            <a:ext uri="{FF2B5EF4-FFF2-40B4-BE49-F238E27FC236}">
              <a16:creationId xmlns:a16="http://schemas.microsoft.com/office/drawing/2014/main" xmlns="" id="{00000000-0008-0000-3300-00007F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200</xdr:row>
      <xdr:rowOff>0</xdr:rowOff>
    </xdr:from>
    <xdr:to>
      <xdr:col>2</xdr:col>
      <xdr:colOff>0</xdr:colOff>
      <xdr:row>211</xdr:row>
      <xdr:rowOff>0</xdr:rowOff>
    </xdr:to>
    <xdr:sp macro="" textlink="">
      <xdr:nvSpPr>
        <xdr:cNvPr id="128" name="Rectangle 107">
          <a:extLst>
            <a:ext uri="{FF2B5EF4-FFF2-40B4-BE49-F238E27FC236}">
              <a16:creationId xmlns:a16="http://schemas.microsoft.com/office/drawing/2014/main" xmlns="" id="{00000000-0008-0000-3300-000080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200</xdr:row>
      <xdr:rowOff>0</xdr:rowOff>
    </xdr:from>
    <xdr:to>
      <xdr:col>2</xdr:col>
      <xdr:colOff>0</xdr:colOff>
      <xdr:row>211</xdr:row>
      <xdr:rowOff>0</xdr:rowOff>
    </xdr:to>
    <xdr:sp macro="" textlink="">
      <xdr:nvSpPr>
        <xdr:cNvPr id="129" name="Rectangle 108">
          <a:extLst>
            <a:ext uri="{FF2B5EF4-FFF2-40B4-BE49-F238E27FC236}">
              <a16:creationId xmlns:a16="http://schemas.microsoft.com/office/drawing/2014/main" xmlns="" id="{00000000-0008-0000-3300-000081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230</xdr:row>
      <xdr:rowOff>0</xdr:rowOff>
    </xdr:from>
    <xdr:to>
      <xdr:col>2</xdr:col>
      <xdr:colOff>0</xdr:colOff>
      <xdr:row>256</xdr:row>
      <xdr:rowOff>0</xdr:rowOff>
    </xdr:to>
    <xdr:sp macro="" textlink="">
      <xdr:nvSpPr>
        <xdr:cNvPr id="130" name="Rectangle 107">
          <a:extLst>
            <a:ext uri="{FF2B5EF4-FFF2-40B4-BE49-F238E27FC236}">
              <a16:creationId xmlns:a16="http://schemas.microsoft.com/office/drawing/2014/main" xmlns="" id="{00000000-0008-0000-3300-000082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230</xdr:row>
      <xdr:rowOff>0</xdr:rowOff>
    </xdr:from>
    <xdr:to>
      <xdr:col>2</xdr:col>
      <xdr:colOff>0</xdr:colOff>
      <xdr:row>256</xdr:row>
      <xdr:rowOff>0</xdr:rowOff>
    </xdr:to>
    <xdr:sp macro="" textlink="">
      <xdr:nvSpPr>
        <xdr:cNvPr id="131" name="Rectangle 108">
          <a:extLst>
            <a:ext uri="{FF2B5EF4-FFF2-40B4-BE49-F238E27FC236}">
              <a16:creationId xmlns:a16="http://schemas.microsoft.com/office/drawing/2014/main" xmlns="" id="{00000000-0008-0000-3300-000083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199</xdr:row>
      <xdr:rowOff>0</xdr:rowOff>
    </xdr:from>
    <xdr:to>
      <xdr:col>6</xdr:col>
      <xdr:colOff>0</xdr:colOff>
      <xdr:row>208</xdr:row>
      <xdr:rowOff>0</xdr:rowOff>
    </xdr:to>
    <xdr:sp macro="" textlink="">
      <xdr:nvSpPr>
        <xdr:cNvPr id="132" name="Rectangle 107">
          <a:extLst>
            <a:ext uri="{FF2B5EF4-FFF2-40B4-BE49-F238E27FC236}">
              <a16:creationId xmlns:a16="http://schemas.microsoft.com/office/drawing/2014/main" xmlns="" id="{00000000-0008-0000-3300-000084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199</xdr:row>
      <xdr:rowOff>0</xdr:rowOff>
    </xdr:from>
    <xdr:to>
      <xdr:col>6</xdr:col>
      <xdr:colOff>0</xdr:colOff>
      <xdr:row>208</xdr:row>
      <xdr:rowOff>0</xdr:rowOff>
    </xdr:to>
    <xdr:sp macro="" textlink="">
      <xdr:nvSpPr>
        <xdr:cNvPr id="133" name="Rectangle 108">
          <a:extLst>
            <a:ext uri="{FF2B5EF4-FFF2-40B4-BE49-F238E27FC236}">
              <a16:creationId xmlns:a16="http://schemas.microsoft.com/office/drawing/2014/main" xmlns="" id="{00000000-0008-0000-3300-000085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206</xdr:row>
      <xdr:rowOff>0</xdr:rowOff>
    </xdr:from>
    <xdr:to>
      <xdr:col>6</xdr:col>
      <xdr:colOff>0</xdr:colOff>
      <xdr:row>208</xdr:row>
      <xdr:rowOff>0</xdr:rowOff>
    </xdr:to>
    <xdr:sp macro="" textlink="">
      <xdr:nvSpPr>
        <xdr:cNvPr id="134" name="Rectangle 107">
          <a:extLst>
            <a:ext uri="{FF2B5EF4-FFF2-40B4-BE49-F238E27FC236}">
              <a16:creationId xmlns:a16="http://schemas.microsoft.com/office/drawing/2014/main" xmlns="" id="{00000000-0008-0000-3300-000086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206</xdr:row>
      <xdr:rowOff>0</xdr:rowOff>
    </xdr:from>
    <xdr:to>
      <xdr:col>6</xdr:col>
      <xdr:colOff>0</xdr:colOff>
      <xdr:row>208</xdr:row>
      <xdr:rowOff>0</xdr:rowOff>
    </xdr:to>
    <xdr:sp macro="" textlink="">
      <xdr:nvSpPr>
        <xdr:cNvPr id="135" name="Rectangle 108">
          <a:extLst>
            <a:ext uri="{FF2B5EF4-FFF2-40B4-BE49-F238E27FC236}">
              <a16:creationId xmlns:a16="http://schemas.microsoft.com/office/drawing/2014/main" xmlns="" id="{00000000-0008-0000-3300-000087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266</xdr:row>
      <xdr:rowOff>0</xdr:rowOff>
    </xdr:from>
    <xdr:to>
      <xdr:col>2</xdr:col>
      <xdr:colOff>0</xdr:colOff>
      <xdr:row>284</xdr:row>
      <xdr:rowOff>0</xdr:rowOff>
    </xdr:to>
    <xdr:sp macro="" textlink="">
      <xdr:nvSpPr>
        <xdr:cNvPr id="136" name="Rectangle 107">
          <a:extLst>
            <a:ext uri="{FF2B5EF4-FFF2-40B4-BE49-F238E27FC236}">
              <a16:creationId xmlns:a16="http://schemas.microsoft.com/office/drawing/2014/main" xmlns="" id="{00000000-0008-0000-3300-000088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266</xdr:row>
      <xdr:rowOff>0</xdr:rowOff>
    </xdr:from>
    <xdr:to>
      <xdr:col>2</xdr:col>
      <xdr:colOff>0</xdr:colOff>
      <xdr:row>284</xdr:row>
      <xdr:rowOff>0</xdr:rowOff>
    </xdr:to>
    <xdr:sp macro="" textlink="">
      <xdr:nvSpPr>
        <xdr:cNvPr id="137" name="Rectangle 108">
          <a:extLst>
            <a:ext uri="{FF2B5EF4-FFF2-40B4-BE49-F238E27FC236}">
              <a16:creationId xmlns:a16="http://schemas.microsoft.com/office/drawing/2014/main" xmlns="" id="{00000000-0008-0000-3300-000089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291</xdr:row>
      <xdr:rowOff>0</xdr:rowOff>
    </xdr:from>
    <xdr:to>
      <xdr:col>2</xdr:col>
      <xdr:colOff>0</xdr:colOff>
      <xdr:row>310</xdr:row>
      <xdr:rowOff>0</xdr:rowOff>
    </xdr:to>
    <xdr:sp macro="" textlink="">
      <xdr:nvSpPr>
        <xdr:cNvPr id="138" name="Rectangle 107">
          <a:extLst>
            <a:ext uri="{FF2B5EF4-FFF2-40B4-BE49-F238E27FC236}">
              <a16:creationId xmlns:a16="http://schemas.microsoft.com/office/drawing/2014/main" xmlns="" id="{00000000-0008-0000-3300-00008A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291</xdr:row>
      <xdr:rowOff>0</xdr:rowOff>
    </xdr:from>
    <xdr:to>
      <xdr:col>2</xdr:col>
      <xdr:colOff>0</xdr:colOff>
      <xdr:row>310</xdr:row>
      <xdr:rowOff>0</xdr:rowOff>
    </xdr:to>
    <xdr:sp macro="" textlink="">
      <xdr:nvSpPr>
        <xdr:cNvPr id="139" name="Rectangle 108">
          <a:extLst>
            <a:ext uri="{FF2B5EF4-FFF2-40B4-BE49-F238E27FC236}">
              <a16:creationId xmlns:a16="http://schemas.microsoft.com/office/drawing/2014/main" xmlns="" id="{00000000-0008-0000-3300-00008B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267</xdr:row>
      <xdr:rowOff>0</xdr:rowOff>
    </xdr:from>
    <xdr:to>
      <xdr:col>6</xdr:col>
      <xdr:colOff>0</xdr:colOff>
      <xdr:row>272</xdr:row>
      <xdr:rowOff>0</xdr:rowOff>
    </xdr:to>
    <xdr:sp macro="" textlink="">
      <xdr:nvSpPr>
        <xdr:cNvPr id="140" name="Rectangle 107">
          <a:extLst>
            <a:ext uri="{FF2B5EF4-FFF2-40B4-BE49-F238E27FC236}">
              <a16:creationId xmlns:a16="http://schemas.microsoft.com/office/drawing/2014/main" xmlns="" id="{00000000-0008-0000-3300-00008C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267</xdr:row>
      <xdr:rowOff>0</xdr:rowOff>
    </xdr:from>
    <xdr:to>
      <xdr:col>6</xdr:col>
      <xdr:colOff>0</xdr:colOff>
      <xdr:row>272</xdr:row>
      <xdr:rowOff>0</xdr:rowOff>
    </xdr:to>
    <xdr:sp macro="" textlink="">
      <xdr:nvSpPr>
        <xdr:cNvPr id="141" name="Rectangle 108">
          <a:extLst>
            <a:ext uri="{FF2B5EF4-FFF2-40B4-BE49-F238E27FC236}">
              <a16:creationId xmlns:a16="http://schemas.microsoft.com/office/drawing/2014/main" xmlns="" id="{00000000-0008-0000-3300-00008D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272</xdr:row>
      <xdr:rowOff>0</xdr:rowOff>
    </xdr:to>
    <xdr:sp macro="" textlink="">
      <xdr:nvSpPr>
        <xdr:cNvPr id="142" name="Rectangle 107">
          <a:extLst>
            <a:ext uri="{FF2B5EF4-FFF2-40B4-BE49-F238E27FC236}">
              <a16:creationId xmlns:a16="http://schemas.microsoft.com/office/drawing/2014/main" xmlns="" id="{00000000-0008-0000-3300-00008E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272</xdr:row>
      <xdr:rowOff>0</xdr:rowOff>
    </xdr:to>
    <xdr:sp macro="" textlink="">
      <xdr:nvSpPr>
        <xdr:cNvPr id="143" name="Rectangle 108">
          <a:extLst>
            <a:ext uri="{FF2B5EF4-FFF2-40B4-BE49-F238E27FC236}">
              <a16:creationId xmlns:a16="http://schemas.microsoft.com/office/drawing/2014/main" xmlns="" id="{00000000-0008-0000-3300-00008F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266</xdr:row>
      <xdr:rowOff>0</xdr:rowOff>
    </xdr:from>
    <xdr:to>
      <xdr:col>2</xdr:col>
      <xdr:colOff>0</xdr:colOff>
      <xdr:row>286</xdr:row>
      <xdr:rowOff>0</xdr:rowOff>
    </xdr:to>
    <xdr:sp macro="" textlink="">
      <xdr:nvSpPr>
        <xdr:cNvPr id="144" name="Rectangle 107">
          <a:extLst>
            <a:ext uri="{FF2B5EF4-FFF2-40B4-BE49-F238E27FC236}">
              <a16:creationId xmlns:a16="http://schemas.microsoft.com/office/drawing/2014/main" xmlns="" id="{00000000-0008-0000-3300-000090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266</xdr:row>
      <xdr:rowOff>0</xdr:rowOff>
    </xdr:from>
    <xdr:to>
      <xdr:col>2</xdr:col>
      <xdr:colOff>0</xdr:colOff>
      <xdr:row>286</xdr:row>
      <xdr:rowOff>0</xdr:rowOff>
    </xdr:to>
    <xdr:sp macro="" textlink="">
      <xdr:nvSpPr>
        <xdr:cNvPr id="145" name="Rectangle 108">
          <a:extLst>
            <a:ext uri="{FF2B5EF4-FFF2-40B4-BE49-F238E27FC236}">
              <a16:creationId xmlns:a16="http://schemas.microsoft.com/office/drawing/2014/main" xmlns="" id="{00000000-0008-0000-3300-000091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291</xdr:row>
      <xdr:rowOff>0</xdr:rowOff>
    </xdr:from>
    <xdr:to>
      <xdr:col>2</xdr:col>
      <xdr:colOff>0</xdr:colOff>
      <xdr:row>318</xdr:row>
      <xdr:rowOff>0</xdr:rowOff>
    </xdr:to>
    <xdr:sp macro="" textlink="">
      <xdr:nvSpPr>
        <xdr:cNvPr id="146" name="Rectangle 107">
          <a:extLst>
            <a:ext uri="{FF2B5EF4-FFF2-40B4-BE49-F238E27FC236}">
              <a16:creationId xmlns:a16="http://schemas.microsoft.com/office/drawing/2014/main" xmlns="" id="{00000000-0008-0000-3300-000092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291</xdr:row>
      <xdr:rowOff>0</xdr:rowOff>
    </xdr:from>
    <xdr:to>
      <xdr:col>2</xdr:col>
      <xdr:colOff>0</xdr:colOff>
      <xdr:row>318</xdr:row>
      <xdr:rowOff>0</xdr:rowOff>
    </xdr:to>
    <xdr:sp macro="" textlink="">
      <xdr:nvSpPr>
        <xdr:cNvPr id="147" name="Rectangle 108">
          <a:extLst>
            <a:ext uri="{FF2B5EF4-FFF2-40B4-BE49-F238E27FC236}">
              <a16:creationId xmlns:a16="http://schemas.microsoft.com/office/drawing/2014/main" xmlns="" id="{00000000-0008-0000-3300-000093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266</xdr:row>
      <xdr:rowOff>0</xdr:rowOff>
    </xdr:from>
    <xdr:to>
      <xdr:col>6</xdr:col>
      <xdr:colOff>0</xdr:colOff>
      <xdr:row>282</xdr:row>
      <xdr:rowOff>0</xdr:rowOff>
    </xdr:to>
    <xdr:sp macro="" textlink="">
      <xdr:nvSpPr>
        <xdr:cNvPr id="148" name="Rectangle 107">
          <a:extLst>
            <a:ext uri="{FF2B5EF4-FFF2-40B4-BE49-F238E27FC236}">
              <a16:creationId xmlns:a16="http://schemas.microsoft.com/office/drawing/2014/main" xmlns="" id="{00000000-0008-0000-3300-000094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266</xdr:row>
      <xdr:rowOff>0</xdr:rowOff>
    </xdr:from>
    <xdr:to>
      <xdr:col>6</xdr:col>
      <xdr:colOff>0</xdr:colOff>
      <xdr:row>282</xdr:row>
      <xdr:rowOff>0</xdr:rowOff>
    </xdr:to>
    <xdr:sp macro="" textlink="">
      <xdr:nvSpPr>
        <xdr:cNvPr id="149" name="Rectangle 108">
          <a:extLst>
            <a:ext uri="{FF2B5EF4-FFF2-40B4-BE49-F238E27FC236}">
              <a16:creationId xmlns:a16="http://schemas.microsoft.com/office/drawing/2014/main" xmlns="" id="{00000000-0008-0000-3300-000095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282</xdr:row>
      <xdr:rowOff>0</xdr:rowOff>
    </xdr:to>
    <xdr:sp macro="" textlink="">
      <xdr:nvSpPr>
        <xdr:cNvPr id="150" name="Rectangle 107">
          <a:extLst>
            <a:ext uri="{FF2B5EF4-FFF2-40B4-BE49-F238E27FC236}">
              <a16:creationId xmlns:a16="http://schemas.microsoft.com/office/drawing/2014/main" xmlns="" id="{00000000-0008-0000-3300-000096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268</xdr:row>
      <xdr:rowOff>0</xdr:rowOff>
    </xdr:from>
    <xdr:to>
      <xdr:col>6</xdr:col>
      <xdr:colOff>0</xdr:colOff>
      <xdr:row>282</xdr:row>
      <xdr:rowOff>0</xdr:rowOff>
    </xdr:to>
    <xdr:sp macro="" textlink="">
      <xdr:nvSpPr>
        <xdr:cNvPr id="151" name="Rectangle 108">
          <a:extLst>
            <a:ext uri="{FF2B5EF4-FFF2-40B4-BE49-F238E27FC236}">
              <a16:creationId xmlns:a16="http://schemas.microsoft.com/office/drawing/2014/main" xmlns="" id="{00000000-0008-0000-3300-000097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291</xdr:row>
      <xdr:rowOff>0</xdr:rowOff>
    </xdr:from>
    <xdr:to>
      <xdr:col>2</xdr:col>
      <xdr:colOff>0</xdr:colOff>
      <xdr:row>322</xdr:row>
      <xdr:rowOff>0</xdr:rowOff>
    </xdr:to>
    <xdr:sp macro="" textlink="">
      <xdr:nvSpPr>
        <xdr:cNvPr id="152" name="Rectangle 107">
          <a:extLst>
            <a:ext uri="{FF2B5EF4-FFF2-40B4-BE49-F238E27FC236}">
              <a16:creationId xmlns:a16="http://schemas.microsoft.com/office/drawing/2014/main" xmlns="" id="{00000000-0008-0000-3300-000098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291</xdr:row>
      <xdr:rowOff>0</xdr:rowOff>
    </xdr:from>
    <xdr:to>
      <xdr:col>2</xdr:col>
      <xdr:colOff>0</xdr:colOff>
      <xdr:row>322</xdr:row>
      <xdr:rowOff>0</xdr:rowOff>
    </xdr:to>
    <xdr:sp macro="" textlink="">
      <xdr:nvSpPr>
        <xdr:cNvPr id="153" name="Rectangle 108">
          <a:extLst>
            <a:ext uri="{FF2B5EF4-FFF2-40B4-BE49-F238E27FC236}">
              <a16:creationId xmlns:a16="http://schemas.microsoft.com/office/drawing/2014/main" xmlns="" id="{00000000-0008-0000-3300-000099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266</xdr:row>
      <xdr:rowOff>0</xdr:rowOff>
    </xdr:from>
    <xdr:to>
      <xdr:col>6</xdr:col>
      <xdr:colOff>0</xdr:colOff>
      <xdr:row>280</xdr:row>
      <xdr:rowOff>0</xdr:rowOff>
    </xdr:to>
    <xdr:sp macro="" textlink="">
      <xdr:nvSpPr>
        <xdr:cNvPr id="154" name="Rectangle 107">
          <a:extLst>
            <a:ext uri="{FF2B5EF4-FFF2-40B4-BE49-F238E27FC236}">
              <a16:creationId xmlns:a16="http://schemas.microsoft.com/office/drawing/2014/main" xmlns="" id="{00000000-0008-0000-3300-00009A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266</xdr:row>
      <xdr:rowOff>0</xdr:rowOff>
    </xdr:from>
    <xdr:to>
      <xdr:col>6</xdr:col>
      <xdr:colOff>0</xdr:colOff>
      <xdr:row>280</xdr:row>
      <xdr:rowOff>0</xdr:rowOff>
    </xdr:to>
    <xdr:sp macro="" textlink="">
      <xdr:nvSpPr>
        <xdr:cNvPr id="155" name="Rectangle 108">
          <a:extLst>
            <a:ext uri="{FF2B5EF4-FFF2-40B4-BE49-F238E27FC236}">
              <a16:creationId xmlns:a16="http://schemas.microsoft.com/office/drawing/2014/main" xmlns="" id="{00000000-0008-0000-3300-00009B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267</xdr:row>
      <xdr:rowOff>0</xdr:rowOff>
    </xdr:from>
    <xdr:to>
      <xdr:col>2</xdr:col>
      <xdr:colOff>0</xdr:colOff>
      <xdr:row>276</xdr:row>
      <xdr:rowOff>0</xdr:rowOff>
    </xdr:to>
    <xdr:sp macro="" textlink="">
      <xdr:nvSpPr>
        <xdr:cNvPr id="156" name="Rectangle 107">
          <a:extLst>
            <a:ext uri="{FF2B5EF4-FFF2-40B4-BE49-F238E27FC236}">
              <a16:creationId xmlns:a16="http://schemas.microsoft.com/office/drawing/2014/main" xmlns="" id="{00000000-0008-0000-3300-00009C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267</xdr:row>
      <xdr:rowOff>0</xdr:rowOff>
    </xdr:from>
    <xdr:to>
      <xdr:col>2</xdr:col>
      <xdr:colOff>0</xdr:colOff>
      <xdr:row>276</xdr:row>
      <xdr:rowOff>0</xdr:rowOff>
    </xdr:to>
    <xdr:sp macro="" textlink="">
      <xdr:nvSpPr>
        <xdr:cNvPr id="157" name="Rectangle 108">
          <a:extLst>
            <a:ext uri="{FF2B5EF4-FFF2-40B4-BE49-F238E27FC236}">
              <a16:creationId xmlns:a16="http://schemas.microsoft.com/office/drawing/2014/main" xmlns="" id="{00000000-0008-0000-3300-00009D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292</xdr:row>
      <xdr:rowOff>0</xdr:rowOff>
    </xdr:from>
    <xdr:to>
      <xdr:col>2</xdr:col>
      <xdr:colOff>0</xdr:colOff>
      <xdr:row>314</xdr:row>
      <xdr:rowOff>0</xdr:rowOff>
    </xdr:to>
    <xdr:sp macro="" textlink="">
      <xdr:nvSpPr>
        <xdr:cNvPr id="158" name="Rectangle 107">
          <a:extLst>
            <a:ext uri="{FF2B5EF4-FFF2-40B4-BE49-F238E27FC236}">
              <a16:creationId xmlns:a16="http://schemas.microsoft.com/office/drawing/2014/main" xmlns="" id="{00000000-0008-0000-3300-00009E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292</xdr:row>
      <xdr:rowOff>0</xdr:rowOff>
    </xdr:from>
    <xdr:to>
      <xdr:col>2</xdr:col>
      <xdr:colOff>0</xdr:colOff>
      <xdr:row>314</xdr:row>
      <xdr:rowOff>0</xdr:rowOff>
    </xdr:to>
    <xdr:sp macro="" textlink="">
      <xdr:nvSpPr>
        <xdr:cNvPr id="159" name="Rectangle 108">
          <a:extLst>
            <a:ext uri="{FF2B5EF4-FFF2-40B4-BE49-F238E27FC236}">
              <a16:creationId xmlns:a16="http://schemas.microsoft.com/office/drawing/2014/main" xmlns="" id="{00000000-0008-0000-3300-00009F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271</xdr:row>
      <xdr:rowOff>0</xdr:rowOff>
    </xdr:from>
    <xdr:to>
      <xdr:col>6</xdr:col>
      <xdr:colOff>0</xdr:colOff>
      <xdr:row>285</xdr:row>
      <xdr:rowOff>0</xdr:rowOff>
    </xdr:to>
    <xdr:sp macro="" textlink="">
      <xdr:nvSpPr>
        <xdr:cNvPr id="160" name="Rectangle 107">
          <a:extLst>
            <a:ext uri="{FF2B5EF4-FFF2-40B4-BE49-F238E27FC236}">
              <a16:creationId xmlns:a16="http://schemas.microsoft.com/office/drawing/2014/main" xmlns="" id="{00000000-0008-0000-3300-0000A0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271</xdr:row>
      <xdr:rowOff>0</xdr:rowOff>
    </xdr:from>
    <xdr:to>
      <xdr:col>6</xdr:col>
      <xdr:colOff>0</xdr:colOff>
      <xdr:row>285</xdr:row>
      <xdr:rowOff>0</xdr:rowOff>
    </xdr:to>
    <xdr:sp macro="" textlink="">
      <xdr:nvSpPr>
        <xdr:cNvPr id="161" name="Rectangle 108">
          <a:extLst>
            <a:ext uri="{FF2B5EF4-FFF2-40B4-BE49-F238E27FC236}">
              <a16:creationId xmlns:a16="http://schemas.microsoft.com/office/drawing/2014/main" xmlns="" id="{00000000-0008-0000-3300-0000A1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283</xdr:row>
      <xdr:rowOff>0</xdr:rowOff>
    </xdr:from>
    <xdr:to>
      <xdr:col>6</xdr:col>
      <xdr:colOff>0</xdr:colOff>
      <xdr:row>285</xdr:row>
      <xdr:rowOff>0</xdr:rowOff>
    </xdr:to>
    <xdr:sp macro="" textlink="">
      <xdr:nvSpPr>
        <xdr:cNvPr id="162" name="Rectangle 107">
          <a:extLst>
            <a:ext uri="{FF2B5EF4-FFF2-40B4-BE49-F238E27FC236}">
              <a16:creationId xmlns:a16="http://schemas.microsoft.com/office/drawing/2014/main" xmlns="" id="{00000000-0008-0000-3300-0000A2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283</xdr:row>
      <xdr:rowOff>0</xdr:rowOff>
    </xdr:from>
    <xdr:to>
      <xdr:col>6</xdr:col>
      <xdr:colOff>0</xdr:colOff>
      <xdr:row>285</xdr:row>
      <xdr:rowOff>0</xdr:rowOff>
    </xdr:to>
    <xdr:sp macro="" textlink="">
      <xdr:nvSpPr>
        <xdr:cNvPr id="163" name="Rectangle 108">
          <a:extLst>
            <a:ext uri="{FF2B5EF4-FFF2-40B4-BE49-F238E27FC236}">
              <a16:creationId xmlns:a16="http://schemas.microsoft.com/office/drawing/2014/main" xmlns="" id="{00000000-0008-0000-3300-0000A3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328</xdr:row>
      <xdr:rowOff>0</xdr:rowOff>
    </xdr:from>
    <xdr:to>
      <xdr:col>2</xdr:col>
      <xdr:colOff>0</xdr:colOff>
      <xdr:row>346</xdr:row>
      <xdr:rowOff>0</xdr:rowOff>
    </xdr:to>
    <xdr:sp macro="" textlink="">
      <xdr:nvSpPr>
        <xdr:cNvPr id="164" name="Rectangle 107">
          <a:extLst>
            <a:ext uri="{FF2B5EF4-FFF2-40B4-BE49-F238E27FC236}">
              <a16:creationId xmlns:a16="http://schemas.microsoft.com/office/drawing/2014/main" xmlns="" id="{00000000-0008-0000-3300-0000A4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328</xdr:row>
      <xdr:rowOff>0</xdr:rowOff>
    </xdr:from>
    <xdr:to>
      <xdr:col>2</xdr:col>
      <xdr:colOff>0</xdr:colOff>
      <xdr:row>346</xdr:row>
      <xdr:rowOff>0</xdr:rowOff>
    </xdr:to>
    <xdr:sp macro="" textlink="">
      <xdr:nvSpPr>
        <xdr:cNvPr id="165" name="Rectangle 108">
          <a:extLst>
            <a:ext uri="{FF2B5EF4-FFF2-40B4-BE49-F238E27FC236}">
              <a16:creationId xmlns:a16="http://schemas.microsoft.com/office/drawing/2014/main" xmlns="" id="{00000000-0008-0000-3300-0000A5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358</xdr:row>
      <xdr:rowOff>0</xdr:rowOff>
    </xdr:from>
    <xdr:to>
      <xdr:col>2</xdr:col>
      <xdr:colOff>0</xdr:colOff>
      <xdr:row>377</xdr:row>
      <xdr:rowOff>0</xdr:rowOff>
    </xdr:to>
    <xdr:sp macro="" textlink="">
      <xdr:nvSpPr>
        <xdr:cNvPr id="166" name="Rectangle 107">
          <a:extLst>
            <a:ext uri="{FF2B5EF4-FFF2-40B4-BE49-F238E27FC236}">
              <a16:creationId xmlns:a16="http://schemas.microsoft.com/office/drawing/2014/main" xmlns="" id="{00000000-0008-0000-3300-0000A6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358</xdr:row>
      <xdr:rowOff>0</xdr:rowOff>
    </xdr:from>
    <xdr:to>
      <xdr:col>2</xdr:col>
      <xdr:colOff>0</xdr:colOff>
      <xdr:row>377</xdr:row>
      <xdr:rowOff>0</xdr:rowOff>
    </xdr:to>
    <xdr:sp macro="" textlink="">
      <xdr:nvSpPr>
        <xdr:cNvPr id="167" name="Rectangle 108">
          <a:extLst>
            <a:ext uri="{FF2B5EF4-FFF2-40B4-BE49-F238E27FC236}">
              <a16:creationId xmlns:a16="http://schemas.microsoft.com/office/drawing/2014/main" xmlns="" id="{00000000-0008-0000-3300-0000A7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329</xdr:row>
      <xdr:rowOff>0</xdr:rowOff>
    </xdr:from>
    <xdr:to>
      <xdr:col>6</xdr:col>
      <xdr:colOff>0</xdr:colOff>
      <xdr:row>334</xdr:row>
      <xdr:rowOff>0</xdr:rowOff>
    </xdr:to>
    <xdr:sp macro="" textlink="">
      <xdr:nvSpPr>
        <xdr:cNvPr id="168" name="Rectangle 107">
          <a:extLst>
            <a:ext uri="{FF2B5EF4-FFF2-40B4-BE49-F238E27FC236}">
              <a16:creationId xmlns:a16="http://schemas.microsoft.com/office/drawing/2014/main" xmlns="" id="{00000000-0008-0000-3300-0000A8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329</xdr:row>
      <xdr:rowOff>0</xdr:rowOff>
    </xdr:from>
    <xdr:to>
      <xdr:col>6</xdr:col>
      <xdr:colOff>0</xdr:colOff>
      <xdr:row>334</xdr:row>
      <xdr:rowOff>0</xdr:rowOff>
    </xdr:to>
    <xdr:sp macro="" textlink="">
      <xdr:nvSpPr>
        <xdr:cNvPr id="169" name="Rectangle 108">
          <a:extLst>
            <a:ext uri="{FF2B5EF4-FFF2-40B4-BE49-F238E27FC236}">
              <a16:creationId xmlns:a16="http://schemas.microsoft.com/office/drawing/2014/main" xmlns="" id="{00000000-0008-0000-3300-0000A9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334</xdr:row>
      <xdr:rowOff>0</xdr:rowOff>
    </xdr:to>
    <xdr:sp macro="" textlink="">
      <xdr:nvSpPr>
        <xdr:cNvPr id="170" name="Rectangle 107">
          <a:extLst>
            <a:ext uri="{FF2B5EF4-FFF2-40B4-BE49-F238E27FC236}">
              <a16:creationId xmlns:a16="http://schemas.microsoft.com/office/drawing/2014/main" xmlns="" id="{00000000-0008-0000-3300-0000AA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334</xdr:row>
      <xdr:rowOff>0</xdr:rowOff>
    </xdr:to>
    <xdr:sp macro="" textlink="">
      <xdr:nvSpPr>
        <xdr:cNvPr id="171" name="Rectangle 108">
          <a:extLst>
            <a:ext uri="{FF2B5EF4-FFF2-40B4-BE49-F238E27FC236}">
              <a16:creationId xmlns:a16="http://schemas.microsoft.com/office/drawing/2014/main" xmlns="" id="{00000000-0008-0000-3300-0000AB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328</xdr:row>
      <xdr:rowOff>0</xdr:rowOff>
    </xdr:from>
    <xdr:to>
      <xdr:col>2</xdr:col>
      <xdr:colOff>0</xdr:colOff>
      <xdr:row>350</xdr:row>
      <xdr:rowOff>0</xdr:rowOff>
    </xdr:to>
    <xdr:sp macro="" textlink="">
      <xdr:nvSpPr>
        <xdr:cNvPr id="172" name="Rectangle 107">
          <a:extLst>
            <a:ext uri="{FF2B5EF4-FFF2-40B4-BE49-F238E27FC236}">
              <a16:creationId xmlns:a16="http://schemas.microsoft.com/office/drawing/2014/main" xmlns="" id="{00000000-0008-0000-3300-0000AC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328</xdr:row>
      <xdr:rowOff>0</xdr:rowOff>
    </xdr:from>
    <xdr:to>
      <xdr:col>2</xdr:col>
      <xdr:colOff>0</xdr:colOff>
      <xdr:row>350</xdr:row>
      <xdr:rowOff>0</xdr:rowOff>
    </xdr:to>
    <xdr:sp macro="" textlink="">
      <xdr:nvSpPr>
        <xdr:cNvPr id="173" name="Rectangle 108">
          <a:extLst>
            <a:ext uri="{FF2B5EF4-FFF2-40B4-BE49-F238E27FC236}">
              <a16:creationId xmlns:a16="http://schemas.microsoft.com/office/drawing/2014/main" xmlns="" id="{00000000-0008-0000-3300-0000AD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358</xdr:row>
      <xdr:rowOff>0</xdr:rowOff>
    </xdr:from>
    <xdr:to>
      <xdr:col>2</xdr:col>
      <xdr:colOff>0</xdr:colOff>
      <xdr:row>385</xdr:row>
      <xdr:rowOff>0</xdr:rowOff>
    </xdr:to>
    <xdr:sp macro="" textlink="">
      <xdr:nvSpPr>
        <xdr:cNvPr id="174" name="Rectangle 107">
          <a:extLst>
            <a:ext uri="{FF2B5EF4-FFF2-40B4-BE49-F238E27FC236}">
              <a16:creationId xmlns:a16="http://schemas.microsoft.com/office/drawing/2014/main" xmlns="" id="{00000000-0008-0000-3300-0000AE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358</xdr:row>
      <xdr:rowOff>0</xdr:rowOff>
    </xdr:from>
    <xdr:to>
      <xdr:col>2</xdr:col>
      <xdr:colOff>0</xdr:colOff>
      <xdr:row>385</xdr:row>
      <xdr:rowOff>0</xdr:rowOff>
    </xdr:to>
    <xdr:sp macro="" textlink="">
      <xdr:nvSpPr>
        <xdr:cNvPr id="175" name="Rectangle 108">
          <a:extLst>
            <a:ext uri="{FF2B5EF4-FFF2-40B4-BE49-F238E27FC236}">
              <a16:creationId xmlns:a16="http://schemas.microsoft.com/office/drawing/2014/main" xmlns="" id="{00000000-0008-0000-3300-0000AF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328</xdr:row>
      <xdr:rowOff>0</xdr:rowOff>
    </xdr:from>
    <xdr:to>
      <xdr:col>6</xdr:col>
      <xdr:colOff>0</xdr:colOff>
      <xdr:row>344</xdr:row>
      <xdr:rowOff>0</xdr:rowOff>
    </xdr:to>
    <xdr:sp macro="" textlink="">
      <xdr:nvSpPr>
        <xdr:cNvPr id="176" name="Rectangle 107">
          <a:extLst>
            <a:ext uri="{FF2B5EF4-FFF2-40B4-BE49-F238E27FC236}">
              <a16:creationId xmlns:a16="http://schemas.microsoft.com/office/drawing/2014/main" xmlns="" id="{00000000-0008-0000-3300-0000B0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328</xdr:row>
      <xdr:rowOff>0</xdr:rowOff>
    </xdr:from>
    <xdr:to>
      <xdr:col>6</xdr:col>
      <xdr:colOff>0</xdr:colOff>
      <xdr:row>344</xdr:row>
      <xdr:rowOff>0</xdr:rowOff>
    </xdr:to>
    <xdr:sp macro="" textlink="">
      <xdr:nvSpPr>
        <xdr:cNvPr id="177" name="Rectangle 108">
          <a:extLst>
            <a:ext uri="{FF2B5EF4-FFF2-40B4-BE49-F238E27FC236}">
              <a16:creationId xmlns:a16="http://schemas.microsoft.com/office/drawing/2014/main" xmlns="" id="{00000000-0008-0000-3300-0000B1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344</xdr:row>
      <xdr:rowOff>0</xdr:rowOff>
    </xdr:to>
    <xdr:sp macro="" textlink="">
      <xdr:nvSpPr>
        <xdr:cNvPr id="178" name="Rectangle 107">
          <a:extLst>
            <a:ext uri="{FF2B5EF4-FFF2-40B4-BE49-F238E27FC236}">
              <a16:creationId xmlns:a16="http://schemas.microsoft.com/office/drawing/2014/main" xmlns="" id="{00000000-0008-0000-3300-0000B2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344</xdr:row>
      <xdr:rowOff>0</xdr:rowOff>
    </xdr:to>
    <xdr:sp macro="" textlink="">
      <xdr:nvSpPr>
        <xdr:cNvPr id="179" name="Rectangle 108">
          <a:extLst>
            <a:ext uri="{FF2B5EF4-FFF2-40B4-BE49-F238E27FC236}">
              <a16:creationId xmlns:a16="http://schemas.microsoft.com/office/drawing/2014/main" xmlns="" id="{00000000-0008-0000-3300-0000B3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358</xdr:row>
      <xdr:rowOff>0</xdr:rowOff>
    </xdr:from>
    <xdr:to>
      <xdr:col>2</xdr:col>
      <xdr:colOff>0</xdr:colOff>
      <xdr:row>391</xdr:row>
      <xdr:rowOff>0</xdr:rowOff>
    </xdr:to>
    <xdr:sp macro="" textlink="">
      <xdr:nvSpPr>
        <xdr:cNvPr id="180" name="Rectangle 107">
          <a:extLst>
            <a:ext uri="{FF2B5EF4-FFF2-40B4-BE49-F238E27FC236}">
              <a16:creationId xmlns:a16="http://schemas.microsoft.com/office/drawing/2014/main" xmlns="" id="{00000000-0008-0000-3300-0000B4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358</xdr:row>
      <xdr:rowOff>0</xdr:rowOff>
    </xdr:from>
    <xdr:to>
      <xdr:col>2</xdr:col>
      <xdr:colOff>0</xdr:colOff>
      <xdr:row>391</xdr:row>
      <xdr:rowOff>0</xdr:rowOff>
    </xdr:to>
    <xdr:sp macro="" textlink="">
      <xdr:nvSpPr>
        <xdr:cNvPr id="181" name="Rectangle 108">
          <a:extLst>
            <a:ext uri="{FF2B5EF4-FFF2-40B4-BE49-F238E27FC236}">
              <a16:creationId xmlns:a16="http://schemas.microsoft.com/office/drawing/2014/main" xmlns="" id="{00000000-0008-0000-3300-0000B5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328</xdr:row>
      <xdr:rowOff>0</xdr:rowOff>
    </xdr:from>
    <xdr:to>
      <xdr:col>6</xdr:col>
      <xdr:colOff>0</xdr:colOff>
      <xdr:row>342</xdr:row>
      <xdr:rowOff>0</xdr:rowOff>
    </xdr:to>
    <xdr:sp macro="" textlink="">
      <xdr:nvSpPr>
        <xdr:cNvPr id="182" name="Rectangle 107">
          <a:extLst>
            <a:ext uri="{FF2B5EF4-FFF2-40B4-BE49-F238E27FC236}">
              <a16:creationId xmlns:a16="http://schemas.microsoft.com/office/drawing/2014/main" xmlns="" id="{00000000-0008-0000-3300-0000B6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328</xdr:row>
      <xdr:rowOff>0</xdr:rowOff>
    </xdr:from>
    <xdr:to>
      <xdr:col>6</xdr:col>
      <xdr:colOff>0</xdr:colOff>
      <xdr:row>342</xdr:row>
      <xdr:rowOff>0</xdr:rowOff>
    </xdr:to>
    <xdr:sp macro="" textlink="">
      <xdr:nvSpPr>
        <xdr:cNvPr id="183" name="Rectangle 108">
          <a:extLst>
            <a:ext uri="{FF2B5EF4-FFF2-40B4-BE49-F238E27FC236}">
              <a16:creationId xmlns:a16="http://schemas.microsoft.com/office/drawing/2014/main" xmlns="" id="{00000000-0008-0000-3300-0000B7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400</xdr:row>
      <xdr:rowOff>0</xdr:rowOff>
    </xdr:from>
    <xdr:to>
      <xdr:col>2</xdr:col>
      <xdr:colOff>0</xdr:colOff>
      <xdr:row>418</xdr:row>
      <xdr:rowOff>0</xdr:rowOff>
    </xdr:to>
    <xdr:sp macro="" textlink="">
      <xdr:nvSpPr>
        <xdr:cNvPr id="184" name="Rectangle 107">
          <a:extLst>
            <a:ext uri="{FF2B5EF4-FFF2-40B4-BE49-F238E27FC236}">
              <a16:creationId xmlns:a16="http://schemas.microsoft.com/office/drawing/2014/main" xmlns="" id="{00000000-0008-0000-3300-0000B8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400</xdr:row>
      <xdr:rowOff>0</xdr:rowOff>
    </xdr:from>
    <xdr:to>
      <xdr:col>2</xdr:col>
      <xdr:colOff>0</xdr:colOff>
      <xdr:row>418</xdr:row>
      <xdr:rowOff>0</xdr:rowOff>
    </xdr:to>
    <xdr:sp macro="" textlink="">
      <xdr:nvSpPr>
        <xdr:cNvPr id="185" name="Rectangle 108">
          <a:extLst>
            <a:ext uri="{FF2B5EF4-FFF2-40B4-BE49-F238E27FC236}">
              <a16:creationId xmlns:a16="http://schemas.microsoft.com/office/drawing/2014/main" xmlns="" id="{00000000-0008-0000-3300-0000B9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434</xdr:row>
      <xdr:rowOff>0</xdr:rowOff>
    </xdr:from>
    <xdr:to>
      <xdr:col>2</xdr:col>
      <xdr:colOff>0</xdr:colOff>
      <xdr:row>453</xdr:row>
      <xdr:rowOff>0</xdr:rowOff>
    </xdr:to>
    <xdr:sp macro="" textlink="">
      <xdr:nvSpPr>
        <xdr:cNvPr id="186" name="Rectangle 107">
          <a:extLst>
            <a:ext uri="{FF2B5EF4-FFF2-40B4-BE49-F238E27FC236}">
              <a16:creationId xmlns:a16="http://schemas.microsoft.com/office/drawing/2014/main" xmlns="" id="{00000000-0008-0000-3300-0000BA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434</xdr:row>
      <xdr:rowOff>0</xdr:rowOff>
    </xdr:from>
    <xdr:to>
      <xdr:col>2</xdr:col>
      <xdr:colOff>0</xdr:colOff>
      <xdr:row>453</xdr:row>
      <xdr:rowOff>0</xdr:rowOff>
    </xdr:to>
    <xdr:sp macro="" textlink="">
      <xdr:nvSpPr>
        <xdr:cNvPr id="187" name="Rectangle 108">
          <a:extLst>
            <a:ext uri="{FF2B5EF4-FFF2-40B4-BE49-F238E27FC236}">
              <a16:creationId xmlns:a16="http://schemas.microsoft.com/office/drawing/2014/main" xmlns="" id="{00000000-0008-0000-3300-0000BB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401</xdr:row>
      <xdr:rowOff>0</xdr:rowOff>
    </xdr:from>
    <xdr:to>
      <xdr:col>6</xdr:col>
      <xdr:colOff>0</xdr:colOff>
      <xdr:row>406</xdr:row>
      <xdr:rowOff>0</xdr:rowOff>
    </xdr:to>
    <xdr:sp macro="" textlink="">
      <xdr:nvSpPr>
        <xdr:cNvPr id="188" name="Rectangle 107">
          <a:extLst>
            <a:ext uri="{FF2B5EF4-FFF2-40B4-BE49-F238E27FC236}">
              <a16:creationId xmlns:a16="http://schemas.microsoft.com/office/drawing/2014/main" xmlns="" id="{00000000-0008-0000-3300-0000BC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401</xdr:row>
      <xdr:rowOff>0</xdr:rowOff>
    </xdr:from>
    <xdr:to>
      <xdr:col>6</xdr:col>
      <xdr:colOff>0</xdr:colOff>
      <xdr:row>406</xdr:row>
      <xdr:rowOff>0</xdr:rowOff>
    </xdr:to>
    <xdr:sp macro="" textlink="">
      <xdr:nvSpPr>
        <xdr:cNvPr id="189" name="Rectangle 108">
          <a:extLst>
            <a:ext uri="{FF2B5EF4-FFF2-40B4-BE49-F238E27FC236}">
              <a16:creationId xmlns:a16="http://schemas.microsoft.com/office/drawing/2014/main" xmlns="" id="{00000000-0008-0000-3300-0000BD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406</xdr:row>
      <xdr:rowOff>0</xdr:rowOff>
    </xdr:to>
    <xdr:sp macro="" textlink="">
      <xdr:nvSpPr>
        <xdr:cNvPr id="190" name="Rectangle 107">
          <a:extLst>
            <a:ext uri="{FF2B5EF4-FFF2-40B4-BE49-F238E27FC236}">
              <a16:creationId xmlns:a16="http://schemas.microsoft.com/office/drawing/2014/main" xmlns="" id="{00000000-0008-0000-3300-0000BE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406</xdr:row>
      <xdr:rowOff>0</xdr:rowOff>
    </xdr:to>
    <xdr:sp macro="" textlink="">
      <xdr:nvSpPr>
        <xdr:cNvPr id="191" name="Rectangle 108">
          <a:extLst>
            <a:ext uri="{FF2B5EF4-FFF2-40B4-BE49-F238E27FC236}">
              <a16:creationId xmlns:a16="http://schemas.microsoft.com/office/drawing/2014/main" xmlns="" id="{00000000-0008-0000-3300-0000BF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400</xdr:row>
      <xdr:rowOff>0</xdr:rowOff>
    </xdr:from>
    <xdr:to>
      <xdr:col>2</xdr:col>
      <xdr:colOff>0</xdr:colOff>
      <xdr:row>423</xdr:row>
      <xdr:rowOff>0</xdr:rowOff>
    </xdr:to>
    <xdr:sp macro="" textlink="">
      <xdr:nvSpPr>
        <xdr:cNvPr id="192" name="Rectangle 107">
          <a:extLst>
            <a:ext uri="{FF2B5EF4-FFF2-40B4-BE49-F238E27FC236}">
              <a16:creationId xmlns:a16="http://schemas.microsoft.com/office/drawing/2014/main" xmlns="" id="{00000000-0008-0000-3300-0000C0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400</xdr:row>
      <xdr:rowOff>0</xdr:rowOff>
    </xdr:from>
    <xdr:to>
      <xdr:col>2</xdr:col>
      <xdr:colOff>0</xdr:colOff>
      <xdr:row>423</xdr:row>
      <xdr:rowOff>0</xdr:rowOff>
    </xdr:to>
    <xdr:sp macro="" textlink="">
      <xdr:nvSpPr>
        <xdr:cNvPr id="193" name="Rectangle 108">
          <a:extLst>
            <a:ext uri="{FF2B5EF4-FFF2-40B4-BE49-F238E27FC236}">
              <a16:creationId xmlns:a16="http://schemas.microsoft.com/office/drawing/2014/main" xmlns="" id="{00000000-0008-0000-3300-0000C1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434</xdr:row>
      <xdr:rowOff>0</xdr:rowOff>
    </xdr:from>
    <xdr:to>
      <xdr:col>2</xdr:col>
      <xdr:colOff>0</xdr:colOff>
      <xdr:row>461</xdr:row>
      <xdr:rowOff>0</xdr:rowOff>
    </xdr:to>
    <xdr:sp macro="" textlink="">
      <xdr:nvSpPr>
        <xdr:cNvPr id="194" name="Rectangle 107">
          <a:extLst>
            <a:ext uri="{FF2B5EF4-FFF2-40B4-BE49-F238E27FC236}">
              <a16:creationId xmlns:a16="http://schemas.microsoft.com/office/drawing/2014/main" xmlns="" id="{00000000-0008-0000-3300-0000C2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434</xdr:row>
      <xdr:rowOff>0</xdr:rowOff>
    </xdr:from>
    <xdr:to>
      <xdr:col>2</xdr:col>
      <xdr:colOff>0</xdr:colOff>
      <xdr:row>461</xdr:row>
      <xdr:rowOff>0</xdr:rowOff>
    </xdr:to>
    <xdr:sp macro="" textlink="">
      <xdr:nvSpPr>
        <xdr:cNvPr id="195" name="Rectangle 108">
          <a:extLst>
            <a:ext uri="{FF2B5EF4-FFF2-40B4-BE49-F238E27FC236}">
              <a16:creationId xmlns:a16="http://schemas.microsoft.com/office/drawing/2014/main" xmlns="" id="{00000000-0008-0000-3300-0000C3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400</xdr:row>
      <xdr:rowOff>0</xdr:rowOff>
    </xdr:from>
    <xdr:to>
      <xdr:col>6</xdr:col>
      <xdr:colOff>0</xdr:colOff>
      <xdr:row>424</xdr:row>
      <xdr:rowOff>0</xdr:rowOff>
    </xdr:to>
    <xdr:sp macro="" textlink="">
      <xdr:nvSpPr>
        <xdr:cNvPr id="196" name="Rectangle 107">
          <a:extLst>
            <a:ext uri="{FF2B5EF4-FFF2-40B4-BE49-F238E27FC236}">
              <a16:creationId xmlns:a16="http://schemas.microsoft.com/office/drawing/2014/main" xmlns="" id="{00000000-0008-0000-3300-0000C4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400</xdr:row>
      <xdr:rowOff>0</xdr:rowOff>
    </xdr:from>
    <xdr:to>
      <xdr:col>6</xdr:col>
      <xdr:colOff>0</xdr:colOff>
      <xdr:row>424</xdr:row>
      <xdr:rowOff>0</xdr:rowOff>
    </xdr:to>
    <xdr:sp macro="" textlink="">
      <xdr:nvSpPr>
        <xdr:cNvPr id="197" name="Rectangle 108">
          <a:extLst>
            <a:ext uri="{FF2B5EF4-FFF2-40B4-BE49-F238E27FC236}">
              <a16:creationId xmlns:a16="http://schemas.microsoft.com/office/drawing/2014/main" xmlns="" id="{00000000-0008-0000-3300-0000C5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426</xdr:row>
      <xdr:rowOff>0</xdr:rowOff>
    </xdr:to>
    <xdr:sp macro="" textlink="">
      <xdr:nvSpPr>
        <xdr:cNvPr id="198" name="Rectangle 107">
          <a:extLst>
            <a:ext uri="{FF2B5EF4-FFF2-40B4-BE49-F238E27FC236}">
              <a16:creationId xmlns:a16="http://schemas.microsoft.com/office/drawing/2014/main" xmlns="" id="{00000000-0008-0000-3300-0000C6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426</xdr:row>
      <xdr:rowOff>0</xdr:rowOff>
    </xdr:to>
    <xdr:sp macro="" textlink="">
      <xdr:nvSpPr>
        <xdr:cNvPr id="199" name="Rectangle 108">
          <a:extLst>
            <a:ext uri="{FF2B5EF4-FFF2-40B4-BE49-F238E27FC236}">
              <a16:creationId xmlns:a16="http://schemas.microsoft.com/office/drawing/2014/main" xmlns="" id="{00000000-0008-0000-3300-0000C7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473</xdr:row>
      <xdr:rowOff>0</xdr:rowOff>
    </xdr:from>
    <xdr:to>
      <xdr:col>2</xdr:col>
      <xdr:colOff>0</xdr:colOff>
      <xdr:row>491</xdr:row>
      <xdr:rowOff>0</xdr:rowOff>
    </xdr:to>
    <xdr:sp macro="" textlink="">
      <xdr:nvSpPr>
        <xdr:cNvPr id="200" name="Rectangle 107">
          <a:extLst>
            <a:ext uri="{FF2B5EF4-FFF2-40B4-BE49-F238E27FC236}">
              <a16:creationId xmlns:a16="http://schemas.microsoft.com/office/drawing/2014/main" xmlns="" id="{00000000-0008-0000-3300-0000C8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473</xdr:row>
      <xdr:rowOff>0</xdr:rowOff>
    </xdr:from>
    <xdr:to>
      <xdr:col>2</xdr:col>
      <xdr:colOff>0</xdr:colOff>
      <xdr:row>491</xdr:row>
      <xdr:rowOff>0</xdr:rowOff>
    </xdr:to>
    <xdr:sp macro="" textlink="">
      <xdr:nvSpPr>
        <xdr:cNvPr id="201" name="Rectangle 108">
          <a:extLst>
            <a:ext uri="{FF2B5EF4-FFF2-40B4-BE49-F238E27FC236}">
              <a16:creationId xmlns:a16="http://schemas.microsoft.com/office/drawing/2014/main" xmlns="" id="{00000000-0008-0000-3300-0000C9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507</xdr:row>
      <xdr:rowOff>0</xdr:rowOff>
    </xdr:from>
    <xdr:to>
      <xdr:col>2</xdr:col>
      <xdr:colOff>0</xdr:colOff>
      <xdr:row>526</xdr:row>
      <xdr:rowOff>0</xdr:rowOff>
    </xdr:to>
    <xdr:sp macro="" textlink="">
      <xdr:nvSpPr>
        <xdr:cNvPr id="202" name="Rectangle 107">
          <a:extLst>
            <a:ext uri="{FF2B5EF4-FFF2-40B4-BE49-F238E27FC236}">
              <a16:creationId xmlns:a16="http://schemas.microsoft.com/office/drawing/2014/main" xmlns="" id="{00000000-0008-0000-3300-0000CA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507</xdr:row>
      <xdr:rowOff>0</xdr:rowOff>
    </xdr:from>
    <xdr:to>
      <xdr:col>2</xdr:col>
      <xdr:colOff>0</xdr:colOff>
      <xdr:row>526</xdr:row>
      <xdr:rowOff>0</xdr:rowOff>
    </xdr:to>
    <xdr:sp macro="" textlink="">
      <xdr:nvSpPr>
        <xdr:cNvPr id="203" name="Rectangle 108">
          <a:extLst>
            <a:ext uri="{FF2B5EF4-FFF2-40B4-BE49-F238E27FC236}">
              <a16:creationId xmlns:a16="http://schemas.microsoft.com/office/drawing/2014/main" xmlns="" id="{00000000-0008-0000-3300-0000CB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473</xdr:row>
      <xdr:rowOff>0</xdr:rowOff>
    </xdr:from>
    <xdr:to>
      <xdr:col>6</xdr:col>
      <xdr:colOff>0</xdr:colOff>
      <xdr:row>478</xdr:row>
      <xdr:rowOff>0</xdr:rowOff>
    </xdr:to>
    <xdr:sp macro="" textlink="">
      <xdr:nvSpPr>
        <xdr:cNvPr id="204" name="Rectangle 107">
          <a:extLst>
            <a:ext uri="{FF2B5EF4-FFF2-40B4-BE49-F238E27FC236}">
              <a16:creationId xmlns:a16="http://schemas.microsoft.com/office/drawing/2014/main" xmlns="" id="{00000000-0008-0000-3300-0000CC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473</xdr:row>
      <xdr:rowOff>0</xdr:rowOff>
    </xdr:from>
    <xdr:to>
      <xdr:col>6</xdr:col>
      <xdr:colOff>0</xdr:colOff>
      <xdr:row>478</xdr:row>
      <xdr:rowOff>0</xdr:rowOff>
    </xdr:to>
    <xdr:sp macro="" textlink="">
      <xdr:nvSpPr>
        <xdr:cNvPr id="205" name="Rectangle 108">
          <a:extLst>
            <a:ext uri="{FF2B5EF4-FFF2-40B4-BE49-F238E27FC236}">
              <a16:creationId xmlns:a16="http://schemas.microsoft.com/office/drawing/2014/main" xmlns="" id="{00000000-0008-0000-3300-0000CD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474</xdr:row>
      <xdr:rowOff>0</xdr:rowOff>
    </xdr:from>
    <xdr:to>
      <xdr:col>6</xdr:col>
      <xdr:colOff>0</xdr:colOff>
      <xdr:row>478</xdr:row>
      <xdr:rowOff>0</xdr:rowOff>
    </xdr:to>
    <xdr:sp macro="" textlink="">
      <xdr:nvSpPr>
        <xdr:cNvPr id="206" name="Rectangle 107">
          <a:extLst>
            <a:ext uri="{FF2B5EF4-FFF2-40B4-BE49-F238E27FC236}">
              <a16:creationId xmlns:a16="http://schemas.microsoft.com/office/drawing/2014/main" xmlns="" id="{00000000-0008-0000-3300-0000CE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474</xdr:row>
      <xdr:rowOff>0</xdr:rowOff>
    </xdr:from>
    <xdr:to>
      <xdr:col>6</xdr:col>
      <xdr:colOff>0</xdr:colOff>
      <xdr:row>478</xdr:row>
      <xdr:rowOff>0</xdr:rowOff>
    </xdr:to>
    <xdr:sp macro="" textlink="">
      <xdr:nvSpPr>
        <xdr:cNvPr id="207" name="Rectangle 108">
          <a:extLst>
            <a:ext uri="{FF2B5EF4-FFF2-40B4-BE49-F238E27FC236}">
              <a16:creationId xmlns:a16="http://schemas.microsoft.com/office/drawing/2014/main" xmlns="" id="{00000000-0008-0000-3300-0000CF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542</xdr:row>
      <xdr:rowOff>0</xdr:rowOff>
    </xdr:from>
    <xdr:to>
      <xdr:col>2</xdr:col>
      <xdr:colOff>0</xdr:colOff>
      <xdr:row>560</xdr:row>
      <xdr:rowOff>0</xdr:rowOff>
    </xdr:to>
    <xdr:sp macro="" textlink="">
      <xdr:nvSpPr>
        <xdr:cNvPr id="208" name="Rectangle 107">
          <a:extLst>
            <a:ext uri="{FF2B5EF4-FFF2-40B4-BE49-F238E27FC236}">
              <a16:creationId xmlns:a16="http://schemas.microsoft.com/office/drawing/2014/main" xmlns="" id="{00000000-0008-0000-3300-0000D0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542</xdr:row>
      <xdr:rowOff>0</xdr:rowOff>
    </xdr:from>
    <xdr:to>
      <xdr:col>2</xdr:col>
      <xdr:colOff>0</xdr:colOff>
      <xdr:row>560</xdr:row>
      <xdr:rowOff>0</xdr:rowOff>
    </xdr:to>
    <xdr:sp macro="" textlink="">
      <xdr:nvSpPr>
        <xdr:cNvPr id="209" name="Rectangle 108">
          <a:extLst>
            <a:ext uri="{FF2B5EF4-FFF2-40B4-BE49-F238E27FC236}">
              <a16:creationId xmlns:a16="http://schemas.microsoft.com/office/drawing/2014/main" xmlns="" id="{00000000-0008-0000-3300-0000D1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541</xdr:row>
      <xdr:rowOff>0</xdr:rowOff>
    </xdr:from>
    <xdr:to>
      <xdr:col>6</xdr:col>
      <xdr:colOff>0</xdr:colOff>
      <xdr:row>545</xdr:row>
      <xdr:rowOff>0</xdr:rowOff>
    </xdr:to>
    <xdr:sp macro="" textlink="">
      <xdr:nvSpPr>
        <xdr:cNvPr id="210" name="Rectangle 107">
          <a:extLst>
            <a:ext uri="{FF2B5EF4-FFF2-40B4-BE49-F238E27FC236}">
              <a16:creationId xmlns:a16="http://schemas.microsoft.com/office/drawing/2014/main" xmlns="" id="{00000000-0008-0000-3300-0000D2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541</xdr:row>
      <xdr:rowOff>0</xdr:rowOff>
    </xdr:from>
    <xdr:to>
      <xdr:col>6</xdr:col>
      <xdr:colOff>0</xdr:colOff>
      <xdr:row>545</xdr:row>
      <xdr:rowOff>0</xdr:rowOff>
    </xdr:to>
    <xdr:sp macro="" textlink="">
      <xdr:nvSpPr>
        <xdr:cNvPr id="211" name="Rectangle 108">
          <a:extLst>
            <a:ext uri="{FF2B5EF4-FFF2-40B4-BE49-F238E27FC236}">
              <a16:creationId xmlns:a16="http://schemas.microsoft.com/office/drawing/2014/main" xmlns="" id="{00000000-0008-0000-3300-0000D3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570</xdr:row>
      <xdr:rowOff>0</xdr:rowOff>
    </xdr:from>
    <xdr:to>
      <xdr:col>2</xdr:col>
      <xdr:colOff>0</xdr:colOff>
      <xdr:row>588</xdr:row>
      <xdr:rowOff>0</xdr:rowOff>
    </xdr:to>
    <xdr:sp macro="" textlink="">
      <xdr:nvSpPr>
        <xdr:cNvPr id="212" name="Rectangle 107">
          <a:extLst>
            <a:ext uri="{FF2B5EF4-FFF2-40B4-BE49-F238E27FC236}">
              <a16:creationId xmlns:a16="http://schemas.microsoft.com/office/drawing/2014/main" xmlns="" id="{00000000-0008-0000-3300-0000D4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570</xdr:row>
      <xdr:rowOff>0</xdr:rowOff>
    </xdr:from>
    <xdr:to>
      <xdr:col>2</xdr:col>
      <xdr:colOff>0</xdr:colOff>
      <xdr:row>588</xdr:row>
      <xdr:rowOff>0</xdr:rowOff>
    </xdr:to>
    <xdr:sp macro="" textlink="">
      <xdr:nvSpPr>
        <xdr:cNvPr id="213" name="Rectangle 108">
          <a:extLst>
            <a:ext uri="{FF2B5EF4-FFF2-40B4-BE49-F238E27FC236}">
              <a16:creationId xmlns:a16="http://schemas.microsoft.com/office/drawing/2014/main" xmlns="" id="{00000000-0008-0000-3300-0000D5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542</xdr:row>
      <xdr:rowOff>0</xdr:rowOff>
    </xdr:from>
    <xdr:to>
      <xdr:col>6</xdr:col>
      <xdr:colOff>0</xdr:colOff>
      <xdr:row>545</xdr:row>
      <xdr:rowOff>0</xdr:rowOff>
    </xdr:to>
    <xdr:sp macro="" textlink="">
      <xdr:nvSpPr>
        <xdr:cNvPr id="214" name="Rectangle 107">
          <a:extLst>
            <a:ext uri="{FF2B5EF4-FFF2-40B4-BE49-F238E27FC236}">
              <a16:creationId xmlns:a16="http://schemas.microsoft.com/office/drawing/2014/main" xmlns="" id="{00000000-0008-0000-3300-0000D6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542</xdr:row>
      <xdr:rowOff>0</xdr:rowOff>
    </xdr:from>
    <xdr:to>
      <xdr:col>6</xdr:col>
      <xdr:colOff>0</xdr:colOff>
      <xdr:row>545</xdr:row>
      <xdr:rowOff>0</xdr:rowOff>
    </xdr:to>
    <xdr:sp macro="" textlink="">
      <xdr:nvSpPr>
        <xdr:cNvPr id="215" name="Rectangle 108">
          <a:extLst>
            <a:ext uri="{FF2B5EF4-FFF2-40B4-BE49-F238E27FC236}">
              <a16:creationId xmlns:a16="http://schemas.microsoft.com/office/drawing/2014/main" xmlns="" id="{00000000-0008-0000-3300-0000D7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67</xdr:row>
      <xdr:rowOff>0</xdr:rowOff>
    </xdr:from>
    <xdr:to>
      <xdr:col>2</xdr:col>
      <xdr:colOff>0</xdr:colOff>
      <xdr:row>80</xdr:row>
      <xdr:rowOff>0</xdr:rowOff>
    </xdr:to>
    <xdr:sp macro="" textlink="">
      <xdr:nvSpPr>
        <xdr:cNvPr id="216" name="Rectangle 107">
          <a:extLst>
            <a:ext uri="{FF2B5EF4-FFF2-40B4-BE49-F238E27FC236}">
              <a16:creationId xmlns:a16="http://schemas.microsoft.com/office/drawing/2014/main" xmlns="" id="{00000000-0008-0000-3300-0000D8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67</xdr:row>
      <xdr:rowOff>0</xdr:rowOff>
    </xdr:from>
    <xdr:to>
      <xdr:col>2</xdr:col>
      <xdr:colOff>0</xdr:colOff>
      <xdr:row>80</xdr:row>
      <xdr:rowOff>0</xdr:rowOff>
    </xdr:to>
    <xdr:sp macro="" textlink="">
      <xdr:nvSpPr>
        <xdr:cNvPr id="217" name="Rectangle 108">
          <a:extLst>
            <a:ext uri="{FF2B5EF4-FFF2-40B4-BE49-F238E27FC236}">
              <a16:creationId xmlns:a16="http://schemas.microsoft.com/office/drawing/2014/main" xmlns="" id="{00000000-0008-0000-3300-0000D9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95</xdr:row>
      <xdr:rowOff>0</xdr:rowOff>
    </xdr:from>
    <xdr:to>
      <xdr:col>2</xdr:col>
      <xdr:colOff>0</xdr:colOff>
      <xdr:row>112</xdr:row>
      <xdr:rowOff>0</xdr:rowOff>
    </xdr:to>
    <xdr:sp macro="" textlink="">
      <xdr:nvSpPr>
        <xdr:cNvPr id="218" name="Rectangle 107">
          <a:extLst>
            <a:ext uri="{FF2B5EF4-FFF2-40B4-BE49-F238E27FC236}">
              <a16:creationId xmlns:a16="http://schemas.microsoft.com/office/drawing/2014/main" xmlns="" id="{00000000-0008-0000-3300-0000DA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95</xdr:row>
      <xdr:rowOff>0</xdr:rowOff>
    </xdr:from>
    <xdr:to>
      <xdr:col>2</xdr:col>
      <xdr:colOff>0</xdr:colOff>
      <xdr:row>112</xdr:row>
      <xdr:rowOff>0</xdr:rowOff>
    </xdr:to>
    <xdr:sp macro="" textlink="">
      <xdr:nvSpPr>
        <xdr:cNvPr id="219" name="Rectangle 108">
          <a:extLst>
            <a:ext uri="{FF2B5EF4-FFF2-40B4-BE49-F238E27FC236}">
              <a16:creationId xmlns:a16="http://schemas.microsoft.com/office/drawing/2014/main" xmlns="" id="{00000000-0008-0000-3300-0000DB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66</xdr:row>
      <xdr:rowOff>0</xdr:rowOff>
    </xdr:from>
    <xdr:to>
      <xdr:col>6</xdr:col>
      <xdr:colOff>0</xdr:colOff>
      <xdr:row>70</xdr:row>
      <xdr:rowOff>0</xdr:rowOff>
    </xdr:to>
    <xdr:sp macro="" textlink="">
      <xdr:nvSpPr>
        <xdr:cNvPr id="220" name="Rectangle 107">
          <a:extLst>
            <a:ext uri="{FF2B5EF4-FFF2-40B4-BE49-F238E27FC236}">
              <a16:creationId xmlns:a16="http://schemas.microsoft.com/office/drawing/2014/main" xmlns="" id="{00000000-0008-0000-3300-0000DC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66</xdr:row>
      <xdr:rowOff>0</xdr:rowOff>
    </xdr:from>
    <xdr:to>
      <xdr:col>6</xdr:col>
      <xdr:colOff>0</xdr:colOff>
      <xdr:row>70</xdr:row>
      <xdr:rowOff>0</xdr:rowOff>
    </xdr:to>
    <xdr:sp macro="" textlink="">
      <xdr:nvSpPr>
        <xdr:cNvPr id="221" name="Rectangle 108">
          <a:extLst>
            <a:ext uri="{FF2B5EF4-FFF2-40B4-BE49-F238E27FC236}">
              <a16:creationId xmlns:a16="http://schemas.microsoft.com/office/drawing/2014/main" xmlns="" id="{00000000-0008-0000-3300-0000DD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67</xdr:row>
      <xdr:rowOff>0</xdr:rowOff>
    </xdr:from>
    <xdr:to>
      <xdr:col>6</xdr:col>
      <xdr:colOff>0</xdr:colOff>
      <xdr:row>70</xdr:row>
      <xdr:rowOff>0</xdr:rowOff>
    </xdr:to>
    <xdr:sp macro="" textlink="">
      <xdr:nvSpPr>
        <xdr:cNvPr id="222" name="Rectangle 107">
          <a:extLst>
            <a:ext uri="{FF2B5EF4-FFF2-40B4-BE49-F238E27FC236}">
              <a16:creationId xmlns:a16="http://schemas.microsoft.com/office/drawing/2014/main" xmlns="" id="{00000000-0008-0000-3300-0000DE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67</xdr:row>
      <xdr:rowOff>0</xdr:rowOff>
    </xdr:from>
    <xdr:to>
      <xdr:col>6</xdr:col>
      <xdr:colOff>0</xdr:colOff>
      <xdr:row>70</xdr:row>
      <xdr:rowOff>0</xdr:rowOff>
    </xdr:to>
    <xdr:sp macro="" textlink="">
      <xdr:nvSpPr>
        <xdr:cNvPr id="223" name="Rectangle 108">
          <a:extLst>
            <a:ext uri="{FF2B5EF4-FFF2-40B4-BE49-F238E27FC236}">
              <a16:creationId xmlns:a16="http://schemas.microsoft.com/office/drawing/2014/main" xmlns="" id="{00000000-0008-0000-3300-0000DF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7</xdr:row>
      <xdr:rowOff>0</xdr:rowOff>
    </xdr:from>
    <xdr:to>
      <xdr:col>2</xdr:col>
      <xdr:colOff>0</xdr:colOff>
      <xdr:row>20</xdr:row>
      <xdr:rowOff>0</xdr:rowOff>
    </xdr:to>
    <xdr:sp macro="" textlink="">
      <xdr:nvSpPr>
        <xdr:cNvPr id="248" name="Rectangle 107"/>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7</xdr:row>
      <xdr:rowOff>0</xdr:rowOff>
    </xdr:from>
    <xdr:to>
      <xdr:col>2</xdr:col>
      <xdr:colOff>0</xdr:colOff>
      <xdr:row>20</xdr:row>
      <xdr:rowOff>0</xdr:rowOff>
    </xdr:to>
    <xdr:sp macro="" textlink="">
      <xdr:nvSpPr>
        <xdr:cNvPr id="249" name="Rectangle 108"/>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51</xdr:row>
      <xdr:rowOff>0</xdr:rowOff>
    </xdr:to>
    <xdr:sp macro="" textlink="">
      <xdr:nvSpPr>
        <xdr:cNvPr id="250" name="Rectangle 107"/>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51</xdr:row>
      <xdr:rowOff>0</xdr:rowOff>
    </xdr:to>
    <xdr:sp macro="" textlink="">
      <xdr:nvSpPr>
        <xdr:cNvPr id="251" name="Rectangle 108"/>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11</xdr:row>
      <xdr:rowOff>0</xdr:rowOff>
    </xdr:to>
    <xdr:sp macro="" textlink="">
      <xdr:nvSpPr>
        <xdr:cNvPr id="252" name="Rectangle 107"/>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11</xdr:row>
      <xdr:rowOff>0</xdr:rowOff>
    </xdr:to>
    <xdr:sp macro="" textlink="">
      <xdr:nvSpPr>
        <xdr:cNvPr id="253" name="Rectangle 108"/>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8</xdr:row>
      <xdr:rowOff>0</xdr:rowOff>
    </xdr:from>
    <xdr:to>
      <xdr:col>6</xdr:col>
      <xdr:colOff>0</xdr:colOff>
      <xdr:row>11</xdr:row>
      <xdr:rowOff>0</xdr:rowOff>
    </xdr:to>
    <xdr:sp macro="" textlink="">
      <xdr:nvSpPr>
        <xdr:cNvPr id="254" name="Rectangle 107"/>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twoCellAnchor>
    <xdr:from>
      <xdr:col>6</xdr:col>
      <xdr:colOff>0</xdr:colOff>
      <xdr:row>8</xdr:row>
      <xdr:rowOff>0</xdr:rowOff>
    </xdr:from>
    <xdr:to>
      <xdr:col>6</xdr:col>
      <xdr:colOff>0</xdr:colOff>
      <xdr:row>11</xdr:row>
      <xdr:rowOff>0</xdr:rowOff>
    </xdr:to>
    <xdr:sp macro="" textlink="">
      <xdr:nvSpPr>
        <xdr:cNvPr id="255" name="Rectangle 108"/>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57150</xdr:colOff>
      <xdr:row>1</xdr:row>
      <xdr:rowOff>38100</xdr:rowOff>
    </xdr:from>
    <xdr:to>
      <xdr:col>5</xdr:col>
      <xdr:colOff>314326</xdr:colOff>
      <xdr:row>1</xdr:row>
      <xdr:rowOff>304800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3400-000002000000}"/>
            </a:ext>
          </a:extLst>
        </xdr:cNvPr>
        <xdr:cNvSpPr/>
      </xdr:nvSpPr>
      <xdr:spPr>
        <a:xfrm>
          <a:off x="6696075" y="2667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361950</xdr:colOff>
      <xdr:row>0</xdr:row>
      <xdr:rowOff>133350</xdr:rowOff>
    </xdr:from>
    <xdr:to>
      <xdr:col>3</xdr:col>
      <xdr:colOff>619126</xdr:colOff>
      <xdr:row>1</xdr:row>
      <xdr:rowOff>209550</xdr:rowOff>
    </xdr:to>
    <xdr:sp macro="" textlink="">
      <xdr:nvSpPr>
        <xdr:cNvPr id="738" name="737 Botón de acción: Inicio">
          <a:hlinkClick xmlns:r="http://schemas.openxmlformats.org/officeDocument/2006/relationships" r:id="rId1"/>
          <a:extLst>
            <a:ext uri="{FF2B5EF4-FFF2-40B4-BE49-F238E27FC236}">
              <a16:creationId xmlns:a16="http://schemas.microsoft.com/office/drawing/2014/main" xmlns="" id="{00000000-0008-0000-3500-0000E2020000}"/>
            </a:ext>
          </a:extLst>
        </xdr:cNvPr>
        <xdr:cNvSpPr/>
      </xdr:nvSpPr>
      <xdr:spPr>
        <a:xfrm>
          <a:off x="5829300" y="13335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85725</xdr:colOff>
      <xdr:row>0</xdr:row>
      <xdr:rowOff>171451</xdr:rowOff>
    </xdr:from>
    <xdr:to>
      <xdr:col>5</xdr:col>
      <xdr:colOff>19050</xdr:colOff>
      <xdr:row>2</xdr:row>
      <xdr:rowOff>38101</xdr:rowOff>
    </xdr:to>
    <xdr:sp macro="" textlink="">
      <xdr:nvSpPr>
        <xdr:cNvPr id="389" name="388 Botón de acción: Inicio">
          <a:hlinkClick xmlns:r="http://schemas.openxmlformats.org/officeDocument/2006/relationships" r:id="rId1"/>
          <a:extLst>
            <a:ext uri="{FF2B5EF4-FFF2-40B4-BE49-F238E27FC236}">
              <a16:creationId xmlns:a16="http://schemas.microsoft.com/office/drawing/2014/main" xmlns="" id="{00000000-0008-0000-3600-000085010000}"/>
            </a:ext>
          </a:extLst>
        </xdr:cNvPr>
        <xdr:cNvSpPr/>
      </xdr:nvSpPr>
      <xdr:spPr>
        <a:xfrm>
          <a:off x="6619875" y="171451"/>
          <a:ext cx="295275" cy="3048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97</xdr:col>
      <xdr:colOff>0</xdr:colOff>
      <xdr:row>1</xdr:row>
      <xdr:rowOff>161925</xdr:rowOff>
    </xdr:from>
    <xdr:to>
      <xdr:col>97</xdr:col>
      <xdr:colOff>228600</xdr:colOff>
      <xdr:row>3</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3700-000002000000}"/>
            </a:ext>
          </a:extLst>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34</xdr:col>
      <xdr:colOff>390525</xdr:colOff>
      <xdr:row>0</xdr:row>
      <xdr:rowOff>104775</xdr:rowOff>
    </xdr:from>
    <xdr:to>
      <xdr:col>34</xdr:col>
      <xdr:colOff>647701</xdr:colOff>
      <xdr:row>1</xdr:row>
      <xdr:rowOff>180975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3800-000002000000}"/>
            </a:ext>
          </a:extLst>
        </xdr:cNvPr>
        <xdr:cNvSpPr/>
      </xdr:nvSpPr>
      <xdr:spPr>
        <a:xfrm>
          <a:off x="25069800" y="1047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209550</xdr:colOff>
      <xdr:row>0</xdr:row>
      <xdr:rowOff>114300</xdr:rowOff>
    </xdr:from>
    <xdr:to>
      <xdr:col>10</xdr:col>
      <xdr:colOff>523875</xdr:colOff>
      <xdr:row>1</xdr:row>
      <xdr:rowOff>161925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9105900" y="1143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438150</xdr:colOff>
      <xdr:row>1</xdr:row>
      <xdr:rowOff>0</xdr:rowOff>
    </xdr:from>
    <xdr:to>
      <xdr:col>10</xdr:col>
      <xdr:colOff>752475</xdr:colOff>
      <xdr:row>2</xdr:row>
      <xdr:rowOff>38100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xmlns="" id="{00000000-0008-0000-0600-000003000000}"/>
            </a:ext>
          </a:extLst>
        </xdr:cNvPr>
        <xdr:cNvSpPr/>
      </xdr:nvSpPr>
      <xdr:spPr>
        <a:xfrm>
          <a:off x="8515350" y="152400"/>
          <a:ext cx="314325" cy="2286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419100</xdr:colOff>
      <xdr:row>0</xdr:row>
      <xdr:rowOff>161925</xdr:rowOff>
    </xdr:from>
    <xdr:to>
      <xdr:col>10</xdr:col>
      <xdr:colOff>733425</xdr:colOff>
      <xdr:row>2</xdr:row>
      <xdr:rowOff>66675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800-000002000000}"/>
            </a:ext>
          </a:extLst>
        </xdr:cNvPr>
        <xdr:cNvSpPr/>
      </xdr:nvSpPr>
      <xdr:spPr>
        <a:xfrm>
          <a:off x="10296525" y="161925"/>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64</xdr:col>
      <xdr:colOff>390525</xdr:colOff>
      <xdr:row>0</xdr:row>
      <xdr:rowOff>190500</xdr:rowOff>
    </xdr:from>
    <xdr:to>
      <xdr:col>65</xdr:col>
      <xdr:colOff>0</xdr:colOff>
      <xdr:row>2</xdr:row>
      <xdr:rowOff>19050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xmlns="" id="{00000000-0008-0000-0900-000002000000}"/>
            </a:ext>
          </a:extLst>
        </xdr:cNvPr>
        <xdr:cNvSpPr/>
      </xdr:nvSpPr>
      <xdr:spPr>
        <a:xfrm>
          <a:off x="7286625" y="190500"/>
          <a:ext cx="228600" cy="228600"/>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planew99ver2.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161\c$\LETY-XL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DI%202015\2015\MIR\1ER%20TRIMESTRE%202015\Users\cgarnica\AppData\Local\Temp\Temp1_Plantilla%20p%20911%202010-2011.zip\EDUCACION\FAETA%20NORMA\EJERCICIO%20SALUD%202000%20DEFINITIVO\central\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MIR/1ER%20TRIMESTRE%202015/Users/cgarnica/AppData/Local/Temp/Temp1_Plantilla%20p%20911%202010-2011.zip/Documents%20and%20Settings/armando_jimenez/Configuraci&#243;n%20local/Temp/E/CRIS/TAB17%25D8.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AB%20IP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IRECTIVO"/>
      <sheetName val="MATRIZ DIRECTIVO"/>
      <sheetName val="RESUMEN"/>
      <sheetName val="FORMATO DEL PROC. DE PLANTIL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DMINISTRATIVOS"/>
      <sheetName val="DOCENTES "/>
      <sheetName val="MMyS"/>
    </sheetNames>
    <sheetDataSet>
      <sheetData sheetId="0" refreshError="1"/>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0.bin"/><Relationship Id="rId1" Type="http://schemas.openxmlformats.org/officeDocument/2006/relationships/hyperlink" Target="http://www.webometrics.info/en/Latin_America/Mexico"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s://www.topuniversities.com/university-rankings/latin-american-university-rankings/2019?utm_source=tu_house_banners&amp;utm_medium=web_banner" TargetMode="External"/><Relationship Id="rId3" Type="http://schemas.openxmlformats.org/officeDocument/2006/relationships/hyperlink" Target="https://www.topuniversities.com/universities/universidad-nacional-autonoma-de-mexico-unam" TargetMode="External"/><Relationship Id="rId7" Type="http://schemas.openxmlformats.org/officeDocument/2006/relationships/hyperlink" Target="https://www.topuniversities.com/universities/universidad-iberoamericana-ibero" TargetMode="External"/><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6" Type="http://schemas.openxmlformats.org/officeDocument/2006/relationships/hyperlink" Target="https://www.topuniversities.com/universities/universidad-autonoma-metropolitana-uam" TargetMode="External"/><Relationship Id="rId5" Type="http://schemas.openxmlformats.org/officeDocument/2006/relationships/hyperlink" Target="https://www.topuniversities.com/universities/instituto-politecnico-nacional-ipn" TargetMode="External"/><Relationship Id="rId10" Type="http://schemas.openxmlformats.org/officeDocument/2006/relationships/drawing" Target="../drawings/drawing48.xml"/><Relationship Id="rId4" Type="http://schemas.openxmlformats.org/officeDocument/2006/relationships/hyperlink" Target="https://www.topuniversities.com/universities/instituto-tecnologico-y-de-estudios-superiores-de-monterrey" TargetMode="External"/><Relationship Id="rId9"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de-las-am%C3%A9ricas-puebla-udlap/undergrad" TargetMode="External"/><Relationship Id="rId26" Type="http://schemas.openxmlformats.org/officeDocument/2006/relationships/hyperlink" Target="http://www.topuniversities.com/universities/universidad-panamericana" TargetMode="External"/><Relationship Id="rId39" Type="http://schemas.openxmlformats.org/officeDocument/2006/relationships/hyperlink" Target="http://www.topuniversities.com/universities/universidad-autonoma-de-nuevo-leon-uanl/undergrad" TargetMode="External"/><Relationship Id="rId21" Type="http://schemas.openxmlformats.org/officeDocument/2006/relationships/hyperlink" Target="http://www.topuniversities.com/universities/instituto-tecnol%C3%B3gico-aut%C3%B3nomo-de-m%C3%A9xico-itam" TargetMode="External"/><Relationship Id="rId34" Type="http://schemas.openxmlformats.org/officeDocument/2006/relationships/hyperlink" Target="http://www.topuniversities.com/universities/universidad-panamericana/undergrad-0" TargetMode="External"/><Relationship Id="rId42" Type="http://schemas.openxmlformats.org/officeDocument/2006/relationships/hyperlink" Target="http://www.topuniversities.com/universities/universidad-de-las-am%C3%A9ricas-puebla-udlap/undergrad" TargetMode="External"/><Relationship Id="rId47" Type="http://schemas.openxmlformats.org/officeDocument/2006/relationships/hyperlink" Target="http://www.topuniversities.com/universities/instituto-polit%C3%A9cnico-nacional-ipn" TargetMode="External"/><Relationship Id="rId50" Type="http://schemas.openxmlformats.org/officeDocument/2006/relationships/hyperlink" Target="http://www.topuniversities.com/universities/universidad-aut%C3%B3noma-metropolitana-uam" TargetMode="External"/><Relationship Id="rId55" Type="http://schemas.openxmlformats.org/officeDocument/2006/relationships/hyperlink" Target="http://www.topuniversities.com/universities/tecnol%C3%B3gico-de-monterrey-itesm" TargetMode="External"/><Relationship Id="rId63" Type="http://schemas.openxmlformats.org/officeDocument/2006/relationships/hyperlink" Target="http://www.topuniversities.com/universities/benem%C3%A9rita-universidad-aut%C3%B3noma-de-puebla-0" TargetMode="External"/><Relationship Id="rId68" Type="http://schemas.openxmlformats.org/officeDocument/2006/relationships/hyperlink" Target="http://www.topuniversities.com/universities/universidad-aut%C3%B3noma-del-estado-de-mexico-uaemex/undergrad" TargetMode="External"/><Relationship Id="rId76" Type="http://schemas.openxmlformats.org/officeDocument/2006/relationships/hyperlink" Target="http://www.topuniversities.com/universities/universidad-nacional-aut%C3%B3noma-de-m%C3%A9xico-unam" TargetMode="External"/><Relationship Id="rId84" Type="http://schemas.openxmlformats.org/officeDocument/2006/relationships/drawing" Target="../drawings/drawing49.xm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instituto-polit%C3%A9cnico-nacional-ipn" TargetMode="External"/><Relationship Id="rId2" Type="http://schemas.openxmlformats.org/officeDocument/2006/relationships/hyperlink" Target="http://www.topuniversities.com/universities/universidad-aut%C3%B3noma-metropolitana-uam/undergrad" TargetMode="External"/><Relationship Id="rId16" Type="http://schemas.openxmlformats.org/officeDocument/2006/relationships/hyperlink" Target="http://www.topuniversities.com/universities/universidad-aut%C3%B3noma-del-estado-de-mexico-uaemex/undergrad" TargetMode="External"/><Relationship Id="rId29" Type="http://schemas.openxmlformats.org/officeDocument/2006/relationships/hyperlink" Target="http://www.topuniversities.com/universities/universidad-de-monterrey-udem" TargetMode="External"/><Relationship Id="rId11" Type="http://schemas.openxmlformats.org/officeDocument/2006/relationships/hyperlink" Target="http://www.topuniversities.com/universities/universidad-panamericana" TargetMode="External"/><Relationship Id="rId24" Type="http://schemas.openxmlformats.org/officeDocument/2006/relationships/hyperlink" Target="http://www.topuniversities.com/universities/universidad-de-guadalajara-udg" TargetMode="External"/><Relationship Id="rId32" Type="http://schemas.openxmlformats.org/officeDocument/2006/relationships/hyperlink" Target="http://www.topuniversities.com/universities/instituto-polit%C3%A9cnico-nacional-ipn/undergrad" TargetMode="External"/><Relationship Id="rId37" Type="http://schemas.openxmlformats.org/officeDocument/2006/relationships/hyperlink" Target="http://www.topuniversities.com/universities/instituto-tecnol%C3%B3gico-aut%C3%B3nomo-de-m%C3%A9xico-itam/undergrad" TargetMode="External"/><Relationship Id="rId40" Type="http://schemas.openxmlformats.org/officeDocument/2006/relationships/hyperlink" Target="http://www.topuniversities.com/universities/universidad-aut%C3%B3noma-del-estado-de-mexico-uaemex/undergrad" TargetMode="External"/><Relationship Id="rId45" Type="http://schemas.openxmlformats.org/officeDocument/2006/relationships/hyperlink" Target="http://www.topuniversities.com/universities/tecnol%C3%B3gico-de-monterrey-itesm" TargetMode="External"/><Relationship Id="rId53" Type="http://schemas.openxmlformats.org/officeDocument/2006/relationships/hyperlink" Target="http://www.topuniversities.com/universities/benem%C3%A9rita-universidad-aut%C3%B3noma-de-puebla-0" TargetMode="External"/><Relationship Id="rId58" Type="http://schemas.openxmlformats.org/officeDocument/2006/relationships/hyperlink" Target="http://www.topuniversities.com/universities/universidad-iberoamericana-uia" TargetMode="External"/><Relationship Id="rId66" Type="http://schemas.openxmlformats.org/officeDocument/2006/relationships/hyperlink" Target="http://www.topuniversities.com/university-rankings/world-university-rankings/2013" TargetMode="External"/><Relationship Id="rId74" Type="http://schemas.openxmlformats.org/officeDocument/2006/relationships/hyperlink" Target="http://www.topuniversities.com/universities/universidad-autonoma-de-nuevo-leon-uanl" TargetMode="External"/><Relationship Id="rId79" Type="http://schemas.openxmlformats.org/officeDocument/2006/relationships/hyperlink" Target="http://www.topuniversities.com/universities/universidad-anahuac" TargetMode="External"/><Relationship Id="rId5" Type="http://schemas.openxmlformats.org/officeDocument/2006/relationships/hyperlink" Target="http://www.topuniversities.com/universities/instituto-tecnol%C3%B3gico-y-de-estudios-superiores-de-monterrey" TargetMode="External"/><Relationship Id="rId61" Type="http://schemas.openxmlformats.org/officeDocument/2006/relationships/hyperlink" Target="http://www.topuniversities.com/universities/universidad-aut%C3%B3noma-del-estado-de-m%C3%A9xico-1" TargetMode="External"/><Relationship Id="rId82" Type="http://schemas.openxmlformats.org/officeDocument/2006/relationships/hyperlink" Target="https://www.topuniversities.com/university-rankings/world-university-rankings/2019" TargetMode="External"/><Relationship Id="rId10" Type="http://schemas.openxmlformats.org/officeDocument/2006/relationships/hyperlink" Target="http://www.topuniversities.com/universities/universidad-iberoamericana-uia" TargetMode="External"/><Relationship Id="rId19" Type="http://schemas.openxmlformats.org/officeDocument/2006/relationships/hyperlink" Target="http://www.topuniversities.com/universities/universidad-nacional-aut%C3%B3noma-de-m%C3%A9xico-unam" TargetMode="External"/><Relationship Id="rId31" Type="http://schemas.openxmlformats.org/officeDocument/2006/relationships/hyperlink" Target="http://www.topuniversities.com/universities/instituto-tecnol%C3%B3gico-y-de-estudios-superiores-de-monterrey/undergrad" TargetMode="External"/><Relationship Id="rId44" Type="http://schemas.openxmlformats.org/officeDocument/2006/relationships/hyperlink" Target="http://www.topuniversities.com/universities/universidad-nacional-aut%C3%B3noma-de-m%C3%A9xico-unam" TargetMode="External"/><Relationship Id="rId52" Type="http://schemas.openxmlformats.org/officeDocument/2006/relationships/hyperlink" Target="http://www.topuniversities.com/universities/instituto-tecnol%C3%B3gico-autonomo-de-m%C3%A9xico-itam" TargetMode="External"/><Relationship Id="rId60" Type="http://schemas.openxmlformats.org/officeDocument/2006/relationships/hyperlink" Target="http://www.topuniversities.com/universities/universidad-aut%C3%B3noma-metropolitana-uam" TargetMode="External"/><Relationship Id="rId65" Type="http://schemas.openxmlformats.org/officeDocument/2006/relationships/hyperlink" Target="http://www.topuniversities.com/university-rankings/world-university-rankings/2012" TargetMode="External"/><Relationship Id="rId73" Type="http://schemas.openxmlformats.org/officeDocument/2006/relationships/hyperlink" Target="http://www.topuniversities.com/universities/universidad-panamericana" TargetMode="External"/><Relationship Id="rId78" Type="http://schemas.openxmlformats.org/officeDocument/2006/relationships/hyperlink" Target="http://www.topuniversities.com/universities/instituto-tecnol%C3%B3gico-aut%C3%B3nomo-de-m%C3%A9xico-itam" TargetMode="External"/><Relationship Id="rId81" Type="http://schemas.openxmlformats.org/officeDocument/2006/relationships/hyperlink" Target="http://www.topuniversities.com/universities/benem%C3%A9rita-universidad-aut%C3%B3noma-de-puebla"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14" Type="http://schemas.openxmlformats.org/officeDocument/2006/relationships/hyperlink" Target="http://www.topuniversities.com/universities/universidad-de-monterrey-udem" TargetMode="External"/><Relationship Id="rId22" Type="http://schemas.openxmlformats.org/officeDocument/2006/relationships/hyperlink" Target="http://www.topuniversities.com/universities/instituto-polit%C3%A9cnico-nacional-ipn" TargetMode="External"/><Relationship Id="rId27" Type="http://schemas.openxmlformats.org/officeDocument/2006/relationships/hyperlink" Target="http://www.topuniversities.com/universities/benem%C3%A9rita-universidad-aut%C3%B3noma-de-puebla" TargetMode="External"/><Relationship Id="rId30" Type="http://schemas.openxmlformats.org/officeDocument/2006/relationships/hyperlink" Target="http://www.topuniversities.com/universities/universidad-nacional-aut%C3%B3noma-de-mexico-unam/undergrad" TargetMode="External"/><Relationship Id="rId35" Type="http://schemas.openxmlformats.org/officeDocument/2006/relationships/hyperlink" Target="http://www.topuniversities.com/universities/universidad-anahuac/undergrad" TargetMode="External"/><Relationship Id="rId43" Type="http://schemas.openxmlformats.org/officeDocument/2006/relationships/hyperlink" Target="http://www.topuniversities.com/university-rankings/world-university-rankings/2014" TargetMode="External"/><Relationship Id="rId48" Type="http://schemas.openxmlformats.org/officeDocument/2006/relationships/hyperlink" Target="http://www.topuniversities.com/universities/universidad-iberoamericana-uia" TargetMode="External"/><Relationship Id="rId56" Type="http://schemas.openxmlformats.org/officeDocument/2006/relationships/hyperlink" Target="http://www.topuniversities.com/universities/universidad-de-guadalajara-udg" TargetMode="External"/><Relationship Id="rId64" Type="http://schemas.openxmlformats.org/officeDocument/2006/relationships/hyperlink" Target="http://www.topuniversities.com/universities/colegio-de-m%C3%A9xico" TargetMode="External"/><Relationship Id="rId69" Type="http://schemas.openxmlformats.org/officeDocument/2006/relationships/hyperlink" Target="http://www.topuniversities.com/universities/universidad-aut%C3%B3noma-metropolitana-uam/undergrad" TargetMode="External"/><Relationship Id="rId77" Type="http://schemas.openxmlformats.org/officeDocument/2006/relationships/hyperlink" Target="http://www.topuniversities.com/universities/instituto-tecnol%C3%B3gico-y-de-estudios-superiores-de-monterrey"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universidad-aut%C3%B3noma-del-estado-de-m%C3%A9xico-1" TargetMode="External"/><Relationship Id="rId72" Type="http://schemas.openxmlformats.org/officeDocument/2006/relationships/hyperlink" Target="http://www.topuniversities.com/universities/universidad-de-guadalajara-udg" TargetMode="External"/><Relationship Id="rId80" Type="http://schemas.openxmlformats.org/officeDocument/2006/relationships/hyperlink" Target="http://www.topuniversities.com/universities/universidad-iberoamericana-uia" TargetMode="External"/><Relationship Id="rId3" Type="http://schemas.openxmlformats.org/officeDocument/2006/relationships/hyperlink" Target="http://www.topuniversities.com/universities/universidad-de-las-am%C3%A9ricas-puebla-udlap/undergrad"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aut%C3%B3noma-metropolitana-uam/undergrad" TargetMode="External"/><Relationship Id="rId25" Type="http://schemas.openxmlformats.org/officeDocument/2006/relationships/hyperlink" Target="http://www.topuniversities.com/universities/universidad-iberoamericana-uia" TargetMode="External"/><Relationship Id="rId33" Type="http://schemas.openxmlformats.org/officeDocument/2006/relationships/hyperlink" Target="http://www.topuniversities.com/universities/universidad-iberoamericana-uia/undergrad" TargetMode="External"/><Relationship Id="rId38" Type="http://schemas.openxmlformats.org/officeDocument/2006/relationships/hyperlink" Target="http://www.topuniversities.com/universities/benem%C3%A9rita-universidad-aut%C3%B3noma-de-puebla/undergrad" TargetMode="External"/><Relationship Id="rId46" Type="http://schemas.openxmlformats.org/officeDocument/2006/relationships/hyperlink" Target="http://www.topuniversities.com/universities/universidad-de-guadalajara-udg" TargetMode="External"/><Relationship Id="rId59" Type="http://schemas.openxmlformats.org/officeDocument/2006/relationships/hyperlink" Target="http://www.topuniversities.com/universities/universidad-de-las-am%C3%A9ricas-puebla-udlap" TargetMode="External"/><Relationship Id="rId67" Type="http://schemas.openxmlformats.org/officeDocument/2006/relationships/hyperlink" Target="http://www.topuniversities.com/university-rankings/world-university-rankings/2015?utm_source=tu_house&amp;utm_medium=web_banner&amp;utm_campaign=WUR-2015" TargetMode="External"/><Relationship Id="rId20" Type="http://schemas.openxmlformats.org/officeDocument/2006/relationships/hyperlink" Target="http://www.topuniversities.com/universities/instituto-tecnol%C3%B3gico-y-de-estudios-superiores-de-monterrey" TargetMode="External"/><Relationship Id="rId41" Type="http://schemas.openxmlformats.org/officeDocument/2006/relationships/hyperlink" Target="http://www.topuniversities.com/universities/universidad-aut%C3%B3noma-metropolitana-uam/undergrad" TargetMode="External"/><Relationship Id="rId54" Type="http://schemas.openxmlformats.org/officeDocument/2006/relationships/hyperlink" Target="http://www.topuniversities.com/universities/universidad-nacional-aut%C3%B3noma-de-m%C3%A9xico-unam" TargetMode="External"/><Relationship Id="rId62" Type="http://schemas.openxmlformats.org/officeDocument/2006/relationships/hyperlink" Target="http://www.topuniversities.com/universities/instituto-tecnol%C3%B3gico-autonomo-de-m%C3%A9xico-itam" TargetMode="External"/><Relationship Id="rId70" Type="http://schemas.openxmlformats.org/officeDocument/2006/relationships/hyperlink" Target="http://www.topuniversities.com/universities/universidad-de-las-am%C3%A9ricas-puebla-udlap/undergrad" TargetMode="External"/><Relationship Id="rId75" Type="http://schemas.openxmlformats.org/officeDocument/2006/relationships/hyperlink" Target="http://www.topuniversities.com/universities/universidad-de-monterrey-udem" TargetMode="External"/><Relationship Id="rId83" Type="http://schemas.openxmlformats.org/officeDocument/2006/relationships/printerSettings" Target="../printerSettings/printerSettings52.bin"/><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15" Type="http://schemas.openxmlformats.org/officeDocument/2006/relationships/hyperlink" Target="http://www.topuniversities.com/university-rankings/world-university-rankings/2015?utm_source=tu_house&amp;utm_medium=web_banner&amp;utm_campaign=WUR-2015" TargetMode="External"/><Relationship Id="rId23" Type="http://schemas.openxmlformats.org/officeDocument/2006/relationships/hyperlink" Target="http://www.topuniversities.com/universities/universidad-anahuac" TargetMode="External"/><Relationship Id="rId28" Type="http://schemas.openxmlformats.org/officeDocument/2006/relationships/hyperlink" Target="http://www.topuniversities.com/universities/universidad-autonoma-de-nuevo-leon-uanl" TargetMode="External"/><Relationship Id="rId36" Type="http://schemas.openxmlformats.org/officeDocument/2006/relationships/hyperlink" Target="http://www.topuniversities.com/universities/universidad-de-guadalajara-udg/undergrad" TargetMode="External"/><Relationship Id="rId49" Type="http://schemas.openxmlformats.org/officeDocument/2006/relationships/hyperlink" Target="http://www.topuniversities.com/universities/universidad-de-las-am%C3%A9ricas-puebla-udlap" TargetMode="External"/><Relationship Id="rId57" Type="http://schemas.openxmlformats.org/officeDocument/2006/relationships/hyperlink" Target="http://www.topuniversities.com/universities/instituto-polit%C3%A9cnico-nacional-ipn"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
  <sheetViews>
    <sheetView showGridLines="0" tabSelected="1" workbookViewId="0">
      <selection activeCell="T17" sqref="T17"/>
    </sheetView>
  </sheetViews>
  <sheetFormatPr baseColWidth="10" defaultRowHeight="15"/>
  <sheetData/>
  <printOptions horizontalCentered="1" verticalCentered="1"/>
  <pageMargins left="0.70866141732283472" right="0.70866141732283472" top="0.74803149606299213" bottom="0.74803149606299213" header="0.31496062992125984" footer="0.31496062992125984"/>
  <pageSetup scale="50"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dimension ref="A1:DM140"/>
  <sheetViews>
    <sheetView workbookViewId="0">
      <selection activeCell="N12" sqref="N12"/>
    </sheetView>
  </sheetViews>
  <sheetFormatPr baseColWidth="10" defaultRowHeight="15"/>
  <cols>
    <col min="1" max="1" width="11.42578125" style="4676"/>
    <col min="2" max="2" width="6.7109375" style="4676" bestFit="1" customWidth="1"/>
    <col min="3" max="3" width="58.28515625" style="4676" bestFit="1" customWidth="1"/>
    <col min="4" max="4" width="20" style="4676" bestFit="1" customWidth="1"/>
    <col min="5" max="5" width="4.42578125" style="4676" bestFit="1" customWidth="1"/>
    <col min="6" max="7" width="2" style="4676" bestFit="1" customWidth="1"/>
    <col min="8" max="10" width="3" style="4676" bestFit="1" customWidth="1"/>
    <col min="11" max="12" width="2" style="4676" bestFit="1" customWidth="1"/>
    <col min="13" max="13" width="5.42578125" style="4676" bestFit="1" customWidth="1"/>
    <col min="14" max="14" width="8.140625" style="4676" bestFit="1" customWidth="1"/>
    <col min="15" max="15" width="11.42578125" style="4676"/>
    <col min="18" max="18" width="59.42578125" bestFit="1" customWidth="1"/>
    <col min="19" max="19" width="33.5703125" bestFit="1" customWidth="1"/>
    <col min="20" max="20" width="4.140625" bestFit="1" customWidth="1"/>
    <col min="21" max="21" width="2" bestFit="1" customWidth="1"/>
    <col min="22" max="23" width="3" bestFit="1" customWidth="1"/>
    <col min="24" max="25" width="2" bestFit="1" customWidth="1"/>
    <col min="26" max="26" width="4.85546875" bestFit="1" customWidth="1"/>
    <col min="29" max="29" width="11.42578125" style="73"/>
    <col min="30" max="30" width="7.28515625" style="161" bestFit="1" customWidth="1"/>
    <col min="31" max="31" width="37.140625" style="73" bestFit="1" customWidth="1"/>
    <col min="32" max="32" width="18.5703125" style="73" bestFit="1" customWidth="1"/>
    <col min="33" max="33" width="4.28515625" style="73" bestFit="1" customWidth="1"/>
    <col min="34" max="34" width="2" style="73" bestFit="1" customWidth="1"/>
    <col min="35" max="37" width="3" style="73" bestFit="1" customWidth="1"/>
    <col min="38" max="38" width="2" style="73" bestFit="1" customWidth="1"/>
    <col min="39" max="39" width="4.5703125" style="73" bestFit="1" customWidth="1"/>
    <col min="40" max="40" width="9.42578125" style="73" bestFit="1" customWidth="1"/>
    <col min="44" max="44" width="58.28515625" bestFit="1" customWidth="1"/>
    <col min="45" max="45" width="20" bestFit="1" customWidth="1"/>
    <col min="46" max="48" width="1.85546875" bestFit="1" customWidth="1"/>
    <col min="49" max="50" width="2.7109375" bestFit="1" customWidth="1"/>
    <col min="51" max="51" width="1.85546875" bestFit="1" customWidth="1"/>
    <col min="52" max="52" width="4.5703125" bestFit="1" customWidth="1"/>
    <col min="54" max="54" width="7.7109375" customWidth="1"/>
    <col min="55" max="56" width="10.7109375" customWidth="1"/>
    <col min="57" max="57" width="37.140625" bestFit="1" customWidth="1"/>
    <col min="58" max="58" width="18.5703125" bestFit="1" customWidth="1"/>
    <col min="59" max="63" width="2.7109375" customWidth="1"/>
    <col min="64" max="64" width="5" bestFit="1" customWidth="1"/>
    <col min="65" max="65" width="9.28515625" bestFit="1" customWidth="1"/>
    <col min="66" max="66" width="10.7109375" customWidth="1"/>
    <col min="67" max="67" width="11.5703125" customWidth="1"/>
    <col min="68" max="68" width="7.28515625" bestFit="1" customWidth="1"/>
    <col min="69" max="69" width="36.140625" bestFit="1" customWidth="1"/>
    <col min="70" max="70" width="18.5703125" bestFit="1" customWidth="1"/>
    <col min="71" max="72" width="2" bestFit="1" customWidth="1"/>
    <col min="73" max="75" width="3" bestFit="1" customWidth="1"/>
    <col min="76" max="76" width="2" bestFit="1" customWidth="1"/>
    <col min="77" max="77" width="5" bestFit="1" customWidth="1"/>
    <col min="78" max="78" width="8.85546875" bestFit="1" customWidth="1"/>
    <col min="79" max="79" width="11.7109375" customWidth="1"/>
    <col min="80" max="80" width="12.28515625" customWidth="1"/>
    <col min="81" max="81" width="8.7109375" customWidth="1"/>
    <col min="82" max="82" width="34.85546875" bestFit="1" customWidth="1"/>
    <col min="83" max="83" width="18.28515625" bestFit="1" customWidth="1"/>
    <col min="84" max="84" width="2.7109375" bestFit="1" customWidth="1"/>
    <col min="85" max="85" width="1.85546875" bestFit="1" customWidth="1"/>
    <col min="86" max="86" width="3.5703125" bestFit="1" customWidth="1"/>
    <col min="87" max="88" width="2.7109375" bestFit="1" customWidth="1"/>
    <col min="89" max="89" width="4.5703125" bestFit="1" customWidth="1"/>
    <col min="90" max="91" width="8.7109375" customWidth="1"/>
    <col min="92" max="92" width="11.42578125" customWidth="1"/>
    <col min="93" max="93" width="11.28515625" bestFit="1" customWidth="1"/>
    <col min="94" max="94" width="35.140625" bestFit="1" customWidth="1"/>
    <col min="95" max="95" width="18.42578125" bestFit="1" customWidth="1"/>
    <col min="96" max="97" width="3" bestFit="1" customWidth="1"/>
    <col min="98" max="98" width="4" bestFit="1" customWidth="1"/>
    <col min="99" max="100" width="3" bestFit="1" customWidth="1"/>
    <col min="101" max="101" width="4.85546875" bestFit="1" customWidth="1"/>
    <col min="102" max="102" width="10" customWidth="1"/>
    <col min="104" max="104" width="13.28515625" customWidth="1"/>
    <col min="105" max="105" width="7.5703125" style="237" bestFit="1" customWidth="1"/>
    <col min="106" max="106" width="34.5703125" bestFit="1" customWidth="1"/>
    <col min="107" max="107" width="24.42578125" bestFit="1" customWidth="1"/>
    <col min="108" max="109" width="2.5703125" bestFit="1" customWidth="1"/>
    <col min="110" max="110" width="3.5703125" bestFit="1" customWidth="1"/>
    <col min="111" max="111" width="4.5703125" bestFit="1" customWidth="1"/>
    <col min="112" max="113" width="3.5703125" bestFit="1" customWidth="1"/>
    <col min="114" max="114" width="5.5703125" bestFit="1" customWidth="1"/>
    <col min="116" max="116" width="30.7109375" customWidth="1"/>
    <col min="346" max="346" width="4.28515625" customWidth="1"/>
    <col min="347" max="348" width="14.85546875" customWidth="1"/>
    <col min="349" max="349" width="43.7109375" bestFit="1" customWidth="1"/>
    <col min="350" max="350" width="23" bestFit="1" customWidth="1"/>
    <col min="351" max="355" width="4.7109375" customWidth="1"/>
    <col min="357" max="357" width="18.140625" bestFit="1" customWidth="1"/>
    <col min="602" max="602" width="4.28515625" customWidth="1"/>
    <col min="603" max="604" width="14.85546875" customWidth="1"/>
    <col min="605" max="605" width="43.7109375" bestFit="1" customWidth="1"/>
    <col min="606" max="606" width="23" bestFit="1" customWidth="1"/>
    <col min="607" max="611" width="4.7109375" customWidth="1"/>
    <col min="613" max="613" width="18.140625" bestFit="1" customWidth="1"/>
    <col min="858" max="858" width="4.28515625" customWidth="1"/>
    <col min="859" max="860" width="14.85546875" customWidth="1"/>
    <col min="861" max="861" width="43.7109375" bestFit="1" customWidth="1"/>
    <col min="862" max="862" width="23" bestFit="1" customWidth="1"/>
    <col min="863" max="867" width="4.7109375" customWidth="1"/>
    <col min="869" max="869" width="18.140625" bestFit="1" customWidth="1"/>
    <col min="1114" max="1114" width="4.28515625" customWidth="1"/>
    <col min="1115" max="1116" width="14.85546875" customWidth="1"/>
    <col min="1117" max="1117" width="43.7109375" bestFit="1" customWidth="1"/>
    <col min="1118" max="1118" width="23" bestFit="1" customWidth="1"/>
    <col min="1119" max="1123" width="4.7109375" customWidth="1"/>
    <col min="1125" max="1125" width="18.140625" bestFit="1" customWidth="1"/>
    <col min="1370" max="1370" width="4.28515625" customWidth="1"/>
    <col min="1371" max="1372" width="14.85546875" customWidth="1"/>
    <col min="1373" max="1373" width="43.7109375" bestFit="1" customWidth="1"/>
    <col min="1374" max="1374" width="23" bestFit="1" customWidth="1"/>
    <col min="1375" max="1379" width="4.7109375" customWidth="1"/>
    <col min="1381" max="1381" width="18.140625" bestFit="1" customWidth="1"/>
    <col min="1626" max="1626" width="4.28515625" customWidth="1"/>
    <col min="1627" max="1628" width="14.85546875" customWidth="1"/>
    <col min="1629" max="1629" width="43.7109375" bestFit="1" customWidth="1"/>
    <col min="1630" max="1630" width="23" bestFit="1" customWidth="1"/>
    <col min="1631" max="1635" width="4.7109375" customWidth="1"/>
    <col min="1637" max="1637" width="18.140625" bestFit="1" customWidth="1"/>
    <col min="1882" max="1882" width="4.28515625" customWidth="1"/>
    <col min="1883" max="1884" width="14.85546875" customWidth="1"/>
    <col min="1885" max="1885" width="43.7109375" bestFit="1" customWidth="1"/>
    <col min="1886" max="1886" width="23" bestFit="1" customWidth="1"/>
    <col min="1887" max="1891" width="4.7109375" customWidth="1"/>
    <col min="1893" max="1893" width="18.140625" bestFit="1" customWidth="1"/>
    <col min="2138" max="2138" width="4.28515625" customWidth="1"/>
    <col min="2139" max="2140" width="14.85546875" customWidth="1"/>
    <col min="2141" max="2141" width="43.7109375" bestFit="1" customWidth="1"/>
    <col min="2142" max="2142" width="23" bestFit="1" customWidth="1"/>
    <col min="2143" max="2147" width="4.7109375" customWidth="1"/>
    <col min="2149" max="2149" width="18.140625" bestFit="1" customWidth="1"/>
    <col min="2394" max="2394" width="4.28515625" customWidth="1"/>
    <col min="2395" max="2396" width="14.85546875" customWidth="1"/>
    <col min="2397" max="2397" width="43.7109375" bestFit="1" customWidth="1"/>
    <col min="2398" max="2398" width="23" bestFit="1" customWidth="1"/>
    <col min="2399" max="2403" width="4.7109375" customWidth="1"/>
    <col min="2405" max="2405" width="18.140625" bestFit="1" customWidth="1"/>
    <col min="2650" max="2650" width="4.28515625" customWidth="1"/>
    <col min="2651" max="2652" width="14.85546875" customWidth="1"/>
    <col min="2653" max="2653" width="43.7109375" bestFit="1" customWidth="1"/>
    <col min="2654" max="2654" width="23" bestFit="1" customWidth="1"/>
    <col min="2655" max="2659" width="4.7109375" customWidth="1"/>
    <col min="2661" max="2661" width="18.140625" bestFit="1" customWidth="1"/>
    <col min="2906" max="2906" width="4.28515625" customWidth="1"/>
    <col min="2907" max="2908" width="14.85546875" customWidth="1"/>
    <col min="2909" max="2909" width="43.7109375" bestFit="1" customWidth="1"/>
    <col min="2910" max="2910" width="23" bestFit="1" customWidth="1"/>
    <col min="2911" max="2915" width="4.7109375" customWidth="1"/>
    <col min="2917" max="2917" width="18.140625" bestFit="1" customWidth="1"/>
    <col min="3162" max="3162" width="4.28515625" customWidth="1"/>
    <col min="3163" max="3164" width="14.85546875" customWidth="1"/>
    <col min="3165" max="3165" width="43.7109375" bestFit="1" customWidth="1"/>
    <col min="3166" max="3166" width="23" bestFit="1" customWidth="1"/>
    <col min="3167" max="3171" width="4.7109375" customWidth="1"/>
    <col min="3173" max="3173" width="18.140625" bestFit="1" customWidth="1"/>
    <col min="3418" max="3418" width="4.28515625" customWidth="1"/>
    <col min="3419" max="3420" width="14.85546875" customWidth="1"/>
    <col min="3421" max="3421" width="43.7109375" bestFit="1" customWidth="1"/>
    <col min="3422" max="3422" width="23" bestFit="1" customWidth="1"/>
    <col min="3423" max="3427" width="4.7109375" customWidth="1"/>
    <col min="3429" max="3429" width="18.140625" bestFit="1" customWidth="1"/>
    <col min="3674" max="3674" width="4.28515625" customWidth="1"/>
    <col min="3675" max="3676" width="14.85546875" customWidth="1"/>
    <col min="3677" max="3677" width="43.7109375" bestFit="1" customWidth="1"/>
    <col min="3678" max="3678" width="23" bestFit="1" customWidth="1"/>
    <col min="3679" max="3683" width="4.7109375" customWidth="1"/>
    <col min="3685" max="3685" width="18.140625" bestFit="1" customWidth="1"/>
    <col min="3930" max="3930" width="4.28515625" customWidth="1"/>
    <col min="3931" max="3932" width="14.85546875" customWidth="1"/>
    <col min="3933" max="3933" width="43.7109375" bestFit="1" customWidth="1"/>
    <col min="3934" max="3934" width="23" bestFit="1" customWidth="1"/>
    <col min="3935" max="3939" width="4.7109375" customWidth="1"/>
    <col min="3941" max="3941" width="18.140625" bestFit="1" customWidth="1"/>
    <col min="4186" max="4186" width="4.28515625" customWidth="1"/>
    <col min="4187" max="4188" width="14.85546875" customWidth="1"/>
    <col min="4189" max="4189" width="43.7109375" bestFit="1" customWidth="1"/>
    <col min="4190" max="4190" width="23" bestFit="1" customWidth="1"/>
    <col min="4191" max="4195" width="4.7109375" customWidth="1"/>
    <col min="4197" max="4197" width="18.140625" bestFit="1" customWidth="1"/>
    <col min="4442" max="4442" width="4.28515625" customWidth="1"/>
    <col min="4443" max="4444" width="14.85546875" customWidth="1"/>
    <col min="4445" max="4445" width="43.7109375" bestFit="1" customWidth="1"/>
    <col min="4446" max="4446" width="23" bestFit="1" customWidth="1"/>
    <col min="4447" max="4451" width="4.7109375" customWidth="1"/>
    <col min="4453" max="4453" width="18.140625" bestFit="1" customWidth="1"/>
    <col min="4698" max="4698" width="4.28515625" customWidth="1"/>
    <col min="4699" max="4700" width="14.85546875" customWidth="1"/>
    <col min="4701" max="4701" width="43.7109375" bestFit="1" customWidth="1"/>
    <col min="4702" max="4702" width="23" bestFit="1" customWidth="1"/>
    <col min="4703" max="4707" width="4.7109375" customWidth="1"/>
    <col min="4709" max="4709" width="18.140625" bestFit="1" customWidth="1"/>
    <col min="4954" max="4954" width="4.28515625" customWidth="1"/>
    <col min="4955" max="4956" width="14.85546875" customWidth="1"/>
    <col min="4957" max="4957" width="43.7109375" bestFit="1" customWidth="1"/>
    <col min="4958" max="4958" width="23" bestFit="1" customWidth="1"/>
    <col min="4959" max="4963" width="4.7109375" customWidth="1"/>
    <col min="4965" max="4965" width="18.140625" bestFit="1" customWidth="1"/>
    <col min="5210" max="5210" width="4.28515625" customWidth="1"/>
    <col min="5211" max="5212" width="14.85546875" customWidth="1"/>
    <col min="5213" max="5213" width="43.7109375" bestFit="1" customWidth="1"/>
    <col min="5214" max="5214" width="23" bestFit="1" customWidth="1"/>
    <col min="5215" max="5219" width="4.7109375" customWidth="1"/>
    <col min="5221" max="5221" width="18.140625" bestFit="1" customWidth="1"/>
    <col min="5466" max="5466" width="4.28515625" customWidth="1"/>
    <col min="5467" max="5468" width="14.85546875" customWidth="1"/>
    <col min="5469" max="5469" width="43.7109375" bestFit="1" customWidth="1"/>
    <col min="5470" max="5470" width="23" bestFit="1" customWidth="1"/>
    <col min="5471" max="5475" width="4.7109375" customWidth="1"/>
    <col min="5477" max="5477" width="18.140625" bestFit="1" customWidth="1"/>
    <col min="5722" max="5722" width="4.28515625" customWidth="1"/>
    <col min="5723" max="5724" width="14.85546875" customWidth="1"/>
    <col min="5725" max="5725" width="43.7109375" bestFit="1" customWidth="1"/>
    <col min="5726" max="5726" width="23" bestFit="1" customWidth="1"/>
    <col min="5727" max="5731" width="4.7109375" customWidth="1"/>
    <col min="5733" max="5733" width="18.140625" bestFit="1" customWidth="1"/>
    <col min="5978" max="5978" width="4.28515625" customWidth="1"/>
    <col min="5979" max="5980" width="14.85546875" customWidth="1"/>
    <col min="5981" max="5981" width="43.7109375" bestFit="1" customWidth="1"/>
    <col min="5982" max="5982" width="23" bestFit="1" customWidth="1"/>
    <col min="5983" max="5987" width="4.7109375" customWidth="1"/>
    <col min="5989" max="5989" width="18.140625" bestFit="1" customWidth="1"/>
    <col min="6234" max="6234" width="4.28515625" customWidth="1"/>
    <col min="6235" max="6236" width="14.85546875" customWidth="1"/>
    <col min="6237" max="6237" width="43.7109375" bestFit="1" customWidth="1"/>
    <col min="6238" max="6238" width="23" bestFit="1" customWidth="1"/>
    <col min="6239" max="6243" width="4.7109375" customWidth="1"/>
    <col min="6245" max="6245" width="18.140625" bestFit="1" customWidth="1"/>
    <col min="6490" max="6490" width="4.28515625" customWidth="1"/>
    <col min="6491" max="6492" width="14.85546875" customWidth="1"/>
    <col min="6493" max="6493" width="43.7109375" bestFit="1" customWidth="1"/>
    <col min="6494" max="6494" width="23" bestFit="1" customWidth="1"/>
    <col min="6495" max="6499" width="4.7109375" customWidth="1"/>
    <col min="6501" max="6501" width="18.140625" bestFit="1" customWidth="1"/>
    <col min="6746" max="6746" width="4.28515625" customWidth="1"/>
    <col min="6747" max="6748" width="14.85546875" customWidth="1"/>
    <col min="6749" max="6749" width="43.7109375" bestFit="1" customWidth="1"/>
    <col min="6750" max="6750" width="23" bestFit="1" customWidth="1"/>
    <col min="6751" max="6755" width="4.7109375" customWidth="1"/>
    <col min="6757" max="6757" width="18.140625" bestFit="1" customWidth="1"/>
    <col min="7002" max="7002" width="4.28515625" customWidth="1"/>
    <col min="7003" max="7004" width="14.85546875" customWidth="1"/>
    <col min="7005" max="7005" width="43.7109375" bestFit="1" customWidth="1"/>
    <col min="7006" max="7006" width="23" bestFit="1" customWidth="1"/>
    <col min="7007" max="7011" width="4.7109375" customWidth="1"/>
    <col min="7013" max="7013" width="18.140625" bestFit="1" customWidth="1"/>
    <col min="7258" max="7258" width="4.28515625" customWidth="1"/>
    <col min="7259" max="7260" width="14.85546875" customWidth="1"/>
    <col min="7261" max="7261" width="43.7109375" bestFit="1" customWidth="1"/>
    <col min="7262" max="7262" width="23" bestFit="1" customWidth="1"/>
    <col min="7263" max="7267" width="4.7109375" customWidth="1"/>
    <col min="7269" max="7269" width="18.140625" bestFit="1" customWidth="1"/>
    <col min="7514" max="7514" width="4.28515625" customWidth="1"/>
    <col min="7515" max="7516" width="14.85546875" customWidth="1"/>
    <col min="7517" max="7517" width="43.7109375" bestFit="1" customWidth="1"/>
    <col min="7518" max="7518" width="23" bestFit="1" customWidth="1"/>
    <col min="7519" max="7523" width="4.7109375" customWidth="1"/>
    <col min="7525" max="7525" width="18.140625" bestFit="1" customWidth="1"/>
    <col min="7770" max="7770" width="4.28515625" customWidth="1"/>
    <col min="7771" max="7772" width="14.85546875" customWidth="1"/>
    <col min="7773" max="7773" width="43.7109375" bestFit="1" customWidth="1"/>
    <col min="7774" max="7774" width="23" bestFit="1" customWidth="1"/>
    <col min="7775" max="7779" width="4.7109375" customWidth="1"/>
    <col min="7781" max="7781" width="18.140625" bestFit="1" customWidth="1"/>
    <col min="8026" max="8026" width="4.28515625" customWidth="1"/>
    <col min="8027" max="8028" width="14.85546875" customWidth="1"/>
    <col min="8029" max="8029" width="43.7109375" bestFit="1" customWidth="1"/>
    <col min="8030" max="8030" width="23" bestFit="1" customWidth="1"/>
    <col min="8031" max="8035" width="4.7109375" customWidth="1"/>
    <col min="8037" max="8037" width="18.140625" bestFit="1" customWidth="1"/>
    <col min="8282" max="8282" width="4.28515625" customWidth="1"/>
    <col min="8283" max="8284" width="14.85546875" customWidth="1"/>
    <col min="8285" max="8285" width="43.7109375" bestFit="1" customWidth="1"/>
    <col min="8286" max="8286" width="23" bestFit="1" customWidth="1"/>
    <col min="8287" max="8291" width="4.7109375" customWidth="1"/>
    <col min="8293" max="8293" width="18.140625" bestFit="1" customWidth="1"/>
    <col min="8538" max="8538" width="4.28515625" customWidth="1"/>
    <col min="8539" max="8540" width="14.85546875" customWidth="1"/>
    <col min="8541" max="8541" width="43.7109375" bestFit="1" customWidth="1"/>
    <col min="8542" max="8542" width="23" bestFit="1" customWidth="1"/>
    <col min="8543" max="8547" width="4.7109375" customWidth="1"/>
    <col min="8549" max="8549" width="18.140625" bestFit="1" customWidth="1"/>
    <col min="8794" max="8794" width="4.28515625" customWidth="1"/>
    <col min="8795" max="8796" width="14.85546875" customWidth="1"/>
    <col min="8797" max="8797" width="43.7109375" bestFit="1" customWidth="1"/>
    <col min="8798" max="8798" width="23" bestFit="1" customWidth="1"/>
    <col min="8799" max="8803" width="4.7109375" customWidth="1"/>
    <col min="8805" max="8805" width="18.140625" bestFit="1" customWidth="1"/>
    <col min="9050" max="9050" width="4.28515625" customWidth="1"/>
    <col min="9051" max="9052" width="14.85546875" customWidth="1"/>
    <col min="9053" max="9053" width="43.7109375" bestFit="1" customWidth="1"/>
    <col min="9054" max="9054" width="23" bestFit="1" customWidth="1"/>
    <col min="9055" max="9059" width="4.7109375" customWidth="1"/>
    <col min="9061" max="9061" width="18.140625" bestFit="1" customWidth="1"/>
    <col min="9306" max="9306" width="4.28515625" customWidth="1"/>
    <col min="9307" max="9308" width="14.85546875" customWidth="1"/>
    <col min="9309" max="9309" width="43.7109375" bestFit="1" customWidth="1"/>
    <col min="9310" max="9310" width="23" bestFit="1" customWidth="1"/>
    <col min="9311" max="9315" width="4.7109375" customWidth="1"/>
    <col min="9317" max="9317" width="18.140625" bestFit="1" customWidth="1"/>
    <col min="9562" max="9562" width="4.28515625" customWidth="1"/>
    <col min="9563" max="9564" width="14.85546875" customWidth="1"/>
    <col min="9565" max="9565" width="43.7109375" bestFit="1" customWidth="1"/>
    <col min="9566" max="9566" width="23" bestFit="1" customWidth="1"/>
    <col min="9567" max="9571" width="4.7109375" customWidth="1"/>
    <col min="9573" max="9573" width="18.140625" bestFit="1" customWidth="1"/>
    <col min="9818" max="9818" width="4.28515625" customWidth="1"/>
    <col min="9819" max="9820" width="14.85546875" customWidth="1"/>
    <col min="9821" max="9821" width="43.7109375" bestFit="1" customWidth="1"/>
    <col min="9822" max="9822" width="23" bestFit="1" customWidth="1"/>
    <col min="9823" max="9827" width="4.7109375" customWidth="1"/>
    <col min="9829" max="9829" width="18.140625" bestFit="1" customWidth="1"/>
    <col min="10074" max="10074" width="4.28515625" customWidth="1"/>
    <col min="10075" max="10076" width="14.85546875" customWidth="1"/>
    <col min="10077" max="10077" width="43.7109375" bestFit="1" customWidth="1"/>
    <col min="10078" max="10078" width="23" bestFit="1" customWidth="1"/>
    <col min="10079" max="10083" width="4.7109375" customWidth="1"/>
    <col min="10085" max="10085" width="18.140625" bestFit="1" customWidth="1"/>
    <col min="10330" max="10330" width="4.28515625" customWidth="1"/>
    <col min="10331" max="10332" width="14.85546875" customWidth="1"/>
    <col min="10333" max="10333" width="43.7109375" bestFit="1" customWidth="1"/>
    <col min="10334" max="10334" width="23" bestFit="1" customWidth="1"/>
    <col min="10335" max="10339" width="4.7109375" customWidth="1"/>
    <col min="10341" max="10341" width="18.140625" bestFit="1" customWidth="1"/>
    <col min="10586" max="10586" width="4.28515625" customWidth="1"/>
    <col min="10587" max="10588" width="14.85546875" customWidth="1"/>
    <col min="10589" max="10589" width="43.7109375" bestFit="1" customWidth="1"/>
    <col min="10590" max="10590" width="23" bestFit="1" customWidth="1"/>
    <col min="10591" max="10595" width="4.7109375" customWidth="1"/>
    <col min="10597" max="10597" width="18.140625" bestFit="1" customWidth="1"/>
    <col min="10842" max="10842" width="4.28515625" customWidth="1"/>
    <col min="10843" max="10844" width="14.85546875" customWidth="1"/>
    <col min="10845" max="10845" width="43.7109375" bestFit="1" customWidth="1"/>
    <col min="10846" max="10846" width="23" bestFit="1" customWidth="1"/>
    <col min="10847" max="10851" width="4.7109375" customWidth="1"/>
    <col min="10853" max="10853" width="18.140625" bestFit="1" customWidth="1"/>
    <col min="11098" max="11098" width="4.28515625" customWidth="1"/>
    <col min="11099" max="11100" width="14.85546875" customWidth="1"/>
    <col min="11101" max="11101" width="43.7109375" bestFit="1" customWidth="1"/>
    <col min="11102" max="11102" width="23" bestFit="1" customWidth="1"/>
    <col min="11103" max="11107" width="4.7109375" customWidth="1"/>
    <col min="11109" max="11109" width="18.140625" bestFit="1" customWidth="1"/>
    <col min="11354" max="11354" width="4.28515625" customWidth="1"/>
    <col min="11355" max="11356" width="14.85546875" customWidth="1"/>
    <col min="11357" max="11357" width="43.7109375" bestFit="1" customWidth="1"/>
    <col min="11358" max="11358" width="23" bestFit="1" customWidth="1"/>
    <col min="11359" max="11363" width="4.7109375" customWidth="1"/>
    <col min="11365" max="11365" width="18.140625" bestFit="1" customWidth="1"/>
    <col min="11610" max="11610" width="4.28515625" customWidth="1"/>
    <col min="11611" max="11612" width="14.85546875" customWidth="1"/>
    <col min="11613" max="11613" width="43.7109375" bestFit="1" customWidth="1"/>
    <col min="11614" max="11614" width="23" bestFit="1" customWidth="1"/>
    <col min="11615" max="11619" width="4.7109375" customWidth="1"/>
    <col min="11621" max="11621" width="18.140625" bestFit="1" customWidth="1"/>
    <col min="11866" max="11866" width="4.28515625" customWidth="1"/>
    <col min="11867" max="11868" width="14.85546875" customWidth="1"/>
    <col min="11869" max="11869" width="43.7109375" bestFit="1" customWidth="1"/>
    <col min="11870" max="11870" width="23" bestFit="1" customWidth="1"/>
    <col min="11871" max="11875" width="4.7109375" customWidth="1"/>
    <col min="11877" max="11877" width="18.140625" bestFit="1" customWidth="1"/>
    <col min="12122" max="12122" width="4.28515625" customWidth="1"/>
    <col min="12123" max="12124" width="14.85546875" customWidth="1"/>
    <col min="12125" max="12125" width="43.7109375" bestFit="1" customWidth="1"/>
    <col min="12126" max="12126" width="23" bestFit="1" customWidth="1"/>
    <col min="12127" max="12131" width="4.7109375" customWidth="1"/>
    <col min="12133" max="12133" width="18.140625" bestFit="1" customWidth="1"/>
    <col min="12378" max="12378" width="4.28515625" customWidth="1"/>
    <col min="12379" max="12380" width="14.85546875" customWidth="1"/>
    <col min="12381" max="12381" width="43.7109375" bestFit="1" customWidth="1"/>
    <col min="12382" max="12382" width="23" bestFit="1" customWidth="1"/>
    <col min="12383" max="12387" width="4.7109375" customWidth="1"/>
    <col min="12389" max="12389" width="18.140625" bestFit="1" customWidth="1"/>
    <col min="12634" max="12634" width="4.28515625" customWidth="1"/>
    <col min="12635" max="12636" width="14.85546875" customWidth="1"/>
    <col min="12637" max="12637" width="43.7109375" bestFit="1" customWidth="1"/>
    <col min="12638" max="12638" width="23" bestFit="1" customWidth="1"/>
    <col min="12639" max="12643" width="4.7109375" customWidth="1"/>
    <col min="12645" max="12645" width="18.140625" bestFit="1" customWidth="1"/>
    <col min="12890" max="12890" width="4.28515625" customWidth="1"/>
    <col min="12891" max="12892" width="14.85546875" customWidth="1"/>
    <col min="12893" max="12893" width="43.7109375" bestFit="1" customWidth="1"/>
    <col min="12894" max="12894" width="23" bestFit="1" customWidth="1"/>
    <col min="12895" max="12899" width="4.7109375" customWidth="1"/>
    <col min="12901" max="12901" width="18.140625" bestFit="1" customWidth="1"/>
    <col min="13146" max="13146" width="4.28515625" customWidth="1"/>
    <col min="13147" max="13148" width="14.85546875" customWidth="1"/>
    <col min="13149" max="13149" width="43.7109375" bestFit="1" customWidth="1"/>
    <col min="13150" max="13150" width="23" bestFit="1" customWidth="1"/>
    <col min="13151" max="13155" width="4.7109375" customWidth="1"/>
    <col min="13157" max="13157" width="18.140625" bestFit="1" customWidth="1"/>
    <col min="13402" max="13402" width="4.28515625" customWidth="1"/>
    <col min="13403" max="13404" width="14.85546875" customWidth="1"/>
    <col min="13405" max="13405" width="43.7109375" bestFit="1" customWidth="1"/>
    <col min="13406" max="13406" width="23" bestFit="1" customWidth="1"/>
    <col min="13407" max="13411" width="4.7109375" customWidth="1"/>
    <col min="13413" max="13413" width="18.140625" bestFit="1" customWidth="1"/>
    <col min="13658" max="13658" width="4.28515625" customWidth="1"/>
    <col min="13659" max="13660" width="14.85546875" customWidth="1"/>
    <col min="13661" max="13661" width="43.7109375" bestFit="1" customWidth="1"/>
    <col min="13662" max="13662" width="23" bestFit="1" customWidth="1"/>
    <col min="13663" max="13667" width="4.7109375" customWidth="1"/>
    <col min="13669" max="13669" width="18.140625" bestFit="1" customWidth="1"/>
    <col min="13914" max="13914" width="4.28515625" customWidth="1"/>
    <col min="13915" max="13916" width="14.85546875" customWidth="1"/>
    <col min="13917" max="13917" width="43.7109375" bestFit="1" customWidth="1"/>
    <col min="13918" max="13918" width="23" bestFit="1" customWidth="1"/>
    <col min="13919" max="13923" width="4.7109375" customWidth="1"/>
    <col min="13925" max="13925" width="18.140625" bestFit="1" customWidth="1"/>
    <col min="14170" max="14170" width="4.28515625" customWidth="1"/>
    <col min="14171" max="14172" width="14.85546875" customWidth="1"/>
    <col min="14173" max="14173" width="43.7109375" bestFit="1" customWidth="1"/>
    <col min="14174" max="14174" width="23" bestFit="1" customWidth="1"/>
    <col min="14175" max="14179" width="4.7109375" customWidth="1"/>
    <col min="14181" max="14181" width="18.140625" bestFit="1" customWidth="1"/>
    <col min="14426" max="14426" width="4.28515625" customWidth="1"/>
    <col min="14427" max="14428" width="14.85546875" customWidth="1"/>
    <col min="14429" max="14429" width="43.7109375" bestFit="1" customWidth="1"/>
    <col min="14430" max="14430" width="23" bestFit="1" customWidth="1"/>
    <col min="14431" max="14435" width="4.7109375" customWidth="1"/>
    <col min="14437" max="14437" width="18.140625" bestFit="1" customWidth="1"/>
    <col min="14682" max="14682" width="4.28515625" customWidth="1"/>
    <col min="14683" max="14684" width="14.85546875" customWidth="1"/>
    <col min="14685" max="14685" width="43.7109375" bestFit="1" customWidth="1"/>
    <col min="14686" max="14686" width="23" bestFit="1" customWidth="1"/>
    <col min="14687" max="14691" width="4.7109375" customWidth="1"/>
    <col min="14693" max="14693" width="18.140625" bestFit="1" customWidth="1"/>
    <col min="14938" max="14938" width="4.28515625" customWidth="1"/>
    <col min="14939" max="14940" width="14.85546875" customWidth="1"/>
    <col min="14941" max="14941" width="43.7109375" bestFit="1" customWidth="1"/>
    <col min="14942" max="14942" width="23" bestFit="1" customWidth="1"/>
    <col min="14943" max="14947" width="4.7109375" customWidth="1"/>
    <col min="14949" max="14949" width="18.140625" bestFit="1" customWidth="1"/>
    <col min="15194" max="15194" width="4.28515625" customWidth="1"/>
    <col min="15195" max="15196" width="14.85546875" customWidth="1"/>
    <col min="15197" max="15197" width="43.7109375" bestFit="1" customWidth="1"/>
    <col min="15198" max="15198" width="23" bestFit="1" customWidth="1"/>
    <col min="15199" max="15203" width="4.7109375" customWidth="1"/>
    <col min="15205" max="15205" width="18.140625" bestFit="1" customWidth="1"/>
    <col min="15450" max="15450" width="4.28515625" customWidth="1"/>
    <col min="15451" max="15452" width="14.85546875" customWidth="1"/>
    <col min="15453" max="15453" width="43.7109375" bestFit="1" customWidth="1"/>
    <col min="15454" max="15454" width="23" bestFit="1" customWidth="1"/>
    <col min="15455" max="15459" width="4.7109375" customWidth="1"/>
    <col min="15461" max="15461" width="18.140625" bestFit="1" customWidth="1"/>
    <col min="15706" max="15706" width="4.28515625" customWidth="1"/>
    <col min="15707" max="15708" width="14.85546875" customWidth="1"/>
    <col min="15709" max="15709" width="43.7109375" bestFit="1" customWidth="1"/>
    <col min="15710" max="15710" width="23" bestFit="1" customWidth="1"/>
    <col min="15711" max="15715" width="4.7109375" customWidth="1"/>
    <col min="15717" max="15717" width="18.140625" bestFit="1" customWidth="1"/>
    <col min="15962" max="15962" width="4.28515625" customWidth="1"/>
    <col min="15963" max="15964" width="14.85546875" customWidth="1"/>
    <col min="15965" max="15965" width="43.7109375" bestFit="1" customWidth="1"/>
    <col min="15966" max="15966" width="23" bestFit="1" customWidth="1"/>
    <col min="15967" max="15971" width="4.7109375" customWidth="1"/>
    <col min="15973" max="15973" width="18.140625" bestFit="1" customWidth="1"/>
    <col min="16218" max="16218" width="4.28515625" customWidth="1"/>
    <col min="16219" max="16220" width="14.85546875" customWidth="1"/>
    <col min="16221" max="16221" width="43.7109375" bestFit="1" customWidth="1"/>
    <col min="16222" max="16222" width="23" bestFit="1" customWidth="1"/>
    <col min="16223" max="16227" width="4.7109375" customWidth="1"/>
    <col min="16229" max="16229" width="18.140625" bestFit="1" customWidth="1"/>
  </cols>
  <sheetData>
    <row r="1" spans="1:117" ht="15.75">
      <c r="A1" s="865" t="s">
        <v>3957</v>
      </c>
      <c r="P1" s="865" t="s">
        <v>2005</v>
      </c>
      <c r="BE1" s="1"/>
      <c r="BF1" s="1"/>
      <c r="BG1" s="1"/>
      <c r="BH1" s="1"/>
      <c r="BI1" s="1"/>
      <c r="BJ1" s="1"/>
      <c r="BK1" s="1"/>
      <c r="BL1" s="1"/>
      <c r="BM1" s="1"/>
      <c r="BN1" s="1"/>
      <c r="CE1" s="747"/>
      <c r="CF1" s="747"/>
      <c r="CG1" s="747"/>
      <c r="CH1" s="747"/>
      <c r="CI1" s="747"/>
      <c r="CJ1" s="747"/>
      <c r="CK1" s="747"/>
      <c r="CL1" s="747"/>
      <c r="CM1" s="747"/>
      <c r="CP1" s="4892" t="s">
        <v>1361</v>
      </c>
      <c r="CQ1" s="4892"/>
      <c r="CR1" s="4892"/>
      <c r="CS1" s="4892"/>
      <c r="CT1" s="4892"/>
      <c r="CU1" s="4892"/>
      <c r="CV1" s="4892"/>
      <c r="CW1" s="4892"/>
      <c r="CX1" s="4892"/>
      <c r="CY1" s="4892"/>
      <c r="CZ1" s="4892"/>
      <c r="DA1" s="748"/>
      <c r="DC1" s="237"/>
    </row>
    <row r="2" spans="1:117" ht="15.75">
      <c r="A2" s="31" t="s">
        <v>3958</v>
      </c>
      <c r="P2" s="865" t="s">
        <v>2704</v>
      </c>
      <c r="AC2" s="865" t="s">
        <v>2005</v>
      </c>
      <c r="AP2" s="865" t="s">
        <v>1937</v>
      </c>
      <c r="BC2" s="305" t="s">
        <v>1444</v>
      </c>
      <c r="BD2" s="1"/>
      <c r="BE2" s="1"/>
      <c r="BF2" s="1"/>
      <c r="BG2" s="1"/>
      <c r="BH2" s="1"/>
      <c r="BI2" s="1"/>
      <c r="BJ2" s="1"/>
      <c r="BK2" s="1"/>
      <c r="BL2" s="1"/>
      <c r="BO2" s="43" t="s">
        <v>1362</v>
      </c>
      <c r="CB2" s="308" t="s">
        <v>1363</v>
      </c>
      <c r="CC2" s="749"/>
      <c r="CD2" s="749"/>
      <c r="CE2" s="749"/>
      <c r="CF2" s="749"/>
      <c r="CG2" s="749"/>
      <c r="CH2" s="749"/>
      <c r="CI2" s="749"/>
      <c r="CJ2" s="749"/>
      <c r="CK2" s="749"/>
      <c r="CN2" s="4892" t="s">
        <v>1364</v>
      </c>
      <c r="CO2" s="4892"/>
      <c r="CP2" s="4892"/>
      <c r="CQ2" s="4892"/>
      <c r="CR2" s="4892"/>
      <c r="CS2" s="4892"/>
      <c r="CT2" s="4892"/>
      <c r="CU2" s="4892"/>
      <c r="CV2" s="4892"/>
      <c r="CW2" s="4892"/>
      <c r="CX2" s="4892"/>
      <c r="CY2" s="748"/>
    </row>
    <row r="3" spans="1:117" ht="15.75" customHeight="1">
      <c r="A3" s="1287" t="s">
        <v>3959</v>
      </c>
      <c r="P3" s="1287" t="s">
        <v>2705</v>
      </c>
      <c r="Q3" s="74"/>
      <c r="R3" s="74"/>
      <c r="S3" s="74"/>
      <c r="T3" s="74"/>
      <c r="U3" s="74"/>
      <c r="V3" s="74"/>
      <c r="W3" s="74"/>
      <c r="X3" s="74"/>
      <c r="Y3" s="74"/>
      <c r="Z3" s="74"/>
      <c r="AC3" s="43" t="s">
        <v>2003</v>
      </c>
      <c r="AP3" s="2165" t="s">
        <v>1934</v>
      </c>
      <c r="AQ3" s="2166"/>
      <c r="AR3" s="2166"/>
      <c r="AS3" s="2166"/>
      <c r="AT3" s="2166"/>
      <c r="AU3" s="2166"/>
      <c r="AV3" s="2166"/>
      <c r="AW3" s="2166"/>
      <c r="AX3" s="2166"/>
      <c r="AY3" s="2166"/>
      <c r="AZ3" s="2166"/>
      <c r="BA3" s="2167"/>
      <c r="BC3" s="305" t="s">
        <v>865</v>
      </c>
      <c r="BD3" s="750"/>
      <c r="BE3" s="750"/>
      <c r="BF3" s="750"/>
      <c r="BG3" s="750"/>
      <c r="BH3" s="750"/>
      <c r="BI3" s="750"/>
      <c r="BJ3" s="750"/>
      <c r="BK3" s="750"/>
      <c r="BL3" s="750"/>
      <c r="BO3" s="43" t="s">
        <v>1365</v>
      </c>
      <c r="BP3" s="751"/>
      <c r="BQ3" s="751"/>
      <c r="BR3" s="751"/>
      <c r="BS3" s="751"/>
      <c r="BT3" s="751"/>
      <c r="BU3" s="751"/>
      <c r="BV3" s="751"/>
      <c r="BW3" s="751"/>
      <c r="BX3" s="751"/>
      <c r="BY3" s="751"/>
      <c r="BZ3" s="752"/>
      <c r="CB3" s="749" t="s">
        <v>1366</v>
      </c>
      <c r="CN3" s="4893" t="s">
        <v>1367</v>
      </c>
      <c r="CO3" s="4893"/>
      <c r="CP3" s="4893"/>
      <c r="CQ3" s="4893"/>
      <c r="CR3" s="4893"/>
      <c r="CS3" s="4893"/>
      <c r="CT3" s="4893"/>
      <c r="CU3" s="4893"/>
      <c r="CV3" s="4893"/>
      <c r="CW3" s="4893"/>
      <c r="CX3" s="4893"/>
      <c r="CZ3" s="4894" t="s">
        <v>1368</v>
      </c>
      <c r="DA3" s="4894"/>
      <c r="DB3" s="4894"/>
      <c r="DC3" s="4894"/>
      <c r="DD3" s="4894"/>
      <c r="DE3" s="4894"/>
      <c r="DF3" s="4894"/>
      <c r="DG3" s="4894"/>
      <c r="DH3" s="4894"/>
      <c r="DI3" s="4894"/>
      <c r="DJ3" s="4894"/>
      <c r="DK3" s="4894"/>
      <c r="DL3" s="4894"/>
    </row>
    <row r="4" spans="1:117">
      <c r="A4" s="74" t="s">
        <v>2706</v>
      </c>
      <c r="P4" s="74" t="s">
        <v>2706</v>
      </c>
      <c r="Q4" s="74"/>
      <c r="R4" s="74"/>
      <c r="S4" s="74"/>
      <c r="T4" s="74"/>
      <c r="U4" s="74"/>
      <c r="V4" s="74"/>
      <c r="W4" s="74"/>
      <c r="X4" s="74"/>
      <c r="Y4" s="74"/>
      <c r="Z4" s="74"/>
      <c r="AC4" t="s">
        <v>2004</v>
      </c>
      <c r="AD4" s="2583"/>
      <c r="AE4" s="1287"/>
      <c r="AF4" s="1287"/>
      <c r="AG4" s="1287"/>
      <c r="AH4" s="1287"/>
      <c r="AI4" s="1287"/>
      <c r="AJ4" s="1287"/>
      <c r="AK4" s="1287"/>
      <c r="AL4" s="1287"/>
      <c r="AM4" s="1287"/>
      <c r="AP4" s="1287" t="s">
        <v>1935</v>
      </c>
      <c r="AQ4" s="2167"/>
      <c r="AR4" s="2167"/>
      <c r="AS4" s="2167"/>
      <c r="AT4" s="2167"/>
      <c r="AU4" s="2167"/>
      <c r="AV4" s="2167"/>
      <c r="AW4" s="2167"/>
      <c r="AX4" s="2167"/>
      <c r="AY4" s="2167"/>
      <c r="AZ4" s="2167"/>
      <c r="BA4" s="2167"/>
      <c r="BC4" s="305" t="s">
        <v>1369</v>
      </c>
      <c r="BD4" s="753"/>
      <c r="BE4" s="753"/>
      <c r="BF4" s="753"/>
      <c r="BG4" s="753"/>
      <c r="BH4" s="753"/>
      <c r="BI4" s="753"/>
      <c r="BJ4" s="753"/>
      <c r="BK4" s="753"/>
      <c r="BL4" s="753"/>
      <c r="BO4" s="754" t="s">
        <v>1370</v>
      </c>
      <c r="BP4" s="755"/>
      <c r="BQ4" s="755"/>
      <c r="BR4" s="755"/>
      <c r="BS4" s="755"/>
      <c r="BT4" s="755"/>
      <c r="BU4" s="755"/>
      <c r="BV4" s="755"/>
      <c r="BW4" s="755"/>
      <c r="BX4" s="755"/>
      <c r="BY4" s="755"/>
      <c r="BZ4" s="752"/>
      <c r="CX4" s="118"/>
    </row>
    <row r="5" spans="1:117">
      <c r="A5" s="4678"/>
      <c r="B5" s="4678"/>
      <c r="C5" s="4678"/>
      <c r="D5" s="4678"/>
      <c r="E5" s="4900" t="s">
        <v>1371</v>
      </c>
      <c r="F5" s="4900"/>
      <c r="G5" s="4900"/>
      <c r="H5" s="4900"/>
      <c r="I5" s="4900"/>
      <c r="J5" s="4900"/>
      <c r="K5" s="4900"/>
      <c r="L5" s="4900"/>
      <c r="M5" s="4678"/>
      <c r="N5" s="4678"/>
      <c r="P5" s="43"/>
      <c r="Q5" s="43"/>
      <c r="R5" s="43"/>
      <c r="S5" s="761"/>
      <c r="T5" s="4901" t="s">
        <v>1371</v>
      </c>
      <c r="U5" s="4901"/>
      <c r="V5" s="4901"/>
      <c r="W5" s="4901"/>
      <c r="X5" s="4901"/>
      <c r="Y5" s="4901"/>
      <c r="Z5" s="43"/>
      <c r="AC5" s="1287"/>
      <c r="AD5" s="2583"/>
      <c r="AE5" s="1287"/>
      <c r="AF5" s="1287"/>
      <c r="AG5" s="1287"/>
      <c r="AH5" s="1287"/>
      <c r="AI5" s="1287"/>
      <c r="AJ5" s="1287"/>
      <c r="AK5" s="1287"/>
      <c r="AL5" s="1287"/>
      <c r="AM5" s="1287"/>
      <c r="AP5" s="738"/>
      <c r="AQ5" s="2168"/>
      <c r="AR5" s="2168"/>
      <c r="AS5" s="4904" t="s">
        <v>1371</v>
      </c>
      <c r="AT5" s="4905"/>
      <c r="AU5" s="4905"/>
      <c r="AV5" s="4905"/>
      <c r="AW5" s="4905"/>
      <c r="AX5" s="4905"/>
      <c r="AY5" s="4905"/>
      <c r="AZ5" s="4906"/>
      <c r="BA5" s="2169"/>
      <c r="BC5" s="305"/>
      <c r="BD5" s="756"/>
      <c r="BE5" s="756"/>
      <c r="BF5" s="756"/>
      <c r="BG5" s="4895" t="s">
        <v>1371</v>
      </c>
      <c r="BH5" s="4895"/>
      <c r="BI5" s="4895"/>
      <c r="BJ5" s="4895"/>
      <c r="BK5" s="4895"/>
      <c r="BL5" s="305"/>
      <c r="BO5" s="43"/>
      <c r="BP5" s="757"/>
      <c r="BQ5" s="757"/>
      <c r="BR5" s="757"/>
      <c r="BS5" s="4896" t="s">
        <v>1371</v>
      </c>
      <c r="BT5" s="4896"/>
      <c r="BU5" s="4896"/>
      <c r="BV5" s="4896"/>
      <c r="BW5" s="4896"/>
      <c r="BX5" s="4896"/>
      <c r="BY5" s="43"/>
      <c r="BZ5" s="758"/>
      <c r="CB5" s="759"/>
      <c r="CC5" s="760"/>
      <c r="CD5" s="760"/>
      <c r="CE5" s="760"/>
      <c r="CF5" s="4897" t="s">
        <v>1372</v>
      </c>
      <c r="CG5" s="4897"/>
      <c r="CH5" s="4897"/>
      <c r="CI5" s="4897"/>
      <c r="CJ5" s="4897"/>
      <c r="CN5" s="761"/>
      <c r="CO5" s="761"/>
      <c r="CP5" s="761"/>
      <c r="CQ5" s="761" t="s">
        <v>332</v>
      </c>
      <c r="CR5" s="4898" t="s">
        <v>1373</v>
      </c>
      <c r="CS5" s="4898"/>
      <c r="CT5" s="4898"/>
      <c r="CU5" s="4898"/>
      <c r="CV5" s="4898"/>
      <c r="CW5" s="761"/>
      <c r="CX5" s="74"/>
      <c r="CY5" s="74"/>
      <c r="CZ5" s="74"/>
      <c r="DA5" s="150"/>
      <c r="DB5" s="74"/>
      <c r="DC5" s="74"/>
      <c r="DD5" s="4899" t="s">
        <v>1373</v>
      </c>
      <c r="DE5" s="4899"/>
      <c r="DF5" s="4899"/>
      <c r="DG5" s="4899"/>
      <c r="DH5" s="4899"/>
      <c r="DI5" s="4899"/>
      <c r="DJ5" s="74"/>
      <c r="DK5" s="74"/>
      <c r="DL5" s="74"/>
      <c r="DM5" s="74"/>
    </row>
    <row r="6" spans="1:117" ht="30.75" thickBot="1">
      <c r="A6" s="743" t="s">
        <v>0</v>
      </c>
      <c r="B6" s="743" t="s">
        <v>1</v>
      </c>
      <c r="C6" s="743" t="s">
        <v>2</v>
      </c>
      <c r="D6" s="743" t="s">
        <v>1282</v>
      </c>
      <c r="E6" s="3260">
        <v>0</v>
      </c>
      <c r="F6" s="3260">
        <v>1</v>
      </c>
      <c r="G6" s="3260">
        <v>2</v>
      </c>
      <c r="H6" s="3260">
        <v>3</v>
      </c>
      <c r="I6" s="3260">
        <v>4</v>
      </c>
      <c r="J6" s="743">
        <v>5</v>
      </c>
      <c r="K6" s="743">
        <v>6</v>
      </c>
      <c r="L6" s="743">
        <v>7</v>
      </c>
      <c r="M6" s="743" t="s">
        <v>15</v>
      </c>
      <c r="N6" s="2584" t="s">
        <v>66</v>
      </c>
      <c r="P6" s="768" t="s">
        <v>0</v>
      </c>
      <c r="Q6" s="768" t="s">
        <v>1</v>
      </c>
      <c r="R6" s="768" t="s">
        <v>2</v>
      </c>
      <c r="S6" s="768" t="s">
        <v>1282</v>
      </c>
      <c r="T6" s="3227">
        <v>1</v>
      </c>
      <c r="U6" s="3227">
        <v>2</v>
      </c>
      <c r="V6" s="3227">
        <v>3</v>
      </c>
      <c r="W6" s="3227">
        <v>4</v>
      </c>
      <c r="X6" s="768">
        <v>5</v>
      </c>
      <c r="Y6" s="768">
        <v>6</v>
      </c>
      <c r="Z6" s="768" t="s">
        <v>15</v>
      </c>
      <c r="AA6" s="3228" t="s">
        <v>66</v>
      </c>
      <c r="AC6" s="743" t="s">
        <v>0</v>
      </c>
      <c r="AD6" s="743" t="s">
        <v>1</v>
      </c>
      <c r="AE6" s="743" t="s">
        <v>2</v>
      </c>
      <c r="AF6" s="743" t="s">
        <v>1282</v>
      </c>
      <c r="AG6" s="2599">
        <v>1</v>
      </c>
      <c r="AH6" s="2599">
        <v>2</v>
      </c>
      <c r="AI6" s="2599">
        <v>3</v>
      </c>
      <c r="AJ6" s="2599">
        <v>4</v>
      </c>
      <c r="AK6" s="743">
        <v>5</v>
      </c>
      <c r="AL6" s="743">
        <v>6</v>
      </c>
      <c r="AM6" s="743" t="s">
        <v>15</v>
      </c>
      <c r="AN6" s="2602" t="s">
        <v>66</v>
      </c>
      <c r="AP6" s="2170" t="s">
        <v>0</v>
      </c>
      <c r="AQ6" s="2170" t="s">
        <v>1</v>
      </c>
      <c r="AR6" s="2170" t="s">
        <v>2</v>
      </c>
      <c r="AS6" s="2170" t="s">
        <v>1282</v>
      </c>
      <c r="AT6" s="2170">
        <v>0</v>
      </c>
      <c r="AU6" s="2170">
        <v>1</v>
      </c>
      <c r="AV6" s="2170">
        <v>2</v>
      </c>
      <c r="AW6" s="2170">
        <v>3</v>
      </c>
      <c r="AX6" s="2170">
        <v>4</v>
      </c>
      <c r="AY6" s="2170">
        <v>5</v>
      </c>
      <c r="AZ6" s="2171" t="s">
        <v>15</v>
      </c>
      <c r="BA6" s="2172" t="s">
        <v>66</v>
      </c>
      <c r="BC6" s="762" t="s">
        <v>0</v>
      </c>
      <c r="BD6" s="762" t="s">
        <v>1</v>
      </c>
      <c r="BE6" s="762"/>
      <c r="BF6" s="762" t="s">
        <v>1282</v>
      </c>
      <c r="BG6" s="762">
        <v>1</v>
      </c>
      <c r="BH6" s="762">
        <v>2</v>
      </c>
      <c r="BI6" s="762">
        <v>3</v>
      </c>
      <c r="BJ6" s="762">
        <v>4</v>
      </c>
      <c r="BK6" s="762">
        <v>5</v>
      </c>
      <c r="BL6" s="762" t="s">
        <v>15</v>
      </c>
      <c r="BM6" s="763" t="s">
        <v>66</v>
      </c>
      <c r="BO6" s="764" t="s">
        <v>0</v>
      </c>
      <c r="BP6" s="764" t="s">
        <v>1</v>
      </c>
      <c r="BQ6" s="764" t="s">
        <v>2</v>
      </c>
      <c r="BR6" s="764" t="s">
        <v>1282</v>
      </c>
      <c r="BS6" s="764">
        <v>1</v>
      </c>
      <c r="BT6" s="764">
        <v>2</v>
      </c>
      <c r="BU6" s="764">
        <v>3</v>
      </c>
      <c r="BV6" s="764">
        <v>4</v>
      </c>
      <c r="BW6" s="764">
        <v>5</v>
      </c>
      <c r="BX6" s="764">
        <v>6</v>
      </c>
      <c r="BY6" s="764" t="s">
        <v>15</v>
      </c>
      <c r="BZ6" s="765" t="s">
        <v>1374</v>
      </c>
      <c r="CB6" s="766" t="s">
        <v>0</v>
      </c>
      <c r="CC6" s="766" t="s">
        <v>1</v>
      </c>
      <c r="CD6" s="766" t="s">
        <v>2</v>
      </c>
      <c r="CE6" s="766" t="s">
        <v>1282</v>
      </c>
      <c r="CF6" s="766">
        <v>1</v>
      </c>
      <c r="CG6" s="766">
        <v>2</v>
      </c>
      <c r="CH6" s="766">
        <v>3</v>
      </c>
      <c r="CI6" s="766">
        <v>4</v>
      </c>
      <c r="CJ6" s="766">
        <v>5</v>
      </c>
      <c r="CK6" s="766" t="s">
        <v>15</v>
      </c>
      <c r="CL6" s="767" t="s">
        <v>66</v>
      </c>
      <c r="CN6" s="768" t="s">
        <v>0</v>
      </c>
      <c r="CO6" s="768" t="s">
        <v>1</v>
      </c>
      <c r="CP6" s="768" t="s">
        <v>2</v>
      </c>
      <c r="CQ6" s="768" t="s">
        <v>1282</v>
      </c>
      <c r="CR6" s="768">
        <v>1</v>
      </c>
      <c r="CS6" s="768">
        <v>2</v>
      </c>
      <c r="CT6" s="768">
        <v>3</v>
      </c>
      <c r="CU6" s="768">
        <v>4</v>
      </c>
      <c r="CV6" s="768">
        <v>5</v>
      </c>
      <c r="CW6" s="768" t="s">
        <v>15</v>
      </c>
      <c r="CX6" s="769" t="s">
        <v>66</v>
      </c>
      <c r="CY6" s="74"/>
      <c r="CZ6" s="770" t="s">
        <v>0</v>
      </c>
      <c r="DA6" s="770" t="s">
        <v>1</v>
      </c>
      <c r="DB6" s="770" t="s">
        <v>2</v>
      </c>
      <c r="DC6" s="771" t="s">
        <v>1375</v>
      </c>
      <c r="DD6" s="771">
        <v>0</v>
      </c>
      <c r="DE6" s="771">
        <v>1</v>
      </c>
      <c r="DF6" s="771">
        <v>2</v>
      </c>
      <c r="DG6" s="771">
        <v>3</v>
      </c>
      <c r="DH6" s="771">
        <v>4</v>
      </c>
      <c r="DI6" s="771">
        <v>5</v>
      </c>
      <c r="DJ6" s="771" t="s">
        <v>15</v>
      </c>
      <c r="DK6" s="772" t="s">
        <v>66</v>
      </c>
      <c r="DL6" s="773" t="s">
        <v>1376</v>
      </c>
      <c r="DM6" s="74"/>
    </row>
    <row r="7" spans="1:117">
      <c r="A7" s="73" t="s">
        <v>3</v>
      </c>
      <c r="B7" s="73" t="s">
        <v>16</v>
      </c>
      <c r="C7" s="73" t="s">
        <v>104</v>
      </c>
      <c r="D7" s="73" t="s">
        <v>1283</v>
      </c>
      <c r="E7" s="3261"/>
      <c r="F7" s="3261"/>
      <c r="G7" s="3261">
        <v>1</v>
      </c>
      <c r="H7" s="3261">
        <v>0</v>
      </c>
      <c r="I7" s="3261"/>
      <c r="J7" s="161"/>
      <c r="K7" s="161"/>
      <c r="L7" s="161"/>
      <c r="M7" s="161">
        <v>1</v>
      </c>
      <c r="N7" s="73"/>
      <c r="P7" s="74" t="s">
        <v>3</v>
      </c>
      <c r="Q7" s="74" t="s">
        <v>16</v>
      </c>
      <c r="R7" s="74" t="s">
        <v>104</v>
      </c>
      <c r="S7" s="74" t="s">
        <v>1284</v>
      </c>
      <c r="T7" s="3229"/>
      <c r="U7" s="3229"/>
      <c r="V7" s="3229">
        <v>1</v>
      </c>
      <c r="W7" s="3229">
        <v>0</v>
      </c>
      <c r="X7" s="121"/>
      <c r="Y7" s="121"/>
      <c r="Z7" s="121">
        <v>1</v>
      </c>
      <c r="AC7" s="161" t="s">
        <v>3</v>
      </c>
      <c r="AD7" s="161" t="s">
        <v>16</v>
      </c>
      <c r="AE7" s="73" t="s">
        <v>104</v>
      </c>
      <c r="AF7" s="73" t="s">
        <v>1284</v>
      </c>
      <c r="AG7" s="2600">
        <v>1</v>
      </c>
      <c r="AH7" s="2600"/>
      <c r="AI7" s="2600">
        <v>2</v>
      </c>
      <c r="AJ7" s="2600"/>
      <c r="AK7" s="161"/>
      <c r="AL7" s="161"/>
      <c r="AM7" s="161">
        <v>3</v>
      </c>
      <c r="AP7" s="2173" t="s">
        <v>3</v>
      </c>
      <c r="AQ7" s="2173" t="s">
        <v>16</v>
      </c>
      <c r="AR7" s="2173" t="s">
        <v>104</v>
      </c>
      <c r="AS7" s="2174" t="s">
        <v>1283</v>
      </c>
      <c r="AT7" s="2175"/>
      <c r="AU7" s="2175"/>
      <c r="AV7" s="2175"/>
      <c r="AW7" s="2176">
        <v>1</v>
      </c>
      <c r="AX7" s="2175"/>
      <c r="AY7" s="2177"/>
      <c r="AZ7" s="2178">
        <v>1</v>
      </c>
      <c r="BA7" s="2169"/>
      <c r="BC7" s="774" t="s">
        <v>3</v>
      </c>
      <c r="BD7" s="774" t="s">
        <v>16</v>
      </c>
      <c r="BE7" s="775" t="s">
        <v>104</v>
      </c>
      <c r="BF7" s="776" t="s">
        <v>1284</v>
      </c>
      <c r="BG7" s="777">
        <v>1</v>
      </c>
      <c r="BH7" s="778"/>
      <c r="BI7" s="777">
        <v>1</v>
      </c>
      <c r="BJ7" s="778"/>
      <c r="BK7" s="774"/>
      <c r="BL7" s="779">
        <v>2</v>
      </c>
      <c r="BM7" s="73"/>
      <c r="BO7" s="780" t="s">
        <v>3</v>
      </c>
      <c r="BP7" s="780" t="s">
        <v>16</v>
      </c>
      <c r="BQ7" s="781" t="s">
        <v>104</v>
      </c>
      <c r="BR7" s="782" t="s">
        <v>1284</v>
      </c>
      <c r="BS7" s="783">
        <v>1</v>
      </c>
      <c r="BT7" s="784"/>
      <c r="BU7" s="783">
        <v>4</v>
      </c>
      <c r="BV7" s="784"/>
      <c r="BW7" s="785"/>
      <c r="BX7" s="785"/>
      <c r="BY7" s="786">
        <v>5</v>
      </c>
      <c r="BZ7" s="787"/>
      <c r="CB7" s="788" t="s">
        <v>3</v>
      </c>
      <c r="CC7" s="788" t="s">
        <v>16</v>
      </c>
      <c r="CD7" s="788" t="s">
        <v>104</v>
      </c>
      <c r="CE7" s="789" t="s">
        <v>1284</v>
      </c>
      <c r="CF7" s="790"/>
      <c r="CG7" s="790"/>
      <c r="CH7" s="791">
        <v>2</v>
      </c>
      <c r="CI7" s="790"/>
      <c r="CJ7" s="790"/>
      <c r="CK7" s="791">
        <v>2</v>
      </c>
      <c r="CL7" s="792"/>
      <c r="CN7" s="121" t="s">
        <v>3</v>
      </c>
      <c r="CO7" s="121" t="s">
        <v>16</v>
      </c>
      <c r="CP7" s="74" t="s">
        <v>104</v>
      </c>
      <c r="CQ7" s="74" t="s">
        <v>1284</v>
      </c>
      <c r="CR7" s="121"/>
      <c r="CS7" s="121">
        <v>1</v>
      </c>
      <c r="CT7" s="121">
        <v>1</v>
      </c>
      <c r="CU7" s="121">
        <v>0</v>
      </c>
      <c r="CV7" s="121"/>
      <c r="CW7" s="121">
        <v>2</v>
      </c>
      <c r="CX7" s="74"/>
      <c r="CY7" s="74"/>
      <c r="CZ7" s="793" t="s">
        <v>3</v>
      </c>
      <c r="DA7" s="794" t="s">
        <v>16</v>
      </c>
      <c r="DB7" s="793" t="s">
        <v>104</v>
      </c>
      <c r="DC7" s="793" t="s">
        <v>1284</v>
      </c>
      <c r="DD7" s="793">
        <v>0</v>
      </c>
      <c r="DE7" s="793">
        <v>1</v>
      </c>
      <c r="DF7" s="793">
        <v>0</v>
      </c>
      <c r="DG7" s="793">
        <v>6</v>
      </c>
      <c r="DH7" s="793">
        <v>1</v>
      </c>
      <c r="DI7" s="793">
        <v>0</v>
      </c>
      <c r="DJ7" s="793">
        <v>8</v>
      </c>
      <c r="DK7" s="793"/>
      <c r="DL7" s="795"/>
      <c r="DM7" s="74"/>
    </row>
    <row r="8" spans="1:117">
      <c r="A8" s="73"/>
      <c r="B8" s="73"/>
      <c r="C8" s="73"/>
      <c r="D8" s="73" t="s">
        <v>1284</v>
      </c>
      <c r="E8" s="3261"/>
      <c r="F8" s="3261"/>
      <c r="G8" s="3261">
        <v>1</v>
      </c>
      <c r="H8" s="3261">
        <v>0</v>
      </c>
      <c r="I8" s="3261"/>
      <c r="J8" s="161"/>
      <c r="K8" s="161"/>
      <c r="L8" s="161"/>
      <c r="M8" s="161">
        <v>1</v>
      </c>
      <c r="N8" s="73"/>
      <c r="P8" s="74"/>
      <c r="Q8" s="74"/>
      <c r="R8" s="74"/>
      <c r="S8" s="74" t="s">
        <v>1288</v>
      </c>
      <c r="T8" s="3229"/>
      <c r="U8" s="3229"/>
      <c r="V8" s="3229">
        <v>11</v>
      </c>
      <c r="W8" s="3229">
        <v>0</v>
      </c>
      <c r="X8" s="121"/>
      <c r="Y8" s="121"/>
      <c r="Z8" s="121">
        <v>11</v>
      </c>
      <c r="AC8" s="161"/>
      <c r="AF8" s="73" t="s">
        <v>1288</v>
      </c>
      <c r="AG8" s="2600">
        <v>0</v>
      </c>
      <c r="AH8" s="2600"/>
      <c r="AI8" s="2600">
        <v>2</v>
      </c>
      <c r="AJ8" s="2600"/>
      <c r="AK8" s="161"/>
      <c r="AL8" s="161"/>
      <c r="AM8" s="161">
        <v>2</v>
      </c>
      <c r="AP8" s="2173"/>
      <c r="AQ8" s="2173"/>
      <c r="AR8" s="2173"/>
      <c r="AS8" s="2174" t="s">
        <v>1284</v>
      </c>
      <c r="AT8" s="2175"/>
      <c r="AU8" s="2175"/>
      <c r="AV8" s="2175"/>
      <c r="AW8" s="2176">
        <v>4</v>
      </c>
      <c r="AX8" s="2175"/>
      <c r="AY8" s="2177"/>
      <c r="AZ8" s="2178">
        <v>4</v>
      </c>
      <c r="BA8" s="2169"/>
      <c r="BC8" s="774"/>
      <c r="BD8" s="774"/>
      <c r="BE8" s="775"/>
      <c r="BF8" s="776" t="s">
        <v>1288</v>
      </c>
      <c r="BG8" s="777">
        <v>0</v>
      </c>
      <c r="BH8" s="778"/>
      <c r="BI8" s="777">
        <v>1</v>
      </c>
      <c r="BJ8" s="778"/>
      <c r="BK8" s="774"/>
      <c r="BL8" s="779">
        <v>1</v>
      </c>
      <c r="BM8" s="73"/>
      <c r="BO8" s="780"/>
      <c r="BP8" s="780"/>
      <c r="BQ8" s="781"/>
      <c r="BR8" s="782" t="s">
        <v>1288</v>
      </c>
      <c r="BS8" s="783">
        <v>0</v>
      </c>
      <c r="BT8" s="784"/>
      <c r="BU8" s="783">
        <v>3</v>
      </c>
      <c r="BV8" s="784"/>
      <c r="BW8" s="785"/>
      <c r="BX8" s="785"/>
      <c r="BY8" s="786">
        <v>3</v>
      </c>
      <c r="BZ8" s="787"/>
      <c r="CB8" s="788"/>
      <c r="CC8" s="788"/>
      <c r="CD8" s="788"/>
      <c r="CE8" s="789" t="s">
        <v>1288</v>
      </c>
      <c r="CF8" s="790"/>
      <c r="CG8" s="790"/>
      <c r="CH8" s="791">
        <v>2</v>
      </c>
      <c r="CI8" s="790"/>
      <c r="CJ8" s="790"/>
      <c r="CK8" s="791">
        <v>2</v>
      </c>
      <c r="CL8" s="792"/>
      <c r="CN8" s="121"/>
      <c r="CO8" s="121"/>
      <c r="CP8" s="74"/>
      <c r="CQ8" s="74" t="s">
        <v>1288</v>
      </c>
      <c r="CR8" s="121"/>
      <c r="CS8" s="121">
        <v>0</v>
      </c>
      <c r="CT8" s="121">
        <v>2</v>
      </c>
      <c r="CU8" s="121">
        <v>0</v>
      </c>
      <c r="CV8" s="121"/>
      <c r="CW8" s="121">
        <v>2</v>
      </c>
      <c r="CX8" s="74"/>
      <c r="CY8" s="74"/>
      <c r="CZ8" s="793"/>
      <c r="DA8" s="794"/>
      <c r="DB8" s="793"/>
      <c r="DC8" s="793" t="s">
        <v>1288</v>
      </c>
      <c r="DD8" s="793">
        <v>0</v>
      </c>
      <c r="DE8" s="793">
        <v>0</v>
      </c>
      <c r="DF8" s="793">
        <v>0</v>
      </c>
      <c r="DG8" s="793">
        <v>2</v>
      </c>
      <c r="DH8" s="793">
        <v>0</v>
      </c>
      <c r="DI8" s="793">
        <v>0</v>
      </c>
      <c r="DJ8" s="793">
        <v>2</v>
      </c>
      <c r="DK8" s="793"/>
      <c r="DL8" s="795"/>
      <c r="DM8" s="74"/>
    </row>
    <row r="9" spans="1:117">
      <c r="A9" s="73"/>
      <c r="B9" s="73"/>
      <c r="C9" s="73"/>
      <c r="D9" s="73" t="s">
        <v>1288</v>
      </c>
      <c r="E9" s="3261"/>
      <c r="F9" s="3261"/>
      <c r="G9" s="3261">
        <v>0</v>
      </c>
      <c r="H9" s="3261">
        <v>1</v>
      </c>
      <c r="I9" s="3261"/>
      <c r="J9" s="161"/>
      <c r="K9" s="161"/>
      <c r="L9" s="161"/>
      <c r="M9" s="161">
        <v>1</v>
      </c>
      <c r="N9" s="73"/>
      <c r="P9" s="74"/>
      <c r="Q9" s="74"/>
      <c r="R9" s="74"/>
      <c r="S9" s="74" t="s">
        <v>1293</v>
      </c>
      <c r="T9" s="3229"/>
      <c r="U9" s="3229"/>
      <c r="V9" s="3229">
        <v>7</v>
      </c>
      <c r="W9" s="3229">
        <v>1</v>
      </c>
      <c r="X9" s="121"/>
      <c r="Y9" s="121"/>
      <c r="Z9" s="121">
        <v>8</v>
      </c>
      <c r="AC9" s="161"/>
      <c r="AF9" s="73" t="s">
        <v>1293</v>
      </c>
      <c r="AG9" s="2600">
        <v>0</v>
      </c>
      <c r="AH9" s="2600"/>
      <c r="AI9" s="2600">
        <v>9</v>
      </c>
      <c r="AJ9" s="2600"/>
      <c r="AK9" s="161"/>
      <c r="AL9" s="161"/>
      <c r="AM9" s="161">
        <v>9</v>
      </c>
      <c r="AP9" s="2173"/>
      <c r="AQ9" s="2173"/>
      <c r="AR9" s="2173"/>
      <c r="AS9" s="2174" t="s">
        <v>1288</v>
      </c>
      <c r="AT9" s="2175"/>
      <c r="AU9" s="2175"/>
      <c r="AV9" s="2175"/>
      <c r="AW9" s="2176">
        <v>4</v>
      </c>
      <c r="AX9" s="2175"/>
      <c r="AY9" s="2177"/>
      <c r="AZ9" s="2178">
        <v>4</v>
      </c>
      <c r="BA9" s="2169"/>
      <c r="BC9" s="774"/>
      <c r="BD9" s="774"/>
      <c r="BE9" s="775"/>
      <c r="BF9" s="776" t="s">
        <v>1293</v>
      </c>
      <c r="BG9" s="777">
        <v>0</v>
      </c>
      <c r="BH9" s="778"/>
      <c r="BI9" s="777">
        <v>12</v>
      </c>
      <c r="BJ9" s="778"/>
      <c r="BK9" s="774"/>
      <c r="BL9" s="779">
        <v>12</v>
      </c>
      <c r="BM9" s="73"/>
      <c r="BO9" s="780"/>
      <c r="BP9" s="780"/>
      <c r="BQ9" s="781"/>
      <c r="BR9" s="782" t="s">
        <v>1293</v>
      </c>
      <c r="BS9" s="783">
        <v>0</v>
      </c>
      <c r="BT9" s="784"/>
      <c r="BU9" s="783">
        <v>3</v>
      </c>
      <c r="BV9" s="784"/>
      <c r="BW9" s="785"/>
      <c r="BX9" s="785"/>
      <c r="BY9" s="786">
        <v>3</v>
      </c>
      <c r="BZ9" s="787"/>
      <c r="CB9" s="788"/>
      <c r="CC9" s="788"/>
      <c r="CD9" s="788"/>
      <c r="CE9" s="789" t="s">
        <v>1293</v>
      </c>
      <c r="CF9" s="790"/>
      <c r="CG9" s="790"/>
      <c r="CH9" s="791">
        <v>7</v>
      </c>
      <c r="CI9" s="790"/>
      <c r="CJ9" s="790"/>
      <c r="CK9" s="791">
        <v>7</v>
      </c>
      <c r="CL9" s="792"/>
      <c r="CN9" s="121"/>
      <c r="CO9" s="121"/>
      <c r="CP9" s="74"/>
      <c r="CQ9" s="74" t="s">
        <v>1289</v>
      </c>
      <c r="CR9" s="121"/>
      <c r="CS9" s="121">
        <v>0</v>
      </c>
      <c r="CT9" s="121">
        <v>0</v>
      </c>
      <c r="CU9" s="121">
        <v>1</v>
      </c>
      <c r="CV9" s="121"/>
      <c r="CW9" s="121">
        <v>1</v>
      </c>
      <c r="CX9" s="74"/>
      <c r="CY9" s="74"/>
      <c r="CZ9" s="793"/>
      <c r="DA9" s="794"/>
      <c r="DB9" s="793"/>
      <c r="DC9" s="793" t="s">
        <v>1377</v>
      </c>
      <c r="DD9" s="793">
        <v>0</v>
      </c>
      <c r="DE9" s="793">
        <v>0</v>
      </c>
      <c r="DF9" s="793">
        <v>0</v>
      </c>
      <c r="DG9" s="793">
        <v>5</v>
      </c>
      <c r="DH9" s="793">
        <v>0</v>
      </c>
      <c r="DI9" s="793">
        <v>0</v>
      </c>
      <c r="DJ9" s="793">
        <v>5</v>
      </c>
      <c r="DK9" s="793"/>
      <c r="DL9" s="795"/>
      <c r="DM9" s="74"/>
    </row>
    <row r="10" spans="1:117">
      <c r="A10" s="73"/>
      <c r="B10" s="73"/>
      <c r="C10" s="73"/>
      <c r="D10" s="73" t="s">
        <v>1293</v>
      </c>
      <c r="E10" s="3261"/>
      <c r="F10" s="3261"/>
      <c r="G10" s="3261">
        <v>0</v>
      </c>
      <c r="H10" s="3261">
        <v>15</v>
      </c>
      <c r="I10" s="3261"/>
      <c r="J10" s="161"/>
      <c r="K10" s="161"/>
      <c r="L10" s="161"/>
      <c r="M10" s="161">
        <v>15</v>
      </c>
      <c r="N10" s="73"/>
      <c r="P10" s="74"/>
      <c r="Q10" s="74"/>
      <c r="R10" s="74"/>
      <c r="S10" s="761" t="s">
        <v>15</v>
      </c>
      <c r="T10" s="3230"/>
      <c r="U10" s="3230"/>
      <c r="V10" s="3230">
        <v>19</v>
      </c>
      <c r="W10" s="3230">
        <v>1</v>
      </c>
      <c r="X10" s="729"/>
      <c r="Y10" s="729"/>
      <c r="Z10" s="729">
        <v>20</v>
      </c>
      <c r="AA10" s="3197">
        <f>+(Z8+Z9)/Z10</f>
        <v>0.95</v>
      </c>
      <c r="AC10" s="161"/>
      <c r="AF10" s="73" t="s">
        <v>1377</v>
      </c>
      <c r="AG10" s="2600">
        <v>0</v>
      </c>
      <c r="AH10" s="2600"/>
      <c r="AI10" s="2600">
        <v>7</v>
      </c>
      <c r="AJ10" s="2600"/>
      <c r="AK10" s="161"/>
      <c r="AL10" s="161"/>
      <c r="AM10" s="161">
        <v>7</v>
      </c>
      <c r="AP10" s="2173"/>
      <c r="AQ10" s="2173"/>
      <c r="AR10" s="2173"/>
      <c r="AS10" s="2174" t="s">
        <v>1293</v>
      </c>
      <c r="AT10" s="2175"/>
      <c r="AU10" s="2175"/>
      <c r="AV10" s="2175"/>
      <c r="AW10" s="2176">
        <v>6</v>
      </c>
      <c r="AX10" s="2175"/>
      <c r="AY10" s="2177"/>
      <c r="AZ10" s="2178">
        <v>6</v>
      </c>
      <c r="BA10" s="2169"/>
      <c r="BC10" s="774"/>
      <c r="BD10" s="774"/>
      <c r="BE10" s="775"/>
      <c r="BF10" s="776" t="s">
        <v>1377</v>
      </c>
      <c r="BG10" s="777">
        <v>0</v>
      </c>
      <c r="BH10" s="778"/>
      <c r="BI10" s="777">
        <v>4</v>
      </c>
      <c r="BJ10" s="778"/>
      <c r="BK10" s="774"/>
      <c r="BL10" s="779">
        <v>4</v>
      </c>
      <c r="BM10" s="73"/>
      <c r="BO10" s="780"/>
      <c r="BP10" s="780"/>
      <c r="BQ10" s="781"/>
      <c r="BR10" s="782" t="s">
        <v>1377</v>
      </c>
      <c r="BS10" s="783">
        <v>0</v>
      </c>
      <c r="BT10" s="784"/>
      <c r="BU10" s="783">
        <v>5</v>
      </c>
      <c r="BV10" s="784"/>
      <c r="BW10" s="785"/>
      <c r="BX10" s="785"/>
      <c r="BY10" s="786">
        <v>5</v>
      </c>
      <c r="BZ10" s="787"/>
      <c r="CB10" s="788"/>
      <c r="CC10" s="788"/>
      <c r="CD10" s="788"/>
      <c r="CE10" s="789" t="s">
        <v>1377</v>
      </c>
      <c r="CF10" s="790"/>
      <c r="CG10" s="790"/>
      <c r="CH10" s="791">
        <v>5</v>
      </c>
      <c r="CI10" s="790"/>
      <c r="CJ10" s="790"/>
      <c r="CK10" s="791">
        <v>5</v>
      </c>
      <c r="CL10" s="792"/>
      <c r="CN10" s="121"/>
      <c r="CO10" s="121"/>
      <c r="CP10" s="74"/>
      <c r="CQ10" s="74" t="s">
        <v>1293</v>
      </c>
      <c r="CR10" s="121"/>
      <c r="CS10" s="121">
        <v>0</v>
      </c>
      <c r="CT10" s="121">
        <v>4</v>
      </c>
      <c r="CU10" s="121">
        <v>0</v>
      </c>
      <c r="CV10" s="121"/>
      <c r="CW10" s="121">
        <v>4</v>
      </c>
      <c r="CX10" s="74"/>
      <c r="CY10" s="74"/>
      <c r="CZ10" s="793"/>
      <c r="DA10" s="794"/>
      <c r="DB10" s="793"/>
      <c r="DC10" s="796" t="s">
        <v>15</v>
      </c>
      <c r="DD10" s="796">
        <v>0</v>
      </c>
      <c r="DE10" s="796">
        <v>1</v>
      </c>
      <c r="DF10" s="796">
        <v>0</v>
      </c>
      <c r="DG10" s="796">
        <v>13</v>
      </c>
      <c r="DH10" s="796">
        <v>1</v>
      </c>
      <c r="DI10" s="796">
        <v>0</v>
      </c>
      <c r="DJ10" s="796">
        <v>15</v>
      </c>
      <c r="DK10" s="797">
        <f>+(DJ9+DJ8)/DJ10</f>
        <v>0.46666666666666667</v>
      </c>
      <c r="DL10" s="795">
        <f>+DJ8+DJ9</f>
        <v>7</v>
      </c>
      <c r="DM10" s="74"/>
    </row>
    <row r="11" spans="1:117">
      <c r="A11" s="73"/>
      <c r="B11" s="73"/>
      <c r="C11" s="73"/>
      <c r="D11" s="73" t="s">
        <v>1377</v>
      </c>
      <c r="E11" s="3261"/>
      <c r="F11" s="3261"/>
      <c r="G11" s="3261">
        <v>0</v>
      </c>
      <c r="H11" s="3261">
        <v>2</v>
      </c>
      <c r="I11" s="3261"/>
      <c r="J11" s="161"/>
      <c r="K11" s="161"/>
      <c r="L11" s="161"/>
      <c r="M11" s="161">
        <v>2</v>
      </c>
      <c r="N11" s="73"/>
      <c r="P11" s="74"/>
      <c r="Q11" s="74"/>
      <c r="R11" s="74" t="s">
        <v>573</v>
      </c>
      <c r="S11" s="74" t="s">
        <v>1284</v>
      </c>
      <c r="T11" s="3229"/>
      <c r="U11" s="3229"/>
      <c r="V11" s="3229">
        <v>1</v>
      </c>
      <c r="W11" s="3229">
        <v>0</v>
      </c>
      <c r="X11" s="121"/>
      <c r="Y11" s="121"/>
      <c r="Z11" s="121">
        <v>1</v>
      </c>
      <c r="AC11" s="161"/>
      <c r="AF11" s="738" t="s">
        <v>15</v>
      </c>
      <c r="AG11" s="2601">
        <v>1</v>
      </c>
      <c r="AH11" s="2601"/>
      <c r="AI11" s="2601">
        <v>20</v>
      </c>
      <c r="AJ11" s="2601"/>
      <c r="AK11" s="151"/>
      <c r="AL11" s="151"/>
      <c r="AM11" s="151">
        <v>21</v>
      </c>
      <c r="AN11" s="912">
        <f>+(AM8+AM9+AM10)/(AM11)</f>
        <v>0.8571428571428571</v>
      </c>
      <c r="AP11" s="2173"/>
      <c r="AQ11" s="2173"/>
      <c r="AR11" s="2173"/>
      <c r="AS11" s="2174" t="s">
        <v>1377</v>
      </c>
      <c r="AT11" s="2175"/>
      <c r="AU11" s="2175"/>
      <c r="AV11" s="2175"/>
      <c r="AW11" s="2176">
        <v>3</v>
      </c>
      <c r="AX11" s="2175"/>
      <c r="AY11" s="2177"/>
      <c r="AZ11" s="2178">
        <v>3</v>
      </c>
      <c r="BA11" s="2169"/>
      <c r="BC11" s="774"/>
      <c r="BD11" s="774"/>
      <c r="BE11" s="775"/>
      <c r="BF11" s="798" t="s">
        <v>15</v>
      </c>
      <c r="BG11" s="799">
        <v>1</v>
      </c>
      <c r="BH11" s="800"/>
      <c r="BI11" s="799">
        <v>18</v>
      </c>
      <c r="BJ11" s="800"/>
      <c r="BK11" s="801"/>
      <c r="BL11" s="802">
        <v>19</v>
      </c>
      <c r="BM11" s="803">
        <f>+(BL8+BL9+BL10)/BL11</f>
        <v>0.89473684210526316</v>
      </c>
      <c r="BO11" s="780"/>
      <c r="BP11" s="780"/>
      <c r="BQ11" s="781"/>
      <c r="BR11" s="804" t="s">
        <v>15</v>
      </c>
      <c r="BS11" s="805">
        <v>1</v>
      </c>
      <c r="BT11" s="806"/>
      <c r="BU11" s="805">
        <v>15</v>
      </c>
      <c r="BV11" s="806"/>
      <c r="BW11" s="807"/>
      <c r="BX11" s="807"/>
      <c r="BY11" s="808">
        <v>16</v>
      </c>
      <c r="BZ11" s="787">
        <f>+(BY10+BY9+BY8)/BY11</f>
        <v>0.6875</v>
      </c>
      <c r="CB11" s="788"/>
      <c r="CC11" s="788"/>
      <c r="CD11" s="788"/>
      <c r="CE11" s="809" t="s">
        <v>15</v>
      </c>
      <c r="CF11" s="810"/>
      <c r="CG11" s="810"/>
      <c r="CH11" s="811">
        <v>16</v>
      </c>
      <c r="CI11" s="810"/>
      <c r="CJ11" s="810"/>
      <c r="CK11" s="811">
        <v>16</v>
      </c>
      <c r="CL11" s="812">
        <f>+(CK10+CK9+CK8)/CK11</f>
        <v>0.875</v>
      </c>
      <c r="CN11" s="121"/>
      <c r="CO11" s="121"/>
      <c r="CP11" s="74"/>
      <c r="CQ11" s="74" t="s">
        <v>1377</v>
      </c>
      <c r="CR11" s="121"/>
      <c r="CS11" s="121">
        <v>0</v>
      </c>
      <c r="CT11" s="121">
        <v>4</v>
      </c>
      <c r="CU11" s="121">
        <v>0</v>
      </c>
      <c r="CV11" s="121"/>
      <c r="CW11" s="121">
        <v>4</v>
      </c>
      <c r="CX11" s="74"/>
      <c r="CY11" s="74"/>
      <c r="CZ11" s="793"/>
      <c r="DA11" s="794" t="s">
        <v>105</v>
      </c>
      <c r="DB11" s="793" t="s">
        <v>106</v>
      </c>
      <c r="DC11" s="793" t="s">
        <v>1283</v>
      </c>
      <c r="DD11" s="793">
        <v>0</v>
      </c>
      <c r="DE11" s="793">
        <v>0</v>
      </c>
      <c r="DF11" s="793">
        <v>0</v>
      </c>
      <c r="DG11" s="793">
        <v>1</v>
      </c>
      <c r="DH11" s="793">
        <v>2</v>
      </c>
      <c r="DI11" s="793">
        <v>9</v>
      </c>
      <c r="DJ11" s="793">
        <v>12</v>
      </c>
      <c r="DK11" s="793"/>
      <c r="DL11" s="795"/>
      <c r="DM11" s="74"/>
    </row>
    <row r="12" spans="1:117">
      <c r="A12" s="73"/>
      <c r="B12" s="73"/>
      <c r="C12" s="73"/>
      <c r="D12" s="738" t="s">
        <v>15</v>
      </c>
      <c r="E12" s="3262"/>
      <c r="F12" s="3262"/>
      <c r="G12" s="3262">
        <v>2</v>
      </c>
      <c r="H12" s="3262">
        <v>18</v>
      </c>
      <c r="I12" s="3262"/>
      <c r="J12" s="4674"/>
      <c r="K12" s="4674"/>
      <c r="L12" s="4674"/>
      <c r="M12" s="4674">
        <v>20</v>
      </c>
      <c r="N12" s="912">
        <f>+(M11+M10+M9)/M12</f>
        <v>0.9</v>
      </c>
      <c r="P12" s="74"/>
      <c r="Q12" s="74"/>
      <c r="R12" s="74"/>
      <c r="S12" s="74" t="s">
        <v>1288</v>
      </c>
      <c r="T12" s="3229"/>
      <c r="U12" s="3229"/>
      <c r="V12" s="3229">
        <v>11</v>
      </c>
      <c r="W12" s="3229">
        <v>0</v>
      </c>
      <c r="X12" s="121"/>
      <c r="Y12" s="121"/>
      <c r="Z12" s="121">
        <v>11</v>
      </c>
      <c r="AC12" s="161"/>
      <c r="AE12" s="73" t="s">
        <v>423</v>
      </c>
      <c r="AF12" s="73" t="s">
        <v>1284</v>
      </c>
      <c r="AG12" s="2600">
        <v>3</v>
      </c>
      <c r="AH12" s="2600">
        <v>1</v>
      </c>
      <c r="AI12" s="2600">
        <v>0</v>
      </c>
      <c r="AJ12" s="2600"/>
      <c r="AK12" s="161"/>
      <c r="AL12" s="161"/>
      <c r="AM12" s="161">
        <v>4</v>
      </c>
      <c r="AP12" s="2173"/>
      <c r="AQ12" s="2173"/>
      <c r="AR12" s="2173"/>
      <c r="AS12" s="2168" t="s">
        <v>15</v>
      </c>
      <c r="AT12" s="2179"/>
      <c r="AU12" s="2179"/>
      <c r="AV12" s="2179"/>
      <c r="AW12" s="2180">
        <v>18</v>
      </c>
      <c r="AX12" s="2179"/>
      <c r="AY12" s="2181"/>
      <c r="AZ12" s="2182">
        <v>18</v>
      </c>
      <c r="BA12" s="2154">
        <f>+(AZ9+AZ10+AZ11)/AZ12</f>
        <v>0.72222222222222221</v>
      </c>
      <c r="BC12" s="774"/>
      <c r="BD12" s="774"/>
      <c r="BE12" s="775" t="s">
        <v>423</v>
      </c>
      <c r="BF12" s="776" t="s">
        <v>1284</v>
      </c>
      <c r="BG12" s="777">
        <v>1</v>
      </c>
      <c r="BH12" s="777">
        <v>2</v>
      </c>
      <c r="BI12" s="777">
        <v>3</v>
      </c>
      <c r="BJ12" s="778"/>
      <c r="BK12" s="774"/>
      <c r="BL12" s="779">
        <v>6</v>
      </c>
      <c r="BM12" s="73"/>
      <c r="BO12" s="780"/>
      <c r="BP12" s="780"/>
      <c r="BQ12" s="781" t="s">
        <v>120</v>
      </c>
      <c r="BR12" s="782" t="s">
        <v>1284</v>
      </c>
      <c r="BS12" s="784"/>
      <c r="BT12" s="784"/>
      <c r="BU12" s="784"/>
      <c r="BV12" s="783">
        <v>1</v>
      </c>
      <c r="BW12" s="785"/>
      <c r="BX12" s="785"/>
      <c r="BY12" s="786">
        <v>1</v>
      </c>
      <c r="BZ12" s="787"/>
      <c r="CB12" s="788"/>
      <c r="CC12" s="788"/>
      <c r="CN12" s="121"/>
      <c r="CO12" s="121"/>
      <c r="CP12" s="74"/>
      <c r="CQ12" s="761" t="s">
        <v>15</v>
      </c>
      <c r="CR12" s="729"/>
      <c r="CS12" s="729">
        <v>1</v>
      </c>
      <c r="CT12" s="729">
        <v>11</v>
      </c>
      <c r="CU12" s="729">
        <v>1</v>
      </c>
      <c r="CV12" s="729"/>
      <c r="CW12" s="729">
        <v>13</v>
      </c>
      <c r="CX12" s="813">
        <f>+(CW8+CW10+CW11)/CW12</f>
        <v>0.76923076923076927</v>
      </c>
      <c r="CY12" s="74"/>
      <c r="CZ12" s="793"/>
      <c r="DA12" s="794"/>
      <c r="DB12" s="793"/>
      <c r="DC12" s="793" t="s">
        <v>1284</v>
      </c>
      <c r="DD12" s="793">
        <v>0</v>
      </c>
      <c r="DE12" s="793">
        <v>2</v>
      </c>
      <c r="DF12" s="793">
        <v>4</v>
      </c>
      <c r="DG12" s="793">
        <v>7</v>
      </c>
      <c r="DH12" s="793">
        <v>0</v>
      </c>
      <c r="DI12" s="793">
        <v>0</v>
      </c>
      <c r="DJ12" s="793">
        <v>13</v>
      </c>
      <c r="DK12" s="793"/>
      <c r="DL12" s="795"/>
      <c r="DM12" s="74"/>
    </row>
    <row r="13" spans="1:117">
      <c r="A13" s="73"/>
      <c r="B13" s="73"/>
      <c r="C13" s="738" t="s">
        <v>573</v>
      </c>
      <c r="D13" s="738" t="s">
        <v>1283</v>
      </c>
      <c r="E13" s="3262"/>
      <c r="F13" s="3262"/>
      <c r="G13" s="3262">
        <v>1</v>
      </c>
      <c r="H13" s="3262">
        <v>0</v>
      </c>
      <c r="I13" s="3262"/>
      <c r="J13" s="4674"/>
      <c r="K13" s="4674"/>
      <c r="L13" s="4674"/>
      <c r="M13" s="4674">
        <v>1</v>
      </c>
      <c r="N13" s="73"/>
      <c r="P13" s="74"/>
      <c r="Q13" s="74"/>
      <c r="R13" s="74"/>
      <c r="S13" s="74" t="s">
        <v>1293</v>
      </c>
      <c r="T13" s="3229"/>
      <c r="U13" s="3229"/>
      <c r="V13" s="3229">
        <v>7</v>
      </c>
      <c r="W13" s="3229">
        <v>1</v>
      </c>
      <c r="X13" s="121"/>
      <c r="Y13" s="121"/>
      <c r="Z13" s="121">
        <v>8</v>
      </c>
      <c r="AC13" s="161"/>
      <c r="AF13" s="73" t="s">
        <v>1293</v>
      </c>
      <c r="AG13" s="2600">
        <v>0</v>
      </c>
      <c r="AH13" s="2600">
        <v>0</v>
      </c>
      <c r="AI13" s="2600">
        <v>5</v>
      </c>
      <c r="AJ13" s="2600"/>
      <c r="AK13" s="161"/>
      <c r="AL13" s="161"/>
      <c r="AM13" s="161">
        <v>5</v>
      </c>
      <c r="AP13" s="2173"/>
      <c r="AQ13" s="2173"/>
      <c r="AR13" s="2173" t="s">
        <v>573</v>
      </c>
      <c r="AS13" s="2174" t="s">
        <v>1283</v>
      </c>
      <c r="AT13" s="2175"/>
      <c r="AU13" s="2175"/>
      <c r="AV13" s="2175"/>
      <c r="AW13" s="2176">
        <v>1</v>
      </c>
      <c r="AX13" s="2175"/>
      <c r="AY13" s="2177"/>
      <c r="AZ13" s="2178">
        <v>1</v>
      </c>
      <c r="BA13" s="2169"/>
      <c r="BC13" s="774"/>
      <c r="BD13" s="774"/>
      <c r="BE13" s="775"/>
      <c r="BF13" s="776" t="s">
        <v>1293</v>
      </c>
      <c r="BG13" s="777">
        <v>0</v>
      </c>
      <c r="BH13" s="777">
        <v>0</v>
      </c>
      <c r="BI13" s="777">
        <v>4</v>
      </c>
      <c r="BJ13" s="778"/>
      <c r="BK13" s="774"/>
      <c r="BL13" s="779">
        <v>4</v>
      </c>
      <c r="BM13" s="73"/>
      <c r="BO13" s="780"/>
      <c r="BP13" s="780"/>
      <c r="BQ13" s="781"/>
      <c r="BR13" s="782"/>
      <c r="BS13" s="784"/>
      <c r="BT13" s="784"/>
      <c r="BU13" s="784"/>
      <c r="BV13" s="783"/>
      <c r="BW13" s="785"/>
      <c r="BX13" s="785"/>
      <c r="BY13" s="786"/>
      <c r="BZ13" s="787"/>
      <c r="CB13" s="788"/>
      <c r="CC13" s="788"/>
      <c r="CD13" s="788" t="s">
        <v>423</v>
      </c>
      <c r="CE13" s="789" t="s">
        <v>1284</v>
      </c>
      <c r="CF13" s="791">
        <v>1</v>
      </c>
      <c r="CG13" s="790"/>
      <c r="CH13" s="791">
        <v>1</v>
      </c>
      <c r="CI13" s="790"/>
      <c r="CJ13" s="790"/>
      <c r="CK13" s="791">
        <v>2</v>
      </c>
      <c r="CL13" s="792"/>
      <c r="CN13" s="121"/>
      <c r="CO13" s="121"/>
      <c r="CP13" s="74" t="s">
        <v>423</v>
      </c>
      <c r="CQ13" s="74" t="s">
        <v>1284</v>
      </c>
      <c r="CR13" s="121"/>
      <c r="CS13" s="121">
        <v>2</v>
      </c>
      <c r="CT13" s="121">
        <v>2</v>
      </c>
      <c r="CU13" s="121"/>
      <c r="CV13" s="121"/>
      <c r="CW13" s="121">
        <v>4</v>
      </c>
      <c r="CX13" s="74"/>
      <c r="CY13" s="74"/>
      <c r="CZ13" s="793"/>
      <c r="DA13" s="794"/>
      <c r="DB13" s="793"/>
      <c r="DC13" s="793" t="s">
        <v>1288</v>
      </c>
      <c r="DD13" s="793">
        <v>0</v>
      </c>
      <c r="DE13" s="793">
        <v>0</v>
      </c>
      <c r="DF13" s="793">
        <v>0</v>
      </c>
      <c r="DG13" s="793">
        <v>0</v>
      </c>
      <c r="DH13" s="793">
        <v>1</v>
      </c>
      <c r="DI13" s="793">
        <v>0</v>
      </c>
      <c r="DJ13" s="793">
        <v>1</v>
      </c>
      <c r="DK13" s="793"/>
      <c r="DL13" s="795"/>
      <c r="DM13" s="74"/>
    </row>
    <row r="14" spans="1:117">
      <c r="A14" s="73"/>
      <c r="B14" s="73"/>
      <c r="C14" s="738"/>
      <c r="D14" s="738" t="s">
        <v>1284</v>
      </c>
      <c r="E14" s="3262"/>
      <c r="F14" s="3262"/>
      <c r="G14" s="3262">
        <v>1</v>
      </c>
      <c r="H14" s="3262">
        <v>0</v>
      </c>
      <c r="I14" s="3262"/>
      <c r="J14" s="4674"/>
      <c r="K14" s="4674"/>
      <c r="L14" s="4674"/>
      <c r="M14" s="4674">
        <v>1</v>
      </c>
      <c r="N14" s="73"/>
      <c r="P14" s="74"/>
      <c r="Q14" s="74"/>
      <c r="R14" s="74"/>
      <c r="S14" s="761" t="s">
        <v>573</v>
      </c>
      <c r="T14" s="3230"/>
      <c r="U14" s="3230"/>
      <c r="V14" s="3230">
        <v>19</v>
      </c>
      <c r="W14" s="3230">
        <v>1</v>
      </c>
      <c r="X14" s="729"/>
      <c r="Y14" s="729"/>
      <c r="Z14" s="729">
        <v>20</v>
      </c>
      <c r="AA14" s="3197">
        <f>+(Z12+Z13)/Z14</f>
        <v>0.95</v>
      </c>
      <c r="AC14" s="161"/>
      <c r="AF14" s="738" t="s">
        <v>15</v>
      </c>
      <c r="AG14" s="2601">
        <v>3</v>
      </c>
      <c r="AH14" s="2601">
        <v>1</v>
      </c>
      <c r="AI14" s="2601">
        <v>5</v>
      </c>
      <c r="AJ14" s="2601"/>
      <c r="AK14" s="151"/>
      <c r="AL14" s="151"/>
      <c r="AM14" s="151">
        <v>9</v>
      </c>
      <c r="AN14" s="912">
        <f>+AM13/AM14</f>
        <v>0.55555555555555558</v>
      </c>
      <c r="AP14" s="2173"/>
      <c r="AQ14" s="2173"/>
      <c r="AR14" s="2173"/>
      <c r="AS14" s="2174" t="s">
        <v>1284</v>
      </c>
      <c r="AT14" s="2175"/>
      <c r="AU14" s="2175"/>
      <c r="AV14" s="2175"/>
      <c r="AW14" s="2176">
        <v>4</v>
      </c>
      <c r="AX14" s="2175"/>
      <c r="AY14" s="2177"/>
      <c r="AZ14" s="2178">
        <v>4</v>
      </c>
      <c r="BA14" s="2169"/>
      <c r="BC14" s="774"/>
      <c r="BD14" s="774"/>
      <c r="BE14" s="775"/>
      <c r="BF14" s="798" t="s">
        <v>15</v>
      </c>
      <c r="BG14" s="799">
        <v>1</v>
      </c>
      <c r="BH14" s="799">
        <v>2</v>
      </c>
      <c r="BI14" s="799">
        <v>7</v>
      </c>
      <c r="BJ14" s="800"/>
      <c r="BK14" s="801"/>
      <c r="BL14" s="802">
        <v>10</v>
      </c>
      <c r="BM14" s="803">
        <f>+BL13/BL14</f>
        <v>0.4</v>
      </c>
      <c r="BO14" s="780"/>
      <c r="BP14" s="780"/>
      <c r="BQ14" s="781"/>
      <c r="BR14" s="804" t="s">
        <v>15</v>
      </c>
      <c r="BS14" s="806"/>
      <c r="BT14" s="806"/>
      <c r="BU14" s="806"/>
      <c r="BV14" s="805">
        <v>1</v>
      </c>
      <c r="BW14" s="807"/>
      <c r="BX14" s="807"/>
      <c r="BY14" s="808">
        <v>1</v>
      </c>
      <c r="BZ14" s="787">
        <v>0</v>
      </c>
      <c r="CB14" s="788"/>
      <c r="CC14" s="788"/>
      <c r="CD14" s="788"/>
      <c r="CE14" s="789" t="s">
        <v>1288</v>
      </c>
      <c r="CF14" s="791">
        <v>0</v>
      </c>
      <c r="CG14" s="790"/>
      <c r="CH14" s="791">
        <v>5</v>
      </c>
      <c r="CI14" s="790"/>
      <c r="CJ14" s="790"/>
      <c r="CK14" s="791">
        <v>5</v>
      </c>
      <c r="CL14" s="792"/>
      <c r="CN14" s="121"/>
      <c r="CO14" s="121"/>
      <c r="CP14" s="74"/>
      <c r="CQ14" s="74" t="s">
        <v>1293</v>
      </c>
      <c r="CR14" s="121"/>
      <c r="CS14" s="121">
        <v>0</v>
      </c>
      <c r="CT14" s="121">
        <v>7</v>
      </c>
      <c r="CU14" s="121"/>
      <c r="CV14" s="121"/>
      <c r="CW14" s="121">
        <v>7</v>
      </c>
      <c r="CX14" s="74"/>
      <c r="CY14" s="74"/>
      <c r="CZ14" s="793"/>
      <c r="DA14" s="794"/>
      <c r="DB14" s="793"/>
      <c r="DC14" s="793" t="s">
        <v>1289</v>
      </c>
      <c r="DD14" s="793">
        <v>0</v>
      </c>
      <c r="DE14" s="793">
        <v>0</v>
      </c>
      <c r="DF14" s="793">
        <v>1</v>
      </c>
      <c r="DG14" s="793">
        <v>0</v>
      </c>
      <c r="DH14" s="793">
        <v>0</v>
      </c>
      <c r="DI14" s="793">
        <v>0</v>
      </c>
      <c r="DJ14" s="793">
        <v>1</v>
      </c>
      <c r="DK14" s="793"/>
      <c r="DL14" s="795"/>
      <c r="DM14" s="74"/>
    </row>
    <row r="15" spans="1:117">
      <c r="A15" s="73"/>
      <c r="B15" s="73"/>
      <c r="C15" s="738"/>
      <c r="D15" s="738" t="s">
        <v>1288</v>
      </c>
      <c r="E15" s="3262"/>
      <c r="F15" s="3262"/>
      <c r="G15" s="3262">
        <v>0</v>
      </c>
      <c r="H15" s="3262">
        <v>1</v>
      </c>
      <c r="I15" s="3262"/>
      <c r="J15" s="4674"/>
      <c r="K15" s="4674"/>
      <c r="L15" s="4674"/>
      <c r="M15" s="4674">
        <v>1</v>
      </c>
      <c r="N15" s="73"/>
      <c r="P15" s="74"/>
      <c r="Q15" s="74" t="s">
        <v>21</v>
      </c>
      <c r="R15" s="74" t="s">
        <v>1691</v>
      </c>
      <c r="S15" s="74" t="s">
        <v>1286</v>
      </c>
      <c r="T15" s="3229">
        <v>1</v>
      </c>
      <c r="U15" s="3229"/>
      <c r="V15" s="3229">
        <v>0</v>
      </c>
      <c r="W15" s="3229">
        <v>0</v>
      </c>
      <c r="X15" s="121"/>
      <c r="Y15" s="121"/>
      <c r="Z15" s="121">
        <v>1</v>
      </c>
      <c r="AC15" s="161"/>
      <c r="AE15" s="73" t="s">
        <v>573</v>
      </c>
      <c r="AF15" s="73" t="s">
        <v>1284</v>
      </c>
      <c r="AG15" s="2600">
        <v>4</v>
      </c>
      <c r="AH15" s="2600">
        <v>1</v>
      </c>
      <c r="AI15" s="2600">
        <v>2</v>
      </c>
      <c r="AJ15" s="2600"/>
      <c r="AK15" s="161"/>
      <c r="AL15" s="161"/>
      <c r="AM15" s="161">
        <v>7</v>
      </c>
      <c r="AP15" s="2173"/>
      <c r="AQ15" s="2173"/>
      <c r="AR15" s="2173"/>
      <c r="AS15" s="2174" t="s">
        <v>1288</v>
      </c>
      <c r="AT15" s="2175"/>
      <c r="AU15" s="2175"/>
      <c r="AV15" s="2175"/>
      <c r="AW15" s="2176">
        <v>4</v>
      </c>
      <c r="AX15" s="2175"/>
      <c r="AY15" s="2177"/>
      <c r="AZ15" s="2178">
        <v>4</v>
      </c>
      <c r="BA15" s="2169"/>
      <c r="BC15" s="774"/>
      <c r="BD15" s="774"/>
      <c r="BE15" s="775" t="s">
        <v>573</v>
      </c>
      <c r="BF15" s="776" t="s">
        <v>1284</v>
      </c>
      <c r="BG15" s="777">
        <v>2</v>
      </c>
      <c r="BH15" s="777">
        <v>2</v>
      </c>
      <c r="BI15" s="777">
        <v>4</v>
      </c>
      <c r="BJ15" s="778"/>
      <c r="BK15" s="774"/>
      <c r="BL15" s="779">
        <v>8</v>
      </c>
      <c r="BM15" s="814"/>
      <c r="BO15" s="780"/>
      <c r="BP15" s="780"/>
      <c r="BQ15" s="804" t="s">
        <v>573</v>
      </c>
      <c r="BR15" s="782" t="s">
        <v>1284</v>
      </c>
      <c r="BS15" s="783">
        <v>1</v>
      </c>
      <c r="BT15" s="784"/>
      <c r="BU15" s="783">
        <v>4</v>
      </c>
      <c r="BV15" s="783">
        <v>1</v>
      </c>
      <c r="BW15" s="785"/>
      <c r="BX15" s="785"/>
      <c r="BY15" s="786">
        <v>6</v>
      </c>
      <c r="BZ15" s="787"/>
      <c r="CB15" s="788"/>
      <c r="CC15" s="788"/>
      <c r="CD15" s="788"/>
      <c r="CE15" s="789" t="s">
        <v>1293</v>
      </c>
      <c r="CF15" s="791">
        <v>0</v>
      </c>
      <c r="CG15" s="790"/>
      <c r="CH15" s="791">
        <v>3</v>
      </c>
      <c r="CI15" s="790"/>
      <c r="CJ15" s="790"/>
      <c r="CK15" s="791">
        <v>3</v>
      </c>
      <c r="CL15" s="792"/>
      <c r="CN15" s="121"/>
      <c r="CO15" s="121"/>
      <c r="CP15" s="74"/>
      <c r="CQ15" s="761" t="s">
        <v>15</v>
      </c>
      <c r="CR15" s="729"/>
      <c r="CS15" s="729">
        <v>2</v>
      </c>
      <c r="CT15" s="729">
        <v>9</v>
      </c>
      <c r="CU15" s="729"/>
      <c r="CV15" s="729"/>
      <c r="CW15" s="729">
        <v>11</v>
      </c>
      <c r="CX15" s="813">
        <f>+CW14/CW15</f>
        <v>0.63636363636363635</v>
      </c>
      <c r="CY15" s="74"/>
      <c r="CZ15" s="793"/>
      <c r="DA15" s="794"/>
      <c r="DB15" s="793"/>
      <c r="DC15" s="793" t="s">
        <v>1292</v>
      </c>
      <c r="DD15" s="793">
        <v>0</v>
      </c>
      <c r="DE15" s="793">
        <v>0</v>
      </c>
      <c r="DF15" s="793">
        <v>0</v>
      </c>
      <c r="DG15" s="793">
        <v>0</v>
      </c>
      <c r="DH15" s="793">
        <v>1</v>
      </c>
      <c r="DI15" s="793">
        <v>1</v>
      </c>
      <c r="DJ15" s="793">
        <v>2</v>
      </c>
      <c r="DK15" s="793"/>
      <c r="DL15" s="795"/>
      <c r="DM15" s="74"/>
    </row>
    <row r="16" spans="1:117">
      <c r="A16" s="73"/>
      <c r="B16" s="73"/>
      <c r="C16" s="738"/>
      <c r="D16" s="738" t="s">
        <v>1293</v>
      </c>
      <c r="E16" s="3262"/>
      <c r="F16" s="3262"/>
      <c r="G16" s="3262">
        <v>0</v>
      </c>
      <c r="H16" s="3262">
        <v>15</v>
      </c>
      <c r="I16" s="3262"/>
      <c r="J16" s="4674"/>
      <c r="K16" s="4674"/>
      <c r="L16" s="4674"/>
      <c r="M16" s="4674">
        <v>15</v>
      </c>
      <c r="N16" s="73"/>
      <c r="P16" s="74"/>
      <c r="Q16" s="74"/>
      <c r="R16" s="74"/>
      <c r="S16" s="74" t="s">
        <v>1288</v>
      </c>
      <c r="T16" s="3229">
        <v>0</v>
      </c>
      <c r="U16" s="3229"/>
      <c r="V16" s="3229">
        <v>0</v>
      </c>
      <c r="W16" s="3229">
        <v>2</v>
      </c>
      <c r="X16" s="121"/>
      <c r="Y16" s="121"/>
      <c r="Z16" s="121">
        <v>2</v>
      </c>
      <c r="AC16" s="161"/>
      <c r="AF16" s="73" t="s">
        <v>1288</v>
      </c>
      <c r="AG16" s="2600">
        <v>0</v>
      </c>
      <c r="AH16" s="2600">
        <v>0</v>
      </c>
      <c r="AI16" s="2600">
        <v>2</v>
      </c>
      <c r="AJ16" s="2600"/>
      <c r="AK16" s="161"/>
      <c r="AL16" s="161"/>
      <c r="AM16" s="161">
        <v>2</v>
      </c>
      <c r="AP16" s="2173"/>
      <c r="AQ16" s="2173"/>
      <c r="AR16" s="2173"/>
      <c r="AS16" s="2174" t="s">
        <v>1293</v>
      </c>
      <c r="AT16" s="2175"/>
      <c r="AU16" s="2175"/>
      <c r="AV16" s="2175"/>
      <c r="AW16" s="2176">
        <v>6</v>
      </c>
      <c r="AX16" s="2175"/>
      <c r="AY16" s="2177"/>
      <c r="AZ16" s="2178">
        <v>6</v>
      </c>
      <c r="BA16" s="2169"/>
      <c r="BC16" s="774"/>
      <c r="BD16" s="774"/>
      <c r="BE16" s="775"/>
      <c r="BF16" s="776" t="s">
        <v>1288</v>
      </c>
      <c r="BG16" s="777">
        <v>0</v>
      </c>
      <c r="BH16" s="777">
        <v>0</v>
      </c>
      <c r="BI16" s="777">
        <v>1</v>
      </c>
      <c r="BJ16" s="778"/>
      <c r="BK16" s="774"/>
      <c r="BL16" s="779">
        <v>1</v>
      </c>
      <c r="BM16" s="73"/>
      <c r="BO16" s="780"/>
      <c r="BP16" s="780"/>
      <c r="BQ16" s="781"/>
      <c r="BR16" s="782" t="s">
        <v>1288</v>
      </c>
      <c r="BS16" s="783">
        <v>0</v>
      </c>
      <c r="BT16" s="784"/>
      <c r="BU16" s="783">
        <v>3</v>
      </c>
      <c r="BV16" s="783">
        <v>0</v>
      </c>
      <c r="BW16" s="785"/>
      <c r="BX16" s="785"/>
      <c r="BY16" s="786">
        <v>3</v>
      </c>
      <c r="BZ16" s="787"/>
      <c r="CB16" s="788"/>
      <c r="CC16" s="788"/>
      <c r="CD16" s="788"/>
      <c r="CE16" s="809" t="s">
        <v>15</v>
      </c>
      <c r="CF16" s="811">
        <v>1</v>
      </c>
      <c r="CG16" s="810"/>
      <c r="CH16" s="811">
        <v>9</v>
      </c>
      <c r="CI16" s="810"/>
      <c r="CJ16" s="810"/>
      <c r="CK16" s="811">
        <v>10</v>
      </c>
      <c r="CL16" s="812">
        <f>+(CK15+CK14)/CK16</f>
        <v>0.8</v>
      </c>
      <c r="CN16" s="121"/>
      <c r="CO16" s="121" t="s">
        <v>105</v>
      </c>
      <c r="CP16" s="74" t="s">
        <v>106</v>
      </c>
      <c r="CQ16" s="74" t="s">
        <v>1283</v>
      </c>
      <c r="CR16" s="121">
        <v>0</v>
      </c>
      <c r="CS16" s="121">
        <v>0</v>
      </c>
      <c r="CT16" s="121">
        <v>0</v>
      </c>
      <c r="CU16" s="121">
        <v>0</v>
      </c>
      <c r="CV16" s="121">
        <v>29</v>
      </c>
      <c r="CW16" s="121">
        <v>29</v>
      </c>
      <c r="CX16" s="74"/>
      <c r="CY16" s="74"/>
      <c r="CZ16" s="793"/>
      <c r="DA16" s="794"/>
      <c r="DB16" s="793"/>
      <c r="DC16" s="793" t="s">
        <v>1293</v>
      </c>
      <c r="DD16" s="793">
        <v>0</v>
      </c>
      <c r="DE16" s="793">
        <v>0</v>
      </c>
      <c r="DF16" s="793">
        <v>0</v>
      </c>
      <c r="DG16" s="793">
        <v>1</v>
      </c>
      <c r="DH16" s="793">
        <v>20</v>
      </c>
      <c r="DI16" s="793">
        <v>0</v>
      </c>
      <c r="DJ16" s="793">
        <v>21</v>
      </c>
      <c r="DK16" s="793"/>
      <c r="DL16" s="795"/>
      <c r="DM16" s="74"/>
    </row>
    <row r="17" spans="1:117">
      <c r="A17" s="73"/>
      <c r="B17" s="73"/>
      <c r="C17" s="738"/>
      <c r="D17" s="738" t="s">
        <v>1377</v>
      </c>
      <c r="E17" s="3262"/>
      <c r="F17" s="3262"/>
      <c r="G17" s="3262">
        <v>0</v>
      </c>
      <c r="H17" s="3262">
        <v>2</v>
      </c>
      <c r="I17" s="3262"/>
      <c r="J17" s="4674"/>
      <c r="K17" s="4674"/>
      <c r="L17" s="4674"/>
      <c r="M17" s="4674">
        <v>2</v>
      </c>
      <c r="N17" s="73"/>
      <c r="P17" s="74"/>
      <c r="Q17" s="74"/>
      <c r="R17" s="74"/>
      <c r="S17" s="74" t="s">
        <v>1293</v>
      </c>
      <c r="T17" s="3229">
        <v>0</v>
      </c>
      <c r="U17" s="3229"/>
      <c r="V17" s="3229">
        <v>1</v>
      </c>
      <c r="W17" s="3229">
        <v>5</v>
      </c>
      <c r="X17" s="121"/>
      <c r="Y17" s="121"/>
      <c r="Z17" s="121">
        <v>6</v>
      </c>
      <c r="AC17" s="161"/>
      <c r="AF17" s="73" t="s">
        <v>1293</v>
      </c>
      <c r="AG17" s="2600">
        <v>0</v>
      </c>
      <c r="AH17" s="2600">
        <v>0</v>
      </c>
      <c r="AI17" s="2600">
        <v>14</v>
      </c>
      <c r="AJ17" s="2600"/>
      <c r="AK17" s="161"/>
      <c r="AL17" s="161"/>
      <c r="AM17" s="161">
        <v>14</v>
      </c>
      <c r="AP17" s="2173"/>
      <c r="AQ17" s="2173"/>
      <c r="AR17" s="2173"/>
      <c r="AS17" s="2174" t="s">
        <v>1377</v>
      </c>
      <c r="AT17" s="2175"/>
      <c r="AU17" s="2175"/>
      <c r="AV17" s="2175"/>
      <c r="AW17" s="2176">
        <v>3</v>
      </c>
      <c r="AX17" s="2175"/>
      <c r="AY17" s="2177"/>
      <c r="AZ17" s="2178">
        <v>3</v>
      </c>
      <c r="BA17" s="2169"/>
      <c r="BC17" s="774"/>
      <c r="BD17" s="774"/>
      <c r="BE17" s="775"/>
      <c r="BF17" s="776" t="s">
        <v>1293</v>
      </c>
      <c r="BG17" s="777">
        <v>0</v>
      </c>
      <c r="BH17" s="777">
        <v>0</v>
      </c>
      <c r="BI17" s="777">
        <v>16</v>
      </c>
      <c r="BJ17" s="778"/>
      <c r="BK17" s="774"/>
      <c r="BL17" s="779">
        <v>16</v>
      </c>
      <c r="BM17" s="73"/>
      <c r="BO17" s="780"/>
      <c r="BP17" s="780"/>
      <c r="BQ17" s="781"/>
      <c r="BR17" s="782" t="s">
        <v>1293</v>
      </c>
      <c r="BS17" s="783">
        <v>0</v>
      </c>
      <c r="BT17" s="784"/>
      <c r="BU17" s="783">
        <v>3</v>
      </c>
      <c r="BV17" s="783">
        <v>0</v>
      </c>
      <c r="BW17" s="785"/>
      <c r="BX17" s="785"/>
      <c r="BY17" s="786">
        <v>3</v>
      </c>
      <c r="BZ17" s="787"/>
      <c r="CB17" s="788"/>
      <c r="CC17" s="788"/>
      <c r="CN17" s="121"/>
      <c r="CO17" s="121"/>
      <c r="CP17" s="74"/>
      <c r="CQ17" s="74" t="s">
        <v>1284</v>
      </c>
      <c r="CR17" s="121">
        <v>2</v>
      </c>
      <c r="CS17" s="121">
        <v>3</v>
      </c>
      <c r="CT17" s="121">
        <v>5</v>
      </c>
      <c r="CU17" s="121">
        <v>0</v>
      </c>
      <c r="CV17" s="121">
        <v>0</v>
      </c>
      <c r="CW17" s="121">
        <v>10</v>
      </c>
      <c r="CX17" s="74"/>
      <c r="CY17" s="74"/>
      <c r="CZ17" s="793"/>
      <c r="DA17" s="794"/>
      <c r="DB17" s="793"/>
      <c r="DC17" s="796" t="s">
        <v>15</v>
      </c>
      <c r="DD17" s="796">
        <v>0</v>
      </c>
      <c r="DE17" s="796">
        <v>2</v>
      </c>
      <c r="DF17" s="796">
        <v>5</v>
      </c>
      <c r="DG17" s="796">
        <v>9</v>
      </c>
      <c r="DH17" s="796">
        <v>24</v>
      </c>
      <c r="DI17" s="796">
        <v>10</v>
      </c>
      <c r="DJ17" s="796">
        <v>50</v>
      </c>
      <c r="DK17" s="797">
        <f>+(DJ16+DJ13)/DJ17</f>
        <v>0.44</v>
      </c>
      <c r="DL17" s="795">
        <f>+DJ13+DJ16</f>
        <v>22</v>
      </c>
      <c r="DM17" s="74"/>
    </row>
    <row r="18" spans="1:117">
      <c r="A18" s="73"/>
      <c r="B18" s="73"/>
      <c r="C18" s="738"/>
      <c r="D18" s="738" t="s">
        <v>573</v>
      </c>
      <c r="E18" s="3262"/>
      <c r="F18" s="3262"/>
      <c r="G18" s="3262">
        <v>2</v>
      </c>
      <c r="H18" s="3262">
        <v>18</v>
      </c>
      <c r="I18" s="3262"/>
      <c r="J18" s="4674"/>
      <c r="K18" s="4674"/>
      <c r="L18" s="4674"/>
      <c r="M18" s="4674">
        <v>20</v>
      </c>
      <c r="N18" s="912">
        <f>+(M17+M16+M15)/M18</f>
        <v>0.9</v>
      </c>
      <c r="P18" s="74"/>
      <c r="Q18" s="74"/>
      <c r="R18" s="74"/>
      <c r="S18" s="74" t="s">
        <v>2707</v>
      </c>
      <c r="T18" s="3229">
        <v>0</v>
      </c>
      <c r="U18" s="3229"/>
      <c r="V18" s="3229">
        <v>0</v>
      </c>
      <c r="W18" s="3229">
        <v>1</v>
      </c>
      <c r="X18" s="121"/>
      <c r="Y18" s="121"/>
      <c r="Z18" s="121">
        <v>1</v>
      </c>
      <c r="AC18" s="161"/>
      <c r="AF18" s="73" t="s">
        <v>1377</v>
      </c>
      <c r="AG18" s="2600">
        <v>0</v>
      </c>
      <c r="AH18" s="2600">
        <v>0</v>
      </c>
      <c r="AI18" s="2600">
        <v>7</v>
      </c>
      <c r="AJ18" s="2600"/>
      <c r="AK18" s="161"/>
      <c r="AL18" s="161"/>
      <c r="AM18" s="161">
        <v>7</v>
      </c>
      <c r="AP18" s="2173"/>
      <c r="AQ18" s="2173"/>
      <c r="AR18" s="2173"/>
      <c r="AS18" s="2168" t="s">
        <v>573</v>
      </c>
      <c r="AT18" s="2179"/>
      <c r="AU18" s="2179"/>
      <c r="AV18" s="2179"/>
      <c r="AW18" s="2180">
        <v>18</v>
      </c>
      <c r="AX18" s="2179"/>
      <c r="AY18" s="2181"/>
      <c r="AZ18" s="2182">
        <v>18</v>
      </c>
      <c r="BA18" s="2154">
        <f>+(AZ15+AZ16+AZ17)/AZ18</f>
        <v>0.72222222222222221</v>
      </c>
      <c r="BC18" s="774"/>
      <c r="BD18" s="774"/>
      <c r="BE18" s="775"/>
      <c r="BF18" s="776" t="s">
        <v>1377</v>
      </c>
      <c r="BG18" s="777">
        <v>0</v>
      </c>
      <c r="BH18" s="777">
        <v>0</v>
      </c>
      <c r="BI18" s="777">
        <v>4</v>
      </c>
      <c r="BJ18" s="778"/>
      <c r="BK18" s="774"/>
      <c r="BL18" s="779">
        <v>4</v>
      </c>
      <c r="BM18" s="73"/>
      <c r="BO18" s="780"/>
      <c r="BP18" s="780"/>
      <c r="BQ18" s="781"/>
      <c r="BR18" s="782" t="s">
        <v>1377</v>
      </c>
      <c r="BS18" s="783">
        <v>0</v>
      </c>
      <c r="BT18" s="784"/>
      <c r="BU18" s="783">
        <v>5</v>
      </c>
      <c r="BV18" s="783">
        <v>0</v>
      </c>
      <c r="BW18" s="785"/>
      <c r="BX18" s="785"/>
      <c r="BY18" s="786">
        <v>5</v>
      </c>
      <c r="BZ18" s="787"/>
      <c r="CB18" s="788"/>
      <c r="CC18" s="788"/>
      <c r="CN18" s="121"/>
      <c r="CO18" s="121"/>
      <c r="CP18" s="74"/>
      <c r="CQ18" s="74" t="s">
        <v>1286</v>
      </c>
      <c r="CR18" s="121">
        <v>0</v>
      </c>
      <c r="CS18" s="121">
        <v>1</v>
      </c>
      <c r="CT18" s="121">
        <v>0</v>
      </c>
      <c r="CU18" s="121">
        <v>0</v>
      </c>
      <c r="CV18" s="121">
        <v>0</v>
      </c>
      <c r="CW18" s="121">
        <v>1</v>
      </c>
      <c r="CX18" s="74"/>
      <c r="CY18" s="74"/>
      <c r="CZ18" s="793" t="s">
        <v>25</v>
      </c>
      <c r="DA18" s="794" t="s">
        <v>16</v>
      </c>
      <c r="DB18" s="793" t="s">
        <v>108</v>
      </c>
      <c r="DC18" s="793" t="s">
        <v>1284</v>
      </c>
      <c r="DD18" s="793">
        <v>0</v>
      </c>
      <c r="DE18" s="793">
        <v>3</v>
      </c>
      <c r="DF18" s="793">
        <v>28</v>
      </c>
      <c r="DG18" s="793">
        <v>66</v>
      </c>
      <c r="DH18" s="793">
        <v>0</v>
      </c>
      <c r="DI18" s="793">
        <v>0</v>
      </c>
      <c r="DJ18" s="793">
        <v>97</v>
      </c>
      <c r="DK18" s="793"/>
      <c r="DL18" s="795"/>
      <c r="DM18" s="74"/>
    </row>
    <row r="19" spans="1:117">
      <c r="A19" s="73"/>
      <c r="B19" s="73" t="s">
        <v>21</v>
      </c>
      <c r="C19" s="73" t="s">
        <v>891</v>
      </c>
      <c r="D19" s="73" t="s">
        <v>1284</v>
      </c>
      <c r="E19" s="3261"/>
      <c r="F19" s="3261"/>
      <c r="G19" s="3261"/>
      <c r="H19" s="3261">
        <v>3</v>
      </c>
      <c r="I19" s="3261"/>
      <c r="J19" s="161"/>
      <c r="K19" s="161"/>
      <c r="L19" s="161"/>
      <c r="M19" s="161">
        <v>3</v>
      </c>
      <c r="N19" s="73"/>
      <c r="P19" s="74"/>
      <c r="Q19" s="74"/>
      <c r="R19" s="74"/>
      <c r="S19" s="761" t="s">
        <v>15</v>
      </c>
      <c r="T19" s="3230">
        <v>1</v>
      </c>
      <c r="U19" s="3230"/>
      <c r="V19" s="3230">
        <v>1</v>
      </c>
      <c r="W19" s="3230">
        <v>8</v>
      </c>
      <c r="X19" s="729"/>
      <c r="Y19" s="729"/>
      <c r="Z19" s="729">
        <v>10</v>
      </c>
      <c r="AA19" s="3197">
        <f>+(Z16+Z17)/Z19</f>
        <v>0.8</v>
      </c>
      <c r="AC19" s="161"/>
      <c r="AF19" s="738" t="s">
        <v>573</v>
      </c>
      <c r="AG19" s="2601">
        <v>4</v>
      </c>
      <c r="AH19" s="2601">
        <v>1</v>
      </c>
      <c r="AI19" s="2601">
        <v>25</v>
      </c>
      <c r="AJ19" s="2601"/>
      <c r="AK19" s="151"/>
      <c r="AL19" s="151"/>
      <c r="AM19" s="151">
        <v>30</v>
      </c>
      <c r="AN19" s="912">
        <f>+(AM16+AM17+AM18)/AM19</f>
        <v>0.76666666666666672</v>
      </c>
      <c r="AP19" s="2173"/>
      <c r="AQ19" s="2173" t="s">
        <v>105</v>
      </c>
      <c r="AR19" s="2173" t="s">
        <v>106</v>
      </c>
      <c r="AS19" s="2174" t="s">
        <v>1284</v>
      </c>
      <c r="AT19" s="2176">
        <v>0</v>
      </c>
      <c r="AU19" s="2175"/>
      <c r="AV19" s="2175"/>
      <c r="AW19" s="2176">
        <v>10</v>
      </c>
      <c r="AX19" s="2175"/>
      <c r="AY19" s="2177"/>
      <c r="AZ19" s="2178">
        <v>10</v>
      </c>
      <c r="BA19" s="2169"/>
      <c r="BC19" s="774"/>
      <c r="BD19" s="774"/>
      <c r="BE19" s="775"/>
      <c r="BF19" s="798" t="s">
        <v>573</v>
      </c>
      <c r="BG19" s="799">
        <v>2</v>
      </c>
      <c r="BH19" s="799">
        <v>2</v>
      </c>
      <c r="BI19" s="799">
        <v>25</v>
      </c>
      <c r="BJ19" s="800"/>
      <c r="BK19" s="801"/>
      <c r="BL19" s="802">
        <v>29</v>
      </c>
      <c r="BM19" s="803">
        <f>+(BL16+BL17+BL18)/BL19</f>
        <v>0.72413793103448276</v>
      </c>
      <c r="BO19" s="780"/>
      <c r="BP19" s="780"/>
      <c r="BQ19" s="781"/>
      <c r="BR19" s="804" t="s">
        <v>573</v>
      </c>
      <c r="BS19" s="805">
        <v>1</v>
      </c>
      <c r="BT19" s="806"/>
      <c r="BU19" s="805">
        <v>15</v>
      </c>
      <c r="BV19" s="805">
        <v>1</v>
      </c>
      <c r="BW19" s="807"/>
      <c r="BX19" s="807"/>
      <c r="BY19" s="808">
        <v>17</v>
      </c>
      <c r="BZ19" s="787">
        <f>+(BY18+BY17+BY16)/BY19</f>
        <v>0.6470588235294118</v>
      </c>
      <c r="CB19" s="788"/>
      <c r="CC19" s="788"/>
      <c r="CN19" s="121"/>
      <c r="CO19" s="121"/>
      <c r="CP19" s="74"/>
      <c r="CQ19" s="74" t="s">
        <v>1288</v>
      </c>
      <c r="CR19" s="121">
        <v>0</v>
      </c>
      <c r="CS19" s="121">
        <v>0</v>
      </c>
      <c r="CT19" s="121">
        <v>1</v>
      </c>
      <c r="CU19" s="121">
        <v>7</v>
      </c>
      <c r="CV19" s="121">
        <v>0</v>
      </c>
      <c r="CW19" s="121">
        <v>8</v>
      </c>
      <c r="CX19" s="74"/>
      <c r="CY19" s="74"/>
      <c r="CZ19" s="793"/>
      <c r="DA19" s="794"/>
      <c r="DB19" s="793"/>
      <c r="DC19" s="793" t="s">
        <v>1288</v>
      </c>
      <c r="DD19" s="793">
        <v>0</v>
      </c>
      <c r="DE19" s="793">
        <v>0</v>
      </c>
      <c r="DF19" s="793">
        <v>0</v>
      </c>
      <c r="DG19" s="793">
        <v>2</v>
      </c>
      <c r="DH19" s="793">
        <v>1</v>
      </c>
      <c r="DI19" s="793">
        <v>0</v>
      </c>
      <c r="DJ19" s="793">
        <v>3</v>
      </c>
      <c r="DK19" s="793"/>
      <c r="DL19" s="795"/>
      <c r="DM19" s="74"/>
    </row>
    <row r="20" spans="1:117">
      <c r="A20" s="73"/>
      <c r="B20" s="73"/>
      <c r="C20" s="73"/>
      <c r="D20" s="73" t="s">
        <v>1288</v>
      </c>
      <c r="E20" s="3261"/>
      <c r="F20" s="3261"/>
      <c r="G20" s="3261"/>
      <c r="H20" s="3261">
        <v>2</v>
      </c>
      <c r="I20" s="3261"/>
      <c r="J20" s="161"/>
      <c r="K20" s="161"/>
      <c r="L20" s="161"/>
      <c r="M20" s="161">
        <v>2</v>
      </c>
      <c r="N20" s="73"/>
      <c r="P20" s="74"/>
      <c r="Q20" s="74"/>
      <c r="R20" s="74" t="s">
        <v>574</v>
      </c>
      <c r="S20" s="74" t="s">
        <v>1286</v>
      </c>
      <c r="T20" s="3229">
        <v>1</v>
      </c>
      <c r="U20" s="3229"/>
      <c r="V20" s="3229">
        <v>0</v>
      </c>
      <c r="W20" s="3229">
        <v>0</v>
      </c>
      <c r="X20" s="121"/>
      <c r="Y20" s="121"/>
      <c r="Z20" s="121">
        <v>1</v>
      </c>
      <c r="AC20" s="161"/>
      <c r="AE20" s="73" t="s">
        <v>107</v>
      </c>
      <c r="AF20" s="73" t="s">
        <v>1284</v>
      </c>
      <c r="AG20" s="2600">
        <v>4</v>
      </c>
      <c r="AH20" s="2600">
        <v>1</v>
      </c>
      <c r="AI20" s="2600">
        <v>2</v>
      </c>
      <c r="AJ20" s="2600"/>
      <c r="AK20" s="161"/>
      <c r="AL20" s="161"/>
      <c r="AM20" s="161">
        <v>7</v>
      </c>
      <c r="AP20" s="2173"/>
      <c r="AQ20" s="2173"/>
      <c r="AR20" s="2173"/>
      <c r="AS20" s="2174" t="s">
        <v>1936</v>
      </c>
      <c r="AT20" s="2176">
        <v>4</v>
      </c>
      <c r="AU20" s="2175"/>
      <c r="AV20" s="2175"/>
      <c r="AW20" s="2176">
        <v>0</v>
      </c>
      <c r="AX20" s="2175"/>
      <c r="AY20" s="2177"/>
      <c r="AZ20" s="2178">
        <v>4</v>
      </c>
      <c r="BA20" s="2169"/>
      <c r="BC20" s="774"/>
      <c r="BD20" s="774"/>
      <c r="BE20" s="775" t="s">
        <v>107</v>
      </c>
      <c r="BF20" s="776" t="s">
        <v>1284</v>
      </c>
      <c r="BG20" s="777">
        <v>2</v>
      </c>
      <c r="BH20" s="777">
        <v>2</v>
      </c>
      <c r="BI20" s="777">
        <v>4</v>
      </c>
      <c r="BJ20" s="778"/>
      <c r="BK20" s="774"/>
      <c r="BL20" s="779">
        <v>8</v>
      </c>
      <c r="BM20" s="73"/>
      <c r="BO20" s="780"/>
      <c r="BP20" s="780" t="s">
        <v>105</v>
      </c>
      <c r="BQ20" s="781" t="s">
        <v>106</v>
      </c>
      <c r="BR20" s="782" t="s">
        <v>1283</v>
      </c>
      <c r="BS20" s="783">
        <v>0</v>
      </c>
      <c r="BT20" s="783">
        <v>0</v>
      </c>
      <c r="BU20" s="783">
        <v>0</v>
      </c>
      <c r="BV20" s="783">
        <v>0</v>
      </c>
      <c r="BW20" s="786">
        <v>29</v>
      </c>
      <c r="BX20" s="785"/>
      <c r="BY20" s="786">
        <v>29</v>
      </c>
      <c r="BZ20" s="787"/>
      <c r="CB20" s="788"/>
      <c r="CC20" s="788"/>
      <c r="CN20" s="121"/>
      <c r="CO20" s="121"/>
      <c r="CP20" s="74"/>
      <c r="CQ20" s="74" t="s">
        <v>1292</v>
      </c>
      <c r="CR20" s="121">
        <v>0</v>
      </c>
      <c r="CS20" s="121">
        <v>0</v>
      </c>
      <c r="CT20" s="121">
        <v>0</v>
      </c>
      <c r="CU20" s="121">
        <v>0</v>
      </c>
      <c r="CV20" s="121">
        <v>1</v>
      </c>
      <c r="CW20" s="121">
        <v>1</v>
      </c>
      <c r="CX20" s="74"/>
      <c r="CY20" s="74"/>
      <c r="CZ20" s="793"/>
      <c r="DA20" s="794"/>
      <c r="DB20" s="793"/>
      <c r="DC20" s="793" t="s">
        <v>1289</v>
      </c>
      <c r="DD20" s="793">
        <v>0</v>
      </c>
      <c r="DE20" s="793">
        <v>0</v>
      </c>
      <c r="DF20" s="793">
        <v>3</v>
      </c>
      <c r="DG20" s="793">
        <v>1</v>
      </c>
      <c r="DH20" s="793">
        <v>0</v>
      </c>
      <c r="DI20" s="793">
        <v>0</v>
      </c>
      <c r="DJ20" s="793">
        <v>4</v>
      </c>
      <c r="DK20" s="793"/>
      <c r="DL20" s="795"/>
      <c r="DM20" s="74"/>
    </row>
    <row r="21" spans="1:117">
      <c r="A21" s="73"/>
      <c r="B21" s="73"/>
      <c r="C21" s="73"/>
      <c r="D21" s="738" t="s">
        <v>15</v>
      </c>
      <c r="E21" s="3262"/>
      <c r="F21" s="3262"/>
      <c r="G21" s="3262"/>
      <c r="H21" s="3262">
        <v>5</v>
      </c>
      <c r="I21" s="3262"/>
      <c r="J21" s="4674"/>
      <c r="K21" s="4674"/>
      <c r="L21" s="4674"/>
      <c r="M21" s="4674">
        <v>5</v>
      </c>
      <c r="N21" s="912">
        <f>+M20/M21</f>
        <v>0.4</v>
      </c>
      <c r="P21" s="74"/>
      <c r="Q21" s="74"/>
      <c r="R21" s="74"/>
      <c r="S21" s="74" t="s">
        <v>1288</v>
      </c>
      <c r="T21" s="3229">
        <v>0</v>
      </c>
      <c r="U21" s="3229"/>
      <c r="V21" s="3229">
        <v>0</v>
      </c>
      <c r="W21" s="3229">
        <v>2</v>
      </c>
      <c r="X21" s="121"/>
      <c r="Y21" s="121"/>
      <c r="Z21" s="121">
        <v>2</v>
      </c>
      <c r="AC21" s="161"/>
      <c r="AF21" s="73" t="s">
        <v>1288</v>
      </c>
      <c r="AG21" s="2600">
        <v>0</v>
      </c>
      <c r="AH21" s="2600">
        <v>0</v>
      </c>
      <c r="AI21" s="2600">
        <v>2</v>
      </c>
      <c r="AJ21" s="2600"/>
      <c r="AK21" s="161"/>
      <c r="AL21" s="161"/>
      <c r="AM21" s="161">
        <v>2</v>
      </c>
      <c r="AP21" s="2173"/>
      <c r="AQ21" s="2173"/>
      <c r="AR21" s="2173"/>
      <c r="AS21" s="2168" t="s">
        <v>15</v>
      </c>
      <c r="AT21" s="2180">
        <v>4</v>
      </c>
      <c r="AU21" s="2179"/>
      <c r="AV21" s="2179"/>
      <c r="AW21" s="2180">
        <v>10</v>
      </c>
      <c r="AX21" s="2179"/>
      <c r="AY21" s="2181"/>
      <c r="AZ21" s="2182">
        <v>14</v>
      </c>
      <c r="BA21" s="2154">
        <v>0</v>
      </c>
      <c r="BC21" s="774"/>
      <c r="BD21" s="774"/>
      <c r="BE21" s="775"/>
      <c r="BF21" s="776" t="s">
        <v>1288</v>
      </c>
      <c r="BG21" s="777">
        <v>0</v>
      </c>
      <c r="BH21" s="777">
        <v>0</v>
      </c>
      <c r="BI21" s="777">
        <v>1</v>
      </c>
      <c r="BJ21" s="778"/>
      <c r="BK21" s="774"/>
      <c r="BL21" s="779">
        <v>1</v>
      </c>
      <c r="BM21" s="73"/>
      <c r="BO21" s="780"/>
      <c r="BP21" s="780"/>
      <c r="BQ21" s="781"/>
      <c r="BR21" s="782" t="s">
        <v>1284</v>
      </c>
      <c r="BS21" s="783">
        <v>6</v>
      </c>
      <c r="BT21" s="783">
        <v>2</v>
      </c>
      <c r="BU21" s="783">
        <v>6</v>
      </c>
      <c r="BV21" s="783">
        <v>1</v>
      </c>
      <c r="BW21" s="786">
        <v>0</v>
      </c>
      <c r="BX21" s="785"/>
      <c r="BY21" s="786">
        <v>15</v>
      </c>
      <c r="BZ21" s="787"/>
      <c r="CB21" s="788"/>
      <c r="CC21" s="788"/>
      <c r="CN21" s="121"/>
      <c r="CO21" s="121"/>
      <c r="CP21" s="74"/>
      <c r="CQ21" s="74" t="s">
        <v>1293</v>
      </c>
      <c r="CR21" s="121">
        <v>0</v>
      </c>
      <c r="CS21" s="121">
        <v>0</v>
      </c>
      <c r="CT21" s="121">
        <v>1</v>
      </c>
      <c r="CU21" s="121">
        <v>20</v>
      </c>
      <c r="CV21" s="121">
        <v>0</v>
      </c>
      <c r="CW21" s="121">
        <v>21</v>
      </c>
      <c r="CX21" s="74"/>
      <c r="CY21" s="74"/>
      <c r="CZ21" s="793"/>
      <c r="DA21" s="794"/>
      <c r="DB21" s="793"/>
      <c r="DC21" s="793" t="s">
        <v>1293</v>
      </c>
      <c r="DD21" s="793">
        <v>0</v>
      </c>
      <c r="DE21" s="793">
        <v>0</v>
      </c>
      <c r="DF21" s="793">
        <v>0</v>
      </c>
      <c r="DG21" s="793">
        <v>5</v>
      </c>
      <c r="DH21" s="793">
        <v>7</v>
      </c>
      <c r="DI21" s="793">
        <v>0</v>
      </c>
      <c r="DJ21" s="793">
        <v>12</v>
      </c>
      <c r="DK21" s="793"/>
      <c r="DL21" s="795"/>
      <c r="DM21" s="74"/>
    </row>
    <row r="22" spans="1:117">
      <c r="A22" s="73"/>
      <c r="B22" s="73"/>
      <c r="C22" s="73" t="s">
        <v>1691</v>
      </c>
      <c r="D22" s="73" t="s">
        <v>1284</v>
      </c>
      <c r="E22" s="3261">
        <v>0</v>
      </c>
      <c r="F22" s="3261"/>
      <c r="G22" s="3261"/>
      <c r="H22" s="3261">
        <v>5</v>
      </c>
      <c r="I22" s="3261">
        <v>2</v>
      </c>
      <c r="J22" s="161"/>
      <c r="K22" s="161"/>
      <c r="L22" s="161"/>
      <c r="M22" s="161">
        <v>7</v>
      </c>
      <c r="N22" s="73"/>
      <c r="P22" s="74"/>
      <c r="Q22" s="74"/>
      <c r="R22" s="74"/>
      <c r="S22" s="74" t="s">
        <v>1293</v>
      </c>
      <c r="T22" s="3229">
        <v>0</v>
      </c>
      <c r="U22" s="3229"/>
      <c r="V22" s="3229">
        <v>1</v>
      </c>
      <c r="W22" s="3229">
        <v>5</v>
      </c>
      <c r="X22" s="121"/>
      <c r="Y22" s="121"/>
      <c r="Z22" s="121">
        <v>6</v>
      </c>
      <c r="AC22" s="161"/>
      <c r="AF22" s="73" t="s">
        <v>1293</v>
      </c>
      <c r="AG22" s="2600">
        <v>0</v>
      </c>
      <c r="AH22" s="2600">
        <v>0</v>
      </c>
      <c r="AI22" s="2600">
        <v>14</v>
      </c>
      <c r="AJ22" s="2600"/>
      <c r="AK22" s="161"/>
      <c r="AL22" s="161"/>
      <c r="AM22" s="161">
        <v>14</v>
      </c>
      <c r="AP22" s="2173"/>
      <c r="AQ22" s="2173"/>
      <c r="AR22" s="2173" t="s">
        <v>1691</v>
      </c>
      <c r="AS22" s="2174" t="s">
        <v>1284</v>
      </c>
      <c r="AT22" s="2175"/>
      <c r="AU22" s="2176">
        <v>1</v>
      </c>
      <c r="AV22" s="2175"/>
      <c r="AW22" s="2175"/>
      <c r="AX22" s="2175"/>
      <c r="AY22" s="2177"/>
      <c r="AZ22" s="2178">
        <v>1</v>
      </c>
      <c r="BA22" s="2169"/>
      <c r="BC22" s="774"/>
      <c r="BD22" s="774"/>
      <c r="BE22" s="775"/>
      <c r="BF22" s="776" t="s">
        <v>1293</v>
      </c>
      <c r="BG22" s="777">
        <v>0</v>
      </c>
      <c r="BH22" s="777">
        <v>0</v>
      </c>
      <c r="BI22" s="777">
        <v>16</v>
      </c>
      <c r="BJ22" s="778"/>
      <c r="BK22" s="774"/>
      <c r="BL22" s="779">
        <v>16</v>
      </c>
      <c r="BM22" s="73"/>
      <c r="BO22" s="780"/>
      <c r="BP22" s="780"/>
      <c r="BQ22" s="781"/>
      <c r="BR22" s="782" t="s">
        <v>1286</v>
      </c>
      <c r="BS22" s="783">
        <v>1</v>
      </c>
      <c r="BT22" s="783">
        <v>0</v>
      </c>
      <c r="BU22" s="783">
        <v>1</v>
      </c>
      <c r="BV22" s="783">
        <v>0</v>
      </c>
      <c r="BW22" s="786">
        <v>0</v>
      </c>
      <c r="BX22" s="785"/>
      <c r="BY22" s="786">
        <v>2</v>
      </c>
      <c r="BZ22" s="787"/>
      <c r="CN22" s="121"/>
      <c r="CO22" s="121"/>
      <c r="CP22" s="74"/>
      <c r="CQ22" s="74" t="s">
        <v>1377</v>
      </c>
      <c r="CR22" s="121">
        <v>0</v>
      </c>
      <c r="CS22" s="121">
        <v>0</v>
      </c>
      <c r="CT22" s="121">
        <v>1</v>
      </c>
      <c r="CU22" s="121">
        <v>1</v>
      </c>
      <c r="CV22" s="121">
        <v>0</v>
      </c>
      <c r="CW22" s="121">
        <v>2</v>
      </c>
      <c r="CX22" s="74"/>
      <c r="CY22" s="74"/>
      <c r="CZ22" s="793"/>
      <c r="DA22" s="794"/>
      <c r="DB22" s="793"/>
      <c r="DC22" s="796" t="s">
        <v>15</v>
      </c>
      <c r="DD22" s="796">
        <v>0</v>
      </c>
      <c r="DE22" s="796">
        <v>3</v>
      </c>
      <c r="DF22" s="796">
        <v>31</v>
      </c>
      <c r="DG22" s="796">
        <v>74</v>
      </c>
      <c r="DH22" s="796">
        <v>8</v>
      </c>
      <c r="DI22" s="796">
        <v>0</v>
      </c>
      <c r="DJ22" s="796">
        <v>116</v>
      </c>
      <c r="DK22" s="797">
        <f>+(DJ21+DJ19)/DJ22</f>
        <v>0.12931034482758622</v>
      </c>
      <c r="DL22" s="795">
        <f>+DJ19+DJ21</f>
        <v>15</v>
      </c>
      <c r="DM22" s="74"/>
    </row>
    <row r="23" spans="1:117">
      <c r="A23" s="73"/>
      <c r="B23" s="73"/>
      <c r="C23" s="73"/>
      <c r="D23" s="73" t="s">
        <v>1936</v>
      </c>
      <c r="E23" s="3261">
        <v>1</v>
      </c>
      <c r="F23" s="3261"/>
      <c r="G23" s="3261"/>
      <c r="H23" s="3261">
        <v>0</v>
      </c>
      <c r="I23" s="3261">
        <v>0</v>
      </c>
      <c r="J23" s="161"/>
      <c r="K23" s="161"/>
      <c r="L23" s="161"/>
      <c r="M23" s="161">
        <v>1</v>
      </c>
      <c r="N23" s="73"/>
      <c r="P23" s="74"/>
      <c r="Q23" s="74"/>
      <c r="R23" s="74"/>
      <c r="S23" s="74" t="s">
        <v>2707</v>
      </c>
      <c r="T23" s="3229">
        <v>0</v>
      </c>
      <c r="U23" s="3229"/>
      <c r="V23" s="3229">
        <v>0</v>
      </c>
      <c r="W23" s="3229">
        <v>1</v>
      </c>
      <c r="X23" s="121"/>
      <c r="Y23" s="121"/>
      <c r="Z23" s="121">
        <v>1</v>
      </c>
      <c r="AC23" s="161"/>
      <c r="AF23" s="73" t="s">
        <v>1377</v>
      </c>
      <c r="AG23" s="2600">
        <v>0</v>
      </c>
      <c r="AH23" s="2600">
        <v>0</v>
      </c>
      <c r="AI23" s="2600">
        <v>7</v>
      </c>
      <c r="AJ23" s="2600"/>
      <c r="AK23" s="161"/>
      <c r="AL23" s="161"/>
      <c r="AM23" s="161">
        <v>7</v>
      </c>
      <c r="AP23" s="2173"/>
      <c r="AQ23" s="2173"/>
      <c r="AR23" s="2173"/>
      <c r="AS23" s="2168" t="s">
        <v>15</v>
      </c>
      <c r="AT23" s="2179"/>
      <c r="AU23" s="2180">
        <v>1</v>
      </c>
      <c r="AV23" s="2179"/>
      <c r="AW23" s="2179"/>
      <c r="AX23" s="2179"/>
      <c r="AY23" s="2181"/>
      <c r="AZ23" s="2182">
        <v>1</v>
      </c>
      <c r="BA23" s="2154">
        <v>0</v>
      </c>
      <c r="BC23" s="774"/>
      <c r="BD23" s="774"/>
      <c r="BE23" s="775"/>
      <c r="BF23" s="776" t="s">
        <v>1377</v>
      </c>
      <c r="BG23" s="777">
        <v>0</v>
      </c>
      <c r="BH23" s="777">
        <v>0</v>
      </c>
      <c r="BI23" s="777">
        <v>4</v>
      </c>
      <c r="BJ23" s="778"/>
      <c r="BK23" s="774"/>
      <c r="BL23" s="779">
        <v>4</v>
      </c>
      <c r="BM23" s="73"/>
      <c r="BO23" s="780"/>
      <c r="BP23" s="780"/>
      <c r="BQ23" s="781"/>
      <c r="BR23" s="782" t="s">
        <v>1288</v>
      </c>
      <c r="BS23" s="783">
        <v>0</v>
      </c>
      <c r="BT23" s="783">
        <v>0</v>
      </c>
      <c r="BU23" s="783">
        <v>17</v>
      </c>
      <c r="BV23" s="783">
        <v>0</v>
      </c>
      <c r="BW23" s="786">
        <v>0</v>
      </c>
      <c r="BX23" s="785"/>
      <c r="BY23" s="786">
        <v>17</v>
      </c>
      <c r="BZ23" s="787"/>
      <c r="CN23" s="121"/>
      <c r="CO23" s="121"/>
      <c r="CP23" s="74"/>
      <c r="CQ23" s="761" t="s">
        <v>15</v>
      </c>
      <c r="CR23" s="729">
        <v>2</v>
      </c>
      <c r="CS23" s="729">
        <v>4</v>
      </c>
      <c r="CT23" s="729">
        <v>8</v>
      </c>
      <c r="CU23" s="729">
        <v>28</v>
      </c>
      <c r="CV23" s="729">
        <v>30</v>
      </c>
      <c r="CW23" s="729">
        <v>72</v>
      </c>
      <c r="CX23" s="813">
        <f>+(CW19+CW21+CW22)/CW23</f>
        <v>0.43055555555555558</v>
      </c>
      <c r="CY23" s="74"/>
      <c r="CZ23" s="793"/>
      <c r="DA23" s="794" t="s">
        <v>41</v>
      </c>
      <c r="DB23" s="793" t="s">
        <v>109</v>
      </c>
      <c r="DC23" s="793" t="s">
        <v>1284</v>
      </c>
      <c r="DD23" s="793">
        <v>0</v>
      </c>
      <c r="DE23" s="793">
        <v>0</v>
      </c>
      <c r="DF23" s="793">
        <v>0</v>
      </c>
      <c r="DG23" s="793">
        <v>1</v>
      </c>
      <c r="DH23" s="793">
        <v>0</v>
      </c>
      <c r="DI23" s="793">
        <v>0</v>
      </c>
      <c r="DJ23" s="793">
        <v>1</v>
      </c>
      <c r="DK23" s="793"/>
      <c r="DL23" s="795"/>
      <c r="DM23" s="74"/>
    </row>
    <row r="24" spans="1:117">
      <c r="A24" s="73"/>
      <c r="B24" s="73"/>
      <c r="C24" s="73"/>
      <c r="D24" s="738" t="s">
        <v>15</v>
      </c>
      <c r="E24" s="3262">
        <v>1</v>
      </c>
      <c r="F24" s="3262"/>
      <c r="G24" s="3262"/>
      <c r="H24" s="3262">
        <v>5</v>
      </c>
      <c r="I24" s="3262">
        <v>2</v>
      </c>
      <c r="J24" s="4674"/>
      <c r="K24" s="4674"/>
      <c r="L24" s="4674"/>
      <c r="M24" s="4674">
        <v>8</v>
      </c>
      <c r="N24" s="912">
        <v>0</v>
      </c>
      <c r="P24" s="74"/>
      <c r="Q24" s="74"/>
      <c r="R24" s="74"/>
      <c r="S24" s="761" t="s">
        <v>574</v>
      </c>
      <c r="T24" s="3230">
        <v>1</v>
      </c>
      <c r="U24" s="3230"/>
      <c r="V24" s="3230">
        <v>1</v>
      </c>
      <c r="W24" s="3230">
        <v>8</v>
      </c>
      <c r="X24" s="729"/>
      <c r="Y24" s="729"/>
      <c r="Z24" s="729">
        <v>10</v>
      </c>
      <c r="AA24" s="3197">
        <f>+(Z21+Z22)/Z24</f>
        <v>0.8</v>
      </c>
      <c r="AC24" s="161"/>
      <c r="AF24" s="738" t="s">
        <v>107</v>
      </c>
      <c r="AG24" s="2601">
        <v>4</v>
      </c>
      <c r="AH24" s="2601">
        <v>1</v>
      </c>
      <c r="AI24" s="2601">
        <v>25</v>
      </c>
      <c r="AJ24" s="2601"/>
      <c r="AK24" s="151"/>
      <c r="AL24" s="151"/>
      <c r="AM24" s="151">
        <v>30</v>
      </c>
      <c r="AN24" s="912">
        <f>+(AM21+AM22+AM23)/AM24</f>
        <v>0.76666666666666672</v>
      </c>
      <c r="AP24" s="2173"/>
      <c r="AQ24" s="2173"/>
      <c r="AR24" s="2173" t="s">
        <v>888</v>
      </c>
      <c r="AS24" s="2174" t="s">
        <v>1284</v>
      </c>
      <c r="AT24" s="2176">
        <v>0</v>
      </c>
      <c r="AU24" s="2176">
        <v>1</v>
      </c>
      <c r="AV24" s="2175"/>
      <c r="AW24" s="2176">
        <v>10</v>
      </c>
      <c r="AX24" s="2175"/>
      <c r="AY24" s="2177"/>
      <c r="AZ24" s="2178">
        <v>11</v>
      </c>
      <c r="BA24" s="2169"/>
      <c r="BC24" s="774"/>
      <c r="BD24" s="774"/>
      <c r="BE24" s="775"/>
      <c r="BF24" s="798" t="s">
        <v>107</v>
      </c>
      <c r="BG24" s="799">
        <v>2</v>
      </c>
      <c r="BH24" s="799">
        <v>2</v>
      </c>
      <c r="BI24" s="799">
        <v>25</v>
      </c>
      <c r="BJ24" s="800"/>
      <c r="BK24" s="801"/>
      <c r="BL24" s="802">
        <v>29</v>
      </c>
      <c r="BM24" s="803">
        <f>+(BL21+BL22+BL23)/BL24</f>
        <v>0.72413793103448276</v>
      </c>
      <c r="BO24" s="780"/>
      <c r="BP24" s="780"/>
      <c r="BQ24" s="781"/>
      <c r="BR24" s="782" t="s">
        <v>1293</v>
      </c>
      <c r="BS24" s="783">
        <v>0</v>
      </c>
      <c r="BT24" s="783">
        <v>0</v>
      </c>
      <c r="BU24" s="783">
        <v>11</v>
      </c>
      <c r="BV24" s="783">
        <v>0</v>
      </c>
      <c r="BW24" s="786">
        <v>0</v>
      </c>
      <c r="BX24" s="785"/>
      <c r="BY24" s="786">
        <v>11</v>
      </c>
      <c r="BZ24" s="787"/>
      <c r="CB24" s="788" t="s">
        <v>25</v>
      </c>
      <c r="CC24" s="788" t="s">
        <v>16</v>
      </c>
      <c r="CD24" s="788" t="s">
        <v>108</v>
      </c>
      <c r="CE24" s="789" t="s">
        <v>1284</v>
      </c>
      <c r="CF24" s="791">
        <v>3</v>
      </c>
      <c r="CG24" s="791">
        <v>1</v>
      </c>
      <c r="CH24" s="791">
        <v>6</v>
      </c>
      <c r="CI24" s="790"/>
      <c r="CJ24" s="790"/>
      <c r="CK24" s="791">
        <v>10</v>
      </c>
      <c r="CL24" s="792"/>
      <c r="CN24" s="121" t="s">
        <v>25</v>
      </c>
      <c r="CO24" s="121" t="s">
        <v>16</v>
      </c>
      <c r="CP24" s="74" t="s">
        <v>108</v>
      </c>
      <c r="CQ24" s="74" t="s">
        <v>1283</v>
      </c>
      <c r="CR24" s="121">
        <v>0</v>
      </c>
      <c r="CS24" s="121">
        <v>1</v>
      </c>
      <c r="CT24" s="121">
        <v>9</v>
      </c>
      <c r="CU24" s="121"/>
      <c r="CV24" s="121"/>
      <c r="CW24" s="121">
        <v>10</v>
      </c>
      <c r="CX24" s="74"/>
      <c r="CY24" s="74"/>
      <c r="CZ24" s="793"/>
      <c r="DA24" s="794"/>
      <c r="DB24" s="793"/>
      <c r="DC24" s="793" t="s">
        <v>1288</v>
      </c>
      <c r="DD24" s="793">
        <v>0</v>
      </c>
      <c r="DE24" s="793">
        <v>0</v>
      </c>
      <c r="DF24" s="793">
        <v>0</v>
      </c>
      <c r="DG24" s="793">
        <v>6</v>
      </c>
      <c r="DH24" s="793">
        <v>7</v>
      </c>
      <c r="DI24" s="793">
        <v>0</v>
      </c>
      <c r="DJ24" s="793">
        <v>13</v>
      </c>
      <c r="DK24" s="793"/>
      <c r="DL24" s="795"/>
      <c r="DM24" s="74"/>
    </row>
    <row r="25" spans="1:117">
      <c r="A25" s="73"/>
      <c r="B25" s="73"/>
      <c r="C25" s="738" t="s">
        <v>574</v>
      </c>
      <c r="D25" s="738" t="s">
        <v>1284</v>
      </c>
      <c r="E25" s="3262">
        <v>0</v>
      </c>
      <c r="F25" s="3262"/>
      <c r="G25" s="3262"/>
      <c r="H25" s="3262">
        <v>8</v>
      </c>
      <c r="I25" s="3262">
        <v>2</v>
      </c>
      <c r="J25" s="4674"/>
      <c r="K25" s="4674"/>
      <c r="L25" s="4674"/>
      <c r="M25" s="4674">
        <v>10</v>
      </c>
      <c r="N25" s="73"/>
      <c r="P25" s="74"/>
      <c r="Q25" s="74"/>
      <c r="R25" s="761" t="s">
        <v>107</v>
      </c>
      <c r="S25" s="761" t="s">
        <v>1284</v>
      </c>
      <c r="T25" s="3230">
        <v>0</v>
      </c>
      <c r="U25" s="3230"/>
      <c r="V25" s="3230">
        <v>1</v>
      </c>
      <c r="W25" s="3230">
        <v>0</v>
      </c>
      <c r="X25" s="729"/>
      <c r="Y25" s="729"/>
      <c r="Z25" s="729">
        <v>1</v>
      </c>
      <c r="AC25" s="161" t="s">
        <v>25</v>
      </c>
      <c r="AD25" s="161" t="s">
        <v>16</v>
      </c>
      <c r="AE25" s="73" t="s">
        <v>108</v>
      </c>
      <c r="AF25" s="73" t="s">
        <v>1284</v>
      </c>
      <c r="AG25" s="2600">
        <v>3</v>
      </c>
      <c r="AH25" s="2600">
        <v>1</v>
      </c>
      <c r="AI25" s="2600">
        <v>3</v>
      </c>
      <c r="AJ25" s="2600">
        <v>1</v>
      </c>
      <c r="AK25" s="161"/>
      <c r="AL25" s="161"/>
      <c r="AM25" s="161">
        <v>8</v>
      </c>
      <c r="AP25" s="2173"/>
      <c r="AQ25" s="2173"/>
      <c r="AR25" s="2173"/>
      <c r="AS25" s="2174" t="s">
        <v>1936</v>
      </c>
      <c r="AT25" s="2176">
        <v>4</v>
      </c>
      <c r="AU25" s="2176">
        <v>0</v>
      </c>
      <c r="AV25" s="2175"/>
      <c r="AW25" s="2176">
        <v>0</v>
      </c>
      <c r="AX25" s="2175"/>
      <c r="AY25" s="2177"/>
      <c r="AZ25" s="2178">
        <v>4</v>
      </c>
      <c r="BA25" s="2169"/>
      <c r="BC25" s="774" t="s">
        <v>25</v>
      </c>
      <c r="BD25" s="774" t="s">
        <v>16</v>
      </c>
      <c r="BE25" s="775" t="s">
        <v>108</v>
      </c>
      <c r="BF25" s="776" t="s">
        <v>1283</v>
      </c>
      <c r="BG25" s="777">
        <v>0</v>
      </c>
      <c r="BH25" s="777">
        <v>0</v>
      </c>
      <c r="BI25" s="777">
        <v>0</v>
      </c>
      <c r="BJ25" s="777">
        <v>1</v>
      </c>
      <c r="BK25" s="774"/>
      <c r="BL25" s="779">
        <v>1</v>
      </c>
      <c r="BM25" s="73"/>
      <c r="BO25" s="780"/>
      <c r="BP25" s="780"/>
      <c r="BQ25" s="781"/>
      <c r="BR25" s="782" t="s">
        <v>1377</v>
      </c>
      <c r="BS25" s="783">
        <v>0</v>
      </c>
      <c r="BT25" s="783">
        <v>0</v>
      </c>
      <c r="BU25" s="783">
        <v>2</v>
      </c>
      <c r="BV25" s="783">
        <v>0</v>
      </c>
      <c r="BW25" s="786">
        <v>0</v>
      </c>
      <c r="BX25" s="785"/>
      <c r="BY25" s="786">
        <v>2</v>
      </c>
      <c r="BZ25" s="787"/>
      <c r="CB25" s="788"/>
      <c r="CC25" s="788"/>
      <c r="CD25" s="788"/>
      <c r="CE25" s="789" t="s">
        <v>1288</v>
      </c>
      <c r="CF25" s="791">
        <v>0</v>
      </c>
      <c r="CG25" s="791">
        <v>0</v>
      </c>
      <c r="CH25" s="791">
        <v>51</v>
      </c>
      <c r="CI25" s="790"/>
      <c r="CJ25" s="790"/>
      <c r="CK25" s="791">
        <v>51</v>
      </c>
      <c r="CL25" s="792"/>
      <c r="CN25" s="121"/>
      <c r="CO25" s="121"/>
      <c r="CP25" s="74"/>
      <c r="CQ25" s="74" t="s">
        <v>1284</v>
      </c>
      <c r="CR25" s="121">
        <v>11</v>
      </c>
      <c r="CS25" s="121">
        <v>1</v>
      </c>
      <c r="CT25" s="121">
        <v>32</v>
      </c>
      <c r="CU25" s="121"/>
      <c r="CV25" s="121"/>
      <c r="CW25" s="121">
        <v>44</v>
      </c>
      <c r="CX25" s="74"/>
      <c r="CY25" s="74"/>
      <c r="CZ25" s="793"/>
      <c r="DA25" s="794"/>
      <c r="DB25" s="793"/>
      <c r="DC25" s="793" t="s">
        <v>1292</v>
      </c>
      <c r="DD25" s="793">
        <v>0</v>
      </c>
      <c r="DE25" s="793">
        <v>0</v>
      </c>
      <c r="DF25" s="793">
        <v>0</v>
      </c>
      <c r="DG25" s="793">
        <v>0</v>
      </c>
      <c r="DH25" s="793">
        <v>0</v>
      </c>
      <c r="DI25" s="793">
        <v>1</v>
      </c>
      <c r="DJ25" s="793">
        <v>1</v>
      </c>
      <c r="DK25" s="793"/>
      <c r="DL25" s="795"/>
      <c r="DM25" s="74"/>
    </row>
    <row r="26" spans="1:117">
      <c r="A26" s="73"/>
      <c r="B26" s="73"/>
      <c r="C26" s="738"/>
      <c r="D26" s="738" t="s">
        <v>1288</v>
      </c>
      <c r="E26" s="3262">
        <v>0</v>
      </c>
      <c r="F26" s="3262"/>
      <c r="G26" s="3262"/>
      <c r="H26" s="3262">
        <v>2</v>
      </c>
      <c r="I26" s="3262">
        <v>0</v>
      </c>
      <c r="J26" s="4674"/>
      <c r="K26" s="4674"/>
      <c r="L26" s="4674"/>
      <c r="M26" s="4674">
        <v>2</v>
      </c>
      <c r="N26" s="73"/>
      <c r="P26" s="74"/>
      <c r="Q26" s="74"/>
      <c r="R26" s="761"/>
      <c r="S26" s="761" t="s">
        <v>1286</v>
      </c>
      <c r="T26" s="3230">
        <v>1</v>
      </c>
      <c r="U26" s="3230"/>
      <c r="V26" s="3230">
        <v>0</v>
      </c>
      <c r="W26" s="3230">
        <v>0</v>
      </c>
      <c r="X26" s="729"/>
      <c r="Y26" s="729"/>
      <c r="Z26" s="729">
        <v>1</v>
      </c>
      <c r="AC26" s="161"/>
      <c r="AF26" s="73" t="s">
        <v>1288</v>
      </c>
      <c r="AG26" s="2600">
        <v>0</v>
      </c>
      <c r="AH26" s="2600">
        <v>0</v>
      </c>
      <c r="AI26" s="2600">
        <v>2</v>
      </c>
      <c r="AJ26" s="2600">
        <v>0</v>
      </c>
      <c r="AK26" s="161"/>
      <c r="AL26" s="161"/>
      <c r="AM26" s="161">
        <v>2</v>
      </c>
      <c r="AP26" s="2173"/>
      <c r="AQ26" s="2173"/>
      <c r="AR26" s="2173"/>
      <c r="AS26" s="2168" t="s">
        <v>888</v>
      </c>
      <c r="AT26" s="2180">
        <v>4</v>
      </c>
      <c r="AU26" s="2180">
        <v>1</v>
      </c>
      <c r="AV26" s="2179"/>
      <c r="AW26" s="2180">
        <v>10</v>
      </c>
      <c r="AX26" s="2179"/>
      <c r="AY26" s="2181"/>
      <c r="AZ26" s="2182">
        <v>15</v>
      </c>
      <c r="BA26" s="2154">
        <v>0</v>
      </c>
      <c r="BC26" s="774"/>
      <c r="BD26" s="774"/>
      <c r="BE26" s="775"/>
      <c r="BF26" s="776" t="s">
        <v>1284</v>
      </c>
      <c r="BG26" s="777">
        <v>0</v>
      </c>
      <c r="BH26" s="777">
        <v>1</v>
      </c>
      <c r="BI26" s="777">
        <v>0</v>
      </c>
      <c r="BJ26" s="777">
        <v>0</v>
      </c>
      <c r="BK26" s="774"/>
      <c r="BL26" s="779">
        <v>1</v>
      </c>
      <c r="BM26" s="73"/>
      <c r="BO26" s="780"/>
      <c r="BP26" s="780"/>
      <c r="BQ26" s="781"/>
      <c r="BR26" s="804" t="s">
        <v>15</v>
      </c>
      <c r="BS26" s="805">
        <v>7</v>
      </c>
      <c r="BT26" s="805">
        <v>2</v>
      </c>
      <c r="BU26" s="805">
        <v>37</v>
      </c>
      <c r="BV26" s="805">
        <v>1</v>
      </c>
      <c r="BW26" s="808">
        <v>29</v>
      </c>
      <c r="BX26" s="807"/>
      <c r="BY26" s="808">
        <v>76</v>
      </c>
      <c r="BZ26" s="787">
        <f>+(BY25+BY24+BY23)/BY26</f>
        <v>0.39473684210526316</v>
      </c>
      <c r="CB26" s="788"/>
      <c r="CC26" s="788"/>
      <c r="CD26" s="788"/>
      <c r="CE26" s="789" t="s">
        <v>1289</v>
      </c>
      <c r="CF26" s="791">
        <v>5</v>
      </c>
      <c r="CG26" s="791">
        <v>1</v>
      </c>
      <c r="CH26" s="791">
        <v>4</v>
      </c>
      <c r="CI26" s="790"/>
      <c r="CJ26" s="790"/>
      <c r="CK26" s="791">
        <v>10</v>
      </c>
      <c r="CL26" s="792"/>
      <c r="CN26" s="121"/>
      <c r="CO26" s="121"/>
      <c r="CP26" s="74"/>
      <c r="CQ26" s="74" t="s">
        <v>1288</v>
      </c>
      <c r="CR26" s="121">
        <v>0</v>
      </c>
      <c r="CS26" s="121">
        <v>0</v>
      </c>
      <c r="CT26" s="121">
        <v>32</v>
      </c>
      <c r="CU26" s="121"/>
      <c r="CV26" s="121"/>
      <c r="CW26" s="121">
        <v>32</v>
      </c>
      <c r="CX26" s="74"/>
      <c r="CY26" s="74"/>
      <c r="CZ26" s="793"/>
      <c r="DA26" s="794"/>
      <c r="DB26" s="793"/>
      <c r="DC26" s="793" t="s">
        <v>1377</v>
      </c>
      <c r="DD26" s="793">
        <v>0</v>
      </c>
      <c r="DE26" s="793">
        <v>0</v>
      </c>
      <c r="DF26" s="793">
        <v>0</v>
      </c>
      <c r="DG26" s="793">
        <v>0</v>
      </c>
      <c r="DH26" s="793">
        <v>2</v>
      </c>
      <c r="DI26" s="793">
        <v>0</v>
      </c>
      <c r="DJ26" s="793">
        <v>2</v>
      </c>
      <c r="DK26" s="793"/>
      <c r="DL26" s="795"/>
      <c r="DM26" s="74"/>
    </row>
    <row r="27" spans="1:117">
      <c r="A27" s="73"/>
      <c r="B27" s="73"/>
      <c r="C27" s="738"/>
      <c r="D27" s="738" t="s">
        <v>1936</v>
      </c>
      <c r="E27" s="3262">
        <v>1</v>
      </c>
      <c r="F27" s="3262"/>
      <c r="G27" s="3262"/>
      <c r="H27" s="3262">
        <v>0</v>
      </c>
      <c r="I27" s="3262">
        <v>0</v>
      </c>
      <c r="J27" s="4674"/>
      <c r="K27" s="4674"/>
      <c r="L27" s="4674"/>
      <c r="M27" s="4674">
        <v>1</v>
      </c>
      <c r="N27" s="73"/>
      <c r="P27" s="74"/>
      <c r="Q27" s="74"/>
      <c r="R27" s="761"/>
      <c r="S27" s="761" t="s">
        <v>1288</v>
      </c>
      <c r="T27" s="3230">
        <v>0</v>
      </c>
      <c r="U27" s="3230"/>
      <c r="V27" s="3230">
        <v>11</v>
      </c>
      <c r="W27" s="3230">
        <v>2</v>
      </c>
      <c r="X27" s="729"/>
      <c r="Y27" s="729"/>
      <c r="Z27" s="729">
        <v>13</v>
      </c>
      <c r="AC27" s="161"/>
      <c r="AF27" s="73" t="s">
        <v>1289</v>
      </c>
      <c r="AG27" s="2600">
        <v>1</v>
      </c>
      <c r="AH27" s="2600">
        <v>1</v>
      </c>
      <c r="AI27" s="2600">
        <v>0</v>
      </c>
      <c r="AJ27" s="2600">
        <v>0</v>
      </c>
      <c r="AK27" s="161"/>
      <c r="AL27" s="161"/>
      <c r="AM27" s="161">
        <v>2</v>
      </c>
      <c r="AP27" s="2173"/>
      <c r="AQ27" s="2173"/>
      <c r="AR27" s="2173" t="s">
        <v>107</v>
      </c>
      <c r="AS27" s="2174" t="s">
        <v>1283</v>
      </c>
      <c r="AT27" s="2176">
        <v>0</v>
      </c>
      <c r="AU27" s="2176">
        <v>0</v>
      </c>
      <c r="AV27" s="2175"/>
      <c r="AW27" s="2176">
        <v>1</v>
      </c>
      <c r="AX27" s="2175"/>
      <c r="AY27" s="2177"/>
      <c r="AZ27" s="2178">
        <v>1</v>
      </c>
      <c r="BA27" s="2169"/>
      <c r="BC27" s="774"/>
      <c r="BD27" s="774"/>
      <c r="BE27" s="775"/>
      <c r="BF27" s="776" t="s">
        <v>1288</v>
      </c>
      <c r="BG27" s="777">
        <v>0</v>
      </c>
      <c r="BH27" s="777">
        <v>0</v>
      </c>
      <c r="BI27" s="777">
        <v>2</v>
      </c>
      <c r="BJ27" s="777">
        <v>0</v>
      </c>
      <c r="BK27" s="774"/>
      <c r="BL27" s="779">
        <v>2</v>
      </c>
      <c r="BM27" s="73"/>
      <c r="BO27" s="780"/>
      <c r="BP27" s="780"/>
      <c r="BQ27" s="804" t="s">
        <v>888</v>
      </c>
      <c r="BR27" s="782" t="s">
        <v>1283</v>
      </c>
      <c r="BS27" s="783">
        <v>0</v>
      </c>
      <c r="BT27" s="783">
        <v>0</v>
      </c>
      <c r="BU27" s="783">
        <v>0</v>
      </c>
      <c r="BV27" s="783">
        <v>0</v>
      </c>
      <c r="BW27" s="786">
        <v>29</v>
      </c>
      <c r="BX27" s="785"/>
      <c r="BY27" s="786">
        <v>29</v>
      </c>
      <c r="BZ27" s="787"/>
      <c r="CB27" s="788"/>
      <c r="CC27" s="788"/>
      <c r="CD27" s="788"/>
      <c r="CE27" s="789" t="s">
        <v>1293</v>
      </c>
      <c r="CF27" s="791">
        <v>0</v>
      </c>
      <c r="CG27" s="791">
        <v>0</v>
      </c>
      <c r="CH27" s="791">
        <v>1</v>
      </c>
      <c r="CI27" s="790"/>
      <c r="CJ27" s="790"/>
      <c r="CK27" s="791">
        <v>1</v>
      </c>
      <c r="CL27" s="792"/>
      <c r="CN27" s="121"/>
      <c r="CO27" s="121"/>
      <c r="CP27" s="74"/>
      <c r="CQ27" s="74" t="s">
        <v>1289</v>
      </c>
      <c r="CR27" s="121">
        <v>0</v>
      </c>
      <c r="CS27" s="121">
        <v>4</v>
      </c>
      <c r="CT27" s="121">
        <v>0</v>
      </c>
      <c r="CU27" s="121"/>
      <c r="CV27" s="121"/>
      <c r="CW27" s="121">
        <v>4</v>
      </c>
      <c r="CX27" s="74"/>
      <c r="CY27" s="74"/>
      <c r="CZ27" s="793"/>
      <c r="DA27" s="794"/>
      <c r="DB27" s="793"/>
      <c r="DC27" s="796" t="s">
        <v>15</v>
      </c>
      <c r="DD27" s="796">
        <v>0</v>
      </c>
      <c r="DE27" s="796">
        <v>0</v>
      </c>
      <c r="DF27" s="796">
        <v>0</v>
      </c>
      <c r="DG27" s="796">
        <v>7</v>
      </c>
      <c r="DH27" s="796">
        <v>9</v>
      </c>
      <c r="DI27" s="796">
        <v>1</v>
      </c>
      <c r="DJ27" s="796">
        <v>17</v>
      </c>
      <c r="DK27" s="797">
        <f>+(DJ26+DJ24)/DJ27</f>
        <v>0.88235294117647056</v>
      </c>
      <c r="DL27" s="795">
        <f>+DJ24+DJ26</f>
        <v>15</v>
      </c>
      <c r="DM27" s="74"/>
    </row>
    <row r="28" spans="1:117">
      <c r="A28" s="73"/>
      <c r="B28" s="73"/>
      <c r="C28" s="738"/>
      <c r="D28" s="738" t="s">
        <v>574</v>
      </c>
      <c r="E28" s="3262">
        <v>1</v>
      </c>
      <c r="F28" s="3262"/>
      <c r="G28" s="3262"/>
      <c r="H28" s="3262">
        <v>10</v>
      </c>
      <c r="I28" s="3262">
        <v>2</v>
      </c>
      <c r="J28" s="4674"/>
      <c r="K28" s="4674"/>
      <c r="L28" s="4674"/>
      <c r="M28" s="4674">
        <v>13</v>
      </c>
      <c r="N28" s="912">
        <f>+M26/M28</f>
        <v>0.15384615384615385</v>
      </c>
      <c r="P28" s="74"/>
      <c r="Q28" s="74"/>
      <c r="R28" s="761"/>
      <c r="S28" s="761" t="s">
        <v>1293</v>
      </c>
      <c r="T28" s="3230">
        <v>0</v>
      </c>
      <c r="U28" s="3230"/>
      <c r="V28" s="3230">
        <v>8</v>
      </c>
      <c r="W28" s="3230">
        <v>6</v>
      </c>
      <c r="X28" s="729"/>
      <c r="Y28" s="729"/>
      <c r="Z28" s="729">
        <v>14</v>
      </c>
      <c r="AC28" s="161"/>
      <c r="AF28" s="73" t="s">
        <v>1377</v>
      </c>
      <c r="AG28" s="2600">
        <v>0</v>
      </c>
      <c r="AH28" s="2600">
        <v>0</v>
      </c>
      <c r="AI28" s="2600">
        <v>45</v>
      </c>
      <c r="AJ28" s="2600">
        <v>0</v>
      </c>
      <c r="AK28" s="161"/>
      <c r="AL28" s="161"/>
      <c r="AM28" s="161">
        <v>45</v>
      </c>
      <c r="AP28" s="2173"/>
      <c r="AQ28" s="2173"/>
      <c r="AR28" s="2173"/>
      <c r="AS28" s="2174" t="s">
        <v>1284</v>
      </c>
      <c r="AT28" s="2176">
        <v>0</v>
      </c>
      <c r="AU28" s="2176">
        <v>1</v>
      </c>
      <c r="AV28" s="2175"/>
      <c r="AW28" s="2176">
        <v>14</v>
      </c>
      <c r="AX28" s="2175"/>
      <c r="AY28" s="2177"/>
      <c r="AZ28" s="2178">
        <v>15</v>
      </c>
      <c r="BA28" s="2169"/>
      <c r="BC28" s="774"/>
      <c r="BD28" s="774"/>
      <c r="BE28" s="775"/>
      <c r="BF28" s="776" t="s">
        <v>1289</v>
      </c>
      <c r="BG28" s="777">
        <v>4</v>
      </c>
      <c r="BH28" s="777">
        <v>1</v>
      </c>
      <c r="BI28" s="777">
        <v>3</v>
      </c>
      <c r="BJ28" s="777">
        <v>0</v>
      </c>
      <c r="BK28" s="774"/>
      <c r="BL28" s="779">
        <v>8</v>
      </c>
      <c r="BM28" s="73"/>
      <c r="BO28" s="780"/>
      <c r="BP28" s="780"/>
      <c r="BQ28" s="781"/>
      <c r="BR28" s="782" t="s">
        <v>1284</v>
      </c>
      <c r="BS28" s="783">
        <v>6</v>
      </c>
      <c r="BT28" s="783">
        <v>2</v>
      </c>
      <c r="BU28" s="783">
        <v>6</v>
      </c>
      <c r="BV28" s="783">
        <v>1</v>
      </c>
      <c r="BW28" s="786">
        <v>0</v>
      </c>
      <c r="BX28" s="785"/>
      <c r="BY28" s="786">
        <v>15</v>
      </c>
      <c r="BZ28" s="787"/>
      <c r="CB28" s="788"/>
      <c r="CC28" s="788"/>
      <c r="CD28" s="788"/>
      <c r="CE28" s="809" t="s">
        <v>15</v>
      </c>
      <c r="CF28" s="811">
        <v>8</v>
      </c>
      <c r="CG28" s="811">
        <v>2</v>
      </c>
      <c r="CH28" s="811">
        <v>62</v>
      </c>
      <c r="CI28" s="810"/>
      <c r="CJ28" s="810"/>
      <c r="CK28" s="811">
        <v>72</v>
      </c>
      <c r="CL28" s="812">
        <f>+(CK27+CK25)/CK28</f>
        <v>0.72222222222222221</v>
      </c>
      <c r="CN28" s="121"/>
      <c r="CO28" s="121"/>
      <c r="CP28" s="74"/>
      <c r="CQ28" s="74" t="s">
        <v>1293</v>
      </c>
      <c r="CR28" s="121">
        <v>0</v>
      </c>
      <c r="CS28" s="121">
        <v>0</v>
      </c>
      <c r="CT28" s="121">
        <v>1</v>
      </c>
      <c r="CU28" s="121"/>
      <c r="CV28" s="121"/>
      <c r="CW28" s="121">
        <v>1</v>
      </c>
      <c r="CX28" s="74"/>
      <c r="CY28" s="74"/>
      <c r="CZ28" s="793"/>
      <c r="DA28" s="794"/>
      <c r="DB28" s="793" t="s">
        <v>110</v>
      </c>
      <c r="DC28" s="793" t="s">
        <v>1283</v>
      </c>
      <c r="DD28" s="793">
        <v>0</v>
      </c>
      <c r="DE28" s="793">
        <v>0</v>
      </c>
      <c r="DF28" s="793">
        <v>0</v>
      </c>
      <c r="DG28" s="793">
        <v>0</v>
      </c>
      <c r="DH28" s="793">
        <v>0</v>
      </c>
      <c r="DI28" s="793">
        <v>6</v>
      </c>
      <c r="DJ28" s="793">
        <v>6</v>
      </c>
      <c r="DK28" s="793"/>
      <c r="DL28" s="795"/>
      <c r="DM28" s="74"/>
    </row>
    <row r="29" spans="1:117">
      <c r="A29" s="73"/>
      <c r="B29" s="73"/>
      <c r="C29" s="738" t="s">
        <v>107</v>
      </c>
      <c r="D29" s="738" t="s">
        <v>1283</v>
      </c>
      <c r="E29" s="3262">
        <v>0</v>
      </c>
      <c r="F29" s="3262"/>
      <c r="G29" s="3262">
        <v>1</v>
      </c>
      <c r="H29" s="3262">
        <v>0</v>
      </c>
      <c r="I29" s="3262">
        <v>0</v>
      </c>
      <c r="J29" s="4674"/>
      <c r="K29" s="4674"/>
      <c r="L29" s="4674"/>
      <c r="M29" s="4674">
        <v>1</v>
      </c>
      <c r="N29" s="73"/>
      <c r="P29" s="74"/>
      <c r="Q29" s="74"/>
      <c r="R29" s="761"/>
      <c r="S29" s="761" t="s">
        <v>2707</v>
      </c>
      <c r="T29" s="3230">
        <v>0</v>
      </c>
      <c r="U29" s="3230"/>
      <c r="V29" s="3230">
        <v>0</v>
      </c>
      <c r="W29" s="3230">
        <v>1</v>
      </c>
      <c r="X29" s="729"/>
      <c r="Y29" s="729"/>
      <c r="Z29" s="729">
        <v>1</v>
      </c>
      <c r="AC29" s="161"/>
      <c r="AF29" s="738" t="s">
        <v>15</v>
      </c>
      <c r="AG29" s="2601">
        <v>4</v>
      </c>
      <c r="AH29" s="2601">
        <v>2</v>
      </c>
      <c r="AI29" s="2601">
        <v>50</v>
      </c>
      <c r="AJ29" s="2601">
        <v>1</v>
      </c>
      <c r="AK29" s="151"/>
      <c r="AL29" s="151"/>
      <c r="AM29" s="151">
        <v>57</v>
      </c>
      <c r="AN29" s="912">
        <f>+(AM26+AM28)/AM29</f>
        <v>0.82456140350877194</v>
      </c>
      <c r="AP29" s="2173"/>
      <c r="AQ29" s="2173"/>
      <c r="AR29" s="2173"/>
      <c r="AS29" s="2174" t="s">
        <v>1288</v>
      </c>
      <c r="AT29" s="2176">
        <v>0</v>
      </c>
      <c r="AU29" s="2176">
        <v>0</v>
      </c>
      <c r="AV29" s="2175"/>
      <c r="AW29" s="2176">
        <v>4</v>
      </c>
      <c r="AX29" s="2175"/>
      <c r="AY29" s="2177"/>
      <c r="AZ29" s="2178">
        <v>4</v>
      </c>
      <c r="BA29" s="2169"/>
      <c r="BC29" s="774"/>
      <c r="BD29" s="774"/>
      <c r="BE29" s="775"/>
      <c r="BF29" s="776" t="s">
        <v>1293</v>
      </c>
      <c r="BG29" s="777">
        <v>0</v>
      </c>
      <c r="BH29" s="777">
        <v>0</v>
      </c>
      <c r="BI29" s="777">
        <v>1</v>
      </c>
      <c r="BJ29" s="777">
        <v>0</v>
      </c>
      <c r="BK29" s="774"/>
      <c r="BL29" s="779">
        <v>1</v>
      </c>
      <c r="BM29" s="73"/>
      <c r="BO29" s="780"/>
      <c r="BP29" s="780"/>
      <c r="BQ29" s="781"/>
      <c r="BR29" s="782" t="s">
        <v>1286</v>
      </c>
      <c r="BS29" s="783">
        <v>1</v>
      </c>
      <c r="BT29" s="783">
        <v>0</v>
      </c>
      <c r="BU29" s="783">
        <v>1</v>
      </c>
      <c r="BV29" s="783">
        <v>0</v>
      </c>
      <c r="BW29" s="786">
        <v>0</v>
      </c>
      <c r="BX29" s="785"/>
      <c r="BY29" s="786">
        <v>2</v>
      </c>
      <c r="BZ29" s="787"/>
      <c r="CN29" s="121"/>
      <c r="CO29" s="121"/>
      <c r="CP29" s="74"/>
      <c r="CQ29" s="761" t="s">
        <v>15</v>
      </c>
      <c r="CR29" s="729">
        <v>11</v>
      </c>
      <c r="CS29" s="729">
        <v>6</v>
      </c>
      <c r="CT29" s="729">
        <v>74</v>
      </c>
      <c r="CU29" s="729"/>
      <c r="CV29" s="729"/>
      <c r="CW29" s="729">
        <v>91</v>
      </c>
      <c r="CX29" s="813">
        <f>+(CW26+CW28)/CW29</f>
        <v>0.36263736263736263</v>
      </c>
      <c r="CY29" s="74"/>
      <c r="CZ29" s="793"/>
      <c r="DA29" s="794"/>
      <c r="DB29" s="793"/>
      <c r="DC29" s="796" t="s">
        <v>15</v>
      </c>
      <c r="DD29" s="796">
        <v>0</v>
      </c>
      <c r="DE29" s="796">
        <v>0</v>
      </c>
      <c r="DF29" s="796">
        <v>0</v>
      </c>
      <c r="DG29" s="796">
        <v>0</v>
      </c>
      <c r="DH29" s="796">
        <v>0</v>
      </c>
      <c r="DI29" s="796">
        <v>6</v>
      </c>
      <c r="DJ29" s="796">
        <v>6</v>
      </c>
      <c r="DK29" s="797">
        <f>0/DJ29</f>
        <v>0</v>
      </c>
      <c r="DL29" s="795">
        <v>0</v>
      </c>
      <c r="DM29" s="74"/>
    </row>
    <row r="30" spans="1:117">
      <c r="A30" s="73"/>
      <c r="B30" s="73"/>
      <c r="C30" s="738"/>
      <c r="D30" s="738" t="s">
        <v>1284</v>
      </c>
      <c r="E30" s="3262">
        <v>0</v>
      </c>
      <c r="F30" s="3262"/>
      <c r="G30" s="3262">
        <v>1</v>
      </c>
      <c r="H30" s="3262">
        <v>8</v>
      </c>
      <c r="I30" s="3262">
        <v>2</v>
      </c>
      <c r="J30" s="4674"/>
      <c r="K30" s="4674"/>
      <c r="L30" s="4674"/>
      <c r="M30" s="4674">
        <v>11</v>
      </c>
      <c r="N30" s="73"/>
      <c r="P30" s="74"/>
      <c r="Q30" s="74"/>
      <c r="R30" s="761"/>
      <c r="S30" s="761" t="s">
        <v>107</v>
      </c>
      <c r="T30" s="3230">
        <v>1</v>
      </c>
      <c r="U30" s="3230"/>
      <c r="V30" s="3230">
        <v>20</v>
      </c>
      <c r="W30" s="3230">
        <v>9</v>
      </c>
      <c r="X30" s="729"/>
      <c r="Y30" s="729"/>
      <c r="Z30" s="729">
        <v>30</v>
      </c>
      <c r="AA30" s="3197">
        <f>+(Z27+Z28)/Z30</f>
        <v>0.9</v>
      </c>
      <c r="AC30" s="161"/>
      <c r="AE30" s="73" t="s">
        <v>573</v>
      </c>
      <c r="AF30" s="73" t="s">
        <v>1284</v>
      </c>
      <c r="AG30" s="2600">
        <v>3</v>
      </c>
      <c r="AH30" s="2600">
        <v>1</v>
      </c>
      <c r="AI30" s="2600">
        <v>3</v>
      </c>
      <c r="AJ30" s="2600">
        <v>1</v>
      </c>
      <c r="AK30" s="161"/>
      <c r="AL30" s="161"/>
      <c r="AM30" s="161">
        <v>8</v>
      </c>
      <c r="AP30" s="2173"/>
      <c r="AQ30" s="2173"/>
      <c r="AR30" s="2173"/>
      <c r="AS30" s="2174" t="s">
        <v>1936</v>
      </c>
      <c r="AT30" s="2176">
        <v>4</v>
      </c>
      <c r="AU30" s="2176">
        <v>0</v>
      </c>
      <c r="AV30" s="2175"/>
      <c r="AW30" s="2176">
        <v>0</v>
      </c>
      <c r="AX30" s="2175"/>
      <c r="AY30" s="2177"/>
      <c r="AZ30" s="2178">
        <v>4</v>
      </c>
      <c r="BA30" s="2169"/>
      <c r="BC30" s="774"/>
      <c r="BD30" s="774"/>
      <c r="BE30" s="775"/>
      <c r="BF30" s="776" t="s">
        <v>1377</v>
      </c>
      <c r="BG30" s="777">
        <v>0</v>
      </c>
      <c r="BH30" s="777">
        <v>0</v>
      </c>
      <c r="BI30" s="777">
        <v>20</v>
      </c>
      <c r="BJ30" s="777">
        <v>0</v>
      </c>
      <c r="BK30" s="774"/>
      <c r="BL30" s="779">
        <v>20</v>
      </c>
      <c r="BM30" s="73"/>
      <c r="BO30" s="780"/>
      <c r="BP30" s="780"/>
      <c r="BQ30" s="781"/>
      <c r="BR30" s="782" t="s">
        <v>1288</v>
      </c>
      <c r="BS30" s="783">
        <v>0</v>
      </c>
      <c r="BT30" s="783">
        <v>0</v>
      </c>
      <c r="BU30" s="783">
        <v>17</v>
      </c>
      <c r="BV30" s="783">
        <v>0</v>
      </c>
      <c r="BW30" s="786">
        <v>0</v>
      </c>
      <c r="BX30" s="785"/>
      <c r="BY30" s="786">
        <v>17</v>
      </c>
      <c r="BZ30" s="787"/>
      <c r="CB30" s="788"/>
      <c r="CC30" s="788" t="s">
        <v>41</v>
      </c>
      <c r="CD30" s="788" t="s">
        <v>109</v>
      </c>
      <c r="CE30" s="789" t="s">
        <v>1284</v>
      </c>
      <c r="CF30" s="790"/>
      <c r="CG30" s="791">
        <v>0</v>
      </c>
      <c r="CH30" s="791">
        <v>2</v>
      </c>
      <c r="CI30" s="791">
        <v>4</v>
      </c>
      <c r="CJ30" s="790"/>
      <c r="CK30" s="791">
        <v>6</v>
      </c>
      <c r="CL30" s="792"/>
      <c r="CN30" s="121"/>
      <c r="CO30" s="121" t="s">
        <v>41</v>
      </c>
      <c r="CP30" s="74" t="s">
        <v>109</v>
      </c>
      <c r="CQ30" s="74" t="s">
        <v>1284</v>
      </c>
      <c r="CR30" s="121"/>
      <c r="CS30" s="121">
        <v>1</v>
      </c>
      <c r="CT30" s="121">
        <v>2</v>
      </c>
      <c r="CU30" s="121">
        <v>0</v>
      </c>
      <c r="CV30" s="121">
        <v>0</v>
      </c>
      <c r="CW30" s="121">
        <v>3</v>
      </c>
      <c r="CX30" s="74"/>
      <c r="CY30" s="74"/>
      <c r="CZ30" s="793" t="s">
        <v>48</v>
      </c>
      <c r="DA30" s="794" t="s">
        <v>16</v>
      </c>
      <c r="DB30" s="793" t="s">
        <v>112</v>
      </c>
      <c r="DC30" s="793" t="s">
        <v>1283</v>
      </c>
      <c r="DD30" s="793">
        <v>0</v>
      </c>
      <c r="DE30" s="793">
        <v>0</v>
      </c>
      <c r="DF30" s="793">
        <v>0</v>
      </c>
      <c r="DG30" s="793">
        <v>0</v>
      </c>
      <c r="DH30" s="793">
        <v>0</v>
      </c>
      <c r="DI30" s="793">
        <v>1</v>
      </c>
      <c r="DJ30" s="793">
        <v>1</v>
      </c>
      <c r="DK30" s="793"/>
      <c r="DL30" s="795"/>
      <c r="DM30" s="74"/>
    </row>
    <row r="31" spans="1:117">
      <c r="A31" s="73"/>
      <c r="B31" s="73"/>
      <c r="C31" s="738"/>
      <c r="D31" s="738" t="s">
        <v>1288</v>
      </c>
      <c r="E31" s="3262">
        <v>0</v>
      </c>
      <c r="F31" s="3262"/>
      <c r="G31" s="3262">
        <v>0</v>
      </c>
      <c r="H31" s="3262">
        <v>3</v>
      </c>
      <c r="I31" s="3262">
        <v>0</v>
      </c>
      <c r="J31" s="4674"/>
      <c r="K31" s="4674"/>
      <c r="L31" s="4674"/>
      <c r="M31" s="4674">
        <v>3</v>
      </c>
      <c r="N31" s="73"/>
      <c r="P31" s="74" t="s">
        <v>25</v>
      </c>
      <c r="Q31" s="74" t="s">
        <v>4</v>
      </c>
      <c r="R31" s="3231" t="s">
        <v>2708</v>
      </c>
      <c r="S31" s="3231" t="s">
        <v>1283</v>
      </c>
      <c r="T31" s="3229">
        <v>0</v>
      </c>
      <c r="U31" s="3229"/>
      <c r="V31" s="3229"/>
      <c r="W31" s="3229"/>
      <c r="X31" s="3232"/>
      <c r="Y31" s="3232">
        <v>2</v>
      </c>
      <c r="Z31" s="3232">
        <v>2</v>
      </c>
      <c r="AC31" s="161"/>
      <c r="AF31" s="73" t="s">
        <v>1288</v>
      </c>
      <c r="AG31" s="2600">
        <v>0</v>
      </c>
      <c r="AH31" s="2600">
        <v>0</v>
      </c>
      <c r="AI31" s="2600">
        <v>2</v>
      </c>
      <c r="AJ31" s="2600">
        <v>0</v>
      </c>
      <c r="AK31" s="161"/>
      <c r="AL31" s="161"/>
      <c r="AM31" s="161">
        <v>2</v>
      </c>
      <c r="AP31" s="2173"/>
      <c r="AQ31" s="2173"/>
      <c r="AR31" s="2173"/>
      <c r="AS31" s="2174" t="s">
        <v>1293</v>
      </c>
      <c r="AT31" s="2176">
        <v>0</v>
      </c>
      <c r="AU31" s="2176">
        <v>0</v>
      </c>
      <c r="AV31" s="2175"/>
      <c r="AW31" s="2176">
        <v>6</v>
      </c>
      <c r="AX31" s="2175"/>
      <c r="AY31" s="2177"/>
      <c r="AZ31" s="2178">
        <v>6</v>
      </c>
      <c r="BA31" s="2169"/>
      <c r="BC31" s="774"/>
      <c r="BD31" s="774"/>
      <c r="BE31" s="775"/>
      <c r="BF31" s="798" t="s">
        <v>15</v>
      </c>
      <c r="BG31" s="799">
        <v>4</v>
      </c>
      <c r="BH31" s="799">
        <v>2</v>
      </c>
      <c r="BI31" s="799">
        <v>26</v>
      </c>
      <c r="BJ31" s="799">
        <v>1</v>
      </c>
      <c r="BK31" s="801"/>
      <c r="BL31" s="802">
        <v>33</v>
      </c>
      <c r="BM31" s="803">
        <f>+(BL27+BL29+BL30)/BL31</f>
        <v>0.69696969696969702</v>
      </c>
      <c r="BO31" s="780"/>
      <c r="BP31" s="780"/>
      <c r="BQ31" s="781"/>
      <c r="BR31" s="782" t="s">
        <v>1293</v>
      </c>
      <c r="BS31" s="783">
        <v>0</v>
      </c>
      <c r="BT31" s="783">
        <v>0</v>
      </c>
      <c r="BU31" s="783">
        <v>11</v>
      </c>
      <c r="BV31" s="783">
        <v>0</v>
      </c>
      <c r="BW31" s="786">
        <v>0</v>
      </c>
      <c r="BX31" s="785"/>
      <c r="BY31" s="786">
        <v>11</v>
      </c>
      <c r="BZ31" s="787"/>
      <c r="CB31" s="788"/>
      <c r="CC31" s="788"/>
      <c r="CD31" s="788"/>
      <c r="CE31" s="789" t="s">
        <v>1288</v>
      </c>
      <c r="CF31" s="790"/>
      <c r="CG31" s="791">
        <v>0</v>
      </c>
      <c r="CH31" s="791">
        <v>7</v>
      </c>
      <c r="CI31" s="791">
        <v>5</v>
      </c>
      <c r="CJ31" s="790"/>
      <c r="CK31" s="791">
        <v>12</v>
      </c>
      <c r="CL31" s="792"/>
      <c r="CN31" s="121"/>
      <c r="CO31" s="121"/>
      <c r="CP31" s="74"/>
      <c r="CQ31" s="74" t="s">
        <v>1286</v>
      </c>
      <c r="CR31" s="121"/>
      <c r="CS31" s="121">
        <v>1</v>
      </c>
      <c r="CT31" s="121">
        <v>0</v>
      </c>
      <c r="CU31" s="121">
        <v>0</v>
      </c>
      <c r="CV31" s="121">
        <v>0</v>
      </c>
      <c r="CW31" s="121">
        <v>1</v>
      </c>
      <c r="CX31" s="74"/>
      <c r="CY31" s="74"/>
      <c r="CZ31" s="793"/>
      <c r="DA31" s="794"/>
      <c r="DB31" s="793"/>
      <c r="DC31" s="793" t="s">
        <v>1284</v>
      </c>
      <c r="DD31" s="793">
        <v>2</v>
      </c>
      <c r="DE31" s="793">
        <v>0</v>
      </c>
      <c r="DF31" s="793">
        <v>0</v>
      </c>
      <c r="DG31" s="793">
        <v>0</v>
      </c>
      <c r="DH31" s="793">
        <v>0</v>
      </c>
      <c r="DI31" s="793">
        <v>0</v>
      </c>
      <c r="DJ31" s="793">
        <v>2</v>
      </c>
      <c r="DK31" s="793"/>
      <c r="DL31" s="795"/>
      <c r="DM31" s="74"/>
    </row>
    <row r="32" spans="1:117">
      <c r="A32" s="73"/>
      <c r="B32" s="73"/>
      <c r="C32" s="738"/>
      <c r="D32" s="738" t="s">
        <v>1936</v>
      </c>
      <c r="E32" s="3262">
        <v>1</v>
      </c>
      <c r="F32" s="3262"/>
      <c r="G32" s="3262">
        <v>0</v>
      </c>
      <c r="H32" s="3262">
        <v>0</v>
      </c>
      <c r="I32" s="3262">
        <v>0</v>
      </c>
      <c r="J32" s="4674"/>
      <c r="K32" s="4674"/>
      <c r="L32" s="4674"/>
      <c r="M32" s="4674">
        <v>1</v>
      </c>
      <c r="N32" s="73"/>
      <c r="P32" s="74"/>
      <c r="Q32" s="74"/>
      <c r="R32" s="3231"/>
      <c r="S32" s="3231" t="s">
        <v>1289</v>
      </c>
      <c r="T32" s="3229">
        <v>1</v>
      </c>
      <c r="U32" s="3229"/>
      <c r="V32" s="3229"/>
      <c r="W32" s="3229"/>
      <c r="X32" s="3232"/>
      <c r="Y32" s="3232">
        <v>0</v>
      </c>
      <c r="Z32" s="3232">
        <v>1</v>
      </c>
      <c r="AC32" s="161"/>
      <c r="AF32" s="73" t="s">
        <v>1289</v>
      </c>
      <c r="AG32" s="2600">
        <v>1</v>
      </c>
      <c r="AH32" s="2600">
        <v>1</v>
      </c>
      <c r="AI32" s="2600">
        <v>0</v>
      </c>
      <c r="AJ32" s="2600">
        <v>0</v>
      </c>
      <c r="AK32" s="161"/>
      <c r="AL32" s="161"/>
      <c r="AM32" s="161">
        <v>2</v>
      </c>
      <c r="AP32" s="2173"/>
      <c r="AQ32" s="2173"/>
      <c r="AR32" s="2173"/>
      <c r="AS32" s="2174" t="s">
        <v>1377</v>
      </c>
      <c r="AT32" s="2176">
        <v>0</v>
      </c>
      <c r="AU32" s="2176">
        <v>0</v>
      </c>
      <c r="AV32" s="2175"/>
      <c r="AW32" s="2176">
        <v>3</v>
      </c>
      <c r="AX32" s="2175"/>
      <c r="AY32" s="2177"/>
      <c r="AZ32" s="2178">
        <v>3</v>
      </c>
      <c r="BA32" s="2169"/>
      <c r="BC32" s="774"/>
      <c r="BD32" s="774"/>
      <c r="BE32" s="775" t="s">
        <v>573</v>
      </c>
      <c r="BF32" s="776" t="s">
        <v>1283</v>
      </c>
      <c r="BG32" s="777">
        <v>0</v>
      </c>
      <c r="BH32" s="777">
        <v>0</v>
      </c>
      <c r="BI32" s="777">
        <v>0</v>
      </c>
      <c r="BJ32" s="777">
        <v>1</v>
      </c>
      <c r="BK32" s="774"/>
      <c r="BL32" s="779">
        <v>1</v>
      </c>
      <c r="BM32" s="73"/>
      <c r="BO32" s="780"/>
      <c r="BP32" s="780"/>
      <c r="BQ32" s="781"/>
      <c r="BR32" s="782" t="s">
        <v>1377</v>
      </c>
      <c r="BS32" s="783">
        <v>0</v>
      </c>
      <c r="BT32" s="783">
        <v>0</v>
      </c>
      <c r="BU32" s="783">
        <v>2</v>
      </c>
      <c r="BV32" s="783">
        <v>0</v>
      </c>
      <c r="BW32" s="786">
        <v>0</v>
      </c>
      <c r="BX32" s="785"/>
      <c r="BY32" s="786">
        <v>2</v>
      </c>
      <c r="BZ32" s="787"/>
      <c r="CB32" s="788"/>
      <c r="CC32" s="788"/>
      <c r="CD32" s="788"/>
      <c r="CE32" s="789" t="s">
        <v>1289</v>
      </c>
      <c r="CF32" s="790"/>
      <c r="CG32" s="791">
        <v>2</v>
      </c>
      <c r="CH32" s="791">
        <v>1</v>
      </c>
      <c r="CI32" s="791">
        <v>0</v>
      </c>
      <c r="CJ32" s="790"/>
      <c r="CK32" s="791">
        <v>3</v>
      </c>
      <c r="CL32" s="792"/>
      <c r="CN32" s="121"/>
      <c r="CO32" s="121"/>
      <c r="CP32" s="74"/>
      <c r="CQ32" s="74" t="s">
        <v>1288</v>
      </c>
      <c r="CR32" s="121"/>
      <c r="CS32" s="121">
        <v>0</v>
      </c>
      <c r="CT32" s="121">
        <v>6</v>
      </c>
      <c r="CU32" s="121">
        <v>8</v>
      </c>
      <c r="CV32" s="121">
        <v>0</v>
      </c>
      <c r="CW32" s="121">
        <v>14</v>
      </c>
      <c r="CX32" s="74"/>
      <c r="CY32" s="74"/>
      <c r="CZ32" s="793"/>
      <c r="DA32" s="794"/>
      <c r="DB32" s="793"/>
      <c r="DC32" s="793" t="s">
        <v>1288</v>
      </c>
      <c r="DD32" s="793">
        <v>1</v>
      </c>
      <c r="DE32" s="793">
        <v>0</v>
      </c>
      <c r="DF32" s="793">
        <v>0</v>
      </c>
      <c r="DG32" s="793">
        <v>0</v>
      </c>
      <c r="DH32" s="793">
        <v>2</v>
      </c>
      <c r="DI32" s="793">
        <v>0</v>
      </c>
      <c r="DJ32" s="793">
        <v>3</v>
      </c>
      <c r="DK32" s="793"/>
      <c r="DL32" s="795"/>
      <c r="DM32" s="74"/>
    </row>
    <row r="33" spans="1:117">
      <c r="A33" s="73"/>
      <c r="B33" s="73"/>
      <c r="C33" s="738"/>
      <c r="D33" s="738" t="s">
        <v>1293</v>
      </c>
      <c r="E33" s="3262">
        <v>0</v>
      </c>
      <c r="F33" s="3262"/>
      <c r="G33" s="3262">
        <v>0</v>
      </c>
      <c r="H33" s="3262">
        <v>15</v>
      </c>
      <c r="I33" s="3262">
        <v>0</v>
      </c>
      <c r="J33" s="4674"/>
      <c r="K33" s="4674"/>
      <c r="L33" s="4674"/>
      <c r="M33" s="4674">
        <v>15</v>
      </c>
      <c r="N33" s="73"/>
      <c r="P33" s="74"/>
      <c r="Q33" s="74"/>
      <c r="R33" s="3231"/>
      <c r="S33" s="3233" t="s">
        <v>15</v>
      </c>
      <c r="T33" s="3230">
        <v>1</v>
      </c>
      <c r="U33" s="3230"/>
      <c r="V33" s="3230"/>
      <c r="W33" s="3230"/>
      <c r="X33" s="3234"/>
      <c r="Y33" s="3234">
        <v>2</v>
      </c>
      <c r="Z33" s="3234">
        <v>3</v>
      </c>
      <c r="AA33" s="191" t="s">
        <v>656</v>
      </c>
      <c r="AC33" s="161"/>
      <c r="AF33" s="73" t="s">
        <v>1377</v>
      </c>
      <c r="AG33" s="2600">
        <v>0</v>
      </c>
      <c r="AH33" s="2600">
        <v>0</v>
      </c>
      <c r="AI33" s="2600">
        <v>45</v>
      </c>
      <c r="AJ33" s="2600">
        <v>0</v>
      </c>
      <c r="AK33" s="161"/>
      <c r="AL33" s="161"/>
      <c r="AM33" s="161">
        <v>45</v>
      </c>
      <c r="AP33" s="2173"/>
      <c r="AQ33" s="2173"/>
      <c r="AR33" s="2173"/>
      <c r="AS33" s="2168" t="s">
        <v>107</v>
      </c>
      <c r="AT33" s="2180">
        <v>4</v>
      </c>
      <c r="AU33" s="2180">
        <v>1</v>
      </c>
      <c r="AV33" s="2179"/>
      <c r="AW33" s="2180">
        <v>28</v>
      </c>
      <c r="AX33" s="2179"/>
      <c r="AY33" s="2181"/>
      <c r="AZ33" s="2182">
        <v>33</v>
      </c>
      <c r="BA33" s="2154">
        <f>+(AZ29+AZ31+AZ32)/AZ33</f>
        <v>0.39393939393939392</v>
      </c>
      <c r="BC33" s="774"/>
      <c r="BD33" s="774"/>
      <c r="BE33" s="775"/>
      <c r="BF33" s="776" t="s">
        <v>1284</v>
      </c>
      <c r="BG33" s="777">
        <v>0</v>
      </c>
      <c r="BH33" s="777">
        <v>1</v>
      </c>
      <c r="BI33" s="777">
        <v>0</v>
      </c>
      <c r="BJ33" s="777">
        <v>0</v>
      </c>
      <c r="BK33" s="774"/>
      <c r="BL33" s="779">
        <v>1</v>
      </c>
      <c r="BM33" s="73"/>
      <c r="BO33" s="780"/>
      <c r="BP33" s="780"/>
      <c r="BQ33" s="781"/>
      <c r="BR33" s="804" t="s">
        <v>888</v>
      </c>
      <c r="BS33" s="805">
        <v>7</v>
      </c>
      <c r="BT33" s="805">
        <v>2</v>
      </c>
      <c r="BU33" s="805">
        <v>37</v>
      </c>
      <c r="BV33" s="805">
        <v>1</v>
      </c>
      <c r="BW33" s="808">
        <v>29</v>
      </c>
      <c r="BX33" s="807"/>
      <c r="BY33" s="808">
        <v>76</v>
      </c>
      <c r="BZ33" s="787">
        <f>+(BY32+BY31+BY30)/BY33</f>
        <v>0.39473684210526316</v>
      </c>
      <c r="CB33" s="788"/>
      <c r="CC33" s="788"/>
      <c r="CD33" s="788"/>
      <c r="CE33" s="789" t="s">
        <v>1377</v>
      </c>
      <c r="CF33" s="790"/>
      <c r="CG33" s="791">
        <v>0</v>
      </c>
      <c r="CH33" s="791">
        <v>2</v>
      </c>
      <c r="CI33" s="791">
        <v>1</v>
      </c>
      <c r="CJ33" s="790"/>
      <c r="CK33" s="791">
        <v>3</v>
      </c>
      <c r="CL33" s="792"/>
      <c r="CN33" s="121"/>
      <c r="CO33" s="121"/>
      <c r="CP33" s="74"/>
      <c r="CQ33" s="74" t="s">
        <v>1289</v>
      </c>
      <c r="CR33" s="121"/>
      <c r="CS33" s="121">
        <v>0</v>
      </c>
      <c r="CT33" s="121">
        <v>1</v>
      </c>
      <c r="CU33" s="121">
        <v>0</v>
      </c>
      <c r="CV33" s="121">
        <v>0</v>
      </c>
      <c r="CW33" s="121">
        <v>1</v>
      </c>
      <c r="CX33" s="74"/>
      <c r="CY33" s="74"/>
      <c r="CZ33" s="793"/>
      <c r="DA33" s="794"/>
      <c r="DB33" s="793"/>
      <c r="DC33" s="793" t="s">
        <v>1289</v>
      </c>
      <c r="DD33" s="793">
        <v>3</v>
      </c>
      <c r="DE33" s="793">
        <v>0</v>
      </c>
      <c r="DF33" s="793">
        <v>0</v>
      </c>
      <c r="DG33" s="793">
        <v>0</v>
      </c>
      <c r="DH33" s="793">
        <v>0</v>
      </c>
      <c r="DI33" s="793">
        <v>0</v>
      </c>
      <c r="DJ33" s="793">
        <v>3</v>
      </c>
      <c r="DK33" s="793"/>
      <c r="DL33" s="795"/>
      <c r="DM33" s="74"/>
    </row>
    <row r="34" spans="1:117">
      <c r="A34" s="73"/>
      <c r="B34" s="73"/>
      <c r="C34" s="738"/>
      <c r="D34" s="738" t="s">
        <v>1377</v>
      </c>
      <c r="E34" s="3262">
        <v>0</v>
      </c>
      <c r="F34" s="3262"/>
      <c r="G34" s="3262">
        <v>0</v>
      </c>
      <c r="H34" s="3262">
        <v>2</v>
      </c>
      <c r="I34" s="3262">
        <v>0</v>
      </c>
      <c r="J34" s="4674"/>
      <c r="K34" s="4674"/>
      <c r="L34" s="4674"/>
      <c r="M34" s="4674">
        <v>2</v>
      </c>
      <c r="N34" s="73"/>
      <c r="P34" s="74"/>
      <c r="Q34" s="74" t="s">
        <v>16</v>
      </c>
      <c r="R34" s="74" t="s">
        <v>108</v>
      </c>
      <c r="S34" s="74" t="s">
        <v>1288</v>
      </c>
      <c r="T34" s="3229"/>
      <c r="U34" s="3229"/>
      <c r="V34" s="3229">
        <v>11</v>
      </c>
      <c r="W34" s="3229">
        <v>1</v>
      </c>
      <c r="X34" s="121"/>
      <c r="Y34" s="121"/>
      <c r="Z34" s="121">
        <v>12</v>
      </c>
      <c r="AC34" s="161"/>
      <c r="AF34" s="738" t="s">
        <v>573</v>
      </c>
      <c r="AG34" s="2601">
        <v>4</v>
      </c>
      <c r="AH34" s="2601">
        <v>2</v>
      </c>
      <c r="AI34" s="2601">
        <v>50</v>
      </c>
      <c r="AJ34" s="2601">
        <v>1</v>
      </c>
      <c r="AK34" s="151"/>
      <c r="AL34" s="151"/>
      <c r="AM34" s="151">
        <v>57</v>
      </c>
      <c r="AN34" s="912">
        <f>+(AM31+AM33)/AM34</f>
        <v>0.82456140350877194</v>
      </c>
      <c r="AP34" s="2173" t="s">
        <v>25</v>
      </c>
      <c r="AQ34" s="2173" t="s">
        <v>16</v>
      </c>
      <c r="AR34" s="2173" t="s">
        <v>108</v>
      </c>
      <c r="AS34" s="2174" t="s">
        <v>1288</v>
      </c>
      <c r="AT34" s="2175"/>
      <c r="AU34" s="2175"/>
      <c r="AV34" s="2175"/>
      <c r="AW34" s="2176">
        <v>12</v>
      </c>
      <c r="AX34" s="2175"/>
      <c r="AY34" s="2177"/>
      <c r="AZ34" s="2178">
        <v>12</v>
      </c>
      <c r="BA34" s="2169"/>
      <c r="BC34" s="774"/>
      <c r="BD34" s="774"/>
      <c r="BE34" s="775"/>
      <c r="BF34" s="776" t="s">
        <v>1288</v>
      </c>
      <c r="BG34" s="777">
        <v>0</v>
      </c>
      <c r="BH34" s="777">
        <v>0</v>
      </c>
      <c r="BI34" s="777">
        <v>2</v>
      </c>
      <c r="BJ34" s="777">
        <v>0</v>
      </c>
      <c r="BK34" s="774"/>
      <c r="BL34" s="779">
        <v>2</v>
      </c>
      <c r="BM34" s="73"/>
      <c r="BO34" s="780"/>
      <c r="BP34" s="780"/>
      <c r="BQ34" s="804" t="s">
        <v>107</v>
      </c>
      <c r="BR34" s="782" t="s">
        <v>1283</v>
      </c>
      <c r="BS34" s="783">
        <v>0</v>
      </c>
      <c r="BT34" s="783">
        <v>0</v>
      </c>
      <c r="BU34" s="783">
        <v>0</v>
      </c>
      <c r="BV34" s="783">
        <v>0</v>
      </c>
      <c r="BW34" s="786">
        <v>29</v>
      </c>
      <c r="BX34" s="785"/>
      <c r="BY34" s="786">
        <v>29</v>
      </c>
      <c r="BZ34" s="787"/>
      <c r="CB34" s="788"/>
      <c r="CC34" s="788"/>
      <c r="CD34" s="788"/>
      <c r="CE34" s="809" t="s">
        <v>15</v>
      </c>
      <c r="CF34" s="810"/>
      <c r="CG34" s="811">
        <v>2</v>
      </c>
      <c r="CH34" s="811">
        <v>12</v>
      </c>
      <c r="CI34" s="811">
        <v>10</v>
      </c>
      <c r="CJ34" s="810"/>
      <c r="CK34" s="811">
        <v>24</v>
      </c>
      <c r="CL34" s="812">
        <f>+(CK33+CK31)/CK34</f>
        <v>0.625</v>
      </c>
      <c r="CN34" s="121"/>
      <c r="CO34" s="121"/>
      <c r="CP34" s="74"/>
      <c r="CQ34" s="74" t="s">
        <v>1377</v>
      </c>
      <c r="CR34" s="121"/>
      <c r="CS34" s="121">
        <v>0</v>
      </c>
      <c r="CT34" s="121">
        <v>0</v>
      </c>
      <c r="CU34" s="121">
        <v>1</v>
      </c>
      <c r="CV34" s="121">
        <v>1</v>
      </c>
      <c r="CW34" s="121">
        <v>2</v>
      </c>
      <c r="CX34" s="74"/>
      <c r="CY34" s="74"/>
      <c r="CZ34" s="793"/>
      <c r="DA34" s="794"/>
      <c r="DB34" s="793"/>
      <c r="DC34" s="793" t="s">
        <v>1293</v>
      </c>
      <c r="DD34" s="793">
        <v>0</v>
      </c>
      <c r="DE34" s="793">
        <v>0</v>
      </c>
      <c r="DF34" s="793">
        <v>0</v>
      </c>
      <c r="DG34" s="793">
        <v>1</v>
      </c>
      <c r="DH34" s="793">
        <v>35</v>
      </c>
      <c r="DI34" s="793">
        <v>1</v>
      </c>
      <c r="DJ34" s="793">
        <v>37</v>
      </c>
      <c r="DK34" s="793"/>
      <c r="DL34" s="795"/>
      <c r="DM34" s="74"/>
    </row>
    <row r="35" spans="1:117">
      <c r="A35" s="73"/>
      <c r="B35" s="73"/>
      <c r="C35" s="738"/>
      <c r="D35" s="738" t="s">
        <v>107</v>
      </c>
      <c r="E35" s="3262">
        <v>1</v>
      </c>
      <c r="F35" s="3262"/>
      <c r="G35" s="3262">
        <v>2</v>
      </c>
      <c r="H35" s="3262">
        <v>28</v>
      </c>
      <c r="I35" s="3262">
        <v>2</v>
      </c>
      <c r="J35" s="4674"/>
      <c r="K35" s="4674"/>
      <c r="L35" s="4674"/>
      <c r="M35" s="4674">
        <v>33</v>
      </c>
      <c r="N35" s="912">
        <f>+(M34+M33+M31)/M35</f>
        <v>0.60606060606060608</v>
      </c>
      <c r="P35" s="74"/>
      <c r="Q35" s="74"/>
      <c r="R35" s="74"/>
      <c r="S35" s="761" t="s">
        <v>15</v>
      </c>
      <c r="T35" s="3230"/>
      <c r="U35" s="3230"/>
      <c r="V35" s="3230">
        <v>11</v>
      </c>
      <c r="W35" s="3230">
        <v>1</v>
      </c>
      <c r="X35" s="729"/>
      <c r="Y35" s="729"/>
      <c r="Z35" s="729">
        <v>12</v>
      </c>
      <c r="AA35" s="3197">
        <f>+Z34/Z35</f>
        <v>1</v>
      </c>
      <c r="AC35" s="161"/>
      <c r="AD35" s="161" t="s">
        <v>41</v>
      </c>
      <c r="AE35" s="73" t="s">
        <v>109</v>
      </c>
      <c r="AF35" s="73" t="s">
        <v>1284</v>
      </c>
      <c r="AG35" s="2600">
        <v>0</v>
      </c>
      <c r="AH35" s="2600"/>
      <c r="AI35" s="2600">
        <v>3</v>
      </c>
      <c r="AJ35" s="2600">
        <v>2</v>
      </c>
      <c r="AK35" s="161">
        <v>0</v>
      </c>
      <c r="AL35" s="161">
        <v>0</v>
      </c>
      <c r="AM35" s="161">
        <v>5</v>
      </c>
      <c r="AP35" s="2173"/>
      <c r="AQ35" s="2173"/>
      <c r="AR35" s="2173"/>
      <c r="AS35" s="2174" t="s">
        <v>1293</v>
      </c>
      <c r="AT35" s="2175"/>
      <c r="AU35" s="2175"/>
      <c r="AV35" s="2175"/>
      <c r="AW35" s="2176">
        <v>2</v>
      </c>
      <c r="AX35" s="2175"/>
      <c r="AY35" s="2177"/>
      <c r="AZ35" s="2178">
        <v>2</v>
      </c>
      <c r="BA35" s="2169"/>
      <c r="BC35" s="774"/>
      <c r="BD35" s="774"/>
      <c r="BE35" s="775"/>
      <c r="BF35" s="776" t="s">
        <v>1289</v>
      </c>
      <c r="BG35" s="777">
        <v>4</v>
      </c>
      <c r="BH35" s="777">
        <v>1</v>
      </c>
      <c r="BI35" s="777">
        <v>3</v>
      </c>
      <c r="BJ35" s="777">
        <v>0</v>
      </c>
      <c r="BK35" s="774"/>
      <c r="BL35" s="779">
        <v>8</v>
      </c>
      <c r="BM35" s="73"/>
      <c r="BO35" s="780"/>
      <c r="BP35" s="780"/>
      <c r="BQ35" s="781"/>
      <c r="BR35" s="782" t="s">
        <v>1284</v>
      </c>
      <c r="BS35" s="783">
        <v>7</v>
      </c>
      <c r="BT35" s="783">
        <v>2</v>
      </c>
      <c r="BU35" s="783">
        <v>10</v>
      </c>
      <c r="BV35" s="783">
        <v>2</v>
      </c>
      <c r="BW35" s="786">
        <v>0</v>
      </c>
      <c r="BX35" s="785"/>
      <c r="BY35" s="786">
        <v>21</v>
      </c>
      <c r="BZ35" s="787"/>
      <c r="CB35" s="788"/>
      <c r="CC35" s="788"/>
      <c r="CD35" s="788" t="s">
        <v>1378</v>
      </c>
      <c r="CE35" s="789" t="s">
        <v>1283</v>
      </c>
      <c r="CF35" s="791">
        <v>0</v>
      </c>
      <c r="CG35" s="790"/>
      <c r="CH35" s="790"/>
      <c r="CI35" s="790"/>
      <c r="CJ35" s="791">
        <v>8</v>
      </c>
      <c r="CK35" s="791">
        <v>8</v>
      </c>
      <c r="CL35" s="792"/>
      <c r="CN35" s="121"/>
      <c r="CO35" s="121"/>
      <c r="CP35" s="74"/>
      <c r="CQ35" s="761" t="s">
        <v>15</v>
      </c>
      <c r="CR35" s="729"/>
      <c r="CS35" s="729">
        <v>2</v>
      </c>
      <c r="CT35" s="729">
        <v>9</v>
      </c>
      <c r="CU35" s="729">
        <v>9</v>
      </c>
      <c r="CV35" s="729">
        <v>1</v>
      </c>
      <c r="CW35" s="729">
        <v>21</v>
      </c>
      <c r="CX35" s="813">
        <f>+(CW32+CW34-CV34)/CW35</f>
        <v>0.7142857142857143</v>
      </c>
      <c r="CY35" s="74"/>
      <c r="CZ35" s="793"/>
      <c r="DA35" s="794"/>
      <c r="DB35" s="793"/>
      <c r="DC35" s="796" t="s">
        <v>15</v>
      </c>
      <c r="DD35" s="796">
        <v>6</v>
      </c>
      <c r="DE35" s="796">
        <v>0</v>
      </c>
      <c r="DF35" s="796">
        <v>0</v>
      </c>
      <c r="DG35" s="796">
        <v>1</v>
      </c>
      <c r="DH35" s="796">
        <v>37</v>
      </c>
      <c r="DI35" s="796">
        <v>2</v>
      </c>
      <c r="DJ35" s="796">
        <v>46</v>
      </c>
      <c r="DK35" s="797">
        <f>+(DJ34+DJ32-DI34)/DJ35</f>
        <v>0.84782608695652173</v>
      </c>
      <c r="DL35" s="795">
        <f>+DJ32+DJ34-DI34</f>
        <v>39</v>
      </c>
      <c r="DM35" s="74"/>
    </row>
    <row r="36" spans="1:117">
      <c r="A36" s="73" t="s">
        <v>25</v>
      </c>
      <c r="B36" s="73" t="s">
        <v>16</v>
      </c>
      <c r="C36" s="73" t="s">
        <v>108</v>
      </c>
      <c r="D36" s="73" t="s">
        <v>1283</v>
      </c>
      <c r="E36" s="3261"/>
      <c r="F36" s="3261">
        <v>0</v>
      </c>
      <c r="G36" s="3261">
        <v>0</v>
      </c>
      <c r="H36" s="3261">
        <v>0</v>
      </c>
      <c r="I36" s="3261">
        <v>1</v>
      </c>
      <c r="J36" s="161"/>
      <c r="K36" s="161"/>
      <c r="L36" s="161"/>
      <c r="M36" s="161">
        <v>1</v>
      </c>
      <c r="N36" s="73"/>
      <c r="P36" s="74"/>
      <c r="Q36" s="74"/>
      <c r="R36" s="74" t="s">
        <v>573</v>
      </c>
      <c r="S36" s="74" t="s">
        <v>1288</v>
      </c>
      <c r="T36" s="3229"/>
      <c r="U36" s="3229"/>
      <c r="V36" s="3229">
        <v>11</v>
      </c>
      <c r="W36" s="3229">
        <v>1</v>
      </c>
      <c r="X36" s="121"/>
      <c r="Y36" s="121"/>
      <c r="Z36" s="121">
        <v>12</v>
      </c>
      <c r="AC36" s="161"/>
      <c r="AF36" s="73" t="s">
        <v>1288</v>
      </c>
      <c r="AG36" s="2600">
        <v>0</v>
      </c>
      <c r="AH36" s="2600"/>
      <c r="AI36" s="2600">
        <v>2</v>
      </c>
      <c r="AJ36" s="2600">
        <v>1</v>
      </c>
      <c r="AK36" s="161">
        <v>2</v>
      </c>
      <c r="AL36" s="161">
        <v>1</v>
      </c>
      <c r="AM36" s="161">
        <v>6</v>
      </c>
      <c r="AP36" s="2173"/>
      <c r="AQ36" s="2173"/>
      <c r="AR36" s="2173"/>
      <c r="AS36" s="2174" t="s">
        <v>1377</v>
      </c>
      <c r="AT36" s="2175"/>
      <c r="AU36" s="2175"/>
      <c r="AV36" s="2175"/>
      <c r="AW36" s="2176">
        <v>1</v>
      </c>
      <c r="AX36" s="2175"/>
      <c r="AY36" s="2177"/>
      <c r="AZ36" s="2178">
        <v>1</v>
      </c>
      <c r="BA36" s="2169"/>
      <c r="BC36" s="774"/>
      <c r="BD36" s="774"/>
      <c r="BE36" s="775"/>
      <c r="BF36" s="776" t="s">
        <v>1293</v>
      </c>
      <c r="BG36" s="777">
        <v>0</v>
      </c>
      <c r="BH36" s="777">
        <v>0</v>
      </c>
      <c r="BI36" s="777">
        <v>1</v>
      </c>
      <c r="BJ36" s="777">
        <v>0</v>
      </c>
      <c r="BK36" s="774"/>
      <c r="BL36" s="779">
        <v>1</v>
      </c>
      <c r="BM36" s="73"/>
      <c r="BO36" s="780"/>
      <c r="BP36" s="780"/>
      <c r="BQ36" s="781"/>
      <c r="BR36" s="782" t="s">
        <v>1286</v>
      </c>
      <c r="BS36" s="783">
        <v>1</v>
      </c>
      <c r="BT36" s="783">
        <v>0</v>
      </c>
      <c r="BU36" s="783">
        <v>1</v>
      </c>
      <c r="BV36" s="783">
        <v>0</v>
      </c>
      <c r="BW36" s="786">
        <v>0</v>
      </c>
      <c r="BX36" s="785"/>
      <c r="BY36" s="786">
        <v>2</v>
      </c>
      <c r="BZ36" s="787"/>
      <c r="CB36" s="788"/>
      <c r="CC36" s="788"/>
      <c r="CD36" s="788"/>
      <c r="CE36" s="789" t="s">
        <v>1284</v>
      </c>
      <c r="CF36" s="791">
        <v>3</v>
      </c>
      <c r="CG36" s="790"/>
      <c r="CH36" s="790"/>
      <c r="CI36" s="790"/>
      <c r="CJ36" s="791">
        <v>0</v>
      </c>
      <c r="CK36" s="791">
        <v>3</v>
      </c>
      <c r="CL36" s="792"/>
      <c r="CN36" s="121"/>
      <c r="CO36" s="121"/>
      <c r="CP36" s="74" t="s">
        <v>110</v>
      </c>
      <c r="CQ36" s="74" t="s">
        <v>1283</v>
      </c>
      <c r="CR36" s="121"/>
      <c r="CS36" s="121"/>
      <c r="CT36" s="121"/>
      <c r="CU36" s="121"/>
      <c r="CV36" s="121">
        <v>4</v>
      </c>
      <c r="CW36" s="121">
        <v>4</v>
      </c>
      <c r="CX36" s="74"/>
      <c r="CY36" s="74"/>
      <c r="CZ36" s="793"/>
      <c r="DA36" s="794" t="s">
        <v>41</v>
      </c>
      <c r="DB36" s="793" t="s">
        <v>139</v>
      </c>
      <c r="DC36" s="793" t="s">
        <v>1283</v>
      </c>
      <c r="DD36" s="793">
        <v>0</v>
      </c>
      <c r="DE36" s="793">
        <v>0</v>
      </c>
      <c r="DF36" s="793">
        <v>0</v>
      </c>
      <c r="DG36" s="793">
        <v>0</v>
      </c>
      <c r="DH36" s="793">
        <v>3</v>
      </c>
      <c r="DI36" s="793">
        <v>10</v>
      </c>
      <c r="DJ36" s="793">
        <v>13</v>
      </c>
      <c r="DK36" s="793"/>
      <c r="DL36" s="795"/>
      <c r="DM36" s="74"/>
    </row>
    <row r="37" spans="1:117">
      <c r="A37" s="73"/>
      <c r="B37" s="73"/>
      <c r="C37" s="73"/>
      <c r="D37" s="73" t="s">
        <v>1286</v>
      </c>
      <c r="E37" s="3261"/>
      <c r="F37" s="3261">
        <v>2</v>
      </c>
      <c r="G37" s="3261">
        <v>0</v>
      </c>
      <c r="H37" s="3261">
        <v>0</v>
      </c>
      <c r="I37" s="3261">
        <v>0</v>
      </c>
      <c r="J37" s="161"/>
      <c r="K37" s="161"/>
      <c r="L37" s="161"/>
      <c r="M37" s="161">
        <v>2</v>
      </c>
      <c r="N37" s="73"/>
      <c r="P37" s="74"/>
      <c r="Q37" s="74"/>
      <c r="R37" s="74"/>
      <c r="S37" s="761" t="s">
        <v>573</v>
      </c>
      <c r="T37" s="3230"/>
      <c r="U37" s="3230"/>
      <c r="V37" s="3230">
        <v>11</v>
      </c>
      <c r="W37" s="3230">
        <v>1</v>
      </c>
      <c r="X37" s="729"/>
      <c r="Y37" s="729"/>
      <c r="Z37" s="729">
        <v>12</v>
      </c>
      <c r="AA37" s="3197">
        <f>+Z36/Z37</f>
        <v>1</v>
      </c>
      <c r="AC37" s="161"/>
      <c r="AF37" s="73" t="s">
        <v>1289</v>
      </c>
      <c r="AG37" s="2600">
        <v>1</v>
      </c>
      <c r="AH37" s="2600"/>
      <c r="AI37" s="2600">
        <v>1</v>
      </c>
      <c r="AJ37" s="2600">
        <v>0</v>
      </c>
      <c r="AK37" s="161">
        <v>0</v>
      </c>
      <c r="AL37" s="161">
        <v>0</v>
      </c>
      <c r="AM37" s="161">
        <v>2</v>
      </c>
      <c r="AP37" s="2173"/>
      <c r="AQ37" s="2173"/>
      <c r="AR37" s="2173"/>
      <c r="AS37" s="2168" t="s">
        <v>15</v>
      </c>
      <c r="AT37" s="2179"/>
      <c r="AU37" s="2179"/>
      <c r="AV37" s="2179"/>
      <c r="AW37" s="2180">
        <v>15</v>
      </c>
      <c r="AX37" s="2179"/>
      <c r="AY37" s="2181"/>
      <c r="AZ37" s="2182">
        <v>15</v>
      </c>
      <c r="BA37" s="2154">
        <f>+(AZ34+AZ35+AZ36)/AZ37</f>
        <v>1</v>
      </c>
      <c r="BC37" s="774"/>
      <c r="BD37" s="774"/>
      <c r="BE37" s="775"/>
      <c r="BF37" s="776" t="s">
        <v>1377</v>
      </c>
      <c r="BG37" s="777">
        <v>0</v>
      </c>
      <c r="BH37" s="777">
        <v>0</v>
      </c>
      <c r="BI37" s="777">
        <v>20</v>
      </c>
      <c r="BJ37" s="777">
        <v>0</v>
      </c>
      <c r="BK37" s="774"/>
      <c r="BL37" s="779">
        <v>20</v>
      </c>
      <c r="BM37" s="73"/>
      <c r="BO37" s="780"/>
      <c r="BP37" s="780"/>
      <c r="BQ37" s="781"/>
      <c r="BR37" s="782" t="s">
        <v>1288</v>
      </c>
      <c r="BS37" s="783">
        <v>0</v>
      </c>
      <c r="BT37" s="783">
        <v>0</v>
      </c>
      <c r="BU37" s="783">
        <v>20</v>
      </c>
      <c r="BV37" s="783">
        <v>0</v>
      </c>
      <c r="BW37" s="786">
        <v>0</v>
      </c>
      <c r="BX37" s="785"/>
      <c r="BY37" s="786">
        <v>20</v>
      </c>
      <c r="BZ37" s="787"/>
      <c r="CB37" s="788"/>
      <c r="CC37" s="788"/>
      <c r="CD37" s="788"/>
      <c r="CE37" s="809" t="s">
        <v>15</v>
      </c>
      <c r="CF37" s="811">
        <v>3</v>
      </c>
      <c r="CG37" s="810"/>
      <c r="CH37" s="810"/>
      <c r="CI37" s="810"/>
      <c r="CJ37" s="811">
        <v>8</v>
      </c>
      <c r="CK37" s="811">
        <v>11</v>
      </c>
      <c r="CL37" s="812">
        <v>0</v>
      </c>
      <c r="CN37" s="121"/>
      <c r="CO37" s="121"/>
      <c r="CP37" s="74"/>
      <c r="CQ37" s="761" t="s">
        <v>15</v>
      </c>
      <c r="CR37" s="729"/>
      <c r="CS37" s="729"/>
      <c r="CT37" s="729"/>
      <c r="CU37" s="729"/>
      <c r="CV37" s="729">
        <v>4</v>
      </c>
      <c r="CW37" s="729">
        <v>4</v>
      </c>
      <c r="CX37" s="815">
        <v>0</v>
      </c>
      <c r="CY37" s="74"/>
      <c r="CZ37" s="793"/>
      <c r="DA37" s="794"/>
      <c r="DB37" s="793"/>
      <c r="DC37" s="796" t="s">
        <v>15</v>
      </c>
      <c r="DD37" s="796">
        <v>0</v>
      </c>
      <c r="DE37" s="796">
        <v>0</v>
      </c>
      <c r="DF37" s="796">
        <v>0</v>
      </c>
      <c r="DG37" s="796">
        <v>0</v>
      </c>
      <c r="DH37" s="796">
        <v>3</v>
      </c>
      <c r="DI37" s="796">
        <v>10</v>
      </c>
      <c r="DJ37" s="796">
        <v>13</v>
      </c>
      <c r="DK37" s="797">
        <f>0/DJ37</f>
        <v>0</v>
      </c>
      <c r="DL37" s="795">
        <v>0</v>
      </c>
      <c r="DM37" s="74"/>
    </row>
    <row r="38" spans="1:117">
      <c r="A38" s="73"/>
      <c r="B38" s="73"/>
      <c r="C38" s="73"/>
      <c r="D38" s="73" t="s">
        <v>1288</v>
      </c>
      <c r="E38" s="3261"/>
      <c r="F38" s="3261">
        <v>0</v>
      </c>
      <c r="G38" s="3261">
        <v>0</v>
      </c>
      <c r="H38" s="3261">
        <v>1</v>
      </c>
      <c r="I38" s="3261">
        <v>1</v>
      </c>
      <c r="J38" s="161"/>
      <c r="K38" s="161"/>
      <c r="L38" s="161"/>
      <c r="M38" s="161">
        <v>2</v>
      </c>
      <c r="N38" s="73"/>
      <c r="P38" s="74"/>
      <c r="Q38" s="74" t="s">
        <v>41</v>
      </c>
      <c r="R38" s="74" t="s">
        <v>109</v>
      </c>
      <c r="S38" s="74" t="s">
        <v>1284</v>
      </c>
      <c r="T38" s="3229"/>
      <c r="U38" s="3229"/>
      <c r="V38" s="3229">
        <v>0</v>
      </c>
      <c r="W38" s="3229">
        <v>1</v>
      </c>
      <c r="X38" s="121">
        <v>0</v>
      </c>
      <c r="Y38" s="121">
        <v>1</v>
      </c>
      <c r="Z38" s="121">
        <v>2</v>
      </c>
      <c r="AC38" s="161"/>
      <c r="AF38" s="73" t="s">
        <v>1292</v>
      </c>
      <c r="AG38" s="2600">
        <v>0</v>
      </c>
      <c r="AH38" s="2600"/>
      <c r="AI38" s="2600">
        <v>0</v>
      </c>
      <c r="AJ38" s="2600">
        <v>0</v>
      </c>
      <c r="AK38" s="161">
        <v>1</v>
      </c>
      <c r="AL38" s="161">
        <v>1</v>
      </c>
      <c r="AM38" s="161">
        <v>2</v>
      </c>
      <c r="AP38" s="2173"/>
      <c r="AQ38" s="2173"/>
      <c r="AR38" s="2173" t="s">
        <v>573</v>
      </c>
      <c r="AS38" s="2174" t="s">
        <v>1288</v>
      </c>
      <c r="AT38" s="2175"/>
      <c r="AU38" s="2175"/>
      <c r="AV38" s="2175"/>
      <c r="AW38" s="2176">
        <v>12</v>
      </c>
      <c r="AX38" s="2175"/>
      <c r="AY38" s="2177"/>
      <c r="AZ38" s="2178">
        <v>12</v>
      </c>
      <c r="BA38" s="2169"/>
      <c r="BC38" s="774"/>
      <c r="BD38" s="774"/>
      <c r="BE38" s="775"/>
      <c r="BF38" s="798" t="s">
        <v>573</v>
      </c>
      <c r="BG38" s="799">
        <v>4</v>
      </c>
      <c r="BH38" s="799">
        <v>2</v>
      </c>
      <c r="BI38" s="799">
        <v>26</v>
      </c>
      <c r="BJ38" s="799">
        <v>1</v>
      </c>
      <c r="BK38" s="801"/>
      <c r="BL38" s="802">
        <v>33</v>
      </c>
      <c r="BM38" s="803">
        <f>+(BL34+BL36+BL37)/BL38</f>
        <v>0.69696969696969702</v>
      </c>
      <c r="BO38" s="780"/>
      <c r="BP38" s="780"/>
      <c r="BQ38" s="781"/>
      <c r="BR38" s="782" t="s">
        <v>1293</v>
      </c>
      <c r="BS38" s="783">
        <v>0</v>
      </c>
      <c r="BT38" s="783">
        <v>0</v>
      </c>
      <c r="BU38" s="783">
        <v>14</v>
      </c>
      <c r="BV38" s="783">
        <v>0</v>
      </c>
      <c r="BW38" s="786">
        <v>0</v>
      </c>
      <c r="BX38" s="785"/>
      <c r="BY38" s="786">
        <v>14</v>
      </c>
      <c r="BZ38" s="787"/>
      <c r="CB38" s="788" t="s">
        <v>48</v>
      </c>
      <c r="CC38" s="788" t="s">
        <v>16</v>
      </c>
      <c r="CD38" s="788" t="s">
        <v>112</v>
      </c>
      <c r="CE38" s="789" t="s">
        <v>1283</v>
      </c>
      <c r="CF38" s="791">
        <v>0</v>
      </c>
      <c r="CG38" s="790"/>
      <c r="CH38" s="791">
        <v>0</v>
      </c>
      <c r="CI38" s="791">
        <v>0</v>
      </c>
      <c r="CJ38" s="791">
        <v>27</v>
      </c>
      <c r="CK38" s="791">
        <v>27</v>
      </c>
      <c r="CL38" s="792"/>
      <c r="CN38" s="121" t="s">
        <v>48</v>
      </c>
      <c r="CO38" s="121" t="s">
        <v>16</v>
      </c>
      <c r="CP38" s="74" t="s">
        <v>135</v>
      </c>
      <c r="CQ38" s="74" t="s">
        <v>1284</v>
      </c>
      <c r="CR38" s="121"/>
      <c r="CS38" s="121"/>
      <c r="CT38" s="121">
        <v>2</v>
      </c>
      <c r="CU38" s="121">
        <v>0</v>
      </c>
      <c r="CV38" s="121"/>
      <c r="CW38" s="121">
        <v>2</v>
      </c>
      <c r="CX38" s="74"/>
      <c r="CY38" s="74"/>
      <c r="CZ38" s="793"/>
      <c r="DA38" s="794"/>
      <c r="DB38" s="793" t="s">
        <v>113</v>
      </c>
      <c r="DC38" s="793" t="s">
        <v>1286</v>
      </c>
      <c r="DD38" s="793">
        <v>0</v>
      </c>
      <c r="DE38" s="793">
        <v>0</v>
      </c>
      <c r="DF38" s="793">
        <v>1</v>
      </c>
      <c r="DG38" s="793">
        <v>0</v>
      </c>
      <c r="DH38" s="793">
        <v>0</v>
      </c>
      <c r="DI38" s="793">
        <v>0</v>
      </c>
      <c r="DJ38" s="793">
        <v>1</v>
      </c>
      <c r="DK38" s="793"/>
      <c r="DL38" s="795"/>
      <c r="DM38" s="74"/>
    </row>
    <row r="39" spans="1:117">
      <c r="A39" s="73"/>
      <c r="B39" s="73"/>
      <c r="C39" s="73"/>
      <c r="D39" s="73" t="s">
        <v>1289</v>
      </c>
      <c r="E39" s="3261"/>
      <c r="F39" s="3261">
        <v>0</v>
      </c>
      <c r="G39" s="3261">
        <v>4</v>
      </c>
      <c r="H39" s="3261">
        <v>2</v>
      </c>
      <c r="I39" s="3261">
        <v>0</v>
      </c>
      <c r="J39" s="161"/>
      <c r="K39" s="161"/>
      <c r="L39" s="161"/>
      <c r="M39" s="161">
        <v>6</v>
      </c>
      <c r="N39" s="73"/>
      <c r="P39" s="74"/>
      <c r="Q39" s="74"/>
      <c r="R39" s="74"/>
      <c r="S39" s="74" t="s">
        <v>1288</v>
      </c>
      <c r="T39" s="3229"/>
      <c r="U39" s="3229"/>
      <c r="V39" s="3229">
        <v>2</v>
      </c>
      <c r="W39" s="3229">
        <v>1</v>
      </c>
      <c r="X39" s="121">
        <v>1</v>
      </c>
      <c r="Y39" s="121">
        <v>0</v>
      </c>
      <c r="Z39" s="121">
        <v>4</v>
      </c>
      <c r="AC39" s="161"/>
      <c r="AF39" s="73" t="s">
        <v>1377</v>
      </c>
      <c r="AG39" s="2600">
        <v>0</v>
      </c>
      <c r="AH39" s="2600"/>
      <c r="AI39" s="2600">
        <v>1</v>
      </c>
      <c r="AJ39" s="2600">
        <v>1</v>
      </c>
      <c r="AK39" s="161">
        <v>1</v>
      </c>
      <c r="AL39" s="161">
        <v>0</v>
      </c>
      <c r="AM39" s="161">
        <v>3</v>
      </c>
      <c r="AP39" s="2173"/>
      <c r="AQ39" s="2173"/>
      <c r="AR39" s="2173"/>
      <c r="AS39" s="2174" t="s">
        <v>1293</v>
      </c>
      <c r="AT39" s="2175"/>
      <c r="AU39" s="2175"/>
      <c r="AV39" s="2175"/>
      <c r="AW39" s="2176">
        <v>2</v>
      </c>
      <c r="AX39" s="2175"/>
      <c r="AY39" s="2177"/>
      <c r="AZ39" s="2178">
        <v>2</v>
      </c>
      <c r="BA39" s="2169"/>
      <c r="BC39" s="774"/>
      <c r="BD39" s="774" t="s">
        <v>41</v>
      </c>
      <c r="BE39" s="775" t="s">
        <v>109</v>
      </c>
      <c r="BF39" s="776" t="s">
        <v>1284</v>
      </c>
      <c r="BG39" s="777">
        <v>1</v>
      </c>
      <c r="BH39" s="778"/>
      <c r="BI39" s="777">
        <v>3</v>
      </c>
      <c r="BJ39" s="777">
        <v>1</v>
      </c>
      <c r="BK39" s="779">
        <v>0</v>
      </c>
      <c r="BL39" s="779">
        <v>5</v>
      </c>
      <c r="BM39" s="73"/>
      <c r="BO39" s="780"/>
      <c r="BP39" s="780"/>
      <c r="BQ39" s="781"/>
      <c r="BR39" s="782" t="s">
        <v>1377</v>
      </c>
      <c r="BS39" s="783">
        <v>0</v>
      </c>
      <c r="BT39" s="783">
        <v>0</v>
      </c>
      <c r="BU39" s="783">
        <v>7</v>
      </c>
      <c r="BV39" s="783">
        <v>0</v>
      </c>
      <c r="BW39" s="786">
        <v>0</v>
      </c>
      <c r="BX39" s="785"/>
      <c r="BY39" s="786">
        <v>7</v>
      </c>
      <c r="BZ39" s="787"/>
      <c r="CB39" s="788"/>
      <c r="CC39" s="788"/>
      <c r="CD39" s="788"/>
      <c r="CE39" s="789" t="s">
        <v>1284</v>
      </c>
      <c r="CF39" s="791">
        <v>1</v>
      </c>
      <c r="CG39" s="790"/>
      <c r="CH39" s="791">
        <v>1</v>
      </c>
      <c r="CI39" s="791">
        <v>9</v>
      </c>
      <c r="CJ39" s="791">
        <v>0</v>
      </c>
      <c r="CK39" s="791">
        <v>11</v>
      </c>
      <c r="CL39" s="792"/>
      <c r="CN39" s="121"/>
      <c r="CO39" s="121"/>
      <c r="CP39" s="74"/>
      <c r="CQ39" s="74" t="s">
        <v>1288</v>
      </c>
      <c r="CR39" s="121"/>
      <c r="CS39" s="121"/>
      <c r="CT39" s="121">
        <v>0</v>
      </c>
      <c r="CU39" s="121">
        <v>2</v>
      </c>
      <c r="CV39" s="121"/>
      <c r="CW39" s="121">
        <v>2</v>
      </c>
      <c r="CX39" s="74"/>
      <c r="CY39" s="74"/>
      <c r="CZ39" s="793"/>
      <c r="DA39" s="794"/>
      <c r="DB39" s="793"/>
      <c r="DC39" s="793" t="s">
        <v>1289</v>
      </c>
      <c r="DD39" s="793">
        <v>0</v>
      </c>
      <c r="DE39" s="793">
        <v>0</v>
      </c>
      <c r="DF39" s="793">
        <v>1</v>
      </c>
      <c r="DG39" s="793">
        <v>1</v>
      </c>
      <c r="DH39" s="793">
        <v>0</v>
      </c>
      <c r="DI39" s="793">
        <v>0</v>
      </c>
      <c r="DJ39" s="793">
        <v>2</v>
      </c>
      <c r="DK39" s="793"/>
      <c r="DL39" s="795"/>
      <c r="DM39" s="74"/>
    </row>
    <row r="40" spans="1:117">
      <c r="A40" s="73"/>
      <c r="B40" s="73"/>
      <c r="C40" s="73"/>
      <c r="D40" s="73" t="s">
        <v>1377</v>
      </c>
      <c r="E40" s="3261"/>
      <c r="F40" s="3261">
        <v>0</v>
      </c>
      <c r="G40" s="3261">
        <v>0</v>
      </c>
      <c r="H40" s="3261">
        <v>44</v>
      </c>
      <c r="I40" s="3261">
        <v>6</v>
      </c>
      <c r="J40" s="161"/>
      <c r="K40" s="161"/>
      <c r="L40" s="161"/>
      <c r="M40" s="161">
        <v>50</v>
      </c>
      <c r="N40" s="73"/>
      <c r="P40" s="74"/>
      <c r="Q40" s="74"/>
      <c r="R40" s="74"/>
      <c r="S40" s="74" t="s">
        <v>1292</v>
      </c>
      <c r="T40" s="3229"/>
      <c r="U40" s="3229"/>
      <c r="V40" s="3229">
        <v>0</v>
      </c>
      <c r="W40" s="3229">
        <v>0</v>
      </c>
      <c r="X40" s="121">
        <v>2</v>
      </c>
      <c r="Y40" s="121">
        <v>1</v>
      </c>
      <c r="Z40" s="121">
        <v>3</v>
      </c>
      <c r="AC40" s="161"/>
      <c r="AF40" s="738" t="s">
        <v>15</v>
      </c>
      <c r="AG40" s="2601">
        <v>1</v>
      </c>
      <c r="AH40" s="2601"/>
      <c r="AI40" s="2601">
        <v>7</v>
      </c>
      <c r="AJ40" s="2601">
        <v>4</v>
      </c>
      <c r="AK40" s="151">
        <v>4</v>
      </c>
      <c r="AL40" s="151">
        <v>2</v>
      </c>
      <c r="AM40" s="151">
        <v>18</v>
      </c>
      <c r="AN40" s="912">
        <f>+(AM36+AM39-AK36-AL36-AK39)/AM40</f>
        <v>0.27777777777777779</v>
      </c>
      <c r="AP40" s="2173"/>
      <c r="AQ40" s="2173"/>
      <c r="AR40" s="2173"/>
      <c r="AS40" s="2174" t="s">
        <v>1377</v>
      </c>
      <c r="AT40" s="2175"/>
      <c r="AU40" s="2175"/>
      <c r="AV40" s="2175"/>
      <c r="AW40" s="2176">
        <v>1</v>
      </c>
      <c r="AX40" s="2175"/>
      <c r="AY40" s="2177"/>
      <c r="AZ40" s="2178">
        <v>1</v>
      </c>
      <c r="BA40" s="2169"/>
      <c r="BC40" s="774"/>
      <c r="BD40" s="774"/>
      <c r="BE40" s="775"/>
      <c r="BF40" s="776" t="s">
        <v>1288</v>
      </c>
      <c r="BG40" s="777">
        <v>0</v>
      </c>
      <c r="BH40" s="778"/>
      <c r="BI40" s="777">
        <v>1</v>
      </c>
      <c r="BJ40" s="777">
        <v>0</v>
      </c>
      <c r="BK40" s="779">
        <v>0</v>
      </c>
      <c r="BL40" s="779">
        <v>1</v>
      </c>
      <c r="BM40" s="73"/>
      <c r="BO40" s="780"/>
      <c r="BP40" s="780"/>
      <c r="BQ40" s="781"/>
      <c r="BR40" s="804" t="s">
        <v>107</v>
      </c>
      <c r="BS40" s="805">
        <v>8</v>
      </c>
      <c r="BT40" s="805">
        <v>2</v>
      </c>
      <c r="BU40" s="805">
        <v>52</v>
      </c>
      <c r="BV40" s="805">
        <v>2</v>
      </c>
      <c r="BW40" s="808">
        <v>29</v>
      </c>
      <c r="BX40" s="807"/>
      <c r="BY40" s="808">
        <v>93</v>
      </c>
      <c r="BZ40" s="787">
        <f>+(BY39+BY38+BY37)/BY40</f>
        <v>0.44086021505376344</v>
      </c>
      <c r="CB40" s="788"/>
      <c r="CC40" s="788"/>
      <c r="CD40" s="788"/>
      <c r="CE40" s="809" t="s">
        <v>15</v>
      </c>
      <c r="CF40" s="811">
        <v>1</v>
      </c>
      <c r="CG40" s="810"/>
      <c r="CH40" s="811">
        <v>1</v>
      </c>
      <c r="CI40" s="811">
        <v>9</v>
      </c>
      <c r="CJ40" s="811">
        <v>27</v>
      </c>
      <c r="CK40" s="811">
        <v>38</v>
      </c>
      <c r="CL40" s="812">
        <v>0</v>
      </c>
      <c r="CN40" s="121"/>
      <c r="CO40" s="121"/>
      <c r="CP40" s="74"/>
      <c r="CQ40" s="74" t="s">
        <v>1293</v>
      </c>
      <c r="CR40" s="121"/>
      <c r="CS40" s="121"/>
      <c r="CT40" s="121">
        <v>0</v>
      </c>
      <c r="CU40" s="121">
        <v>15</v>
      </c>
      <c r="CV40" s="121"/>
      <c r="CW40" s="121">
        <v>15</v>
      </c>
      <c r="CX40" s="74"/>
      <c r="CY40" s="74"/>
      <c r="CZ40" s="793"/>
      <c r="DA40" s="794"/>
      <c r="DB40" s="793"/>
      <c r="DC40" s="793" t="s">
        <v>1377</v>
      </c>
      <c r="DD40" s="793">
        <v>0</v>
      </c>
      <c r="DE40" s="793">
        <v>0</v>
      </c>
      <c r="DF40" s="793">
        <v>0</v>
      </c>
      <c r="DG40" s="793">
        <v>4</v>
      </c>
      <c r="DH40" s="793">
        <v>1</v>
      </c>
      <c r="DI40" s="793">
        <v>0</v>
      </c>
      <c r="DJ40" s="793">
        <v>5</v>
      </c>
      <c r="DK40" s="793"/>
      <c r="DL40" s="795"/>
      <c r="DM40" s="74"/>
    </row>
    <row r="41" spans="1:117" ht="15.75" thickBot="1">
      <c r="A41" s="73"/>
      <c r="B41" s="73"/>
      <c r="C41" s="73"/>
      <c r="D41" s="738" t="s">
        <v>15</v>
      </c>
      <c r="E41" s="3262"/>
      <c r="F41" s="3262">
        <v>2</v>
      </c>
      <c r="G41" s="3262">
        <v>4</v>
      </c>
      <c r="H41" s="3262">
        <v>47</v>
      </c>
      <c r="I41" s="3262">
        <v>8</v>
      </c>
      <c r="J41" s="4674"/>
      <c r="K41" s="4674"/>
      <c r="L41" s="4674"/>
      <c r="M41" s="4674">
        <v>61</v>
      </c>
      <c r="N41" s="912">
        <f>+(M40+M38)/M41</f>
        <v>0.85245901639344257</v>
      </c>
      <c r="P41" s="74"/>
      <c r="Q41" s="74"/>
      <c r="R41" s="74"/>
      <c r="S41" s="74" t="s">
        <v>1377</v>
      </c>
      <c r="T41" s="3229"/>
      <c r="U41" s="3229"/>
      <c r="V41" s="3229">
        <v>1</v>
      </c>
      <c r="W41" s="3229">
        <v>1</v>
      </c>
      <c r="X41" s="121">
        <v>1</v>
      </c>
      <c r="Y41" s="121">
        <v>0</v>
      </c>
      <c r="Z41" s="121">
        <v>3</v>
      </c>
      <c r="AC41" s="161"/>
      <c r="AE41" s="73" t="s">
        <v>575</v>
      </c>
      <c r="AF41" s="73" t="s">
        <v>1284</v>
      </c>
      <c r="AG41" s="2600">
        <v>0</v>
      </c>
      <c r="AH41" s="2600"/>
      <c r="AI41" s="2600">
        <v>3</v>
      </c>
      <c r="AJ41" s="2600">
        <v>2</v>
      </c>
      <c r="AK41" s="161">
        <v>0</v>
      </c>
      <c r="AL41" s="161">
        <v>0</v>
      </c>
      <c r="AM41" s="161">
        <v>5</v>
      </c>
      <c r="AP41" s="2173"/>
      <c r="AQ41" s="2173"/>
      <c r="AR41" s="2173"/>
      <c r="AS41" s="2168" t="s">
        <v>573</v>
      </c>
      <c r="AT41" s="2179"/>
      <c r="AU41" s="2179"/>
      <c r="AV41" s="2179"/>
      <c r="AW41" s="2180">
        <v>15</v>
      </c>
      <c r="AX41" s="2179"/>
      <c r="AY41" s="2181"/>
      <c r="AZ41" s="2182">
        <v>15</v>
      </c>
      <c r="BA41" s="2154">
        <f>+(AZ38+AZ39+AZ40)/AZ41</f>
        <v>1</v>
      </c>
      <c r="BC41" s="774"/>
      <c r="BD41" s="774"/>
      <c r="BE41" s="775"/>
      <c r="BF41" s="776" t="s">
        <v>1289</v>
      </c>
      <c r="BG41" s="777">
        <v>0</v>
      </c>
      <c r="BH41" s="778"/>
      <c r="BI41" s="777">
        <v>1</v>
      </c>
      <c r="BJ41" s="777">
        <v>0</v>
      </c>
      <c r="BK41" s="779">
        <v>1</v>
      </c>
      <c r="BL41" s="779">
        <v>2</v>
      </c>
      <c r="BM41" s="73"/>
      <c r="BO41" s="780" t="s">
        <v>25</v>
      </c>
      <c r="BP41" s="780" t="s">
        <v>16</v>
      </c>
      <c r="BQ41" s="781" t="s">
        <v>108</v>
      </c>
      <c r="BR41" s="782" t="s">
        <v>1288</v>
      </c>
      <c r="BS41" s="784"/>
      <c r="BT41" s="784"/>
      <c r="BU41" s="783">
        <v>13</v>
      </c>
      <c r="BV41" s="783">
        <v>1</v>
      </c>
      <c r="BW41" s="785"/>
      <c r="BX41" s="785"/>
      <c r="BY41" s="786">
        <v>14</v>
      </c>
      <c r="BZ41" s="787"/>
      <c r="CB41" s="788"/>
      <c r="CC41" s="788" t="s">
        <v>41</v>
      </c>
      <c r="CD41" s="788" t="s">
        <v>139</v>
      </c>
      <c r="CE41" s="789" t="s">
        <v>1283</v>
      </c>
      <c r="CF41" s="790"/>
      <c r="CG41" s="790"/>
      <c r="CH41" s="790"/>
      <c r="CI41" s="791">
        <v>0</v>
      </c>
      <c r="CJ41" s="791">
        <v>18</v>
      </c>
      <c r="CK41" s="791">
        <v>18</v>
      </c>
      <c r="CL41" s="792"/>
      <c r="CN41" s="121"/>
      <c r="CO41" s="121"/>
      <c r="CP41" s="74"/>
      <c r="CQ41" s="761" t="s">
        <v>15</v>
      </c>
      <c r="CR41" s="729"/>
      <c r="CS41" s="729"/>
      <c r="CT41" s="729">
        <v>2</v>
      </c>
      <c r="CU41" s="729">
        <v>17</v>
      </c>
      <c r="CV41" s="729"/>
      <c r="CW41" s="729">
        <v>19</v>
      </c>
      <c r="CX41" s="813">
        <f>+(CW39+CW40)/CW41</f>
        <v>0.89473684210526316</v>
      </c>
      <c r="CY41" s="74"/>
      <c r="CZ41" s="816"/>
      <c r="DA41" s="817"/>
      <c r="DB41" s="816"/>
      <c r="DC41" s="816" t="s">
        <v>15</v>
      </c>
      <c r="DD41" s="816">
        <v>0</v>
      </c>
      <c r="DE41" s="816">
        <v>0</v>
      </c>
      <c r="DF41" s="816">
        <v>2</v>
      </c>
      <c r="DG41" s="816">
        <v>5</v>
      </c>
      <c r="DH41" s="816">
        <v>1</v>
      </c>
      <c r="DI41" s="816">
        <v>0</v>
      </c>
      <c r="DJ41" s="816">
        <v>8</v>
      </c>
      <c r="DK41" s="818">
        <f>+DJ40/DJ41</f>
        <v>0.625</v>
      </c>
      <c r="DL41" s="770">
        <f>+DJ40</f>
        <v>5</v>
      </c>
      <c r="DM41" s="74"/>
    </row>
    <row r="42" spans="1:117">
      <c r="A42" s="73"/>
      <c r="B42" s="73"/>
      <c r="C42" s="738" t="s">
        <v>573</v>
      </c>
      <c r="D42" s="738" t="s">
        <v>1283</v>
      </c>
      <c r="E42" s="3262"/>
      <c r="F42" s="3262">
        <v>0</v>
      </c>
      <c r="G42" s="3262">
        <v>0</v>
      </c>
      <c r="H42" s="3262">
        <v>0</v>
      </c>
      <c r="I42" s="3262">
        <v>1</v>
      </c>
      <c r="J42" s="4674"/>
      <c r="K42" s="4674"/>
      <c r="L42" s="4674"/>
      <c r="M42" s="4674">
        <v>1</v>
      </c>
      <c r="N42" s="73"/>
      <c r="P42" s="74"/>
      <c r="Q42" s="74"/>
      <c r="R42" s="74"/>
      <c r="S42" s="761" t="s">
        <v>15</v>
      </c>
      <c r="T42" s="3230"/>
      <c r="U42" s="3230"/>
      <c r="V42" s="3230">
        <v>3</v>
      </c>
      <c r="W42" s="3230">
        <v>3</v>
      </c>
      <c r="X42" s="729">
        <v>4</v>
      </c>
      <c r="Y42" s="729">
        <v>2</v>
      </c>
      <c r="Z42" s="729">
        <v>12</v>
      </c>
      <c r="AA42" s="3197">
        <f>+(Z39-X39+Z41-X41)/Z42</f>
        <v>0.41666666666666669</v>
      </c>
      <c r="AC42" s="161"/>
      <c r="AF42" s="73" t="s">
        <v>1288</v>
      </c>
      <c r="AG42" s="2600">
        <v>0</v>
      </c>
      <c r="AH42" s="2600"/>
      <c r="AI42" s="2600">
        <v>2</v>
      </c>
      <c r="AJ42" s="2600">
        <v>1</v>
      </c>
      <c r="AK42" s="161">
        <v>2</v>
      </c>
      <c r="AL42" s="161">
        <v>1</v>
      </c>
      <c r="AM42" s="161">
        <v>6</v>
      </c>
      <c r="AP42" s="2173"/>
      <c r="AQ42" s="2173" t="s">
        <v>41</v>
      </c>
      <c r="AR42" s="2173" t="s">
        <v>109</v>
      </c>
      <c r="AS42" s="2174" t="s">
        <v>1284</v>
      </c>
      <c r="AT42" s="2175"/>
      <c r="AU42" s="2175"/>
      <c r="AV42" s="2175"/>
      <c r="AW42" s="2176">
        <v>1</v>
      </c>
      <c r="AX42" s="2176">
        <v>3</v>
      </c>
      <c r="AY42" s="2178">
        <v>0</v>
      </c>
      <c r="AZ42" s="2178">
        <v>4</v>
      </c>
      <c r="BA42" s="2169"/>
      <c r="BC42" s="774"/>
      <c r="BD42" s="774"/>
      <c r="BE42" s="775"/>
      <c r="BF42" s="776" t="s">
        <v>1377</v>
      </c>
      <c r="BG42" s="777">
        <v>0</v>
      </c>
      <c r="BH42" s="778"/>
      <c r="BI42" s="777">
        <v>4</v>
      </c>
      <c r="BJ42" s="777">
        <v>1</v>
      </c>
      <c r="BK42" s="779">
        <v>0</v>
      </c>
      <c r="BL42" s="779">
        <v>5</v>
      </c>
      <c r="BM42" s="73"/>
      <c r="BO42" s="780"/>
      <c r="BP42" s="780"/>
      <c r="BQ42" s="781"/>
      <c r="BR42" s="782" t="s">
        <v>1293</v>
      </c>
      <c r="BS42" s="784"/>
      <c r="BT42" s="784"/>
      <c r="BU42" s="783">
        <v>1</v>
      </c>
      <c r="BV42" s="783">
        <v>0</v>
      </c>
      <c r="BW42" s="785"/>
      <c r="BX42" s="785"/>
      <c r="BY42" s="786">
        <v>1</v>
      </c>
      <c r="BZ42" s="787"/>
      <c r="CB42" s="788"/>
      <c r="CC42" s="788"/>
      <c r="CD42" s="788"/>
      <c r="CE42" s="789" t="s">
        <v>1284</v>
      </c>
      <c r="CF42" s="790"/>
      <c r="CG42" s="790"/>
      <c r="CH42" s="790"/>
      <c r="CI42" s="791">
        <v>2</v>
      </c>
      <c r="CJ42" s="791">
        <v>0</v>
      </c>
      <c r="CK42" s="791">
        <v>2</v>
      </c>
      <c r="CL42" s="792"/>
      <c r="CN42" s="121"/>
      <c r="CO42" s="121" t="s">
        <v>41</v>
      </c>
      <c r="CP42" s="74" t="s">
        <v>113</v>
      </c>
      <c r="CQ42" s="74" t="s">
        <v>1284</v>
      </c>
      <c r="CR42" s="121"/>
      <c r="CS42" s="121"/>
      <c r="CT42" s="121">
        <v>5</v>
      </c>
      <c r="CU42" s="121"/>
      <c r="CV42" s="121"/>
      <c r="CW42" s="121">
        <v>5</v>
      </c>
      <c r="CX42" s="74"/>
      <c r="CY42" s="74"/>
      <c r="CZ42" s="793"/>
      <c r="DA42" s="794"/>
      <c r="DB42" s="793"/>
      <c r="DC42" s="793"/>
      <c r="DD42" s="793"/>
      <c r="DE42" s="793"/>
      <c r="DF42" s="793"/>
      <c r="DG42" s="793"/>
      <c r="DH42" s="793"/>
      <c r="DI42" s="793"/>
      <c r="DJ42" s="793"/>
      <c r="DK42" s="793"/>
      <c r="DL42" s="793"/>
      <c r="DM42" s="74"/>
    </row>
    <row r="43" spans="1:117" ht="15.75" thickBot="1">
      <c r="A43" s="73"/>
      <c r="B43" s="73"/>
      <c r="C43" s="738"/>
      <c r="D43" s="738" t="s">
        <v>1286</v>
      </c>
      <c r="E43" s="3262"/>
      <c r="F43" s="3262">
        <v>2</v>
      </c>
      <c r="G43" s="3262">
        <v>0</v>
      </c>
      <c r="H43" s="3262">
        <v>0</v>
      </c>
      <c r="I43" s="3262">
        <v>0</v>
      </c>
      <c r="J43" s="4674"/>
      <c r="K43" s="4674"/>
      <c r="L43" s="4674"/>
      <c r="M43" s="4674">
        <v>2</v>
      </c>
      <c r="N43" s="73"/>
      <c r="P43" s="74"/>
      <c r="Q43" s="74"/>
      <c r="R43" s="3231" t="s">
        <v>620</v>
      </c>
      <c r="S43" s="3231" t="s">
        <v>1283</v>
      </c>
      <c r="T43" s="3229"/>
      <c r="U43" s="3229"/>
      <c r="V43" s="3229"/>
      <c r="W43" s="3229"/>
      <c r="X43" s="3232">
        <v>5</v>
      </c>
      <c r="Y43" s="3232"/>
      <c r="Z43" s="3232">
        <v>5</v>
      </c>
      <c r="AC43" s="161"/>
      <c r="AF43" s="73" t="s">
        <v>1289</v>
      </c>
      <c r="AG43" s="2600">
        <v>1</v>
      </c>
      <c r="AH43" s="2600"/>
      <c r="AI43" s="2600">
        <v>1</v>
      </c>
      <c r="AJ43" s="2600">
        <v>0</v>
      </c>
      <c r="AK43" s="161">
        <v>0</v>
      </c>
      <c r="AL43" s="161">
        <v>0</v>
      </c>
      <c r="AM43" s="161">
        <v>2</v>
      </c>
      <c r="AP43" s="2173"/>
      <c r="AQ43" s="2173"/>
      <c r="AR43" s="2173"/>
      <c r="AS43" s="2174" t="s">
        <v>1288</v>
      </c>
      <c r="AT43" s="2175"/>
      <c r="AU43" s="2175"/>
      <c r="AV43" s="2175"/>
      <c r="AW43" s="2176">
        <v>1</v>
      </c>
      <c r="AX43" s="2176">
        <v>4</v>
      </c>
      <c r="AY43" s="2178">
        <v>0</v>
      </c>
      <c r="AZ43" s="2178">
        <v>5</v>
      </c>
      <c r="BA43" s="2169"/>
      <c r="BC43" s="774"/>
      <c r="BD43" s="774"/>
      <c r="BE43" s="775"/>
      <c r="BF43" s="798" t="s">
        <v>15</v>
      </c>
      <c r="BG43" s="799">
        <v>1</v>
      </c>
      <c r="BH43" s="800"/>
      <c r="BI43" s="799">
        <v>9</v>
      </c>
      <c r="BJ43" s="799">
        <v>2</v>
      </c>
      <c r="BK43" s="802">
        <v>1</v>
      </c>
      <c r="BL43" s="802">
        <v>13</v>
      </c>
      <c r="BM43" s="803">
        <f>+(BL40+BL42)/BL43</f>
        <v>0.46153846153846156</v>
      </c>
      <c r="BO43" s="780"/>
      <c r="BP43" s="780"/>
      <c r="BQ43" s="781"/>
      <c r="BR43" s="804" t="s">
        <v>15</v>
      </c>
      <c r="BS43" s="806"/>
      <c r="BT43" s="806"/>
      <c r="BU43" s="805">
        <v>14</v>
      </c>
      <c r="BV43" s="805">
        <v>1</v>
      </c>
      <c r="BW43" s="807"/>
      <c r="BX43" s="807"/>
      <c r="BY43" s="808">
        <v>15</v>
      </c>
      <c r="BZ43" s="787">
        <f>+(BY42+BY41)/BY43</f>
        <v>1</v>
      </c>
      <c r="CB43" s="788"/>
      <c r="CC43" s="788"/>
      <c r="CD43" s="788"/>
      <c r="CE43" s="809" t="s">
        <v>15</v>
      </c>
      <c r="CF43" s="810"/>
      <c r="CG43" s="810"/>
      <c r="CH43" s="810"/>
      <c r="CI43" s="811">
        <v>2</v>
      </c>
      <c r="CJ43" s="811">
        <v>18</v>
      </c>
      <c r="CK43" s="811">
        <v>20</v>
      </c>
      <c r="CL43" s="812">
        <v>0</v>
      </c>
      <c r="CN43" s="819"/>
      <c r="CO43" s="819"/>
      <c r="CP43" s="820"/>
      <c r="CQ43" s="821" t="s">
        <v>15</v>
      </c>
      <c r="CR43" s="768"/>
      <c r="CS43" s="768"/>
      <c r="CT43" s="768">
        <v>5</v>
      </c>
      <c r="CU43" s="768"/>
      <c r="CV43" s="768"/>
      <c r="CW43" s="768">
        <v>5</v>
      </c>
      <c r="CX43" s="822">
        <v>0</v>
      </c>
      <c r="CY43" s="74"/>
      <c r="CZ43" s="793"/>
      <c r="DA43" s="794"/>
      <c r="DB43" s="793"/>
      <c r="DC43" s="793"/>
      <c r="DD43" s="793"/>
      <c r="DE43" s="793"/>
      <c r="DF43" s="793"/>
      <c r="DG43" s="793"/>
      <c r="DH43" s="793"/>
      <c r="DI43" s="793"/>
      <c r="DJ43" s="793"/>
      <c r="DK43" s="793"/>
      <c r="DL43" s="793"/>
      <c r="DM43" s="74"/>
    </row>
    <row r="44" spans="1:117">
      <c r="A44" s="73"/>
      <c r="B44" s="73"/>
      <c r="C44" s="738"/>
      <c r="D44" s="738" t="s">
        <v>1288</v>
      </c>
      <c r="E44" s="3262"/>
      <c r="F44" s="3262">
        <v>0</v>
      </c>
      <c r="G44" s="3262">
        <v>0</v>
      </c>
      <c r="H44" s="3262">
        <v>1</v>
      </c>
      <c r="I44" s="3262">
        <v>1</v>
      </c>
      <c r="J44" s="4674"/>
      <c r="K44" s="4674"/>
      <c r="L44" s="4674"/>
      <c r="M44" s="4674">
        <v>2</v>
      </c>
      <c r="N44" s="73"/>
      <c r="P44" s="74"/>
      <c r="Q44" s="74"/>
      <c r="R44" s="3231"/>
      <c r="S44" s="3233" t="s">
        <v>15</v>
      </c>
      <c r="T44" s="3230"/>
      <c r="U44" s="3230"/>
      <c r="V44" s="3230"/>
      <c r="W44" s="3230"/>
      <c r="X44" s="3234">
        <v>5</v>
      </c>
      <c r="Y44" s="3234"/>
      <c r="Z44" s="3234">
        <v>5</v>
      </c>
      <c r="AA44" s="191" t="s">
        <v>656</v>
      </c>
      <c r="AC44" s="161"/>
      <c r="AF44" s="73" t="s">
        <v>1292</v>
      </c>
      <c r="AG44" s="2600">
        <v>0</v>
      </c>
      <c r="AH44" s="2600"/>
      <c r="AI44" s="2600">
        <v>0</v>
      </c>
      <c r="AJ44" s="2600">
        <v>0</v>
      </c>
      <c r="AK44" s="161">
        <v>1</v>
      </c>
      <c r="AL44" s="161">
        <v>1</v>
      </c>
      <c r="AM44" s="161">
        <v>2</v>
      </c>
      <c r="AP44" s="2173"/>
      <c r="AQ44" s="2173"/>
      <c r="AR44" s="2173"/>
      <c r="AS44" s="2174" t="s">
        <v>1289</v>
      </c>
      <c r="AT44" s="2175"/>
      <c r="AU44" s="2175"/>
      <c r="AV44" s="2175"/>
      <c r="AW44" s="2176">
        <v>0</v>
      </c>
      <c r="AX44" s="2176">
        <v>2</v>
      </c>
      <c r="AY44" s="2178">
        <v>0</v>
      </c>
      <c r="AZ44" s="2178">
        <v>2</v>
      </c>
      <c r="BA44" s="2169"/>
      <c r="BC44" s="774"/>
      <c r="BD44" s="774"/>
      <c r="BE44" s="823" t="s">
        <v>620</v>
      </c>
      <c r="BF44" s="824" t="s">
        <v>1284</v>
      </c>
      <c r="BG44" s="777">
        <v>1</v>
      </c>
      <c r="BH44" s="777">
        <v>1</v>
      </c>
      <c r="BI44" s="777">
        <v>0</v>
      </c>
      <c r="BJ44" s="778">
        <v>0</v>
      </c>
      <c r="BK44" s="825">
        <v>0</v>
      </c>
      <c r="BL44" s="825">
        <v>2</v>
      </c>
      <c r="BM44" s="826"/>
      <c r="BO44" s="780"/>
      <c r="BP44" s="780"/>
      <c r="BQ44" s="804" t="s">
        <v>573</v>
      </c>
      <c r="BR44" s="782" t="s">
        <v>1288</v>
      </c>
      <c r="BS44" s="784"/>
      <c r="BT44" s="784"/>
      <c r="BU44" s="783">
        <v>13</v>
      </c>
      <c r="BV44" s="783">
        <v>1</v>
      </c>
      <c r="BW44" s="785"/>
      <c r="BX44" s="785"/>
      <c r="BY44" s="786">
        <v>14</v>
      </c>
      <c r="BZ44" s="787"/>
      <c r="CB44" s="788"/>
      <c r="CC44" s="788"/>
      <c r="CD44" s="788" t="s">
        <v>113</v>
      </c>
      <c r="CE44" s="789" t="s">
        <v>1286</v>
      </c>
      <c r="CF44" s="791">
        <v>1</v>
      </c>
      <c r="CG44" s="790"/>
      <c r="CH44" s="790"/>
      <c r="CI44" s="791">
        <v>0</v>
      </c>
      <c r="CJ44" s="791">
        <v>0</v>
      </c>
      <c r="CK44" s="791">
        <v>1</v>
      </c>
      <c r="CL44" s="792"/>
      <c r="CN44" s="74"/>
      <c r="CO44" s="74"/>
      <c r="CP44" s="74"/>
      <c r="CQ44" s="74"/>
      <c r="CR44" s="74"/>
      <c r="CS44" s="74"/>
      <c r="CT44" s="74"/>
      <c r="CU44" s="74"/>
      <c r="CV44" s="74"/>
      <c r="CW44" s="74"/>
      <c r="CX44" s="74"/>
      <c r="CY44" s="74"/>
      <c r="CZ44" s="796"/>
      <c r="DA44" s="796"/>
      <c r="DB44" s="796"/>
      <c r="DC44" s="796"/>
      <c r="DD44" s="796"/>
      <c r="DE44" s="796"/>
      <c r="DF44" s="796"/>
      <c r="DG44" s="796"/>
      <c r="DH44" s="796"/>
      <c r="DI44" s="796"/>
      <c r="DJ44" s="796"/>
      <c r="DK44" s="796"/>
      <c r="DL44" s="793"/>
      <c r="DM44" s="74"/>
    </row>
    <row r="45" spans="1:117">
      <c r="A45" s="73"/>
      <c r="B45" s="73"/>
      <c r="C45" s="738"/>
      <c r="D45" s="738" t="s">
        <v>1289</v>
      </c>
      <c r="E45" s="3262"/>
      <c r="F45" s="3262">
        <v>0</v>
      </c>
      <c r="G45" s="3262">
        <v>4</v>
      </c>
      <c r="H45" s="3262">
        <v>2</v>
      </c>
      <c r="I45" s="3262">
        <v>0</v>
      </c>
      <c r="J45" s="4674"/>
      <c r="K45" s="4674"/>
      <c r="L45" s="4674"/>
      <c r="M45" s="4674">
        <v>6</v>
      </c>
      <c r="N45" s="73"/>
      <c r="P45" s="74"/>
      <c r="Q45" s="74"/>
      <c r="R45" s="74" t="s">
        <v>575</v>
      </c>
      <c r="S45" s="74" t="s">
        <v>1283</v>
      </c>
      <c r="T45" s="3229"/>
      <c r="U45" s="3229"/>
      <c r="V45" s="3229">
        <v>0</v>
      </c>
      <c r="W45" s="3229">
        <v>0</v>
      </c>
      <c r="X45" s="121">
        <v>5</v>
      </c>
      <c r="Y45" s="121">
        <v>0</v>
      </c>
      <c r="Z45" s="121">
        <v>5</v>
      </c>
      <c r="AC45" s="161"/>
      <c r="AF45" s="73" t="s">
        <v>1377</v>
      </c>
      <c r="AG45" s="2600">
        <v>0</v>
      </c>
      <c r="AH45" s="2600"/>
      <c r="AI45" s="2600">
        <v>1</v>
      </c>
      <c r="AJ45" s="2600">
        <v>1</v>
      </c>
      <c r="AK45" s="161">
        <v>1</v>
      </c>
      <c r="AL45" s="161">
        <v>0</v>
      </c>
      <c r="AM45" s="161">
        <v>3</v>
      </c>
      <c r="AP45" s="2173"/>
      <c r="AQ45" s="2173"/>
      <c r="AR45" s="2173"/>
      <c r="AS45" s="2174" t="s">
        <v>1292</v>
      </c>
      <c r="AT45" s="2175"/>
      <c r="AU45" s="2175"/>
      <c r="AV45" s="2175"/>
      <c r="AW45" s="2176">
        <v>0</v>
      </c>
      <c r="AX45" s="2176">
        <v>0</v>
      </c>
      <c r="AY45" s="2178">
        <v>3</v>
      </c>
      <c r="AZ45" s="2178">
        <v>3</v>
      </c>
      <c r="BA45" s="2169"/>
      <c r="BC45" s="774"/>
      <c r="BD45" s="774"/>
      <c r="BE45" s="823"/>
      <c r="BF45" s="824" t="s">
        <v>1288</v>
      </c>
      <c r="BG45" s="777">
        <v>0</v>
      </c>
      <c r="BH45" s="777">
        <v>0</v>
      </c>
      <c r="BI45" s="777">
        <v>0</v>
      </c>
      <c r="BJ45" s="778">
        <v>3</v>
      </c>
      <c r="BK45" s="825">
        <v>0</v>
      </c>
      <c r="BL45" s="825">
        <v>3</v>
      </c>
      <c r="BM45" s="826"/>
      <c r="BO45" s="780"/>
      <c r="BP45" s="780"/>
      <c r="BQ45" s="781"/>
      <c r="BR45" s="782" t="s">
        <v>1293</v>
      </c>
      <c r="BS45" s="784"/>
      <c r="BT45" s="784"/>
      <c r="BU45" s="783">
        <v>1</v>
      </c>
      <c r="BV45" s="783">
        <v>0</v>
      </c>
      <c r="BW45" s="785"/>
      <c r="BX45" s="785"/>
      <c r="BY45" s="786">
        <v>1</v>
      </c>
      <c r="BZ45" s="787"/>
      <c r="CB45" s="788"/>
      <c r="CC45" s="788"/>
      <c r="CD45" s="788"/>
      <c r="CE45" s="789" t="s">
        <v>1288</v>
      </c>
      <c r="CF45" s="791">
        <v>0</v>
      </c>
      <c r="CG45" s="790"/>
      <c r="CH45" s="790"/>
      <c r="CI45" s="791">
        <v>1</v>
      </c>
      <c r="CJ45" s="791">
        <v>1</v>
      </c>
      <c r="CK45" s="791">
        <v>2</v>
      </c>
      <c r="CL45" s="792"/>
      <c r="CN45" s="74"/>
      <c r="CO45" s="74"/>
      <c r="CP45" s="74"/>
      <c r="CQ45" s="74"/>
      <c r="CR45" s="74"/>
      <c r="CS45" s="74"/>
      <c r="CT45" s="74"/>
      <c r="CU45" s="74"/>
      <c r="CV45" s="74"/>
      <c r="CW45" s="74"/>
      <c r="CX45" s="74"/>
      <c r="CY45" s="74"/>
      <c r="CZ45" s="793"/>
      <c r="DA45" s="794"/>
      <c r="DB45" s="793"/>
      <c r="DC45" s="793"/>
      <c r="DD45" s="793"/>
      <c r="DE45" s="793"/>
      <c r="DF45" s="793"/>
      <c r="DG45" s="793"/>
      <c r="DH45" s="793"/>
      <c r="DI45" s="793"/>
      <c r="DJ45" s="793"/>
      <c r="DK45" s="793"/>
      <c r="DL45" s="793"/>
      <c r="DM45" s="74"/>
    </row>
    <row r="46" spans="1:117">
      <c r="A46" s="73"/>
      <c r="B46" s="73"/>
      <c r="C46" s="738"/>
      <c r="D46" s="738" t="s">
        <v>1377</v>
      </c>
      <c r="E46" s="3262"/>
      <c r="F46" s="3262">
        <v>0</v>
      </c>
      <c r="G46" s="3262">
        <v>0</v>
      </c>
      <c r="H46" s="3262">
        <v>44</v>
      </c>
      <c r="I46" s="3262">
        <v>6</v>
      </c>
      <c r="J46" s="4674"/>
      <c r="K46" s="4674"/>
      <c r="L46" s="4674"/>
      <c r="M46" s="4674">
        <v>50</v>
      </c>
      <c r="N46" s="73"/>
      <c r="P46" s="74"/>
      <c r="Q46" s="74"/>
      <c r="R46" s="74"/>
      <c r="S46" s="74" t="s">
        <v>1284</v>
      </c>
      <c r="T46" s="3229"/>
      <c r="U46" s="3229"/>
      <c r="V46" s="3229">
        <v>0</v>
      </c>
      <c r="W46" s="3229">
        <v>1</v>
      </c>
      <c r="X46" s="121">
        <v>0</v>
      </c>
      <c r="Y46" s="121">
        <v>1</v>
      </c>
      <c r="Z46" s="121">
        <v>2</v>
      </c>
      <c r="AC46" s="161"/>
      <c r="AF46" s="738" t="s">
        <v>575</v>
      </c>
      <c r="AG46" s="2601">
        <v>1</v>
      </c>
      <c r="AH46" s="2601"/>
      <c r="AI46" s="2601">
        <v>7</v>
      </c>
      <c r="AJ46" s="2601">
        <v>4</v>
      </c>
      <c r="AK46" s="151">
        <v>4</v>
      </c>
      <c r="AL46" s="151">
        <v>2</v>
      </c>
      <c r="AM46" s="151">
        <v>18</v>
      </c>
      <c r="AN46" s="912">
        <f>+(AM42+AM45-AK42-AL42-AK45)/AM46</f>
        <v>0.27777777777777779</v>
      </c>
      <c r="AP46" s="2173"/>
      <c r="AQ46" s="2173"/>
      <c r="AR46" s="2173"/>
      <c r="AS46" s="2174" t="s">
        <v>1377</v>
      </c>
      <c r="AT46" s="2175"/>
      <c r="AU46" s="2175"/>
      <c r="AV46" s="2175"/>
      <c r="AW46" s="2176">
        <v>4</v>
      </c>
      <c r="AX46" s="2176">
        <v>0</v>
      </c>
      <c r="AY46" s="2178">
        <v>0</v>
      </c>
      <c r="AZ46" s="2178">
        <v>4</v>
      </c>
      <c r="BA46" s="2169"/>
      <c r="BC46" s="774"/>
      <c r="BD46" s="774"/>
      <c r="BE46" s="823"/>
      <c r="BF46" s="824" t="s">
        <v>1292</v>
      </c>
      <c r="BG46" s="777">
        <v>0</v>
      </c>
      <c r="BH46" s="777">
        <v>0</v>
      </c>
      <c r="BI46" s="777">
        <v>0</v>
      </c>
      <c r="BJ46" s="778">
        <v>0</v>
      </c>
      <c r="BK46" s="825">
        <v>5</v>
      </c>
      <c r="BL46" s="825">
        <v>5</v>
      </c>
      <c r="BM46" s="826"/>
      <c r="BO46" s="780"/>
      <c r="BP46" s="780"/>
      <c r="BQ46" s="781"/>
      <c r="BR46" s="804" t="s">
        <v>573</v>
      </c>
      <c r="BS46" s="806"/>
      <c r="BT46" s="806"/>
      <c r="BU46" s="805">
        <v>14</v>
      </c>
      <c r="BV46" s="805">
        <v>1</v>
      </c>
      <c r="BW46" s="807"/>
      <c r="BX46" s="807"/>
      <c r="BY46" s="808">
        <v>15</v>
      </c>
      <c r="BZ46" s="787">
        <f>+(BY45+BY44)/BY46</f>
        <v>1</v>
      </c>
      <c r="CB46" s="788"/>
      <c r="CC46" s="788"/>
      <c r="CD46" s="788"/>
      <c r="CE46" s="789" t="s">
        <v>1289</v>
      </c>
      <c r="CF46" s="791">
        <v>2</v>
      </c>
      <c r="CG46" s="790"/>
      <c r="CH46" s="790"/>
      <c r="CI46" s="791">
        <v>0</v>
      </c>
      <c r="CJ46" s="791">
        <v>0</v>
      </c>
      <c r="CK46" s="791">
        <v>2</v>
      </c>
      <c r="CL46" s="792"/>
      <c r="CN46" s="74"/>
      <c r="CO46" s="74"/>
      <c r="CP46" s="74"/>
      <c r="CQ46" s="74"/>
      <c r="CR46" s="74"/>
      <c r="CS46" s="74"/>
      <c r="CT46" s="74"/>
      <c r="CU46" s="74"/>
      <c r="CV46" s="74"/>
      <c r="CW46" s="74"/>
      <c r="CX46" s="74"/>
      <c r="CY46" s="74"/>
      <c r="CZ46" s="793"/>
      <c r="DA46" s="794"/>
      <c r="DB46" s="793"/>
      <c r="DC46" s="793"/>
      <c r="DD46" s="793"/>
      <c r="DE46" s="793"/>
      <c r="DF46" s="793"/>
      <c r="DG46" s="793"/>
      <c r="DH46" s="793"/>
      <c r="DI46" s="793"/>
      <c r="DJ46" s="793"/>
      <c r="DK46" s="793"/>
      <c r="DL46" s="793"/>
      <c r="DM46" s="74"/>
    </row>
    <row r="47" spans="1:117">
      <c r="A47" s="73"/>
      <c r="B47" s="73"/>
      <c r="C47" s="738"/>
      <c r="D47" s="738" t="s">
        <v>573</v>
      </c>
      <c r="E47" s="3262"/>
      <c r="F47" s="3262">
        <v>2</v>
      </c>
      <c r="G47" s="3262">
        <v>4</v>
      </c>
      <c r="H47" s="3262">
        <v>47</v>
      </c>
      <c r="I47" s="3262">
        <v>8</v>
      </c>
      <c r="J47" s="4674"/>
      <c r="K47" s="4674"/>
      <c r="L47" s="4674"/>
      <c r="M47" s="4674">
        <v>61</v>
      </c>
      <c r="N47" s="912">
        <f>+(M46+M44)/M47</f>
        <v>0.85245901639344257</v>
      </c>
      <c r="P47" s="74"/>
      <c r="Q47" s="74"/>
      <c r="R47" s="74"/>
      <c r="S47" s="74" t="s">
        <v>1288</v>
      </c>
      <c r="T47" s="3229"/>
      <c r="U47" s="3229"/>
      <c r="V47" s="3229">
        <v>2</v>
      </c>
      <c r="W47" s="3229">
        <v>1</v>
      </c>
      <c r="X47" s="121">
        <v>1</v>
      </c>
      <c r="Y47" s="121">
        <v>0</v>
      </c>
      <c r="Z47" s="121">
        <v>4</v>
      </c>
      <c r="AC47" s="161"/>
      <c r="AE47" s="73" t="s">
        <v>111</v>
      </c>
      <c r="AF47" s="73" t="s">
        <v>1284</v>
      </c>
      <c r="AG47" s="2600">
        <v>3</v>
      </c>
      <c r="AH47" s="2600">
        <v>1</v>
      </c>
      <c r="AI47" s="2600">
        <v>6</v>
      </c>
      <c r="AJ47" s="2600">
        <v>3</v>
      </c>
      <c r="AK47" s="161">
        <v>0</v>
      </c>
      <c r="AL47" s="161">
        <v>0</v>
      </c>
      <c r="AM47" s="161">
        <v>13</v>
      </c>
      <c r="AP47" s="2173"/>
      <c r="AQ47" s="2173"/>
      <c r="AR47" s="2173"/>
      <c r="AS47" s="2168" t="s">
        <v>15</v>
      </c>
      <c r="AT47" s="2179"/>
      <c r="AU47" s="2179"/>
      <c r="AV47" s="2179"/>
      <c r="AW47" s="2180">
        <v>6</v>
      </c>
      <c r="AX47" s="2180">
        <v>9</v>
      </c>
      <c r="AY47" s="2182">
        <v>3</v>
      </c>
      <c r="AZ47" s="2182">
        <v>18</v>
      </c>
      <c r="BA47" s="2154">
        <f>+(AZ43+AZ46)/AZ47</f>
        <v>0.5</v>
      </c>
      <c r="BC47" s="774"/>
      <c r="BD47" s="774"/>
      <c r="BE47" s="823"/>
      <c r="BF47" s="824" t="s">
        <v>1377</v>
      </c>
      <c r="BG47" s="777">
        <v>0</v>
      </c>
      <c r="BH47" s="777">
        <v>0</v>
      </c>
      <c r="BI47" s="777">
        <v>1</v>
      </c>
      <c r="BJ47" s="778">
        <v>0</v>
      </c>
      <c r="BK47" s="825">
        <v>0</v>
      </c>
      <c r="BL47" s="825">
        <v>1</v>
      </c>
      <c r="BM47" s="826"/>
      <c r="BO47" s="780"/>
      <c r="BP47" s="780" t="s">
        <v>41</v>
      </c>
      <c r="BQ47" s="781" t="s">
        <v>109</v>
      </c>
      <c r="BR47" s="782" t="s">
        <v>1283</v>
      </c>
      <c r="BS47" s="784"/>
      <c r="BT47" s="783">
        <v>0</v>
      </c>
      <c r="BU47" s="783">
        <v>0</v>
      </c>
      <c r="BV47" s="783">
        <v>0</v>
      </c>
      <c r="BW47" s="786">
        <v>1</v>
      </c>
      <c r="BX47" s="786">
        <v>0</v>
      </c>
      <c r="BY47" s="786">
        <v>1</v>
      </c>
      <c r="BZ47" s="787"/>
      <c r="CB47" s="788"/>
      <c r="CC47" s="788"/>
      <c r="CD47" s="788"/>
      <c r="CE47" s="789" t="s">
        <v>1377</v>
      </c>
      <c r="CF47" s="791">
        <v>0</v>
      </c>
      <c r="CG47" s="790"/>
      <c r="CH47" s="790"/>
      <c r="CI47" s="791">
        <v>7</v>
      </c>
      <c r="CJ47" s="791">
        <v>0</v>
      </c>
      <c r="CK47" s="791">
        <v>7</v>
      </c>
      <c r="CL47" s="792"/>
      <c r="CN47" s="74"/>
      <c r="CO47" s="74"/>
      <c r="CP47" s="74"/>
      <c r="CQ47" s="74"/>
      <c r="CR47" s="74"/>
      <c r="CS47" s="74"/>
      <c r="CT47" s="74"/>
      <c r="CU47" s="74"/>
      <c r="CV47" s="74"/>
      <c r="CW47" s="74"/>
      <c r="CX47" s="74"/>
      <c r="CY47" s="74"/>
      <c r="CZ47" s="793"/>
      <c r="DA47" s="794"/>
      <c r="DB47" s="793"/>
      <c r="DC47" s="793"/>
      <c r="DD47" s="793"/>
      <c r="DE47" s="793"/>
      <c r="DF47" s="793"/>
      <c r="DG47" s="793"/>
      <c r="DH47" s="793"/>
      <c r="DI47" s="793"/>
      <c r="DJ47" s="793"/>
      <c r="DK47" s="793"/>
      <c r="DL47" s="793"/>
      <c r="DM47" s="74"/>
    </row>
    <row r="48" spans="1:117" ht="15.75" thickBot="1">
      <c r="A48" s="73"/>
      <c r="B48" s="73" t="s">
        <v>41</v>
      </c>
      <c r="C48" s="73" t="s">
        <v>109</v>
      </c>
      <c r="D48" s="73" t="s">
        <v>1284</v>
      </c>
      <c r="E48" s="3261"/>
      <c r="F48" s="3261">
        <v>1</v>
      </c>
      <c r="G48" s="3261"/>
      <c r="H48" s="3261">
        <v>1</v>
      </c>
      <c r="I48" s="3261">
        <v>1</v>
      </c>
      <c r="J48" s="161">
        <v>0</v>
      </c>
      <c r="K48" s="161"/>
      <c r="L48" s="161"/>
      <c r="M48" s="161">
        <v>3</v>
      </c>
      <c r="N48" s="73"/>
      <c r="P48" s="74"/>
      <c r="Q48" s="74"/>
      <c r="R48" s="74"/>
      <c r="S48" s="74" t="s">
        <v>1292</v>
      </c>
      <c r="T48" s="3229"/>
      <c r="U48" s="3229"/>
      <c r="V48" s="3229">
        <v>0</v>
      </c>
      <c r="W48" s="3229">
        <v>0</v>
      </c>
      <c r="X48" s="121">
        <v>2</v>
      </c>
      <c r="Y48" s="121">
        <v>1</v>
      </c>
      <c r="Z48" s="121">
        <v>3</v>
      </c>
      <c r="AC48" s="161"/>
      <c r="AF48" s="73" t="s">
        <v>1288</v>
      </c>
      <c r="AG48" s="2600">
        <v>0</v>
      </c>
      <c r="AH48" s="2600">
        <v>0</v>
      </c>
      <c r="AI48" s="2600">
        <v>4</v>
      </c>
      <c r="AJ48" s="2600">
        <v>1</v>
      </c>
      <c r="AK48" s="161">
        <v>2</v>
      </c>
      <c r="AL48" s="161">
        <v>1</v>
      </c>
      <c r="AM48" s="161">
        <v>8</v>
      </c>
      <c r="AP48" s="2173"/>
      <c r="AQ48" s="2173"/>
      <c r="AR48" s="2173" t="s">
        <v>1964</v>
      </c>
      <c r="AS48" s="2174" t="s">
        <v>1284</v>
      </c>
      <c r="AT48" s="2175"/>
      <c r="AU48" s="2176">
        <v>1</v>
      </c>
      <c r="AV48" s="2175">
        <v>1</v>
      </c>
      <c r="AW48" s="2175">
        <v>1</v>
      </c>
      <c r="AX48" s="2175">
        <v>1</v>
      </c>
      <c r="AY48" s="2178">
        <v>0</v>
      </c>
      <c r="AZ48" s="2178">
        <v>4</v>
      </c>
      <c r="BA48" s="2169"/>
      <c r="BC48" s="774"/>
      <c r="BD48" s="774"/>
      <c r="BE48" s="823"/>
      <c r="BF48" s="827" t="s">
        <v>15</v>
      </c>
      <c r="BG48" s="799">
        <v>1</v>
      </c>
      <c r="BH48" s="799">
        <v>1</v>
      </c>
      <c r="BI48" s="799">
        <v>1</v>
      </c>
      <c r="BJ48" s="800">
        <v>3</v>
      </c>
      <c r="BK48" s="828">
        <v>5</v>
      </c>
      <c r="BL48" s="828">
        <v>11</v>
      </c>
      <c r="BM48" s="829">
        <f>+(BL45+BL47)/BL48</f>
        <v>0.36363636363636365</v>
      </c>
      <c r="BO48" s="780"/>
      <c r="BP48" s="780"/>
      <c r="BQ48" s="781"/>
      <c r="BR48" s="782" t="s">
        <v>1284</v>
      </c>
      <c r="BS48" s="784"/>
      <c r="BT48" s="783">
        <v>0</v>
      </c>
      <c r="BU48" s="783">
        <v>1</v>
      </c>
      <c r="BV48" s="783">
        <v>0</v>
      </c>
      <c r="BW48" s="786">
        <v>0</v>
      </c>
      <c r="BX48" s="786">
        <v>0</v>
      </c>
      <c r="BY48" s="786">
        <v>1</v>
      </c>
      <c r="BZ48" s="787"/>
      <c r="CB48" s="830"/>
      <c r="CC48" s="830"/>
      <c r="CD48" s="830"/>
      <c r="CE48" s="831" t="s">
        <v>15</v>
      </c>
      <c r="CF48" s="832">
        <v>3</v>
      </c>
      <c r="CG48" s="833"/>
      <c r="CH48" s="833"/>
      <c r="CI48" s="832">
        <v>8</v>
      </c>
      <c r="CJ48" s="832">
        <v>1</v>
      </c>
      <c r="CK48" s="832">
        <v>12</v>
      </c>
      <c r="CL48" s="834">
        <f>+(CK47+CK45-CJ45)/CK48</f>
        <v>0.66666666666666663</v>
      </c>
      <c r="CN48" s="74"/>
      <c r="CO48" s="74"/>
      <c r="CP48" s="74"/>
      <c r="CQ48" s="74"/>
      <c r="CR48" s="74"/>
      <c r="CS48" s="74"/>
      <c r="CT48" s="74"/>
      <c r="CU48" s="74"/>
      <c r="CV48" s="74"/>
      <c r="CW48" s="74"/>
      <c r="CX48" s="74"/>
      <c r="CY48" s="74"/>
      <c r="CZ48" s="793"/>
      <c r="DA48" s="794"/>
      <c r="DB48" s="793"/>
      <c r="DC48" s="793"/>
      <c r="DD48" s="793"/>
      <c r="DE48" s="793"/>
      <c r="DF48" s="793"/>
      <c r="DG48" s="793"/>
      <c r="DH48" s="793"/>
      <c r="DI48" s="793"/>
      <c r="DJ48" s="793"/>
      <c r="DK48" s="793"/>
      <c r="DL48" s="793"/>
      <c r="DM48" s="74"/>
    </row>
    <row r="49" spans="1:117">
      <c r="A49" s="73"/>
      <c r="B49" s="73"/>
      <c r="C49" s="73"/>
      <c r="D49" s="73" t="s">
        <v>1288</v>
      </c>
      <c r="E49" s="3261"/>
      <c r="F49" s="3261">
        <v>0</v>
      </c>
      <c r="G49" s="3261"/>
      <c r="H49" s="3261">
        <v>1</v>
      </c>
      <c r="I49" s="3261">
        <v>0</v>
      </c>
      <c r="J49" s="161">
        <v>3</v>
      </c>
      <c r="K49" s="161"/>
      <c r="L49" s="161"/>
      <c r="M49" s="161">
        <v>4</v>
      </c>
      <c r="N49" s="73"/>
      <c r="P49" s="74"/>
      <c r="Q49" s="74"/>
      <c r="R49" s="74"/>
      <c r="S49" s="74" t="s">
        <v>1377</v>
      </c>
      <c r="T49" s="3229"/>
      <c r="U49" s="3229"/>
      <c r="V49" s="3229">
        <v>1</v>
      </c>
      <c r="W49" s="3229">
        <v>1</v>
      </c>
      <c r="X49" s="121">
        <v>1</v>
      </c>
      <c r="Y49" s="121">
        <v>0</v>
      </c>
      <c r="Z49" s="121">
        <v>3</v>
      </c>
      <c r="AC49" s="161"/>
      <c r="AF49" s="73" t="s">
        <v>1289</v>
      </c>
      <c r="AG49" s="2600">
        <v>2</v>
      </c>
      <c r="AH49" s="2600">
        <v>1</v>
      </c>
      <c r="AI49" s="2600">
        <v>1</v>
      </c>
      <c r="AJ49" s="2600">
        <v>0</v>
      </c>
      <c r="AK49" s="161">
        <v>0</v>
      </c>
      <c r="AL49" s="161">
        <v>0</v>
      </c>
      <c r="AM49" s="161">
        <v>4</v>
      </c>
      <c r="AP49" s="2173"/>
      <c r="AQ49" s="2173"/>
      <c r="AR49" s="2173"/>
      <c r="AS49" s="2174" t="s">
        <v>1292</v>
      </c>
      <c r="AT49" s="2175"/>
      <c r="AU49" s="2176">
        <v>0</v>
      </c>
      <c r="AV49" s="2175">
        <v>0</v>
      </c>
      <c r="AW49" s="2175">
        <v>0</v>
      </c>
      <c r="AX49" s="2175">
        <v>0</v>
      </c>
      <c r="AY49" s="2178">
        <v>3</v>
      </c>
      <c r="AZ49" s="2178">
        <v>3</v>
      </c>
      <c r="BA49" s="2169"/>
      <c r="BC49" s="774"/>
      <c r="BD49" s="774"/>
      <c r="BE49" s="775" t="s">
        <v>575</v>
      </c>
      <c r="BF49" s="776" t="s">
        <v>1284</v>
      </c>
      <c r="BG49" s="777">
        <v>2</v>
      </c>
      <c r="BH49" s="777">
        <v>1</v>
      </c>
      <c r="BI49" s="777">
        <v>3</v>
      </c>
      <c r="BJ49" s="777">
        <v>1</v>
      </c>
      <c r="BK49" s="779">
        <v>0</v>
      </c>
      <c r="BL49" s="779">
        <v>7</v>
      </c>
      <c r="BM49" s="73"/>
      <c r="BO49" s="780"/>
      <c r="BP49" s="780"/>
      <c r="BQ49" s="781"/>
      <c r="BR49" s="782" t="s">
        <v>1286</v>
      </c>
      <c r="BS49" s="784"/>
      <c r="BT49" s="783">
        <v>2</v>
      </c>
      <c r="BU49" s="783">
        <v>0</v>
      </c>
      <c r="BV49" s="783">
        <v>0</v>
      </c>
      <c r="BW49" s="786">
        <v>0</v>
      </c>
      <c r="BX49" s="786">
        <v>0</v>
      </c>
      <c r="BY49" s="786">
        <v>2</v>
      </c>
      <c r="BZ49" s="787"/>
      <c r="CB49" s="788"/>
      <c r="CC49" s="788"/>
      <c r="CD49" s="788"/>
      <c r="CE49" s="789"/>
      <c r="CN49" s="74"/>
      <c r="CO49" s="74"/>
      <c r="CP49" s="74"/>
      <c r="CQ49" s="74"/>
      <c r="CR49" s="74"/>
      <c r="CS49" s="74"/>
      <c r="CT49" s="74"/>
      <c r="CU49" s="74"/>
      <c r="CV49" s="74"/>
      <c r="CW49" s="74"/>
      <c r="CX49" s="74"/>
      <c r="CY49" s="74"/>
      <c r="CZ49" s="793"/>
      <c r="DA49" s="794"/>
      <c r="DB49" s="793"/>
      <c r="DC49" s="793"/>
      <c r="DD49" s="793"/>
      <c r="DE49" s="793"/>
      <c r="DF49" s="793"/>
      <c r="DG49" s="793"/>
      <c r="DH49" s="793"/>
      <c r="DI49" s="793"/>
      <c r="DJ49" s="793"/>
      <c r="DK49" s="793"/>
      <c r="DL49" s="793"/>
      <c r="DM49" s="74"/>
    </row>
    <row r="50" spans="1:117">
      <c r="A50" s="73"/>
      <c r="B50" s="73"/>
      <c r="C50" s="73"/>
      <c r="D50" s="73" t="s">
        <v>1292</v>
      </c>
      <c r="E50" s="3261"/>
      <c r="F50" s="3261">
        <v>0</v>
      </c>
      <c r="G50" s="3261"/>
      <c r="H50" s="3261">
        <v>0</v>
      </c>
      <c r="I50" s="3261">
        <v>0</v>
      </c>
      <c r="J50" s="161">
        <v>1</v>
      </c>
      <c r="K50" s="161"/>
      <c r="L50" s="161"/>
      <c r="M50" s="161">
        <v>1</v>
      </c>
      <c r="N50" s="73"/>
      <c r="P50" s="74"/>
      <c r="Q50" s="74"/>
      <c r="R50" s="74"/>
      <c r="S50" s="761" t="s">
        <v>575</v>
      </c>
      <c r="T50" s="3230"/>
      <c r="U50" s="3230"/>
      <c r="V50" s="3230">
        <v>3</v>
      </c>
      <c r="W50" s="3230">
        <v>3</v>
      </c>
      <c r="X50" s="729">
        <v>9</v>
      </c>
      <c r="Y50" s="729">
        <v>2</v>
      </c>
      <c r="Z50" s="729">
        <v>17</v>
      </c>
      <c r="AA50" s="3197">
        <f>+(Z47-X47+Z49-X49)/(Z50-Z43)</f>
        <v>0.41666666666666669</v>
      </c>
      <c r="AC50" s="161"/>
      <c r="AF50" s="73" t="s">
        <v>1292</v>
      </c>
      <c r="AG50" s="2600">
        <v>0</v>
      </c>
      <c r="AH50" s="2600">
        <v>0</v>
      </c>
      <c r="AI50" s="2600">
        <v>0</v>
      </c>
      <c r="AJ50" s="2600">
        <v>0</v>
      </c>
      <c r="AK50" s="161">
        <v>1</v>
      </c>
      <c r="AL50" s="161">
        <v>1</v>
      </c>
      <c r="AM50" s="161">
        <v>2</v>
      </c>
      <c r="AP50" s="2173"/>
      <c r="AQ50" s="2173"/>
      <c r="AR50" s="2173"/>
      <c r="AS50" s="2174" t="s">
        <v>1377</v>
      </c>
      <c r="AT50" s="2175"/>
      <c r="AU50" s="2176">
        <v>0</v>
      </c>
      <c r="AV50" s="2175">
        <v>0</v>
      </c>
      <c r="AW50" s="2175">
        <v>0</v>
      </c>
      <c r="AX50" s="2175">
        <v>1</v>
      </c>
      <c r="AY50" s="2178">
        <v>0</v>
      </c>
      <c r="AZ50" s="2178">
        <v>1</v>
      </c>
      <c r="BA50" s="2169"/>
      <c r="BC50" s="774"/>
      <c r="BD50" s="774"/>
      <c r="BE50" s="775"/>
      <c r="BF50" s="776" t="s">
        <v>1288</v>
      </c>
      <c r="BG50" s="777">
        <v>0</v>
      </c>
      <c r="BH50" s="777">
        <v>0</v>
      </c>
      <c r="BI50" s="777">
        <v>1</v>
      </c>
      <c r="BJ50" s="777">
        <v>3</v>
      </c>
      <c r="BK50" s="779">
        <v>0</v>
      </c>
      <c r="BL50" s="779">
        <v>4</v>
      </c>
      <c r="BM50" s="73"/>
      <c r="BO50" s="780"/>
      <c r="BP50" s="780"/>
      <c r="BQ50" s="781"/>
      <c r="BR50" s="782" t="s">
        <v>1288</v>
      </c>
      <c r="BS50" s="784"/>
      <c r="BT50" s="783">
        <v>0</v>
      </c>
      <c r="BU50" s="783">
        <v>7</v>
      </c>
      <c r="BV50" s="783">
        <v>3</v>
      </c>
      <c r="BW50" s="786">
        <v>1</v>
      </c>
      <c r="BX50" s="786">
        <v>1</v>
      </c>
      <c r="BY50" s="786">
        <v>12</v>
      </c>
      <c r="BZ50" s="787"/>
      <c r="CB50" s="788"/>
      <c r="CC50" s="788"/>
      <c r="CD50" s="788"/>
      <c r="CF50" s="4897" t="s">
        <v>1372</v>
      </c>
      <c r="CG50" s="4897"/>
      <c r="CH50" s="4897"/>
      <c r="CI50" s="4897"/>
      <c r="CJ50" s="4897"/>
      <c r="CN50" s="74"/>
      <c r="CO50" s="74"/>
      <c r="CP50" s="74"/>
      <c r="CQ50" s="761" t="s">
        <v>332</v>
      </c>
      <c r="CR50" s="4898" t="s">
        <v>1373</v>
      </c>
      <c r="CS50" s="4898"/>
      <c r="CT50" s="4898"/>
      <c r="CU50" s="4898"/>
      <c r="CV50" s="4898"/>
      <c r="CW50" s="761"/>
      <c r="CX50" s="74"/>
      <c r="CY50" s="74"/>
      <c r="CZ50" s="793"/>
      <c r="DA50" s="794"/>
      <c r="DB50" s="793"/>
      <c r="DC50" s="793"/>
      <c r="DD50" s="4903" t="s">
        <v>1373</v>
      </c>
      <c r="DE50" s="4903"/>
      <c r="DF50" s="4903"/>
      <c r="DG50" s="4903"/>
      <c r="DH50" s="4903"/>
      <c r="DI50" s="4903"/>
      <c r="DJ50" s="793"/>
      <c r="DK50" s="793"/>
      <c r="DL50" s="793"/>
      <c r="DM50" s="74"/>
    </row>
    <row r="51" spans="1:117" ht="27" thickBot="1">
      <c r="A51" s="73"/>
      <c r="B51" s="73"/>
      <c r="C51" s="73"/>
      <c r="D51" s="73" t="s">
        <v>1377</v>
      </c>
      <c r="E51" s="3261"/>
      <c r="F51" s="3261">
        <v>0</v>
      </c>
      <c r="G51" s="3261"/>
      <c r="H51" s="3261">
        <v>1</v>
      </c>
      <c r="I51" s="3261">
        <v>0</v>
      </c>
      <c r="J51" s="161">
        <v>0</v>
      </c>
      <c r="K51" s="161"/>
      <c r="L51" s="161"/>
      <c r="M51" s="161">
        <v>1</v>
      </c>
      <c r="N51" s="73"/>
      <c r="P51" s="74"/>
      <c r="Q51" s="74"/>
      <c r="R51" s="761" t="s">
        <v>111</v>
      </c>
      <c r="S51" s="761" t="s">
        <v>1283</v>
      </c>
      <c r="T51" s="3230">
        <v>0</v>
      </c>
      <c r="U51" s="3230"/>
      <c r="V51" s="3230">
        <v>0</v>
      </c>
      <c r="W51" s="3230">
        <v>0</v>
      </c>
      <c r="X51" s="729">
        <v>5</v>
      </c>
      <c r="Y51" s="729">
        <v>2</v>
      </c>
      <c r="Z51" s="729">
        <v>7</v>
      </c>
      <c r="AC51" s="161"/>
      <c r="AF51" s="73" t="s">
        <v>1377</v>
      </c>
      <c r="AG51" s="2600">
        <v>0</v>
      </c>
      <c r="AH51" s="2600">
        <v>0</v>
      </c>
      <c r="AI51" s="2600">
        <v>46</v>
      </c>
      <c r="AJ51" s="2600">
        <v>1</v>
      </c>
      <c r="AK51" s="161">
        <v>1</v>
      </c>
      <c r="AL51" s="161">
        <v>0</v>
      </c>
      <c r="AM51" s="161">
        <v>48</v>
      </c>
      <c r="AP51" s="2173"/>
      <c r="AQ51" s="2173"/>
      <c r="AR51" s="2173"/>
      <c r="AS51" s="2168" t="s">
        <v>15</v>
      </c>
      <c r="AT51" s="2179"/>
      <c r="AU51" s="2180">
        <v>1</v>
      </c>
      <c r="AV51" s="2179">
        <v>1</v>
      </c>
      <c r="AW51" s="2179">
        <v>1</v>
      </c>
      <c r="AX51" s="2179">
        <v>2</v>
      </c>
      <c r="AY51" s="2182">
        <v>3</v>
      </c>
      <c r="AZ51" s="2182">
        <v>8</v>
      </c>
      <c r="BA51" s="2154">
        <f>+AZ50/AZ51</f>
        <v>0.125</v>
      </c>
      <c r="BC51" s="774"/>
      <c r="BD51" s="774"/>
      <c r="BE51" s="775"/>
      <c r="BF51" s="776" t="s">
        <v>1289</v>
      </c>
      <c r="BG51" s="777">
        <v>0</v>
      </c>
      <c r="BH51" s="777">
        <v>0</v>
      </c>
      <c r="BI51" s="777">
        <v>1</v>
      </c>
      <c r="BJ51" s="777">
        <v>0</v>
      </c>
      <c r="BK51" s="779">
        <v>1</v>
      </c>
      <c r="BL51" s="779">
        <v>2</v>
      </c>
      <c r="BM51" s="73"/>
      <c r="BO51" s="780"/>
      <c r="BP51" s="780"/>
      <c r="BQ51" s="781"/>
      <c r="BR51" s="782" t="s">
        <v>1289</v>
      </c>
      <c r="BS51" s="784"/>
      <c r="BT51" s="783">
        <v>1</v>
      </c>
      <c r="BU51" s="783">
        <v>0</v>
      </c>
      <c r="BV51" s="783">
        <v>0</v>
      </c>
      <c r="BW51" s="786">
        <v>0</v>
      </c>
      <c r="BX51" s="786">
        <v>1</v>
      </c>
      <c r="BY51" s="786">
        <v>2</v>
      </c>
      <c r="BZ51" s="787"/>
      <c r="CB51" s="835" t="s">
        <v>0</v>
      </c>
      <c r="CC51" s="835" t="s">
        <v>1</v>
      </c>
      <c r="CD51" s="835" t="s">
        <v>2</v>
      </c>
      <c r="CE51" s="835" t="s">
        <v>1282</v>
      </c>
      <c r="CF51" s="835">
        <v>1</v>
      </c>
      <c r="CG51" s="835">
        <v>2</v>
      </c>
      <c r="CH51" s="835">
        <v>3</v>
      </c>
      <c r="CI51" s="835">
        <v>4</v>
      </c>
      <c r="CJ51" s="835">
        <v>5</v>
      </c>
      <c r="CK51" s="835" t="s">
        <v>15</v>
      </c>
      <c r="CL51" s="836" t="s">
        <v>66</v>
      </c>
      <c r="CN51" s="74"/>
      <c r="CO51" s="837" t="s">
        <v>0</v>
      </c>
      <c r="CP51" s="837" t="s">
        <v>1</v>
      </c>
      <c r="CQ51" s="837" t="s">
        <v>1282</v>
      </c>
      <c r="CR51" s="837">
        <v>1</v>
      </c>
      <c r="CS51" s="837">
        <v>2</v>
      </c>
      <c r="CT51" s="837">
        <v>3</v>
      </c>
      <c r="CU51" s="837">
        <v>4</v>
      </c>
      <c r="CV51" s="837">
        <v>5</v>
      </c>
      <c r="CW51" s="837" t="s">
        <v>15</v>
      </c>
      <c r="CX51" s="837" t="s">
        <v>66</v>
      </c>
      <c r="CY51" s="74"/>
      <c r="CZ51" s="793"/>
      <c r="DA51" s="838" t="s">
        <v>0</v>
      </c>
      <c r="DB51" s="838" t="s">
        <v>1</v>
      </c>
      <c r="DC51" s="839" t="s">
        <v>1375</v>
      </c>
      <c r="DD51" s="838">
        <v>0</v>
      </c>
      <c r="DE51" s="838">
        <v>1</v>
      </c>
      <c r="DF51" s="838">
        <v>2</v>
      </c>
      <c r="DG51" s="838">
        <v>3</v>
      </c>
      <c r="DH51" s="838">
        <v>4</v>
      </c>
      <c r="DI51" s="838">
        <v>5</v>
      </c>
      <c r="DJ51" s="838" t="s">
        <v>15</v>
      </c>
      <c r="DK51" s="838" t="s">
        <v>66</v>
      </c>
      <c r="DL51" s="838" t="s">
        <v>1376</v>
      </c>
      <c r="DM51" s="74"/>
    </row>
    <row r="52" spans="1:117">
      <c r="A52" s="73"/>
      <c r="B52" s="73"/>
      <c r="C52" s="73"/>
      <c r="D52" s="738" t="s">
        <v>15</v>
      </c>
      <c r="E52" s="3262"/>
      <c r="F52" s="3262">
        <v>1</v>
      </c>
      <c r="G52" s="3262"/>
      <c r="H52" s="3262">
        <v>3</v>
      </c>
      <c r="I52" s="3262">
        <v>1</v>
      </c>
      <c r="J52" s="4674">
        <v>4</v>
      </c>
      <c r="K52" s="4674"/>
      <c r="L52" s="4674"/>
      <c r="M52" s="4674">
        <v>9</v>
      </c>
      <c r="N52" s="912">
        <f>+(M51+M49-J49)/M52</f>
        <v>0.22222222222222221</v>
      </c>
      <c r="P52" s="74"/>
      <c r="Q52" s="74"/>
      <c r="R52" s="761"/>
      <c r="S52" s="761" t="s">
        <v>1284</v>
      </c>
      <c r="T52" s="3230">
        <v>0</v>
      </c>
      <c r="U52" s="3230"/>
      <c r="V52" s="3230">
        <v>0</v>
      </c>
      <c r="W52" s="3230">
        <v>1</v>
      </c>
      <c r="X52" s="729">
        <v>0</v>
      </c>
      <c r="Y52" s="729">
        <v>1</v>
      </c>
      <c r="Z52" s="729">
        <v>2</v>
      </c>
      <c r="AC52" s="161"/>
      <c r="AF52" s="738" t="s">
        <v>111</v>
      </c>
      <c r="AG52" s="2601">
        <v>5</v>
      </c>
      <c r="AH52" s="2601">
        <v>2</v>
      </c>
      <c r="AI52" s="2601">
        <v>57</v>
      </c>
      <c r="AJ52" s="2601">
        <v>5</v>
      </c>
      <c r="AK52" s="151">
        <v>4</v>
      </c>
      <c r="AL52" s="151">
        <v>2</v>
      </c>
      <c r="AM52" s="151">
        <v>75</v>
      </c>
      <c r="AN52" s="912">
        <f>+(AM48+AM51-AK48-AL48-AK51)/AM52</f>
        <v>0.69333333333333336</v>
      </c>
      <c r="AP52" s="2173"/>
      <c r="AQ52" s="2173"/>
      <c r="AR52" s="2173" t="s">
        <v>575</v>
      </c>
      <c r="AS52" s="2174" t="s">
        <v>1284</v>
      </c>
      <c r="AT52" s="2175"/>
      <c r="AU52" s="2176">
        <v>1</v>
      </c>
      <c r="AV52" s="2175">
        <v>1</v>
      </c>
      <c r="AW52" s="2176">
        <v>2</v>
      </c>
      <c r="AX52" s="2176">
        <v>4</v>
      </c>
      <c r="AY52" s="2178">
        <v>0</v>
      </c>
      <c r="AZ52" s="2178">
        <v>8</v>
      </c>
      <c r="BA52" s="2169"/>
      <c r="BC52" s="774"/>
      <c r="BD52" s="774"/>
      <c r="BE52" s="775"/>
      <c r="BF52" s="776" t="s">
        <v>1292</v>
      </c>
      <c r="BG52" s="777">
        <v>0</v>
      </c>
      <c r="BH52" s="777">
        <v>0</v>
      </c>
      <c r="BI52" s="777">
        <v>0</v>
      </c>
      <c r="BJ52" s="777">
        <v>0</v>
      </c>
      <c r="BK52" s="779">
        <v>5</v>
      </c>
      <c r="BL52" s="779">
        <v>5</v>
      </c>
      <c r="BM52" s="73"/>
      <c r="BO52" s="780"/>
      <c r="BP52" s="780"/>
      <c r="BQ52" s="781"/>
      <c r="BR52" s="782" t="s">
        <v>1377</v>
      </c>
      <c r="BS52" s="784"/>
      <c r="BT52" s="783">
        <v>0</v>
      </c>
      <c r="BU52" s="783">
        <v>3</v>
      </c>
      <c r="BV52" s="783">
        <v>3</v>
      </c>
      <c r="BW52" s="786">
        <v>1</v>
      </c>
      <c r="BX52" s="786">
        <v>0</v>
      </c>
      <c r="BY52" s="786">
        <v>7</v>
      </c>
      <c r="BZ52" s="787"/>
      <c r="CD52" s="788" t="s">
        <v>573</v>
      </c>
      <c r="CE52" s="789" t="s">
        <v>1284</v>
      </c>
      <c r="CF52" s="791">
        <v>1</v>
      </c>
      <c r="CG52" s="790"/>
      <c r="CH52" s="791">
        <v>3</v>
      </c>
      <c r="CI52" s="790"/>
      <c r="CJ52" s="790"/>
      <c r="CK52" s="791">
        <v>4</v>
      </c>
      <c r="CL52" s="792"/>
      <c r="CN52" s="74"/>
      <c r="CO52" s="121" t="s">
        <v>3</v>
      </c>
      <c r="CP52" s="121" t="s">
        <v>16</v>
      </c>
      <c r="CQ52" s="74" t="s">
        <v>1284</v>
      </c>
      <c r="CR52" s="121"/>
      <c r="CS52" s="121">
        <v>3</v>
      </c>
      <c r="CT52" s="121">
        <v>3</v>
      </c>
      <c r="CU52" s="121">
        <v>0</v>
      </c>
      <c r="CV52" s="121"/>
      <c r="CW52" s="121">
        <v>6</v>
      </c>
      <c r="CX52" s="74"/>
      <c r="CY52" s="74"/>
      <c r="CZ52" s="793"/>
      <c r="DA52" s="794" t="s">
        <v>1379</v>
      </c>
      <c r="DB52" s="793" t="s">
        <v>16</v>
      </c>
      <c r="DC52" s="793" t="s">
        <v>1284</v>
      </c>
      <c r="DD52" s="793">
        <v>0</v>
      </c>
      <c r="DE52" s="793">
        <v>1</v>
      </c>
      <c r="DF52" s="793">
        <v>0</v>
      </c>
      <c r="DG52" s="793">
        <v>6</v>
      </c>
      <c r="DH52" s="793">
        <v>1</v>
      </c>
      <c r="DI52" s="793">
        <v>0</v>
      </c>
      <c r="DJ52" s="793">
        <v>8</v>
      </c>
      <c r="DK52" s="793"/>
      <c r="DL52" s="795"/>
      <c r="DM52" s="74"/>
    </row>
    <row r="53" spans="1:117">
      <c r="A53" s="73"/>
      <c r="B53" s="73"/>
      <c r="C53" s="73" t="s">
        <v>620</v>
      </c>
      <c r="D53" s="73" t="s">
        <v>1377</v>
      </c>
      <c r="E53" s="3262"/>
      <c r="F53" s="3262"/>
      <c r="G53" s="3262"/>
      <c r="H53" s="3262"/>
      <c r="I53" s="3262"/>
      <c r="J53" s="3262"/>
      <c r="K53" s="3262"/>
      <c r="L53" s="3262">
        <v>5</v>
      </c>
      <c r="M53" s="4674">
        <v>5</v>
      </c>
      <c r="N53" s="912"/>
      <c r="P53" s="74"/>
      <c r="Q53" s="74"/>
      <c r="R53" s="761"/>
      <c r="S53" s="761" t="s">
        <v>1288</v>
      </c>
      <c r="T53" s="3230">
        <v>0</v>
      </c>
      <c r="U53" s="3230"/>
      <c r="V53" s="3230">
        <v>13</v>
      </c>
      <c r="W53" s="3230">
        <v>2</v>
      </c>
      <c r="X53" s="729">
        <v>1</v>
      </c>
      <c r="Y53" s="729">
        <v>0</v>
      </c>
      <c r="Z53" s="729">
        <v>16</v>
      </c>
      <c r="AC53" s="161" t="s">
        <v>48</v>
      </c>
      <c r="AD53" s="161" t="s">
        <v>16</v>
      </c>
      <c r="AE53" s="73" t="s">
        <v>112</v>
      </c>
      <c r="AF53" s="73" t="s">
        <v>1283</v>
      </c>
      <c r="AG53" s="2600"/>
      <c r="AH53" s="2600"/>
      <c r="AI53" s="2600">
        <v>0</v>
      </c>
      <c r="AJ53" s="2600">
        <v>2</v>
      </c>
      <c r="AK53" s="161">
        <v>32</v>
      </c>
      <c r="AL53" s="161"/>
      <c r="AM53" s="161">
        <v>34</v>
      </c>
      <c r="AP53" s="2173"/>
      <c r="AQ53" s="2173"/>
      <c r="AR53" s="2173"/>
      <c r="AS53" s="2174" t="s">
        <v>1288</v>
      </c>
      <c r="AT53" s="2175"/>
      <c r="AU53" s="2176">
        <v>0</v>
      </c>
      <c r="AV53" s="2175"/>
      <c r="AW53" s="2176">
        <v>1</v>
      </c>
      <c r="AX53" s="2176">
        <v>4</v>
      </c>
      <c r="AY53" s="2178">
        <v>0</v>
      </c>
      <c r="AZ53" s="2178">
        <v>5</v>
      </c>
      <c r="BA53" s="2169"/>
      <c r="BC53" s="774"/>
      <c r="BD53" s="774"/>
      <c r="BE53" s="775"/>
      <c r="BF53" s="776" t="s">
        <v>1377</v>
      </c>
      <c r="BG53" s="777">
        <v>0</v>
      </c>
      <c r="BH53" s="777">
        <v>0</v>
      </c>
      <c r="BI53" s="777">
        <v>5</v>
      </c>
      <c r="BJ53" s="777">
        <v>1</v>
      </c>
      <c r="BK53" s="779">
        <v>0</v>
      </c>
      <c r="BL53" s="779">
        <v>6</v>
      </c>
      <c r="BM53" s="73"/>
      <c r="BO53" s="780"/>
      <c r="BP53" s="780"/>
      <c r="BQ53" s="781"/>
      <c r="BR53" s="804" t="s">
        <v>15</v>
      </c>
      <c r="BS53" s="806"/>
      <c r="BT53" s="805">
        <v>3</v>
      </c>
      <c r="BU53" s="805">
        <v>11</v>
      </c>
      <c r="BV53" s="805">
        <v>6</v>
      </c>
      <c r="BW53" s="808">
        <v>3</v>
      </c>
      <c r="BX53" s="808">
        <v>2</v>
      </c>
      <c r="BY53" s="808">
        <v>25</v>
      </c>
      <c r="BZ53" s="787">
        <f>+(BY52+BY50-BW52-BX50-BW50)/BY53</f>
        <v>0.64</v>
      </c>
      <c r="CD53" s="788"/>
      <c r="CE53" s="789" t="s">
        <v>1288</v>
      </c>
      <c r="CF53" s="791">
        <v>0</v>
      </c>
      <c r="CG53" s="790"/>
      <c r="CH53" s="791">
        <v>7</v>
      </c>
      <c r="CI53" s="790"/>
      <c r="CJ53" s="790"/>
      <c r="CK53" s="791">
        <v>7</v>
      </c>
      <c r="CL53" s="792"/>
      <c r="CN53" s="74"/>
      <c r="CO53" s="121"/>
      <c r="CP53" s="121"/>
      <c r="CQ53" s="74" t="s">
        <v>1288</v>
      </c>
      <c r="CR53" s="121"/>
      <c r="CS53" s="121">
        <v>0</v>
      </c>
      <c r="CT53" s="121">
        <v>2</v>
      </c>
      <c r="CU53" s="121">
        <v>0</v>
      </c>
      <c r="CV53" s="121"/>
      <c r="CW53" s="121">
        <v>2</v>
      </c>
      <c r="CX53" s="74"/>
      <c r="CY53" s="74"/>
      <c r="CZ53" s="793"/>
      <c r="DA53" s="794"/>
      <c r="DB53" s="793"/>
      <c r="DC53" s="793" t="s">
        <v>1288</v>
      </c>
      <c r="DD53" s="793">
        <v>0</v>
      </c>
      <c r="DE53" s="793">
        <v>0</v>
      </c>
      <c r="DF53" s="793">
        <v>0</v>
      </c>
      <c r="DG53" s="793">
        <v>2</v>
      </c>
      <c r="DH53" s="793">
        <v>0</v>
      </c>
      <c r="DI53" s="793">
        <v>0</v>
      </c>
      <c r="DJ53" s="793">
        <v>2</v>
      </c>
      <c r="DK53" s="793"/>
      <c r="DL53" s="795"/>
      <c r="DM53" s="74"/>
    </row>
    <row r="54" spans="1:117">
      <c r="A54" s="73"/>
      <c r="B54" s="73"/>
      <c r="C54" s="73"/>
      <c r="D54" s="738" t="s">
        <v>15</v>
      </c>
      <c r="E54" s="3262"/>
      <c r="F54" s="3262"/>
      <c r="G54" s="3262"/>
      <c r="H54" s="3262"/>
      <c r="I54" s="3262"/>
      <c r="J54" s="3262"/>
      <c r="K54" s="3262"/>
      <c r="L54" s="3262">
        <v>5</v>
      </c>
      <c r="M54" s="4674">
        <v>5</v>
      </c>
      <c r="N54" s="912">
        <f>+M53/M54</f>
        <v>1</v>
      </c>
      <c r="P54" s="74"/>
      <c r="Q54" s="74"/>
      <c r="R54" s="761"/>
      <c r="S54" s="761" t="s">
        <v>1289</v>
      </c>
      <c r="T54" s="3230">
        <v>1</v>
      </c>
      <c r="U54" s="3230"/>
      <c r="V54" s="3230">
        <v>0</v>
      </c>
      <c r="W54" s="3230">
        <v>0</v>
      </c>
      <c r="X54" s="729">
        <v>0</v>
      </c>
      <c r="Y54" s="729">
        <v>0</v>
      </c>
      <c r="Z54" s="729">
        <v>1</v>
      </c>
      <c r="AC54" s="161"/>
      <c r="AF54" s="73" t="s">
        <v>1284</v>
      </c>
      <c r="AG54" s="2600"/>
      <c r="AH54" s="2600"/>
      <c r="AI54" s="2600">
        <v>2</v>
      </c>
      <c r="AJ54" s="2600">
        <v>0</v>
      </c>
      <c r="AK54" s="161">
        <v>0</v>
      </c>
      <c r="AL54" s="161"/>
      <c r="AM54" s="161">
        <v>2</v>
      </c>
      <c r="AP54" s="2173"/>
      <c r="AQ54" s="2173"/>
      <c r="AR54" s="2173"/>
      <c r="AS54" s="2174" t="s">
        <v>1289</v>
      </c>
      <c r="AT54" s="2175"/>
      <c r="AU54" s="2176">
        <v>0</v>
      </c>
      <c r="AV54" s="2175"/>
      <c r="AW54" s="2176">
        <v>0</v>
      </c>
      <c r="AX54" s="2176">
        <v>2</v>
      </c>
      <c r="AY54" s="2178">
        <v>0</v>
      </c>
      <c r="AZ54" s="2178">
        <v>2</v>
      </c>
      <c r="BA54" s="2169"/>
      <c r="BC54" s="774"/>
      <c r="BD54" s="774"/>
      <c r="BE54" s="775"/>
      <c r="BF54" s="798" t="s">
        <v>575</v>
      </c>
      <c r="BG54" s="799">
        <v>2</v>
      </c>
      <c r="BH54" s="799">
        <v>1</v>
      </c>
      <c r="BI54" s="799">
        <v>10</v>
      </c>
      <c r="BJ54" s="799">
        <v>5</v>
      </c>
      <c r="BK54" s="802">
        <v>6</v>
      </c>
      <c r="BL54" s="802">
        <v>24</v>
      </c>
      <c r="BM54" s="803">
        <f>+(BL50+BL53)/BL54</f>
        <v>0.41666666666666669</v>
      </c>
      <c r="BO54" s="780"/>
      <c r="BP54" s="780"/>
      <c r="BQ54" s="781" t="s">
        <v>620</v>
      </c>
      <c r="BR54" s="782" t="s">
        <v>1283</v>
      </c>
      <c r="BS54" s="784"/>
      <c r="BT54" s="783">
        <v>0</v>
      </c>
      <c r="BU54" s="784"/>
      <c r="BV54" s="783">
        <v>0</v>
      </c>
      <c r="BW54" s="786">
        <v>9</v>
      </c>
      <c r="BX54" s="785"/>
      <c r="BY54" s="786">
        <v>9</v>
      </c>
      <c r="BZ54" s="787"/>
      <c r="CD54" s="788"/>
      <c r="CE54" s="789" t="s">
        <v>1293</v>
      </c>
      <c r="CF54" s="791">
        <v>0</v>
      </c>
      <c r="CG54" s="790"/>
      <c r="CH54" s="791">
        <v>10</v>
      </c>
      <c r="CI54" s="790"/>
      <c r="CJ54" s="790"/>
      <c r="CK54" s="791">
        <v>10</v>
      </c>
      <c r="CL54" s="792"/>
      <c r="CN54" s="74"/>
      <c r="CO54" s="121"/>
      <c r="CP54" s="121"/>
      <c r="CQ54" s="74" t="s">
        <v>1289</v>
      </c>
      <c r="CR54" s="121"/>
      <c r="CS54" s="121">
        <v>0</v>
      </c>
      <c r="CT54" s="121">
        <v>0</v>
      </c>
      <c r="CU54" s="121">
        <v>1</v>
      </c>
      <c r="CV54" s="121"/>
      <c r="CW54" s="121">
        <v>1</v>
      </c>
      <c r="CX54" s="74"/>
      <c r="CY54" s="74"/>
      <c r="CZ54" s="793"/>
      <c r="DA54" s="794"/>
      <c r="DB54" s="793"/>
      <c r="DC54" s="793" t="s">
        <v>1377</v>
      </c>
      <c r="DD54" s="793">
        <v>0</v>
      </c>
      <c r="DE54" s="793">
        <v>0</v>
      </c>
      <c r="DF54" s="793">
        <v>0</v>
      </c>
      <c r="DG54" s="793">
        <v>5</v>
      </c>
      <c r="DH54" s="793">
        <v>0</v>
      </c>
      <c r="DI54" s="793">
        <v>0</v>
      </c>
      <c r="DJ54" s="793">
        <v>5</v>
      </c>
      <c r="DK54" s="793"/>
      <c r="DL54" s="795"/>
      <c r="DM54" s="74"/>
    </row>
    <row r="55" spans="1:117">
      <c r="A55" s="73"/>
      <c r="B55" s="73"/>
      <c r="C55" s="738" t="s">
        <v>575</v>
      </c>
      <c r="D55" s="738" t="s">
        <v>1284</v>
      </c>
      <c r="E55" s="3262"/>
      <c r="F55" s="3262">
        <v>1</v>
      </c>
      <c r="G55" s="3262"/>
      <c r="H55" s="3262">
        <v>1</v>
      </c>
      <c r="I55" s="3262">
        <v>1</v>
      </c>
      <c r="J55" s="4674">
        <v>0</v>
      </c>
      <c r="K55" s="4674"/>
      <c r="L55" s="4674"/>
      <c r="M55" s="4674">
        <v>3</v>
      </c>
      <c r="N55" s="73"/>
      <c r="P55" s="74"/>
      <c r="Q55" s="74"/>
      <c r="R55" s="761"/>
      <c r="S55" s="761" t="s">
        <v>1292</v>
      </c>
      <c r="T55" s="3230">
        <v>0</v>
      </c>
      <c r="U55" s="3230"/>
      <c r="V55" s="3230">
        <v>0</v>
      </c>
      <c r="W55" s="3230">
        <v>0</v>
      </c>
      <c r="X55" s="729">
        <v>2</v>
      </c>
      <c r="Y55" s="729">
        <v>1</v>
      </c>
      <c r="Z55" s="729">
        <v>3</v>
      </c>
      <c r="AC55" s="161"/>
      <c r="AF55" s="738" t="s">
        <v>15</v>
      </c>
      <c r="AG55" s="2601"/>
      <c r="AH55" s="2601"/>
      <c r="AI55" s="2601">
        <v>2</v>
      </c>
      <c r="AJ55" s="2601">
        <v>2</v>
      </c>
      <c r="AK55" s="151">
        <v>32</v>
      </c>
      <c r="AL55" s="151"/>
      <c r="AM55" s="151">
        <v>36</v>
      </c>
      <c r="AN55" s="912">
        <v>0</v>
      </c>
      <c r="AP55" s="2173"/>
      <c r="AQ55" s="2173"/>
      <c r="AR55" s="2173"/>
      <c r="AS55" s="2174" t="s">
        <v>1292</v>
      </c>
      <c r="AT55" s="2175"/>
      <c r="AU55" s="2176">
        <v>0</v>
      </c>
      <c r="AV55" s="2175"/>
      <c r="AW55" s="2176">
        <v>0</v>
      </c>
      <c r="AX55" s="2176">
        <v>0</v>
      </c>
      <c r="AY55" s="2178">
        <v>6</v>
      </c>
      <c r="AZ55" s="2178">
        <v>6</v>
      </c>
      <c r="BA55" s="2169"/>
      <c r="BC55" s="774"/>
      <c r="BD55" s="774"/>
      <c r="BE55" s="775" t="s">
        <v>111</v>
      </c>
      <c r="BF55" s="776" t="s">
        <v>1283</v>
      </c>
      <c r="BG55" s="777">
        <v>0</v>
      </c>
      <c r="BH55" s="777">
        <v>0</v>
      </c>
      <c r="BI55" s="777">
        <v>0</v>
      </c>
      <c r="BJ55" s="777">
        <v>1</v>
      </c>
      <c r="BK55" s="779">
        <v>5</v>
      </c>
      <c r="BL55" s="779">
        <v>6</v>
      </c>
      <c r="BM55" s="73"/>
      <c r="BO55" s="780"/>
      <c r="BP55" s="780"/>
      <c r="BQ55" s="781"/>
      <c r="BR55" s="782" t="s">
        <v>1284</v>
      </c>
      <c r="BS55" s="784"/>
      <c r="BT55" s="783">
        <v>1</v>
      </c>
      <c r="BU55" s="784"/>
      <c r="BV55" s="783">
        <v>1</v>
      </c>
      <c r="BW55" s="786">
        <v>0</v>
      </c>
      <c r="BX55" s="785"/>
      <c r="BY55" s="786">
        <v>2</v>
      </c>
      <c r="BZ55" s="787"/>
      <c r="CB55" s="788"/>
      <c r="CD55" s="788"/>
      <c r="CE55" s="789" t="s">
        <v>1377</v>
      </c>
      <c r="CF55" s="791">
        <v>0</v>
      </c>
      <c r="CG55" s="790"/>
      <c r="CH55" s="791">
        <v>5</v>
      </c>
      <c r="CI55" s="790"/>
      <c r="CJ55" s="790"/>
      <c r="CK55" s="791">
        <v>5</v>
      </c>
      <c r="CL55" s="792"/>
      <c r="CN55" s="74"/>
      <c r="CO55" s="121"/>
      <c r="CP55" s="121"/>
      <c r="CQ55" s="74" t="s">
        <v>1293</v>
      </c>
      <c r="CR55" s="121"/>
      <c r="CS55" s="121">
        <v>0</v>
      </c>
      <c r="CT55" s="121">
        <v>11</v>
      </c>
      <c r="CU55" s="121">
        <v>0</v>
      </c>
      <c r="CV55" s="121"/>
      <c r="CW55" s="121">
        <v>11</v>
      </c>
      <c r="CX55" s="74"/>
      <c r="CY55" s="74"/>
      <c r="CZ55" s="793"/>
      <c r="DA55" s="794"/>
      <c r="DB55" s="793"/>
      <c r="DC55" s="796" t="s">
        <v>15</v>
      </c>
      <c r="DD55" s="796">
        <v>0</v>
      </c>
      <c r="DE55" s="796">
        <v>1</v>
      </c>
      <c r="DF55" s="796">
        <v>0</v>
      </c>
      <c r="DG55" s="796">
        <v>13</v>
      </c>
      <c r="DH55" s="796">
        <v>1</v>
      </c>
      <c r="DI55" s="796">
        <v>0</v>
      </c>
      <c r="DJ55" s="796">
        <v>15</v>
      </c>
      <c r="DK55" s="797">
        <f>+(DJ54+DJ53)/DJ55</f>
        <v>0.46666666666666667</v>
      </c>
      <c r="DL55" s="795">
        <f>+DJ53+DJ54</f>
        <v>7</v>
      </c>
      <c r="DM55" s="74"/>
    </row>
    <row r="56" spans="1:117">
      <c r="A56" s="73"/>
      <c r="B56" s="73"/>
      <c r="C56" s="738"/>
      <c r="D56" s="738" t="s">
        <v>1288</v>
      </c>
      <c r="E56" s="3262"/>
      <c r="F56" s="3262">
        <v>0</v>
      </c>
      <c r="G56" s="3262"/>
      <c r="H56" s="3262">
        <v>1</v>
      </c>
      <c r="I56" s="3262">
        <v>0</v>
      </c>
      <c r="J56" s="4674">
        <v>3</v>
      </c>
      <c r="K56" s="4674"/>
      <c r="L56" s="4674"/>
      <c r="M56" s="4674">
        <v>4</v>
      </c>
      <c r="N56" s="73"/>
      <c r="P56" s="74"/>
      <c r="Q56" s="74"/>
      <c r="R56" s="761"/>
      <c r="S56" s="761" t="s">
        <v>1377</v>
      </c>
      <c r="T56" s="3230">
        <v>0</v>
      </c>
      <c r="U56" s="3230"/>
      <c r="V56" s="3230">
        <v>1</v>
      </c>
      <c r="W56" s="3230">
        <v>1</v>
      </c>
      <c r="X56" s="729">
        <v>1</v>
      </c>
      <c r="Y56" s="729">
        <v>0</v>
      </c>
      <c r="Z56" s="729">
        <v>3</v>
      </c>
      <c r="AC56" s="161"/>
      <c r="AE56" s="73" t="s">
        <v>573</v>
      </c>
      <c r="AF56" s="73" t="s">
        <v>1283</v>
      </c>
      <c r="AG56" s="2600"/>
      <c r="AH56" s="2600"/>
      <c r="AI56" s="2600">
        <v>0</v>
      </c>
      <c r="AJ56" s="2600">
        <v>2</v>
      </c>
      <c r="AK56" s="161">
        <v>32</v>
      </c>
      <c r="AL56" s="161"/>
      <c r="AM56" s="161">
        <v>34</v>
      </c>
      <c r="AP56" s="2173"/>
      <c r="AQ56" s="2173"/>
      <c r="AR56" s="2173"/>
      <c r="AS56" s="2174" t="s">
        <v>1377</v>
      </c>
      <c r="AT56" s="2175"/>
      <c r="AU56" s="2176">
        <v>0</v>
      </c>
      <c r="AV56" s="2175"/>
      <c r="AW56" s="2176">
        <v>4</v>
      </c>
      <c r="AX56" s="2176">
        <v>1</v>
      </c>
      <c r="AY56" s="2178">
        <v>0</v>
      </c>
      <c r="AZ56" s="2178">
        <v>5</v>
      </c>
      <c r="BA56" s="2169"/>
      <c r="BC56" s="774"/>
      <c r="BD56" s="774"/>
      <c r="BE56" s="775"/>
      <c r="BF56" s="776" t="s">
        <v>1284</v>
      </c>
      <c r="BG56" s="777">
        <v>2</v>
      </c>
      <c r="BH56" s="777">
        <v>2</v>
      </c>
      <c r="BI56" s="777">
        <v>4</v>
      </c>
      <c r="BJ56" s="777">
        <v>1</v>
      </c>
      <c r="BK56" s="779">
        <v>0</v>
      </c>
      <c r="BL56" s="779">
        <v>9</v>
      </c>
      <c r="BM56" s="73"/>
      <c r="BO56" s="780"/>
      <c r="BP56" s="780"/>
      <c r="BQ56" s="781"/>
      <c r="BR56" s="804" t="s">
        <v>15</v>
      </c>
      <c r="BS56" s="806"/>
      <c r="BT56" s="805">
        <v>1</v>
      </c>
      <c r="BU56" s="806"/>
      <c r="BV56" s="805">
        <v>1</v>
      </c>
      <c r="BW56" s="808">
        <v>9</v>
      </c>
      <c r="BX56" s="807"/>
      <c r="BY56" s="808">
        <v>11</v>
      </c>
      <c r="BZ56" s="787">
        <v>0</v>
      </c>
      <c r="CB56" s="788"/>
      <c r="CD56" s="788"/>
      <c r="CE56" s="809" t="s">
        <v>573</v>
      </c>
      <c r="CF56" s="811">
        <v>1</v>
      </c>
      <c r="CG56" s="810"/>
      <c r="CH56" s="811">
        <v>25</v>
      </c>
      <c r="CI56" s="810"/>
      <c r="CJ56" s="810"/>
      <c r="CK56" s="811">
        <v>26</v>
      </c>
      <c r="CL56" s="812">
        <f>+(CK55+CK54+CK53)/CK56</f>
        <v>0.84615384615384615</v>
      </c>
      <c r="CN56" s="74"/>
      <c r="CO56" s="121"/>
      <c r="CP56" s="121"/>
      <c r="CQ56" s="74" t="s">
        <v>1377</v>
      </c>
      <c r="CR56" s="121"/>
      <c r="CS56" s="121">
        <v>0</v>
      </c>
      <c r="CT56" s="121">
        <v>4</v>
      </c>
      <c r="CU56" s="121">
        <v>0</v>
      </c>
      <c r="CV56" s="121"/>
      <c r="CW56" s="121">
        <v>4</v>
      </c>
      <c r="CX56" s="74"/>
      <c r="CY56" s="74"/>
      <c r="CZ56" s="793"/>
      <c r="DA56" s="794"/>
      <c r="DB56" s="793" t="s">
        <v>105</v>
      </c>
      <c r="DC56" s="793" t="s">
        <v>1283</v>
      </c>
      <c r="DD56" s="793">
        <v>0</v>
      </c>
      <c r="DE56" s="793">
        <v>0</v>
      </c>
      <c r="DF56" s="793">
        <v>0</v>
      </c>
      <c r="DG56" s="793">
        <v>1</v>
      </c>
      <c r="DH56" s="793">
        <v>2</v>
      </c>
      <c r="DI56" s="793">
        <v>9</v>
      </c>
      <c r="DJ56" s="793">
        <v>12</v>
      </c>
      <c r="DK56" s="793"/>
      <c r="DL56" s="795"/>
      <c r="DM56" s="74"/>
    </row>
    <row r="57" spans="1:117">
      <c r="A57" s="73"/>
      <c r="B57" s="73"/>
      <c r="C57" s="738"/>
      <c r="D57" s="738" t="s">
        <v>1292</v>
      </c>
      <c r="E57" s="3262"/>
      <c r="F57" s="3262">
        <v>0</v>
      </c>
      <c r="G57" s="3262"/>
      <c r="H57" s="3262">
        <v>0</v>
      </c>
      <c r="I57" s="3262">
        <v>0</v>
      </c>
      <c r="J57" s="4674">
        <v>1</v>
      </c>
      <c r="K57" s="4674"/>
      <c r="L57" s="4674"/>
      <c r="M57" s="4674">
        <v>1</v>
      </c>
      <c r="N57" s="73"/>
      <c r="P57" s="74"/>
      <c r="Q57" s="74"/>
      <c r="R57" s="74"/>
      <c r="S57" s="761" t="s">
        <v>111</v>
      </c>
      <c r="T57" s="3230">
        <v>1</v>
      </c>
      <c r="U57" s="3230"/>
      <c r="V57" s="3230">
        <v>14</v>
      </c>
      <c r="W57" s="3230">
        <v>4</v>
      </c>
      <c r="X57" s="729">
        <v>9</v>
      </c>
      <c r="Y57" s="729">
        <v>4</v>
      </c>
      <c r="Z57" s="729">
        <v>32</v>
      </c>
      <c r="AA57" s="3197">
        <f>+(Z53-X53+Z56-X56)/(Z57-Z44-Z33)</f>
        <v>0.70833333333333337</v>
      </c>
      <c r="AC57" s="161"/>
      <c r="AF57" s="73" t="s">
        <v>1284</v>
      </c>
      <c r="AG57" s="2600"/>
      <c r="AH57" s="2600"/>
      <c r="AI57" s="2600">
        <v>2</v>
      </c>
      <c r="AJ57" s="2600">
        <v>0</v>
      </c>
      <c r="AK57" s="161">
        <v>0</v>
      </c>
      <c r="AL57" s="161"/>
      <c r="AM57" s="161">
        <v>2</v>
      </c>
      <c r="AP57" s="2173"/>
      <c r="AQ57" s="2173"/>
      <c r="AR57" s="2173"/>
      <c r="AS57" s="2168" t="s">
        <v>575</v>
      </c>
      <c r="AT57" s="2179"/>
      <c r="AU57" s="2180">
        <v>1</v>
      </c>
      <c r="AV57" s="2179">
        <v>1</v>
      </c>
      <c r="AW57" s="2180">
        <v>7</v>
      </c>
      <c r="AX57" s="2180">
        <v>11</v>
      </c>
      <c r="AY57" s="2182">
        <v>6</v>
      </c>
      <c r="AZ57" s="2182">
        <v>26</v>
      </c>
      <c r="BA57" s="2154">
        <f>+(AZ53+AZ56)/AZ57</f>
        <v>0.38461538461538464</v>
      </c>
      <c r="BC57" s="774"/>
      <c r="BD57" s="774"/>
      <c r="BE57" s="775"/>
      <c r="BF57" s="776" t="s">
        <v>1288</v>
      </c>
      <c r="BG57" s="777">
        <v>0</v>
      </c>
      <c r="BH57" s="777">
        <v>0</v>
      </c>
      <c r="BI57" s="777">
        <v>3</v>
      </c>
      <c r="BJ57" s="777">
        <v>3</v>
      </c>
      <c r="BK57" s="779">
        <v>0</v>
      </c>
      <c r="BL57" s="779">
        <v>6</v>
      </c>
      <c r="BM57" s="73"/>
      <c r="BO57" s="780"/>
      <c r="BP57" s="780"/>
      <c r="BQ57" s="804" t="s">
        <v>575</v>
      </c>
      <c r="BR57" s="782" t="s">
        <v>1283</v>
      </c>
      <c r="BS57" s="784"/>
      <c r="BT57" s="783">
        <v>0</v>
      </c>
      <c r="BU57" s="783">
        <v>0</v>
      </c>
      <c r="BV57" s="783">
        <v>0</v>
      </c>
      <c r="BW57" s="786">
        <v>10</v>
      </c>
      <c r="BX57" s="786">
        <v>0</v>
      </c>
      <c r="BY57" s="786">
        <v>10</v>
      </c>
      <c r="BZ57" s="787"/>
      <c r="CN57" s="74"/>
      <c r="CO57" s="121"/>
      <c r="CP57" s="121"/>
      <c r="CQ57" s="761" t="s">
        <v>15</v>
      </c>
      <c r="CR57" s="729"/>
      <c r="CS57" s="729">
        <v>3</v>
      </c>
      <c r="CT57" s="729">
        <v>20</v>
      </c>
      <c r="CU57" s="729">
        <v>1</v>
      </c>
      <c r="CV57" s="729"/>
      <c r="CW57" s="729">
        <v>24</v>
      </c>
      <c r="CX57" s="813">
        <f>+(CW53+CW55+CW56)/CW57</f>
        <v>0.70833333333333337</v>
      </c>
      <c r="CY57" s="74"/>
      <c r="CZ57" s="793"/>
      <c r="DA57" s="794"/>
      <c r="DB57" s="793"/>
      <c r="DC57" s="793" t="s">
        <v>1284</v>
      </c>
      <c r="DD57" s="793">
        <v>0</v>
      </c>
      <c r="DE57" s="793">
        <v>2</v>
      </c>
      <c r="DF57" s="793">
        <v>4</v>
      </c>
      <c r="DG57" s="793">
        <v>7</v>
      </c>
      <c r="DH57" s="793">
        <v>0</v>
      </c>
      <c r="DI57" s="793">
        <v>0</v>
      </c>
      <c r="DJ57" s="793">
        <v>13</v>
      </c>
      <c r="DK57" s="793"/>
      <c r="DL57" s="795"/>
      <c r="DM57" s="74"/>
    </row>
    <row r="58" spans="1:117">
      <c r="A58" s="73"/>
      <c r="B58" s="73"/>
      <c r="C58" s="738"/>
      <c r="D58" s="738" t="s">
        <v>1377</v>
      </c>
      <c r="E58" s="3262"/>
      <c r="F58" s="3262">
        <v>0</v>
      </c>
      <c r="G58" s="3262"/>
      <c r="H58" s="3262">
        <v>1</v>
      </c>
      <c r="I58" s="3262">
        <v>0</v>
      </c>
      <c r="J58" s="4674">
        <v>0</v>
      </c>
      <c r="K58" s="4674"/>
      <c r="L58" s="4674">
        <v>5</v>
      </c>
      <c r="M58" s="4674">
        <v>6</v>
      </c>
      <c r="N58" s="73"/>
      <c r="P58" s="74" t="s">
        <v>59</v>
      </c>
      <c r="Q58" s="74" t="s">
        <v>64</v>
      </c>
      <c r="R58" s="74" t="s">
        <v>710</v>
      </c>
      <c r="S58" s="74" t="s">
        <v>1284</v>
      </c>
      <c r="T58" s="3229">
        <v>1</v>
      </c>
      <c r="U58" s="3229">
        <v>1</v>
      </c>
      <c r="V58" s="3229">
        <v>0</v>
      </c>
      <c r="W58" s="3229"/>
      <c r="X58" s="121"/>
      <c r="Y58" s="121"/>
      <c r="Z58" s="121">
        <v>2</v>
      </c>
      <c r="AC58" s="161"/>
      <c r="AF58" s="738" t="s">
        <v>573</v>
      </c>
      <c r="AG58" s="2601"/>
      <c r="AH58" s="2601"/>
      <c r="AI58" s="2601">
        <v>2</v>
      </c>
      <c r="AJ58" s="2601">
        <v>2</v>
      </c>
      <c r="AK58" s="151">
        <v>32</v>
      </c>
      <c r="AL58" s="151"/>
      <c r="AM58" s="151">
        <v>36</v>
      </c>
      <c r="AN58" s="912">
        <v>0</v>
      </c>
      <c r="AP58" s="2173"/>
      <c r="AQ58" s="2173"/>
      <c r="AR58" s="2173" t="s">
        <v>111</v>
      </c>
      <c r="AS58" s="2174" t="s">
        <v>1284</v>
      </c>
      <c r="AT58" s="2175"/>
      <c r="AU58" s="2176">
        <v>1</v>
      </c>
      <c r="AV58" s="2175">
        <v>1</v>
      </c>
      <c r="AW58" s="2176">
        <v>2</v>
      </c>
      <c r="AX58" s="2176">
        <v>4</v>
      </c>
      <c r="AY58" s="2178">
        <v>0</v>
      </c>
      <c r="AZ58" s="2178">
        <v>8</v>
      </c>
      <c r="BA58" s="2169"/>
      <c r="BC58" s="774"/>
      <c r="BD58" s="774"/>
      <c r="BE58" s="775"/>
      <c r="BF58" s="776" t="s">
        <v>1289</v>
      </c>
      <c r="BG58" s="777">
        <v>4</v>
      </c>
      <c r="BH58" s="777">
        <v>1</v>
      </c>
      <c r="BI58" s="777">
        <v>4</v>
      </c>
      <c r="BJ58" s="777">
        <v>0</v>
      </c>
      <c r="BK58" s="779">
        <v>1</v>
      </c>
      <c r="BL58" s="779">
        <v>10</v>
      </c>
      <c r="BM58" s="73"/>
      <c r="BO58" s="780"/>
      <c r="BP58" s="780"/>
      <c r="BQ58" s="781"/>
      <c r="BR58" s="782" t="s">
        <v>1284</v>
      </c>
      <c r="BS58" s="784"/>
      <c r="BT58" s="783">
        <v>1</v>
      </c>
      <c r="BU58" s="783">
        <v>1</v>
      </c>
      <c r="BV58" s="783">
        <v>1</v>
      </c>
      <c r="BW58" s="786">
        <v>0</v>
      </c>
      <c r="BX58" s="786">
        <v>0</v>
      </c>
      <c r="BY58" s="786">
        <v>3</v>
      </c>
      <c r="BZ58" s="787"/>
      <c r="CN58" s="74"/>
      <c r="CO58" s="121"/>
      <c r="CP58" s="121" t="s">
        <v>105</v>
      </c>
      <c r="CQ58" s="74" t="s">
        <v>1283</v>
      </c>
      <c r="CR58" s="121">
        <v>0</v>
      </c>
      <c r="CS58" s="121">
        <v>0</v>
      </c>
      <c r="CT58" s="121">
        <v>0</v>
      </c>
      <c r="CU58" s="121">
        <v>0</v>
      </c>
      <c r="CV58" s="121">
        <v>29</v>
      </c>
      <c r="CW58" s="121">
        <v>29</v>
      </c>
      <c r="CX58" s="74"/>
      <c r="CY58" s="74"/>
      <c r="CZ58" s="793"/>
      <c r="DA58" s="794"/>
      <c r="DB58" s="793"/>
      <c r="DC58" s="793" t="s">
        <v>1288</v>
      </c>
      <c r="DD58" s="793">
        <v>0</v>
      </c>
      <c r="DE58" s="793">
        <v>0</v>
      </c>
      <c r="DF58" s="793">
        <v>0</v>
      </c>
      <c r="DG58" s="793">
        <v>0</v>
      </c>
      <c r="DH58" s="793">
        <v>1</v>
      </c>
      <c r="DI58" s="793">
        <v>0</v>
      </c>
      <c r="DJ58" s="793">
        <v>1</v>
      </c>
      <c r="DK58" s="793"/>
      <c r="DL58" s="795"/>
      <c r="DM58" s="74"/>
    </row>
    <row r="59" spans="1:117">
      <c r="A59" s="73"/>
      <c r="B59" s="73"/>
      <c r="C59" s="738"/>
      <c r="D59" s="738" t="s">
        <v>575</v>
      </c>
      <c r="E59" s="3262"/>
      <c r="F59" s="3262">
        <v>1</v>
      </c>
      <c r="G59" s="3262"/>
      <c r="H59" s="3262">
        <v>3</v>
      </c>
      <c r="I59" s="3262">
        <v>1</v>
      </c>
      <c r="J59" s="4674">
        <v>4</v>
      </c>
      <c r="K59" s="4674"/>
      <c r="L59" s="4674">
        <v>5</v>
      </c>
      <c r="M59" s="4674">
        <v>14</v>
      </c>
      <c r="N59" s="912">
        <f>+(M58+M56-J56)/M59</f>
        <v>0.5</v>
      </c>
      <c r="P59" s="74"/>
      <c r="Q59" s="74"/>
      <c r="R59" s="74"/>
      <c r="S59" s="74" t="s">
        <v>1289</v>
      </c>
      <c r="T59" s="3229">
        <v>1</v>
      </c>
      <c r="U59" s="3229">
        <v>0</v>
      </c>
      <c r="V59" s="3229">
        <v>1</v>
      </c>
      <c r="W59" s="3229"/>
      <c r="X59" s="121"/>
      <c r="Y59" s="121"/>
      <c r="Z59" s="121">
        <v>2</v>
      </c>
      <c r="AC59" s="161"/>
      <c r="AD59" s="161" t="s">
        <v>41</v>
      </c>
      <c r="AE59" s="73" t="s">
        <v>139</v>
      </c>
      <c r="AF59" s="73" t="s">
        <v>1283</v>
      </c>
      <c r="AG59" s="2600"/>
      <c r="AH59" s="2600"/>
      <c r="AI59" s="2600"/>
      <c r="AJ59" s="2600">
        <v>0</v>
      </c>
      <c r="AK59" s="161">
        <v>9</v>
      </c>
      <c r="AL59" s="161"/>
      <c r="AM59" s="161">
        <v>9</v>
      </c>
      <c r="AP59" s="2173"/>
      <c r="AQ59" s="2173"/>
      <c r="AR59" s="2173"/>
      <c r="AS59" s="2174" t="s">
        <v>1288</v>
      </c>
      <c r="AT59" s="2175"/>
      <c r="AU59" s="2176">
        <v>0</v>
      </c>
      <c r="AV59" s="2175"/>
      <c r="AW59" s="2176">
        <v>13</v>
      </c>
      <c r="AX59" s="2176">
        <v>4</v>
      </c>
      <c r="AY59" s="2178">
        <v>0</v>
      </c>
      <c r="AZ59" s="2178">
        <v>17</v>
      </c>
      <c r="BA59" s="2169"/>
      <c r="BC59" s="774"/>
      <c r="BD59" s="774"/>
      <c r="BE59" s="775"/>
      <c r="BF59" s="776" t="s">
        <v>1293</v>
      </c>
      <c r="BG59" s="777">
        <v>0</v>
      </c>
      <c r="BH59" s="777">
        <v>0</v>
      </c>
      <c r="BI59" s="777">
        <v>1</v>
      </c>
      <c r="BJ59" s="777">
        <v>0</v>
      </c>
      <c r="BK59" s="779">
        <v>0</v>
      </c>
      <c r="BL59" s="779">
        <v>1</v>
      </c>
      <c r="BM59" s="73"/>
      <c r="BO59" s="780"/>
      <c r="BP59" s="780"/>
      <c r="BQ59" s="781"/>
      <c r="BR59" s="782" t="s">
        <v>1286</v>
      </c>
      <c r="BS59" s="784"/>
      <c r="BT59" s="783">
        <v>2</v>
      </c>
      <c r="BU59" s="783">
        <v>0</v>
      </c>
      <c r="BV59" s="783">
        <v>0</v>
      </c>
      <c r="BW59" s="786">
        <v>0</v>
      </c>
      <c r="BX59" s="786">
        <v>0</v>
      </c>
      <c r="BY59" s="786">
        <v>2</v>
      </c>
      <c r="BZ59" s="787"/>
      <c r="CN59" s="74"/>
      <c r="CO59" s="121"/>
      <c r="CP59" s="121"/>
      <c r="CQ59" s="74" t="s">
        <v>1284</v>
      </c>
      <c r="CR59" s="121">
        <v>2</v>
      </c>
      <c r="CS59" s="121">
        <v>3</v>
      </c>
      <c r="CT59" s="121">
        <v>5</v>
      </c>
      <c r="CU59" s="121">
        <v>0</v>
      </c>
      <c r="CV59" s="121">
        <v>0</v>
      </c>
      <c r="CW59" s="121">
        <v>10</v>
      </c>
      <c r="CX59" s="74"/>
      <c r="CY59" s="74"/>
      <c r="CZ59" s="793"/>
      <c r="DA59" s="794"/>
      <c r="DB59" s="793"/>
      <c r="DC59" s="793" t="s">
        <v>1289</v>
      </c>
      <c r="DD59" s="793">
        <v>0</v>
      </c>
      <c r="DE59" s="793">
        <v>0</v>
      </c>
      <c r="DF59" s="793">
        <v>1</v>
      </c>
      <c r="DG59" s="793">
        <v>0</v>
      </c>
      <c r="DH59" s="793">
        <v>0</v>
      </c>
      <c r="DI59" s="793">
        <v>0</v>
      </c>
      <c r="DJ59" s="793">
        <v>1</v>
      </c>
      <c r="DK59" s="793"/>
      <c r="DL59" s="795"/>
      <c r="DM59" s="74"/>
    </row>
    <row r="60" spans="1:117">
      <c r="A60" s="73"/>
      <c r="B60" s="73"/>
      <c r="C60" s="738" t="s">
        <v>111</v>
      </c>
      <c r="D60" s="738" t="s">
        <v>1283</v>
      </c>
      <c r="E60" s="3262"/>
      <c r="F60" s="3262">
        <v>0</v>
      </c>
      <c r="G60" s="3262">
        <v>0</v>
      </c>
      <c r="H60" s="3262">
        <v>0</v>
      </c>
      <c r="I60" s="3262">
        <v>1</v>
      </c>
      <c r="J60" s="4674">
        <v>0</v>
      </c>
      <c r="K60" s="4674"/>
      <c r="L60" s="4674"/>
      <c r="M60" s="4674">
        <v>1</v>
      </c>
      <c r="N60" s="73"/>
      <c r="P60" s="74"/>
      <c r="Q60" s="74"/>
      <c r="R60" s="74"/>
      <c r="S60" s="74" t="s">
        <v>1377</v>
      </c>
      <c r="T60" s="3229">
        <v>0</v>
      </c>
      <c r="U60" s="3229">
        <v>0</v>
      </c>
      <c r="V60" s="3229">
        <v>1</v>
      </c>
      <c r="W60" s="3229"/>
      <c r="X60" s="121"/>
      <c r="Y60" s="121"/>
      <c r="Z60" s="121">
        <v>1</v>
      </c>
      <c r="AC60" s="161"/>
      <c r="AF60" s="73" t="s">
        <v>1288</v>
      </c>
      <c r="AG60" s="2600"/>
      <c r="AH60" s="2600"/>
      <c r="AI60" s="2600"/>
      <c r="AJ60" s="2600">
        <v>2</v>
      </c>
      <c r="AK60" s="161">
        <v>0</v>
      </c>
      <c r="AL60" s="161"/>
      <c r="AM60" s="161">
        <v>2</v>
      </c>
      <c r="AP60" s="2173"/>
      <c r="AQ60" s="2173"/>
      <c r="AR60" s="2173"/>
      <c r="AS60" s="2174" t="s">
        <v>1289</v>
      </c>
      <c r="AT60" s="2175"/>
      <c r="AU60" s="2176">
        <v>0</v>
      </c>
      <c r="AV60" s="2175"/>
      <c r="AW60" s="2176">
        <v>0</v>
      </c>
      <c r="AX60" s="2176">
        <v>2</v>
      </c>
      <c r="AY60" s="2178">
        <v>0</v>
      </c>
      <c r="AZ60" s="2178">
        <v>2</v>
      </c>
      <c r="BA60" s="2169"/>
      <c r="BC60" s="774"/>
      <c r="BD60" s="774"/>
      <c r="BE60" s="775"/>
      <c r="BF60" s="776" t="s">
        <v>1377</v>
      </c>
      <c r="BG60" s="777">
        <v>0</v>
      </c>
      <c r="BH60" s="777">
        <v>0</v>
      </c>
      <c r="BI60" s="777">
        <v>24</v>
      </c>
      <c r="BJ60" s="777">
        <v>1</v>
      </c>
      <c r="BK60" s="779">
        <v>0</v>
      </c>
      <c r="BL60" s="779">
        <v>25</v>
      </c>
      <c r="BM60" s="73"/>
      <c r="BO60" s="780"/>
      <c r="BP60" s="780"/>
      <c r="BQ60" s="781"/>
      <c r="BR60" s="782" t="s">
        <v>1288</v>
      </c>
      <c r="BS60" s="784"/>
      <c r="BT60" s="783">
        <v>0</v>
      </c>
      <c r="BU60" s="783">
        <v>7</v>
      </c>
      <c r="BV60" s="783">
        <v>3</v>
      </c>
      <c r="BW60" s="786">
        <v>1</v>
      </c>
      <c r="BX60" s="786">
        <v>1</v>
      </c>
      <c r="BY60" s="786">
        <v>12</v>
      </c>
      <c r="BZ60" s="787"/>
      <c r="CN60" s="74"/>
      <c r="CO60" s="121"/>
      <c r="CP60" s="121"/>
      <c r="CQ60" s="74" t="s">
        <v>1286</v>
      </c>
      <c r="CR60" s="121">
        <v>0</v>
      </c>
      <c r="CS60" s="121">
        <v>1</v>
      </c>
      <c r="CT60" s="121">
        <v>0</v>
      </c>
      <c r="CU60" s="121">
        <v>0</v>
      </c>
      <c r="CV60" s="121">
        <v>0</v>
      </c>
      <c r="CW60" s="121">
        <v>1</v>
      </c>
      <c r="CX60" s="74"/>
      <c r="CY60" s="74"/>
      <c r="CZ60" s="793"/>
      <c r="DA60" s="794"/>
      <c r="DB60" s="793"/>
      <c r="DC60" s="793" t="s">
        <v>1292</v>
      </c>
      <c r="DD60" s="793">
        <v>0</v>
      </c>
      <c r="DE60" s="793">
        <v>0</v>
      </c>
      <c r="DF60" s="793">
        <v>0</v>
      </c>
      <c r="DG60" s="793">
        <v>0</v>
      </c>
      <c r="DH60" s="793">
        <v>1</v>
      </c>
      <c r="DI60" s="793">
        <v>1</v>
      </c>
      <c r="DJ60" s="793">
        <v>2</v>
      </c>
      <c r="DK60" s="793"/>
      <c r="DL60" s="795"/>
      <c r="DM60" s="74"/>
    </row>
    <row r="61" spans="1:117">
      <c r="A61" s="73"/>
      <c r="B61" s="73"/>
      <c r="C61" s="738"/>
      <c r="D61" s="738" t="s">
        <v>1284</v>
      </c>
      <c r="E61" s="3262"/>
      <c r="F61" s="3262">
        <v>1</v>
      </c>
      <c r="G61" s="3262">
        <v>0</v>
      </c>
      <c r="H61" s="3262">
        <v>1</v>
      </c>
      <c r="I61" s="3262">
        <v>1</v>
      </c>
      <c r="J61" s="4674">
        <v>0</v>
      </c>
      <c r="K61" s="4674"/>
      <c r="L61" s="4674"/>
      <c r="M61" s="4674">
        <v>3</v>
      </c>
      <c r="N61" s="73"/>
      <c r="P61" s="74"/>
      <c r="Q61" s="74"/>
      <c r="R61" s="74"/>
      <c r="S61" s="761" t="s">
        <v>15</v>
      </c>
      <c r="T61" s="3230">
        <v>2</v>
      </c>
      <c r="U61" s="3230">
        <v>1</v>
      </c>
      <c r="V61" s="3230">
        <v>2</v>
      </c>
      <c r="W61" s="3230"/>
      <c r="X61" s="729"/>
      <c r="Y61" s="729"/>
      <c r="Z61" s="729">
        <v>5</v>
      </c>
      <c r="AA61" s="3197">
        <f>+Z60/Z61</f>
        <v>0.2</v>
      </c>
      <c r="AC61" s="161"/>
      <c r="AF61" s="73" t="s">
        <v>1293</v>
      </c>
      <c r="AG61" s="2600"/>
      <c r="AH61" s="2600"/>
      <c r="AI61" s="2600"/>
      <c r="AJ61" s="2600">
        <v>1</v>
      </c>
      <c r="AK61" s="161">
        <v>0</v>
      </c>
      <c r="AL61" s="161"/>
      <c r="AM61" s="161">
        <v>1</v>
      </c>
      <c r="AP61" s="2173"/>
      <c r="AQ61" s="2173"/>
      <c r="AR61" s="2173"/>
      <c r="AS61" s="2174" t="s">
        <v>1292</v>
      </c>
      <c r="AT61" s="2175"/>
      <c r="AU61" s="2176">
        <v>0</v>
      </c>
      <c r="AV61" s="2175"/>
      <c r="AW61" s="2176">
        <v>0</v>
      </c>
      <c r="AX61" s="2176">
        <v>0</v>
      </c>
      <c r="AY61" s="2178">
        <v>6</v>
      </c>
      <c r="AZ61" s="2178">
        <v>6</v>
      </c>
      <c r="BA61" s="2169"/>
      <c r="BC61" s="774"/>
      <c r="BD61" s="774"/>
      <c r="BE61" s="775"/>
      <c r="BF61" s="798" t="s">
        <v>111</v>
      </c>
      <c r="BG61" s="799">
        <v>6</v>
      </c>
      <c r="BH61" s="799">
        <v>3</v>
      </c>
      <c r="BI61" s="799">
        <v>36</v>
      </c>
      <c r="BJ61" s="799">
        <v>6</v>
      </c>
      <c r="BK61" s="802">
        <v>6</v>
      </c>
      <c r="BL61" s="802">
        <v>57</v>
      </c>
      <c r="BM61" s="803">
        <f>+(BL57+BL59+BL60)/BL61</f>
        <v>0.56140350877192979</v>
      </c>
      <c r="BO61" s="780"/>
      <c r="BP61" s="780"/>
      <c r="BQ61" s="781"/>
      <c r="BR61" s="782" t="s">
        <v>1289</v>
      </c>
      <c r="BS61" s="784"/>
      <c r="BT61" s="783">
        <v>1</v>
      </c>
      <c r="BU61" s="783">
        <v>0</v>
      </c>
      <c r="BV61" s="783">
        <v>0</v>
      </c>
      <c r="BW61" s="786">
        <v>0</v>
      </c>
      <c r="BX61" s="786">
        <v>1</v>
      </c>
      <c r="BY61" s="786">
        <v>2</v>
      </c>
      <c r="BZ61" s="787"/>
      <c r="CN61" s="74"/>
      <c r="CO61" s="121"/>
      <c r="CP61" s="121"/>
      <c r="CQ61" s="74" t="s">
        <v>1288</v>
      </c>
      <c r="CR61" s="121">
        <v>0</v>
      </c>
      <c r="CS61" s="121">
        <v>0</v>
      </c>
      <c r="CT61" s="121">
        <v>1</v>
      </c>
      <c r="CU61" s="121">
        <v>7</v>
      </c>
      <c r="CV61" s="121">
        <v>0</v>
      </c>
      <c r="CW61" s="121">
        <v>8</v>
      </c>
      <c r="CX61" s="74"/>
      <c r="CY61" s="74"/>
      <c r="CZ61" s="793"/>
      <c r="DA61" s="794"/>
      <c r="DB61" s="793"/>
      <c r="DC61" s="793" t="s">
        <v>1293</v>
      </c>
      <c r="DD61" s="793">
        <v>0</v>
      </c>
      <c r="DE61" s="793">
        <v>0</v>
      </c>
      <c r="DF61" s="793">
        <v>0</v>
      </c>
      <c r="DG61" s="793">
        <v>1</v>
      </c>
      <c r="DH61" s="793">
        <v>20</v>
      </c>
      <c r="DI61" s="793">
        <v>0</v>
      </c>
      <c r="DJ61" s="793">
        <v>21</v>
      </c>
      <c r="DK61" s="793"/>
      <c r="DL61" s="795"/>
      <c r="DM61" s="74"/>
    </row>
    <row r="62" spans="1:117">
      <c r="A62" s="73"/>
      <c r="B62" s="73"/>
      <c r="C62" s="738"/>
      <c r="D62" s="738" t="s">
        <v>1286</v>
      </c>
      <c r="E62" s="3262"/>
      <c r="F62" s="3262">
        <v>2</v>
      </c>
      <c r="G62" s="3262">
        <v>0</v>
      </c>
      <c r="H62" s="3262">
        <v>0</v>
      </c>
      <c r="I62" s="3262">
        <v>0</v>
      </c>
      <c r="J62" s="4674">
        <v>0</v>
      </c>
      <c r="K62" s="4674"/>
      <c r="L62" s="4674"/>
      <c r="M62" s="4674">
        <v>2</v>
      </c>
      <c r="N62" s="73"/>
      <c r="P62" s="74"/>
      <c r="Q62" s="74"/>
      <c r="R62" s="74" t="s">
        <v>577</v>
      </c>
      <c r="S62" s="74" t="s">
        <v>1284</v>
      </c>
      <c r="T62" s="3229">
        <v>1</v>
      </c>
      <c r="U62" s="3229">
        <v>1</v>
      </c>
      <c r="V62" s="3229">
        <v>0</v>
      </c>
      <c r="W62" s="3229"/>
      <c r="X62" s="121"/>
      <c r="Y62" s="121"/>
      <c r="Z62" s="121">
        <v>2</v>
      </c>
      <c r="AC62" s="161"/>
      <c r="AF62" s="738" t="s">
        <v>15</v>
      </c>
      <c r="AG62" s="2601"/>
      <c r="AH62" s="2601"/>
      <c r="AI62" s="2601"/>
      <c r="AJ62" s="2601">
        <v>3</v>
      </c>
      <c r="AK62" s="151">
        <v>9</v>
      </c>
      <c r="AL62" s="151"/>
      <c r="AM62" s="151">
        <v>12</v>
      </c>
      <c r="AN62" s="912">
        <f>+(AM60+AM61)/AM62</f>
        <v>0.25</v>
      </c>
      <c r="AP62" s="2173"/>
      <c r="AQ62" s="2173"/>
      <c r="AR62" s="2173"/>
      <c r="AS62" s="2174" t="s">
        <v>1293</v>
      </c>
      <c r="AT62" s="2175"/>
      <c r="AU62" s="2176">
        <v>0</v>
      </c>
      <c r="AV62" s="2175"/>
      <c r="AW62" s="2176">
        <v>2</v>
      </c>
      <c r="AX62" s="2176">
        <v>0</v>
      </c>
      <c r="AY62" s="2178">
        <v>0</v>
      </c>
      <c r="AZ62" s="2178">
        <v>2</v>
      </c>
      <c r="BA62" s="2169"/>
      <c r="BC62" s="774" t="s">
        <v>48</v>
      </c>
      <c r="BD62" s="774" t="s">
        <v>16</v>
      </c>
      <c r="BE62" s="775" t="s">
        <v>112</v>
      </c>
      <c r="BF62" s="776" t="s">
        <v>1283</v>
      </c>
      <c r="BG62" s="778"/>
      <c r="BH62" s="778"/>
      <c r="BI62" s="777">
        <v>0</v>
      </c>
      <c r="BJ62" s="777">
        <v>0</v>
      </c>
      <c r="BK62" s="779">
        <v>6</v>
      </c>
      <c r="BL62" s="779">
        <v>6</v>
      </c>
      <c r="BM62" s="73"/>
      <c r="BO62" s="780"/>
      <c r="BP62" s="780"/>
      <c r="BQ62" s="781"/>
      <c r="BR62" s="782" t="s">
        <v>1377</v>
      </c>
      <c r="BS62" s="784"/>
      <c r="BT62" s="783">
        <v>0</v>
      </c>
      <c r="BU62" s="783">
        <v>3</v>
      </c>
      <c r="BV62" s="783">
        <v>3</v>
      </c>
      <c r="BW62" s="786">
        <v>1</v>
      </c>
      <c r="BX62" s="786">
        <v>0</v>
      </c>
      <c r="BY62" s="786">
        <v>7</v>
      </c>
      <c r="BZ62" s="787"/>
      <c r="CN62" s="74"/>
      <c r="CO62" s="121"/>
      <c r="CP62" s="121"/>
      <c r="CQ62" s="74" t="s">
        <v>1292</v>
      </c>
      <c r="CR62" s="121">
        <v>0</v>
      </c>
      <c r="CS62" s="121">
        <v>0</v>
      </c>
      <c r="CT62" s="121">
        <v>0</v>
      </c>
      <c r="CU62" s="121">
        <v>0</v>
      </c>
      <c r="CV62" s="121">
        <v>1</v>
      </c>
      <c r="CW62" s="121">
        <v>1</v>
      </c>
      <c r="CX62" s="74"/>
      <c r="CY62" s="74"/>
      <c r="CZ62" s="793"/>
      <c r="DA62" s="794"/>
      <c r="DB62" s="793"/>
      <c r="DC62" s="796" t="s">
        <v>15</v>
      </c>
      <c r="DD62" s="796">
        <v>0</v>
      </c>
      <c r="DE62" s="796">
        <v>2</v>
      </c>
      <c r="DF62" s="796">
        <v>5</v>
      </c>
      <c r="DG62" s="796">
        <v>9</v>
      </c>
      <c r="DH62" s="796">
        <v>24</v>
      </c>
      <c r="DI62" s="796">
        <v>10</v>
      </c>
      <c r="DJ62" s="796">
        <v>50</v>
      </c>
      <c r="DK62" s="797">
        <f>+(DJ61+DJ58)/DJ62</f>
        <v>0.44</v>
      </c>
      <c r="DL62" s="795">
        <f>+DJ58+DJ61</f>
        <v>22</v>
      </c>
      <c r="DM62" s="74"/>
    </row>
    <row r="63" spans="1:117">
      <c r="A63" s="73"/>
      <c r="B63" s="73"/>
      <c r="C63" s="738"/>
      <c r="D63" s="738" t="s">
        <v>1288</v>
      </c>
      <c r="E63" s="3262"/>
      <c r="F63" s="3262">
        <v>0</v>
      </c>
      <c r="G63" s="3262">
        <v>0</v>
      </c>
      <c r="H63" s="3262">
        <v>2</v>
      </c>
      <c r="I63" s="3262">
        <v>1</v>
      </c>
      <c r="J63" s="4674">
        <v>3</v>
      </c>
      <c r="K63" s="4674"/>
      <c r="L63" s="4674"/>
      <c r="M63" s="4674">
        <v>6</v>
      </c>
      <c r="N63" s="73"/>
      <c r="P63" s="74"/>
      <c r="Q63" s="74"/>
      <c r="R63" s="74"/>
      <c r="S63" s="74" t="s">
        <v>1289</v>
      </c>
      <c r="T63" s="3229">
        <v>1</v>
      </c>
      <c r="U63" s="3229">
        <v>0</v>
      </c>
      <c r="V63" s="3229">
        <v>1</v>
      </c>
      <c r="W63" s="3229"/>
      <c r="X63" s="121"/>
      <c r="Y63" s="121"/>
      <c r="Z63" s="121">
        <v>2</v>
      </c>
      <c r="AC63" s="161"/>
      <c r="AE63" s="73" t="s">
        <v>575</v>
      </c>
      <c r="AF63" s="73" t="s">
        <v>1283</v>
      </c>
      <c r="AG63" s="2600"/>
      <c r="AH63" s="2600"/>
      <c r="AI63" s="2600"/>
      <c r="AJ63" s="2600">
        <v>0</v>
      </c>
      <c r="AK63" s="161">
        <v>9</v>
      </c>
      <c r="AL63" s="161"/>
      <c r="AM63" s="161">
        <v>9</v>
      </c>
      <c r="AP63" s="2173"/>
      <c r="AQ63" s="2173"/>
      <c r="AR63" s="2173"/>
      <c r="AS63" s="2174" t="s">
        <v>1377</v>
      </c>
      <c r="AT63" s="2175"/>
      <c r="AU63" s="2176">
        <v>0</v>
      </c>
      <c r="AV63" s="2175"/>
      <c r="AW63" s="2176">
        <v>5</v>
      </c>
      <c r="AX63" s="2176">
        <v>1</v>
      </c>
      <c r="AY63" s="2178">
        <v>0</v>
      </c>
      <c r="AZ63" s="2178">
        <v>6</v>
      </c>
      <c r="BA63" s="2169"/>
      <c r="BC63" s="774"/>
      <c r="BD63" s="774"/>
      <c r="BE63" s="775"/>
      <c r="BF63" s="776" t="s">
        <v>1292</v>
      </c>
      <c r="BG63" s="778"/>
      <c r="BH63" s="778"/>
      <c r="BI63" s="777">
        <v>0</v>
      </c>
      <c r="BJ63" s="777">
        <v>0</v>
      </c>
      <c r="BK63" s="779">
        <v>1</v>
      </c>
      <c r="BL63" s="779">
        <v>1</v>
      </c>
      <c r="BM63" s="73"/>
      <c r="BO63" s="780"/>
      <c r="BP63" s="780"/>
      <c r="BQ63" s="781"/>
      <c r="BR63" s="804" t="s">
        <v>575</v>
      </c>
      <c r="BS63" s="806"/>
      <c r="BT63" s="805">
        <v>4</v>
      </c>
      <c r="BU63" s="805">
        <v>11</v>
      </c>
      <c r="BV63" s="805">
        <v>7</v>
      </c>
      <c r="BW63" s="808">
        <v>12</v>
      </c>
      <c r="BX63" s="808">
        <v>2</v>
      </c>
      <c r="BY63" s="808">
        <v>36</v>
      </c>
      <c r="BZ63" s="787">
        <f>+(BY62+BY60-BW62-BX60-BW60)/BY63</f>
        <v>0.44444444444444442</v>
      </c>
      <c r="CB63" s="788"/>
      <c r="CC63" s="788"/>
      <c r="CN63" s="74"/>
      <c r="CO63" s="121"/>
      <c r="CP63" s="121"/>
      <c r="CQ63" s="74" t="s">
        <v>1293</v>
      </c>
      <c r="CR63" s="121">
        <v>0</v>
      </c>
      <c r="CS63" s="121">
        <v>0</v>
      </c>
      <c r="CT63" s="121">
        <v>1</v>
      </c>
      <c r="CU63" s="121">
        <v>20</v>
      </c>
      <c r="CV63" s="121">
        <v>0</v>
      </c>
      <c r="CW63" s="121">
        <v>21</v>
      </c>
      <c r="CX63" s="74"/>
      <c r="CY63" s="74"/>
      <c r="CZ63" s="793"/>
      <c r="DA63" s="794" t="s">
        <v>1380</v>
      </c>
      <c r="DB63" s="793" t="s">
        <v>16</v>
      </c>
      <c r="DC63" s="793" t="s">
        <v>1284</v>
      </c>
      <c r="DD63" s="793">
        <v>0</v>
      </c>
      <c r="DE63" s="793">
        <v>3</v>
      </c>
      <c r="DF63" s="793">
        <v>28</v>
      </c>
      <c r="DG63" s="793">
        <v>66</v>
      </c>
      <c r="DH63" s="793">
        <v>0</v>
      </c>
      <c r="DI63" s="793">
        <v>0</v>
      </c>
      <c r="DJ63" s="793">
        <v>97</v>
      </c>
      <c r="DK63" s="793"/>
      <c r="DL63" s="795"/>
      <c r="DM63" s="74"/>
    </row>
    <row r="64" spans="1:117">
      <c r="A64" s="73"/>
      <c r="B64" s="73"/>
      <c r="C64" s="738"/>
      <c r="D64" s="738" t="s">
        <v>1289</v>
      </c>
      <c r="E64" s="3262"/>
      <c r="F64" s="3262">
        <v>0</v>
      </c>
      <c r="G64" s="3262">
        <v>4</v>
      </c>
      <c r="H64" s="3262">
        <v>2</v>
      </c>
      <c r="I64" s="3262">
        <v>0</v>
      </c>
      <c r="J64" s="4674">
        <v>0</v>
      </c>
      <c r="K64" s="4674"/>
      <c r="L64" s="4674"/>
      <c r="M64" s="4674">
        <v>6</v>
      </c>
      <c r="N64" s="73"/>
      <c r="P64" s="74"/>
      <c r="Q64" s="74"/>
      <c r="R64" s="74"/>
      <c r="S64" s="74" t="s">
        <v>1377</v>
      </c>
      <c r="T64" s="3229">
        <v>0</v>
      </c>
      <c r="U64" s="3229">
        <v>0</v>
      </c>
      <c r="V64" s="3229">
        <v>1</v>
      </c>
      <c r="W64" s="3229"/>
      <c r="X64" s="121"/>
      <c r="Y64" s="121"/>
      <c r="Z64" s="121">
        <v>1</v>
      </c>
      <c r="AC64" s="161"/>
      <c r="AF64" s="73" t="s">
        <v>1288</v>
      </c>
      <c r="AG64" s="2600"/>
      <c r="AH64" s="2600"/>
      <c r="AI64" s="2600"/>
      <c r="AJ64" s="2600">
        <v>2</v>
      </c>
      <c r="AK64" s="161">
        <v>0</v>
      </c>
      <c r="AL64" s="161"/>
      <c r="AM64" s="161">
        <v>2</v>
      </c>
      <c r="AP64" s="2173"/>
      <c r="AQ64" s="2173"/>
      <c r="AR64" s="2173"/>
      <c r="AS64" s="2168" t="s">
        <v>111</v>
      </c>
      <c r="AT64" s="2179"/>
      <c r="AU64" s="2180">
        <v>1</v>
      </c>
      <c r="AV64" s="2179">
        <v>1</v>
      </c>
      <c r="AW64" s="2180">
        <v>22</v>
      </c>
      <c r="AX64" s="2180">
        <v>11</v>
      </c>
      <c r="AY64" s="2182">
        <v>6</v>
      </c>
      <c r="AZ64" s="2182">
        <v>41</v>
      </c>
      <c r="BA64" s="2154">
        <f>+(AZ59+AZ62+AZ63)/AZ64</f>
        <v>0.6097560975609756</v>
      </c>
      <c r="BC64" s="774"/>
      <c r="BD64" s="774"/>
      <c r="BE64" s="775"/>
      <c r="BF64" s="776" t="s">
        <v>1293</v>
      </c>
      <c r="BG64" s="778"/>
      <c r="BH64" s="778"/>
      <c r="BI64" s="777">
        <v>2</v>
      </c>
      <c r="BJ64" s="777">
        <v>25</v>
      </c>
      <c r="BK64" s="779">
        <v>1</v>
      </c>
      <c r="BL64" s="779">
        <v>28</v>
      </c>
      <c r="BM64" s="73"/>
      <c r="BO64" s="780"/>
      <c r="BP64" s="780"/>
      <c r="BQ64" s="804" t="s">
        <v>111</v>
      </c>
      <c r="BR64" s="782" t="s">
        <v>1283</v>
      </c>
      <c r="BS64" s="784"/>
      <c r="BT64" s="783">
        <v>0</v>
      </c>
      <c r="BU64" s="783">
        <v>0</v>
      </c>
      <c r="BV64" s="783">
        <v>0</v>
      </c>
      <c r="BW64" s="786">
        <v>10</v>
      </c>
      <c r="BX64" s="786">
        <v>0</v>
      </c>
      <c r="BY64" s="786">
        <v>10</v>
      </c>
      <c r="BZ64" s="787"/>
      <c r="CB64" s="788"/>
      <c r="CC64" s="788"/>
      <c r="CN64" s="74"/>
      <c r="CO64" s="121"/>
      <c r="CP64" s="121"/>
      <c r="CQ64" s="74" t="s">
        <v>1377</v>
      </c>
      <c r="CR64" s="121">
        <v>0</v>
      </c>
      <c r="CS64" s="121">
        <v>0</v>
      </c>
      <c r="CT64" s="121">
        <v>1</v>
      </c>
      <c r="CU64" s="121">
        <v>1</v>
      </c>
      <c r="CV64" s="121">
        <v>0</v>
      </c>
      <c r="CW64" s="121">
        <v>2</v>
      </c>
      <c r="CX64" s="74"/>
      <c r="CY64" s="74"/>
      <c r="CZ64" s="793"/>
      <c r="DA64" s="794"/>
      <c r="DB64" s="793"/>
      <c r="DC64" s="793" t="s">
        <v>1288</v>
      </c>
      <c r="DD64" s="793">
        <v>0</v>
      </c>
      <c r="DE64" s="793">
        <v>0</v>
      </c>
      <c r="DF64" s="793">
        <v>0</v>
      </c>
      <c r="DG64" s="793">
        <v>2</v>
      </c>
      <c r="DH64" s="793">
        <v>1</v>
      </c>
      <c r="DI64" s="793">
        <v>0</v>
      </c>
      <c r="DJ64" s="793">
        <v>3</v>
      </c>
      <c r="DK64" s="793"/>
      <c r="DL64" s="795"/>
      <c r="DM64" s="74"/>
    </row>
    <row r="65" spans="1:117">
      <c r="A65" s="73"/>
      <c r="B65" s="73"/>
      <c r="C65" s="738"/>
      <c r="D65" s="738" t="s">
        <v>1292</v>
      </c>
      <c r="E65" s="3262"/>
      <c r="F65" s="3262">
        <v>0</v>
      </c>
      <c r="G65" s="3262">
        <v>0</v>
      </c>
      <c r="H65" s="3262">
        <v>0</v>
      </c>
      <c r="I65" s="3262">
        <v>0</v>
      </c>
      <c r="J65" s="4674">
        <v>1</v>
      </c>
      <c r="K65" s="4674"/>
      <c r="L65" s="4674"/>
      <c r="M65" s="4674">
        <v>1</v>
      </c>
      <c r="N65" s="73"/>
      <c r="P65" s="74"/>
      <c r="Q65" s="74"/>
      <c r="R65" s="74"/>
      <c r="S65" s="761" t="s">
        <v>577</v>
      </c>
      <c r="T65" s="3230">
        <v>2</v>
      </c>
      <c r="U65" s="3230">
        <v>1</v>
      </c>
      <c r="V65" s="3230">
        <v>2</v>
      </c>
      <c r="W65" s="3230"/>
      <c r="X65" s="729"/>
      <c r="Y65" s="729"/>
      <c r="Z65" s="729">
        <v>5</v>
      </c>
      <c r="AA65" s="3197">
        <f>+Z64/Z65</f>
        <v>0.2</v>
      </c>
      <c r="AC65" s="161"/>
      <c r="AF65" s="73" t="s">
        <v>1293</v>
      </c>
      <c r="AG65" s="2600"/>
      <c r="AH65" s="2600"/>
      <c r="AI65" s="2600"/>
      <c r="AJ65" s="2600">
        <v>1</v>
      </c>
      <c r="AK65" s="161">
        <v>0</v>
      </c>
      <c r="AL65" s="161"/>
      <c r="AM65" s="161">
        <v>1</v>
      </c>
      <c r="AP65" s="2173" t="s">
        <v>59</v>
      </c>
      <c r="AQ65" s="2173" t="s">
        <v>64</v>
      </c>
      <c r="AR65" s="2173" t="s">
        <v>710</v>
      </c>
      <c r="AS65" s="2174" t="s">
        <v>1288</v>
      </c>
      <c r="AT65" s="2175"/>
      <c r="AU65" s="2175"/>
      <c r="AV65" s="2176">
        <v>0</v>
      </c>
      <c r="AW65" s="2176">
        <v>1</v>
      </c>
      <c r="AX65" s="2175"/>
      <c r="AY65" s="2178">
        <v>0</v>
      </c>
      <c r="AZ65" s="2178">
        <v>1</v>
      </c>
      <c r="BA65" s="2169"/>
      <c r="BC65" s="774"/>
      <c r="BD65" s="774"/>
      <c r="BE65" s="775"/>
      <c r="BF65" s="798" t="s">
        <v>15</v>
      </c>
      <c r="BG65" s="800"/>
      <c r="BH65" s="800"/>
      <c r="BI65" s="799">
        <v>2</v>
      </c>
      <c r="BJ65" s="799">
        <v>25</v>
      </c>
      <c r="BK65" s="802">
        <v>8</v>
      </c>
      <c r="BL65" s="802">
        <v>35</v>
      </c>
      <c r="BM65" s="803">
        <f>+(BL64-BK64)/BL65</f>
        <v>0.77142857142857146</v>
      </c>
      <c r="BO65" s="780"/>
      <c r="BP65" s="780"/>
      <c r="BQ65" s="781"/>
      <c r="BR65" s="782" t="s">
        <v>1284</v>
      </c>
      <c r="BS65" s="784"/>
      <c r="BT65" s="783">
        <v>1</v>
      </c>
      <c r="BU65" s="783">
        <v>1</v>
      </c>
      <c r="BV65" s="783">
        <v>1</v>
      </c>
      <c r="BW65" s="786">
        <v>0</v>
      </c>
      <c r="BX65" s="786">
        <v>0</v>
      </c>
      <c r="BY65" s="786">
        <v>3</v>
      </c>
      <c r="BZ65" s="787"/>
      <c r="CB65" s="788"/>
      <c r="CC65" s="788"/>
      <c r="CN65" s="74"/>
      <c r="CO65" s="121"/>
      <c r="CP65" s="121"/>
      <c r="CQ65" s="761" t="s">
        <v>15</v>
      </c>
      <c r="CR65" s="729">
        <v>2</v>
      </c>
      <c r="CS65" s="729">
        <v>4</v>
      </c>
      <c r="CT65" s="729">
        <v>8</v>
      </c>
      <c r="CU65" s="729">
        <v>28</v>
      </c>
      <c r="CV65" s="729">
        <v>30</v>
      </c>
      <c r="CW65" s="729">
        <v>72</v>
      </c>
      <c r="CX65" s="813">
        <f>+(CW61+CW63+CW64)/CW65</f>
        <v>0.43055555555555558</v>
      </c>
      <c r="CY65" s="74"/>
      <c r="CZ65" s="793"/>
      <c r="DA65" s="794"/>
      <c r="DB65" s="793"/>
      <c r="DC65" s="793" t="s">
        <v>1289</v>
      </c>
      <c r="DD65" s="793">
        <v>0</v>
      </c>
      <c r="DE65" s="793">
        <v>0</v>
      </c>
      <c r="DF65" s="793">
        <v>3</v>
      </c>
      <c r="DG65" s="793">
        <v>1</v>
      </c>
      <c r="DH65" s="793">
        <v>0</v>
      </c>
      <c r="DI65" s="793">
        <v>0</v>
      </c>
      <c r="DJ65" s="793">
        <v>4</v>
      </c>
      <c r="DK65" s="793"/>
      <c r="DL65" s="795"/>
      <c r="DM65" s="74"/>
    </row>
    <row r="66" spans="1:117">
      <c r="A66" s="73"/>
      <c r="B66" s="73"/>
      <c r="C66" s="738"/>
      <c r="D66" s="738" t="s">
        <v>1377</v>
      </c>
      <c r="E66" s="3262"/>
      <c r="F66" s="3262">
        <v>0</v>
      </c>
      <c r="G66" s="3262">
        <v>0</v>
      </c>
      <c r="H66" s="3262">
        <v>45</v>
      </c>
      <c r="I66" s="3262">
        <v>6</v>
      </c>
      <c r="J66" s="4674">
        <v>0</v>
      </c>
      <c r="K66" s="4674"/>
      <c r="L66" s="4674">
        <v>5</v>
      </c>
      <c r="M66" s="4674">
        <v>56</v>
      </c>
      <c r="N66" s="73"/>
      <c r="P66" s="74"/>
      <c r="Q66" s="74"/>
      <c r="R66" s="761" t="s">
        <v>265</v>
      </c>
      <c r="S66" s="761" t="s">
        <v>1284</v>
      </c>
      <c r="T66" s="3230">
        <v>1</v>
      </c>
      <c r="U66" s="3230">
        <v>1</v>
      </c>
      <c r="V66" s="3230">
        <v>0</v>
      </c>
      <c r="W66" s="3230"/>
      <c r="X66" s="729"/>
      <c r="Y66" s="729"/>
      <c r="Z66" s="729">
        <v>2</v>
      </c>
      <c r="AC66" s="161"/>
      <c r="AF66" s="738" t="s">
        <v>575</v>
      </c>
      <c r="AG66" s="2601"/>
      <c r="AH66" s="2601"/>
      <c r="AI66" s="2601"/>
      <c r="AJ66" s="2601">
        <v>3</v>
      </c>
      <c r="AK66" s="151">
        <v>9</v>
      </c>
      <c r="AL66" s="151"/>
      <c r="AM66" s="151">
        <v>12</v>
      </c>
      <c r="AN66" s="912">
        <f>+(AM64+AM65)/AM66</f>
        <v>0.25</v>
      </c>
      <c r="AP66" s="2173"/>
      <c r="AQ66" s="2173"/>
      <c r="AR66" s="2173"/>
      <c r="AS66" s="2174" t="s">
        <v>1289</v>
      </c>
      <c r="AT66" s="2175"/>
      <c r="AU66" s="2175"/>
      <c r="AV66" s="2176">
        <v>1</v>
      </c>
      <c r="AW66" s="2176">
        <v>0</v>
      </c>
      <c r="AX66" s="2175"/>
      <c r="AY66" s="2178">
        <v>0</v>
      </c>
      <c r="AZ66" s="2178">
        <v>1</v>
      </c>
      <c r="BA66" s="2169"/>
      <c r="BC66" s="774"/>
      <c r="BD66" s="774"/>
      <c r="BE66" s="775" t="s">
        <v>573</v>
      </c>
      <c r="BF66" s="776" t="s">
        <v>1283</v>
      </c>
      <c r="BG66" s="778"/>
      <c r="BH66" s="778"/>
      <c r="BI66" s="777">
        <v>0</v>
      </c>
      <c r="BJ66" s="777">
        <v>0</v>
      </c>
      <c r="BK66" s="779">
        <v>6</v>
      </c>
      <c r="BL66" s="779">
        <v>6</v>
      </c>
      <c r="BM66" s="73"/>
      <c r="BO66" s="780"/>
      <c r="BP66" s="780"/>
      <c r="BQ66" s="781"/>
      <c r="BR66" s="782" t="s">
        <v>1286</v>
      </c>
      <c r="BS66" s="784"/>
      <c r="BT66" s="783">
        <v>2</v>
      </c>
      <c r="BU66" s="783">
        <v>0</v>
      </c>
      <c r="BV66" s="783">
        <v>0</v>
      </c>
      <c r="BW66" s="786">
        <v>0</v>
      </c>
      <c r="BX66" s="786">
        <v>0</v>
      </c>
      <c r="BY66" s="786">
        <v>2</v>
      </c>
      <c r="BZ66" s="787"/>
      <c r="CB66" s="788" t="s">
        <v>25</v>
      </c>
      <c r="CC66" s="788"/>
      <c r="CD66" s="788" t="s">
        <v>573</v>
      </c>
      <c r="CE66" s="789" t="s">
        <v>1284</v>
      </c>
      <c r="CF66" s="791">
        <v>3</v>
      </c>
      <c r="CG66" s="791">
        <v>1</v>
      </c>
      <c r="CH66" s="791">
        <v>6</v>
      </c>
      <c r="CI66" s="790"/>
      <c r="CJ66" s="790"/>
      <c r="CK66" s="791">
        <v>10</v>
      </c>
      <c r="CL66" s="792"/>
      <c r="CN66" s="74"/>
      <c r="CO66" s="121" t="s">
        <v>25</v>
      </c>
      <c r="CP66" s="121" t="s">
        <v>16</v>
      </c>
      <c r="CQ66" s="74" t="s">
        <v>1283</v>
      </c>
      <c r="CR66" s="121">
        <v>0</v>
      </c>
      <c r="CS66" s="121">
        <v>1</v>
      </c>
      <c r="CT66" s="121">
        <v>9</v>
      </c>
      <c r="CU66" s="121"/>
      <c r="CV66" s="121"/>
      <c r="CW66" s="121">
        <v>10</v>
      </c>
      <c r="CX66" s="74"/>
      <c r="CY66" s="74"/>
      <c r="CZ66" s="793"/>
      <c r="DA66" s="794"/>
      <c r="DB66" s="793"/>
      <c r="DC66" s="793" t="s">
        <v>1293</v>
      </c>
      <c r="DD66" s="793">
        <v>0</v>
      </c>
      <c r="DE66" s="793">
        <v>0</v>
      </c>
      <c r="DF66" s="793">
        <v>0</v>
      </c>
      <c r="DG66" s="793">
        <v>5</v>
      </c>
      <c r="DH66" s="793">
        <v>7</v>
      </c>
      <c r="DI66" s="793">
        <v>0</v>
      </c>
      <c r="DJ66" s="793">
        <v>12</v>
      </c>
      <c r="DK66" s="793"/>
      <c r="DL66" s="795"/>
      <c r="DM66" s="74"/>
    </row>
    <row r="67" spans="1:117">
      <c r="A67" s="73"/>
      <c r="B67" s="73"/>
      <c r="C67" s="738"/>
      <c r="D67" s="738" t="s">
        <v>111</v>
      </c>
      <c r="E67" s="3262"/>
      <c r="F67" s="3262">
        <v>3</v>
      </c>
      <c r="G67" s="3262">
        <v>4</v>
      </c>
      <c r="H67" s="3262">
        <v>50</v>
      </c>
      <c r="I67" s="3262">
        <v>9</v>
      </c>
      <c r="J67" s="4674">
        <v>4</v>
      </c>
      <c r="K67" s="4674"/>
      <c r="L67" s="4674">
        <v>5</v>
      </c>
      <c r="M67" s="4674">
        <v>75</v>
      </c>
      <c r="N67" s="912">
        <f>+(M66+M63-J63)/M67</f>
        <v>0.78666666666666663</v>
      </c>
      <c r="P67" s="74"/>
      <c r="Q67" s="74"/>
      <c r="R67" s="761"/>
      <c r="S67" s="761" t="s">
        <v>1289</v>
      </c>
      <c r="T67" s="3230">
        <v>1</v>
      </c>
      <c r="U67" s="3230">
        <v>0</v>
      </c>
      <c r="V67" s="3230">
        <v>1</v>
      </c>
      <c r="W67" s="3230"/>
      <c r="X67" s="729"/>
      <c r="Y67" s="729"/>
      <c r="Z67" s="729">
        <v>2</v>
      </c>
      <c r="AC67" s="161"/>
      <c r="AE67" s="73" t="s">
        <v>461</v>
      </c>
      <c r="AF67" s="73" t="s">
        <v>1283</v>
      </c>
      <c r="AG67" s="2600"/>
      <c r="AH67" s="2600"/>
      <c r="AI67" s="2600">
        <v>0</v>
      </c>
      <c r="AJ67" s="2600">
        <v>2</v>
      </c>
      <c r="AK67" s="161">
        <v>41</v>
      </c>
      <c r="AL67" s="161"/>
      <c r="AM67" s="161">
        <v>43</v>
      </c>
      <c r="AP67" s="2173"/>
      <c r="AQ67" s="2173"/>
      <c r="AR67" s="2173"/>
      <c r="AS67" s="2174" t="s">
        <v>1292</v>
      </c>
      <c r="AT67" s="2175"/>
      <c r="AU67" s="2175"/>
      <c r="AV67" s="2176">
        <v>0</v>
      </c>
      <c r="AW67" s="2176">
        <v>0</v>
      </c>
      <c r="AX67" s="2175"/>
      <c r="AY67" s="2178">
        <v>1</v>
      </c>
      <c r="AZ67" s="2178">
        <v>1</v>
      </c>
      <c r="BA67" s="2169"/>
      <c r="BC67" s="774"/>
      <c r="BD67" s="774"/>
      <c r="BE67" s="775"/>
      <c r="BF67" s="776" t="s">
        <v>1292</v>
      </c>
      <c r="BG67" s="778"/>
      <c r="BH67" s="778"/>
      <c r="BI67" s="777">
        <v>0</v>
      </c>
      <c r="BJ67" s="777">
        <v>0</v>
      </c>
      <c r="BK67" s="779">
        <v>1</v>
      </c>
      <c r="BL67" s="779">
        <v>1</v>
      </c>
      <c r="BM67" s="73"/>
      <c r="BO67" s="780"/>
      <c r="BP67" s="780"/>
      <c r="BQ67" s="781"/>
      <c r="BR67" s="782" t="s">
        <v>1288</v>
      </c>
      <c r="BS67" s="784"/>
      <c r="BT67" s="783">
        <v>0</v>
      </c>
      <c r="BU67" s="783">
        <v>20</v>
      </c>
      <c r="BV67" s="783">
        <v>4</v>
      </c>
      <c r="BW67" s="786">
        <v>1</v>
      </c>
      <c r="BX67" s="786">
        <v>1</v>
      </c>
      <c r="BY67" s="786">
        <v>26</v>
      </c>
      <c r="BZ67" s="787"/>
      <c r="CB67" s="788"/>
      <c r="CC67" s="788"/>
      <c r="CD67" s="788"/>
      <c r="CE67" s="789" t="s">
        <v>1288</v>
      </c>
      <c r="CF67" s="791">
        <v>0</v>
      </c>
      <c r="CG67" s="791">
        <v>0</v>
      </c>
      <c r="CH67" s="791">
        <v>51</v>
      </c>
      <c r="CI67" s="790"/>
      <c r="CJ67" s="790"/>
      <c r="CK67" s="791">
        <v>51</v>
      </c>
      <c r="CL67" s="792"/>
      <c r="CN67" s="74"/>
      <c r="CO67" s="121"/>
      <c r="CP67" s="121"/>
      <c r="CQ67" s="74" t="s">
        <v>1284</v>
      </c>
      <c r="CR67" s="121">
        <v>11</v>
      </c>
      <c r="CS67" s="121">
        <v>1</v>
      </c>
      <c r="CT67" s="121">
        <v>32</v>
      </c>
      <c r="CU67" s="121"/>
      <c r="CV67" s="121"/>
      <c r="CW67" s="121">
        <v>44</v>
      </c>
      <c r="CX67" s="74"/>
      <c r="CY67" s="74"/>
      <c r="CZ67" s="793"/>
      <c r="DA67" s="794"/>
      <c r="DB67" s="793"/>
      <c r="DC67" s="796" t="s">
        <v>15</v>
      </c>
      <c r="DD67" s="796">
        <v>0</v>
      </c>
      <c r="DE67" s="796">
        <v>3</v>
      </c>
      <c r="DF67" s="796">
        <v>31</v>
      </c>
      <c r="DG67" s="796">
        <v>74</v>
      </c>
      <c r="DH67" s="796">
        <v>8</v>
      </c>
      <c r="DI67" s="796">
        <v>0</v>
      </c>
      <c r="DJ67" s="796">
        <v>116</v>
      </c>
      <c r="DK67" s="797">
        <f>+(DJ66+DJ64)/DJ67</f>
        <v>0.12931034482758622</v>
      </c>
      <c r="DL67" s="795">
        <f>+DJ64+DJ66</f>
        <v>15</v>
      </c>
      <c r="DM67" s="74"/>
    </row>
    <row r="68" spans="1:117">
      <c r="A68" s="73" t="s">
        <v>48</v>
      </c>
      <c r="B68" s="73" t="s">
        <v>16</v>
      </c>
      <c r="C68" s="73" t="s">
        <v>112</v>
      </c>
      <c r="D68" s="73" t="s">
        <v>1283</v>
      </c>
      <c r="E68" s="3261"/>
      <c r="F68" s="3261">
        <v>0</v>
      </c>
      <c r="G68" s="3261"/>
      <c r="H68" s="3261">
        <v>0</v>
      </c>
      <c r="I68" s="3261">
        <v>0</v>
      </c>
      <c r="J68" s="161">
        <v>7</v>
      </c>
      <c r="K68" s="161"/>
      <c r="L68" s="161"/>
      <c r="M68" s="161">
        <v>7</v>
      </c>
      <c r="N68" s="73"/>
      <c r="P68" s="74"/>
      <c r="Q68" s="74"/>
      <c r="R68" s="761"/>
      <c r="S68" s="761" t="s">
        <v>1377</v>
      </c>
      <c r="T68" s="3230">
        <v>0</v>
      </c>
      <c r="U68" s="3230">
        <v>0</v>
      </c>
      <c r="V68" s="3230">
        <v>1</v>
      </c>
      <c r="W68" s="3230"/>
      <c r="X68" s="729"/>
      <c r="Y68" s="729"/>
      <c r="Z68" s="729">
        <v>1</v>
      </c>
      <c r="AC68" s="161"/>
      <c r="AF68" s="73" t="s">
        <v>1284</v>
      </c>
      <c r="AG68" s="2600"/>
      <c r="AH68" s="2600"/>
      <c r="AI68" s="2600">
        <v>2</v>
      </c>
      <c r="AJ68" s="2600">
        <v>0</v>
      </c>
      <c r="AK68" s="161">
        <v>0</v>
      </c>
      <c r="AL68" s="161"/>
      <c r="AM68" s="161">
        <v>2</v>
      </c>
      <c r="AP68" s="2173"/>
      <c r="AQ68" s="2173"/>
      <c r="AR68" s="2173"/>
      <c r="AS68" s="2174" t="s">
        <v>1377</v>
      </c>
      <c r="AT68" s="2175"/>
      <c r="AU68" s="2175"/>
      <c r="AV68" s="2176">
        <v>0</v>
      </c>
      <c r="AW68" s="2176">
        <v>1</v>
      </c>
      <c r="AX68" s="2175"/>
      <c r="AY68" s="2178">
        <v>0</v>
      </c>
      <c r="AZ68" s="2178">
        <v>1</v>
      </c>
      <c r="BA68" s="2169"/>
      <c r="BC68" s="774"/>
      <c r="BD68" s="774"/>
      <c r="BE68" s="775"/>
      <c r="BF68" s="776" t="s">
        <v>1293</v>
      </c>
      <c r="BG68" s="778"/>
      <c r="BH68" s="778"/>
      <c r="BI68" s="777">
        <v>2</v>
      </c>
      <c r="BJ68" s="777">
        <v>25</v>
      </c>
      <c r="BK68" s="779">
        <v>1</v>
      </c>
      <c r="BL68" s="779">
        <v>28</v>
      </c>
      <c r="BM68" s="73"/>
      <c r="BO68" s="780"/>
      <c r="BP68" s="780"/>
      <c r="BQ68" s="781"/>
      <c r="BR68" s="782" t="s">
        <v>1289</v>
      </c>
      <c r="BS68" s="784"/>
      <c r="BT68" s="783">
        <v>1</v>
      </c>
      <c r="BU68" s="783">
        <v>0</v>
      </c>
      <c r="BV68" s="783">
        <v>0</v>
      </c>
      <c r="BW68" s="786">
        <v>0</v>
      </c>
      <c r="BX68" s="786">
        <v>1</v>
      </c>
      <c r="BY68" s="786">
        <v>2</v>
      </c>
      <c r="BZ68" s="787"/>
      <c r="CB68" s="788"/>
      <c r="CC68" s="788"/>
      <c r="CD68" s="788"/>
      <c r="CE68" s="789" t="s">
        <v>1289</v>
      </c>
      <c r="CF68" s="791">
        <v>5</v>
      </c>
      <c r="CG68" s="791">
        <v>1</v>
      </c>
      <c r="CH68" s="791">
        <v>4</v>
      </c>
      <c r="CI68" s="790"/>
      <c r="CJ68" s="790"/>
      <c r="CK68" s="791">
        <v>10</v>
      </c>
      <c r="CL68" s="792"/>
      <c r="CN68" s="74"/>
      <c r="CO68" s="121"/>
      <c r="CP68" s="121"/>
      <c r="CQ68" s="74" t="s">
        <v>1288</v>
      </c>
      <c r="CR68" s="121">
        <v>0</v>
      </c>
      <c r="CS68" s="121">
        <v>0</v>
      </c>
      <c r="CT68" s="121">
        <v>32</v>
      </c>
      <c r="CU68" s="121"/>
      <c r="CV68" s="121"/>
      <c r="CW68" s="121">
        <v>32</v>
      </c>
      <c r="CX68" s="74"/>
      <c r="CY68" s="74"/>
      <c r="CZ68" s="793"/>
      <c r="DA68" s="794"/>
      <c r="DB68" s="793" t="s">
        <v>41</v>
      </c>
      <c r="DC68" s="793" t="s">
        <v>1283</v>
      </c>
      <c r="DD68" s="793">
        <v>0</v>
      </c>
      <c r="DE68" s="793">
        <v>0</v>
      </c>
      <c r="DF68" s="793">
        <v>0</v>
      </c>
      <c r="DG68" s="793">
        <v>0</v>
      </c>
      <c r="DH68" s="793">
        <v>0</v>
      </c>
      <c r="DI68" s="793">
        <v>6</v>
      </c>
      <c r="DJ68" s="793">
        <v>6</v>
      </c>
      <c r="DK68" s="793"/>
      <c r="DL68" s="795"/>
      <c r="DM68" s="74"/>
    </row>
    <row r="69" spans="1:117">
      <c r="A69" s="73"/>
      <c r="B69" s="73"/>
      <c r="C69" s="73"/>
      <c r="D69" s="73" t="s">
        <v>1284</v>
      </c>
      <c r="E69" s="3261"/>
      <c r="F69" s="3261">
        <v>1</v>
      </c>
      <c r="G69" s="3261"/>
      <c r="H69" s="3261">
        <v>2</v>
      </c>
      <c r="I69" s="3261">
        <v>0</v>
      </c>
      <c r="J69" s="161">
        <v>0</v>
      </c>
      <c r="K69" s="161"/>
      <c r="L69" s="161"/>
      <c r="M69" s="161">
        <v>3</v>
      </c>
      <c r="N69" s="73"/>
      <c r="P69" s="74"/>
      <c r="Q69" s="74"/>
      <c r="R69" s="74"/>
      <c r="S69" s="761" t="s">
        <v>265</v>
      </c>
      <c r="T69" s="3230">
        <v>2</v>
      </c>
      <c r="U69" s="3230">
        <v>1</v>
      </c>
      <c r="V69" s="3230">
        <v>2</v>
      </c>
      <c r="W69" s="3230"/>
      <c r="X69" s="729"/>
      <c r="Y69" s="729"/>
      <c r="Z69" s="729">
        <v>5</v>
      </c>
      <c r="AA69" s="3197">
        <f>+Z68/Z69</f>
        <v>0.2</v>
      </c>
      <c r="AC69" s="161"/>
      <c r="AF69" s="73" t="s">
        <v>1288</v>
      </c>
      <c r="AG69" s="2600"/>
      <c r="AH69" s="2600"/>
      <c r="AI69" s="2600">
        <v>0</v>
      </c>
      <c r="AJ69" s="2600">
        <v>2</v>
      </c>
      <c r="AK69" s="161">
        <v>0</v>
      </c>
      <c r="AL69" s="161"/>
      <c r="AM69" s="161">
        <v>2</v>
      </c>
      <c r="AP69" s="2173"/>
      <c r="AQ69" s="2173"/>
      <c r="AR69" s="2173"/>
      <c r="AS69" s="2168" t="s">
        <v>15</v>
      </c>
      <c r="AT69" s="2179"/>
      <c r="AU69" s="2179"/>
      <c r="AV69" s="2180">
        <v>1</v>
      </c>
      <c r="AW69" s="2180">
        <v>2</v>
      </c>
      <c r="AX69" s="2179"/>
      <c r="AY69" s="2182">
        <v>1</v>
      </c>
      <c r="AZ69" s="2182">
        <v>4</v>
      </c>
      <c r="BA69" s="2154">
        <f>+(AZ65+AZ68)/AZ69</f>
        <v>0.5</v>
      </c>
      <c r="BC69" s="774"/>
      <c r="BD69" s="774"/>
      <c r="BE69" s="775"/>
      <c r="BF69" s="798" t="s">
        <v>573</v>
      </c>
      <c r="BG69" s="800"/>
      <c r="BH69" s="800"/>
      <c r="BI69" s="799">
        <v>2</v>
      </c>
      <c r="BJ69" s="799">
        <v>25</v>
      </c>
      <c r="BK69" s="802">
        <v>8</v>
      </c>
      <c r="BL69" s="802">
        <v>35</v>
      </c>
      <c r="BM69" s="803">
        <f>+(BL68-BK68)/BL69</f>
        <v>0.77142857142857146</v>
      </c>
      <c r="BO69" s="780"/>
      <c r="BP69" s="780"/>
      <c r="BQ69" s="781"/>
      <c r="BR69" s="782" t="s">
        <v>1293</v>
      </c>
      <c r="BS69" s="784"/>
      <c r="BT69" s="783">
        <v>0</v>
      </c>
      <c r="BU69" s="783">
        <v>1</v>
      </c>
      <c r="BV69" s="783">
        <v>0</v>
      </c>
      <c r="BW69" s="786">
        <v>0</v>
      </c>
      <c r="BX69" s="786">
        <v>0</v>
      </c>
      <c r="BY69" s="786">
        <v>1</v>
      </c>
      <c r="BZ69" s="787"/>
      <c r="CB69" s="788"/>
      <c r="CC69" s="788"/>
      <c r="CD69" s="788"/>
      <c r="CE69" s="789" t="s">
        <v>1293</v>
      </c>
      <c r="CF69" s="791">
        <v>0</v>
      </c>
      <c r="CG69" s="791">
        <v>0</v>
      </c>
      <c r="CH69" s="791">
        <v>1</v>
      </c>
      <c r="CI69" s="790"/>
      <c r="CJ69" s="790"/>
      <c r="CK69" s="791">
        <v>1</v>
      </c>
      <c r="CL69" s="792"/>
      <c r="CN69" s="74"/>
      <c r="CO69" s="121"/>
      <c r="CP69" s="121"/>
      <c r="CQ69" s="74" t="s">
        <v>1289</v>
      </c>
      <c r="CR69" s="121">
        <v>0</v>
      </c>
      <c r="CS69" s="121">
        <v>4</v>
      </c>
      <c r="CT69" s="121">
        <v>0</v>
      </c>
      <c r="CU69" s="121"/>
      <c r="CV69" s="121"/>
      <c r="CW69" s="121">
        <v>4</v>
      </c>
      <c r="CX69" s="74"/>
      <c r="CY69" s="74"/>
      <c r="CZ69" s="793"/>
      <c r="DA69" s="794"/>
      <c r="DB69" s="793"/>
      <c r="DC69" s="793" t="s">
        <v>1284</v>
      </c>
      <c r="DD69" s="793">
        <v>0</v>
      </c>
      <c r="DE69" s="793">
        <v>0</v>
      </c>
      <c r="DF69" s="793">
        <v>0</v>
      </c>
      <c r="DG69" s="793">
        <v>1</v>
      </c>
      <c r="DH69" s="793">
        <v>0</v>
      </c>
      <c r="DI69" s="793">
        <v>0</v>
      </c>
      <c r="DJ69" s="793">
        <v>1</v>
      </c>
      <c r="DK69" s="793"/>
      <c r="DL69" s="795"/>
      <c r="DM69" s="74"/>
    </row>
    <row r="70" spans="1:117">
      <c r="A70" s="73"/>
      <c r="B70" s="73"/>
      <c r="C70" s="73"/>
      <c r="D70" s="73" t="s">
        <v>1293</v>
      </c>
      <c r="E70" s="3261"/>
      <c r="F70" s="3261">
        <v>0</v>
      </c>
      <c r="G70" s="3261"/>
      <c r="H70" s="3261">
        <v>0</v>
      </c>
      <c r="I70" s="3261">
        <v>22</v>
      </c>
      <c r="J70" s="161">
        <v>0</v>
      </c>
      <c r="K70" s="161"/>
      <c r="L70" s="161"/>
      <c r="M70" s="161">
        <v>22</v>
      </c>
      <c r="N70" s="73"/>
      <c r="P70" s="74"/>
      <c r="Q70" s="74"/>
      <c r="R70" s="761" t="s">
        <v>114</v>
      </c>
      <c r="S70" s="761" t="s">
        <v>1283</v>
      </c>
      <c r="T70" s="3230">
        <v>0</v>
      </c>
      <c r="U70" s="3230">
        <v>0</v>
      </c>
      <c r="V70" s="3230">
        <v>0</v>
      </c>
      <c r="W70" s="3230">
        <v>0</v>
      </c>
      <c r="X70" s="729">
        <v>5</v>
      </c>
      <c r="Y70" s="729">
        <v>2</v>
      </c>
      <c r="Z70" s="729">
        <v>7</v>
      </c>
      <c r="AC70" s="161"/>
      <c r="AF70" s="73" t="s">
        <v>1293</v>
      </c>
      <c r="AG70" s="2600"/>
      <c r="AH70" s="2600"/>
      <c r="AI70" s="2600">
        <v>0</v>
      </c>
      <c r="AJ70" s="2600">
        <v>1</v>
      </c>
      <c r="AK70" s="161">
        <v>0</v>
      </c>
      <c r="AL70" s="161"/>
      <c r="AM70" s="161">
        <v>1</v>
      </c>
      <c r="AP70" s="2173"/>
      <c r="AQ70" s="2173"/>
      <c r="AR70" s="2173" t="s">
        <v>577</v>
      </c>
      <c r="AS70" s="2174" t="s">
        <v>1288</v>
      </c>
      <c r="AT70" s="2175"/>
      <c r="AU70" s="2175"/>
      <c r="AV70" s="2176">
        <v>0</v>
      </c>
      <c r="AW70" s="2176">
        <v>1</v>
      </c>
      <c r="AX70" s="2175"/>
      <c r="AY70" s="2178">
        <v>0</v>
      </c>
      <c r="AZ70" s="2178">
        <v>1</v>
      </c>
      <c r="BA70" s="2169"/>
      <c r="BC70" s="774"/>
      <c r="BD70" s="774" t="s">
        <v>41</v>
      </c>
      <c r="BE70" s="775" t="s">
        <v>139</v>
      </c>
      <c r="BF70" s="776" t="s">
        <v>1283</v>
      </c>
      <c r="BG70" s="778"/>
      <c r="BH70" s="778"/>
      <c r="BI70" s="778"/>
      <c r="BJ70" s="778"/>
      <c r="BK70" s="779">
        <v>11</v>
      </c>
      <c r="BL70" s="779">
        <v>11</v>
      </c>
      <c r="BM70" s="73"/>
      <c r="BO70" s="780"/>
      <c r="BP70" s="780"/>
      <c r="BQ70" s="781"/>
      <c r="BR70" s="782" t="s">
        <v>1377</v>
      </c>
      <c r="BS70" s="784"/>
      <c r="BT70" s="783">
        <v>0</v>
      </c>
      <c r="BU70" s="783">
        <v>3</v>
      </c>
      <c r="BV70" s="783">
        <v>3</v>
      </c>
      <c r="BW70" s="786">
        <v>1</v>
      </c>
      <c r="BX70" s="786">
        <v>0</v>
      </c>
      <c r="BY70" s="786">
        <v>7</v>
      </c>
      <c r="BZ70" s="787"/>
      <c r="CD70" s="788"/>
      <c r="CE70" s="809" t="s">
        <v>573</v>
      </c>
      <c r="CF70" s="811">
        <v>8</v>
      </c>
      <c r="CG70" s="811">
        <v>2</v>
      </c>
      <c r="CH70" s="811">
        <v>62</v>
      </c>
      <c r="CI70" s="810"/>
      <c r="CJ70" s="810"/>
      <c r="CK70" s="811">
        <v>72</v>
      </c>
      <c r="CL70" s="812">
        <f>+(CK69+CK67)/CK70</f>
        <v>0.72222222222222221</v>
      </c>
      <c r="CN70" s="74"/>
      <c r="CO70" s="121"/>
      <c r="CP70" s="121"/>
      <c r="CQ70" s="74" t="s">
        <v>1293</v>
      </c>
      <c r="CR70" s="121">
        <v>0</v>
      </c>
      <c r="CS70" s="121">
        <v>0</v>
      </c>
      <c r="CT70" s="121">
        <v>1</v>
      </c>
      <c r="CU70" s="121"/>
      <c r="CV70" s="121"/>
      <c r="CW70" s="121">
        <v>1</v>
      </c>
      <c r="CX70" s="74"/>
      <c r="CY70" s="74"/>
      <c r="CZ70" s="793"/>
      <c r="DA70" s="794"/>
      <c r="DB70" s="793"/>
      <c r="DC70" s="793" t="s">
        <v>1288</v>
      </c>
      <c r="DD70" s="793">
        <v>0</v>
      </c>
      <c r="DE70" s="793">
        <v>0</v>
      </c>
      <c r="DF70" s="793">
        <v>0</v>
      </c>
      <c r="DG70" s="793">
        <v>6</v>
      </c>
      <c r="DH70" s="793">
        <v>7</v>
      </c>
      <c r="DI70" s="793">
        <v>0</v>
      </c>
      <c r="DJ70" s="793">
        <v>13</v>
      </c>
      <c r="DK70" s="793"/>
      <c r="DL70" s="795"/>
      <c r="DM70" s="74"/>
    </row>
    <row r="71" spans="1:117">
      <c r="A71" s="73"/>
      <c r="B71" s="73"/>
      <c r="C71" s="73"/>
      <c r="D71" s="738" t="s">
        <v>15</v>
      </c>
      <c r="E71" s="3262"/>
      <c r="F71" s="3262">
        <v>1</v>
      </c>
      <c r="G71" s="3262"/>
      <c r="H71" s="3262">
        <v>2</v>
      </c>
      <c r="I71" s="3262">
        <v>22</v>
      </c>
      <c r="J71" s="4674">
        <v>7</v>
      </c>
      <c r="K71" s="4674"/>
      <c r="L71" s="4674"/>
      <c r="M71" s="4674">
        <v>32</v>
      </c>
      <c r="N71" s="912">
        <f>+M70/M71</f>
        <v>0.6875</v>
      </c>
      <c r="P71" s="74"/>
      <c r="Q71" s="74"/>
      <c r="R71" s="761"/>
      <c r="S71" s="761" t="s">
        <v>1284</v>
      </c>
      <c r="T71" s="3230">
        <v>1</v>
      </c>
      <c r="U71" s="3230">
        <v>1</v>
      </c>
      <c r="V71" s="3230">
        <v>1</v>
      </c>
      <c r="W71" s="3230">
        <v>1</v>
      </c>
      <c r="X71" s="729">
        <v>0</v>
      </c>
      <c r="Y71" s="729">
        <v>1</v>
      </c>
      <c r="Z71" s="729">
        <v>5</v>
      </c>
      <c r="AC71" s="161"/>
      <c r="AF71" s="738" t="s">
        <v>461</v>
      </c>
      <c r="AG71" s="2601"/>
      <c r="AH71" s="2601"/>
      <c r="AI71" s="2601">
        <v>2</v>
      </c>
      <c r="AJ71" s="2601">
        <v>5</v>
      </c>
      <c r="AK71" s="151">
        <v>41</v>
      </c>
      <c r="AL71" s="151"/>
      <c r="AM71" s="151">
        <v>48</v>
      </c>
      <c r="AN71" s="912">
        <f>+(AM69+AM70)/AM71</f>
        <v>6.25E-2</v>
      </c>
      <c r="AP71" s="2173"/>
      <c r="AQ71" s="2173"/>
      <c r="AR71" s="2173"/>
      <c r="AS71" s="2174" t="s">
        <v>1289</v>
      </c>
      <c r="AT71" s="2175"/>
      <c r="AU71" s="2175"/>
      <c r="AV71" s="2176">
        <v>1</v>
      </c>
      <c r="AW71" s="2176">
        <v>0</v>
      </c>
      <c r="AX71" s="2175"/>
      <c r="AY71" s="2178">
        <v>0</v>
      </c>
      <c r="AZ71" s="2178">
        <v>1</v>
      </c>
      <c r="BA71" s="2169"/>
      <c r="BC71" s="774"/>
      <c r="BD71" s="774"/>
      <c r="BE71" s="775"/>
      <c r="BF71" s="798" t="s">
        <v>15</v>
      </c>
      <c r="BG71" s="800"/>
      <c r="BH71" s="800"/>
      <c r="BI71" s="800"/>
      <c r="BJ71" s="800"/>
      <c r="BK71" s="802">
        <v>11</v>
      </c>
      <c r="BL71" s="802">
        <v>11</v>
      </c>
      <c r="BM71" s="803">
        <v>0</v>
      </c>
      <c r="BO71" s="780"/>
      <c r="BP71" s="780"/>
      <c r="BQ71" s="781"/>
      <c r="BR71" s="804" t="s">
        <v>111</v>
      </c>
      <c r="BS71" s="806"/>
      <c r="BT71" s="805">
        <v>4</v>
      </c>
      <c r="BU71" s="805">
        <v>25</v>
      </c>
      <c r="BV71" s="805">
        <v>8</v>
      </c>
      <c r="BW71" s="808">
        <v>12</v>
      </c>
      <c r="BX71" s="808">
        <v>2</v>
      </c>
      <c r="BY71" s="808">
        <v>51</v>
      </c>
      <c r="BZ71" s="787">
        <f>+(BY70+BY69+BY67-BW70-BX67-BW67)/BY71</f>
        <v>0.60784313725490191</v>
      </c>
      <c r="CN71" s="74"/>
      <c r="CO71" s="121"/>
      <c r="CP71" s="121"/>
      <c r="CQ71" s="761" t="s">
        <v>15</v>
      </c>
      <c r="CR71" s="729">
        <v>11</v>
      </c>
      <c r="CS71" s="729">
        <v>6</v>
      </c>
      <c r="CT71" s="729">
        <v>74</v>
      </c>
      <c r="CU71" s="729"/>
      <c r="CV71" s="729"/>
      <c r="CW71" s="729">
        <v>91</v>
      </c>
      <c r="CX71" s="813">
        <f>+(CW68+CW70)/CW71</f>
        <v>0.36263736263736263</v>
      </c>
      <c r="CY71" s="74"/>
      <c r="CZ71" s="793"/>
      <c r="DA71" s="794"/>
      <c r="DB71" s="793"/>
      <c r="DC71" s="793" t="s">
        <v>1292</v>
      </c>
      <c r="DD71" s="793">
        <v>0</v>
      </c>
      <c r="DE71" s="793">
        <v>0</v>
      </c>
      <c r="DF71" s="793">
        <v>0</v>
      </c>
      <c r="DG71" s="793">
        <v>0</v>
      </c>
      <c r="DH71" s="793">
        <v>0</v>
      </c>
      <c r="DI71" s="793">
        <v>1</v>
      </c>
      <c r="DJ71" s="793">
        <v>1</v>
      </c>
      <c r="DK71" s="793"/>
      <c r="DL71" s="795"/>
      <c r="DM71" s="74"/>
    </row>
    <row r="72" spans="1:117">
      <c r="A72" s="73"/>
      <c r="B72" s="73"/>
      <c r="C72" s="738" t="s">
        <v>573</v>
      </c>
      <c r="D72" s="738" t="s">
        <v>1283</v>
      </c>
      <c r="E72" s="3262"/>
      <c r="F72" s="3262">
        <v>0</v>
      </c>
      <c r="G72" s="3262"/>
      <c r="H72" s="3262">
        <v>0</v>
      </c>
      <c r="I72" s="3262">
        <v>0</v>
      </c>
      <c r="J72" s="4674">
        <v>7</v>
      </c>
      <c r="K72" s="4674"/>
      <c r="L72" s="4674"/>
      <c r="M72" s="4674">
        <v>7</v>
      </c>
      <c r="N72" s="73"/>
      <c r="P72" s="74"/>
      <c r="Q72" s="74"/>
      <c r="R72" s="761"/>
      <c r="S72" s="761" t="s">
        <v>1286</v>
      </c>
      <c r="T72" s="3230">
        <v>1</v>
      </c>
      <c r="U72" s="3230">
        <v>0</v>
      </c>
      <c r="V72" s="3230">
        <v>0</v>
      </c>
      <c r="W72" s="3230">
        <v>0</v>
      </c>
      <c r="X72" s="729">
        <v>0</v>
      </c>
      <c r="Y72" s="729">
        <v>0</v>
      </c>
      <c r="Z72" s="729">
        <v>1</v>
      </c>
      <c r="AC72" s="161" t="s">
        <v>59</v>
      </c>
      <c r="AD72" s="161" t="s">
        <v>64</v>
      </c>
      <c r="AE72" s="73" t="s">
        <v>710</v>
      </c>
      <c r="AF72" s="73" t="s">
        <v>1284</v>
      </c>
      <c r="AG72" s="2600"/>
      <c r="AH72" s="2600">
        <v>1</v>
      </c>
      <c r="AI72" s="2600">
        <v>2</v>
      </c>
      <c r="AJ72" s="2600"/>
      <c r="AK72" s="161">
        <v>0</v>
      </c>
      <c r="AL72" s="161"/>
      <c r="AM72" s="161">
        <v>3</v>
      </c>
      <c r="AP72" s="2173"/>
      <c r="AQ72" s="2173"/>
      <c r="AR72" s="2173"/>
      <c r="AS72" s="2174" t="s">
        <v>1292</v>
      </c>
      <c r="AT72" s="2175"/>
      <c r="AU72" s="2175"/>
      <c r="AV72" s="2176">
        <v>0</v>
      </c>
      <c r="AW72" s="2176">
        <v>0</v>
      </c>
      <c r="AX72" s="2175"/>
      <c r="AY72" s="2178">
        <v>1</v>
      </c>
      <c r="AZ72" s="2178">
        <v>1</v>
      </c>
      <c r="BA72" s="2169"/>
      <c r="BC72" s="774"/>
      <c r="BD72" s="774"/>
      <c r="BE72" s="775" t="s">
        <v>113</v>
      </c>
      <c r="BF72" s="776" t="s">
        <v>1286</v>
      </c>
      <c r="BG72" s="777">
        <v>3</v>
      </c>
      <c r="BH72" s="778"/>
      <c r="BI72" s="778"/>
      <c r="BJ72" s="777">
        <v>0</v>
      </c>
      <c r="BK72" s="774"/>
      <c r="BL72" s="779">
        <v>3</v>
      </c>
      <c r="BM72" s="73"/>
      <c r="CD72" s="788" t="s">
        <v>575</v>
      </c>
      <c r="CE72" s="789" t="s">
        <v>1283</v>
      </c>
      <c r="CF72" s="791">
        <v>0</v>
      </c>
      <c r="CG72" s="791">
        <v>0</v>
      </c>
      <c r="CH72" s="791">
        <v>0</v>
      </c>
      <c r="CI72" s="791">
        <v>0</v>
      </c>
      <c r="CJ72" s="791">
        <v>8</v>
      </c>
      <c r="CK72" s="791">
        <v>8</v>
      </c>
      <c r="CL72" s="792"/>
      <c r="CN72" s="74"/>
      <c r="CO72" s="121"/>
      <c r="CP72" s="121" t="s">
        <v>41</v>
      </c>
      <c r="CQ72" s="74" t="s">
        <v>1283</v>
      </c>
      <c r="CR72" s="121"/>
      <c r="CS72" s="121">
        <v>0</v>
      </c>
      <c r="CT72" s="121">
        <v>0</v>
      </c>
      <c r="CU72" s="121">
        <v>0</v>
      </c>
      <c r="CV72" s="121">
        <v>4</v>
      </c>
      <c r="CW72" s="121">
        <v>4</v>
      </c>
      <c r="CX72" s="74"/>
      <c r="CY72" s="74"/>
      <c r="CZ72" s="793"/>
      <c r="DA72" s="794"/>
      <c r="DB72" s="793"/>
      <c r="DC72" s="793" t="s">
        <v>1377</v>
      </c>
      <c r="DD72" s="793">
        <v>0</v>
      </c>
      <c r="DE72" s="793">
        <v>0</v>
      </c>
      <c r="DF72" s="793">
        <v>0</v>
      </c>
      <c r="DG72" s="793">
        <v>0</v>
      </c>
      <c r="DH72" s="793">
        <v>2</v>
      </c>
      <c r="DI72" s="793">
        <v>0</v>
      </c>
      <c r="DJ72" s="793">
        <v>2</v>
      </c>
      <c r="DK72" s="793"/>
      <c r="DL72" s="795"/>
      <c r="DM72" s="74"/>
    </row>
    <row r="73" spans="1:117">
      <c r="A73" s="73"/>
      <c r="B73" s="73"/>
      <c r="C73" s="738"/>
      <c r="D73" s="738" t="s">
        <v>1284</v>
      </c>
      <c r="E73" s="3262"/>
      <c r="F73" s="3262">
        <v>1</v>
      </c>
      <c r="G73" s="3262"/>
      <c r="H73" s="3262">
        <v>2</v>
      </c>
      <c r="I73" s="3262">
        <v>0</v>
      </c>
      <c r="J73" s="4674">
        <v>0</v>
      </c>
      <c r="K73" s="4674"/>
      <c r="L73" s="4674"/>
      <c r="M73" s="4674">
        <v>3</v>
      </c>
      <c r="N73" s="73"/>
      <c r="P73" s="74"/>
      <c r="Q73" s="74"/>
      <c r="R73" s="761"/>
      <c r="S73" s="761" t="s">
        <v>1288</v>
      </c>
      <c r="T73" s="3230">
        <v>0</v>
      </c>
      <c r="U73" s="3230">
        <v>0</v>
      </c>
      <c r="V73" s="3230">
        <v>24</v>
      </c>
      <c r="W73" s="3230">
        <v>4</v>
      </c>
      <c r="X73" s="729">
        <v>1</v>
      </c>
      <c r="Y73" s="729">
        <v>0</v>
      </c>
      <c r="Z73" s="729">
        <v>29</v>
      </c>
      <c r="AC73" s="161"/>
      <c r="AF73" s="73" t="s">
        <v>1289</v>
      </c>
      <c r="AG73" s="2600"/>
      <c r="AH73" s="2600">
        <v>0</v>
      </c>
      <c r="AI73" s="2600">
        <v>1</v>
      </c>
      <c r="AJ73" s="2600"/>
      <c r="AK73" s="161">
        <v>0</v>
      </c>
      <c r="AL73" s="161"/>
      <c r="AM73" s="161">
        <v>1</v>
      </c>
      <c r="AP73" s="2173"/>
      <c r="AQ73" s="2173"/>
      <c r="AR73" s="2173"/>
      <c r="AS73" s="2174" t="s">
        <v>1377</v>
      </c>
      <c r="AT73" s="2175"/>
      <c r="AU73" s="2175"/>
      <c r="AV73" s="2176">
        <v>0</v>
      </c>
      <c r="AW73" s="2176">
        <v>1</v>
      </c>
      <c r="AX73" s="2175"/>
      <c r="AY73" s="2178">
        <v>0</v>
      </c>
      <c r="AZ73" s="2178">
        <v>1</v>
      </c>
      <c r="BA73" s="2169"/>
      <c r="BC73" s="774"/>
      <c r="BD73" s="774"/>
      <c r="BE73" s="775"/>
      <c r="BF73" s="776" t="s">
        <v>1288</v>
      </c>
      <c r="BG73" s="778"/>
      <c r="BH73" s="778"/>
      <c r="BI73" s="777">
        <v>0</v>
      </c>
      <c r="BJ73" s="777">
        <v>1</v>
      </c>
      <c r="BK73" s="774"/>
      <c r="BL73" s="779">
        <v>1</v>
      </c>
      <c r="BM73" s="73"/>
      <c r="CD73" s="788"/>
      <c r="CE73" s="789" t="s">
        <v>1284</v>
      </c>
      <c r="CF73" s="791">
        <v>3</v>
      </c>
      <c r="CG73" s="791">
        <v>0</v>
      </c>
      <c r="CH73" s="791">
        <v>2</v>
      </c>
      <c r="CI73" s="791">
        <v>4</v>
      </c>
      <c r="CJ73" s="791">
        <v>0</v>
      </c>
      <c r="CK73" s="791">
        <v>9</v>
      </c>
      <c r="CL73" s="792"/>
      <c r="CN73" s="74"/>
      <c r="CO73" s="121"/>
      <c r="CP73" s="121"/>
      <c r="CQ73" s="74" t="s">
        <v>1284</v>
      </c>
      <c r="CR73" s="121"/>
      <c r="CS73" s="121">
        <v>1</v>
      </c>
      <c r="CT73" s="121">
        <v>2</v>
      </c>
      <c r="CU73" s="121">
        <v>0</v>
      </c>
      <c r="CV73" s="121">
        <v>0</v>
      </c>
      <c r="CW73" s="121">
        <v>3</v>
      </c>
      <c r="CX73" s="74"/>
      <c r="CY73" s="74"/>
      <c r="CZ73" s="793"/>
      <c r="DA73" s="794"/>
      <c r="DB73" s="793"/>
      <c r="DC73" s="796" t="s">
        <v>15</v>
      </c>
      <c r="DD73" s="796">
        <v>0</v>
      </c>
      <c r="DE73" s="796">
        <v>0</v>
      </c>
      <c r="DF73" s="796">
        <v>0</v>
      </c>
      <c r="DG73" s="796">
        <v>7</v>
      </c>
      <c r="DH73" s="796">
        <v>9</v>
      </c>
      <c r="DI73" s="796">
        <v>7</v>
      </c>
      <c r="DJ73" s="796">
        <v>23</v>
      </c>
      <c r="DK73" s="797">
        <f>+(DJ72+DJ70)/DJ73</f>
        <v>0.65217391304347827</v>
      </c>
      <c r="DL73" s="795">
        <f>+DJ70+DJ72</f>
        <v>15</v>
      </c>
      <c r="DM73" s="74"/>
    </row>
    <row r="74" spans="1:117">
      <c r="A74" s="73"/>
      <c r="B74" s="73"/>
      <c r="C74" s="738"/>
      <c r="D74" s="738" t="s">
        <v>1293</v>
      </c>
      <c r="E74" s="3262"/>
      <c r="F74" s="3262">
        <v>0</v>
      </c>
      <c r="G74" s="3262"/>
      <c r="H74" s="3262">
        <v>0</v>
      </c>
      <c r="I74" s="3262">
        <v>22</v>
      </c>
      <c r="J74" s="4674">
        <v>0</v>
      </c>
      <c r="K74" s="4674"/>
      <c r="L74" s="4674"/>
      <c r="M74" s="4674">
        <v>22</v>
      </c>
      <c r="N74" s="73"/>
      <c r="P74" s="74"/>
      <c r="Q74" s="74"/>
      <c r="R74" s="761"/>
      <c r="S74" s="761" t="s">
        <v>1289</v>
      </c>
      <c r="T74" s="3230">
        <v>2</v>
      </c>
      <c r="U74" s="3230">
        <v>0</v>
      </c>
      <c r="V74" s="3230">
        <v>1</v>
      </c>
      <c r="W74" s="3230">
        <v>0</v>
      </c>
      <c r="X74" s="729">
        <v>0</v>
      </c>
      <c r="Y74" s="729">
        <v>0</v>
      </c>
      <c r="Z74" s="729">
        <v>3</v>
      </c>
      <c r="AC74" s="161"/>
      <c r="AF74" s="73" t="s">
        <v>1292</v>
      </c>
      <c r="AG74" s="2600"/>
      <c r="AH74" s="2600">
        <v>0</v>
      </c>
      <c r="AI74" s="2600">
        <v>0</v>
      </c>
      <c r="AJ74" s="2600"/>
      <c r="AK74" s="161">
        <v>1</v>
      </c>
      <c r="AL74" s="161"/>
      <c r="AM74" s="161">
        <v>1</v>
      </c>
      <c r="AP74" s="2173"/>
      <c r="AQ74" s="2173"/>
      <c r="AR74" s="2173"/>
      <c r="AS74" s="2168" t="s">
        <v>577</v>
      </c>
      <c r="AT74" s="2179"/>
      <c r="AU74" s="2179"/>
      <c r="AV74" s="2180">
        <v>1</v>
      </c>
      <c r="AW74" s="2180">
        <v>2</v>
      </c>
      <c r="AX74" s="2179"/>
      <c r="AY74" s="2182">
        <v>1</v>
      </c>
      <c r="AZ74" s="2182">
        <v>4</v>
      </c>
      <c r="BA74" s="2154">
        <f>+(AZ70+AZ73)/AZ74</f>
        <v>0.5</v>
      </c>
      <c r="BC74" s="774"/>
      <c r="BD74" s="774"/>
      <c r="BE74" s="775"/>
      <c r="BF74" s="776" t="s">
        <v>1377</v>
      </c>
      <c r="BG74" s="777">
        <v>0</v>
      </c>
      <c r="BH74" s="778"/>
      <c r="BI74" s="778">
        <v>1</v>
      </c>
      <c r="BJ74" s="777">
        <f>1+6</f>
        <v>7</v>
      </c>
      <c r="BK74" s="774"/>
      <c r="BL74" s="779">
        <f>1+7</f>
        <v>8</v>
      </c>
      <c r="BM74" s="73"/>
      <c r="CD74" s="788"/>
      <c r="CE74" s="789" t="s">
        <v>1288</v>
      </c>
      <c r="CF74" s="791">
        <v>0</v>
      </c>
      <c r="CG74" s="791">
        <v>0</v>
      </c>
      <c r="CH74" s="791">
        <v>7</v>
      </c>
      <c r="CI74" s="791">
        <v>5</v>
      </c>
      <c r="CJ74" s="791">
        <v>0</v>
      </c>
      <c r="CK74" s="791">
        <v>12</v>
      </c>
      <c r="CL74" s="792"/>
      <c r="CN74" s="74"/>
      <c r="CO74" s="121"/>
      <c r="CP74" s="121"/>
      <c r="CQ74" s="74" t="s">
        <v>1286</v>
      </c>
      <c r="CR74" s="121"/>
      <c r="CS74" s="121">
        <v>1</v>
      </c>
      <c r="CT74" s="121">
        <v>0</v>
      </c>
      <c r="CU74" s="121">
        <v>0</v>
      </c>
      <c r="CV74" s="121">
        <v>0</v>
      </c>
      <c r="CW74" s="121">
        <v>1</v>
      </c>
      <c r="CX74" s="74"/>
      <c r="CY74" s="74"/>
      <c r="CZ74" s="793"/>
      <c r="DA74" s="794" t="s">
        <v>1381</v>
      </c>
      <c r="DB74" s="793" t="s">
        <v>16</v>
      </c>
      <c r="DC74" s="793" t="s">
        <v>1283</v>
      </c>
      <c r="DD74" s="793">
        <v>0</v>
      </c>
      <c r="DE74" s="793">
        <v>0</v>
      </c>
      <c r="DF74" s="793">
        <v>0</v>
      </c>
      <c r="DG74" s="793">
        <v>0</v>
      </c>
      <c r="DH74" s="793">
        <v>0</v>
      </c>
      <c r="DI74" s="793">
        <v>1</v>
      </c>
      <c r="DJ74" s="793">
        <v>1</v>
      </c>
      <c r="DK74" s="793"/>
      <c r="DL74" s="795"/>
      <c r="DM74" s="74"/>
    </row>
    <row r="75" spans="1:117">
      <c r="A75" s="73"/>
      <c r="B75" s="73"/>
      <c r="C75" s="738"/>
      <c r="D75" s="738" t="s">
        <v>573</v>
      </c>
      <c r="E75" s="3262"/>
      <c r="F75" s="3262">
        <v>1</v>
      </c>
      <c r="G75" s="3262"/>
      <c r="H75" s="3262">
        <v>2</v>
      </c>
      <c r="I75" s="3262">
        <v>22</v>
      </c>
      <c r="J75" s="4674">
        <v>7</v>
      </c>
      <c r="K75" s="4674"/>
      <c r="L75" s="4674"/>
      <c r="M75" s="4674">
        <v>32</v>
      </c>
      <c r="N75" s="912">
        <f>+M74/M75</f>
        <v>0.6875</v>
      </c>
      <c r="P75" s="74"/>
      <c r="Q75" s="74"/>
      <c r="R75" s="761"/>
      <c r="S75" s="761" t="s">
        <v>1292</v>
      </c>
      <c r="T75" s="3230">
        <v>0</v>
      </c>
      <c r="U75" s="3230">
        <v>0</v>
      </c>
      <c r="V75" s="3230">
        <v>0</v>
      </c>
      <c r="W75" s="3230">
        <v>0</v>
      </c>
      <c r="X75" s="729">
        <v>2</v>
      </c>
      <c r="Y75" s="729">
        <v>1</v>
      </c>
      <c r="Z75" s="729">
        <v>3</v>
      </c>
      <c r="AC75" s="161"/>
      <c r="AF75" s="73" t="s">
        <v>1377</v>
      </c>
      <c r="AG75" s="2600"/>
      <c r="AH75" s="2600">
        <v>0</v>
      </c>
      <c r="AI75" s="2600">
        <v>2</v>
      </c>
      <c r="AJ75" s="2600"/>
      <c r="AK75" s="161">
        <v>0</v>
      </c>
      <c r="AL75" s="161"/>
      <c r="AM75" s="161">
        <v>2</v>
      </c>
      <c r="AP75" s="2173"/>
      <c r="AQ75" s="2173"/>
      <c r="AR75" s="2173" t="s">
        <v>265</v>
      </c>
      <c r="AS75" s="2174" t="s">
        <v>1288</v>
      </c>
      <c r="AT75" s="2175"/>
      <c r="AU75" s="2175"/>
      <c r="AV75" s="2176">
        <v>0</v>
      </c>
      <c r="AW75" s="2176">
        <v>1</v>
      </c>
      <c r="AX75" s="2175"/>
      <c r="AY75" s="2178">
        <v>0</v>
      </c>
      <c r="AZ75" s="2178">
        <v>1</v>
      </c>
      <c r="BA75" s="2169"/>
      <c r="BC75" s="774"/>
      <c r="BD75" s="774"/>
      <c r="BE75" s="775"/>
      <c r="BF75" s="798" t="s">
        <v>15</v>
      </c>
      <c r="BG75" s="799">
        <v>3</v>
      </c>
      <c r="BH75" s="800"/>
      <c r="BI75" s="800">
        <v>1</v>
      </c>
      <c r="BJ75" s="799">
        <f>1+7</f>
        <v>8</v>
      </c>
      <c r="BK75" s="801"/>
      <c r="BL75" s="802">
        <f>4+8</f>
        <v>12</v>
      </c>
      <c r="BM75" s="803">
        <f>+(BL73+BL74)/BL75</f>
        <v>0.75</v>
      </c>
      <c r="CD75" s="788"/>
      <c r="CE75" s="789" t="s">
        <v>1289</v>
      </c>
      <c r="CF75" s="791">
        <v>0</v>
      </c>
      <c r="CG75" s="791">
        <v>2</v>
      </c>
      <c r="CH75" s="791">
        <v>1</v>
      </c>
      <c r="CI75" s="791">
        <v>0</v>
      </c>
      <c r="CJ75" s="791">
        <v>0</v>
      </c>
      <c r="CK75" s="791">
        <v>3</v>
      </c>
      <c r="CL75" s="792"/>
      <c r="CN75" s="74"/>
      <c r="CO75" s="121"/>
      <c r="CP75" s="121"/>
      <c r="CQ75" s="74" t="s">
        <v>1288</v>
      </c>
      <c r="CR75" s="121"/>
      <c r="CS75" s="121">
        <v>0</v>
      </c>
      <c r="CT75" s="121">
        <v>6</v>
      </c>
      <c r="CU75" s="121">
        <v>8</v>
      </c>
      <c r="CV75" s="121">
        <v>0</v>
      </c>
      <c r="CW75" s="121">
        <v>14</v>
      </c>
      <c r="CX75" s="74"/>
      <c r="CY75" s="74"/>
      <c r="CZ75" s="793"/>
      <c r="DA75" s="794"/>
      <c r="DB75" s="793"/>
      <c r="DC75" s="793" t="s">
        <v>1284</v>
      </c>
      <c r="DD75" s="793">
        <v>2</v>
      </c>
      <c r="DE75" s="793">
        <v>0</v>
      </c>
      <c r="DF75" s="793">
        <v>0</v>
      </c>
      <c r="DG75" s="793">
        <v>0</v>
      </c>
      <c r="DH75" s="793">
        <v>0</v>
      </c>
      <c r="DI75" s="793">
        <v>0</v>
      </c>
      <c r="DJ75" s="793">
        <v>2</v>
      </c>
      <c r="DK75" s="793"/>
      <c r="DL75" s="795"/>
      <c r="DM75" s="74"/>
    </row>
    <row r="76" spans="1:117">
      <c r="A76" s="73"/>
      <c r="B76" s="73"/>
      <c r="C76" s="738" t="s">
        <v>461</v>
      </c>
      <c r="D76" s="738" t="s">
        <v>1283</v>
      </c>
      <c r="E76" s="3262"/>
      <c r="F76" s="3262">
        <v>0</v>
      </c>
      <c r="G76" s="3262"/>
      <c r="H76" s="3262">
        <v>0</v>
      </c>
      <c r="I76" s="3262">
        <v>0</v>
      </c>
      <c r="J76" s="4674">
        <v>7</v>
      </c>
      <c r="K76" s="4674"/>
      <c r="L76" s="4674"/>
      <c r="M76" s="4674">
        <v>7</v>
      </c>
      <c r="N76" s="73"/>
      <c r="P76" s="74"/>
      <c r="Q76" s="74"/>
      <c r="R76" s="761"/>
      <c r="S76" s="761" t="s">
        <v>1293</v>
      </c>
      <c r="T76" s="3230">
        <v>0</v>
      </c>
      <c r="U76" s="3230">
        <v>0</v>
      </c>
      <c r="V76" s="3230">
        <v>8</v>
      </c>
      <c r="W76" s="3230">
        <v>6</v>
      </c>
      <c r="X76" s="729">
        <v>0</v>
      </c>
      <c r="Y76" s="729">
        <v>0</v>
      </c>
      <c r="Z76" s="729">
        <v>14</v>
      </c>
      <c r="AC76" s="161"/>
      <c r="AF76" s="738" t="s">
        <v>15</v>
      </c>
      <c r="AG76" s="2601"/>
      <c r="AH76" s="2601">
        <v>1</v>
      </c>
      <c r="AI76" s="2601">
        <v>5</v>
      </c>
      <c r="AJ76" s="2601"/>
      <c r="AK76" s="151">
        <v>1</v>
      </c>
      <c r="AL76" s="151"/>
      <c r="AM76" s="151">
        <v>7</v>
      </c>
      <c r="AN76" s="912">
        <f>+AM75/AM76</f>
        <v>0.2857142857142857</v>
      </c>
      <c r="AP76" s="2173"/>
      <c r="AQ76" s="2173"/>
      <c r="AR76" s="2173"/>
      <c r="AS76" s="2174" t="s">
        <v>1289</v>
      </c>
      <c r="AT76" s="2175"/>
      <c r="AU76" s="2175"/>
      <c r="AV76" s="2176">
        <v>1</v>
      </c>
      <c r="AW76" s="2176">
        <v>0</v>
      </c>
      <c r="AX76" s="2175"/>
      <c r="AY76" s="2178">
        <v>0</v>
      </c>
      <c r="AZ76" s="2178">
        <v>1</v>
      </c>
      <c r="BA76" s="2169"/>
      <c r="BC76" s="774"/>
      <c r="BD76" s="774"/>
      <c r="BE76" s="775" t="s">
        <v>575</v>
      </c>
      <c r="BF76" s="776" t="s">
        <v>1283</v>
      </c>
      <c r="BG76" s="777">
        <v>0</v>
      </c>
      <c r="BH76" s="778"/>
      <c r="BI76" s="777">
        <v>0</v>
      </c>
      <c r="BJ76" s="777">
        <v>0</v>
      </c>
      <c r="BK76" s="779">
        <v>11</v>
      </c>
      <c r="BL76" s="779">
        <v>11</v>
      </c>
      <c r="BM76" s="73"/>
      <c r="CD76" s="788"/>
      <c r="CE76" s="789" t="s">
        <v>1377</v>
      </c>
      <c r="CF76" s="791">
        <v>0</v>
      </c>
      <c r="CG76" s="791">
        <v>0</v>
      </c>
      <c r="CH76" s="791">
        <v>2</v>
      </c>
      <c r="CI76" s="791">
        <v>1</v>
      </c>
      <c r="CJ76" s="791">
        <v>0</v>
      </c>
      <c r="CK76" s="791">
        <v>3</v>
      </c>
      <c r="CL76" s="792"/>
      <c r="CN76" s="74"/>
      <c r="CO76" s="121"/>
      <c r="CP76" s="121"/>
      <c r="CQ76" s="74" t="s">
        <v>1289</v>
      </c>
      <c r="CR76" s="121"/>
      <c r="CS76" s="121">
        <v>0</v>
      </c>
      <c r="CT76" s="121">
        <v>1</v>
      </c>
      <c r="CU76" s="121">
        <v>0</v>
      </c>
      <c r="CV76" s="121">
        <v>0</v>
      </c>
      <c r="CW76" s="121">
        <v>1</v>
      </c>
      <c r="CX76" s="74"/>
      <c r="CY76" s="74"/>
      <c r="CZ76" s="793"/>
      <c r="DA76" s="794"/>
      <c r="DB76" s="793"/>
      <c r="DC76" s="793" t="s">
        <v>1288</v>
      </c>
      <c r="DD76" s="793">
        <v>1</v>
      </c>
      <c r="DE76" s="793">
        <v>0</v>
      </c>
      <c r="DF76" s="793">
        <v>0</v>
      </c>
      <c r="DG76" s="793">
        <v>0</v>
      </c>
      <c r="DH76" s="793">
        <v>2</v>
      </c>
      <c r="DI76" s="793">
        <v>0</v>
      </c>
      <c r="DJ76" s="793">
        <v>3</v>
      </c>
      <c r="DK76" s="793"/>
      <c r="DL76" s="795"/>
      <c r="DM76" s="74"/>
    </row>
    <row r="77" spans="1:117">
      <c r="A77" s="73"/>
      <c r="B77" s="73"/>
      <c r="C77" s="738"/>
      <c r="D77" s="738" t="s">
        <v>1284</v>
      </c>
      <c r="E77" s="3262"/>
      <c r="F77" s="3262">
        <v>1</v>
      </c>
      <c r="G77" s="3262"/>
      <c r="H77" s="3262">
        <v>2</v>
      </c>
      <c r="I77" s="3262">
        <v>0</v>
      </c>
      <c r="J77" s="4674">
        <v>0</v>
      </c>
      <c r="K77" s="4674"/>
      <c r="L77" s="4674"/>
      <c r="M77" s="4674">
        <v>3</v>
      </c>
      <c r="N77" s="73"/>
      <c r="P77" s="74"/>
      <c r="Q77" s="74"/>
      <c r="R77" s="761"/>
      <c r="S77" s="761" t="s">
        <v>1377</v>
      </c>
      <c r="T77" s="3230">
        <v>0</v>
      </c>
      <c r="U77" s="3230">
        <v>0</v>
      </c>
      <c r="V77" s="3230">
        <v>2</v>
      </c>
      <c r="W77" s="3230">
        <v>1</v>
      </c>
      <c r="X77" s="729">
        <v>1</v>
      </c>
      <c r="Y77" s="729">
        <v>0</v>
      </c>
      <c r="Z77" s="729">
        <v>4</v>
      </c>
      <c r="AC77" s="161"/>
      <c r="AE77" s="73" t="s">
        <v>577</v>
      </c>
      <c r="AF77" s="73" t="s">
        <v>1284</v>
      </c>
      <c r="AG77" s="2600"/>
      <c r="AH77" s="2600">
        <v>1</v>
      </c>
      <c r="AI77" s="2600">
        <v>2</v>
      </c>
      <c r="AJ77" s="2600"/>
      <c r="AK77" s="161">
        <v>0</v>
      </c>
      <c r="AL77" s="161"/>
      <c r="AM77" s="161">
        <v>3</v>
      </c>
      <c r="AP77" s="2173"/>
      <c r="AQ77" s="2173"/>
      <c r="AR77" s="2173"/>
      <c r="AS77" s="2174" t="s">
        <v>1292</v>
      </c>
      <c r="AT77" s="2175"/>
      <c r="AU77" s="2175"/>
      <c r="AV77" s="2176">
        <v>0</v>
      </c>
      <c r="AW77" s="2176">
        <v>0</v>
      </c>
      <c r="AX77" s="2175"/>
      <c r="AY77" s="2178">
        <v>1</v>
      </c>
      <c r="AZ77" s="2178">
        <v>1</v>
      </c>
      <c r="BA77" s="2169"/>
      <c r="BC77" s="774"/>
      <c r="BD77" s="774"/>
      <c r="BE77" s="775"/>
      <c r="BF77" s="776" t="s">
        <v>1286</v>
      </c>
      <c r="BG77" s="777">
        <v>3</v>
      </c>
      <c r="BH77" s="778"/>
      <c r="BI77" s="777">
        <v>0</v>
      </c>
      <c r="BJ77" s="777">
        <v>0</v>
      </c>
      <c r="BK77" s="779">
        <v>0</v>
      </c>
      <c r="BL77" s="779">
        <v>3</v>
      </c>
      <c r="BM77" s="73"/>
      <c r="CD77" s="788"/>
      <c r="CE77" s="809" t="s">
        <v>575</v>
      </c>
      <c r="CF77" s="811">
        <v>3</v>
      </c>
      <c r="CG77" s="811">
        <v>2</v>
      </c>
      <c r="CH77" s="811">
        <v>12</v>
      </c>
      <c r="CI77" s="811">
        <v>10</v>
      </c>
      <c r="CJ77" s="811">
        <v>8</v>
      </c>
      <c r="CK77" s="811">
        <v>35</v>
      </c>
      <c r="CL77" s="812">
        <f>+(CK76+CK74)/CK77</f>
        <v>0.42857142857142855</v>
      </c>
      <c r="CN77" s="74"/>
      <c r="CO77" s="121"/>
      <c r="CP77" s="121"/>
      <c r="CQ77" s="74" t="s">
        <v>1377</v>
      </c>
      <c r="CR77" s="121"/>
      <c r="CS77" s="121">
        <v>0</v>
      </c>
      <c r="CT77" s="121">
        <v>0</v>
      </c>
      <c r="CU77" s="121">
        <v>1</v>
      </c>
      <c r="CV77" s="121">
        <v>1</v>
      </c>
      <c r="CW77" s="121">
        <v>2</v>
      </c>
      <c r="CX77" s="74"/>
      <c r="CY77" s="74"/>
      <c r="CZ77" s="793"/>
      <c r="DA77" s="794"/>
      <c r="DB77" s="793"/>
      <c r="DC77" s="793" t="s">
        <v>1289</v>
      </c>
      <c r="DD77" s="793">
        <v>3</v>
      </c>
      <c r="DE77" s="793">
        <v>0</v>
      </c>
      <c r="DF77" s="793">
        <v>0</v>
      </c>
      <c r="DG77" s="793">
        <v>0</v>
      </c>
      <c r="DH77" s="793">
        <v>0</v>
      </c>
      <c r="DI77" s="793">
        <v>0</v>
      </c>
      <c r="DJ77" s="793">
        <v>3</v>
      </c>
      <c r="DK77" s="793"/>
      <c r="DL77" s="795"/>
      <c r="DM77" s="74"/>
    </row>
    <row r="78" spans="1:117">
      <c r="A78" s="73"/>
      <c r="B78" s="73"/>
      <c r="C78" s="738"/>
      <c r="D78" s="738" t="s">
        <v>1293</v>
      </c>
      <c r="E78" s="3262"/>
      <c r="F78" s="3262">
        <v>0</v>
      </c>
      <c r="G78" s="3262"/>
      <c r="H78" s="3262">
        <v>0</v>
      </c>
      <c r="I78" s="3262">
        <v>22</v>
      </c>
      <c r="J78" s="4674">
        <v>0</v>
      </c>
      <c r="K78" s="4674"/>
      <c r="L78" s="4674"/>
      <c r="M78" s="4674">
        <v>22</v>
      </c>
      <c r="N78" s="73"/>
      <c r="P78" s="74"/>
      <c r="Q78" s="74"/>
      <c r="R78" s="761"/>
      <c r="S78" s="761" t="s">
        <v>2707</v>
      </c>
      <c r="T78" s="3230">
        <v>0</v>
      </c>
      <c r="U78" s="3230">
        <v>0</v>
      </c>
      <c r="V78" s="3230">
        <v>0</v>
      </c>
      <c r="W78" s="3230">
        <v>1</v>
      </c>
      <c r="X78" s="729">
        <v>0</v>
      </c>
      <c r="Y78" s="729">
        <v>0</v>
      </c>
      <c r="Z78" s="729">
        <v>1</v>
      </c>
      <c r="AC78" s="161"/>
      <c r="AF78" s="73" t="s">
        <v>1289</v>
      </c>
      <c r="AG78" s="2600"/>
      <c r="AH78" s="2600">
        <v>0</v>
      </c>
      <c r="AI78" s="2600">
        <v>1</v>
      </c>
      <c r="AJ78" s="2600"/>
      <c r="AK78" s="161">
        <v>0</v>
      </c>
      <c r="AL78" s="161"/>
      <c r="AM78" s="161">
        <v>1</v>
      </c>
      <c r="AP78" s="2173"/>
      <c r="AQ78" s="2173"/>
      <c r="AR78" s="2173"/>
      <c r="AS78" s="2174" t="s">
        <v>1377</v>
      </c>
      <c r="AT78" s="2175"/>
      <c r="AU78" s="2175"/>
      <c r="AV78" s="2176">
        <v>0</v>
      </c>
      <c r="AW78" s="2176">
        <v>1</v>
      </c>
      <c r="AX78" s="2175"/>
      <c r="AY78" s="2178">
        <v>0</v>
      </c>
      <c r="AZ78" s="2178">
        <v>1</v>
      </c>
      <c r="BA78" s="2169"/>
      <c r="BC78" s="774"/>
      <c r="BD78" s="774"/>
      <c r="BE78" s="775"/>
      <c r="BF78" s="776" t="s">
        <v>1288</v>
      </c>
      <c r="BG78" s="777">
        <v>0</v>
      </c>
      <c r="BH78" s="778"/>
      <c r="BI78" s="777">
        <v>0</v>
      </c>
      <c r="BJ78" s="777">
        <v>1</v>
      </c>
      <c r="BK78" s="779">
        <v>0</v>
      </c>
      <c r="BL78" s="779">
        <v>1</v>
      </c>
      <c r="BM78" s="73"/>
      <c r="CN78" s="74"/>
      <c r="CO78" s="121"/>
      <c r="CP78" s="121"/>
      <c r="CQ78" s="761" t="s">
        <v>15</v>
      </c>
      <c r="CR78" s="729"/>
      <c r="CS78" s="729">
        <v>2</v>
      </c>
      <c r="CT78" s="729">
        <v>9</v>
      </c>
      <c r="CU78" s="729">
        <v>9</v>
      </c>
      <c r="CV78" s="729">
        <v>5</v>
      </c>
      <c r="CW78" s="729">
        <v>25</v>
      </c>
      <c r="CX78" s="813">
        <f>+(CW75+CW77)/CW78</f>
        <v>0.64</v>
      </c>
      <c r="CY78" s="74"/>
      <c r="CZ78" s="793"/>
      <c r="DA78" s="794"/>
      <c r="DB78" s="793"/>
      <c r="DC78" s="793" t="s">
        <v>1293</v>
      </c>
      <c r="DD78" s="793">
        <v>0</v>
      </c>
      <c r="DE78" s="793">
        <v>0</v>
      </c>
      <c r="DF78" s="793">
        <v>0</v>
      </c>
      <c r="DG78" s="793">
        <v>1</v>
      </c>
      <c r="DH78" s="793">
        <v>35</v>
      </c>
      <c r="DI78" s="793">
        <v>1</v>
      </c>
      <c r="DJ78" s="793">
        <v>37</v>
      </c>
      <c r="DK78" s="793"/>
      <c r="DL78" s="795"/>
      <c r="DM78" s="74"/>
    </row>
    <row r="79" spans="1:117" ht="15.75" thickBot="1">
      <c r="A79" s="73"/>
      <c r="B79" s="73"/>
      <c r="C79" s="738"/>
      <c r="D79" s="738" t="s">
        <v>461</v>
      </c>
      <c r="E79" s="3262"/>
      <c r="F79" s="3262">
        <v>1</v>
      </c>
      <c r="G79" s="3262"/>
      <c r="H79" s="3262">
        <v>2</v>
      </c>
      <c r="I79" s="3262">
        <v>22</v>
      </c>
      <c r="J79" s="4674">
        <v>7</v>
      </c>
      <c r="K79" s="4674"/>
      <c r="L79" s="4674"/>
      <c r="M79" s="4674">
        <v>32</v>
      </c>
      <c r="N79" s="912">
        <f>+M78/M79</f>
        <v>0.6875</v>
      </c>
      <c r="P79" s="820"/>
      <c r="Q79" s="820"/>
      <c r="R79" s="820"/>
      <c r="S79" s="821" t="s">
        <v>114</v>
      </c>
      <c r="T79" s="3227">
        <v>4</v>
      </c>
      <c r="U79" s="3227">
        <v>1</v>
      </c>
      <c r="V79" s="3227">
        <v>36</v>
      </c>
      <c r="W79" s="3227">
        <v>13</v>
      </c>
      <c r="X79" s="768">
        <v>9</v>
      </c>
      <c r="Y79" s="768">
        <v>4</v>
      </c>
      <c r="Z79" s="768">
        <v>67</v>
      </c>
      <c r="AA79" s="3235">
        <f>+(Z73-X73+Z76+Z77-X77)/(Z79-Z44-Z33)</f>
        <v>0.76271186440677963</v>
      </c>
      <c r="AC79" s="161"/>
      <c r="AF79" s="73" t="s">
        <v>1292</v>
      </c>
      <c r="AG79" s="2600"/>
      <c r="AH79" s="2600">
        <v>0</v>
      </c>
      <c r="AI79" s="2600">
        <v>0</v>
      </c>
      <c r="AJ79" s="2600"/>
      <c r="AK79" s="161">
        <v>1</v>
      </c>
      <c r="AL79" s="161"/>
      <c r="AM79" s="161">
        <v>1</v>
      </c>
      <c r="AP79" s="2173"/>
      <c r="AQ79" s="2173"/>
      <c r="AR79" s="2173"/>
      <c r="AS79" s="2168" t="s">
        <v>265</v>
      </c>
      <c r="AT79" s="2179"/>
      <c r="AU79" s="2179"/>
      <c r="AV79" s="2180">
        <v>1</v>
      </c>
      <c r="AW79" s="2180">
        <v>2</v>
      </c>
      <c r="AX79" s="2179"/>
      <c r="AY79" s="2182">
        <v>1</v>
      </c>
      <c r="AZ79" s="2182">
        <v>4</v>
      </c>
      <c r="BA79" s="2154">
        <f>+(AZ75+AZ78)/AZ79</f>
        <v>0.5</v>
      </c>
      <c r="BC79" s="774"/>
      <c r="BD79" s="774"/>
      <c r="BE79" s="775"/>
      <c r="BF79" s="776" t="s">
        <v>1377</v>
      </c>
      <c r="BG79" s="777">
        <v>0</v>
      </c>
      <c r="BH79" s="778"/>
      <c r="BI79" s="777">
        <v>1</v>
      </c>
      <c r="BJ79" s="777">
        <v>7</v>
      </c>
      <c r="BK79" s="779">
        <v>0</v>
      </c>
      <c r="BL79" s="779">
        <v>8</v>
      </c>
      <c r="BM79" s="73"/>
      <c r="CB79" s="788" t="s">
        <v>48</v>
      </c>
      <c r="CD79" s="788" t="s">
        <v>573</v>
      </c>
      <c r="CE79" s="789" t="s">
        <v>1283</v>
      </c>
      <c r="CF79" s="791">
        <v>0</v>
      </c>
      <c r="CG79" s="790"/>
      <c r="CH79" s="791">
        <v>0</v>
      </c>
      <c r="CI79" s="791">
        <v>0</v>
      </c>
      <c r="CJ79" s="791">
        <v>27</v>
      </c>
      <c r="CK79" s="791">
        <v>27</v>
      </c>
      <c r="CL79" s="792"/>
      <c r="CN79" s="74"/>
      <c r="CO79" s="121" t="s">
        <v>48</v>
      </c>
      <c r="CP79" s="121" t="s">
        <v>16</v>
      </c>
      <c r="CQ79" s="74" t="s">
        <v>1284</v>
      </c>
      <c r="CR79" s="121"/>
      <c r="CS79" s="121"/>
      <c r="CT79" s="121">
        <v>2</v>
      </c>
      <c r="CU79" s="121">
        <v>0</v>
      </c>
      <c r="CV79" s="121"/>
      <c r="CW79" s="121">
        <v>2</v>
      </c>
      <c r="CX79" s="74"/>
      <c r="CY79" s="74"/>
      <c r="CZ79" s="793"/>
      <c r="DA79" s="794"/>
      <c r="DB79" s="793"/>
      <c r="DC79" s="796" t="s">
        <v>15</v>
      </c>
      <c r="DD79" s="796">
        <v>6</v>
      </c>
      <c r="DE79" s="796">
        <v>0</v>
      </c>
      <c r="DF79" s="796">
        <v>0</v>
      </c>
      <c r="DG79" s="796">
        <v>1</v>
      </c>
      <c r="DH79" s="796">
        <v>37</v>
      </c>
      <c r="DI79" s="796">
        <v>2</v>
      </c>
      <c r="DJ79" s="796">
        <v>46</v>
      </c>
      <c r="DK79" s="797">
        <f>+(DJ78+DJ76-DI78)/DJ79</f>
        <v>0.84782608695652173</v>
      </c>
      <c r="DL79" s="795">
        <f>+DJ76+DJ78-DI78</f>
        <v>39</v>
      </c>
      <c r="DM79" s="74"/>
    </row>
    <row r="80" spans="1:117">
      <c r="A80" s="73" t="s">
        <v>59</v>
      </c>
      <c r="B80" s="73" t="s">
        <v>64</v>
      </c>
      <c r="C80" s="73" t="s">
        <v>710</v>
      </c>
      <c r="D80" s="73" t="s">
        <v>1284</v>
      </c>
      <c r="E80" s="3261"/>
      <c r="F80" s="3261"/>
      <c r="G80" s="3261"/>
      <c r="H80" s="3261">
        <v>3</v>
      </c>
      <c r="I80" s="3261"/>
      <c r="J80" s="161"/>
      <c r="K80" s="161"/>
      <c r="L80" s="161"/>
      <c r="M80" s="161">
        <v>3</v>
      </c>
      <c r="N80" s="73"/>
      <c r="Q80" s="74"/>
      <c r="R80" s="74"/>
      <c r="S80" s="74"/>
      <c r="T80" s="74"/>
      <c r="U80" s="74"/>
      <c r="V80" s="74"/>
      <c r="W80" s="74"/>
      <c r="X80" s="74"/>
      <c r="Y80" s="74"/>
      <c r="Z80" s="74"/>
      <c r="AC80" s="161"/>
      <c r="AF80" s="73" t="s">
        <v>1377</v>
      </c>
      <c r="AG80" s="2600"/>
      <c r="AH80" s="2600">
        <v>0</v>
      </c>
      <c r="AI80" s="2600">
        <v>2</v>
      </c>
      <c r="AJ80" s="2600"/>
      <c r="AK80" s="161">
        <v>0</v>
      </c>
      <c r="AL80" s="161"/>
      <c r="AM80" s="161">
        <v>2</v>
      </c>
      <c r="AP80" s="2173"/>
      <c r="AQ80" s="2173"/>
      <c r="AR80" s="73"/>
      <c r="AS80" s="2174" t="s">
        <v>1283</v>
      </c>
      <c r="AT80" s="2176">
        <v>0</v>
      </c>
      <c r="AU80" s="2176">
        <v>0</v>
      </c>
      <c r="AV80" s="2176">
        <v>0</v>
      </c>
      <c r="AW80" s="2176">
        <v>1</v>
      </c>
      <c r="AX80" s="2176">
        <v>0</v>
      </c>
      <c r="AY80" s="2178">
        <v>0</v>
      </c>
      <c r="AZ80" s="2178">
        <v>1</v>
      </c>
      <c r="BA80" s="2169"/>
      <c r="BC80" s="774"/>
      <c r="BD80" s="774"/>
      <c r="BE80" s="775"/>
      <c r="BF80" s="798" t="s">
        <v>575</v>
      </c>
      <c r="BG80" s="799">
        <v>3</v>
      </c>
      <c r="BH80" s="800"/>
      <c r="BI80" s="799">
        <v>1</v>
      </c>
      <c r="BJ80" s="799">
        <v>8</v>
      </c>
      <c r="BK80" s="802">
        <v>11</v>
      </c>
      <c r="BL80" s="802">
        <v>23</v>
      </c>
      <c r="BM80" s="803">
        <f>+(BL78+BL79)/BL80</f>
        <v>0.39130434782608697</v>
      </c>
      <c r="CB80" s="788"/>
      <c r="CC80" s="788"/>
      <c r="CD80" s="788"/>
      <c r="CE80" s="789" t="s">
        <v>1284</v>
      </c>
      <c r="CF80" s="791">
        <v>1</v>
      </c>
      <c r="CG80" s="790"/>
      <c r="CH80" s="791">
        <v>1</v>
      </c>
      <c r="CI80" s="791">
        <v>9</v>
      </c>
      <c r="CJ80" s="791">
        <v>0</v>
      </c>
      <c r="CK80" s="791">
        <v>11</v>
      </c>
      <c r="CL80" s="792"/>
      <c r="CN80" s="74"/>
      <c r="CO80" s="121"/>
      <c r="CP80" s="121"/>
      <c r="CQ80" s="74" t="s">
        <v>1288</v>
      </c>
      <c r="CR80" s="121"/>
      <c r="CS80" s="121"/>
      <c r="CT80" s="121">
        <v>0</v>
      </c>
      <c r="CU80" s="121">
        <v>2</v>
      </c>
      <c r="CV80" s="121"/>
      <c r="CW80" s="121">
        <v>2</v>
      </c>
      <c r="CX80" s="74"/>
      <c r="CY80" s="74"/>
      <c r="CZ80" s="793"/>
      <c r="DA80" s="794"/>
      <c r="DB80" s="793" t="s">
        <v>41</v>
      </c>
      <c r="DC80" s="793" t="s">
        <v>1283</v>
      </c>
      <c r="DD80" s="793">
        <v>0</v>
      </c>
      <c r="DE80" s="793">
        <v>0</v>
      </c>
      <c r="DF80" s="793">
        <v>0</v>
      </c>
      <c r="DG80" s="793">
        <v>0</v>
      </c>
      <c r="DH80" s="793">
        <v>3</v>
      </c>
      <c r="DI80" s="793">
        <v>10</v>
      </c>
      <c r="DJ80" s="793">
        <v>13</v>
      </c>
      <c r="DK80" s="793"/>
      <c r="DL80" s="795"/>
      <c r="DM80" s="74"/>
    </row>
    <row r="81" spans="1:117">
      <c r="A81" s="73"/>
      <c r="B81" s="73"/>
      <c r="C81" s="73"/>
      <c r="D81" s="738" t="s">
        <v>15</v>
      </c>
      <c r="E81" s="3262"/>
      <c r="F81" s="3262"/>
      <c r="G81" s="3262"/>
      <c r="H81" s="3262">
        <v>3</v>
      </c>
      <c r="I81" s="3262"/>
      <c r="J81" s="4674"/>
      <c r="K81" s="4674"/>
      <c r="L81" s="4674"/>
      <c r="M81" s="4674">
        <v>3</v>
      </c>
      <c r="N81" s="912">
        <v>0</v>
      </c>
      <c r="P81" s="738" t="s">
        <v>2709</v>
      </c>
      <c r="Q81" s="74"/>
      <c r="R81" s="74"/>
      <c r="S81" s="74"/>
      <c r="T81" s="74"/>
      <c r="U81" s="74"/>
      <c r="V81" s="74"/>
      <c r="W81" s="74"/>
      <c r="X81" s="74"/>
      <c r="Y81" s="74"/>
      <c r="Z81" s="74"/>
      <c r="AC81" s="161"/>
      <c r="AF81" s="738" t="s">
        <v>577</v>
      </c>
      <c r="AG81" s="2601"/>
      <c r="AH81" s="2601">
        <v>1</v>
      </c>
      <c r="AI81" s="2601">
        <v>5</v>
      </c>
      <c r="AJ81" s="2601"/>
      <c r="AK81" s="151">
        <v>1</v>
      </c>
      <c r="AL81" s="151"/>
      <c r="AM81" s="151">
        <v>7</v>
      </c>
      <c r="AN81" s="912">
        <f>+AM80/AM81</f>
        <v>0.2857142857142857</v>
      </c>
      <c r="AP81" s="2173"/>
      <c r="AQ81" s="2173"/>
      <c r="AR81" s="2173" t="s">
        <v>114</v>
      </c>
      <c r="AS81" s="2174" t="s">
        <v>1284</v>
      </c>
      <c r="AT81" s="2176">
        <v>0</v>
      </c>
      <c r="AU81" s="2176">
        <v>2</v>
      </c>
      <c r="AV81" s="2176">
        <v>1</v>
      </c>
      <c r="AW81" s="2176">
        <v>16</v>
      </c>
      <c r="AX81" s="2176">
        <v>4</v>
      </c>
      <c r="AY81" s="2178">
        <v>0</v>
      </c>
      <c r="AZ81" s="2178">
        <v>23</v>
      </c>
      <c r="BA81" s="2169"/>
      <c r="BC81" s="774"/>
      <c r="BD81" s="774"/>
      <c r="BE81" s="775" t="s">
        <v>461</v>
      </c>
      <c r="BF81" s="776" t="s">
        <v>1283</v>
      </c>
      <c r="BG81" s="777">
        <v>0</v>
      </c>
      <c r="BH81" s="778"/>
      <c r="BI81" s="777">
        <v>0</v>
      </c>
      <c r="BJ81" s="777">
        <v>0</v>
      </c>
      <c r="BK81" s="779">
        <v>17</v>
      </c>
      <c r="BL81" s="779">
        <v>17</v>
      </c>
      <c r="BM81" s="73"/>
      <c r="BO81" s="780"/>
      <c r="BP81" s="780"/>
      <c r="BQ81" s="781"/>
      <c r="BR81" s="804"/>
      <c r="BS81" s="806"/>
      <c r="BT81" s="806"/>
      <c r="BU81" s="805"/>
      <c r="BV81" s="806"/>
      <c r="BW81" s="807"/>
      <c r="BX81" s="807"/>
      <c r="BY81" s="808"/>
      <c r="BZ81" s="787"/>
      <c r="CB81" s="788"/>
      <c r="CC81" s="788"/>
      <c r="CD81" s="788"/>
      <c r="CE81" s="809" t="s">
        <v>573</v>
      </c>
      <c r="CF81" s="811">
        <v>1</v>
      </c>
      <c r="CG81" s="810"/>
      <c r="CH81" s="811">
        <v>1</v>
      </c>
      <c r="CI81" s="811">
        <v>9</v>
      </c>
      <c r="CJ81" s="811">
        <v>27</v>
      </c>
      <c r="CK81" s="811">
        <v>38</v>
      </c>
      <c r="CL81" s="812">
        <v>0</v>
      </c>
      <c r="CN81" s="74"/>
      <c r="CO81" s="121"/>
      <c r="CP81" s="121"/>
      <c r="CQ81" s="74" t="s">
        <v>1293</v>
      </c>
      <c r="CR81" s="121"/>
      <c r="CS81" s="121"/>
      <c r="CT81" s="121">
        <v>0</v>
      </c>
      <c r="CU81" s="121">
        <v>15</v>
      </c>
      <c r="CV81" s="121"/>
      <c r="CW81" s="121">
        <v>15</v>
      </c>
      <c r="CX81" s="74"/>
      <c r="CY81" s="74"/>
      <c r="CZ81" s="793"/>
      <c r="DA81" s="794"/>
      <c r="DB81" s="793"/>
      <c r="DC81" s="793" t="s">
        <v>1286</v>
      </c>
      <c r="DD81" s="793">
        <v>0</v>
      </c>
      <c r="DE81" s="793">
        <v>0</v>
      </c>
      <c r="DF81" s="793">
        <v>1</v>
      </c>
      <c r="DG81" s="793">
        <v>0</v>
      </c>
      <c r="DH81" s="793">
        <v>0</v>
      </c>
      <c r="DI81" s="793">
        <v>0</v>
      </c>
      <c r="DJ81" s="793">
        <v>1</v>
      </c>
      <c r="DK81" s="793"/>
      <c r="DL81" s="795"/>
      <c r="DM81" s="74"/>
    </row>
    <row r="82" spans="1:117">
      <c r="A82" s="73"/>
      <c r="B82" s="73"/>
      <c r="C82" s="738" t="s">
        <v>577</v>
      </c>
      <c r="D82" s="738" t="s">
        <v>1284</v>
      </c>
      <c r="E82" s="3262"/>
      <c r="F82" s="3262"/>
      <c r="G82" s="3262"/>
      <c r="H82" s="3262">
        <v>3</v>
      </c>
      <c r="I82" s="3262"/>
      <c r="J82" s="4674"/>
      <c r="K82" s="4674"/>
      <c r="L82" s="4674"/>
      <c r="M82" s="4674">
        <v>3</v>
      </c>
      <c r="N82" s="73"/>
      <c r="AC82" s="161"/>
      <c r="AE82" s="73" t="s">
        <v>265</v>
      </c>
      <c r="AF82" s="73" t="s">
        <v>1284</v>
      </c>
      <c r="AG82" s="2600"/>
      <c r="AH82" s="2600">
        <v>1</v>
      </c>
      <c r="AI82" s="2600">
        <v>2</v>
      </c>
      <c r="AJ82" s="2600"/>
      <c r="AK82" s="161">
        <v>0</v>
      </c>
      <c r="AL82" s="161"/>
      <c r="AM82" s="161">
        <v>3</v>
      </c>
      <c r="AP82" s="2173"/>
      <c r="AQ82" s="2173"/>
      <c r="AR82" s="2173"/>
      <c r="AS82" s="2174" t="s">
        <v>1288</v>
      </c>
      <c r="AT82" s="2176">
        <v>0</v>
      </c>
      <c r="AU82" s="2176">
        <v>0</v>
      </c>
      <c r="AV82" s="2176">
        <v>0</v>
      </c>
      <c r="AW82" s="2176">
        <v>18</v>
      </c>
      <c r="AX82" s="2176">
        <v>4</v>
      </c>
      <c r="AY82" s="2178">
        <v>0</v>
      </c>
      <c r="AZ82" s="2178">
        <v>22</v>
      </c>
      <c r="BA82" s="2169"/>
      <c r="BC82" s="774"/>
      <c r="BD82" s="774"/>
      <c r="BE82" s="775"/>
      <c r="BF82" s="776" t="s">
        <v>1286</v>
      </c>
      <c r="BG82" s="777">
        <v>3</v>
      </c>
      <c r="BH82" s="778"/>
      <c r="BI82" s="777">
        <v>0</v>
      </c>
      <c r="BJ82" s="777">
        <v>0</v>
      </c>
      <c r="BK82" s="779">
        <v>0</v>
      </c>
      <c r="BL82" s="779">
        <v>3</v>
      </c>
      <c r="BM82" s="73"/>
      <c r="BO82" s="780"/>
      <c r="BP82" s="780"/>
      <c r="BQ82" s="781"/>
      <c r="BR82" s="804"/>
      <c r="BS82" s="806"/>
      <c r="BT82" s="806"/>
      <c r="BU82" s="805"/>
      <c r="BV82" s="806"/>
      <c r="BW82" s="807"/>
      <c r="BX82" s="807"/>
      <c r="BY82" s="808"/>
      <c r="BZ82" s="787"/>
      <c r="CB82" s="788"/>
      <c r="CC82" s="788"/>
      <c r="CD82" s="788" t="s">
        <v>575</v>
      </c>
      <c r="CE82" s="789" t="s">
        <v>1283</v>
      </c>
      <c r="CF82" s="791">
        <v>0</v>
      </c>
      <c r="CG82" s="790"/>
      <c r="CH82" s="790"/>
      <c r="CI82" s="791">
        <v>0</v>
      </c>
      <c r="CJ82" s="791">
        <v>18</v>
      </c>
      <c r="CK82" s="791">
        <v>18</v>
      </c>
      <c r="CL82" s="792"/>
      <c r="CN82" s="74"/>
      <c r="CO82" s="121"/>
      <c r="CP82" s="121"/>
      <c r="CQ82" s="761" t="s">
        <v>15</v>
      </c>
      <c r="CR82" s="729"/>
      <c r="CS82" s="729"/>
      <c r="CT82" s="729">
        <v>2</v>
      </c>
      <c r="CU82" s="729">
        <v>17</v>
      </c>
      <c r="CV82" s="729"/>
      <c r="CW82" s="729">
        <v>19</v>
      </c>
      <c r="CX82" s="813">
        <f>+(CW80+CW81)/CW82</f>
        <v>0.89473684210526316</v>
      </c>
      <c r="CY82" s="74"/>
      <c r="CZ82" s="793"/>
      <c r="DA82" s="794"/>
      <c r="DB82" s="793"/>
      <c r="DC82" s="793" t="s">
        <v>1289</v>
      </c>
      <c r="DD82" s="793">
        <v>0</v>
      </c>
      <c r="DE82" s="793">
        <v>0</v>
      </c>
      <c r="DF82" s="793">
        <v>1</v>
      </c>
      <c r="DG82" s="793">
        <v>1</v>
      </c>
      <c r="DH82" s="793">
        <v>0</v>
      </c>
      <c r="DI82" s="793">
        <v>0</v>
      </c>
      <c r="DJ82" s="793">
        <v>2</v>
      </c>
      <c r="DK82" s="793"/>
      <c r="DL82" s="795"/>
      <c r="DM82" s="74"/>
    </row>
    <row r="83" spans="1:117">
      <c r="A83" s="73"/>
      <c r="B83" s="73"/>
      <c r="C83" s="738"/>
      <c r="D83" s="738" t="s">
        <v>577</v>
      </c>
      <c r="E83" s="3262"/>
      <c r="F83" s="3262"/>
      <c r="G83" s="3262"/>
      <c r="H83" s="3262">
        <v>3</v>
      </c>
      <c r="I83" s="3262"/>
      <c r="J83" s="4674"/>
      <c r="K83" s="4674"/>
      <c r="L83" s="4674"/>
      <c r="M83" s="4674">
        <v>3</v>
      </c>
      <c r="N83" s="912">
        <v>0</v>
      </c>
      <c r="AC83" s="161"/>
      <c r="AF83" s="73" t="s">
        <v>1289</v>
      </c>
      <c r="AG83" s="2600"/>
      <c r="AH83" s="2600">
        <v>0</v>
      </c>
      <c r="AI83" s="2600">
        <v>1</v>
      </c>
      <c r="AJ83" s="2600"/>
      <c r="AK83" s="161">
        <v>0</v>
      </c>
      <c r="AL83" s="161"/>
      <c r="AM83" s="161">
        <v>1</v>
      </c>
      <c r="AP83" s="2173"/>
      <c r="AQ83" s="2173"/>
      <c r="AR83" s="2173"/>
      <c r="AS83" s="2174" t="s">
        <v>1289</v>
      </c>
      <c r="AT83" s="2176">
        <v>0</v>
      </c>
      <c r="AU83" s="2176">
        <v>0</v>
      </c>
      <c r="AV83" s="2176">
        <v>1</v>
      </c>
      <c r="AW83" s="2176">
        <v>0</v>
      </c>
      <c r="AX83" s="2176">
        <v>2</v>
      </c>
      <c r="AY83" s="2178">
        <v>0</v>
      </c>
      <c r="AZ83" s="2178">
        <v>3</v>
      </c>
      <c r="BA83" s="2169"/>
      <c r="BC83" s="774"/>
      <c r="BD83" s="774"/>
      <c r="BE83" s="775"/>
      <c r="BF83" s="776" t="s">
        <v>1288</v>
      </c>
      <c r="BG83" s="777">
        <v>0</v>
      </c>
      <c r="BH83" s="778"/>
      <c r="BI83" s="777">
        <v>0</v>
      </c>
      <c r="BJ83" s="777">
        <v>1</v>
      </c>
      <c r="BK83" s="779">
        <v>0</v>
      </c>
      <c r="BL83" s="779">
        <v>1</v>
      </c>
      <c r="BM83" s="73"/>
      <c r="BO83" s="780"/>
      <c r="BP83" s="780"/>
      <c r="BQ83" s="781"/>
      <c r="BR83" s="804"/>
      <c r="BS83" s="806"/>
      <c r="BT83" s="806"/>
      <c r="BU83" s="805"/>
      <c r="BV83" s="806"/>
      <c r="BW83" s="807"/>
      <c r="BX83" s="807"/>
      <c r="BY83" s="808"/>
      <c r="BZ83" s="787"/>
      <c r="CB83" s="788"/>
      <c r="CC83" s="788"/>
      <c r="CD83" s="788"/>
      <c r="CE83" s="789" t="s">
        <v>1284</v>
      </c>
      <c r="CF83" s="791">
        <v>0</v>
      </c>
      <c r="CG83" s="790"/>
      <c r="CH83" s="790"/>
      <c r="CI83" s="791">
        <v>2</v>
      </c>
      <c r="CJ83" s="791">
        <v>0</v>
      </c>
      <c r="CK83" s="791">
        <v>2</v>
      </c>
      <c r="CL83" s="792"/>
      <c r="CN83" s="74"/>
      <c r="CO83" s="121"/>
      <c r="CP83" s="121" t="s">
        <v>41</v>
      </c>
      <c r="CQ83" s="74" t="s">
        <v>1284</v>
      </c>
      <c r="CR83" s="121"/>
      <c r="CS83" s="121"/>
      <c r="CT83" s="121">
        <v>5</v>
      </c>
      <c r="CU83" s="121"/>
      <c r="CV83" s="121"/>
      <c r="CW83" s="121">
        <v>5</v>
      </c>
      <c r="CX83" s="74"/>
      <c r="CY83" s="74"/>
      <c r="CZ83" s="793"/>
      <c r="DA83" s="794"/>
      <c r="DB83" s="793"/>
      <c r="DC83" s="793" t="s">
        <v>1377</v>
      </c>
      <c r="DD83" s="793">
        <v>0</v>
      </c>
      <c r="DE83" s="793">
        <v>0</v>
      </c>
      <c r="DF83" s="793">
        <v>0</v>
      </c>
      <c r="DG83" s="793">
        <v>4</v>
      </c>
      <c r="DH83" s="793">
        <v>1</v>
      </c>
      <c r="DI83" s="793">
        <v>0</v>
      </c>
      <c r="DJ83" s="793">
        <v>5</v>
      </c>
      <c r="DK83" s="793"/>
      <c r="DL83" s="795"/>
      <c r="DM83" s="74"/>
    </row>
    <row r="84" spans="1:117" ht="15.75" thickBot="1">
      <c r="A84" s="73"/>
      <c r="B84" s="73"/>
      <c r="C84" s="738" t="s">
        <v>265</v>
      </c>
      <c r="D84" s="738" t="s">
        <v>1284</v>
      </c>
      <c r="E84" s="3262"/>
      <c r="F84" s="3262"/>
      <c r="G84" s="3262"/>
      <c r="H84" s="3262">
        <v>3</v>
      </c>
      <c r="I84" s="3262"/>
      <c r="J84" s="4674"/>
      <c r="K84" s="4674"/>
      <c r="L84" s="4674"/>
      <c r="M84" s="4674">
        <v>3</v>
      </c>
      <c r="N84" s="73"/>
      <c r="AC84" s="161"/>
      <c r="AF84" s="73" t="s">
        <v>1292</v>
      </c>
      <c r="AG84" s="2600"/>
      <c r="AH84" s="2600">
        <v>0</v>
      </c>
      <c r="AI84" s="2600">
        <v>0</v>
      </c>
      <c r="AJ84" s="2600"/>
      <c r="AK84" s="161">
        <v>1</v>
      </c>
      <c r="AL84" s="161"/>
      <c r="AM84" s="161">
        <v>1</v>
      </c>
      <c r="AP84" s="2173"/>
      <c r="AQ84" s="2173"/>
      <c r="AR84" s="2173"/>
      <c r="AS84" s="2174" t="s">
        <v>1292</v>
      </c>
      <c r="AT84" s="2176">
        <v>0</v>
      </c>
      <c r="AU84" s="2176">
        <v>0</v>
      </c>
      <c r="AV84" s="2176">
        <v>0</v>
      </c>
      <c r="AW84" s="2176">
        <v>0</v>
      </c>
      <c r="AX84" s="2176">
        <v>0</v>
      </c>
      <c r="AY84" s="2178">
        <v>7</v>
      </c>
      <c r="AZ84" s="2178">
        <v>7</v>
      </c>
      <c r="BA84" s="2169"/>
      <c r="BC84" s="774"/>
      <c r="BD84" s="774"/>
      <c r="BE84" s="775"/>
      <c r="BF84" s="776" t="s">
        <v>1292</v>
      </c>
      <c r="BG84" s="777">
        <v>0</v>
      </c>
      <c r="BH84" s="778"/>
      <c r="BI84" s="777">
        <v>0</v>
      </c>
      <c r="BJ84" s="777">
        <v>0</v>
      </c>
      <c r="BK84" s="779">
        <v>1</v>
      </c>
      <c r="BL84" s="779">
        <v>1</v>
      </c>
      <c r="BM84" s="73"/>
      <c r="BO84" s="780"/>
      <c r="BP84" s="780"/>
      <c r="BQ84" s="781"/>
      <c r="BR84" s="804"/>
      <c r="BS84" s="806"/>
      <c r="BT84" s="806"/>
      <c r="BU84" s="805"/>
      <c r="BV84" s="806"/>
      <c r="BW84" s="807"/>
      <c r="BX84" s="807"/>
      <c r="BY84" s="808"/>
      <c r="BZ84" s="787"/>
      <c r="CB84" s="788"/>
      <c r="CC84" s="788"/>
      <c r="CD84" s="788"/>
      <c r="CE84" s="789" t="s">
        <v>1286</v>
      </c>
      <c r="CF84" s="791">
        <v>1</v>
      </c>
      <c r="CG84" s="790"/>
      <c r="CH84" s="790"/>
      <c r="CI84" s="791">
        <v>0</v>
      </c>
      <c r="CJ84" s="791">
        <v>0</v>
      </c>
      <c r="CK84" s="791">
        <v>1</v>
      </c>
      <c r="CL84" s="792"/>
      <c r="CN84" s="820"/>
      <c r="CO84" s="819"/>
      <c r="CP84" s="819" t="s">
        <v>15</v>
      </c>
      <c r="CQ84" s="821" t="s">
        <v>15</v>
      </c>
      <c r="CR84" s="768"/>
      <c r="CS84" s="768"/>
      <c r="CT84" s="768">
        <v>5</v>
      </c>
      <c r="CU84" s="768"/>
      <c r="CV84" s="768"/>
      <c r="CW84" s="768">
        <v>5</v>
      </c>
      <c r="CX84" s="822">
        <v>0</v>
      </c>
      <c r="CY84" s="74"/>
      <c r="CZ84" s="793"/>
      <c r="DA84" s="817"/>
      <c r="DB84" s="816"/>
      <c r="DC84" s="816" t="s">
        <v>15</v>
      </c>
      <c r="DD84" s="816">
        <v>0</v>
      </c>
      <c r="DE84" s="816">
        <v>0</v>
      </c>
      <c r="DF84" s="816">
        <v>2</v>
      </c>
      <c r="DG84" s="816">
        <v>5</v>
      </c>
      <c r="DH84" s="816">
        <v>4</v>
      </c>
      <c r="DI84" s="816">
        <v>10</v>
      </c>
      <c r="DJ84" s="816">
        <v>21</v>
      </c>
      <c r="DK84" s="818">
        <f>+DJ83/DJ84</f>
        <v>0.23809523809523808</v>
      </c>
      <c r="DL84" s="770">
        <f>+DJ83</f>
        <v>5</v>
      </c>
      <c r="DM84" s="74"/>
    </row>
    <row r="85" spans="1:117">
      <c r="A85" s="73"/>
      <c r="B85" s="73"/>
      <c r="C85" s="738"/>
      <c r="D85" s="738" t="s">
        <v>265</v>
      </c>
      <c r="E85" s="3262"/>
      <c r="F85" s="3262"/>
      <c r="G85" s="3262"/>
      <c r="H85" s="3262">
        <v>3</v>
      </c>
      <c r="I85" s="3262"/>
      <c r="J85" s="4674"/>
      <c r="K85" s="4674"/>
      <c r="L85" s="4674"/>
      <c r="M85" s="4674">
        <v>3</v>
      </c>
      <c r="N85" s="912">
        <v>0</v>
      </c>
      <c r="AC85" s="161"/>
      <c r="AF85" s="73" t="s">
        <v>1377</v>
      </c>
      <c r="AG85" s="2600"/>
      <c r="AH85" s="2600">
        <v>0</v>
      </c>
      <c r="AI85" s="2600">
        <v>2</v>
      </c>
      <c r="AJ85" s="2600"/>
      <c r="AK85" s="161">
        <v>0</v>
      </c>
      <c r="AL85" s="161"/>
      <c r="AM85" s="161">
        <v>2</v>
      </c>
      <c r="AP85" s="2173"/>
      <c r="AQ85" s="2173"/>
      <c r="AR85" s="2173"/>
      <c r="AS85" s="2174" t="s">
        <v>1936</v>
      </c>
      <c r="AT85" s="2176">
        <v>4</v>
      </c>
      <c r="AU85" s="2176">
        <v>0</v>
      </c>
      <c r="AV85" s="2176">
        <v>0</v>
      </c>
      <c r="AW85" s="2176">
        <v>0</v>
      </c>
      <c r="AX85" s="2176">
        <v>0</v>
      </c>
      <c r="AY85" s="2178">
        <v>0</v>
      </c>
      <c r="AZ85" s="2178">
        <v>4</v>
      </c>
      <c r="BA85" s="2169"/>
      <c r="BC85" s="774"/>
      <c r="BD85" s="774"/>
      <c r="BE85" s="775"/>
      <c r="BF85" s="776" t="s">
        <v>1293</v>
      </c>
      <c r="BG85" s="777">
        <v>0</v>
      </c>
      <c r="BH85" s="778"/>
      <c r="BI85" s="777">
        <v>2</v>
      </c>
      <c r="BJ85" s="777">
        <v>25</v>
      </c>
      <c r="BK85" s="779">
        <v>1</v>
      </c>
      <c r="BL85" s="779">
        <v>28</v>
      </c>
      <c r="BM85" s="73"/>
      <c r="BO85" s="780"/>
      <c r="BP85" s="780"/>
      <c r="BQ85" s="781"/>
      <c r="BR85" s="804"/>
      <c r="BS85" s="806"/>
      <c r="BT85" s="806"/>
      <c r="BU85" s="805"/>
      <c r="BV85" s="806"/>
      <c r="BW85" s="807"/>
      <c r="BX85" s="807"/>
      <c r="BY85" s="808"/>
      <c r="BZ85" s="787"/>
      <c r="CB85" s="788"/>
      <c r="CC85" s="788"/>
      <c r="CD85" s="788"/>
      <c r="CE85" s="789" t="s">
        <v>1288</v>
      </c>
      <c r="CF85" s="791">
        <v>0</v>
      </c>
      <c r="CG85" s="790"/>
      <c r="CH85" s="790"/>
      <c r="CI85" s="791">
        <v>1</v>
      </c>
      <c r="CJ85" s="791">
        <v>1</v>
      </c>
      <c r="CK85" s="791">
        <v>2</v>
      </c>
      <c r="CL85" s="792"/>
      <c r="CN85" s="74"/>
      <c r="CO85" s="74"/>
      <c r="CP85" s="74"/>
      <c r="CQ85" s="74"/>
      <c r="CR85" s="74"/>
      <c r="CS85" s="74"/>
      <c r="CT85" s="74"/>
      <c r="CU85" s="74"/>
      <c r="CV85" s="74"/>
      <c r="CW85" s="74"/>
      <c r="CX85" s="74"/>
      <c r="CY85" s="74"/>
      <c r="CZ85" s="793"/>
      <c r="DA85" s="794"/>
      <c r="DB85" s="793"/>
      <c r="DC85" s="793"/>
      <c r="DD85" s="793"/>
      <c r="DE85" s="793"/>
      <c r="DF85" s="793"/>
      <c r="DG85" s="793"/>
      <c r="DH85" s="793"/>
      <c r="DI85" s="793"/>
      <c r="DJ85" s="793"/>
      <c r="DK85" s="793"/>
      <c r="DL85" s="793"/>
      <c r="DM85" s="74"/>
    </row>
    <row r="86" spans="1:117">
      <c r="A86" s="73"/>
      <c r="B86" s="73"/>
      <c r="C86" s="738" t="s">
        <v>114</v>
      </c>
      <c r="D86" s="738" t="s">
        <v>1283</v>
      </c>
      <c r="E86" s="3262">
        <v>0</v>
      </c>
      <c r="F86" s="3262">
        <v>0</v>
      </c>
      <c r="G86" s="3262">
        <v>1</v>
      </c>
      <c r="H86" s="3262">
        <v>0</v>
      </c>
      <c r="I86" s="3262">
        <v>1</v>
      </c>
      <c r="J86" s="4674">
        <v>7</v>
      </c>
      <c r="K86" s="4674"/>
      <c r="L86" s="4674"/>
      <c r="M86" s="4674">
        <v>9</v>
      </c>
      <c r="N86" s="73"/>
      <c r="AC86" s="161"/>
      <c r="AF86" s="738" t="s">
        <v>265</v>
      </c>
      <c r="AG86" s="2601"/>
      <c r="AH86" s="2601">
        <v>1</v>
      </c>
      <c r="AI86" s="2601">
        <v>5</v>
      </c>
      <c r="AJ86" s="2601"/>
      <c r="AK86" s="151">
        <v>1</v>
      </c>
      <c r="AL86" s="151"/>
      <c r="AM86" s="151">
        <v>7</v>
      </c>
      <c r="AN86" s="912">
        <f>+AM85/AM86</f>
        <v>0.2857142857142857</v>
      </c>
      <c r="AP86" s="2173"/>
      <c r="AQ86" s="2173"/>
      <c r="AR86" s="2173"/>
      <c r="AS86" s="2174" t="s">
        <v>1293</v>
      </c>
      <c r="AT86" s="2176">
        <v>0</v>
      </c>
      <c r="AU86" s="2176">
        <v>0</v>
      </c>
      <c r="AV86" s="2176">
        <v>0</v>
      </c>
      <c r="AW86" s="2176">
        <v>8</v>
      </c>
      <c r="AX86" s="2176">
        <v>0</v>
      </c>
      <c r="AY86" s="2178">
        <v>0</v>
      </c>
      <c r="AZ86" s="2178">
        <v>8</v>
      </c>
      <c r="BA86" s="2169"/>
      <c r="BC86" s="774"/>
      <c r="BD86" s="774"/>
      <c r="BE86" s="775"/>
      <c r="BF86" s="776" t="s">
        <v>1377</v>
      </c>
      <c r="BG86" s="777">
        <v>0</v>
      </c>
      <c r="BH86" s="778"/>
      <c r="BI86" s="777">
        <v>1</v>
      </c>
      <c r="BJ86" s="777">
        <v>7</v>
      </c>
      <c r="BK86" s="779">
        <v>0</v>
      </c>
      <c r="BL86" s="779">
        <v>8</v>
      </c>
      <c r="BM86" s="73"/>
      <c r="BO86" s="780"/>
      <c r="BP86" s="780"/>
      <c r="BQ86" s="781"/>
      <c r="BR86" s="804"/>
      <c r="BS86" s="806"/>
      <c r="BT86" s="806"/>
      <c r="BU86" s="805"/>
      <c r="BV86" s="806"/>
      <c r="BW86" s="807"/>
      <c r="BX86" s="807"/>
      <c r="BY86" s="808"/>
      <c r="BZ86" s="787"/>
      <c r="CB86" s="788"/>
      <c r="CC86" s="788"/>
      <c r="CD86" s="788"/>
      <c r="CE86" s="789" t="s">
        <v>1289</v>
      </c>
      <c r="CF86" s="791">
        <v>2</v>
      </c>
      <c r="CG86" s="790"/>
      <c r="CH86" s="790"/>
      <c r="CI86" s="791">
        <v>0</v>
      </c>
      <c r="CJ86" s="791">
        <v>0</v>
      </c>
      <c r="CK86" s="791">
        <v>2</v>
      </c>
      <c r="CL86" s="792"/>
      <c r="CN86" s="74"/>
      <c r="CO86" s="74"/>
      <c r="CP86" s="74"/>
      <c r="CQ86" s="74"/>
      <c r="CR86" s="74"/>
      <c r="CS86" s="74"/>
      <c r="CT86" s="74"/>
      <c r="CU86" s="74"/>
      <c r="CV86" s="74"/>
      <c r="CW86" s="74"/>
      <c r="CX86" s="74"/>
      <c r="CY86" s="74"/>
      <c r="CZ86" s="793"/>
      <c r="DA86" s="794"/>
      <c r="DB86" s="793"/>
      <c r="DC86" s="793"/>
      <c r="DD86" s="793"/>
      <c r="DE86" s="793"/>
      <c r="DF86" s="793"/>
      <c r="DG86" s="793"/>
      <c r="DH86" s="793"/>
      <c r="DI86" s="793"/>
      <c r="DJ86" s="793"/>
      <c r="DK86" s="793"/>
      <c r="DL86" s="793"/>
      <c r="DM86" s="74"/>
    </row>
    <row r="87" spans="1:117">
      <c r="A87" s="73"/>
      <c r="B87" s="73"/>
      <c r="C87" s="738"/>
      <c r="D87" s="738" t="s">
        <v>1284</v>
      </c>
      <c r="E87" s="3262">
        <v>0</v>
      </c>
      <c r="F87" s="3262">
        <v>2</v>
      </c>
      <c r="G87" s="3262">
        <v>1</v>
      </c>
      <c r="H87" s="3262">
        <v>14</v>
      </c>
      <c r="I87" s="3262">
        <v>3</v>
      </c>
      <c r="J87" s="4674">
        <v>0</v>
      </c>
      <c r="K87" s="4674"/>
      <c r="L87" s="4674"/>
      <c r="M87" s="4674">
        <v>20</v>
      </c>
      <c r="N87" s="73"/>
      <c r="AC87" s="161"/>
      <c r="AE87" s="73" t="s">
        <v>114</v>
      </c>
      <c r="AF87" s="73" t="s">
        <v>1283</v>
      </c>
      <c r="AG87" s="2600">
        <v>0</v>
      </c>
      <c r="AH87" s="2600">
        <v>0</v>
      </c>
      <c r="AI87" s="2600">
        <v>0</v>
      </c>
      <c r="AJ87" s="2600">
        <v>2</v>
      </c>
      <c r="AK87" s="161">
        <v>41</v>
      </c>
      <c r="AL87" s="161">
        <v>0</v>
      </c>
      <c r="AM87" s="161">
        <v>43</v>
      </c>
      <c r="AP87" s="2173"/>
      <c r="AQ87" s="2173"/>
      <c r="AR87" s="2173"/>
      <c r="AS87" s="2174" t="s">
        <v>1377</v>
      </c>
      <c r="AT87" s="2176">
        <v>0</v>
      </c>
      <c r="AU87" s="2176">
        <v>0</v>
      </c>
      <c r="AV87" s="2176">
        <v>0</v>
      </c>
      <c r="AW87" s="2176">
        <v>9</v>
      </c>
      <c r="AX87" s="2176">
        <v>1</v>
      </c>
      <c r="AY87" s="2178">
        <v>0</v>
      </c>
      <c r="AZ87" s="2178">
        <v>10</v>
      </c>
      <c r="BA87" s="2169"/>
      <c r="BC87" s="774"/>
      <c r="BD87" s="774"/>
      <c r="BE87" s="775"/>
      <c r="BF87" s="798" t="s">
        <v>461</v>
      </c>
      <c r="BG87" s="799">
        <v>3</v>
      </c>
      <c r="BH87" s="800"/>
      <c r="BI87" s="799">
        <v>3</v>
      </c>
      <c r="BJ87" s="799">
        <v>33</v>
      </c>
      <c r="BK87" s="802">
        <v>19</v>
      </c>
      <c r="BL87" s="802">
        <v>58</v>
      </c>
      <c r="BM87" s="803">
        <f>+(BL83+BL85-BK85+BL86)/BL87</f>
        <v>0.62068965517241381</v>
      </c>
      <c r="BO87" s="780"/>
      <c r="BP87" s="780"/>
      <c r="BQ87" s="781"/>
      <c r="BR87" s="804"/>
      <c r="BS87" s="806"/>
      <c r="BT87" s="806"/>
      <c r="BU87" s="805"/>
      <c r="BV87" s="806"/>
      <c r="BW87" s="807"/>
      <c r="BX87" s="807"/>
      <c r="BY87" s="808"/>
      <c r="BZ87" s="787"/>
      <c r="CB87" s="788"/>
      <c r="CC87" s="788"/>
      <c r="CD87" s="788"/>
      <c r="CE87" s="789" t="s">
        <v>1377</v>
      </c>
      <c r="CF87" s="791">
        <v>0</v>
      </c>
      <c r="CG87" s="790"/>
      <c r="CH87" s="790"/>
      <c r="CI87" s="791">
        <v>7</v>
      </c>
      <c r="CJ87" s="791">
        <v>0</v>
      </c>
      <c r="CK87" s="791">
        <v>7</v>
      </c>
      <c r="CL87" s="792"/>
      <c r="CN87" s="74"/>
      <c r="CO87" s="74"/>
      <c r="CP87" s="74"/>
      <c r="CQ87" s="74"/>
      <c r="CR87" s="74"/>
      <c r="CS87" s="74"/>
      <c r="CT87" s="74"/>
      <c r="CU87" s="74"/>
      <c r="CV87" s="74"/>
      <c r="CW87" s="74"/>
      <c r="CX87" s="74"/>
      <c r="CY87" s="74"/>
      <c r="CZ87" s="4903" t="s">
        <v>1382</v>
      </c>
      <c r="DA87" s="4903"/>
      <c r="DB87" s="4903"/>
      <c r="DC87" s="4903"/>
      <c r="DD87" s="4903"/>
      <c r="DE87" s="4903"/>
      <c r="DF87" s="4903"/>
      <c r="DG87" s="4903"/>
      <c r="DH87" s="4903"/>
      <c r="DI87" s="4903"/>
      <c r="DJ87" s="4903"/>
      <c r="DK87" s="4903"/>
      <c r="DL87" s="793"/>
      <c r="DM87" s="74"/>
    </row>
    <row r="88" spans="1:117" ht="15.75" thickBot="1">
      <c r="A88" s="73"/>
      <c r="B88" s="73"/>
      <c r="C88" s="738"/>
      <c r="D88" s="738" t="s">
        <v>1286</v>
      </c>
      <c r="E88" s="3262">
        <v>0</v>
      </c>
      <c r="F88" s="3262">
        <v>2</v>
      </c>
      <c r="G88" s="3262">
        <v>0</v>
      </c>
      <c r="H88" s="3262">
        <v>0</v>
      </c>
      <c r="I88" s="3262">
        <v>0</v>
      </c>
      <c r="J88" s="4674">
        <v>0</v>
      </c>
      <c r="K88" s="4674"/>
      <c r="L88" s="4674"/>
      <c r="M88" s="4674">
        <v>2</v>
      </c>
      <c r="N88" s="73"/>
      <c r="AC88" s="161"/>
      <c r="AF88" s="73" t="s">
        <v>1284</v>
      </c>
      <c r="AG88" s="2600">
        <v>7</v>
      </c>
      <c r="AH88" s="2600">
        <v>3</v>
      </c>
      <c r="AI88" s="2600">
        <v>12</v>
      </c>
      <c r="AJ88" s="2600">
        <v>3</v>
      </c>
      <c r="AK88" s="161">
        <v>0</v>
      </c>
      <c r="AL88" s="161">
        <v>0</v>
      </c>
      <c r="AM88" s="161">
        <v>25</v>
      </c>
      <c r="AP88" s="2183"/>
      <c r="AQ88" s="2183"/>
      <c r="AR88" s="2183"/>
      <c r="AS88" s="2184" t="s">
        <v>114</v>
      </c>
      <c r="AT88" s="2185">
        <v>4</v>
      </c>
      <c r="AU88" s="2185">
        <v>2</v>
      </c>
      <c r="AV88" s="2185">
        <v>2</v>
      </c>
      <c r="AW88" s="2185">
        <v>52</v>
      </c>
      <c r="AX88" s="2185">
        <v>11</v>
      </c>
      <c r="AY88" s="2186">
        <v>7</v>
      </c>
      <c r="AZ88" s="2186">
        <v>78</v>
      </c>
      <c r="BA88" s="2161">
        <f>+(AZ82+AZ86+AZ87)/AZ88</f>
        <v>0.51282051282051277</v>
      </c>
      <c r="BC88" s="774" t="s">
        <v>59</v>
      </c>
      <c r="BD88" s="774" t="s">
        <v>64</v>
      </c>
      <c r="BE88" s="775" t="s">
        <v>710</v>
      </c>
      <c r="BF88" s="776" t="s">
        <v>1286</v>
      </c>
      <c r="BG88" s="778"/>
      <c r="BH88" s="777">
        <v>1</v>
      </c>
      <c r="BI88" s="777">
        <v>0</v>
      </c>
      <c r="BJ88" s="778"/>
      <c r="BK88" s="774"/>
      <c r="BL88" s="779">
        <v>1</v>
      </c>
      <c r="BM88" s="73"/>
      <c r="BO88" s="780" t="s">
        <v>59</v>
      </c>
      <c r="BP88" s="780" t="s">
        <v>64</v>
      </c>
      <c r="BQ88" s="781" t="s">
        <v>710</v>
      </c>
      <c r="BR88" s="782" t="s">
        <v>1284</v>
      </c>
      <c r="BS88" s="784"/>
      <c r="BT88" s="784"/>
      <c r="BU88" s="783">
        <v>1</v>
      </c>
      <c r="BV88" s="784"/>
      <c r="BW88" s="785"/>
      <c r="BX88" s="785"/>
      <c r="BY88" s="786">
        <v>1</v>
      </c>
      <c r="BZ88" s="787"/>
      <c r="CB88" s="788"/>
      <c r="CC88" s="788"/>
      <c r="CD88" s="830"/>
      <c r="CE88" s="831" t="s">
        <v>575</v>
      </c>
      <c r="CF88" s="832">
        <v>3</v>
      </c>
      <c r="CG88" s="833"/>
      <c r="CH88" s="833"/>
      <c r="CI88" s="832">
        <v>10</v>
      </c>
      <c r="CJ88" s="832">
        <v>19</v>
      </c>
      <c r="CK88" s="832">
        <v>32</v>
      </c>
      <c r="CL88" s="834">
        <f>+(CK87+CK85-CJ85)/CK88</f>
        <v>0.25</v>
      </c>
      <c r="CN88" s="74"/>
      <c r="CO88" s="74"/>
      <c r="CP88" s="74"/>
      <c r="CQ88" s="74"/>
      <c r="CR88" s="74"/>
      <c r="CS88" s="74"/>
      <c r="CT88" s="74"/>
      <c r="CU88" s="74"/>
      <c r="CV88" s="74"/>
      <c r="CW88" s="74"/>
      <c r="CX88" s="74"/>
      <c r="CY88" s="74"/>
      <c r="CZ88" s="793"/>
      <c r="DA88" s="794"/>
      <c r="DB88" s="793"/>
      <c r="DC88" s="793"/>
      <c r="DD88" s="793"/>
      <c r="DE88" s="793"/>
      <c r="DF88" s="793"/>
      <c r="DG88" s="793"/>
      <c r="DH88" s="793"/>
      <c r="DI88" s="793"/>
      <c r="DJ88" s="793"/>
      <c r="DK88" s="793"/>
      <c r="DL88" s="793"/>
      <c r="DM88" s="74"/>
    </row>
    <row r="89" spans="1:117">
      <c r="A89" s="73"/>
      <c r="B89" s="73"/>
      <c r="C89" s="738"/>
      <c r="D89" s="738" t="s">
        <v>1288</v>
      </c>
      <c r="E89" s="3262">
        <v>0</v>
      </c>
      <c r="F89" s="3262">
        <v>0</v>
      </c>
      <c r="G89" s="3262">
        <v>0</v>
      </c>
      <c r="H89" s="3262">
        <v>5</v>
      </c>
      <c r="I89" s="3262">
        <v>1</v>
      </c>
      <c r="J89" s="4674">
        <v>3</v>
      </c>
      <c r="K89" s="4674"/>
      <c r="L89" s="4674"/>
      <c r="M89" s="4674">
        <v>9</v>
      </c>
      <c r="N89" s="73"/>
      <c r="AC89" s="161"/>
      <c r="AF89" s="73" t="s">
        <v>1288</v>
      </c>
      <c r="AG89" s="2600">
        <v>0</v>
      </c>
      <c r="AH89" s="2600">
        <v>0</v>
      </c>
      <c r="AI89" s="2600">
        <v>6</v>
      </c>
      <c r="AJ89" s="2600">
        <v>3</v>
      </c>
      <c r="AK89" s="161">
        <v>2</v>
      </c>
      <c r="AL89" s="161">
        <v>1</v>
      </c>
      <c r="AM89" s="161">
        <v>12</v>
      </c>
      <c r="AP89" s="73"/>
      <c r="AQ89" s="73"/>
      <c r="AR89" s="73"/>
      <c r="AS89" s="73"/>
      <c r="AT89" s="73"/>
      <c r="AU89" s="73"/>
      <c r="AV89" s="73"/>
      <c r="AW89" s="73"/>
      <c r="AX89" s="73"/>
      <c r="AY89" s="73"/>
      <c r="AZ89" s="73"/>
      <c r="BA89" s="73"/>
      <c r="BC89" s="774"/>
      <c r="BD89" s="774"/>
      <c r="BE89" s="775"/>
      <c r="BF89" s="776" t="s">
        <v>1377</v>
      </c>
      <c r="BG89" s="778"/>
      <c r="BH89" s="777">
        <v>0</v>
      </c>
      <c r="BI89" s="777">
        <v>1</v>
      </c>
      <c r="BJ89" s="778"/>
      <c r="BK89" s="774"/>
      <c r="BL89" s="779">
        <v>1</v>
      </c>
      <c r="BM89" s="73"/>
      <c r="BO89" s="780"/>
      <c r="BP89" s="780"/>
      <c r="BQ89" s="781"/>
      <c r="BR89" s="782" t="s">
        <v>1377</v>
      </c>
      <c r="BS89" s="784"/>
      <c r="BT89" s="784"/>
      <c r="BU89" s="783">
        <v>2</v>
      </c>
      <c r="BV89" s="784"/>
      <c r="BW89" s="785"/>
      <c r="BX89" s="785"/>
      <c r="BY89" s="786">
        <v>2</v>
      </c>
      <c r="BZ89" s="787"/>
      <c r="CB89" s="788"/>
      <c r="CC89" s="788"/>
      <c r="CD89" s="788"/>
      <c r="CE89" s="809"/>
      <c r="CF89" s="811"/>
      <c r="CN89" s="74"/>
      <c r="CO89" s="74"/>
      <c r="CP89" s="74"/>
      <c r="CQ89" s="74"/>
      <c r="CR89" s="74"/>
      <c r="CS89" s="74"/>
      <c r="CT89" s="74"/>
      <c r="CU89" s="74"/>
      <c r="CV89" s="74"/>
      <c r="CW89" s="74"/>
      <c r="CX89" s="74"/>
      <c r="CY89" s="74"/>
      <c r="CZ89" s="793"/>
      <c r="DA89" s="794"/>
      <c r="DB89" s="793"/>
      <c r="DC89" s="793"/>
      <c r="DD89" s="793"/>
      <c r="DE89" s="793"/>
      <c r="DF89" s="793"/>
      <c r="DG89" s="793"/>
      <c r="DH89" s="793"/>
      <c r="DI89" s="793"/>
      <c r="DJ89" s="793"/>
      <c r="DK89" s="793"/>
      <c r="DL89" s="793"/>
      <c r="DM89" s="74"/>
    </row>
    <row r="90" spans="1:117">
      <c r="A90" s="73"/>
      <c r="B90" s="73"/>
      <c r="C90" s="738"/>
      <c r="D90" s="738" t="s">
        <v>1289</v>
      </c>
      <c r="E90" s="3262">
        <v>0</v>
      </c>
      <c r="F90" s="3262">
        <v>0</v>
      </c>
      <c r="G90" s="3262">
        <v>4</v>
      </c>
      <c r="H90" s="3262">
        <v>2</v>
      </c>
      <c r="I90" s="3262">
        <v>0</v>
      </c>
      <c r="J90" s="4674">
        <v>0</v>
      </c>
      <c r="K90" s="4674"/>
      <c r="L90" s="4674"/>
      <c r="M90" s="4674">
        <v>6</v>
      </c>
      <c r="N90" s="73"/>
      <c r="AC90" s="161"/>
      <c r="AF90" s="73" t="s">
        <v>1289</v>
      </c>
      <c r="AG90" s="2600">
        <v>2</v>
      </c>
      <c r="AH90" s="2600">
        <v>1</v>
      </c>
      <c r="AI90" s="2600">
        <v>2</v>
      </c>
      <c r="AJ90" s="2600">
        <v>0</v>
      </c>
      <c r="AK90" s="161">
        <v>0</v>
      </c>
      <c r="AL90" s="161">
        <v>0</v>
      </c>
      <c r="AM90" s="161">
        <v>5</v>
      </c>
      <c r="AQ90" s="73"/>
      <c r="AR90" s="73" t="s">
        <v>1965</v>
      </c>
      <c r="AS90" s="73"/>
      <c r="AT90" s="73"/>
      <c r="AU90" s="73"/>
      <c r="AV90" s="73"/>
      <c r="AW90" s="73"/>
      <c r="AX90" s="73"/>
      <c r="AY90" s="73"/>
      <c r="AZ90" s="73"/>
      <c r="BA90" s="73"/>
      <c r="BC90" s="774"/>
      <c r="BD90" s="774"/>
      <c r="BE90" s="775"/>
      <c r="BF90" s="798" t="s">
        <v>15</v>
      </c>
      <c r="BG90" s="800"/>
      <c r="BH90" s="799">
        <v>1</v>
      </c>
      <c r="BI90" s="799">
        <v>1</v>
      </c>
      <c r="BJ90" s="800"/>
      <c r="BK90" s="801"/>
      <c r="BL90" s="802">
        <v>2</v>
      </c>
      <c r="BM90" s="803">
        <f>+BL89/BL90</f>
        <v>0.5</v>
      </c>
      <c r="BO90" s="780"/>
      <c r="BP90" s="780"/>
      <c r="BQ90" s="781"/>
      <c r="BR90" s="804" t="s">
        <v>15</v>
      </c>
      <c r="BS90" s="806"/>
      <c r="BT90" s="806"/>
      <c r="BU90" s="805">
        <v>3</v>
      </c>
      <c r="BV90" s="806"/>
      <c r="BW90" s="807"/>
      <c r="BX90" s="807"/>
      <c r="BY90" s="808">
        <v>3</v>
      </c>
      <c r="BZ90" s="787">
        <f>+BY89/BY90</f>
        <v>0.66666666666666663</v>
      </c>
      <c r="CB90" s="788"/>
      <c r="CC90" s="788"/>
      <c r="CD90" s="788"/>
      <c r="CE90" s="809"/>
      <c r="CF90" s="4898" t="s">
        <v>1373</v>
      </c>
      <c r="CG90" s="4898"/>
      <c r="CH90" s="4898"/>
      <c r="CI90" s="4898"/>
      <c r="CJ90" s="4898"/>
      <c r="CK90" s="811"/>
      <c r="CN90" s="74"/>
      <c r="CO90" s="74"/>
      <c r="CP90" s="74"/>
      <c r="CQ90" s="761" t="s">
        <v>332</v>
      </c>
      <c r="CR90" s="4898" t="s">
        <v>1373</v>
      </c>
      <c r="CS90" s="4898"/>
      <c r="CT90" s="4898"/>
      <c r="CU90" s="4898"/>
      <c r="CV90" s="4898"/>
      <c r="CW90" s="761"/>
      <c r="CX90" s="74"/>
      <c r="CY90" s="74"/>
      <c r="CZ90" s="793"/>
      <c r="DA90" s="794"/>
      <c r="DB90" s="793"/>
      <c r="DC90" s="793"/>
      <c r="DD90" s="793"/>
      <c r="DE90" s="793"/>
      <c r="DF90" s="793"/>
      <c r="DG90" s="793"/>
      <c r="DH90" s="793"/>
      <c r="DI90" s="793"/>
      <c r="DJ90" s="793"/>
      <c r="DK90" s="793"/>
      <c r="DL90" s="793"/>
      <c r="DM90" s="74"/>
    </row>
    <row r="91" spans="1:117" ht="26.25" thickBot="1">
      <c r="A91" s="73"/>
      <c r="B91" s="73"/>
      <c r="C91" s="738"/>
      <c r="D91" s="738" t="s">
        <v>1292</v>
      </c>
      <c r="E91" s="3262">
        <v>0</v>
      </c>
      <c r="F91" s="3262">
        <v>0</v>
      </c>
      <c r="G91" s="3262">
        <v>0</v>
      </c>
      <c r="H91" s="3262">
        <v>0</v>
      </c>
      <c r="I91" s="3262">
        <v>0</v>
      </c>
      <c r="J91" s="4674">
        <v>1</v>
      </c>
      <c r="K91" s="4674"/>
      <c r="L91" s="4674"/>
      <c r="M91" s="4674">
        <v>1</v>
      </c>
      <c r="N91" s="73"/>
      <c r="AC91" s="161"/>
      <c r="AF91" s="73" t="s">
        <v>1292</v>
      </c>
      <c r="AG91" s="2600">
        <v>0</v>
      </c>
      <c r="AH91" s="2600">
        <v>0</v>
      </c>
      <c r="AI91" s="2600">
        <v>0</v>
      </c>
      <c r="AJ91" s="2600">
        <v>0</v>
      </c>
      <c r="AK91" s="161">
        <v>2</v>
      </c>
      <c r="AL91" s="161">
        <v>1</v>
      </c>
      <c r="AM91" s="161">
        <v>3</v>
      </c>
      <c r="AP91" s="2466" t="s">
        <v>1966</v>
      </c>
      <c r="BC91" s="774"/>
      <c r="BD91" s="774"/>
      <c r="BE91" s="775" t="s">
        <v>577</v>
      </c>
      <c r="BF91" s="776" t="s">
        <v>1286</v>
      </c>
      <c r="BG91" s="778"/>
      <c r="BH91" s="777">
        <v>1</v>
      </c>
      <c r="BI91" s="777">
        <v>0</v>
      </c>
      <c r="BJ91" s="778"/>
      <c r="BK91" s="774"/>
      <c r="BL91" s="779">
        <v>1</v>
      </c>
      <c r="BM91" s="73"/>
      <c r="BO91" s="780"/>
      <c r="BP91" s="780"/>
      <c r="BQ91" s="804" t="s">
        <v>577</v>
      </c>
      <c r="BR91" s="782" t="s">
        <v>1284</v>
      </c>
      <c r="BS91" s="784"/>
      <c r="BT91" s="784"/>
      <c r="BU91" s="783">
        <v>1</v>
      </c>
      <c r="BV91" s="784"/>
      <c r="BW91" s="785"/>
      <c r="BX91" s="785"/>
      <c r="BY91" s="786">
        <v>1</v>
      </c>
      <c r="BZ91" s="787"/>
      <c r="CB91" s="788"/>
      <c r="CD91" s="835" t="s">
        <v>0</v>
      </c>
      <c r="CE91" s="835" t="s">
        <v>1282</v>
      </c>
      <c r="CF91" s="835">
        <v>1</v>
      </c>
      <c r="CG91" s="835">
        <v>2</v>
      </c>
      <c r="CH91" s="835">
        <v>3</v>
      </c>
      <c r="CI91" s="835">
        <v>4</v>
      </c>
      <c r="CJ91" s="835">
        <v>5</v>
      </c>
      <c r="CK91" s="835" t="s">
        <v>15</v>
      </c>
      <c r="CL91" s="836" t="s">
        <v>66</v>
      </c>
      <c r="CN91" s="74"/>
      <c r="CO91" s="74"/>
      <c r="CP91" s="88" t="s">
        <v>0</v>
      </c>
      <c r="CQ91" s="88" t="s">
        <v>1282</v>
      </c>
      <c r="CR91" s="88">
        <v>1</v>
      </c>
      <c r="CS91" s="88">
        <v>2</v>
      </c>
      <c r="CT91" s="88">
        <v>3</v>
      </c>
      <c r="CU91" s="88">
        <v>4</v>
      </c>
      <c r="CV91" s="88">
        <v>5</v>
      </c>
      <c r="CW91" s="88" t="s">
        <v>15</v>
      </c>
      <c r="CX91" s="88" t="s">
        <v>66</v>
      </c>
      <c r="CY91" s="74"/>
      <c r="CZ91" s="793"/>
      <c r="DA91" s="794"/>
      <c r="DB91" s="846" t="s">
        <v>0</v>
      </c>
      <c r="DC91" s="847" t="s">
        <v>1375</v>
      </c>
      <c r="DD91" s="846">
        <v>0</v>
      </c>
      <c r="DE91" s="846">
        <v>1</v>
      </c>
      <c r="DF91" s="846">
        <v>2</v>
      </c>
      <c r="DG91" s="846">
        <v>3</v>
      </c>
      <c r="DH91" s="846">
        <v>4</v>
      </c>
      <c r="DI91" s="846">
        <v>5</v>
      </c>
      <c r="DJ91" s="846" t="s">
        <v>15</v>
      </c>
      <c r="DK91" s="846" t="s">
        <v>66</v>
      </c>
      <c r="DL91" s="846" t="s">
        <v>1376</v>
      </c>
      <c r="DM91" s="74"/>
    </row>
    <row r="92" spans="1:117">
      <c r="A92" s="73"/>
      <c r="B92" s="73"/>
      <c r="C92" s="738"/>
      <c r="D92" s="738" t="s">
        <v>1936</v>
      </c>
      <c r="E92" s="3262">
        <v>1</v>
      </c>
      <c r="F92" s="3262">
        <v>0</v>
      </c>
      <c r="G92" s="3262">
        <v>0</v>
      </c>
      <c r="H92" s="3262">
        <v>0</v>
      </c>
      <c r="I92" s="3262">
        <v>0</v>
      </c>
      <c r="J92" s="4674">
        <v>0</v>
      </c>
      <c r="K92" s="4674"/>
      <c r="L92" s="4674"/>
      <c r="M92" s="4674">
        <v>1</v>
      </c>
      <c r="N92" s="73"/>
      <c r="AC92" s="161"/>
      <c r="AF92" s="73" t="s">
        <v>1293</v>
      </c>
      <c r="AG92" s="2600">
        <v>0</v>
      </c>
      <c r="AH92" s="2600">
        <v>0</v>
      </c>
      <c r="AI92" s="2600">
        <v>14</v>
      </c>
      <c r="AJ92" s="2600">
        <v>1</v>
      </c>
      <c r="AK92" s="161">
        <v>0</v>
      </c>
      <c r="AL92" s="161">
        <v>0</v>
      </c>
      <c r="AM92" s="161">
        <v>15</v>
      </c>
      <c r="BC92" s="774"/>
      <c r="BD92" s="774"/>
      <c r="BE92" s="775"/>
      <c r="BF92" s="776" t="s">
        <v>1377</v>
      </c>
      <c r="BG92" s="778"/>
      <c r="BH92" s="777">
        <v>0</v>
      </c>
      <c r="BI92" s="777">
        <v>1</v>
      </c>
      <c r="BJ92" s="778"/>
      <c r="BK92" s="774"/>
      <c r="BL92" s="779">
        <v>1</v>
      </c>
      <c r="BM92" s="73"/>
      <c r="BO92" s="780"/>
      <c r="BP92" s="780"/>
      <c r="BQ92" s="781"/>
      <c r="BR92" s="782" t="s">
        <v>1377</v>
      </c>
      <c r="BS92" s="784"/>
      <c r="BT92" s="784"/>
      <c r="BU92" s="783">
        <v>2</v>
      </c>
      <c r="BV92" s="784"/>
      <c r="BW92" s="785"/>
      <c r="BX92" s="785"/>
      <c r="BY92" s="786">
        <v>2</v>
      </c>
      <c r="BZ92" s="787"/>
      <c r="CB92" s="788"/>
      <c r="CC92" s="788"/>
      <c r="CD92" s="788" t="s">
        <v>107</v>
      </c>
      <c r="CE92" s="789" t="s">
        <v>1284</v>
      </c>
      <c r="CF92" s="791">
        <v>1</v>
      </c>
      <c r="CG92" s="790"/>
      <c r="CH92" s="791">
        <v>3</v>
      </c>
      <c r="CI92" s="790"/>
      <c r="CJ92" s="790"/>
      <c r="CK92" s="791">
        <v>4</v>
      </c>
      <c r="CL92" s="792"/>
      <c r="CN92" s="74"/>
      <c r="CO92" s="74"/>
      <c r="CP92" s="121" t="s">
        <v>3</v>
      </c>
      <c r="CQ92" s="74" t="s">
        <v>1283</v>
      </c>
      <c r="CR92" s="74">
        <v>0</v>
      </c>
      <c r="CS92" s="74">
        <v>0</v>
      </c>
      <c r="CT92" s="74">
        <v>0</v>
      </c>
      <c r="CU92" s="74">
        <v>0</v>
      </c>
      <c r="CV92" s="74">
        <v>29</v>
      </c>
      <c r="CW92" s="74">
        <v>29</v>
      </c>
      <c r="CX92" s="74"/>
      <c r="CY92" s="74"/>
      <c r="CZ92" s="793"/>
      <c r="DA92" s="794"/>
      <c r="DB92" s="793" t="s">
        <v>3</v>
      </c>
      <c r="DC92" s="793" t="s">
        <v>1283</v>
      </c>
      <c r="DD92" s="793">
        <v>0</v>
      </c>
      <c r="DE92" s="793">
        <v>0</v>
      </c>
      <c r="DF92" s="793">
        <v>0</v>
      </c>
      <c r="DG92" s="793">
        <v>1</v>
      </c>
      <c r="DH92" s="793">
        <v>2</v>
      </c>
      <c r="DI92" s="793">
        <v>9</v>
      </c>
      <c r="DJ92" s="793">
        <v>12</v>
      </c>
      <c r="DK92" s="793"/>
      <c r="DL92" s="795"/>
      <c r="DM92" s="74"/>
    </row>
    <row r="93" spans="1:117">
      <c r="A93" s="73"/>
      <c r="B93" s="73"/>
      <c r="C93" s="738"/>
      <c r="D93" s="738" t="s">
        <v>1293</v>
      </c>
      <c r="E93" s="3262">
        <v>0</v>
      </c>
      <c r="F93" s="3262">
        <v>0</v>
      </c>
      <c r="G93" s="3262">
        <v>0</v>
      </c>
      <c r="H93" s="3262">
        <v>15</v>
      </c>
      <c r="I93" s="3262">
        <v>22</v>
      </c>
      <c r="J93" s="4674">
        <v>0</v>
      </c>
      <c r="K93" s="4674"/>
      <c r="L93" s="4674"/>
      <c r="M93" s="4674">
        <v>37</v>
      </c>
      <c r="N93" s="73"/>
      <c r="AC93" s="161"/>
      <c r="AF93" s="73" t="s">
        <v>1377</v>
      </c>
      <c r="AG93" s="2600">
        <v>0</v>
      </c>
      <c r="AH93" s="2600">
        <v>0</v>
      </c>
      <c r="AI93" s="2600">
        <v>55</v>
      </c>
      <c r="AJ93" s="2600">
        <v>1</v>
      </c>
      <c r="AK93" s="161">
        <v>1</v>
      </c>
      <c r="AL93" s="161">
        <v>0</v>
      </c>
      <c r="AM93" s="161">
        <v>57</v>
      </c>
      <c r="BC93" s="774"/>
      <c r="BD93" s="774"/>
      <c r="BE93" s="775"/>
      <c r="BF93" s="798" t="s">
        <v>15</v>
      </c>
      <c r="BG93" s="800"/>
      <c r="BH93" s="799">
        <v>1</v>
      </c>
      <c r="BI93" s="799">
        <v>1</v>
      </c>
      <c r="BJ93" s="800"/>
      <c r="BK93" s="801"/>
      <c r="BL93" s="802">
        <v>2</v>
      </c>
      <c r="BM93" s="803">
        <f>+BL92/BL93</f>
        <v>0.5</v>
      </c>
      <c r="BO93" s="780"/>
      <c r="BP93" s="780"/>
      <c r="BQ93" s="781"/>
      <c r="BR93" s="804" t="s">
        <v>577</v>
      </c>
      <c r="BS93" s="806"/>
      <c r="BT93" s="806"/>
      <c r="BU93" s="805">
        <v>3</v>
      </c>
      <c r="BV93" s="806"/>
      <c r="BW93" s="807"/>
      <c r="BX93" s="807"/>
      <c r="BY93" s="808">
        <v>3</v>
      </c>
      <c r="BZ93" s="787">
        <f>+BY92/BY93</f>
        <v>0.66666666666666663</v>
      </c>
      <c r="CB93" s="788"/>
      <c r="CC93" s="788"/>
      <c r="CD93" s="788"/>
      <c r="CE93" s="789" t="s">
        <v>1288</v>
      </c>
      <c r="CF93" s="791">
        <v>0</v>
      </c>
      <c r="CG93" s="790"/>
      <c r="CH93" s="791">
        <v>7</v>
      </c>
      <c r="CI93" s="790"/>
      <c r="CJ93" s="790"/>
      <c r="CK93" s="791">
        <v>7</v>
      </c>
      <c r="CL93" s="792"/>
      <c r="CN93" s="74"/>
      <c r="CO93" s="74"/>
      <c r="CP93" s="121"/>
      <c r="CQ93" s="74" t="s">
        <v>1284</v>
      </c>
      <c r="CR93" s="74">
        <v>2</v>
      </c>
      <c r="CS93" s="74">
        <v>6</v>
      </c>
      <c r="CT93" s="74">
        <v>8</v>
      </c>
      <c r="CU93" s="74">
        <v>0</v>
      </c>
      <c r="CV93" s="74">
        <v>0</v>
      </c>
      <c r="CW93" s="74">
        <v>16</v>
      </c>
      <c r="CX93" s="74"/>
      <c r="CY93" s="74"/>
      <c r="CZ93" s="793"/>
      <c r="DA93" s="794"/>
      <c r="DB93" s="793"/>
      <c r="DC93" s="793" t="s">
        <v>1284</v>
      </c>
      <c r="DD93" s="793">
        <v>0</v>
      </c>
      <c r="DE93" s="793">
        <v>3</v>
      </c>
      <c r="DF93" s="793">
        <v>4</v>
      </c>
      <c r="DG93" s="793">
        <v>13</v>
      </c>
      <c r="DH93" s="793">
        <v>1</v>
      </c>
      <c r="DI93" s="793">
        <v>0</v>
      </c>
      <c r="DJ93" s="793">
        <v>21</v>
      </c>
      <c r="DK93" s="793"/>
      <c r="DL93" s="795"/>
      <c r="DM93" s="74"/>
    </row>
    <row r="94" spans="1:117" ht="15.75" thickBot="1">
      <c r="A94" s="73"/>
      <c r="B94" s="73"/>
      <c r="C94" s="738"/>
      <c r="D94" s="738" t="s">
        <v>1377</v>
      </c>
      <c r="E94" s="3262">
        <v>0</v>
      </c>
      <c r="F94" s="3262">
        <v>0</v>
      </c>
      <c r="G94" s="3262">
        <v>0</v>
      </c>
      <c r="H94" s="3262">
        <v>47</v>
      </c>
      <c r="I94" s="3262">
        <v>6</v>
      </c>
      <c r="J94" s="4674">
        <v>0</v>
      </c>
      <c r="K94" s="4674"/>
      <c r="L94" s="4674">
        <v>5</v>
      </c>
      <c r="M94" s="4674">
        <v>58</v>
      </c>
      <c r="N94" s="73"/>
      <c r="AC94" s="741"/>
      <c r="AD94" s="741"/>
      <c r="AE94" s="746"/>
      <c r="AF94" s="742" t="s">
        <v>114</v>
      </c>
      <c r="AG94" s="2599">
        <v>9</v>
      </c>
      <c r="AH94" s="2599">
        <v>4</v>
      </c>
      <c r="AI94" s="2599">
        <v>89</v>
      </c>
      <c r="AJ94" s="2599">
        <v>10</v>
      </c>
      <c r="AK94" s="743">
        <v>46</v>
      </c>
      <c r="AL94" s="743">
        <v>2</v>
      </c>
      <c r="AM94" s="743">
        <v>160</v>
      </c>
      <c r="AN94" s="2586">
        <f>+(AM89+AM92+AM93-AK89-AL89-AK93)/AM94</f>
        <v>0.5</v>
      </c>
      <c r="BC94" s="774"/>
      <c r="BD94" s="774"/>
      <c r="BE94" s="775" t="s">
        <v>265</v>
      </c>
      <c r="BF94" s="776" t="s">
        <v>1286</v>
      </c>
      <c r="BG94" s="778"/>
      <c r="BH94" s="777">
        <v>1</v>
      </c>
      <c r="BI94" s="777">
        <v>0</v>
      </c>
      <c r="BJ94" s="778"/>
      <c r="BK94" s="774"/>
      <c r="BL94" s="779">
        <v>1</v>
      </c>
      <c r="BM94" s="73"/>
      <c r="BO94" s="780"/>
      <c r="BP94" s="780"/>
      <c r="BQ94" s="804" t="s">
        <v>265</v>
      </c>
      <c r="BR94" s="782" t="s">
        <v>1284</v>
      </c>
      <c r="BS94" s="784"/>
      <c r="BT94" s="784"/>
      <c r="BU94" s="783">
        <v>1</v>
      </c>
      <c r="BV94" s="784"/>
      <c r="BW94" s="785"/>
      <c r="BX94" s="785"/>
      <c r="BY94" s="786">
        <v>1</v>
      </c>
      <c r="BZ94" s="787"/>
      <c r="CB94" s="788"/>
      <c r="CC94" s="788"/>
      <c r="CD94" s="788"/>
      <c r="CE94" s="789" t="s">
        <v>1293</v>
      </c>
      <c r="CF94" s="791">
        <v>0</v>
      </c>
      <c r="CG94" s="790"/>
      <c r="CH94" s="791">
        <v>10</v>
      </c>
      <c r="CI94" s="790"/>
      <c r="CJ94" s="790"/>
      <c r="CK94" s="791">
        <v>10</v>
      </c>
      <c r="CL94" s="792"/>
      <c r="CN94" s="74"/>
      <c r="CO94" s="74"/>
      <c r="CP94" s="121"/>
      <c r="CQ94" s="74" t="s">
        <v>1286</v>
      </c>
      <c r="CR94" s="74">
        <v>0</v>
      </c>
      <c r="CS94" s="74">
        <v>1</v>
      </c>
      <c r="CT94" s="74">
        <v>0</v>
      </c>
      <c r="CU94" s="74">
        <v>0</v>
      </c>
      <c r="CV94" s="74">
        <v>0</v>
      </c>
      <c r="CW94" s="74">
        <v>1</v>
      </c>
      <c r="CX94" s="74"/>
      <c r="CY94" s="74"/>
      <c r="CZ94" s="793"/>
      <c r="DA94" s="794"/>
      <c r="DB94" s="793"/>
      <c r="DC94" s="793" t="s">
        <v>1288</v>
      </c>
      <c r="DD94" s="793">
        <v>0</v>
      </c>
      <c r="DE94" s="793">
        <v>0</v>
      </c>
      <c r="DF94" s="793">
        <v>0</v>
      </c>
      <c r="DG94" s="793">
        <v>2</v>
      </c>
      <c r="DH94" s="793">
        <v>1</v>
      </c>
      <c r="DI94" s="793">
        <v>0</v>
      </c>
      <c r="DJ94" s="793">
        <v>3</v>
      </c>
      <c r="DK94" s="793"/>
      <c r="DL94" s="795"/>
      <c r="DM94" s="74"/>
    </row>
    <row r="95" spans="1:117" ht="15.75" thickBot="1">
      <c r="A95" s="746"/>
      <c r="B95" s="746"/>
      <c r="C95" s="742"/>
      <c r="D95" s="742" t="s">
        <v>114</v>
      </c>
      <c r="E95" s="3260">
        <v>1</v>
      </c>
      <c r="F95" s="3260">
        <v>4</v>
      </c>
      <c r="G95" s="3260">
        <v>6</v>
      </c>
      <c r="H95" s="3260">
        <v>83</v>
      </c>
      <c r="I95" s="3260">
        <v>33</v>
      </c>
      <c r="J95" s="743">
        <v>11</v>
      </c>
      <c r="K95" s="743"/>
      <c r="L95" s="743">
        <v>5</v>
      </c>
      <c r="M95" s="743">
        <v>143</v>
      </c>
      <c r="N95" s="2586">
        <f>+(M94+M93+M89-J89)/M95</f>
        <v>0.70629370629370625</v>
      </c>
      <c r="BC95" s="774"/>
      <c r="BD95" s="774"/>
      <c r="BE95" s="775"/>
      <c r="BF95" s="776" t="s">
        <v>1377</v>
      </c>
      <c r="BG95" s="778"/>
      <c r="BH95" s="777">
        <v>0</v>
      </c>
      <c r="BI95" s="777">
        <v>1</v>
      </c>
      <c r="BJ95" s="778"/>
      <c r="BK95" s="774"/>
      <c r="BL95" s="779">
        <v>1</v>
      </c>
      <c r="BM95" s="73"/>
      <c r="BO95" s="780"/>
      <c r="BP95" s="780"/>
      <c r="BQ95" s="781"/>
      <c r="BR95" s="782" t="s">
        <v>1377</v>
      </c>
      <c r="BS95" s="784"/>
      <c r="BT95" s="784"/>
      <c r="BU95" s="783">
        <v>2</v>
      </c>
      <c r="BV95" s="784"/>
      <c r="BW95" s="785"/>
      <c r="BX95" s="785"/>
      <c r="BY95" s="786">
        <v>2</v>
      </c>
      <c r="BZ95" s="787"/>
      <c r="CB95" s="788"/>
      <c r="CC95" s="788"/>
      <c r="CD95" s="788"/>
      <c r="CE95" s="789" t="s">
        <v>1377</v>
      </c>
      <c r="CF95" s="791">
        <v>0</v>
      </c>
      <c r="CG95" s="790"/>
      <c r="CH95" s="791">
        <v>5</v>
      </c>
      <c r="CI95" s="790"/>
      <c r="CJ95" s="790"/>
      <c r="CK95" s="791">
        <v>5</v>
      </c>
      <c r="CL95" s="792"/>
      <c r="CN95" s="74"/>
      <c r="CO95" s="74"/>
      <c r="CP95" s="121"/>
      <c r="CQ95" s="74" t="s">
        <v>1288</v>
      </c>
      <c r="CR95" s="74">
        <v>0</v>
      </c>
      <c r="CS95" s="74">
        <v>0</v>
      </c>
      <c r="CT95" s="74">
        <v>3</v>
      </c>
      <c r="CU95" s="74">
        <v>7</v>
      </c>
      <c r="CV95" s="74">
        <v>0</v>
      </c>
      <c r="CW95" s="74">
        <v>10</v>
      </c>
      <c r="CX95" s="74"/>
      <c r="CY95" s="74"/>
      <c r="CZ95" s="793"/>
      <c r="DA95" s="794"/>
      <c r="DB95" s="793"/>
      <c r="DC95" s="793" t="s">
        <v>1289</v>
      </c>
      <c r="DD95" s="793">
        <v>0</v>
      </c>
      <c r="DE95" s="793">
        <v>0</v>
      </c>
      <c r="DF95" s="793">
        <v>1</v>
      </c>
      <c r="DG95" s="793">
        <v>0</v>
      </c>
      <c r="DH95" s="793">
        <v>0</v>
      </c>
      <c r="DI95" s="793">
        <v>0</v>
      </c>
      <c r="DJ95" s="793">
        <v>1</v>
      </c>
      <c r="DK95" s="793"/>
      <c r="DL95" s="795"/>
      <c r="DM95" s="74"/>
    </row>
    <row r="96" spans="1:117">
      <c r="A96" s="2605" t="s">
        <v>3960</v>
      </c>
      <c r="B96" s="73"/>
      <c r="C96" s="73"/>
      <c r="D96" s="73"/>
      <c r="E96" s="73"/>
      <c r="F96" s="73"/>
      <c r="G96" s="73"/>
      <c r="H96" s="73"/>
      <c r="I96" s="73"/>
      <c r="J96" s="73"/>
      <c r="K96" s="73"/>
      <c r="L96" s="73"/>
      <c r="M96" s="73"/>
      <c r="N96" s="73"/>
      <c r="BC96" s="774"/>
      <c r="BD96" s="774"/>
      <c r="BE96" s="775"/>
      <c r="BF96" s="798" t="s">
        <v>265</v>
      </c>
      <c r="BG96" s="800"/>
      <c r="BH96" s="799">
        <v>1</v>
      </c>
      <c r="BI96" s="799">
        <v>1</v>
      </c>
      <c r="BJ96" s="800"/>
      <c r="BK96" s="801"/>
      <c r="BL96" s="802">
        <v>2</v>
      </c>
      <c r="BM96" s="803">
        <f>+BL95/BL96</f>
        <v>0.5</v>
      </c>
      <c r="BO96" s="780"/>
      <c r="BP96" s="780"/>
      <c r="BQ96" s="781"/>
      <c r="BR96" s="804" t="s">
        <v>265</v>
      </c>
      <c r="BS96" s="806"/>
      <c r="BT96" s="806"/>
      <c r="BU96" s="805">
        <v>3</v>
      </c>
      <c r="BV96" s="806"/>
      <c r="BW96" s="807"/>
      <c r="BX96" s="807"/>
      <c r="BY96" s="808">
        <v>3</v>
      </c>
      <c r="BZ96" s="787">
        <f>+BY95/BY96</f>
        <v>0.66666666666666663</v>
      </c>
      <c r="CB96" s="788"/>
      <c r="CC96" s="788"/>
      <c r="CD96" s="788"/>
      <c r="CE96" s="809" t="s">
        <v>107</v>
      </c>
      <c r="CF96" s="811">
        <v>1</v>
      </c>
      <c r="CG96" s="810"/>
      <c r="CH96" s="811">
        <v>25</v>
      </c>
      <c r="CI96" s="810"/>
      <c r="CJ96" s="810"/>
      <c r="CK96" s="811">
        <v>26</v>
      </c>
      <c r="CL96" s="812">
        <f>+(CK95+CK94+CK93)/CK96</f>
        <v>0.84615384615384615</v>
      </c>
      <c r="CN96" s="74"/>
      <c r="CO96" s="74"/>
      <c r="CP96" s="121"/>
      <c r="CQ96" s="74" t="s">
        <v>1289</v>
      </c>
      <c r="CR96" s="74">
        <v>0</v>
      </c>
      <c r="CS96" s="74">
        <v>0</v>
      </c>
      <c r="CT96" s="74">
        <v>0</v>
      </c>
      <c r="CU96" s="74">
        <v>1</v>
      </c>
      <c r="CV96" s="74">
        <v>0</v>
      </c>
      <c r="CW96" s="74">
        <v>1</v>
      </c>
      <c r="CX96" s="74"/>
      <c r="CY96" s="74"/>
      <c r="CZ96" s="793"/>
      <c r="DA96" s="794"/>
      <c r="DB96" s="793"/>
      <c r="DC96" s="793" t="s">
        <v>1292</v>
      </c>
      <c r="DD96" s="793">
        <v>0</v>
      </c>
      <c r="DE96" s="793">
        <v>0</v>
      </c>
      <c r="DF96" s="793">
        <v>0</v>
      </c>
      <c r="DG96" s="793">
        <v>0</v>
      </c>
      <c r="DH96" s="793">
        <v>1</v>
      </c>
      <c r="DI96" s="793">
        <v>1</v>
      </c>
      <c r="DJ96" s="793">
        <v>2</v>
      </c>
      <c r="DK96" s="793"/>
      <c r="DL96" s="795"/>
      <c r="DM96" s="74"/>
    </row>
    <row r="97" spans="55:117">
      <c r="BC97" s="774"/>
      <c r="BD97" s="774"/>
      <c r="BE97" s="775" t="s">
        <v>114</v>
      </c>
      <c r="BF97" s="776" t="s">
        <v>1283</v>
      </c>
      <c r="BG97" s="777">
        <v>0</v>
      </c>
      <c r="BH97" s="777">
        <v>0</v>
      </c>
      <c r="BI97" s="777">
        <v>0</v>
      </c>
      <c r="BJ97" s="777">
        <v>1</v>
      </c>
      <c r="BK97" s="779">
        <v>22</v>
      </c>
      <c r="BL97" s="779">
        <v>23</v>
      </c>
      <c r="BM97" s="73"/>
      <c r="BO97" s="780"/>
      <c r="BP97" s="780"/>
      <c r="BQ97" s="804" t="s">
        <v>114</v>
      </c>
      <c r="BR97" s="782" t="s">
        <v>1283</v>
      </c>
      <c r="BS97" s="783">
        <v>0</v>
      </c>
      <c r="BT97" s="783">
        <v>0</v>
      </c>
      <c r="BU97" s="783">
        <v>0</v>
      </c>
      <c r="BV97" s="783">
        <v>0</v>
      </c>
      <c r="BW97" s="786">
        <v>39</v>
      </c>
      <c r="BX97" s="786">
        <v>0</v>
      </c>
      <c r="BY97" s="786">
        <v>39</v>
      </c>
      <c r="BZ97" s="787"/>
      <c r="CB97" s="788"/>
      <c r="CC97" s="788"/>
      <c r="CD97" s="788"/>
      <c r="CE97" s="809"/>
      <c r="CF97" s="811"/>
      <c r="CG97" s="811"/>
      <c r="CH97" s="811"/>
      <c r="CI97" s="811"/>
      <c r="CJ97" s="811"/>
      <c r="CK97" s="811"/>
      <c r="CN97" s="74"/>
      <c r="CO97" s="74"/>
      <c r="CP97" s="121"/>
      <c r="CQ97" s="74" t="s">
        <v>1292</v>
      </c>
      <c r="CR97" s="74">
        <v>0</v>
      </c>
      <c r="CS97" s="74">
        <v>0</v>
      </c>
      <c r="CT97" s="74">
        <v>0</v>
      </c>
      <c r="CU97" s="74">
        <v>0</v>
      </c>
      <c r="CV97" s="74">
        <v>1</v>
      </c>
      <c r="CW97" s="74">
        <v>1</v>
      </c>
      <c r="CX97" s="74"/>
      <c r="CY97" s="74"/>
      <c r="CZ97" s="793"/>
      <c r="DA97" s="794"/>
      <c r="DB97" s="793"/>
      <c r="DC97" s="793" t="s">
        <v>1293</v>
      </c>
      <c r="DD97" s="793">
        <v>0</v>
      </c>
      <c r="DE97" s="793">
        <v>0</v>
      </c>
      <c r="DF97" s="793">
        <v>0</v>
      </c>
      <c r="DG97" s="793">
        <v>1</v>
      </c>
      <c r="DH97" s="793">
        <v>20</v>
      </c>
      <c r="DI97" s="793">
        <v>0</v>
      </c>
      <c r="DJ97" s="793">
        <v>21</v>
      </c>
      <c r="DK97" s="793"/>
      <c r="DL97" s="795"/>
      <c r="DM97" s="74"/>
    </row>
    <row r="98" spans="55:117">
      <c r="BC98" s="774"/>
      <c r="BD98" s="774"/>
      <c r="BE98" s="775"/>
      <c r="BF98" s="776" t="s">
        <v>1284</v>
      </c>
      <c r="BG98" s="777">
        <v>4</v>
      </c>
      <c r="BH98" s="777">
        <v>4</v>
      </c>
      <c r="BI98" s="777">
        <v>8</v>
      </c>
      <c r="BJ98" s="777">
        <v>1</v>
      </c>
      <c r="BK98" s="779">
        <v>0</v>
      </c>
      <c r="BL98" s="779">
        <v>17</v>
      </c>
      <c r="BM98" s="73"/>
      <c r="BO98" s="780"/>
      <c r="BP98" s="780"/>
      <c r="BQ98" s="781"/>
      <c r="BR98" s="782" t="s">
        <v>1284</v>
      </c>
      <c r="BS98" s="783">
        <v>7</v>
      </c>
      <c r="BT98" s="783">
        <v>3</v>
      </c>
      <c r="BU98" s="783">
        <v>12</v>
      </c>
      <c r="BV98" s="783">
        <v>3</v>
      </c>
      <c r="BW98" s="786">
        <v>0</v>
      </c>
      <c r="BX98" s="786">
        <v>0</v>
      </c>
      <c r="BY98" s="786">
        <v>25</v>
      </c>
      <c r="BZ98" s="787"/>
      <c r="CB98" s="788"/>
      <c r="CC98" s="788"/>
      <c r="CF98" s="191"/>
      <c r="CG98" s="191"/>
      <c r="CH98" s="191"/>
      <c r="CI98" s="191"/>
      <c r="CJ98" s="191"/>
      <c r="CK98" s="191"/>
      <c r="CN98" s="74"/>
      <c r="CO98" s="74"/>
      <c r="CP98" s="121"/>
      <c r="CQ98" s="74" t="s">
        <v>1293</v>
      </c>
      <c r="CR98" s="74">
        <v>0</v>
      </c>
      <c r="CS98" s="74">
        <v>0</v>
      </c>
      <c r="CT98" s="74">
        <v>12</v>
      </c>
      <c r="CU98" s="74">
        <v>20</v>
      </c>
      <c r="CV98" s="74">
        <v>0</v>
      </c>
      <c r="CW98" s="74">
        <v>32</v>
      </c>
      <c r="CX98" s="74"/>
      <c r="CY98" s="74"/>
      <c r="CZ98" s="793"/>
      <c r="DA98" s="794"/>
      <c r="DB98" s="793"/>
      <c r="DC98" s="793" t="s">
        <v>1377</v>
      </c>
      <c r="DD98" s="793">
        <v>0</v>
      </c>
      <c r="DE98" s="793">
        <v>0</v>
      </c>
      <c r="DF98" s="793">
        <v>0</v>
      </c>
      <c r="DG98" s="793">
        <v>5</v>
      </c>
      <c r="DH98" s="793">
        <v>0</v>
      </c>
      <c r="DI98" s="793">
        <v>0</v>
      </c>
      <c r="DJ98" s="793">
        <v>5</v>
      </c>
      <c r="DK98" s="793"/>
      <c r="DL98" s="795"/>
      <c r="DM98" s="74"/>
    </row>
    <row r="99" spans="55:117">
      <c r="BC99" s="774"/>
      <c r="BD99" s="774"/>
      <c r="BE99" s="775"/>
      <c r="BF99" s="776" t="s">
        <v>1286</v>
      </c>
      <c r="BG99" s="777">
        <v>3</v>
      </c>
      <c r="BH99" s="777">
        <v>1</v>
      </c>
      <c r="BI99" s="777">
        <v>0</v>
      </c>
      <c r="BJ99" s="777">
        <v>0</v>
      </c>
      <c r="BK99" s="779">
        <v>0</v>
      </c>
      <c r="BL99" s="779">
        <v>4</v>
      </c>
      <c r="BM99" s="73"/>
      <c r="BO99" s="780"/>
      <c r="BP99" s="780"/>
      <c r="BQ99" s="781"/>
      <c r="BR99" s="782" t="s">
        <v>1286</v>
      </c>
      <c r="BS99" s="783">
        <v>1</v>
      </c>
      <c r="BT99" s="783">
        <v>2</v>
      </c>
      <c r="BU99" s="783">
        <v>1</v>
      </c>
      <c r="BV99" s="783">
        <v>0</v>
      </c>
      <c r="BW99" s="786">
        <v>0</v>
      </c>
      <c r="BX99" s="786">
        <v>0</v>
      </c>
      <c r="BY99" s="786">
        <v>4</v>
      </c>
      <c r="BZ99" s="787"/>
      <c r="CB99" s="788"/>
      <c r="CD99" s="788"/>
      <c r="CE99" s="789"/>
      <c r="CF99" s="791"/>
      <c r="CG99" s="791"/>
      <c r="CH99" s="791"/>
      <c r="CI99" s="791"/>
      <c r="CJ99" s="791"/>
      <c r="CK99" s="791"/>
      <c r="CN99" s="74"/>
      <c r="CO99" s="74"/>
      <c r="CP99" s="121"/>
      <c r="CQ99" s="74" t="s">
        <v>1377</v>
      </c>
      <c r="CR99" s="74">
        <v>0</v>
      </c>
      <c r="CS99" s="74">
        <v>0</v>
      </c>
      <c r="CT99" s="74">
        <v>5</v>
      </c>
      <c r="CU99" s="74">
        <v>1</v>
      </c>
      <c r="CV99" s="74">
        <v>0</v>
      </c>
      <c r="CW99" s="74">
        <v>6</v>
      </c>
      <c r="CX99" s="74"/>
      <c r="CY99" s="74"/>
      <c r="CZ99" s="793"/>
      <c r="DA99" s="794"/>
      <c r="DB99" s="793"/>
      <c r="DC99" s="796" t="s">
        <v>15</v>
      </c>
      <c r="DD99" s="796">
        <v>0</v>
      </c>
      <c r="DE99" s="796">
        <v>3</v>
      </c>
      <c r="DF99" s="796">
        <v>5</v>
      </c>
      <c r="DG99" s="796">
        <v>22</v>
      </c>
      <c r="DH99" s="796">
        <v>25</v>
      </c>
      <c r="DI99" s="796">
        <v>10</v>
      </c>
      <c r="DJ99" s="796">
        <v>65</v>
      </c>
      <c r="DK99" s="797">
        <f>+(DJ98+DJ97+DJ94)/DJ99</f>
        <v>0.44615384615384618</v>
      </c>
      <c r="DL99" s="795">
        <f>+DJ94+DJ97+DJ98</f>
        <v>29</v>
      </c>
      <c r="DM99" s="74"/>
    </row>
    <row r="100" spans="55:117">
      <c r="BC100" s="774"/>
      <c r="BD100" s="774"/>
      <c r="BE100" s="775"/>
      <c r="BF100" s="776" t="s">
        <v>1288</v>
      </c>
      <c r="BG100" s="777">
        <v>0</v>
      </c>
      <c r="BH100" s="777">
        <v>0</v>
      </c>
      <c r="BI100" s="777">
        <v>4</v>
      </c>
      <c r="BJ100" s="777">
        <v>4</v>
      </c>
      <c r="BK100" s="779">
        <v>0</v>
      </c>
      <c r="BL100" s="779">
        <v>8</v>
      </c>
      <c r="BM100" s="73"/>
      <c r="BO100" s="780"/>
      <c r="BP100" s="780"/>
      <c r="BQ100" s="781"/>
      <c r="BR100" s="782" t="s">
        <v>1288</v>
      </c>
      <c r="BS100" s="783">
        <v>0</v>
      </c>
      <c r="BT100" s="783">
        <v>0</v>
      </c>
      <c r="BU100" s="783">
        <v>40</v>
      </c>
      <c r="BV100" s="783">
        <v>4</v>
      </c>
      <c r="BW100" s="786">
        <v>1</v>
      </c>
      <c r="BX100" s="786">
        <v>1</v>
      </c>
      <c r="BY100" s="786">
        <v>46</v>
      </c>
      <c r="BZ100" s="787"/>
      <c r="CB100" s="788"/>
      <c r="CC100" s="788"/>
      <c r="CD100" s="788"/>
      <c r="CE100" s="789"/>
      <c r="CF100" s="791"/>
      <c r="CG100" s="791"/>
      <c r="CH100" s="791"/>
      <c r="CI100" s="791"/>
      <c r="CJ100" s="791"/>
      <c r="CK100" s="791"/>
      <c r="CN100" s="74"/>
      <c r="CO100" s="74"/>
      <c r="CP100" s="121"/>
      <c r="CQ100" s="761" t="s">
        <v>15</v>
      </c>
      <c r="CR100" s="761">
        <v>2</v>
      </c>
      <c r="CS100" s="761">
        <v>7</v>
      </c>
      <c r="CT100" s="761">
        <v>28</v>
      </c>
      <c r="CU100" s="761">
        <v>29</v>
      </c>
      <c r="CV100" s="761">
        <v>30</v>
      </c>
      <c r="CW100" s="761">
        <v>96</v>
      </c>
      <c r="CX100" s="813">
        <f>+(CW95+CW98+CW99)/CW100</f>
        <v>0.5</v>
      </c>
      <c r="CY100" s="74"/>
      <c r="CZ100" s="793"/>
      <c r="DA100" s="794"/>
      <c r="DB100" s="793" t="s">
        <v>25</v>
      </c>
      <c r="DC100" s="793" t="s">
        <v>1283</v>
      </c>
      <c r="DD100" s="793">
        <v>0</v>
      </c>
      <c r="DE100" s="793">
        <v>0</v>
      </c>
      <c r="DF100" s="793">
        <v>0</v>
      </c>
      <c r="DG100" s="793">
        <v>0</v>
      </c>
      <c r="DH100" s="793">
        <v>0</v>
      </c>
      <c r="DI100" s="793">
        <v>6</v>
      </c>
      <c r="DJ100" s="793">
        <v>6</v>
      </c>
      <c r="DK100" s="793"/>
      <c r="DL100" s="795"/>
      <c r="DM100" s="74"/>
    </row>
    <row r="101" spans="55:117">
      <c r="BC101" s="774"/>
      <c r="BD101" s="774"/>
      <c r="BE101" s="775"/>
      <c r="BF101" s="776" t="s">
        <v>1289</v>
      </c>
      <c r="BG101" s="777">
        <v>4</v>
      </c>
      <c r="BH101" s="777">
        <v>1</v>
      </c>
      <c r="BI101" s="777">
        <v>4</v>
      </c>
      <c r="BJ101" s="777">
        <v>0</v>
      </c>
      <c r="BK101" s="779">
        <v>1</v>
      </c>
      <c r="BL101" s="779">
        <v>10</v>
      </c>
      <c r="BM101" s="73"/>
      <c r="BO101" s="780"/>
      <c r="BP101" s="780"/>
      <c r="BQ101" s="781"/>
      <c r="BR101" s="782" t="s">
        <v>1289</v>
      </c>
      <c r="BS101" s="783">
        <v>0</v>
      </c>
      <c r="BT101" s="783">
        <v>1</v>
      </c>
      <c r="BU101" s="783">
        <v>0</v>
      </c>
      <c r="BV101" s="783">
        <v>0</v>
      </c>
      <c r="BW101" s="786">
        <v>0</v>
      </c>
      <c r="BX101" s="786">
        <v>1</v>
      </c>
      <c r="BY101" s="786">
        <v>2</v>
      </c>
      <c r="BZ101" s="787"/>
      <c r="CB101" s="788"/>
      <c r="CC101" s="788"/>
      <c r="CD101" s="788" t="s">
        <v>111</v>
      </c>
      <c r="CE101" s="789" t="s">
        <v>1283</v>
      </c>
      <c r="CF101" s="791">
        <v>0</v>
      </c>
      <c r="CG101" s="791">
        <v>0</v>
      </c>
      <c r="CH101" s="791">
        <v>0</v>
      </c>
      <c r="CI101" s="791">
        <v>0</v>
      </c>
      <c r="CJ101" s="791">
        <v>8</v>
      </c>
      <c r="CK101" s="791">
        <v>8</v>
      </c>
      <c r="CL101" s="792"/>
      <c r="CN101" s="74"/>
      <c r="CO101" s="74"/>
      <c r="CP101" s="121" t="s">
        <v>25</v>
      </c>
      <c r="CQ101" s="74" t="s">
        <v>1283</v>
      </c>
      <c r="CR101" s="74">
        <v>0</v>
      </c>
      <c r="CS101" s="74">
        <v>1</v>
      </c>
      <c r="CT101" s="74">
        <v>9</v>
      </c>
      <c r="CU101" s="74">
        <v>0</v>
      </c>
      <c r="CV101" s="74">
        <v>4</v>
      </c>
      <c r="CW101" s="74">
        <v>14</v>
      </c>
      <c r="CX101" s="848"/>
      <c r="CY101" s="74"/>
      <c r="CZ101" s="793"/>
      <c r="DA101" s="794"/>
      <c r="DB101" s="793"/>
      <c r="DC101" s="793" t="s">
        <v>1284</v>
      </c>
      <c r="DD101" s="793">
        <v>0</v>
      </c>
      <c r="DE101" s="793">
        <v>3</v>
      </c>
      <c r="DF101" s="793">
        <v>28</v>
      </c>
      <c r="DG101" s="793">
        <v>67</v>
      </c>
      <c r="DH101" s="793">
        <v>0</v>
      </c>
      <c r="DI101" s="793">
        <v>0</v>
      </c>
      <c r="DJ101" s="793">
        <v>98</v>
      </c>
      <c r="DK101" s="793"/>
      <c r="DL101" s="795"/>
      <c r="DM101" s="74"/>
    </row>
    <row r="102" spans="55:117">
      <c r="BC102" s="774"/>
      <c r="BD102" s="774"/>
      <c r="BE102" s="775"/>
      <c r="BF102" s="776" t="s">
        <v>1292</v>
      </c>
      <c r="BG102" s="777">
        <v>0</v>
      </c>
      <c r="BH102" s="777">
        <v>0</v>
      </c>
      <c r="BI102" s="777">
        <v>0</v>
      </c>
      <c r="BJ102" s="777">
        <v>0</v>
      </c>
      <c r="BK102" s="779">
        <v>1</v>
      </c>
      <c r="BL102" s="779">
        <v>1</v>
      </c>
      <c r="BM102" s="73"/>
      <c r="BO102" s="780"/>
      <c r="BP102" s="780"/>
      <c r="BQ102" s="781"/>
      <c r="BR102" s="782"/>
      <c r="BS102" s="783"/>
      <c r="BT102" s="783"/>
      <c r="BU102" s="783"/>
      <c r="BV102" s="783"/>
      <c r="BW102" s="786"/>
      <c r="BX102" s="786"/>
      <c r="BY102" s="786"/>
      <c r="BZ102" s="787"/>
      <c r="CB102" s="788"/>
      <c r="CC102" s="788"/>
      <c r="CD102" s="788"/>
      <c r="CE102" s="789" t="s">
        <v>1284</v>
      </c>
      <c r="CF102" s="791">
        <v>6</v>
      </c>
      <c r="CG102" s="791">
        <v>1</v>
      </c>
      <c r="CH102" s="791">
        <v>8</v>
      </c>
      <c r="CI102" s="791">
        <v>4</v>
      </c>
      <c r="CJ102" s="791">
        <v>0</v>
      </c>
      <c r="CK102" s="791">
        <v>19</v>
      </c>
      <c r="CL102" s="792"/>
      <c r="CN102" s="74"/>
      <c r="CO102" s="74"/>
      <c r="CP102" s="121"/>
      <c r="CQ102" s="74" t="s">
        <v>1284</v>
      </c>
      <c r="CR102" s="74">
        <v>11</v>
      </c>
      <c r="CS102" s="74">
        <v>2</v>
      </c>
      <c r="CT102" s="74">
        <v>34</v>
      </c>
      <c r="CU102" s="74">
        <v>0</v>
      </c>
      <c r="CV102" s="74">
        <v>0</v>
      </c>
      <c r="CW102" s="74">
        <v>47</v>
      </c>
      <c r="CX102" s="848"/>
      <c r="CY102" s="74"/>
      <c r="CZ102" s="793"/>
      <c r="DA102" s="794"/>
      <c r="DB102" s="793"/>
      <c r="DC102" s="793" t="s">
        <v>1288</v>
      </c>
      <c r="DD102" s="793">
        <v>0</v>
      </c>
      <c r="DE102" s="793">
        <v>0</v>
      </c>
      <c r="DF102" s="793">
        <v>0</v>
      </c>
      <c r="DG102" s="793">
        <v>8</v>
      </c>
      <c r="DH102" s="793">
        <v>8</v>
      </c>
      <c r="DI102" s="793">
        <v>0</v>
      </c>
      <c r="DJ102" s="793">
        <v>16</v>
      </c>
      <c r="DK102" s="793"/>
      <c r="DL102" s="795"/>
      <c r="DM102" s="74"/>
    </row>
    <row r="103" spans="55:117">
      <c r="BC103" s="774"/>
      <c r="BD103" s="774"/>
      <c r="BE103" s="775"/>
      <c r="BF103" s="776" t="s">
        <v>1293</v>
      </c>
      <c r="BG103" s="777">
        <v>0</v>
      </c>
      <c r="BH103" s="777">
        <v>0</v>
      </c>
      <c r="BI103" s="777">
        <v>19</v>
      </c>
      <c r="BJ103" s="777">
        <v>25</v>
      </c>
      <c r="BK103" s="779">
        <v>1</v>
      </c>
      <c r="BL103" s="779">
        <v>45</v>
      </c>
      <c r="BM103" s="73"/>
      <c r="BO103" s="780"/>
      <c r="BP103" s="780"/>
      <c r="BQ103" s="781"/>
      <c r="BR103" s="782" t="s">
        <v>1293</v>
      </c>
      <c r="BS103" s="783">
        <v>0</v>
      </c>
      <c r="BT103" s="783">
        <v>0</v>
      </c>
      <c r="BU103" s="783">
        <v>15</v>
      </c>
      <c r="BV103" s="783">
        <v>0</v>
      </c>
      <c r="BW103" s="786">
        <v>0</v>
      </c>
      <c r="BX103" s="786">
        <v>0</v>
      </c>
      <c r="BY103" s="786">
        <v>15</v>
      </c>
      <c r="BZ103" s="787"/>
      <c r="CB103" s="788"/>
      <c r="CC103" s="788"/>
      <c r="CD103" s="788"/>
      <c r="CE103" s="789" t="s">
        <v>1288</v>
      </c>
      <c r="CF103" s="791">
        <v>0</v>
      </c>
      <c r="CG103" s="791">
        <v>0</v>
      </c>
      <c r="CH103" s="791">
        <v>58</v>
      </c>
      <c r="CI103" s="791">
        <v>5</v>
      </c>
      <c r="CJ103" s="791">
        <v>0</v>
      </c>
      <c r="CK103" s="791">
        <v>63</v>
      </c>
      <c r="CL103" s="792"/>
      <c r="CN103" s="74"/>
      <c r="CO103" s="74"/>
      <c r="CP103" s="121"/>
      <c r="CQ103" s="74" t="s">
        <v>1286</v>
      </c>
      <c r="CR103" s="74">
        <v>0</v>
      </c>
      <c r="CS103" s="74">
        <v>1</v>
      </c>
      <c r="CT103" s="74">
        <v>0</v>
      </c>
      <c r="CU103" s="74">
        <v>0</v>
      </c>
      <c r="CV103" s="74">
        <v>0</v>
      </c>
      <c r="CW103" s="74">
        <v>1</v>
      </c>
      <c r="CX103" s="848"/>
      <c r="CY103" s="74"/>
      <c r="CZ103" s="793"/>
      <c r="DA103" s="794"/>
      <c r="DB103" s="793"/>
      <c r="DC103" s="793" t="s">
        <v>1289</v>
      </c>
      <c r="DD103" s="793">
        <v>0</v>
      </c>
      <c r="DE103" s="793">
        <v>0</v>
      </c>
      <c r="DF103" s="793">
        <v>3</v>
      </c>
      <c r="DG103" s="793">
        <v>1</v>
      </c>
      <c r="DH103" s="793">
        <v>0</v>
      </c>
      <c r="DI103" s="793">
        <v>0</v>
      </c>
      <c r="DJ103" s="793">
        <v>4</v>
      </c>
      <c r="DK103" s="793"/>
      <c r="DL103" s="795"/>
      <c r="DM103" s="74"/>
    </row>
    <row r="104" spans="55:117">
      <c r="BC104" s="774"/>
      <c r="BD104" s="774"/>
      <c r="BE104" s="775"/>
      <c r="BF104" s="776" t="s">
        <v>1377</v>
      </c>
      <c r="BG104" s="777">
        <v>0</v>
      </c>
      <c r="BH104" s="777">
        <v>0</v>
      </c>
      <c r="BI104" s="777">
        <v>30</v>
      </c>
      <c r="BJ104" s="777">
        <v>8</v>
      </c>
      <c r="BK104" s="779">
        <v>0</v>
      </c>
      <c r="BL104" s="779">
        <v>38</v>
      </c>
      <c r="BM104" s="73"/>
      <c r="BO104" s="780"/>
      <c r="BP104" s="780"/>
      <c r="BQ104" s="781"/>
      <c r="BR104" s="782" t="s">
        <v>1377</v>
      </c>
      <c r="BS104" s="783">
        <v>0</v>
      </c>
      <c r="BT104" s="783">
        <v>0</v>
      </c>
      <c r="BU104" s="783">
        <v>12</v>
      </c>
      <c r="BV104" s="783">
        <v>3</v>
      </c>
      <c r="BW104" s="786">
        <v>1</v>
      </c>
      <c r="BX104" s="786">
        <v>0</v>
      </c>
      <c r="BY104" s="786">
        <v>16</v>
      </c>
      <c r="BZ104" s="787"/>
      <c r="CB104" s="788"/>
      <c r="CC104" s="788"/>
      <c r="CD104" s="788"/>
      <c r="CE104" s="789" t="s">
        <v>1289</v>
      </c>
      <c r="CF104" s="791">
        <v>5</v>
      </c>
      <c r="CG104" s="791">
        <v>3</v>
      </c>
      <c r="CH104" s="791">
        <v>5</v>
      </c>
      <c r="CI104" s="791">
        <v>0</v>
      </c>
      <c r="CJ104" s="791">
        <v>0</v>
      </c>
      <c r="CK104" s="791">
        <v>13</v>
      </c>
      <c r="CL104" s="792"/>
      <c r="CN104" s="74"/>
      <c r="CO104" s="74"/>
      <c r="CP104" s="121"/>
      <c r="CQ104" s="74" t="s">
        <v>1288</v>
      </c>
      <c r="CR104" s="74">
        <v>0</v>
      </c>
      <c r="CS104" s="74">
        <v>0</v>
      </c>
      <c r="CT104" s="74">
        <v>38</v>
      </c>
      <c r="CU104" s="74">
        <v>8</v>
      </c>
      <c r="CV104" s="74">
        <v>0</v>
      </c>
      <c r="CW104" s="74">
        <v>46</v>
      </c>
      <c r="CX104" s="848"/>
      <c r="CY104" s="74"/>
      <c r="CZ104" s="793"/>
      <c r="DA104" s="794"/>
      <c r="DB104" s="793"/>
      <c r="DC104" s="793" t="s">
        <v>1292</v>
      </c>
      <c r="DD104" s="793">
        <v>0</v>
      </c>
      <c r="DE104" s="793">
        <v>0</v>
      </c>
      <c r="DF104" s="793">
        <v>0</v>
      </c>
      <c r="DG104" s="793">
        <v>0</v>
      </c>
      <c r="DH104" s="793">
        <v>0</v>
      </c>
      <c r="DI104" s="793">
        <v>1</v>
      </c>
      <c r="DJ104" s="793">
        <v>1</v>
      </c>
      <c r="DK104" s="793"/>
      <c r="DL104" s="795"/>
      <c r="DM104" s="74"/>
    </row>
    <row r="105" spans="55:117" ht="15.75" thickBot="1">
      <c r="BC105" s="762"/>
      <c r="BD105" s="762"/>
      <c r="BE105" s="849"/>
      <c r="BF105" s="849" t="s">
        <v>114</v>
      </c>
      <c r="BG105" s="850">
        <v>11</v>
      </c>
      <c r="BH105" s="850">
        <v>6</v>
      </c>
      <c r="BI105" s="850">
        <v>65</v>
      </c>
      <c r="BJ105" s="850">
        <v>39</v>
      </c>
      <c r="BK105" s="851">
        <v>25</v>
      </c>
      <c r="BL105" s="851">
        <v>146</v>
      </c>
      <c r="BM105" s="852">
        <f>+(BL100+BL103+BL104-BK103)/BL105</f>
        <v>0.61643835616438358</v>
      </c>
      <c r="BO105" s="840"/>
      <c r="BP105" s="840"/>
      <c r="BQ105" s="841"/>
      <c r="BR105" s="842" t="s">
        <v>114</v>
      </c>
      <c r="BS105" s="843">
        <v>8</v>
      </c>
      <c r="BT105" s="843">
        <v>6</v>
      </c>
      <c r="BU105" s="843">
        <v>80</v>
      </c>
      <c r="BV105" s="843">
        <v>10</v>
      </c>
      <c r="BW105" s="844">
        <v>41</v>
      </c>
      <c r="BX105" s="844">
        <v>2</v>
      </c>
      <c r="BY105" s="844">
        <v>147</v>
      </c>
      <c r="BZ105" s="845">
        <f>+(BY104+BY103+BY100-BW104-BX100-BW100)/BY105</f>
        <v>0.50340136054421769</v>
      </c>
      <c r="CB105" s="788"/>
      <c r="CC105" s="788"/>
      <c r="CD105" s="788"/>
      <c r="CE105" s="789" t="s">
        <v>1293</v>
      </c>
      <c r="CF105" s="791">
        <v>0</v>
      </c>
      <c r="CG105" s="791">
        <v>0</v>
      </c>
      <c r="CH105" s="791">
        <v>1</v>
      </c>
      <c r="CI105" s="791">
        <v>0</v>
      </c>
      <c r="CJ105" s="791">
        <v>0</v>
      </c>
      <c r="CK105" s="791">
        <v>1</v>
      </c>
      <c r="CL105" s="792"/>
      <c r="CN105" s="74"/>
      <c r="CO105" s="74"/>
      <c r="CP105" s="121"/>
      <c r="CQ105" s="74" t="s">
        <v>1289</v>
      </c>
      <c r="CR105" s="74">
        <v>0</v>
      </c>
      <c r="CS105" s="74">
        <v>4</v>
      </c>
      <c r="CT105" s="74">
        <v>1</v>
      </c>
      <c r="CU105" s="74">
        <v>0</v>
      </c>
      <c r="CV105" s="74">
        <v>0</v>
      </c>
      <c r="CW105" s="74">
        <v>5</v>
      </c>
      <c r="CX105" s="848"/>
      <c r="CY105" s="74"/>
      <c r="CZ105" s="793"/>
      <c r="DA105" s="794"/>
      <c r="DB105" s="793"/>
      <c r="DC105" s="793" t="s">
        <v>1293</v>
      </c>
      <c r="DD105" s="793">
        <v>0</v>
      </c>
      <c r="DE105" s="793">
        <v>0</v>
      </c>
      <c r="DF105" s="793">
        <v>0</v>
      </c>
      <c r="DG105" s="793">
        <v>5</v>
      </c>
      <c r="DH105" s="793">
        <v>7</v>
      </c>
      <c r="DI105" s="793">
        <v>0</v>
      </c>
      <c r="DJ105" s="793">
        <v>12</v>
      </c>
      <c r="DK105" s="793"/>
      <c r="DL105" s="795"/>
      <c r="DM105" s="74"/>
    </row>
    <row r="106" spans="55:117">
      <c r="BC106" s="77" t="s">
        <v>866</v>
      </c>
      <c r="BD106" s="1"/>
      <c r="BE106" s="1"/>
      <c r="BF106" s="1"/>
      <c r="BG106" s="237"/>
      <c r="BH106" s="237"/>
      <c r="BI106" s="237"/>
      <c r="BJ106" s="237"/>
      <c r="BK106" s="237"/>
      <c r="BL106" s="237"/>
      <c r="BO106" s="73"/>
      <c r="BP106" s="73"/>
      <c r="BQ106" s="73"/>
      <c r="BR106" s="73"/>
      <c r="BS106" s="73"/>
      <c r="BT106" s="73"/>
      <c r="BU106" s="73"/>
      <c r="BV106" s="73"/>
      <c r="BW106" s="73"/>
      <c r="BX106" s="73"/>
      <c r="BY106" s="73"/>
      <c r="BZ106" s="73"/>
      <c r="CB106" s="788"/>
      <c r="CC106" s="788"/>
      <c r="CD106" s="788"/>
      <c r="CE106" s="789" t="s">
        <v>1377</v>
      </c>
      <c r="CF106" s="791">
        <v>0</v>
      </c>
      <c r="CG106" s="791">
        <v>0</v>
      </c>
      <c r="CH106" s="791">
        <v>2</v>
      </c>
      <c r="CI106" s="791">
        <v>1</v>
      </c>
      <c r="CJ106" s="791">
        <v>0</v>
      </c>
      <c r="CK106" s="791">
        <v>3</v>
      </c>
      <c r="CL106" s="792"/>
      <c r="CN106" s="74"/>
      <c r="CO106" s="74"/>
      <c r="CP106" s="121"/>
      <c r="CQ106" s="74" t="s">
        <v>1293</v>
      </c>
      <c r="CR106" s="74">
        <v>0</v>
      </c>
      <c r="CS106" s="74">
        <v>0</v>
      </c>
      <c r="CT106" s="74">
        <v>1</v>
      </c>
      <c r="CU106" s="74">
        <v>0</v>
      </c>
      <c r="CV106" s="74">
        <v>0</v>
      </c>
      <c r="CW106" s="74">
        <v>1</v>
      </c>
      <c r="CX106" s="848"/>
      <c r="CY106" s="74"/>
      <c r="CZ106" s="793"/>
      <c r="DA106" s="794"/>
      <c r="DB106" s="793"/>
      <c r="DC106" s="793" t="s">
        <v>1377</v>
      </c>
      <c r="DD106" s="793">
        <v>0</v>
      </c>
      <c r="DE106" s="793">
        <v>0</v>
      </c>
      <c r="DF106" s="793">
        <v>0</v>
      </c>
      <c r="DG106" s="793">
        <v>0</v>
      </c>
      <c r="DH106" s="793">
        <v>2</v>
      </c>
      <c r="DI106" s="793">
        <v>0</v>
      </c>
      <c r="DJ106" s="793">
        <v>2</v>
      </c>
      <c r="DK106" s="793"/>
      <c r="DL106" s="795"/>
      <c r="DM106" s="74"/>
    </row>
    <row r="107" spans="55:117">
      <c r="BC107" s="853" t="s">
        <v>880</v>
      </c>
      <c r="BD107" s="1"/>
      <c r="BE107" s="1"/>
      <c r="BF107" s="1"/>
      <c r="BG107" s="854"/>
      <c r="BH107" s="854"/>
      <c r="BI107" s="854"/>
      <c r="BJ107" s="854"/>
      <c r="BK107" s="854"/>
      <c r="BL107" s="854"/>
      <c r="BO107" s="738" t="s">
        <v>1383</v>
      </c>
      <c r="BP107" s="73"/>
      <c r="BQ107" s="73"/>
      <c r="BR107" s="73"/>
      <c r="BS107" s="73"/>
      <c r="BT107" s="73"/>
      <c r="BU107" s="73"/>
      <c r="BV107" s="73"/>
      <c r="BW107" s="73"/>
      <c r="BX107" s="73"/>
      <c r="BY107" s="73"/>
      <c r="BZ107" s="73"/>
      <c r="CB107" s="788"/>
      <c r="CC107" s="788"/>
      <c r="CD107" s="788"/>
      <c r="CE107" s="809" t="s">
        <v>111</v>
      </c>
      <c r="CF107" s="811">
        <v>11</v>
      </c>
      <c r="CG107" s="811">
        <v>4</v>
      </c>
      <c r="CH107" s="811">
        <v>74</v>
      </c>
      <c r="CI107" s="811">
        <v>10</v>
      </c>
      <c r="CJ107" s="811">
        <v>8</v>
      </c>
      <c r="CK107" s="811">
        <v>107</v>
      </c>
      <c r="CL107" s="812">
        <f>+(CK106+CK105+CK103)/CK107</f>
        <v>0.62616822429906538</v>
      </c>
      <c r="CN107" s="74"/>
      <c r="CO107" s="74"/>
      <c r="CP107" s="121"/>
      <c r="CQ107" s="74" t="s">
        <v>1377</v>
      </c>
      <c r="CR107" s="74">
        <v>0</v>
      </c>
      <c r="CS107" s="74">
        <v>0</v>
      </c>
      <c r="CT107" s="74">
        <v>0</v>
      </c>
      <c r="CU107" s="74">
        <v>1</v>
      </c>
      <c r="CV107" s="74">
        <v>1</v>
      </c>
      <c r="CW107" s="74">
        <v>2</v>
      </c>
      <c r="CX107" s="848"/>
      <c r="CY107" s="74"/>
      <c r="CZ107" s="793"/>
      <c r="DA107" s="794"/>
      <c r="DB107" s="793"/>
      <c r="DC107" s="796" t="s">
        <v>15</v>
      </c>
      <c r="DD107" s="796">
        <v>0</v>
      </c>
      <c r="DE107" s="796">
        <v>3</v>
      </c>
      <c r="DF107" s="796">
        <v>31</v>
      </c>
      <c r="DG107" s="796">
        <v>81</v>
      </c>
      <c r="DH107" s="796">
        <v>17</v>
      </c>
      <c r="DI107" s="796">
        <v>7</v>
      </c>
      <c r="DJ107" s="796">
        <v>139</v>
      </c>
      <c r="DK107" s="797">
        <f>+(DJ106+DJ105+DJ102)/DJ107</f>
        <v>0.21582733812949639</v>
      </c>
      <c r="DL107" s="795">
        <f>+DJ102+DJ105+DJ106</f>
        <v>30</v>
      </c>
      <c r="DM107" s="74"/>
    </row>
    <row r="108" spans="55:117">
      <c r="BC108" s="1"/>
      <c r="BD108" s="1"/>
      <c r="BE108" s="1"/>
      <c r="BF108" s="1"/>
      <c r="BG108" s="1"/>
      <c r="BH108" s="1"/>
      <c r="BI108" s="1"/>
      <c r="BJ108" s="1"/>
      <c r="BK108" s="1"/>
      <c r="BL108" s="1"/>
      <c r="CB108" s="788"/>
      <c r="CC108" s="788"/>
      <c r="CD108" s="788"/>
      <c r="CE108" s="789"/>
      <c r="CF108" s="791"/>
      <c r="CG108" s="791"/>
      <c r="CH108" s="791"/>
      <c r="CI108" s="791"/>
      <c r="CJ108" s="791"/>
      <c r="CK108" s="791"/>
      <c r="CN108" s="74"/>
      <c r="CO108" s="74"/>
      <c r="CP108" s="121"/>
      <c r="CQ108" s="761" t="s">
        <v>15</v>
      </c>
      <c r="CR108" s="761">
        <v>11</v>
      </c>
      <c r="CS108" s="761">
        <v>8</v>
      </c>
      <c r="CT108" s="761">
        <v>83</v>
      </c>
      <c r="CU108" s="761">
        <v>9</v>
      </c>
      <c r="CV108" s="761">
        <v>5</v>
      </c>
      <c r="CW108" s="761">
        <v>116</v>
      </c>
      <c r="CX108" s="813">
        <f>(CW107+CW106+CW104-CV107)/CW108</f>
        <v>0.41379310344827586</v>
      </c>
      <c r="CY108" s="74"/>
      <c r="CZ108" s="793"/>
      <c r="DA108" s="794"/>
      <c r="DB108" s="793" t="s">
        <v>48</v>
      </c>
      <c r="DC108" s="793" t="s">
        <v>1283</v>
      </c>
      <c r="DD108" s="793">
        <v>0</v>
      </c>
      <c r="DE108" s="793">
        <v>0</v>
      </c>
      <c r="DF108" s="793">
        <v>0</v>
      </c>
      <c r="DG108" s="793">
        <v>0</v>
      </c>
      <c r="DH108" s="793">
        <v>3</v>
      </c>
      <c r="DI108" s="793">
        <v>11</v>
      </c>
      <c r="DJ108" s="793">
        <v>14</v>
      </c>
      <c r="DK108" s="793"/>
      <c r="DL108" s="795"/>
      <c r="DM108" s="74"/>
    </row>
    <row r="109" spans="55:117">
      <c r="BC109" s="1"/>
      <c r="BD109" s="1"/>
      <c r="BE109" s="1"/>
      <c r="BF109" s="1"/>
      <c r="BG109" s="1"/>
      <c r="BH109" s="1"/>
      <c r="BI109" s="1"/>
      <c r="BJ109" s="1"/>
      <c r="BK109" s="1"/>
      <c r="BL109" s="1"/>
      <c r="CB109" s="788"/>
      <c r="CC109" s="788"/>
      <c r="CD109" s="788" t="s">
        <v>461</v>
      </c>
      <c r="CE109" s="789" t="s">
        <v>1283</v>
      </c>
      <c r="CF109" s="791">
        <v>0</v>
      </c>
      <c r="CG109" s="790"/>
      <c r="CH109" s="791">
        <v>0</v>
      </c>
      <c r="CI109" s="791">
        <v>0</v>
      </c>
      <c r="CJ109" s="791">
        <v>45</v>
      </c>
      <c r="CK109" s="791">
        <v>45</v>
      </c>
      <c r="CL109" s="792"/>
      <c r="CN109" s="74"/>
      <c r="CO109" s="74"/>
      <c r="CP109" s="121" t="s">
        <v>48</v>
      </c>
      <c r="CQ109" s="74" t="s">
        <v>1284</v>
      </c>
      <c r="CR109" s="74"/>
      <c r="CS109" s="74"/>
      <c r="CT109" s="74">
        <v>7</v>
      </c>
      <c r="CU109" s="74">
        <v>0</v>
      </c>
      <c r="CV109" s="74"/>
      <c r="CW109" s="74">
        <v>7</v>
      </c>
      <c r="CX109" s="848"/>
      <c r="CY109" s="74"/>
      <c r="CZ109" s="793"/>
      <c r="DA109" s="794"/>
      <c r="DB109" s="793"/>
      <c r="DC109" s="793" t="s">
        <v>1284</v>
      </c>
      <c r="DD109" s="793">
        <v>2</v>
      </c>
      <c r="DE109" s="793">
        <v>0</v>
      </c>
      <c r="DF109" s="793">
        <v>0</v>
      </c>
      <c r="DG109" s="793">
        <v>0</v>
      </c>
      <c r="DH109" s="793">
        <v>0</v>
      </c>
      <c r="DI109" s="793">
        <v>0</v>
      </c>
      <c r="DJ109" s="793">
        <v>2</v>
      </c>
      <c r="DK109" s="793"/>
      <c r="DL109" s="795"/>
      <c r="DM109" s="74"/>
    </row>
    <row r="110" spans="55:117">
      <c r="BC110" s="1"/>
      <c r="BD110" s="1"/>
      <c r="BE110" s="1"/>
      <c r="BF110" s="1"/>
      <c r="BG110" s="1"/>
      <c r="BH110" s="1"/>
      <c r="BI110" s="1"/>
      <c r="BJ110" s="1"/>
      <c r="BK110" s="1"/>
      <c r="BL110" s="1"/>
      <c r="CB110" s="788"/>
      <c r="CC110" s="788"/>
      <c r="CD110" s="788"/>
      <c r="CE110" s="789" t="s">
        <v>1284</v>
      </c>
      <c r="CF110" s="791">
        <v>1</v>
      </c>
      <c r="CG110" s="790"/>
      <c r="CH110" s="791">
        <v>1</v>
      </c>
      <c r="CI110" s="791">
        <v>11</v>
      </c>
      <c r="CJ110" s="791">
        <v>0</v>
      </c>
      <c r="CK110" s="791">
        <v>13</v>
      </c>
      <c r="CL110" s="792"/>
      <c r="CN110" s="74"/>
      <c r="CO110" s="74"/>
      <c r="CP110" s="121"/>
      <c r="CQ110" s="74" t="s">
        <v>1288</v>
      </c>
      <c r="CR110" s="74"/>
      <c r="CS110" s="74"/>
      <c r="CT110" s="74">
        <v>0</v>
      </c>
      <c r="CU110" s="74">
        <v>2</v>
      </c>
      <c r="CV110" s="74"/>
      <c r="CW110" s="74">
        <v>2</v>
      </c>
      <c r="CX110" s="848"/>
      <c r="CY110" s="74"/>
      <c r="CZ110" s="793"/>
      <c r="DA110" s="794"/>
      <c r="DB110" s="793"/>
      <c r="DC110" s="793" t="s">
        <v>1286</v>
      </c>
      <c r="DD110" s="793">
        <v>0</v>
      </c>
      <c r="DE110" s="793">
        <v>0</v>
      </c>
      <c r="DF110" s="793">
        <v>1</v>
      </c>
      <c r="DG110" s="793">
        <v>0</v>
      </c>
      <c r="DH110" s="793">
        <v>0</v>
      </c>
      <c r="DI110" s="793">
        <v>0</v>
      </c>
      <c r="DJ110" s="793">
        <v>1</v>
      </c>
      <c r="DK110" s="793"/>
      <c r="DL110" s="795"/>
      <c r="DM110" s="74"/>
    </row>
    <row r="111" spans="55:117">
      <c r="BC111" s="1"/>
      <c r="BD111" s="1"/>
      <c r="BE111" s="1"/>
      <c r="BF111" s="1"/>
      <c r="BG111" s="1"/>
      <c r="BH111" s="1"/>
      <c r="BI111" s="1"/>
      <c r="BJ111" s="1"/>
      <c r="BK111" s="1"/>
      <c r="BL111" s="1"/>
      <c r="CB111" s="788"/>
      <c r="CC111" s="788"/>
      <c r="CD111" s="788"/>
      <c r="CE111" s="789" t="s">
        <v>1286</v>
      </c>
      <c r="CF111" s="791">
        <v>1</v>
      </c>
      <c r="CG111" s="790"/>
      <c r="CH111" s="791">
        <v>0</v>
      </c>
      <c r="CI111" s="791">
        <v>0</v>
      </c>
      <c r="CJ111" s="791">
        <v>0</v>
      </c>
      <c r="CK111" s="791">
        <v>1</v>
      </c>
      <c r="CL111" s="792"/>
      <c r="CN111" s="74"/>
      <c r="CO111" s="74"/>
      <c r="CP111" s="121"/>
      <c r="CQ111" s="74" t="s">
        <v>1293</v>
      </c>
      <c r="CR111" s="74"/>
      <c r="CS111" s="74"/>
      <c r="CT111" s="74">
        <v>0</v>
      </c>
      <c r="CU111" s="74">
        <v>15</v>
      </c>
      <c r="CV111" s="74"/>
      <c r="CW111" s="74">
        <v>15</v>
      </c>
      <c r="CX111" s="848"/>
      <c r="CY111" s="74"/>
      <c r="CZ111" s="793"/>
      <c r="DA111" s="794"/>
      <c r="DB111" s="793"/>
      <c r="DC111" s="793" t="s">
        <v>1288</v>
      </c>
      <c r="DD111" s="793">
        <v>1</v>
      </c>
      <c r="DE111" s="793">
        <v>0</v>
      </c>
      <c r="DF111" s="793">
        <v>0</v>
      </c>
      <c r="DG111" s="793">
        <v>0</v>
      </c>
      <c r="DH111" s="793">
        <v>2</v>
      </c>
      <c r="DI111" s="793">
        <v>0</v>
      </c>
      <c r="DJ111" s="793">
        <v>3</v>
      </c>
      <c r="DK111" s="793"/>
      <c r="DL111" s="795"/>
      <c r="DM111" s="74"/>
    </row>
    <row r="112" spans="55:117" ht="15.75" thickBot="1">
      <c r="CB112" s="788"/>
      <c r="CC112" s="788"/>
      <c r="CD112" s="788"/>
      <c r="CE112" s="789" t="s">
        <v>1288</v>
      </c>
      <c r="CF112" s="791">
        <v>0</v>
      </c>
      <c r="CG112" s="790"/>
      <c r="CH112" s="791">
        <v>0</v>
      </c>
      <c r="CI112" s="791">
        <v>1</v>
      </c>
      <c r="CJ112" s="791">
        <v>1</v>
      </c>
      <c r="CK112" s="791">
        <v>2</v>
      </c>
      <c r="CL112" s="792"/>
      <c r="CN112" s="74"/>
      <c r="CO112" s="74"/>
      <c r="CP112" s="819"/>
      <c r="CQ112" s="821" t="s">
        <v>15</v>
      </c>
      <c r="CR112" s="821"/>
      <c r="CS112" s="821"/>
      <c r="CT112" s="821">
        <v>7</v>
      </c>
      <c r="CU112" s="821">
        <v>17</v>
      </c>
      <c r="CV112" s="821"/>
      <c r="CW112" s="821">
        <v>24</v>
      </c>
      <c r="CX112" s="855">
        <f>(+CW111+CW110)/CW112</f>
        <v>0.70833333333333337</v>
      </c>
      <c r="CY112" s="74"/>
      <c r="CZ112" s="793"/>
      <c r="DA112" s="794"/>
      <c r="DB112" s="793"/>
      <c r="DC112" s="793" t="s">
        <v>1289</v>
      </c>
      <c r="DD112" s="793">
        <v>3</v>
      </c>
      <c r="DE112" s="793">
        <v>0</v>
      </c>
      <c r="DF112" s="793">
        <v>1</v>
      </c>
      <c r="DG112" s="793">
        <v>1</v>
      </c>
      <c r="DH112" s="793">
        <v>0</v>
      </c>
      <c r="DI112" s="793">
        <v>0</v>
      </c>
      <c r="DJ112" s="793">
        <v>5</v>
      </c>
      <c r="DK112" s="793"/>
      <c r="DL112" s="795"/>
      <c r="DM112" s="74"/>
    </row>
    <row r="113" spans="80:117">
      <c r="CB113" s="788"/>
      <c r="CC113" s="788"/>
      <c r="CD113" s="788"/>
      <c r="CE113" s="789" t="s">
        <v>1289</v>
      </c>
      <c r="CF113" s="791">
        <v>2</v>
      </c>
      <c r="CG113" s="790"/>
      <c r="CH113" s="791">
        <v>0</v>
      </c>
      <c r="CI113" s="791">
        <v>0</v>
      </c>
      <c r="CJ113" s="791">
        <v>0</v>
      </c>
      <c r="CK113" s="791">
        <v>2</v>
      </c>
      <c r="CL113" s="792"/>
      <c r="CN113" s="74"/>
      <c r="CO113" s="74"/>
      <c r="CP113" s="74"/>
      <c r="CQ113" s="74"/>
      <c r="CR113" s="74"/>
      <c r="CS113" s="74"/>
      <c r="CT113" s="74"/>
      <c r="CU113" s="74"/>
      <c r="CV113" s="74"/>
      <c r="CW113" s="74"/>
      <c r="CX113" s="74"/>
      <c r="CY113" s="74"/>
      <c r="CZ113" s="793"/>
      <c r="DA113" s="794"/>
      <c r="DB113" s="793"/>
      <c r="DC113" s="793" t="s">
        <v>1293</v>
      </c>
      <c r="DD113" s="793">
        <v>0</v>
      </c>
      <c r="DE113" s="793">
        <v>0</v>
      </c>
      <c r="DF113" s="793">
        <v>0</v>
      </c>
      <c r="DG113" s="793">
        <v>1</v>
      </c>
      <c r="DH113" s="793">
        <v>35</v>
      </c>
      <c r="DI113" s="793">
        <v>1</v>
      </c>
      <c r="DJ113" s="793">
        <v>37</v>
      </c>
      <c r="DK113" s="793"/>
      <c r="DL113" s="795"/>
      <c r="DM113" s="74"/>
    </row>
    <row r="114" spans="80:117">
      <c r="CB114" s="788"/>
      <c r="CC114" s="788"/>
      <c r="CD114" s="788"/>
      <c r="CE114" s="789" t="s">
        <v>1377</v>
      </c>
      <c r="CF114" s="791">
        <v>0</v>
      </c>
      <c r="CG114" s="790"/>
      <c r="CH114" s="791">
        <v>0</v>
      </c>
      <c r="CI114" s="791">
        <v>7</v>
      </c>
      <c r="CJ114" s="791">
        <v>0</v>
      </c>
      <c r="CK114" s="791">
        <v>7</v>
      </c>
      <c r="CL114" s="792"/>
      <c r="CN114" s="74"/>
      <c r="CO114" s="74"/>
      <c r="CP114" s="74"/>
      <c r="CQ114" s="74"/>
      <c r="CR114" s="74"/>
      <c r="CS114" s="74"/>
      <c r="CT114" s="74"/>
      <c r="CU114" s="74"/>
      <c r="CV114" s="74"/>
      <c r="CW114" s="74"/>
      <c r="CX114" s="74"/>
      <c r="CY114" s="74"/>
      <c r="CZ114" s="793"/>
      <c r="DA114" s="794"/>
      <c r="DB114" s="793"/>
      <c r="DC114" s="793" t="s">
        <v>1377</v>
      </c>
      <c r="DD114" s="793">
        <v>0</v>
      </c>
      <c r="DE114" s="793">
        <v>0</v>
      </c>
      <c r="DF114" s="793">
        <v>0</v>
      </c>
      <c r="DG114" s="793">
        <v>4</v>
      </c>
      <c r="DH114" s="793">
        <v>1</v>
      </c>
      <c r="DI114" s="793">
        <v>0</v>
      </c>
      <c r="DJ114" s="793">
        <v>5</v>
      </c>
      <c r="DK114" s="793"/>
      <c r="DL114" s="795"/>
      <c r="DM114" s="74"/>
    </row>
    <row r="115" spans="80:117" ht="15.75" thickBot="1">
      <c r="CB115" s="788"/>
      <c r="CC115" s="788"/>
      <c r="CD115" s="830"/>
      <c r="CE115" s="831" t="s">
        <v>461</v>
      </c>
      <c r="CF115" s="832">
        <v>4</v>
      </c>
      <c r="CG115" s="833"/>
      <c r="CH115" s="832">
        <v>1</v>
      </c>
      <c r="CI115" s="832">
        <v>19</v>
      </c>
      <c r="CJ115" s="832">
        <v>46</v>
      </c>
      <c r="CK115" s="832">
        <v>70</v>
      </c>
      <c r="CL115" s="834">
        <f>+(CK114+CK112-CJ112)/CK115</f>
        <v>0.11428571428571428</v>
      </c>
      <c r="CN115" s="74"/>
      <c r="CO115" s="74"/>
      <c r="CP115" s="74"/>
      <c r="CQ115" s="74"/>
      <c r="CR115" s="74"/>
      <c r="CS115" s="74"/>
      <c r="CT115" s="74"/>
      <c r="CU115" s="74"/>
      <c r="CV115" s="74"/>
      <c r="CW115" s="74"/>
      <c r="CX115" s="74"/>
      <c r="CY115" s="74"/>
      <c r="CZ115" s="793"/>
      <c r="DA115" s="856"/>
      <c r="DB115" s="816"/>
      <c r="DC115" s="816" t="s">
        <v>15</v>
      </c>
      <c r="DD115" s="816">
        <v>6</v>
      </c>
      <c r="DE115" s="816">
        <v>0</v>
      </c>
      <c r="DF115" s="816">
        <v>2</v>
      </c>
      <c r="DG115" s="816">
        <v>6</v>
      </c>
      <c r="DH115" s="816">
        <v>41</v>
      </c>
      <c r="DI115" s="816">
        <v>12</v>
      </c>
      <c r="DJ115" s="816">
        <v>67</v>
      </c>
      <c r="DK115" s="818">
        <f>+(DJ114+DJ113+DJ111-DI113)/DJ115</f>
        <v>0.65671641791044777</v>
      </c>
      <c r="DL115" s="770">
        <f>+DJ111+DJ113+DJ114-DI113</f>
        <v>44</v>
      </c>
      <c r="DM115" s="74"/>
    </row>
    <row r="116" spans="80:117">
      <c r="CB116" s="788"/>
      <c r="CC116" s="788"/>
      <c r="CD116" s="788"/>
      <c r="CE116" s="789"/>
      <c r="CF116" s="791"/>
      <c r="CG116" s="791"/>
      <c r="CH116" s="791"/>
      <c r="CI116" s="791"/>
      <c r="CJ116" s="791"/>
      <c r="CK116" s="791"/>
      <c r="CN116" s="74"/>
      <c r="CO116" s="74"/>
      <c r="CP116" s="74"/>
      <c r="CQ116" s="74"/>
      <c r="CR116" s="74"/>
      <c r="CS116" s="74"/>
      <c r="CT116" s="74"/>
      <c r="CU116" s="74"/>
      <c r="CV116" s="74"/>
      <c r="CW116" s="74"/>
      <c r="CX116" s="74"/>
      <c r="CY116" s="74"/>
      <c r="CZ116" s="793"/>
      <c r="DA116" s="794"/>
      <c r="DB116" s="793"/>
      <c r="DC116" s="793"/>
      <c r="DD116" s="793"/>
      <c r="DE116" s="793"/>
      <c r="DF116" s="793"/>
      <c r="DG116" s="793"/>
      <c r="DH116" s="793"/>
      <c r="DI116" s="793"/>
      <c r="DJ116" s="793"/>
      <c r="DK116" s="793"/>
      <c r="DL116" s="793"/>
      <c r="DM116" s="74"/>
    </row>
    <row r="117" spans="80:117">
      <c r="CB117" s="788"/>
      <c r="CC117" s="788"/>
      <c r="CD117" s="788"/>
      <c r="CE117" s="789"/>
      <c r="CF117" s="791"/>
      <c r="CG117" s="791"/>
      <c r="CH117" s="791"/>
      <c r="CI117" s="791"/>
      <c r="CJ117" s="791"/>
      <c r="CK117" s="791"/>
      <c r="CN117" s="74"/>
      <c r="CO117" s="74"/>
      <c r="CP117" s="74"/>
      <c r="CQ117" s="74"/>
      <c r="CR117" s="74"/>
      <c r="CS117" s="74"/>
      <c r="CT117" s="74"/>
      <c r="CU117" s="74"/>
      <c r="CV117" s="74"/>
      <c r="CW117" s="74"/>
      <c r="CX117" s="74"/>
      <c r="CY117" s="74"/>
      <c r="CZ117" s="793"/>
      <c r="DA117" s="794"/>
      <c r="DB117" s="793"/>
      <c r="DC117" s="793"/>
      <c r="DD117" s="793"/>
      <c r="DE117" s="793"/>
      <c r="DF117" s="793"/>
      <c r="DG117" s="793"/>
      <c r="DH117" s="793"/>
      <c r="DI117" s="793"/>
      <c r="DJ117" s="793"/>
      <c r="DK117" s="793"/>
      <c r="DL117" s="793"/>
      <c r="DM117" s="74"/>
    </row>
    <row r="118" spans="80:117">
      <c r="CB118" s="788"/>
      <c r="CC118" s="788"/>
      <c r="CD118" s="788"/>
      <c r="CE118" s="809"/>
      <c r="CF118" s="4902" t="s">
        <v>1373</v>
      </c>
      <c r="CG118" s="4902"/>
      <c r="CH118" s="4902"/>
      <c r="CI118" s="4902"/>
      <c r="CJ118" s="4902"/>
      <c r="CK118" s="811"/>
      <c r="CN118" s="74"/>
      <c r="CO118" s="74"/>
      <c r="CP118" s="74"/>
      <c r="CQ118" s="761" t="s">
        <v>332</v>
      </c>
      <c r="CR118" s="4902" t="s">
        <v>1373</v>
      </c>
      <c r="CS118" s="4902"/>
      <c r="CT118" s="4902"/>
      <c r="CU118" s="4902"/>
      <c r="CV118" s="4902"/>
      <c r="CW118" s="761"/>
      <c r="CX118" s="74"/>
      <c r="CY118" s="74"/>
      <c r="CZ118" s="793"/>
      <c r="DA118" s="794"/>
      <c r="DB118" s="793"/>
      <c r="DC118" s="793"/>
      <c r="DD118" s="4903" t="s">
        <v>1373</v>
      </c>
      <c r="DE118" s="4903"/>
      <c r="DF118" s="4903"/>
      <c r="DG118" s="4903"/>
      <c r="DH118" s="4903"/>
      <c r="DI118" s="4903"/>
      <c r="DJ118" s="793"/>
      <c r="DK118" s="793"/>
      <c r="DL118" s="793"/>
      <c r="DM118" s="74"/>
    </row>
    <row r="119" spans="80:117" ht="27" thickBot="1">
      <c r="CB119" s="788"/>
      <c r="CC119" s="788"/>
      <c r="CD119" s="835" t="s">
        <v>0</v>
      </c>
      <c r="CE119" s="835" t="s">
        <v>1282</v>
      </c>
      <c r="CF119" s="835">
        <v>1</v>
      </c>
      <c r="CG119" s="835">
        <v>2</v>
      </c>
      <c r="CH119" s="835">
        <v>3</v>
      </c>
      <c r="CI119" s="835">
        <v>4</v>
      </c>
      <c r="CJ119" s="835">
        <v>5</v>
      </c>
      <c r="CK119" s="835" t="s">
        <v>15</v>
      </c>
      <c r="CL119" s="836" t="s">
        <v>66</v>
      </c>
      <c r="CN119" s="74"/>
      <c r="CO119" s="74"/>
      <c r="CP119" s="768" t="s">
        <v>148</v>
      </c>
      <c r="CQ119" s="768" t="s">
        <v>1282</v>
      </c>
      <c r="CR119" s="768">
        <v>1</v>
      </c>
      <c r="CS119" s="768">
        <v>2</v>
      </c>
      <c r="CT119" s="768">
        <v>3</v>
      </c>
      <c r="CU119" s="768">
        <v>4</v>
      </c>
      <c r="CV119" s="768">
        <v>5</v>
      </c>
      <c r="CW119" s="768" t="s">
        <v>15</v>
      </c>
      <c r="CX119" s="837" t="s">
        <v>66</v>
      </c>
      <c r="CY119" s="74"/>
      <c r="CZ119" s="793"/>
      <c r="DA119" s="794"/>
      <c r="DB119" s="816" t="s">
        <v>0</v>
      </c>
      <c r="DC119" s="857" t="s">
        <v>1375</v>
      </c>
      <c r="DD119" s="816">
        <v>0</v>
      </c>
      <c r="DE119" s="816">
        <v>1</v>
      </c>
      <c r="DF119" s="816">
        <v>2</v>
      </c>
      <c r="DG119" s="816">
        <v>3</v>
      </c>
      <c r="DH119" s="816">
        <v>4</v>
      </c>
      <c r="DI119" s="816">
        <v>5</v>
      </c>
      <c r="DJ119" s="858" t="s">
        <v>15</v>
      </c>
      <c r="DK119" s="846" t="s">
        <v>66</v>
      </c>
      <c r="DL119" s="773" t="s">
        <v>1376</v>
      </c>
      <c r="DM119" s="74"/>
    </row>
    <row r="120" spans="80:117">
      <c r="CB120" s="788"/>
      <c r="CC120" s="788"/>
      <c r="CD120" s="199" t="s">
        <v>75</v>
      </c>
      <c r="CE120" s="789" t="s">
        <v>1283</v>
      </c>
      <c r="CF120" s="791">
        <v>0</v>
      </c>
      <c r="CG120" s="791">
        <v>0</v>
      </c>
      <c r="CH120" s="791">
        <v>0</v>
      </c>
      <c r="CI120" s="791">
        <v>0</v>
      </c>
      <c r="CJ120" s="791">
        <v>53</v>
      </c>
      <c r="CK120" s="791">
        <v>53</v>
      </c>
      <c r="CL120" s="792"/>
      <c r="CN120" s="74"/>
      <c r="CO120" s="74"/>
      <c r="CP120" s="121" t="s">
        <v>75</v>
      </c>
      <c r="CQ120" s="74" t="s">
        <v>1283</v>
      </c>
      <c r="CR120" s="74">
        <v>0</v>
      </c>
      <c r="CS120" s="74">
        <v>1</v>
      </c>
      <c r="CT120" s="74">
        <v>9</v>
      </c>
      <c r="CU120" s="74">
        <v>0</v>
      </c>
      <c r="CV120" s="74">
        <v>33</v>
      </c>
      <c r="CW120" s="74">
        <v>43</v>
      </c>
      <c r="CX120" s="74"/>
      <c r="CY120" s="74"/>
      <c r="CZ120" s="793"/>
      <c r="DA120" s="794"/>
      <c r="DB120" s="793" t="s">
        <v>75</v>
      </c>
      <c r="DC120" s="793" t="s">
        <v>1283</v>
      </c>
      <c r="DD120" s="793">
        <v>0</v>
      </c>
      <c r="DE120" s="793">
        <v>0</v>
      </c>
      <c r="DF120" s="793">
        <v>0</v>
      </c>
      <c r="DG120" s="793">
        <v>1</v>
      </c>
      <c r="DH120" s="793">
        <v>5</v>
      </c>
      <c r="DI120" s="793">
        <v>26</v>
      </c>
      <c r="DJ120" s="793">
        <v>32</v>
      </c>
      <c r="DK120" s="793"/>
      <c r="DL120" s="795"/>
      <c r="DM120" s="74"/>
    </row>
    <row r="121" spans="80:117">
      <c r="CB121" s="788"/>
      <c r="CC121" s="788"/>
      <c r="CD121" s="788"/>
      <c r="CE121" s="789" t="s">
        <v>1284</v>
      </c>
      <c r="CF121" s="791">
        <v>8</v>
      </c>
      <c r="CG121" s="791">
        <v>1</v>
      </c>
      <c r="CH121" s="791">
        <v>12</v>
      </c>
      <c r="CI121" s="791">
        <v>15</v>
      </c>
      <c r="CJ121" s="791">
        <v>0</v>
      </c>
      <c r="CK121" s="791">
        <v>36</v>
      </c>
      <c r="CL121" s="792"/>
      <c r="CN121" s="74"/>
      <c r="CO121" s="74"/>
      <c r="CP121" s="121"/>
      <c r="CQ121" s="74" t="s">
        <v>1284</v>
      </c>
      <c r="CR121" s="74">
        <v>13</v>
      </c>
      <c r="CS121" s="74">
        <v>8</v>
      </c>
      <c r="CT121" s="74">
        <v>49</v>
      </c>
      <c r="CU121" s="74">
        <v>0</v>
      </c>
      <c r="CV121" s="74">
        <v>0</v>
      </c>
      <c r="CW121" s="74">
        <v>70</v>
      </c>
      <c r="CX121" s="74"/>
      <c r="CY121" s="74"/>
      <c r="CZ121" s="793"/>
      <c r="DA121" s="794"/>
      <c r="DB121" s="793"/>
      <c r="DC121" s="793" t="s">
        <v>1284</v>
      </c>
      <c r="DD121" s="793">
        <v>2</v>
      </c>
      <c r="DE121" s="793">
        <v>6</v>
      </c>
      <c r="DF121" s="793">
        <v>32</v>
      </c>
      <c r="DG121" s="793">
        <v>80</v>
      </c>
      <c r="DH121" s="793">
        <v>1</v>
      </c>
      <c r="DI121" s="793">
        <v>0</v>
      </c>
      <c r="DJ121" s="793">
        <v>121</v>
      </c>
      <c r="DK121" s="793"/>
      <c r="DL121" s="795"/>
      <c r="DM121" s="74"/>
    </row>
    <row r="122" spans="80:117">
      <c r="CB122" s="788"/>
      <c r="CC122" s="788"/>
      <c r="CD122" s="788"/>
      <c r="CE122" s="789" t="s">
        <v>1286</v>
      </c>
      <c r="CF122" s="791">
        <v>1</v>
      </c>
      <c r="CG122" s="791">
        <v>0</v>
      </c>
      <c r="CH122" s="791">
        <v>0</v>
      </c>
      <c r="CI122" s="791">
        <v>0</v>
      </c>
      <c r="CJ122" s="791">
        <v>0</v>
      </c>
      <c r="CK122" s="791">
        <v>1</v>
      </c>
      <c r="CL122" s="792"/>
      <c r="CN122" s="74"/>
      <c r="CO122" s="74"/>
      <c r="CP122" s="121"/>
      <c r="CQ122" s="74" t="s">
        <v>1286</v>
      </c>
      <c r="CR122" s="74">
        <v>0</v>
      </c>
      <c r="CS122" s="74">
        <v>2</v>
      </c>
      <c r="CT122" s="74">
        <v>0</v>
      </c>
      <c r="CU122" s="74">
        <v>0</v>
      </c>
      <c r="CV122" s="74">
        <v>0</v>
      </c>
      <c r="CW122" s="74">
        <v>2</v>
      </c>
      <c r="CX122" s="74"/>
      <c r="CY122" s="74"/>
      <c r="CZ122" s="793"/>
      <c r="DA122" s="794"/>
      <c r="DB122" s="793"/>
      <c r="DC122" s="793" t="s">
        <v>1286</v>
      </c>
      <c r="DD122" s="793">
        <v>0</v>
      </c>
      <c r="DE122" s="793">
        <v>0</v>
      </c>
      <c r="DF122" s="793">
        <v>1</v>
      </c>
      <c r="DG122" s="793">
        <v>0</v>
      </c>
      <c r="DH122" s="793">
        <v>0</v>
      </c>
      <c r="DI122" s="793">
        <v>0</v>
      </c>
      <c r="DJ122" s="793">
        <v>1</v>
      </c>
      <c r="DK122" s="793"/>
      <c r="DL122" s="795"/>
      <c r="DM122" s="74"/>
    </row>
    <row r="123" spans="80:117">
      <c r="CB123" s="788"/>
      <c r="CC123" s="788"/>
      <c r="CD123" s="788"/>
      <c r="CE123" s="789" t="s">
        <v>1288</v>
      </c>
      <c r="CF123" s="791">
        <v>0</v>
      </c>
      <c r="CG123" s="791">
        <v>0</v>
      </c>
      <c r="CH123" s="791">
        <v>65</v>
      </c>
      <c r="CI123" s="791">
        <v>6</v>
      </c>
      <c r="CJ123" s="791">
        <v>1</v>
      </c>
      <c r="CK123" s="791">
        <v>72</v>
      </c>
      <c r="CL123" s="792"/>
      <c r="CN123" s="74"/>
      <c r="CO123" s="74"/>
      <c r="CP123" s="121"/>
      <c r="CQ123" s="74" t="s">
        <v>1288</v>
      </c>
      <c r="CR123" s="74">
        <v>0</v>
      </c>
      <c r="CS123" s="74">
        <v>0</v>
      </c>
      <c r="CT123" s="74">
        <v>41</v>
      </c>
      <c r="CU123" s="74">
        <v>17</v>
      </c>
      <c r="CV123" s="74">
        <v>0</v>
      </c>
      <c r="CW123" s="74">
        <v>58</v>
      </c>
      <c r="CX123" s="74"/>
      <c r="CY123" s="74"/>
      <c r="CZ123" s="793"/>
      <c r="DA123" s="794"/>
      <c r="DB123" s="793"/>
      <c r="DC123" s="793" t="s">
        <v>1288</v>
      </c>
      <c r="DD123" s="793">
        <v>1</v>
      </c>
      <c r="DE123" s="793">
        <v>0</v>
      </c>
      <c r="DF123" s="793">
        <v>0</v>
      </c>
      <c r="DG123" s="793">
        <v>10</v>
      </c>
      <c r="DH123" s="793">
        <v>11</v>
      </c>
      <c r="DI123" s="793">
        <v>0</v>
      </c>
      <c r="DJ123" s="793">
        <v>22</v>
      </c>
      <c r="DK123" s="793"/>
      <c r="DL123" s="795"/>
      <c r="DM123" s="74"/>
    </row>
    <row r="124" spans="80:117">
      <c r="CB124" s="788"/>
      <c r="CC124" s="788"/>
      <c r="CD124" s="788"/>
      <c r="CE124" s="789" t="s">
        <v>1289</v>
      </c>
      <c r="CF124" s="791">
        <v>7</v>
      </c>
      <c r="CG124" s="791">
        <v>3</v>
      </c>
      <c r="CH124" s="791">
        <v>5</v>
      </c>
      <c r="CI124" s="791">
        <v>0</v>
      </c>
      <c r="CJ124" s="791">
        <v>0</v>
      </c>
      <c r="CK124" s="791">
        <v>15</v>
      </c>
      <c r="CL124" s="792"/>
      <c r="CN124" s="74"/>
      <c r="CO124" s="74"/>
      <c r="CP124" s="121"/>
      <c r="CQ124" s="74" t="s">
        <v>1289</v>
      </c>
      <c r="CR124" s="74">
        <v>0</v>
      </c>
      <c r="CS124" s="74">
        <v>4</v>
      </c>
      <c r="CT124" s="74">
        <v>1</v>
      </c>
      <c r="CU124" s="74">
        <v>1</v>
      </c>
      <c r="CV124" s="74">
        <v>0</v>
      </c>
      <c r="CW124" s="74">
        <v>6</v>
      </c>
      <c r="CX124" s="74"/>
      <c r="CY124" s="74"/>
      <c r="CZ124" s="793"/>
      <c r="DA124" s="794"/>
      <c r="DB124" s="793"/>
      <c r="DC124" s="793" t="s">
        <v>1289</v>
      </c>
      <c r="DD124" s="793">
        <v>3</v>
      </c>
      <c r="DE124" s="793">
        <v>0</v>
      </c>
      <c r="DF124" s="793">
        <v>5</v>
      </c>
      <c r="DG124" s="793">
        <v>2</v>
      </c>
      <c r="DH124" s="793">
        <v>0</v>
      </c>
      <c r="DI124" s="793">
        <v>0</v>
      </c>
      <c r="DJ124" s="793">
        <v>10</v>
      </c>
      <c r="DK124" s="793"/>
      <c r="DL124" s="795"/>
      <c r="DM124" s="74"/>
    </row>
    <row r="125" spans="80:117">
      <c r="CB125" s="788"/>
      <c r="CC125" s="788"/>
      <c r="CD125" s="788"/>
      <c r="CE125" s="789" t="s">
        <v>1293</v>
      </c>
      <c r="CF125" s="791">
        <v>0</v>
      </c>
      <c r="CG125" s="791">
        <v>0</v>
      </c>
      <c r="CH125" s="791">
        <v>11</v>
      </c>
      <c r="CI125" s="791">
        <v>0</v>
      </c>
      <c r="CJ125" s="791">
        <v>0</v>
      </c>
      <c r="CK125" s="791">
        <v>11</v>
      </c>
      <c r="CL125" s="792"/>
      <c r="CN125" s="74"/>
      <c r="CO125" s="74"/>
      <c r="CP125" s="121"/>
      <c r="CQ125" s="74" t="s">
        <v>1292</v>
      </c>
      <c r="CR125" s="74">
        <v>0</v>
      </c>
      <c r="CS125" s="74">
        <v>0</v>
      </c>
      <c r="CT125" s="74">
        <v>0</v>
      </c>
      <c r="CU125" s="74">
        <v>0</v>
      </c>
      <c r="CV125" s="74">
        <v>1</v>
      </c>
      <c r="CW125" s="74">
        <v>1</v>
      </c>
      <c r="CX125" s="74"/>
      <c r="CY125" s="74"/>
      <c r="CZ125" s="793"/>
      <c r="DA125" s="794"/>
      <c r="DB125" s="793"/>
      <c r="DC125" s="793" t="s">
        <v>1292</v>
      </c>
      <c r="DD125" s="793">
        <v>0</v>
      </c>
      <c r="DE125" s="793">
        <v>0</v>
      </c>
      <c r="DF125" s="793">
        <v>0</v>
      </c>
      <c r="DG125" s="793">
        <v>0</v>
      </c>
      <c r="DH125" s="793">
        <v>1</v>
      </c>
      <c r="DI125" s="793">
        <v>2</v>
      </c>
      <c r="DJ125" s="793">
        <v>3</v>
      </c>
      <c r="DK125" s="793"/>
      <c r="DL125" s="795"/>
      <c r="DM125" s="74"/>
    </row>
    <row r="126" spans="80:117">
      <c r="CB126" s="788"/>
      <c r="CC126" s="788"/>
      <c r="CD126" s="788"/>
      <c r="CE126" s="789" t="s">
        <v>1377</v>
      </c>
      <c r="CF126" s="791">
        <v>0</v>
      </c>
      <c r="CG126" s="791">
        <v>0</v>
      </c>
      <c r="CH126" s="791">
        <v>7</v>
      </c>
      <c r="CI126" s="791">
        <v>8</v>
      </c>
      <c r="CJ126" s="791">
        <v>0</v>
      </c>
      <c r="CK126" s="791">
        <v>15</v>
      </c>
      <c r="CL126" s="792"/>
      <c r="CN126" s="74"/>
      <c r="CO126" s="74"/>
      <c r="CP126" s="121"/>
      <c r="CQ126" s="74" t="s">
        <v>1293</v>
      </c>
      <c r="CR126" s="74">
        <v>0</v>
      </c>
      <c r="CS126" s="74">
        <v>0</v>
      </c>
      <c r="CT126" s="74">
        <v>13</v>
      </c>
      <c r="CU126" s="74">
        <v>35</v>
      </c>
      <c r="CV126" s="74">
        <v>0</v>
      </c>
      <c r="CW126" s="74">
        <v>48</v>
      </c>
      <c r="CX126" s="74"/>
      <c r="CY126" s="74"/>
      <c r="CZ126" s="793"/>
      <c r="DA126" s="794"/>
      <c r="DB126" s="793"/>
      <c r="DC126" s="793" t="s">
        <v>1293</v>
      </c>
      <c r="DD126" s="793">
        <v>0</v>
      </c>
      <c r="DE126" s="793">
        <v>0</v>
      </c>
      <c r="DF126" s="793">
        <v>0</v>
      </c>
      <c r="DG126" s="793">
        <v>7</v>
      </c>
      <c r="DH126" s="793">
        <v>62</v>
      </c>
      <c r="DI126" s="793">
        <v>1</v>
      </c>
      <c r="DJ126" s="793">
        <v>70</v>
      </c>
      <c r="DK126" s="793"/>
      <c r="DL126" s="795"/>
      <c r="DM126" s="74"/>
    </row>
    <row r="127" spans="80:117" ht="15.75" thickBot="1">
      <c r="CB127" s="788"/>
      <c r="CC127" s="788"/>
      <c r="CD127" s="830"/>
      <c r="CE127" s="831" t="s">
        <v>114</v>
      </c>
      <c r="CF127" s="832">
        <v>16</v>
      </c>
      <c r="CG127" s="832">
        <v>4</v>
      </c>
      <c r="CH127" s="832">
        <v>100</v>
      </c>
      <c r="CI127" s="832">
        <v>29</v>
      </c>
      <c r="CJ127" s="832">
        <v>54</v>
      </c>
      <c r="CK127" s="832">
        <v>203</v>
      </c>
      <c r="CL127" s="834">
        <f>(CK126+CK125+CK123-CJ123)/CK127</f>
        <v>0.47783251231527096</v>
      </c>
      <c r="CN127" s="74" t="s">
        <v>1359</v>
      </c>
      <c r="CO127" s="74"/>
      <c r="CP127" s="121"/>
      <c r="CQ127" s="74" t="s">
        <v>1377</v>
      </c>
      <c r="CR127" s="74">
        <v>0</v>
      </c>
      <c r="CS127" s="74">
        <v>0</v>
      </c>
      <c r="CT127" s="74">
        <v>5</v>
      </c>
      <c r="CU127" s="74">
        <v>2</v>
      </c>
      <c r="CV127" s="74">
        <v>1</v>
      </c>
      <c r="CW127" s="74">
        <v>8</v>
      </c>
      <c r="CX127" s="74"/>
      <c r="CY127" s="74"/>
      <c r="CZ127" s="793"/>
      <c r="DA127" s="794"/>
      <c r="DB127" s="793"/>
      <c r="DC127" s="793" t="s">
        <v>1377</v>
      </c>
      <c r="DD127" s="793">
        <v>0</v>
      </c>
      <c r="DE127" s="793">
        <v>0</v>
      </c>
      <c r="DF127" s="793">
        <v>0</v>
      </c>
      <c r="DG127" s="793">
        <v>9</v>
      </c>
      <c r="DH127" s="793">
        <v>3</v>
      </c>
      <c r="DI127" s="793">
        <v>0</v>
      </c>
      <c r="DJ127" s="793">
        <v>12</v>
      </c>
      <c r="DK127" s="793"/>
      <c r="DL127" s="795"/>
      <c r="DM127" s="74"/>
    </row>
    <row r="128" spans="80:117" ht="15.75" thickBot="1">
      <c r="CB128" s="788" t="s">
        <v>1384</v>
      </c>
      <c r="CN128" s="74"/>
      <c r="CO128" s="74"/>
      <c r="CP128" s="819"/>
      <c r="CQ128" s="820" t="s">
        <v>15</v>
      </c>
      <c r="CR128" s="820">
        <v>13</v>
      </c>
      <c r="CS128" s="820">
        <v>15</v>
      </c>
      <c r="CT128" s="820">
        <v>118</v>
      </c>
      <c r="CU128" s="820">
        <v>55</v>
      </c>
      <c r="CV128" s="820">
        <v>35</v>
      </c>
      <c r="CW128" s="820">
        <v>236</v>
      </c>
      <c r="CX128" s="859">
        <f>(+CW127+CW126+CW123-CV127)/CW128</f>
        <v>0.4788135593220339</v>
      </c>
      <c r="CY128" s="74"/>
      <c r="CZ128" s="793"/>
      <c r="DA128" s="794"/>
      <c r="DB128" s="793"/>
      <c r="DC128" s="816" t="s">
        <v>15</v>
      </c>
      <c r="DD128" s="816">
        <v>6</v>
      </c>
      <c r="DE128" s="816">
        <v>6</v>
      </c>
      <c r="DF128" s="816">
        <v>38</v>
      </c>
      <c r="DG128" s="816">
        <v>109</v>
      </c>
      <c r="DH128" s="816">
        <v>83</v>
      </c>
      <c r="DI128" s="816">
        <v>29</v>
      </c>
      <c r="DJ128" s="816">
        <v>271</v>
      </c>
      <c r="DK128" s="860">
        <f>+(DJ127+DJ126+DJ123-DI126)/DJ128</f>
        <v>0.38007380073800739</v>
      </c>
      <c r="DL128" s="861">
        <f>+DJ123+DJ126+DJ127-DI126</f>
        <v>103</v>
      </c>
      <c r="DM128" s="74"/>
    </row>
    <row r="129" spans="80:117">
      <c r="CB129" s="853" t="s">
        <v>1385</v>
      </c>
      <c r="CN129" s="862" t="s">
        <v>1386</v>
      </c>
      <c r="CO129" s="74"/>
      <c r="CP129" s="74"/>
      <c r="CQ129" s="74"/>
      <c r="CR129" s="74"/>
      <c r="CS129" s="74"/>
      <c r="CT129" s="74"/>
      <c r="CU129" s="74"/>
      <c r="CV129" s="74"/>
      <c r="CW129" s="74"/>
      <c r="CX129" s="74"/>
      <c r="CY129" s="74"/>
      <c r="CZ129" s="793"/>
      <c r="DA129" s="794"/>
      <c r="DB129" s="793"/>
      <c r="DC129" s="793"/>
      <c r="DD129" s="793"/>
      <c r="DE129" s="793"/>
      <c r="DF129" s="793"/>
      <c r="DG129" s="793"/>
      <c r="DH129" s="793"/>
      <c r="DI129" s="793"/>
      <c r="DJ129" s="793"/>
      <c r="DK129" s="793"/>
      <c r="DL129" s="793"/>
      <c r="DM129" s="74"/>
    </row>
    <row r="130" spans="80:117">
      <c r="CB130" s="863" t="s">
        <v>1387</v>
      </c>
      <c r="CN130" s="862" t="s">
        <v>1388</v>
      </c>
      <c r="CO130" s="74"/>
      <c r="CP130" s="74"/>
      <c r="CQ130" s="74"/>
      <c r="CR130" s="74"/>
      <c r="CS130" s="74"/>
      <c r="CT130" s="74"/>
      <c r="CU130" s="74"/>
      <c r="CV130" s="74"/>
      <c r="CW130" s="74"/>
      <c r="CX130" s="74"/>
      <c r="CY130" s="74"/>
      <c r="CZ130" s="793"/>
      <c r="DA130" s="794"/>
      <c r="DB130" s="793"/>
      <c r="DC130" s="793"/>
      <c r="DD130" s="793"/>
      <c r="DE130" s="793"/>
      <c r="DF130" s="793"/>
      <c r="DG130" s="793"/>
      <c r="DH130" s="793"/>
      <c r="DI130" s="793"/>
      <c r="DJ130" s="793"/>
      <c r="DK130" s="793"/>
      <c r="DL130" s="793"/>
      <c r="DM130" s="74"/>
    </row>
    <row r="131" spans="80:117">
      <c r="CN131" s="862" t="s">
        <v>1389</v>
      </c>
      <c r="CO131" s="74"/>
      <c r="CP131" s="74"/>
      <c r="CQ131" s="74"/>
      <c r="CR131" s="74"/>
      <c r="CS131" s="74"/>
      <c r="CT131" s="74"/>
      <c r="CU131" s="74"/>
      <c r="CV131" s="74"/>
      <c r="CW131" s="74"/>
      <c r="CX131" s="74"/>
      <c r="CY131" s="74"/>
      <c r="CZ131" s="864" t="s">
        <v>1386</v>
      </c>
      <c r="DA131" s="794"/>
      <c r="DB131" s="793"/>
      <c r="DC131" s="793"/>
      <c r="DD131" s="793"/>
      <c r="DE131" s="793"/>
      <c r="DF131" s="793"/>
      <c r="DG131" s="793"/>
      <c r="DH131" s="793"/>
      <c r="DI131" s="793"/>
      <c r="DJ131" s="793"/>
      <c r="DK131" s="793"/>
      <c r="DL131" s="793"/>
      <c r="DM131" s="74"/>
    </row>
    <row r="132" spans="80:117">
      <c r="CN132" s="74"/>
      <c r="CO132" s="74"/>
      <c r="CP132" s="74"/>
      <c r="CQ132" s="74"/>
      <c r="CR132" s="74"/>
      <c r="CS132" s="74"/>
      <c r="CT132" s="74"/>
      <c r="CU132" s="74"/>
      <c r="CV132" s="74"/>
      <c r="CW132" s="74"/>
      <c r="CX132" s="74"/>
      <c r="CY132" s="74"/>
      <c r="CZ132" s="864" t="s">
        <v>1388</v>
      </c>
      <c r="DA132" s="794"/>
      <c r="DB132" s="793"/>
      <c r="DC132" s="793"/>
      <c r="DD132" s="793"/>
      <c r="DE132" s="793"/>
      <c r="DF132" s="793"/>
      <c r="DG132" s="793"/>
      <c r="DH132" s="793"/>
      <c r="DI132" s="793"/>
      <c r="DJ132" s="793"/>
      <c r="DK132" s="793"/>
      <c r="DL132" s="793"/>
      <c r="DM132" s="74"/>
    </row>
    <row r="133" spans="80:117">
      <c r="CN133" s="74"/>
      <c r="CO133" s="74"/>
      <c r="CP133" s="74"/>
      <c r="CQ133" s="74"/>
      <c r="CR133" s="74"/>
      <c r="CS133" s="74"/>
      <c r="CT133" s="74"/>
      <c r="CU133" s="74"/>
      <c r="CV133" s="74"/>
      <c r="CW133" s="74"/>
      <c r="CX133" s="74"/>
      <c r="CY133" s="74"/>
      <c r="CZ133" s="864" t="s">
        <v>1360</v>
      </c>
      <c r="DA133" s="794"/>
      <c r="DB133" s="793"/>
      <c r="DC133" s="793"/>
      <c r="DD133" s="793"/>
      <c r="DE133" s="793"/>
      <c r="DF133" s="793"/>
      <c r="DG133" s="793"/>
      <c r="DH133" s="793"/>
      <c r="DI133" s="793"/>
      <c r="DJ133" s="793"/>
      <c r="DK133" s="793"/>
      <c r="DL133" s="793"/>
      <c r="DM133" s="74"/>
    </row>
    <row r="134" spans="80:117">
      <c r="CN134" s="74"/>
      <c r="CO134" s="74"/>
      <c r="CP134" s="74"/>
      <c r="CQ134" s="74"/>
      <c r="CR134" s="74"/>
      <c r="CS134" s="74"/>
      <c r="CT134" s="74"/>
      <c r="CU134" s="74"/>
      <c r="CV134" s="74"/>
      <c r="CW134" s="74"/>
      <c r="CX134" s="74"/>
      <c r="CY134" s="74"/>
      <c r="CZ134" s="74"/>
      <c r="DA134" s="150"/>
      <c r="DB134" s="74"/>
      <c r="DC134" s="74"/>
      <c r="DD134" s="74"/>
      <c r="DE134" s="74"/>
      <c r="DF134" s="74"/>
      <c r="DG134" s="74"/>
      <c r="DH134" s="74"/>
      <c r="DI134" s="74"/>
      <c r="DJ134" s="74"/>
      <c r="DK134" s="74"/>
      <c r="DL134" s="74"/>
      <c r="DM134" s="74"/>
    </row>
    <row r="135" spans="80:117">
      <c r="CN135" s="74"/>
      <c r="CO135" s="74"/>
      <c r="CP135" s="74"/>
      <c r="CQ135" s="74"/>
      <c r="CR135" s="74"/>
      <c r="CS135" s="74"/>
      <c r="CT135" s="74"/>
      <c r="CU135" s="74"/>
      <c r="CV135" s="74"/>
      <c r="CW135" s="74"/>
      <c r="CX135" s="74"/>
      <c r="CY135" s="74"/>
      <c r="CZ135" s="74"/>
      <c r="DA135" s="150"/>
      <c r="DB135" s="74"/>
      <c r="DC135" s="74"/>
      <c r="DD135" s="74"/>
      <c r="DE135" s="74"/>
      <c r="DF135" s="74"/>
      <c r="DG135" s="74"/>
      <c r="DH135" s="74"/>
      <c r="DI135" s="74"/>
      <c r="DJ135" s="74"/>
      <c r="DK135" s="74"/>
      <c r="DL135" s="74"/>
      <c r="DM135" s="74"/>
    </row>
    <row r="136" spans="80:117">
      <c r="CN136" s="74"/>
      <c r="CO136" s="74"/>
      <c r="CP136" s="74"/>
      <c r="CQ136" s="74"/>
      <c r="CR136" s="74"/>
      <c r="CS136" s="74"/>
      <c r="CT136" s="74"/>
      <c r="CU136" s="74"/>
      <c r="CV136" s="74"/>
      <c r="CW136" s="74"/>
      <c r="CX136" s="74"/>
      <c r="CY136" s="74"/>
      <c r="DM136" s="74"/>
    </row>
    <row r="137" spans="80:117">
      <c r="CN137" s="74"/>
      <c r="CO137" s="74"/>
      <c r="CP137" s="74"/>
      <c r="CQ137" s="74"/>
      <c r="CR137" s="74"/>
      <c r="CS137" s="74"/>
      <c r="CT137" s="74"/>
      <c r="CU137" s="74"/>
      <c r="CV137" s="74"/>
      <c r="CW137" s="74"/>
      <c r="CX137" s="74"/>
      <c r="CY137" s="74"/>
      <c r="DM137" s="74"/>
    </row>
    <row r="138" spans="80:117">
      <c r="CN138" s="74"/>
      <c r="CO138" s="74"/>
      <c r="CP138" s="74"/>
      <c r="CQ138" s="74"/>
      <c r="CR138" s="74"/>
      <c r="CS138" s="74"/>
      <c r="CT138" s="74"/>
      <c r="CU138" s="74"/>
      <c r="CV138" s="74"/>
      <c r="CW138" s="74"/>
      <c r="CX138" s="74"/>
      <c r="CY138" s="74"/>
      <c r="DM138" s="74"/>
    </row>
    <row r="139" spans="80:117">
      <c r="CP139" s="74"/>
      <c r="CQ139" s="74"/>
      <c r="CR139" s="74"/>
      <c r="CS139" s="74"/>
      <c r="CT139" s="74"/>
      <c r="CU139" s="74"/>
      <c r="CV139" s="74"/>
      <c r="CW139" s="74"/>
      <c r="CX139" s="74"/>
      <c r="CY139" s="74"/>
      <c r="DM139" s="74"/>
    </row>
    <row r="140" spans="80:117">
      <c r="CP140" s="74"/>
      <c r="CQ140" s="74"/>
      <c r="CR140" s="74"/>
      <c r="CS140" s="74"/>
      <c r="CT140" s="74"/>
      <c r="CU140" s="74"/>
      <c r="CV140" s="74"/>
      <c r="CW140" s="74"/>
      <c r="CX140" s="74"/>
    </row>
  </sheetData>
  <mergeCells count="21">
    <mergeCell ref="E5:L5"/>
    <mergeCell ref="T5:Y5"/>
    <mergeCell ref="CF118:CJ118"/>
    <mergeCell ref="CR118:CV118"/>
    <mergeCell ref="DD118:DI118"/>
    <mergeCell ref="CF50:CJ50"/>
    <mergeCell ref="CR50:CV50"/>
    <mergeCell ref="DD50:DI50"/>
    <mergeCell ref="CZ87:DK87"/>
    <mergeCell ref="CF90:CJ90"/>
    <mergeCell ref="CR90:CV90"/>
    <mergeCell ref="AS5:AZ5"/>
    <mergeCell ref="CP1:CZ1"/>
    <mergeCell ref="CN2:CX2"/>
    <mergeCell ref="CN3:CX3"/>
    <mergeCell ref="CZ3:DL3"/>
    <mergeCell ref="BG5:BK5"/>
    <mergeCell ref="BS5:BX5"/>
    <mergeCell ref="CF5:CJ5"/>
    <mergeCell ref="CR5:CV5"/>
    <mergeCell ref="DD5:DI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tabColor theme="9" tint="-0.499984740745262"/>
  </sheetPr>
  <dimension ref="B2:L83"/>
  <sheetViews>
    <sheetView workbookViewId="0">
      <pane ySplit="5" topLeftCell="A6" activePane="bottomLeft" state="frozen"/>
      <selection activeCell="I78" sqref="I78"/>
      <selection pane="bottomLeft" activeCell="M82" sqref="M82"/>
    </sheetView>
  </sheetViews>
  <sheetFormatPr baseColWidth="10" defaultRowHeight="15"/>
  <cols>
    <col min="1" max="1" width="2.7109375" customWidth="1"/>
    <col min="2" max="2" width="8.140625" bestFit="1" customWidth="1"/>
    <col min="3" max="3" width="53" customWidth="1"/>
  </cols>
  <sheetData>
    <row r="2" spans="2:12">
      <c r="B2" s="160" t="s">
        <v>2015</v>
      </c>
    </row>
    <row r="3" spans="2:12">
      <c r="B3" s="1287" t="s">
        <v>867</v>
      </c>
    </row>
    <row r="5" spans="2:12" ht="24">
      <c r="B5" s="4097" t="s">
        <v>2763</v>
      </c>
      <c r="C5" s="1372" t="s">
        <v>2</v>
      </c>
      <c r="D5" s="1373">
        <v>2010</v>
      </c>
      <c r="E5" s="1373">
        <v>2011</v>
      </c>
      <c r="F5" s="1373">
        <v>2012</v>
      </c>
      <c r="G5" s="1373">
        <v>2013</v>
      </c>
      <c r="H5" s="1373">
        <v>2014</v>
      </c>
      <c r="I5" s="1373">
        <v>2015</v>
      </c>
      <c r="J5" s="1373">
        <v>2016</v>
      </c>
      <c r="K5" s="1373">
        <v>2017</v>
      </c>
      <c r="L5" s="1373">
        <v>2018</v>
      </c>
    </row>
    <row r="6" spans="2:12" ht="15" customHeight="1">
      <c r="B6" s="4907" t="s">
        <v>4</v>
      </c>
      <c r="C6" s="3253" t="s">
        <v>116</v>
      </c>
      <c r="D6" s="3256">
        <v>0.31818181818181818</v>
      </c>
      <c r="E6" s="708">
        <v>0.2</v>
      </c>
      <c r="F6" s="1376">
        <v>0.4375</v>
      </c>
      <c r="G6" s="725">
        <v>0.30769230769230771</v>
      </c>
      <c r="H6" s="708">
        <v>0.42105263157894735</v>
      </c>
      <c r="I6" s="708">
        <v>0.24242424242424243</v>
      </c>
      <c r="J6" s="708">
        <v>0.34090909090909088</v>
      </c>
      <c r="K6" s="708">
        <v>1</v>
      </c>
      <c r="L6" s="708"/>
    </row>
    <row r="7" spans="2:12" ht="15" customHeight="1">
      <c r="B7" s="4908"/>
      <c r="C7" s="3254" t="s">
        <v>708</v>
      </c>
      <c r="D7" s="3244"/>
      <c r="E7" s="708"/>
      <c r="F7" s="1376"/>
      <c r="G7" s="3238"/>
      <c r="H7" s="708">
        <v>0.41666666666666669</v>
      </c>
      <c r="I7" s="708">
        <v>0.41666666666666669</v>
      </c>
      <c r="J7" s="708">
        <v>0.21052631578947367</v>
      </c>
      <c r="K7" s="708">
        <v>0.5625</v>
      </c>
      <c r="L7" s="708">
        <v>0.4</v>
      </c>
    </row>
    <row r="8" spans="2:12" ht="15" customHeight="1">
      <c r="B8" s="4909"/>
      <c r="C8" s="3254" t="s">
        <v>117</v>
      </c>
      <c r="D8" s="2610">
        <v>0</v>
      </c>
      <c r="E8" s="708">
        <v>0.66666666666666663</v>
      </c>
      <c r="F8" s="1365">
        <v>0.6</v>
      </c>
      <c r="G8" s="725">
        <v>0.125</v>
      </c>
      <c r="H8" s="708">
        <v>0.4</v>
      </c>
      <c r="I8" s="708">
        <v>0.35714285714285715</v>
      </c>
      <c r="J8" s="708">
        <v>0.4</v>
      </c>
      <c r="K8" s="708">
        <v>0.375</v>
      </c>
      <c r="L8" s="708">
        <v>0.1111111111111111</v>
      </c>
    </row>
    <row r="9" spans="2:12" ht="15" customHeight="1">
      <c r="B9" s="4908"/>
      <c r="C9" s="3254" t="s">
        <v>707</v>
      </c>
      <c r="D9" s="3244"/>
      <c r="E9" s="1374"/>
      <c r="F9" s="1376"/>
      <c r="G9" s="3238"/>
      <c r="H9" s="708">
        <v>0.25</v>
      </c>
      <c r="I9" s="708">
        <v>0</v>
      </c>
      <c r="J9" s="708">
        <v>0</v>
      </c>
      <c r="K9" s="708"/>
      <c r="L9" s="708">
        <v>0.25</v>
      </c>
    </row>
    <row r="10" spans="2:12" ht="15" customHeight="1">
      <c r="B10" s="4908"/>
      <c r="C10" s="3254" t="s">
        <v>115</v>
      </c>
      <c r="D10" s="2610">
        <v>0</v>
      </c>
      <c r="E10" s="712">
        <v>0</v>
      </c>
      <c r="F10" s="1365">
        <v>0</v>
      </c>
      <c r="G10" s="725">
        <v>0</v>
      </c>
      <c r="H10" s="708"/>
      <c r="I10" s="708"/>
      <c r="J10" s="708"/>
      <c r="K10" s="708">
        <v>0.33333333333333331</v>
      </c>
      <c r="L10" s="708">
        <v>0.2857142857142857</v>
      </c>
    </row>
    <row r="11" spans="2:12" ht="15" customHeight="1">
      <c r="B11" s="4909"/>
      <c r="C11" s="3254" t="s">
        <v>2713</v>
      </c>
      <c r="D11" s="2610"/>
      <c r="E11" s="3194"/>
      <c r="F11" s="1365"/>
      <c r="G11" s="2611"/>
      <c r="H11" s="3195"/>
      <c r="I11" s="3195"/>
      <c r="J11" s="3195"/>
      <c r="K11" s="3195">
        <v>0.33333333333333331</v>
      </c>
      <c r="L11" s="3195">
        <v>0.59375</v>
      </c>
    </row>
    <row r="12" spans="2:12" ht="15" customHeight="1">
      <c r="B12" s="4910"/>
      <c r="C12" s="4690" t="s">
        <v>572</v>
      </c>
      <c r="D12" s="3257">
        <v>0.21875</v>
      </c>
      <c r="E12" s="712">
        <v>0.23076923076923078</v>
      </c>
      <c r="F12" s="1371">
        <v>0.3902439024390244</v>
      </c>
      <c r="G12" s="1366">
        <v>0.1875</v>
      </c>
      <c r="H12" s="712">
        <v>0.4</v>
      </c>
      <c r="I12" s="712">
        <v>0.2857142857142857</v>
      </c>
      <c r="J12" s="712">
        <v>0.30864197530864196</v>
      </c>
      <c r="K12" s="712">
        <v>0.41176470588235292</v>
      </c>
      <c r="L12" s="712">
        <v>0.38750000000000001</v>
      </c>
    </row>
    <row r="13" spans="2:12" ht="15" customHeight="1">
      <c r="B13" s="4907" t="s">
        <v>16</v>
      </c>
      <c r="C13" s="3253" t="s">
        <v>247</v>
      </c>
      <c r="D13" s="2610">
        <v>0.6875</v>
      </c>
      <c r="E13" s="708">
        <v>0.55555555555555558</v>
      </c>
      <c r="F13" s="1376"/>
      <c r="G13" s="725">
        <v>0.6</v>
      </c>
      <c r="H13" s="708"/>
      <c r="I13" s="708">
        <v>0.24</v>
      </c>
      <c r="J13" s="708"/>
      <c r="K13" s="708">
        <v>9.0909090909090912E-2</v>
      </c>
      <c r="L13" s="708"/>
    </row>
    <row r="14" spans="2:12" ht="15" customHeight="1">
      <c r="B14" s="4908"/>
      <c r="C14" s="3254" t="s">
        <v>119</v>
      </c>
      <c r="D14" s="3244"/>
      <c r="E14" s="708">
        <v>0.35714285714285715</v>
      </c>
      <c r="F14" s="1376"/>
      <c r="G14" s="3238"/>
      <c r="H14" s="708">
        <v>0.6</v>
      </c>
      <c r="I14" s="708"/>
      <c r="J14" s="708">
        <v>0.625</v>
      </c>
      <c r="K14" s="708">
        <v>5.8823529411764705E-2</v>
      </c>
      <c r="L14" s="708"/>
    </row>
    <row r="15" spans="2:12" ht="15" customHeight="1">
      <c r="B15" s="4908"/>
      <c r="C15" s="3254" t="s">
        <v>533</v>
      </c>
      <c r="D15" s="3258"/>
      <c r="E15" s="1374"/>
      <c r="F15" s="1376"/>
      <c r="G15" s="3238"/>
      <c r="H15" s="708">
        <v>0.41666666666666669</v>
      </c>
      <c r="I15" s="708"/>
      <c r="J15" s="708">
        <v>0.42105263157894735</v>
      </c>
      <c r="K15" s="708"/>
      <c r="L15" s="708"/>
    </row>
    <row r="16" spans="2:12" ht="15" customHeight="1">
      <c r="B16" s="4908"/>
      <c r="C16" s="3254" t="s">
        <v>118</v>
      </c>
      <c r="D16" s="2610">
        <v>0.55555555555555558</v>
      </c>
      <c r="E16" s="708">
        <v>6.25E-2</v>
      </c>
      <c r="F16" s="1371">
        <v>0</v>
      </c>
      <c r="G16" s="725">
        <v>0</v>
      </c>
      <c r="H16" s="708">
        <v>0</v>
      </c>
      <c r="I16" s="708">
        <v>5.5555555555555552E-2</v>
      </c>
      <c r="J16" s="708">
        <v>0.1</v>
      </c>
      <c r="K16" s="708"/>
      <c r="L16" s="708">
        <v>0.46153846153846156</v>
      </c>
    </row>
    <row r="17" spans="2:12" ht="15" customHeight="1">
      <c r="B17" s="4908"/>
      <c r="C17" s="3253" t="s">
        <v>120</v>
      </c>
      <c r="D17" s="2610">
        <v>0</v>
      </c>
      <c r="E17" s="708">
        <v>0.27272727272727271</v>
      </c>
      <c r="F17" s="1376"/>
      <c r="G17" s="725">
        <v>0</v>
      </c>
      <c r="H17" s="708"/>
      <c r="I17" s="708">
        <v>8.3333333333333329E-2</v>
      </c>
      <c r="J17" s="708"/>
      <c r="K17" s="708">
        <v>0.5</v>
      </c>
      <c r="L17" s="708">
        <v>0.22222222222222221</v>
      </c>
    </row>
    <row r="18" spans="2:12" ht="15" customHeight="1">
      <c r="B18" s="4910"/>
      <c r="C18" s="4690" t="s">
        <v>573</v>
      </c>
      <c r="D18" s="3257">
        <v>0.59259259259259256</v>
      </c>
      <c r="E18" s="712">
        <v>0.32203389830508472</v>
      </c>
      <c r="F18" s="1371">
        <v>0</v>
      </c>
      <c r="G18" s="1366">
        <v>0.3125</v>
      </c>
      <c r="H18" s="712">
        <v>0.35897435897435898</v>
      </c>
      <c r="I18" s="712">
        <v>0.14545454545454545</v>
      </c>
      <c r="J18" s="712">
        <v>0.45283018867924529</v>
      </c>
      <c r="K18" s="712">
        <v>0.14705882352941177</v>
      </c>
      <c r="L18" s="712">
        <v>0.32258064516129031</v>
      </c>
    </row>
    <row r="19" spans="2:12" ht="15" customHeight="1">
      <c r="B19" s="4907" t="s">
        <v>21</v>
      </c>
      <c r="C19" s="3254" t="s">
        <v>106</v>
      </c>
      <c r="D19" s="2610">
        <v>6.4516129032258063E-2</v>
      </c>
      <c r="E19" s="708">
        <v>0.2391304347826087</v>
      </c>
      <c r="F19" s="1365">
        <v>9.0909090909090912E-2</v>
      </c>
      <c r="G19" s="725">
        <v>0.21311475409836064</v>
      </c>
      <c r="H19" s="708">
        <v>0.375</v>
      </c>
      <c r="I19" s="708">
        <v>0.16666666666666666</v>
      </c>
      <c r="J19" s="708"/>
      <c r="K19" s="708">
        <v>1</v>
      </c>
      <c r="L19" s="708"/>
    </row>
    <row r="20" spans="2:12" ht="15" customHeight="1">
      <c r="B20" s="4908"/>
      <c r="C20" s="3255" t="s">
        <v>1692</v>
      </c>
      <c r="D20" s="2610"/>
      <c r="E20" s="708"/>
      <c r="F20" s="1365"/>
      <c r="G20" s="725"/>
      <c r="H20" s="708"/>
      <c r="I20" s="708">
        <v>0</v>
      </c>
      <c r="J20" s="708"/>
      <c r="K20" s="708">
        <v>0.45454545454545453</v>
      </c>
      <c r="L20" s="708">
        <v>0.5</v>
      </c>
    </row>
    <row r="21" spans="2:12" ht="15" customHeight="1">
      <c r="B21" s="4908"/>
      <c r="C21" s="3255" t="s">
        <v>1693</v>
      </c>
      <c r="D21" s="2610"/>
      <c r="E21" s="708"/>
      <c r="F21" s="1365"/>
      <c r="G21" s="725"/>
      <c r="H21" s="708"/>
      <c r="I21" s="708">
        <v>0.33333333333333331</v>
      </c>
      <c r="J21" s="708">
        <v>0</v>
      </c>
      <c r="K21" s="708">
        <v>0</v>
      </c>
      <c r="L21" s="708">
        <v>0</v>
      </c>
    </row>
    <row r="22" spans="2:12">
      <c r="B22" s="4908"/>
      <c r="C22" s="3255" t="s">
        <v>1694</v>
      </c>
      <c r="D22" s="2610"/>
      <c r="E22" s="708"/>
      <c r="F22" s="1365"/>
      <c r="G22" s="725"/>
      <c r="H22" s="708"/>
      <c r="I22" s="708"/>
      <c r="J22" s="708"/>
      <c r="K22" s="708">
        <v>0.33333333333333331</v>
      </c>
      <c r="L22" s="708">
        <v>0</v>
      </c>
    </row>
    <row r="23" spans="2:12" ht="24">
      <c r="B23" s="4908"/>
      <c r="C23" s="3255" t="s">
        <v>1691</v>
      </c>
      <c r="D23" s="2610"/>
      <c r="E23" s="708"/>
      <c r="F23" s="1365"/>
      <c r="G23" s="725"/>
      <c r="H23" s="708"/>
      <c r="I23" s="708">
        <v>0.25</v>
      </c>
      <c r="J23" s="708">
        <v>0</v>
      </c>
      <c r="K23" s="708">
        <v>5.8823529411764705E-2</v>
      </c>
      <c r="L23" s="708"/>
    </row>
    <row r="24" spans="2:12">
      <c r="B24" s="4908"/>
      <c r="C24" s="3255" t="s">
        <v>1695</v>
      </c>
      <c r="D24" s="2610"/>
      <c r="E24" s="708"/>
      <c r="F24" s="1365"/>
      <c r="G24" s="725"/>
      <c r="H24" s="708"/>
      <c r="I24" s="708">
        <v>0.5</v>
      </c>
      <c r="J24" s="708">
        <v>0</v>
      </c>
      <c r="K24" s="708">
        <v>7.6923076923076927E-2</v>
      </c>
      <c r="L24" s="708">
        <v>0.4</v>
      </c>
    </row>
    <row r="25" spans="2:12" ht="24">
      <c r="B25" s="4909"/>
      <c r="C25" s="3252" t="s">
        <v>2714</v>
      </c>
      <c r="D25" s="2610"/>
      <c r="E25" s="3195"/>
      <c r="F25" s="1365"/>
      <c r="G25" s="2611"/>
      <c r="H25" s="3195"/>
      <c r="I25" s="3195"/>
      <c r="J25" s="3195"/>
      <c r="K25" s="3195">
        <v>0</v>
      </c>
      <c r="L25" s="3195">
        <v>0</v>
      </c>
    </row>
    <row r="26" spans="2:12" ht="15" customHeight="1">
      <c r="B26" s="4910"/>
      <c r="C26" s="4691" t="s">
        <v>574</v>
      </c>
      <c r="D26" s="3259">
        <v>6.4516129032258063E-2</v>
      </c>
      <c r="E26" s="1368">
        <v>0.2391304347826087</v>
      </c>
      <c r="F26" s="1724">
        <v>9.0909090909090912E-2</v>
      </c>
      <c r="G26" s="1369">
        <v>0.21311475409836064</v>
      </c>
      <c r="H26" s="1368">
        <v>0.375</v>
      </c>
      <c r="I26" s="1368">
        <v>0.22916666666666666</v>
      </c>
      <c r="J26" s="1368">
        <v>0</v>
      </c>
      <c r="K26" s="1368">
        <v>0.1875</v>
      </c>
      <c r="L26" s="1368">
        <v>0.1875</v>
      </c>
    </row>
    <row r="27" spans="2:12" ht="15" customHeight="1">
      <c r="B27" s="1379"/>
      <c r="C27" s="1380" t="s">
        <v>107</v>
      </c>
      <c r="D27" s="1378">
        <v>0.27777777777777779</v>
      </c>
      <c r="E27" s="1368">
        <v>0.27083333333333331</v>
      </c>
      <c r="F27" s="1724">
        <v>0.23170731707317074</v>
      </c>
      <c r="G27" s="1369">
        <v>0.24113475177304963</v>
      </c>
      <c r="H27" s="1368">
        <v>0.38043478260869568</v>
      </c>
      <c r="I27" s="1368">
        <v>0.22289156626506024</v>
      </c>
      <c r="J27" s="1368">
        <v>0.34265734265734266</v>
      </c>
      <c r="K27" s="1368">
        <v>0.26373626373626374</v>
      </c>
      <c r="L27" s="1368">
        <v>0.34645669291338582</v>
      </c>
    </row>
    <row r="28" spans="2:12" ht="15" customHeight="1">
      <c r="B28" s="4908"/>
      <c r="C28" s="3237" t="s">
        <v>121</v>
      </c>
      <c r="D28" s="1364">
        <v>0</v>
      </c>
      <c r="E28" s="708">
        <v>0</v>
      </c>
      <c r="F28" s="1365">
        <v>0</v>
      </c>
      <c r="G28" s="725">
        <v>0.5</v>
      </c>
      <c r="H28" s="708">
        <v>0.2</v>
      </c>
      <c r="I28" s="708">
        <v>0.125</v>
      </c>
      <c r="J28" s="708">
        <v>0.16666666666666666</v>
      </c>
      <c r="K28" s="708">
        <v>0.26315789473684209</v>
      </c>
      <c r="L28" s="708">
        <v>0.19047619047619047</v>
      </c>
    </row>
    <row r="29" spans="2:12" ht="15" customHeight="1">
      <c r="B29" s="4909"/>
      <c r="C29" s="3237" t="s">
        <v>122</v>
      </c>
      <c r="D29" s="1364">
        <v>0.2</v>
      </c>
      <c r="E29" s="708">
        <v>0.1</v>
      </c>
      <c r="F29" s="1365">
        <v>0.15</v>
      </c>
      <c r="G29" s="725">
        <v>0.17948717948717949</v>
      </c>
      <c r="H29" s="708">
        <v>0.08</v>
      </c>
      <c r="I29" s="708">
        <v>0.04</v>
      </c>
      <c r="J29" s="708">
        <v>0.1111111111111111</v>
      </c>
      <c r="K29" s="708">
        <v>0.08</v>
      </c>
      <c r="L29" s="708">
        <v>0</v>
      </c>
    </row>
    <row r="30" spans="2:12" ht="15" customHeight="1">
      <c r="B30" s="4909"/>
      <c r="C30" s="3237" t="s">
        <v>123</v>
      </c>
      <c r="D30" s="1364">
        <v>0.16666666666666666</v>
      </c>
      <c r="E30" s="708">
        <v>0</v>
      </c>
      <c r="F30" s="1365">
        <v>0.125</v>
      </c>
      <c r="G30" s="725">
        <v>0.33333333333333331</v>
      </c>
      <c r="H30" s="708">
        <v>0.23076923076923078</v>
      </c>
      <c r="I30" s="708">
        <v>0.21052631578947367</v>
      </c>
      <c r="J30" s="708">
        <v>0.23076923076923078</v>
      </c>
      <c r="K30" s="708">
        <v>0.6</v>
      </c>
      <c r="L30" s="708">
        <v>0.78947368421052633</v>
      </c>
    </row>
    <row r="31" spans="2:12" ht="15" customHeight="1">
      <c r="B31" s="4909"/>
      <c r="C31" s="3237" t="s">
        <v>124</v>
      </c>
      <c r="D31" s="1364">
        <v>0.2</v>
      </c>
      <c r="E31" s="708">
        <v>0.14285714285714285</v>
      </c>
      <c r="F31" s="1365"/>
      <c r="G31" s="725">
        <v>0.25</v>
      </c>
      <c r="H31" s="708">
        <v>0.36363636363636365</v>
      </c>
      <c r="I31" s="708">
        <v>0.2857142857142857</v>
      </c>
      <c r="J31" s="708">
        <v>0.44444444444444442</v>
      </c>
      <c r="K31" s="708">
        <v>0.33333333333333331</v>
      </c>
      <c r="L31" s="708">
        <v>0.33333333333333331</v>
      </c>
    </row>
    <row r="32" spans="2:12" ht="15" customHeight="1">
      <c r="B32" s="4908"/>
      <c r="C32" s="3237" t="s">
        <v>125</v>
      </c>
      <c r="D32" s="1364">
        <v>0.33333333333333331</v>
      </c>
      <c r="E32" s="708">
        <v>0.13333333333333333</v>
      </c>
      <c r="F32" s="1365">
        <v>6.6666666666666666E-2</v>
      </c>
      <c r="G32" s="725">
        <v>0.25</v>
      </c>
      <c r="H32" s="708">
        <v>0.33333333333333331</v>
      </c>
      <c r="I32" s="708">
        <v>0.3</v>
      </c>
      <c r="J32" s="708">
        <v>0.33333333333333331</v>
      </c>
      <c r="K32" s="708">
        <v>0</v>
      </c>
      <c r="L32" s="708">
        <v>0.27272727272727271</v>
      </c>
    </row>
    <row r="33" spans="2:12" ht="15" customHeight="1">
      <c r="B33" s="4909"/>
      <c r="C33" s="3237" t="s">
        <v>424</v>
      </c>
      <c r="D33" s="1364">
        <v>0.5</v>
      </c>
      <c r="E33" s="708">
        <v>0.5</v>
      </c>
      <c r="F33" s="1365">
        <v>0.2</v>
      </c>
      <c r="G33" s="725">
        <v>0.17391304347826086</v>
      </c>
      <c r="H33" s="708">
        <v>9.5238095238095233E-2</v>
      </c>
      <c r="I33" s="708">
        <v>0.2</v>
      </c>
      <c r="J33" s="708">
        <v>5.8823529411764705E-2</v>
      </c>
      <c r="K33" s="708">
        <v>0.26666666666666666</v>
      </c>
      <c r="L33" s="708">
        <v>0.22222222222222221</v>
      </c>
    </row>
    <row r="34" spans="2:12" ht="15" customHeight="1">
      <c r="B34" s="4909"/>
      <c r="C34" s="3239" t="s">
        <v>834</v>
      </c>
      <c r="D34" s="1364"/>
      <c r="E34" s="708"/>
      <c r="F34" s="1365"/>
      <c r="G34" s="725"/>
      <c r="H34" s="708"/>
      <c r="I34" s="708">
        <v>0.26923076923076922</v>
      </c>
      <c r="J34" s="708">
        <v>0.15384615384615385</v>
      </c>
      <c r="K34" s="708">
        <v>0.53333333333333333</v>
      </c>
      <c r="L34" s="708">
        <v>0.8214285714285714</v>
      </c>
    </row>
    <row r="35" spans="2:12" ht="15" customHeight="1">
      <c r="B35" s="4908"/>
      <c r="C35" s="3239" t="s">
        <v>889</v>
      </c>
      <c r="D35" s="1364">
        <v>0.1</v>
      </c>
      <c r="E35" s="708"/>
      <c r="F35" s="1365"/>
      <c r="G35" s="725"/>
      <c r="H35" s="708"/>
      <c r="I35" s="708"/>
      <c r="J35" s="708"/>
      <c r="K35" s="708"/>
      <c r="L35" s="708"/>
    </row>
    <row r="36" spans="2:12" ht="15" customHeight="1">
      <c r="B36" s="4910"/>
      <c r="C36" s="4692" t="s">
        <v>572</v>
      </c>
      <c r="D36" s="1375">
        <v>0.20512820512820512</v>
      </c>
      <c r="E36" s="712">
        <v>0.16666666666666666</v>
      </c>
      <c r="F36" s="1371">
        <v>0.15384615384615385</v>
      </c>
      <c r="G36" s="1366">
        <v>0.23214285714285715</v>
      </c>
      <c r="H36" s="712">
        <v>0.19469026548672566</v>
      </c>
      <c r="I36" s="712">
        <v>0.19658119658119658</v>
      </c>
      <c r="J36" s="712">
        <v>0.17525773195876287</v>
      </c>
      <c r="K36" s="712">
        <v>0.27272727272727271</v>
      </c>
      <c r="L36" s="712">
        <v>0.44736842105263158</v>
      </c>
    </row>
    <row r="37" spans="2:12" ht="15" customHeight="1">
      <c r="B37" s="4907" t="s">
        <v>16</v>
      </c>
      <c r="C37" s="3240" t="s">
        <v>108</v>
      </c>
      <c r="D37" s="1364">
        <v>0.88888888888888884</v>
      </c>
      <c r="E37" s="1374"/>
      <c r="F37" s="1365">
        <v>0.93333333333333335</v>
      </c>
      <c r="G37" s="725"/>
      <c r="H37" s="708"/>
      <c r="I37" s="708">
        <v>0.93333333333333335</v>
      </c>
      <c r="J37" s="708"/>
      <c r="K37" s="708">
        <v>0.93333333333333335</v>
      </c>
      <c r="L37" s="708"/>
    </row>
    <row r="38" spans="2:12" ht="15" customHeight="1">
      <c r="B38" s="4908"/>
      <c r="C38" s="3237" t="s">
        <v>129</v>
      </c>
      <c r="D38" s="1364">
        <v>0.77777777777777779</v>
      </c>
      <c r="E38" s="708">
        <v>0.9</v>
      </c>
      <c r="F38" s="1365">
        <v>0.7857142857142857</v>
      </c>
      <c r="G38" s="725">
        <v>0.35714285714285715</v>
      </c>
      <c r="H38" s="708">
        <v>0.8571428571428571</v>
      </c>
      <c r="I38" s="708">
        <v>0.61538461538461542</v>
      </c>
      <c r="J38" s="708">
        <v>0.83333333333333337</v>
      </c>
      <c r="K38" s="708">
        <v>0.5714285714285714</v>
      </c>
      <c r="L38" s="708">
        <v>0.25</v>
      </c>
    </row>
    <row r="39" spans="2:12" ht="15" customHeight="1">
      <c r="B39" s="4908"/>
      <c r="C39" s="3237" t="s">
        <v>128</v>
      </c>
      <c r="D39" s="1364">
        <v>0.58064516129032262</v>
      </c>
      <c r="E39" s="1374"/>
      <c r="F39" s="1365">
        <v>0.72222222222222221</v>
      </c>
      <c r="G39" s="3238"/>
      <c r="H39" s="708">
        <v>0.7857142857142857</v>
      </c>
      <c r="I39" s="3241"/>
      <c r="J39" s="708">
        <v>0.5714285714285714</v>
      </c>
      <c r="K39" s="708"/>
      <c r="L39" s="708">
        <v>0.8</v>
      </c>
    </row>
    <row r="40" spans="2:12" ht="15" customHeight="1">
      <c r="B40" s="4908"/>
      <c r="C40" s="3236" t="s">
        <v>126</v>
      </c>
      <c r="D40" s="1364">
        <v>0.42857142857142855</v>
      </c>
      <c r="E40" s="708">
        <v>0.21428571428571427</v>
      </c>
      <c r="F40" s="1377"/>
      <c r="G40" s="725">
        <v>0.16666666666666666</v>
      </c>
      <c r="H40" s="708"/>
      <c r="I40" s="708"/>
      <c r="J40" s="708">
        <v>0.53333333333333333</v>
      </c>
      <c r="K40" s="708">
        <v>0.77419354838709675</v>
      </c>
      <c r="L40" s="708"/>
    </row>
    <row r="41" spans="2:12" ht="15" customHeight="1">
      <c r="B41" s="4908"/>
      <c r="C41" s="3237" t="s">
        <v>127</v>
      </c>
      <c r="D41" s="1364">
        <v>7.4999999999999997E-2</v>
      </c>
      <c r="E41" s="708">
        <v>0.16666666666666666</v>
      </c>
      <c r="F41" s="1365">
        <v>0.16666666666666666</v>
      </c>
      <c r="G41" s="3238"/>
      <c r="H41" s="708">
        <v>0.546875</v>
      </c>
      <c r="I41" s="708"/>
      <c r="J41" s="708">
        <v>0.58620689655172409</v>
      </c>
      <c r="K41" s="708"/>
      <c r="L41" s="708">
        <v>0.21568627450980393</v>
      </c>
    </row>
    <row r="42" spans="2:12" ht="15" customHeight="1">
      <c r="B42" s="4910"/>
      <c r="C42" s="4692" t="s">
        <v>573</v>
      </c>
      <c r="D42" s="1375">
        <v>0.3522012578616352</v>
      </c>
      <c r="E42" s="712">
        <v>0.43333333333333335</v>
      </c>
      <c r="F42" s="1371">
        <v>0.47328244274809161</v>
      </c>
      <c r="G42" s="1366">
        <v>0.3125</v>
      </c>
      <c r="H42" s="712">
        <v>0.65094339622641506</v>
      </c>
      <c r="I42" s="712">
        <v>0.73170731707317072</v>
      </c>
      <c r="J42" s="712">
        <v>0.60176991150442483</v>
      </c>
      <c r="K42" s="712">
        <v>0.79245283018867929</v>
      </c>
      <c r="L42" s="712">
        <v>0.37333333333333335</v>
      </c>
    </row>
    <row r="43" spans="2:12" ht="15" customHeight="1">
      <c r="B43" s="4907" t="s">
        <v>41</v>
      </c>
      <c r="C43" s="3237" t="s">
        <v>462</v>
      </c>
      <c r="D43" s="1376"/>
      <c r="E43" s="1374"/>
      <c r="F43" s="1376"/>
      <c r="G43" s="3238"/>
      <c r="H43" s="708">
        <v>0.6875</v>
      </c>
      <c r="I43" s="708">
        <v>0.2</v>
      </c>
      <c r="J43" s="708">
        <v>0.46666666666666667</v>
      </c>
      <c r="K43" s="708">
        <v>0.35714285714285715</v>
      </c>
      <c r="L43" s="708">
        <v>0.46666666666666667</v>
      </c>
    </row>
    <row r="44" spans="2:12" ht="15" customHeight="1">
      <c r="B44" s="4908"/>
      <c r="C44" s="3237" t="s">
        <v>130</v>
      </c>
      <c r="D44" s="1364">
        <v>0.625</v>
      </c>
      <c r="E44" s="708">
        <v>0.61904761904761907</v>
      </c>
      <c r="F44" s="1365">
        <v>0.69230769230769229</v>
      </c>
      <c r="G44" s="725">
        <v>0.625</v>
      </c>
      <c r="H44" s="708">
        <v>0.625</v>
      </c>
      <c r="I44" s="708">
        <v>0.6071428571428571</v>
      </c>
      <c r="J44" s="708">
        <v>0.57894736842105265</v>
      </c>
      <c r="K44" s="708">
        <v>0.66666666666666663</v>
      </c>
      <c r="L44" s="708">
        <v>0.46666666666666667</v>
      </c>
    </row>
    <row r="45" spans="2:12" ht="15" customHeight="1">
      <c r="B45" s="4908"/>
      <c r="C45" s="3237" t="s">
        <v>131</v>
      </c>
      <c r="D45" s="1364">
        <v>0.14285714285714285</v>
      </c>
      <c r="E45" s="708">
        <v>0.56521739130434778</v>
      </c>
      <c r="F45" s="1365">
        <v>0.63157894736842102</v>
      </c>
      <c r="G45" s="725">
        <v>0.55555555555555558</v>
      </c>
      <c r="H45" s="708">
        <v>0.57894736842105265</v>
      </c>
      <c r="I45" s="708">
        <v>0.47058823529411764</v>
      </c>
      <c r="J45" s="708">
        <v>0.70588235294117652</v>
      </c>
      <c r="K45" s="708">
        <v>0.5</v>
      </c>
      <c r="L45" s="708">
        <v>0.7142857142857143</v>
      </c>
    </row>
    <row r="46" spans="2:12" ht="15" customHeight="1">
      <c r="B46" s="4908"/>
      <c r="C46" s="3237" t="s">
        <v>132</v>
      </c>
      <c r="D46" s="1364">
        <v>0.18181818181818182</v>
      </c>
      <c r="E46" s="708">
        <v>0.25</v>
      </c>
      <c r="F46" s="1365">
        <v>0</v>
      </c>
      <c r="G46" s="725">
        <v>0.14814814814814814</v>
      </c>
      <c r="H46" s="708">
        <v>0</v>
      </c>
      <c r="I46" s="708">
        <v>0.25</v>
      </c>
      <c r="J46" s="708">
        <v>0.3888888888888889</v>
      </c>
      <c r="K46" s="708">
        <v>0.21739130434782608</v>
      </c>
      <c r="L46" s="708">
        <v>0.21428571428571427</v>
      </c>
    </row>
    <row r="47" spans="2:12" ht="15" customHeight="1">
      <c r="B47" s="4910"/>
      <c r="C47" s="4693" t="s">
        <v>575</v>
      </c>
      <c r="D47" s="1378">
        <v>0.30769230769230771</v>
      </c>
      <c r="E47" s="1368">
        <v>0.5178571428571429</v>
      </c>
      <c r="F47" s="1724">
        <v>0.47727272727272729</v>
      </c>
      <c r="G47" s="1369">
        <v>0.42028985507246375</v>
      </c>
      <c r="H47" s="1369">
        <v>0.532258064516129</v>
      </c>
      <c r="I47" s="3242">
        <v>0.41772151898734178</v>
      </c>
      <c r="J47" s="3242">
        <v>0.53623188405797106</v>
      </c>
      <c r="K47" s="3242">
        <v>0.40909090909090912</v>
      </c>
      <c r="L47" s="3242">
        <v>0.46551724137931033</v>
      </c>
    </row>
    <row r="48" spans="2:12" ht="15" customHeight="1">
      <c r="B48" s="1379"/>
      <c r="C48" s="1380" t="s">
        <v>111</v>
      </c>
      <c r="D48" s="1378">
        <v>0.30449826989619377</v>
      </c>
      <c r="E48" s="1368">
        <v>0.32941176470588235</v>
      </c>
      <c r="F48" s="1724">
        <v>0.36466165413533835</v>
      </c>
      <c r="G48" s="1369">
        <v>0.29577464788732394</v>
      </c>
      <c r="H48" s="1368">
        <v>0.44483985765124556</v>
      </c>
      <c r="I48" s="1368">
        <v>0.3628691983122363</v>
      </c>
      <c r="J48" s="1368">
        <v>0.43727598566308246</v>
      </c>
      <c r="K48" s="1368">
        <v>0.43231441048034935</v>
      </c>
      <c r="L48" s="1368">
        <v>0.43724696356275305</v>
      </c>
    </row>
    <row r="49" spans="2:12" ht="15" customHeight="1">
      <c r="B49" s="4907" t="s">
        <v>16</v>
      </c>
      <c r="C49" s="3236" t="s">
        <v>135</v>
      </c>
      <c r="D49" s="1364">
        <v>0.81818181818181823</v>
      </c>
      <c r="E49" s="708">
        <v>0.875</v>
      </c>
      <c r="F49" s="1376"/>
      <c r="G49" s="725">
        <v>1</v>
      </c>
      <c r="H49" s="708"/>
      <c r="I49" s="708"/>
      <c r="J49" s="708"/>
      <c r="K49" s="708"/>
      <c r="L49" s="708"/>
    </row>
    <row r="50" spans="2:12" ht="15" customHeight="1">
      <c r="B50" s="4908"/>
      <c r="C50" s="3237" t="s">
        <v>621</v>
      </c>
      <c r="D50" s="1376"/>
      <c r="E50" s="1374"/>
      <c r="F50" s="1376"/>
      <c r="G50" s="725">
        <v>0.625</v>
      </c>
      <c r="H50" s="708">
        <v>0.39130434782608697</v>
      </c>
      <c r="I50" s="708"/>
      <c r="J50" s="708">
        <v>0.22727272727272727</v>
      </c>
      <c r="K50" s="708"/>
      <c r="L50" s="708">
        <v>0.34782608695652173</v>
      </c>
    </row>
    <row r="51" spans="2:12" ht="15" customHeight="1">
      <c r="B51" s="4908"/>
      <c r="C51" s="3237" t="s">
        <v>112</v>
      </c>
      <c r="D51" s="1364">
        <v>0</v>
      </c>
      <c r="E51" s="1374"/>
      <c r="F51" s="1365">
        <v>0.53846153846153844</v>
      </c>
      <c r="G51" s="3238"/>
      <c r="H51" s="708">
        <v>0.45945945945945948</v>
      </c>
      <c r="I51" s="708"/>
      <c r="J51" s="708">
        <v>0.63636363636363635</v>
      </c>
      <c r="K51" s="708">
        <v>0.54285714285714282</v>
      </c>
      <c r="L51" s="708">
        <v>1</v>
      </c>
    </row>
    <row r="52" spans="2:12" ht="15" customHeight="1">
      <c r="B52" s="4908"/>
      <c r="C52" s="3237" t="s">
        <v>534</v>
      </c>
      <c r="D52" s="1376"/>
      <c r="E52" s="1374"/>
      <c r="F52" s="1376"/>
      <c r="G52" s="3238"/>
      <c r="H52" s="708">
        <v>0.42105263157894735</v>
      </c>
      <c r="I52" s="708"/>
      <c r="J52" s="708">
        <v>0.66666666666666663</v>
      </c>
      <c r="K52" s="708"/>
      <c r="L52" s="708">
        <v>0.34782608695652173</v>
      </c>
    </row>
    <row r="53" spans="2:12" ht="15" customHeight="1">
      <c r="B53" s="4908"/>
      <c r="C53" s="3237" t="s">
        <v>137</v>
      </c>
      <c r="D53" s="1364">
        <v>0.5</v>
      </c>
      <c r="E53" s="1374"/>
      <c r="F53" s="1365">
        <v>0.26315789473684209</v>
      </c>
      <c r="G53" s="3238"/>
      <c r="H53" s="708">
        <v>0</v>
      </c>
      <c r="I53" s="708"/>
      <c r="J53" s="708">
        <v>0</v>
      </c>
      <c r="K53" s="708"/>
      <c r="L53" s="708">
        <v>0.2</v>
      </c>
    </row>
    <row r="54" spans="2:12" ht="15" customHeight="1">
      <c r="B54" s="4908"/>
      <c r="C54" s="3237" t="s">
        <v>2009</v>
      </c>
      <c r="D54" s="1364">
        <v>0.59090909090909094</v>
      </c>
      <c r="E54" s="1374"/>
      <c r="F54" s="1365">
        <v>0.30769230769230771</v>
      </c>
      <c r="G54" s="3238"/>
      <c r="H54" s="708">
        <v>0.17857142857142858</v>
      </c>
      <c r="I54" s="708"/>
      <c r="J54" s="708">
        <v>0.42857142857142855</v>
      </c>
      <c r="K54" s="708"/>
      <c r="L54" s="708">
        <v>0.68421052631578949</v>
      </c>
    </row>
    <row r="55" spans="2:12" ht="15" customHeight="1">
      <c r="B55" s="4908"/>
      <c r="C55" s="3237" t="s">
        <v>138</v>
      </c>
      <c r="D55" s="1364">
        <v>0.17647058823529413</v>
      </c>
      <c r="E55" s="1374"/>
      <c r="F55" s="1365">
        <v>0.35714285714285715</v>
      </c>
      <c r="G55" s="3238"/>
      <c r="H55" s="708">
        <v>0.2857142857142857</v>
      </c>
      <c r="I55" s="708"/>
      <c r="J55" s="708">
        <v>0.29411764705882354</v>
      </c>
      <c r="K55" s="708"/>
      <c r="L55" s="708">
        <v>0.375</v>
      </c>
    </row>
    <row r="56" spans="2:12" ht="15" customHeight="1">
      <c r="B56" s="4909"/>
      <c r="C56" s="3243" t="s">
        <v>129</v>
      </c>
      <c r="D56" s="1364"/>
      <c r="E56" s="2603"/>
      <c r="F56" s="1365"/>
      <c r="G56" s="3244"/>
      <c r="H56" s="3195"/>
      <c r="I56" s="3195"/>
      <c r="J56" s="3195">
        <v>1</v>
      </c>
      <c r="K56" s="3195">
        <v>1</v>
      </c>
      <c r="L56" s="3195">
        <v>1</v>
      </c>
    </row>
    <row r="57" spans="2:12" ht="15" customHeight="1">
      <c r="B57" s="4908"/>
      <c r="C57" s="3237" t="s">
        <v>136</v>
      </c>
      <c r="D57" s="1364">
        <v>3.8461538461538464E-2</v>
      </c>
      <c r="E57" s="1374"/>
      <c r="F57" s="1365">
        <v>0.1875</v>
      </c>
      <c r="G57" s="3238"/>
      <c r="H57" s="708">
        <v>0.2</v>
      </c>
      <c r="I57" s="708"/>
      <c r="J57" s="708">
        <v>0.10526315789473684</v>
      </c>
      <c r="K57" s="708"/>
      <c r="L57" s="708">
        <v>0.20833333333333334</v>
      </c>
    </row>
    <row r="58" spans="2:12" ht="15" customHeight="1">
      <c r="B58" s="4908"/>
      <c r="C58" s="3237" t="s">
        <v>133</v>
      </c>
      <c r="D58" s="1364">
        <v>0.125</v>
      </c>
      <c r="E58" s="1374"/>
      <c r="F58" s="1365">
        <v>9.0909090909090912E-2</v>
      </c>
      <c r="G58" s="3238"/>
      <c r="H58" s="708">
        <v>2.564102564102564E-2</v>
      </c>
      <c r="I58" s="708"/>
      <c r="J58" s="708">
        <v>0.17241379310344829</v>
      </c>
      <c r="K58" s="708"/>
      <c r="L58" s="708">
        <v>0.2</v>
      </c>
    </row>
    <row r="59" spans="2:12" ht="15" customHeight="1">
      <c r="B59" s="4910"/>
      <c r="C59" s="4692" t="s">
        <v>573</v>
      </c>
      <c r="D59" s="1375">
        <v>0.31666666666666665</v>
      </c>
      <c r="E59" s="712">
        <v>0.875</v>
      </c>
      <c r="F59" s="1371">
        <v>0.3235294117647059</v>
      </c>
      <c r="G59" s="1366">
        <v>0.7</v>
      </c>
      <c r="H59" s="712">
        <v>0.24742268041237114</v>
      </c>
      <c r="I59" s="712"/>
      <c r="J59" s="712">
        <v>0.35057471264367818</v>
      </c>
      <c r="K59" s="712">
        <v>0.57894736842105265</v>
      </c>
      <c r="L59" s="712">
        <v>0.36075949367088606</v>
      </c>
    </row>
    <row r="60" spans="2:12" ht="15" customHeight="1">
      <c r="B60" s="4907" t="s">
        <v>41</v>
      </c>
      <c r="C60" s="3236" t="s">
        <v>141</v>
      </c>
      <c r="D60" s="1364">
        <v>0.7</v>
      </c>
      <c r="E60" s="1374"/>
      <c r="F60" s="1365">
        <v>0.7</v>
      </c>
      <c r="G60" s="725">
        <v>0.53846153846153844</v>
      </c>
      <c r="H60" s="708"/>
      <c r="I60" s="708">
        <v>0.5714285714285714</v>
      </c>
      <c r="J60" s="708"/>
      <c r="K60" s="708">
        <v>0.8666666666666667</v>
      </c>
      <c r="L60" s="708">
        <v>0.35714285714285715</v>
      </c>
    </row>
    <row r="61" spans="2:12" ht="15" customHeight="1">
      <c r="B61" s="4908"/>
      <c r="C61" s="3237" t="s">
        <v>113</v>
      </c>
      <c r="D61" s="1377"/>
      <c r="E61" s="1374"/>
      <c r="F61" s="1365">
        <v>0.66666666666666663</v>
      </c>
      <c r="G61" s="725">
        <v>0</v>
      </c>
      <c r="H61" s="708">
        <v>0.625</v>
      </c>
      <c r="I61" s="708">
        <v>0.5</v>
      </c>
      <c r="J61" s="708"/>
      <c r="K61" s="708"/>
      <c r="L61" s="708"/>
    </row>
    <row r="62" spans="2:12" ht="15" customHeight="1">
      <c r="B62" s="4909"/>
      <c r="C62" s="3237" t="s">
        <v>139</v>
      </c>
      <c r="D62" s="1376"/>
      <c r="E62" s="708">
        <v>0</v>
      </c>
      <c r="F62" s="1365">
        <v>0</v>
      </c>
      <c r="G62" s="3238"/>
      <c r="H62" s="708">
        <v>0.1</v>
      </c>
      <c r="I62" s="708">
        <v>0.1</v>
      </c>
      <c r="J62" s="708">
        <v>1</v>
      </c>
      <c r="K62" s="708">
        <v>1</v>
      </c>
      <c r="L62" s="708"/>
    </row>
    <row r="63" spans="2:12" ht="15" customHeight="1">
      <c r="B63" s="4908"/>
      <c r="C63" s="3237" t="s">
        <v>140</v>
      </c>
      <c r="D63" s="1364">
        <v>0.35714285714285715</v>
      </c>
      <c r="E63" s="708">
        <v>0.1875</v>
      </c>
      <c r="F63" s="1365">
        <v>0.26666666666666666</v>
      </c>
      <c r="G63" s="725">
        <v>0.7857142857142857</v>
      </c>
      <c r="H63" s="708">
        <v>0.21428571428571427</v>
      </c>
      <c r="I63" s="708">
        <v>0.1875</v>
      </c>
      <c r="J63" s="708">
        <v>0.1875</v>
      </c>
      <c r="K63" s="708">
        <v>0.15384615384615385</v>
      </c>
      <c r="L63" s="708">
        <v>0.75</v>
      </c>
    </row>
    <row r="64" spans="2:12" ht="15" customHeight="1">
      <c r="B64" s="4909"/>
      <c r="C64" s="3237" t="s">
        <v>142</v>
      </c>
      <c r="D64" s="1364">
        <v>0.21052631578947367</v>
      </c>
      <c r="E64" s="708">
        <v>0.44444444444444442</v>
      </c>
      <c r="F64" s="1365">
        <v>0.33333333333333331</v>
      </c>
      <c r="G64" s="725">
        <v>0.33333333333333331</v>
      </c>
      <c r="H64" s="708">
        <v>0.5625</v>
      </c>
      <c r="I64" s="708">
        <v>0.4375</v>
      </c>
      <c r="J64" s="708">
        <v>0.58823529411764708</v>
      </c>
      <c r="K64" s="708">
        <v>0.35714285714285715</v>
      </c>
      <c r="L64" s="708">
        <v>0.63157894736842102</v>
      </c>
    </row>
    <row r="65" spans="2:12" ht="15" customHeight="1">
      <c r="B65" s="4908"/>
      <c r="C65" s="3237" t="s">
        <v>143</v>
      </c>
      <c r="D65" s="1364">
        <v>0.22222222222222221</v>
      </c>
      <c r="E65" s="708">
        <v>0.35294117647058826</v>
      </c>
      <c r="F65" s="1365">
        <v>0.05</v>
      </c>
      <c r="G65" s="725">
        <v>0.21739130434782608</v>
      </c>
      <c r="H65" s="708">
        <v>0.43478260869565216</v>
      </c>
      <c r="I65" s="708">
        <v>0.45833333333333331</v>
      </c>
      <c r="J65" s="708">
        <v>0.33333333333333331</v>
      </c>
      <c r="K65" s="708">
        <v>0.375</v>
      </c>
      <c r="L65" s="708">
        <v>0.40909090909090912</v>
      </c>
    </row>
    <row r="66" spans="2:12" ht="15" customHeight="1">
      <c r="B66" s="4908"/>
      <c r="C66" s="3237" t="s">
        <v>2010</v>
      </c>
      <c r="D66" s="1364"/>
      <c r="E66" s="708"/>
      <c r="F66" s="1365"/>
      <c r="G66" s="725"/>
      <c r="H66" s="708"/>
      <c r="I66" s="708"/>
      <c r="J66" s="708">
        <v>0.3</v>
      </c>
      <c r="K66" s="708">
        <v>9.0909090909090912E-2</v>
      </c>
      <c r="L66" s="708">
        <v>0.3</v>
      </c>
    </row>
    <row r="67" spans="2:12" ht="15" customHeight="1">
      <c r="B67" s="4908"/>
      <c r="C67" s="3237" t="s">
        <v>463</v>
      </c>
      <c r="D67" s="1376"/>
      <c r="E67" s="1374"/>
      <c r="F67" s="1365">
        <v>0</v>
      </c>
      <c r="G67" s="3238"/>
      <c r="H67" s="708">
        <v>0</v>
      </c>
      <c r="I67" s="708"/>
      <c r="J67" s="708"/>
      <c r="K67" s="708">
        <v>0</v>
      </c>
      <c r="L67" s="708"/>
    </row>
    <row r="68" spans="2:12" ht="15" customHeight="1">
      <c r="B68" s="4908"/>
      <c r="C68" s="3237" t="s">
        <v>868</v>
      </c>
      <c r="D68" s="1376"/>
      <c r="E68" s="1374"/>
      <c r="F68" s="1376"/>
      <c r="G68" s="3238"/>
      <c r="H68" s="708">
        <v>0</v>
      </c>
      <c r="I68" s="708"/>
      <c r="J68" s="708"/>
      <c r="K68" s="708">
        <v>0.5</v>
      </c>
      <c r="L68" s="708"/>
    </row>
    <row r="69" spans="2:12" ht="15" customHeight="1">
      <c r="B69" s="4909"/>
      <c r="C69" s="3243" t="s">
        <v>2715</v>
      </c>
      <c r="D69" s="1376"/>
      <c r="E69" s="2603"/>
      <c r="F69" s="1376"/>
      <c r="G69" s="3244"/>
      <c r="H69" s="3195"/>
      <c r="I69" s="3195"/>
      <c r="J69" s="3195"/>
      <c r="K69" s="3195">
        <v>9.0909090909090912E-2</v>
      </c>
      <c r="L69" s="3195"/>
    </row>
    <row r="70" spans="2:12" ht="15" customHeight="1">
      <c r="B70" s="4910"/>
      <c r="C70" s="4692" t="s">
        <v>575</v>
      </c>
      <c r="D70" s="1375">
        <v>0.32786885245901637</v>
      </c>
      <c r="E70" s="712">
        <v>0.26984126984126983</v>
      </c>
      <c r="F70" s="1371">
        <v>0.28358208955223879</v>
      </c>
      <c r="G70" s="1366">
        <v>0.43333333333333335</v>
      </c>
      <c r="H70" s="712">
        <v>0.3258426966292135</v>
      </c>
      <c r="I70" s="712">
        <v>0.38202247191011235</v>
      </c>
      <c r="J70" s="712">
        <v>0.39705882352941174</v>
      </c>
      <c r="K70" s="712">
        <v>0.35185185185185186</v>
      </c>
      <c r="L70" s="712">
        <v>0.4935064935064935</v>
      </c>
    </row>
    <row r="71" spans="2:12" ht="15" customHeight="1">
      <c r="B71" s="4907" t="s">
        <v>21</v>
      </c>
      <c r="C71" s="3237" t="s">
        <v>144</v>
      </c>
      <c r="D71" s="1364">
        <v>0.77777777777777779</v>
      </c>
      <c r="E71" s="708">
        <v>0.80952380952380953</v>
      </c>
      <c r="F71" s="1365">
        <v>0.8</v>
      </c>
      <c r="G71" s="725">
        <v>0.73684210526315785</v>
      </c>
      <c r="H71" s="708">
        <v>0.84210526315789469</v>
      </c>
      <c r="I71" s="708">
        <v>0.78260869565217395</v>
      </c>
      <c r="J71" s="708">
        <v>0.92</v>
      </c>
      <c r="K71" s="708">
        <v>0.45833333333333331</v>
      </c>
      <c r="L71" s="708">
        <v>0.76923076923076927</v>
      </c>
    </row>
    <row r="72" spans="2:12" ht="15" customHeight="1">
      <c r="B72" s="4908"/>
      <c r="C72" s="3236" t="s">
        <v>425</v>
      </c>
      <c r="D72" s="1376"/>
      <c r="E72" s="708">
        <v>0.76470588235294112</v>
      </c>
      <c r="F72" s="1376"/>
      <c r="G72" s="725">
        <v>0.6</v>
      </c>
      <c r="H72" s="708"/>
      <c r="I72" s="708"/>
      <c r="J72" s="708"/>
      <c r="K72" s="708">
        <v>0.7142857142857143</v>
      </c>
      <c r="L72" s="708"/>
    </row>
    <row r="73" spans="2:12" ht="15" customHeight="1">
      <c r="B73" s="4908"/>
      <c r="C73" s="3236" t="s">
        <v>426</v>
      </c>
      <c r="D73" s="1376"/>
      <c r="E73" s="708">
        <v>0</v>
      </c>
      <c r="F73" s="1376"/>
      <c r="G73" s="725">
        <v>0</v>
      </c>
      <c r="H73" s="712"/>
      <c r="I73" s="712">
        <v>0</v>
      </c>
      <c r="J73" s="712"/>
      <c r="K73" s="712">
        <v>0</v>
      </c>
      <c r="L73" s="712"/>
    </row>
    <row r="74" spans="2:12" ht="15" customHeight="1">
      <c r="B74" s="4910"/>
      <c r="C74" s="4693" t="s">
        <v>574</v>
      </c>
      <c r="D74" s="1378">
        <v>0.77777777777777779</v>
      </c>
      <c r="E74" s="1368">
        <v>0.42253521126760563</v>
      </c>
      <c r="F74" s="1724">
        <v>0.8</v>
      </c>
      <c r="G74" s="1369">
        <v>0.39655172413793105</v>
      </c>
      <c r="H74" s="1368">
        <v>0.84210526315789469</v>
      </c>
      <c r="I74" s="1368">
        <v>0.5</v>
      </c>
      <c r="J74" s="1368">
        <v>0.92</v>
      </c>
      <c r="K74" s="1368">
        <v>0.37681159420289856</v>
      </c>
      <c r="L74" s="1368">
        <v>0.76923076923076927</v>
      </c>
    </row>
    <row r="75" spans="2:12" ht="15" customHeight="1">
      <c r="B75" s="1379"/>
      <c r="C75" s="1380" t="s">
        <v>461</v>
      </c>
      <c r="D75" s="1378">
        <v>0.36180904522613067</v>
      </c>
      <c r="E75" s="1368">
        <v>0.40666666666666668</v>
      </c>
      <c r="F75" s="1724">
        <v>0.34403669724770641</v>
      </c>
      <c r="G75" s="1369">
        <v>0.45652173913043476</v>
      </c>
      <c r="H75" s="1368">
        <v>0.30794701986754969</v>
      </c>
      <c r="I75" s="1368">
        <v>0.43225806451612903</v>
      </c>
      <c r="J75" s="1368">
        <v>0.4157303370786517</v>
      </c>
      <c r="K75" s="1368">
        <v>0.4</v>
      </c>
      <c r="L75" s="1368">
        <v>0.44061302681992337</v>
      </c>
    </row>
    <row r="76" spans="2:12" ht="15" customHeight="1">
      <c r="B76" s="4907" t="s">
        <v>16</v>
      </c>
      <c r="C76" s="3237" t="s">
        <v>709</v>
      </c>
      <c r="D76" s="1376"/>
      <c r="E76" s="715"/>
      <c r="F76" s="1376"/>
      <c r="G76" s="725">
        <v>0.5</v>
      </c>
      <c r="H76" s="708">
        <v>0.30769230769230771</v>
      </c>
      <c r="I76" s="708">
        <v>0.34782608695652173</v>
      </c>
      <c r="J76" s="708">
        <v>0.41666666666666669</v>
      </c>
      <c r="K76" s="708">
        <v>0.14285714285714285</v>
      </c>
      <c r="L76" s="708">
        <v>0</v>
      </c>
    </row>
    <row r="77" spans="2:12" ht="15" customHeight="1">
      <c r="B77" s="4910"/>
      <c r="C77" s="4692" t="s">
        <v>573</v>
      </c>
      <c r="D77" s="1377"/>
      <c r="E77" s="715"/>
      <c r="F77" s="1376"/>
      <c r="G77" s="1366">
        <v>0.5</v>
      </c>
      <c r="H77" s="712">
        <v>0.30769230769230771</v>
      </c>
      <c r="I77" s="712">
        <v>0.34782608695652173</v>
      </c>
      <c r="J77" s="712">
        <v>0.41666666666666669</v>
      </c>
      <c r="K77" s="712">
        <v>0.14285714285714285</v>
      </c>
      <c r="L77" s="712">
        <v>0</v>
      </c>
    </row>
    <row r="78" spans="2:12" ht="15" customHeight="1">
      <c r="B78" s="4907" t="s">
        <v>61</v>
      </c>
      <c r="C78" s="3237" t="s">
        <v>870</v>
      </c>
      <c r="D78" s="1377"/>
      <c r="E78" s="1374"/>
      <c r="F78" s="1376"/>
      <c r="G78" s="3245"/>
      <c r="H78" s="708">
        <v>0.66666666666666663</v>
      </c>
      <c r="I78" s="708">
        <v>0.83333333333333337</v>
      </c>
      <c r="J78" s="708">
        <v>0.9</v>
      </c>
      <c r="K78" s="708">
        <v>0.3888888888888889</v>
      </c>
      <c r="L78" s="708">
        <v>0</v>
      </c>
    </row>
    <row r="79" spans="2:12" ht="15" customHeight="1">
      <c r="B79" s="4910"/>
      <c r="C79" s="4692" t="s">
        <v>576</v>
      </c>
      <c r="D79" s="1377"/>
      <c r="E79" s="1374"/>
      <c r="F79" s="1376"/>
      <c r="G79" s="3238"/>
      <c r="H79" s="712">
        <v>0.66666666666666663</v>
      </c>
      <c r="I79" s="712">
        <v>0.83333333333333337</v>
      </c>
      <c r="J79" s="712">
        <v>0.9</v>
      </c>
      <c r="K79" s="712">
        <v>0.3888888888888889</v>
      </c>
      <c r="L79" s="712">
        <v>0</v>
      </c>
    </row>
    <row r="80" spans="2:12" ht="15" customHeight="1">
      <c r="B80" s="4907" t="s">
        <v>64</v>
      </c>
      <c r="C80" s="3237" t="s">
        <v>710</v>
      </c>
      <c r="D80" s="1376"/>
      <c r="E80" s="1374"/>
      <c r="F80" s="1376"/>
      <c r="G80" s="3238"/>
      <c r="H80" s="708">
        <v>0.1111111111111111</v>
      </c>
      <c r="I80" s="708">
        <v>0.2</v>
      </c>
      <c r="J80" s="708">
        <v>0.2857142857142857</v>
      </c>
      <c r="K80" s="708">
        <v>0.23076923076923078</v>
      </c>
      <c r="L80" s="708">
        <v>0.25</v>
      </c>
    </row>
    <row r="81" spans="2:12" ht="15" customHeight="1">
      <c r="B81" s="4910"/>
      <c r="C81" s="4693" t="s">
        <v>577</v>
      </c>
      <c r="D81" s="3246"/>
      <c r="E81" s="1381"/>
      <c r="F81" s="3246"/>
      <c r="G81" s="3247"/>
      <c r="H81" s="1368">
        <v>0.1111111111111111</v>
      </c>
      <c r="I81" s="1368">
        <v>0.2</v>
      </c>
      <c r="J81" s="1368">
        <v>0.2857142857142857</v>
      </c>
      <c r="K81" s="1368">
        <v>0.23076923076923078</v>
      </c>
      <c r="L81" s="1368">
        <v>0.25</v>
      </c>
    </row>
    <row r="82" spans="2:12" ht="15" customHeight="1">
      <c r="B82" s="1379"/>
      <c r="C82" s="3248" t="s">
        <v>265</v>
      </c>
      <c r="D82" s="1377"/>
      <c r="E82" s="1382"/>
      <c r="F82" s="3249"/>
      <c r="G82" s="1366">
        <v>0.5</v>
      </c>
      <c r="H82" s="712">
        <v>0.38235294117647056</v>
      </c>
      <c r="I82" s="712">
        <v>0.42</v>
      </c>
      <c r="J82" s="712">
        <v>0.58695652173913049</v>
      </c>
      <c r="K82" s="712">
        <v>0.25</v>
      </c>
      <c r="L82" s="712">
        <v>7.1428571428571425E-2</v>
      </c>
    </row>
    <row r="83" spans="2:12" ht="15" customHeight="1">
      <c r="B83" s="4911" t="s">
        <v>883</v>
      </c>
      <c r="C83" s="4911"/>
      <c r="D83" s="3250">
        <v>0.32006920415224915</v>
      </c>
      <c r="E83" s="714">
        <v>0.33620689655172414</v>
      </c>
      <c r="F83" s="3251">
        <v>0.33745583038869259</v>
      </c>
      <c r="G83" s="714">
        <v>0.33203125</v>
      </c>
      <c r="H83" s="714">
        <v>0.37235543018335682</v>
      </c>
      <c r="I83" s="714">
        <v>0.34703947368421051</v>
      </c>
      <c r="J83" s="714">
        <v>0.42040816326530611</v>
      </c>
      <c r="K83" s="714">
        <v>0.36283185840707965</v>
      </c>
      <c r="L83" s="1712">
        <v>0.39586410635155095</v>
      </c>
    </row>
  </sheetData>
  <mergeCells count="13">
    <mergeCell ref="B60:B70"/>
    <mergeCell ref="B83:C83"/>
    <mergeCell ref="B71:B74"/>
    <mergeCell ref="B76:B77"/>
    <mergeCell ref="B6:B12"/>
    <mergeCell ref="B13:B18"/>
    <mergeCell ref="B19:B26"/>
    <mergeCell ref="B28:B36"/>
    <mergeCell ref="B78:B79"/>
    <mergeCell ref="B80:B81"/>
    <mergeCell ref="B37:B42"/>
    <mergeCell ref="B43:B47"/>
    <mergeCell ref="B49:B5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FA346"/>
  <sheetViews>
    <sheetView topLeftCell="A310" workbookViewId="0">
      <selection activeCell="P331" sqref="P331"/>
    </sheetView>
  </sheetViews>
  <sheetFormatPr baseColWidth="10" defaultRowHeight="15"/>
  <cols>
    <col min="1" max="1" width="11.42578125" style="4676"/>
    <col min="2" max="2" width="6.7109375" style="4676" bestFit="1" customWidth="1"/>
    <col min="3" max="3" width="80.5703125" style="4676" bestFit="1" customWidth="1"/>
    <col min="4" max="4" width="20" style="4676" bestFit="1" customWidth="1"/>
    <col min="5" max="5" width="3.85546875" style="4676" bestFit="1" customWidth="1"/>
    <col min="6" max="6" width="3" style="4676" bestFit="1" customWidth="1"/>
    <col min="7" max="7" width="2" style="4676" bestFit="1" customWidth="1"/>
    <col min="8" max="9" width="3" style="4676" bestFit="1" customWidth="1"/>
    <col min="10" max="12" width="4" style="4676" bestFit="1" customWidth="1"/>
    <col min="13" max="13" width="4.7109375" style="4676" bestFit="1" customWidth="1"/>
    <col min="14" max="14" width="8.28515625" style="4676" bestFit="1" customWidth="1"/>
    <col min="15" max="16" width="11.5703125" style="4676" bestFit="1" customWidth="1"/>
    <col min="17" max="17" width="11.42578125" style="4676"/>
    <col min="20" max="20" width="82" bestFit="1" customWidth="1"/>
    <col min="21" max="21" width="16.5703125" bestFit="1" customWidth="1"/>
    <col min="22" max="22" width="4.140625" bestFit="1" customWidth="1"/>
    <col min="23" max="27" width="3" bestFit="1" customWidth="1"/>
    <col min="28" max="30" width="4" bestFit="1" customWidth="1"/>
    <col min="31" max="32" width="3" bestFit="1" customWidth="1"/>
    <col min="33" max="33" width="4.85546875" bestFit="1" customWidth="1"/>
    <col min="34" max="34" width="11.42578125" style="74"/>
    <col min="38" max="38" width="58.28515625" bestFit="1" customWidth="1"/>
    <col min="39" max="39" width="20" bestFit="1" customWidth="1"/>
    <col min="40" max="40" width="3.7109375" bestFit="1" customWidth="1"/>
    <col min="41" max="41" width="2.7109375" bestFit="1" customWidth="1"/>
    <col min="42" max="42" width="1.85546875" bestFit="1" customWidth="1"/>
    <col min="43" max="44" width="2.7109375" bestFit="1" customWidth="1"/>
    <col min="45" max="45" width="1.85546875" bestFit="1" customWidth="1"/>
    <col min="46" max="48" width="3.5703125" bestFit="1" customWidth="1"/>
    <col min="49" max="50" width="2.7109375" bestFit="1" customWidth="1"/>
    <col min="51" max="51" width="4.5703125" bestFit="1" customWidth="1"/>
    <col min="52" max="52" width="9.7109375" customWidth="1"/>
    <col min="56" max="56" width="58.28515625" bestFit="1" customWidth="1"/>
    <col min="57" max="57" width="16.5703125" bestFit="1" customWidth="1"/>
    <col min="58" max="62" width="2.7109375" bestFit="1" customWidth="1"/>
    <col min="63" max="63" width="3.5703125" bestFit="1" customWidth="1"/>
    <col min="64" max="64" width="2.7109375" bestFit="1" customWidth="1"/>
    <col min="65" max="65" width="3.5703125" bestFit="1" customWidth="1"/>
    <col min="66" max="67" width="2.7109375" bestFit="1" customWidth="1"/>
    <col min="68" max="68" width="4.5703125" bestFit="1" customWidth="1"/>
    <col min="72" max="72" width="6.7109375" bestFit="1" customWidth="1"/>
    <col min="73" max="73" width="43.5703125" bestFit="1" customWidth="1"/>
    <col min="74" max="74" width="16.85546875" bestFit="1" customWidth="1"/>
    <col min="75" max="79" width="2.7109375" customWidth="1"/>
    <col min="80" max="82" width="3.5703125" bestFit="1" customWidth="1"/>
    <col min="83" max="84" width="2.7109375" customWidth="1"/>
    <col min="85" max="85" width="4.5703125" bestFit="1" customWidth="1"/>
    <col min="86" max="86" width="8.140625" bestFit="1" customWidth="1"/>
    <col min="88" max="88" width="11.140625" customWidth="1"/>
    <col min="89" max="89" width="6.7109375" bestFit="1" customWidth="1"/>
    <col min="90" max="90" width="43.5703125" bestFit="1" customWidth="1"/>
    <col min="91" max="91" width="16.5703125" bestFit="1" customWidth="1"/>
    <col min="92" max="92" width="1.85546875" bestFit="1" customWidth="1"/>
    <col min="93" max="97" width="2.7109375" bestFit="1" customWidth="1"/>
    <col min="98" max="98" width="4" bestFit="1" customWidth="1"/>
    <col min="99" max="99" width="2.7109375" bestFit="1" customWidth="1"/>
    <col min="100" max="100" width="4" bestFit="1" customWidth="1"/>
    <col min="101" max="102" width="2.7109375" bestFit="1" customWidth="1"/>
    <col min="103" max="103" width="4.5703125" bestFit="1" customWidth="1"/>
    <col min="104" max="104" width="7.7109375" bestFit="1" customWidth="1"/>
    <col min="107" max="107" width="6.7109375" bestFit="1" customWidth="1"/>
    <col min="108" max="108" width="43.5703125" bestFit="1" customWidth="1"/>
    <col min="109" max="109" width="16.5703125" bestFit="1" customWidth="1"/>
    <col min="110" max="111" width="1.85546875" bestFit="1" customWidth="1"/>
    <col min="112" max="114" width="2.7109375" bestFit="1" customWidth="1"/>
    <col min="115" max="117" width="3.5703125" bestFit="1" customWidth="1"/>
    <col min="118" max="119" width="2.7109375" bestFit="1" customWidth="1"/>
    <col min="120" max="120" width="4.5703125" bestFit="1" customWidth="1"/>
    <col min="121" max="121" width="9.28515625" customWidth="1"/>
    <col min="123" max="123" width="11.28515625" style="191" customWidth="1"/>
    <col min="124" max="124" width="11.28515625" style="191" bestFit="1" customWidth="1"/>
    <col min="125" max="125" width="44.140625" bestFit="1" customWidth="1"/>
    <col min="126" max="126" width="20.7109375" bestFit="1" customWidth="1"/>
    <col min="127" max="127" width="2" bestFit="1" customWidth="1"/>
    <col min="128" max="131" width="3" bestFit="1" customWidth="1"/>
    <col min="132" max="132" width="4" bestFit="1" customWidth="1"/>
    <col min="133" max="134" width="3" bestFit="1" customWidth="1"/>
    <col min="135" max="135" width="2" bestFit="1" customWidth="1"/>
    <col min="136" max="136" width="3" bestFit="1" customWidth="1"/>
    <col min="137" max="137" width="4.85546875" bestFit="1" customWidth="1"/>
    <col min="138" max="138" width="10.140625" customWidth="1"/>
    <col min="140" max="140" width="13.28515625" bestFit="1" customWidth="1"/>
    <col min="142" max="142" width="41.42578125" customWidth="1"/>
    <col min="143" max="143" width="24.42578125" bestFit="1" customWidth="1"/>
    <col min="144" max="145" width="2.5703125" bestFit="1" customWidth="1"/>
    <col min="146" max="149" width="3.5703125" bestFit="1" customWidth="1"/>
    <col min="150" max="152" width="4.5703125" bestFit="1" customWidth="1"/>
    <col min="153" max="153" width="2.5703125" bestFit="1" customWidth="1"/>
    <col min="154" max="154" width="3.5703125" bestFit="1" customWidth="1"/>
    <col min="155" max="155" width="11.42578125" style="237"/>
    <col min="156" max="156" width="9.5703125" customWidth="1"/>
    <col min="157" max="157" width="30.140625" customWidth="1"/>
    <col min="378" max="378" width="14.42578125" customWidth="1"/>
    <col min="379" max="379" width="14.5703125" customWidth="1"/>
    <col min="380" max="380" width="54.5703125" bestFit="1" customWidth="1"/>
    <col min="381" max="381" width="20.7109375" bestFit="1" customWidth="1"/>
    <col min="382" max="391" width="4.7109375" customWidth="1"/>
    <col min="393" max="393" width="18.140625" bestFit="1" customWidth="1"/>
    <col min="634" max="634" width="14.42578125" customWidth="1"/>
    <col min="635" max="635" width="14.5703125" customWidth="1"/>
    <col min="636" max="636" width="54.5703125" bestFit="1" customWidth="1"/>
    <col min="637" max="637" width="20.7109375" bestFit="1" customWidth="1"/>
    <col min="638" max="647" width="4.7109375" customWidth="1"/>
    <col min="649" max="649" width="18.140625" bestFit="1" customWidth="1"/>
    <col min="890" max="890" width="14.42578125" customWidth="1"/>
    <col min="891" max="891" width="14.5703125" customWidth="1"/>
    <col min="892" max="892" width="54.5703125" bestFit="1" customWidth="1"/>
    <col min="893" max="893" width="20.7109375" bestFit="1" customWidth="1"/>
    <col min="894" max="903" width="4.7109375" customWidth="1"/>
    <col min="905" max="905" width="18.140625" bestFit="1" customWidth="1"/>
    <col min="1146" max="1146" width="14.42578125" customWidth="1"/>
    <col min="1147" max="1147" width="14.5703125" customWidth="1"/>
    <col min="1148" max="1148" width="54.5703125" bestFit="1" customWidth="1"/>
    <col min="1149" max="1149" width="20.7109375" bestFit="1" customWidth="1"/>
    <col min="1150" max="1159" width="4.7109375" customWidth="1"/>
    <col min="1161" max="1161" width="18.140625" bestFit="1" customWidth="1"/>
    <col min="1402" max="1402" width="14.42578125" customWidth="1"/>
    <col min="1403" max="1403" width="14.5703125" customWidth="1"/>
    <col min="1404" max="1404" width="54.5703125" bestFit="1" customWidth="1"/>
    <col min="1405" max="1405" width="20.7109375" bestFit="1" customWidth="1"/>
    <col min="1406" max="1415" width="4.7109375" customWidth="1"/>
    <col min="1417" max="1417" width="18.140625" bestFit="1" customWidth="1"/>
    <col min="1658" max="1658" width="14.42578125" customWidth="1"/>
    <col min="1659" max="1659" width="14.5703125" customWidth="1"/>
    <col min="1660" max="1660" width="54.5703125" bestFit="1" customWidth="1"/>
    <col min="1661" max="1661" width="20.7109375" bestFit="1" customWidth="1"/>
    <col min="1662" max="1671" width="4.7109375" customWidth="1"/>
    <col min="1673" max="1673" width="18.140625" bestFit="1" customWidth="1"/>
    <col min="1914" max="1914" width="14.42578125" customWidth="1"/>
    <col min="1915" max="1915" width="14.5703125" customWidth="1"/>
    <col min="1916" max="1916" width="54.5703125" bestFit="1" customWidth="1"/>
    <col min="1917" max="1917" width="20.7109375" bestFit="1" customWidth="1"/>
    <col min="1918" max="1927" width="4.7109375" customWidth="1"/>
    <col min="1929" max="1929" width="18.140625" bestFit="1" customWidth="1"/>
    <col min="2170" max="2170" width="14.42578125" customWidth="1"/>
    <col min="2171" max="2171" width="14.5703125" customWidth="1"/>
    <col min="2172" max="2172" width="54.5703125" bestFit="1" customWidth="1"/>
    <col min="2173" max="2173" width="20.7109375" bestFit="1" customWidth="1"/>
    <col min="2174" max="2183" width="4.7109375" customWidth="1"/>
    <col min="2185" max="2185" width="18.140625" bestFit="1" customWidth="1"/>
    <col min="2426" max="2426" width="14.42578125" customWidth="1"/>
    <col min="2427" max="2427" width="14.5703125" customWidth="1"/>
    <col min="2428" max="2428" width="54.5703125" bestFit="1" customWidth="1"/>
    <col min="2429" max="2429" width="20.7109375" bestFit="1" customWidth="1"/>
    <col min="2430" max="2439" width="4.7109375" customWidth="1"/>
    <col min="2441" max="2441" width="18.140625" bestFit="1" customWidth="1"/>
    <col min="2682" max="2682" width="14.42578125" customWidth="1"/>
    <col min="2683" max="2683" width="14.5703125" customWidth="1"/>
    <col min="2684" max="2684" width="54.5703125" bestFit="1" customWidth="1"/>
    <col min="2685" max="2685" width="20.7109375" bestFit="1" customWidth="1"/>
    <col min="2686" max="2695" width="4.7109375" customWidth="1"/>
    <col min="2697" max="2697" width="18.140625" bestFit="1" customWidth="1"/>
    <col min="2938" max="2938" width="14.42578125" customWidth="1"/>
    <col min="2939" max="2939" width="14.5703125" customWidth="1"/>
    <col min="2940" max="2940" width="54.5703125" bestFit="1" customWidth="1"/>
    <col min="2941" max="2941" width="20.7109375" bestFit="1" customWidth="1"/>
    <col min="2942" max="2951" width="4.7109375" customWidth="1"/>
    <col min="2953" max="2953" width="18.140625" bestFit="1" customWidth="1"/>
    <col min="3194" max="3194" width="14.42578125" customWidth="1"/>
    <col min="3195" max="3195" width="14.5703125" customWidth="1"/>
    <col min="3196" max="3196" width="54.5703125" bestFit="1" customWidth="1"/>
    <col min="3197" max="3197" width="20.7109375" bestFit="1" customWidth="1"/>
    <col min="3198" max="3207" width="4.7109375" customWidth="1"/>
    <col min="3209" max="3209" width="18.140625" bestFit="1" customWidth="1"/>
    <col min="3450" max="3450" width="14.42578125" customWidth="1"/>
    <col min="3451" max="3451" width="14.5703125" customWidth="1"/>
    <col min="3452" max="3452" width="54.5703125" bestFit="1" customWidth="1"/>
    <col min="3453" max="3453" width="20.7109375" bestFit="1" customWidth="1"/>
    <col min="3454" max="3463" width="4.7109375" customWidth="1"/>
    <col min="3465" max="3465" width="18.140625" bestFit="1" customWidth="1"/>
    <col min="3706" max="3706" width="14.42578125" customWidth="1"/>
    <col min="3707" max="3707" width="14.5703125" customWidth="1"/>
    <col min="3708" max="3708" width="54.5703125" bestFit="1" customWidth="1"/>
    <col min="3709" max="3709" width="20.7109375" bestFit="1" customWidth="1"/>
    <col min="3710" max="3719" width="4.7109375" customWidth="1"/>
    <col min="3721" max="3721" width="18.140625" bestFit="1" customWidth="1"/>
    <col min="3962" max="3962" width="14.42578125" customWidth="1"/>
    <col min="3963" max="3963" width="14.5703125" customWidth="1"/>
    <col min="3964" max="3964" width="54.5703125" bestFit="1" customWidth="1"/>
    <col min="3965" max="3965" width="20.7109375" bestFit="1" customWidth="1"/>
    <col min="3966" max="3975" width="4.7109375" customWidth="1"/>
    <col min="3977" max="3977" width="18.140625" bestFit="1" customWidth="1"/>
    <col min="4218" max="4218" width="14.42578125" customWidth="1"/>
    <col min="4219" max="4219" width="14.5703125" customWidth="1"/>
    <col min="4220" max="4220" width="54.5703125" bestFit="1" customWidth="1"/>
    <col min="4221" max="4221" width="20.7109375" bestFit="1" customWidth="1"/>
    <col min="4222" max="4231" width="4.7109375" customWidth="1"/>
    <col min="4233" max="4233" width="18.140625" bestFit="1" customWidth="1"/>
    <col min="4474" max="4474" width="14.42578125" customWidth="1"/>
    <col min="4475" max="4475" width="14.5703125" customWidth="1"/>
    <col min="4476" max="4476" width="54.5703125" bestFit="1" customWidth="1"/>
    <col min="4477" max="4477" width="20.7109375" bestFit="1" customWidth="1"/>
    <col min="4478" max="4487" width="4.7109375" customWidth="1"/>
    <col min="4489" max="4489" width="18.140625" bestFit="1" customWidth="1"/>
    <col min="4730" max="4730" width="14.42578125" customWidth="1"/>
    <col min="4731" max="4731" width="14.5703125" customWidth="1"/>
    <col min="4732" max="4732" width="54.5703125" bestFit="1" customWidth="1"/>
    <col min="4733" max="4733" width="20.7109375" bestFit="1" customWidth="1"/>
    <col min="4734" max="4743" width="4.7109375" customWidth="1"/>
    <col min="4745" max="4745" width="18.140625" bestFit="1" customWidth="1"/>
    <col min="4986" max="4986" width="14.42578125" customWidth="1"/>
    <col min="4987" max="4987" width="14.5703125" customWidth="1"/>
    <col min="4988" max="4988" width="54.5703125" bestFit="1" customWidth="1"/>
    <col min="4989" max="4989" width="20.7109375" bestFit="1" customWidth="1"/>
    <col min="4990" max="4999" width="4.7109375" customWidth="1"/>
    <col min="5001" max="5001" width="18.140625" bestFit="1" customWidth="1"/>
    <col min="5242" max="5242" width="14.42578125" customWidth="1"/>
    <col min="5243" max="5243" width="14.5703125" customWidth="1"/>
    <col min="5244" max="5244" width="54.5703125" bestFit="1" customWidth="1"/>
    <col min="5245" max="5245" width="20.7109375" bestFit="1" customWidth="1"/>
    <col min="5246" max="5255" width="4.7109375" customWidth="1"/>
    <col min="5257" max="5257" width="18.140625" bestFit="1" customWidth="1"/>
    <col min="5498" max="5498" width="14.42578125" customWidth="1"/>
    <col min="5499" max="5499" width="14.5703125" customWidth="1"/>
    <col min="5500" max="5500" width="54.5703125" bestFit="1" customWidth="1"/>
    <col min="5501" max="5501" width="20.7109375" bestFit="1" customWidth="1"/>
    <col min="5502" max="5511" width="4.7109375" customWidth="1"/>
    <col min="5513" max="5513" width="18.140625" bestFit="1" customWidth="1"/>
    <col min="5754" max="5754" width="14.42578125" customWidth="1"/>
    <col min="5755" max="5755" width="14.5703125" customWidth="1"/>
    <col min="5756" max="5756" width="54.5703125" bestFit="1" customWidth="1"/>
    <col min="5757" max="5757" width="20.7109375" bestFit="1" customWidth="1"/>
    <col min="5758" max="5767" width="4.7109375" customWidth="1"/>
    <col min="5769" max="5769" width="18.140625" bestFit="1" customWidth="1"/>
    <col min="6010" max="6010" width="14.42578125" customWidth="1"/>
    <col min="6011" max="6011" width="14.5703125" customWidth="1"/>
    <col min="6012" max="6012" width="54.5703125" bestFit="1" customWidth="1"/>
    <col min="6013" max="6013" width="20.7109375" bestFit="1" customWidth="1"/>
    <col min="6014" max="6023" width="4.7109375" customWidth="1"/>
    <col min="6025" max="6025" width="18.140625" bestFit="1" customWidth="1"/>
    <col min="6266" max="6266" width="14.42578125" customWidth="1"/>
    <col min="6267" max="6267" width="14.5703125" customWidth="1"/>
    <col min="6268" max="6268" width="54.5703125" bestFit="1" customWidth="1"/>
    <col min="6269" max="6269" width="20.7109375" bestFit="1" customWidth="1"/>
    <col min="6270" max="6279" width="4.7109375" customWidth="1"/>
    <col min="6281" max="6281" width="18.140625" bestFit="1" customWidth="1"/>
    <col min="6522" max="6522" width="14.42578125" customWidth="1"/>
    <col min="6523" max="6523" width="14.5703125" customWidth="1"/>
    <col min="6524" max="6524" width="54.5703125" bestFit="1" customWidth="1"/>
    <col min="6525" max="6525" width="20.7109375" bestFit="1" customWidth="1"/>
    <col min="6526" max="6535" width="4.7109375" customWidth="1"/>
    <col min="6537" max="6537" width="18.140625" bestFit="1" customWidth="1"/>
    <col min="6778" max="6778" width="14.42578125" customWidth="1"/>
    <col min="6779" max="6779" width="14.5703125" customWidth="1"/>
    <col min="6780" max="6780" width="54.5703125" bestFit="1" customWidth="1"/>
    <col min="6781" max="6781" width="20.7109375" bestFit="1" customWidth="1"/>
    <col min="6782" max="6791" width="4.7109375" customWidth="1"/>
    <col min="6793" max="6793" width="18.140625" bestFit="1" customWidth="1"/>
    <col min="7034" max="7034" width="14.42578125" customWidth="1"/>
    <col min="7035" max="7035" width="14.5703125" customWidth="1"/>
    <col min="7036" max="7036" width="54.5703125" bestFit="1" customWidth="1"/>
    <col min="7037" max="7037" width="20.7109375" bestFit="1" customWidth="1"/>
    <col min="7038" max="7047" width="4.7109375" customWidth="1"/>
    <col min="7049" max="7049" width="18.140625" bestFit="1" customWidth="1"/>
    <col min="7290" max="7290" width="14.42578125" customWidth="1"/>
    <col min="7291" max="7291" width="14.5703125" customWidth="1"/>
    <col min="7292" max="7292" width="54.5703125" bestFit="1" customWidth="1"/>
    <col min="7293" max="7293" width="20.7109375" bestFit="1" customWidth="1"/>
    <col min="7294" max="7303" width="4.7109375" customWidth="1"/>
    <col min="7305" max="7305" width="18.140625" bestFit="1" customWidth="1"/>
    <col min="7546" max="7546" width="14.42578125" customWidth="1"/>
    <col min="7547" max="7547" width="14.5703125" customWidth="1"/>
    <col min="7548" max="7548" width="54.5703125" bestFit="1" customWidth="1"/>
    <col min="7549" max="7549" width="20.7109375" bestFit="1" customWidth="1"/>
    <col min="7550" max="7559" width="4.7109375" customWidth="1"/>
    <col min="7561" max="7561" width="18.140625" bestFit="1" customWidth="1"/>
    <col min="7802" max="7802" width="14.42578125" customWidth="1"/>
    <col min="7803" max="7803" width="14.5703125" customWidth="1"/>
    <col min="7804" max="7804" width="54.5703125" bestFit="1" customWidth="1"/>
    <col min="7805" max="7805" width="20.7109375" bestFit="1" customWidth="1"/>
    <col min="7806" max="7815" width="4.7109375" customWidth="1"/>
    <col min="7817" max="7817" width="18.140625" bestFit="1" customWidth="1"/>
    <col min="8058" max="8058" width="14.42578125" customWidth="1"/>
    <col min="8059" max="8059" width="14.5703125" customWidth="1"/>
    <col min="8060" max="8060" width="54.5703125" bestFit="1" customWidth="1"/>
    <col min="8061" max="8061" width="20.7109375" bestFit="1" customWidth="1"/>
    <col min="8062" max="8071" width="4.7109375" customWidth="1"/>
    <col min="8073" max="8073" width="18.140625" bestFit="1" customWidth="1"/>
    <col min="8314" max="8314" width="14.42578125" customWidth="1"/>
    <col min="8315" max="8315" width="14.5703125" customWidth="1"/>
    <col min="8316" max="8316" width="54.5703125" bestFit="1" customWidth="1"/>
    <col min="8317" max="8317" width="20.7109375" bestFit="1" customWidth="1"/>
    <col min="8318" max="8327" width="4.7109375" customWidth="1"/>
    <col min="8329" max="8329" width="18.140625" bestFit="1" customWidth="1"/>
    <col min="8570" max="8570" width="14.42578125" customWidth="1"/>
    <col min="8571" max="8571" width="14.5703125" customWidth="1"/>
    <col min="8572" max="8572" width="54.5703125" bestFit="1" customWidth="1"/>
    <col min="8573" max="8573" width="20.7109375" bestFit="1" customWidth="1"/>
    <col min="8574" max="8583" width="4.7109375" customWidth="1"/>
    <col min="8585" max="8585" width="18.140625" bestFit="1" customWidth="1"/>
    <col min="8826" max="8826" width="14.42578125" customWidth="1"/>
    <col min="8827" max="8827" width="14.5703125" customWidth="1"/>
    <col min="8828" max="8828" width="54.5703125" bestFit="1" customWidth="1"/>
    <col min="8829" max="8829" width="20.7109375" bestFit="1" customWidth="1"/>
    <col min="8830" max="8839" width="4.7109375" customWidth="1"/>
    <col min="8841" max="8841" width="18.140625" bestFit="1" customWidth="1"/>
    <col min="9082" max="9082" width="14.42578125" customWidth="1"/>
    <col min="9083" max="9083" width="14.5703125" customWidth="1"/>
    <col min="9084" max="9084" width="54.5703125" bestFit="1" customWidth="1"/>
    <col min="9085" max="9085" width="20.7109375" bestFit="1" customWidth="1"/>
    <col min="9086" max="9095" width="4.7109375" customWidth="1"/>
    <col min="9097" max="9097" width="18.140625" bestFit="1" customWidth="1"/>
    <col min="9338" max="9338" width="14.42578125" customWidth="1"/>
    <col min="9339" max="9339" width="14.5703125" customWidth="1"/>
    <col min="9340" max="9340" width="54.5703125" bestFit="1" customWidth="1"/>
    <col min="9341" max="9341" width="20.7109375" bestFit="1" customWidth="1"/>
    <col min="9342" max="9351" width="4.7109375" customWidth="1"/>
    <col min="9353" max="9353" width="18.140625" bestFit="1" customWidth="1"/>
    <col min="9594" max="9594" width="14.42578125" customWidth="1"/>
    <col min="9595" max="9595" width="14.5703125" customWidth="1"/>
    <col min="9596" max="9596" width="54.5703125" bestFit="1" customWidth="1"/>
    <col min="9597" max="9597" width="20.7109375" bestFit="1" customWidth="1"/>
    <col min="9598" max="9607" width="4.7109375" customWidth="1"/>
    <col min="9609" max="9609" width="18.140625" bestFit="1" customWidth="1"/>
    <col min="9850" max="9850" width="14.42578125" customWidth="1"/>
    <col min="9851" max="9851" width="14.5703125" customWidth="1"/>
    <col min="9852" max="9852" width="54.5703125" bestFit="1" customWidth="1"/>
    <col min="9853" max="9853" width="20.7109375" bestFit="1" customWidth="1"/>
    <col min="9854" max="9863" width="4.7109375" customWidth="1"/>
    <col min="9865" max="9865" width="18.140625" bestFit="1" customWidth="1"/>
    <col min="10106" max="10106" width="14.42578125" customWidth="1"/>
    <col min="10107" max="10107" width="14.5703125" customWidth="1"/>
    <col min="10108" max="10108" width="54.5703125" bestFit="1" customWidth="1"/>
    <col min="10109" max="10109" width="20.7109375" bestFit="1" customWidth="1"/>
    <col min="10110" max="10119" width="4.7109375" customWidth="1"/>
    <col min="10121" max="10121" width="18.140625" bestFit="1" customWidth="1"/>
    <col min="10362" max="10362" width="14.42578125" customWidth="1"/>
    <col min="10363" max="10363" width="14.5703125" customWidth="1"/>
    <col min="10364" max="10364" width="54.5703125" bestFit="1" customWidth="1"/>
    <col min="10365" max="10365" width="20.7109375" bestFit="1" customWidth="1"/>
    <col min="10366" max="10375" width="4.7109375" customWidth="1"/>
    <col min="10377" max="10377" width="18.140625" bestFit="1" customWidth="1"/>
    <col min="10618" max="10618" width="14.42578125" customWidth="1"/>
    <col min="10619" max="10619" width="14.5703125" customWidth="1"/>
    <col min="10620" max="10620" width="54.5703125" bestFit="1" customWidth="1"/>
    <col min="10621" max="10621" width="20.7109375" bestFit="1" customWidth="1"/>
    <col min="10622" max="10631" width="4.7109375" customWidth="1"/>
    <col min="10633" max="10633" width="18.140625" bestFit="1" customWidth="1"/>
    <col min="10874" max="10874" width="14.42578125" customWidth="1"/>
    <col min="10875" max="10875" width="14.5703125" customWidth="1"/>
    <col min="10876" max="10876" width="54.5703125" bestFit="1" customWidth="1"/>
    <col min="10877" max="10877" width="20.7109375" bestFit="1" customWidth="1"/>
    <col min="10878" max="10887" width="4.7109375" customWidth="1"/>
    <col min="10889" max="10889" width="18.140625" bestFit="1" customWidth="1"/>
    <col min="11130" max="11130" width="14.42578125" customWidth="1"/>
    <col min="11131" max="11131" width="14.5703125" customWidth="1"/>
    <col min="11132" max="11132" width="54.5703125" bestFit="1" customWidth="1"/>
    <col min="11133" max="11133" width="20.7109375" bestFit="1" customWidth="1"/>
    <col min="11134" max="11143" width="4.7109375" customWidth="1"/>
    <col min="11145" max="11145" width="18.140625" bestFit="1" customWidth="1"/>
    <col min="11386" max="11386" width="14.42578125" customWidth="1"/>
    <col min="11387" max="11387" width="14.5703125" customWidth="1"/>
    <col min="11388" max="11388" width="54.5703125" bestFit="1" customWidth="1"/>
    <col min="11389" max="11389" width="20.7109375" bestFit="1" customWidth="1"/>
    <col min="11390" max="11399" width="4.7109375" customWidth="1"/>
    <col min="11401" max="11401" width="18.140625" bestFit="1" customWidth="1"/>
    <col min="11642" max="11642" width="14.42578125" customWidth="1"/>
    <col min="11643" max="11643" width="14.5703125" customWidth="1"/>
    <col min="11644" max="11644" width="54.5703125" bestFit="1" customWidth="1"/>
    <col min="11645" max="11645" width="20.7109375" bestFit="1" customWidth="1"/>
    <col min="11646" max="11655" width="4.7109375" customWidth="1"/>
    <col min="11657" max="11657" width="18.140625" bestFit="1" customWidth="1"/>
    <col min="11898" max="11898" width="14.42578125" customWidth="1"/>
    <col min="11899" max="11899" width="14.5703125" customWidth="1"/>
    <col min="11900" max="11900" width="54.5703125" bestFit="1" customWidth="1"/>
    <col min="11901" max="11901" width="20.7109375" bestFit="1" customWidth="1"/>
    <col min="11902" max="11911" width="4.7109375" customWidth="1"/>
    <col min="11913" max="11913" width="18.140625" bestFit="1" customWidth="1"/>
    <col min="12154" max="12154" width="14.42578125" customWidth="1"/>
    <col min="12155" max="12155" width="14.5703125" customWidth="1"/>
    <col min="12156" max="12156" width="54.5703125" bestFit="1" customWidth="1"/>
    <col min="12157" max="12157" width="20.7109375" bestFit="1" customWidth="1"/>
    <col min="12158" max="12167" width="4.7109375" customWidth="1"/>
    <col min="12169" max="12169" width="18.140625" bestFit="1" customWidth="1"/>
    <col min="12410" max="12410" width="14.42578125" customWidth="1"/>
    <col min="12411" max="12411" width="14.5703125" customWidth="1"/>
    <col min="12412" max="12412" width="54.5703125" bestFit="1" customWidth="1"/>
    <col min="12413" max="12413" width="20.7109375" bestFit="1" customWidth="1"/>
    <col min="12414" max="12423" width="4.7109375" customWidth="1"/>
    <col min="12425" max="12425" width="18.140625" bestFit="1" customWidth="1"/>
    <col min="12666" max="12666" width="14.42578125" customWidth="1"/>
    <col min="12667" max="12667" width="14.5703125" customWidth="1"/>
    <col min="12668" max="12668" width="54.5703125" bestFit="1" customWidth="1"/>
    <col min="12669" max="12669" width="20.7109375" bestFit="1" customWidth="1"/>
    <col min="12670" max="12679" width="4.7109375" customWidth="1"/>
    <col min="12681" max="12681" width="18.140625" bestFit="1" customWidth="1"/>
    <col min="12922" max="12922" width="14.42578125" customWidth="1"/>
    <col min="12923" max="12923" width="14.5703125" customWidth="1"/>
    <col min="12924" max="12924" width="54.5703125" bestFit="1" customWidth="1"/>
    <col min="12925" max="12925" width="20.7109375" bestFit="1" customWidth="1"/>
    <col min="12926" max="12935" width="4.7109375" customWidth="1"/>
    <col min="12937" max="12937" width="18.140625" bestFit="1" customWidth="1"/>
    <col min="13178" max="13178" width="14.42578125" customWidth="1"/>
    <col min="13179" max="13179" width="14.5703125" customWidth="1"/>
    <col min="13180" max="13180" width="54.5703125" bestFit="1" customWidth="1"/>
    <col min="13181" max="13181" width="20.7109375" bestFit="1" customWidth="1"/>
    <col min="13182" max="13191" width="4.7109375" customWidth="1"/>
    <col min="13193" max="13193" width="18.140625" bestFit="1" customWidth="1"/>
    <col min="13434" max="13434" width="14.42578125" customWidth="1"/>
    <col min="13435" max="13435" width="14.5703125" customWidth="1"/>
    <col min="13436" max="13436" width="54.5703125" bestFit="1" customWidth="1"/>
    <col min="13437" max="13437" width="20.7109375" bestFit="1" customWidth="1"/>
    <col min="13438" max="13447" width="4.7109375" customWidth="1"/>
    <col min="13449" max="13449" width="18.140625" bestFit="1" customWidth="1"/>
    <col min="13690" max="13690" width="14.42578125" customWidth="1"/>
    <col min="13691" max="13691" width="14.5703125" customWidth="1"/>
    <col min="13692" max="13692" width="54.5703125" bestFit="1" customWidth="1"/>
    <col min="13693" max="13693" width="20.7109375" bestFit="1" customWidth="1"/>
    <col min="13694" max="13703" width="4.7109375" customWidth="1"/>
    <col min="13705" max="13705" width="18.140625" bestFit="1" customWidth="1"/>
    <col min="13946" max="13946" width="14.42578125" customWidth="1"/>
    <col min="13947" max="13947" width="14.5703125" customWidth="1"/>
    <col min="13948" max="13948" width="54.5703125" bestFit="1" customWidth="1"/>
    <col min="13949" max="13949" width="20.7109375" bestFit="1" customWidth="1"/>
    <col min="13950" max="13959" width="4.7109375" customWidth="1"/>
    <col min="13961" max="13961" width="18.140625" bestFit="1" customWidth="1"/>
    <col min="14202" max="14202" width="14.42578125" customWidth="1"/>
    <col min="14203" max="14203" width="14.5703125" customWidth="1"/>
    <col min="14204" max="14204" width="54.5703125" bestFit="1" customWidth="1"/>
    <col min="14205" max="14205" width="20.7109375" bestFit="1" customWidth="1"/>
    <col min="14206" max="14215" width="4.7109375" customWidth="1"/>
    <col min="14217" max="14217" width="18.140625" bestFit="1" customWidth="1"/>
    <col min="14458" max="14458" width="14.42578125" customWidth="1"/>
    <col min="14459" max="14459" width="14.5703125" customWidth="1"/>
    <col min="14460" max="14460" width="54.5703125" bestFit="1" customWidth="1"/>
    <col min="14461" max="14461" width="20.7109375" bestFit="1" customWidth="1"/>
    <col min="14462" max="14471" width="4.7109375" customWidth="1"/>
    <col min="14473" max="14473" width="18.140625" bestFit="1" customWidth="1"/>
    <col min="14714" max="14714" width="14.42578125" customWidth="1"/>
    <col min="14715" max="14715" width="14.5703125" customWidth="1"/>
    <col min="14716" max="14716" width="54.5703125" bestFit="1" customWidth="1"/>
    <col min="14717" max="14717" width="20.7109375" bestFit="1" customWidth="1"/>
    <col min="14718" max="14727" width="4.7109375" customWidth="1"/>
    <col min="14729" max="14729" width="18.140625" bestFit="1" customWidth="1"/>
    <col min="14970" max="14970" width="14.42578125" customWidth="1"/>
    <col min="14971" max="14971" width="14.5703125" customWidth="1"/>
    <col min="14972" max="14972" width="54.5703125" bestFit="1" customWidth="1"/>
    <col min="14973" max="14973" width="20.7109375" bestFit="1" customWidth="1"/>
    <col min="14974" max="14983" width="4.7109375" customWidth="1"/>
    <col min="14985" max="14985" width="18.140625" bestFit="1" customWidth="1"/>
    <col min="15226" max="15226" width="14.42578125" customWidth="1"/>
    <col min="15227" max="15227" width="14.5703125" customWidth="1"/>
    <col min="15228" max="15228" width="54.5703125" bestFit="1" customWidth="1"/>
    <col min="15229" max="15229" width="20.7109375" bestFit="1" customWidth="1"/>
    <col min="15230" max="15239" width="4.7109375" customWidth="1"/>
    <col min="15241" max="15241" width="18.140625" bestFit="1" customWidth="1"/>
    <col min="15482" max="15482" width="14.42578125" customWidth="1"/>
    <col min="15483" max="15483" width="14.5703125" customWidth="1"/>
    <col min="15484" max="15484" width="54.5703125" bestFit="1" customWidth="1"/>
    <col min="15485" max="15485" width="20.7109375" bestFit="1" customWidth="1"/>
    <col min="15486" max="15495" width="4.7109375" customWidth="1"/>
    <col min="15497" max="15497" width="18.140625" bestFit="1" customWidth="1"/>
    <col min="15738" max="15738" width="14.42578125" customWidth="1"/>
    <col min="15739" max="15739" width="14.5703125" customWidth="1"/>
    <col min="15740" max="15740" width="54.5703125" bestFit="1" customWidth="1"/>
    <col min="15741" max="15741" width="20.7109375" bestFit="1" customWidth="1"/>
    <col min="15742" max="15751" width="4.7109375" customWidth="1"/>
    <col min="15753" max="15753" width="18.140625" bestFit="1" customWidth="1"/>
    <col min="15994" max="15994" width="14.42578125" customWidth="1"/>
    <col min="15995" max="15995" width="14.5703125" customWidth="1"/>
    <col min="15996" max="15996" width="54.5703125" bestFit="1" customWidth="1"/>
    <col min="15997" max="15997" width="20.7109375" bestFit="1" customWidth="1"/>
    <col min="15998" max="16007" width="4.7109375" customWidth="1"/>
    <col min="16009" max="16009" width="18.140625" bestFit="1" customWidth="1"/>
    <col min="16250" max="16250" width="14.42578125" customWidth="1"/>
    <col min="16251" max="16251" width="14.5703125" customWidth="1"/>
    <col min="16252" max="16252" width="54.5703125" bestFit="1" customWidth="1"/>
    <col min="16253" max="16253" width="20.7109375" bestFit="1" customWidth="1"/>
    <col min="16254" max="16263" width="4.7109375" customWidth="1"/>
    <col min="16265" max="16265" width="18.140625" bestFit="1" customWidth="1"/>
  </cols>
  <sheetData>
    <row r="1" spans="1:157" ht="15.75">
      <c r="A1" s="865" t="s">
        <v>3961</v>
      </c>
      <c r="R1" s="865" t="s">
        <v>2710</v>
      </c>
      <c r="AK1" s="73"/>
      <c r="AL1" s="73"/>
      <c r="AM1" s="73"/>
      <c r="AN1" s="73"/>
      <c r="AO1" s="73"/>
      <c r="AP1" s="73"/>
      <c r="AQ1" s="73"/>
      <c r="AR1" s="73"/>
      <c r="AS1" s="73"/>
      <c r="AT1" s="73"/>
      <c r="AU1" s="73"/>
      <c r="AV1" s="73"/>
      <c r="AW1" s="73"/>
      <c r="AX1" s="73"/>
      <c r="AY1" s="73"/>
      <c r="AZ1" s="73"/>
      <c r="DS1" s="4912" t="s">
        <v>1361</v>
      </c>
      <c r="DT1" s="4912"/>
      <c r="DU1" s="4912"/>
      <c r="DV1" s="4912"/>
      <c r="DW1" s="4912"/>
      <c r="DX1" s="4912"/>
      <c r="DY1" s="4912"/>
      <c r="DZ1" s="4912"/>
      <c r="EA1" s="4912"/>
      <c r="EB1" s="4912"/>
      <c r="EC1" s="4912"/>
      <c r="ED1" s="4912"/>
      <c r="EE1" s="4912"/>
      <c r="EF1" s="4912"/>
      <c r="EG1" s="4912"/>
      <c r="EH1" s="4912"/>
    </row>
    <row r="2" spans="1:157" ht="15.75">
      <c r="A2" s="31" t="s">
        <v>3958</v>
      </c>
      <c r="R2" s="865" t="s">
        <v>2704</v>
      </c>
      <c r="AJ2" s="865" t="s">
        <v>2006</v>
      </c>
      <c r="AK2" s="73"/>
      <c r="AL2" s="73"/>
      <c r="AM2" s="73"/>
      <c r="AN2" s="73"/>
      <c r="AO2" s="73"/>
      <c r="AP2" s="73"/>
      <c r="AQ2" s="73"/>
      <c r="AR2" s="73"/>
      <c r="AS2" s="73"/>
      <c r="AT2" s="73"/>
      <c r="AU2" s="73"/>
      <c r="AV2" s="73"/>
      <c r="AW2" s="73"/>
      <c r="AX2" s="73"/>
      <c r="AY2" s="73"/>
      <c r="AZ2" s="73"/>
      <c r="BB2" s="160" t="s">
        <v>1938</v>
      </c>
      <c r="BS2" s="865" t="s">
        <v>1390</v>
      </c>
      <c r="CJ2" s="865" t="s">
        <v>1391</v>
      </c>
      <c r="DB2" s="308" t="s">
        <v>1392</v>
      </c>
      <c r="DC2" s="747"/>
      <c r="DD2" s="747"/>
      <c r="DE2" s="747"/>
      <c r="DF2" s="747"/>
      <c r="DG2" s="747"/>
      <c r="DH2" s="747"/>
      <c r="DI2" s="747"/>
      <c r="DJ2" s="747"/>
      <c r="DS2" s="4913" t="s">
        <v>1393</v>
      </c>
      <c r="DT2" s="4913"/>
      <c r="DU2" s="4913"/>
      <c r="DV2" s="4913"/>
      <c r="DW2" s="4913"/>
      <c r="DX2" s="4913"/>
      <c r="DY2" s="4913"/>
      <c r="DZ2" s="4913"/>
      <c r="EA2" s="4913"/>
      <c r="EB2" s="4913"/>
      <c r="EC2" s="4913"/>
      <c r="ED2" s="4913"/>
      <c r="EE2" s="4913"/>
      <c r="EF2" s="4913"/>
      <c r="EG2" s="4913"/>
      <c r="EH2" s="4913"/>
      <c r="EI2" s="748"/>
      <c r="EJ2" s="748"/>
    </row>
    <row r="3" spans="1:157" ht="15.75">
      <c r="A3" s="1287" t="s">
        <v>3962</v>
      </c>
      <c r="R3" s="1287" t="s">
        <v>2711</v>
      </c>
      <c r="S3" s="74"/>
      <c r="T3" s="74"/>
      <c r="U3" s="74"/>
      <c r="V3" s="74"/>
      <c r="W3" s="74"/>
      <c r="X3" s="74"/>
      <c r="Y3" s="74"/>
      <c r="Z3" s="74"/>
      <c r="AA3" s="74"/>
      <c r="AB3" s="74"/>
      <c r="AC3" s="74"/>
      <c r="AD3" s="74"/>
      <c r="AE3" s="74"/>
      <c r="AF3" s="74"/>
      <c r="AG3" s="74"/>
      <c r="AJ3" s="43" t="s">
        <v>2003</v>
      </c>
      <c r="AK3" s="73"/>
      <c r="AL3" s="73"/>
      <c r="AM3" s="73"/>
      <c r="AN3" s="73"/>
      <c r="AO3" s="73"/>
      <c r="AP3" s="73"/>
      <c r="AQ3" s="73"/>
      <c r="AR3" s="73"/>
      <c r="AS3" s="73"/>
      <c r="AT3" s="73"/>
      <c r="AU3" s="73"/>
      <c r="AV3" s="73"/>
      <c r="AW3" s="73"/>
      <c r="AX3" s="73"/>
      <c r="AY3" s="73"/>
      <c r="AZ3" s="73"/>
      <c r="BB3" s="2221" t="s">
        <v>1934</v>
      </c>
      <c r="BC3" s="2187"/>
      <c r="BD3" s="2187"/>
      <c r="BE3" s="2187"/>
      <c r="BF3" s="2187"/>
      <c r="BG3" s="2187"/>
      <c r="BH3" s="2187"/>
      <c r="BI3" s="2187"/>
      <c r="BJ3" s="2187"/>
      <c r="BK3" s="2187"/>
      <c r="BL3" s="2187"/>
      <c r="BM3" s="2187"/>
      <c r="BN3" s="2187"/>
      <c r="BO3" s="2187"/>
      <c r="BP3" s="2187"/>
      <c r="BS3" s="43" t="s">
        <v>867</v>
      </c>
      <c r="BT3" s="866"/>
      <c r="BU3" s="866"/>
      <c r="BV3" s="866"/>
      <c r="BW3" s="866"/>
      <c r="BX3" s="866"/>
      <c r="BY3" s="866"/>
      <c r="BZ3" s="866"/>
      <c r="CA3" s="866"/>
      <c r="CB3" s="866"/>
      <c r="CC3" s="866"/>
      <c r="CD3" s="866"/>
      <c r="CE3" s="866"/>
      <c r="CF3" s="866"/>
      <c r="CG3" s="866"/>
      <c r="CJ3" s="2222" t="s">
        <v>1365</v>
      </c>
      <c r="CK3" s="867"/>
      <c r="CL3" s="867"/>
      <c r="CM3" s="867"/>
      <c r="CN3" s="867"/>
      <c r="CO3" s="867"/>
      <c r="CP3" s="867"/>
      <c r="CQ3" s="867"/>
      <c r="CR3" s="867"/>
      <c r="CS3" s="867"/>
      <c r="CT3" s="867"/>
      <c r="CU3" s="867"/>
      <c r="CV3" s="867"/>
      <c r="CW3" s="867"/>
      <c r="CX3" s="867"/>
      <c r="CY3" s="867"/>
      <c r="DB3" s="749" t="s">
        <v>1394</v>
      </c>
      <c r="DC3" s="749"/>
      <c r="DD3" s="749"/>
      <c r="DE3" s="749"/>
      <c r="DF3" s="749"/>
      <c r="DG3" s="749"/>
      <c r="DH3" s="749"/>
      <c r="DI3" s="749"/>
      <c r="DJ3" s="749"/>
      <c r="DS3" s="4893" t="s">
        <v>1367</v>
      </c>
      <c r="DT3" s="4893"/>
      <c r="DU3" s="4893"/>
      <c r="DV3" s="4893"/>
      <c r="DW3" s="4893"/>
      <c r="DX3" s="4893"/>
      <c r="DY3" s="4893"/>
      <c r="DZ3" s="4893"/>
      <c r="EA3" s="4893"/>
      <c r="EB3" s="4893"/>
      <c r="EC3" s="4893"/>
      <c r="ED3" s="4893"/>
      <c r="EE3" s="4893"/>
      <c r="EF3" s="4893"/>
      <c r="EG3" s="4893"/>
      <c r="EH3" s="4893"/>
      <c r="EJ3" s="4894" t="s">
        <v>1395</v>
      </c>
      <c r="EK3" s="4894"/>
      <c r="EL3" s="4894"/>
      <c r="EM3" s="4894"/>
      <c r="EN3" s="4894"/>
      <c r="EO3" s="4894"/>
      <c r="EP3" s="4894"/>
      <c r="EQ3" s="4894"/>
      <c r="ER3" s="4894"/>
      <c r="ES3" s="4894"/>
      <c r="ET3" s="4894"/>
      <c r="EU3" s="4894"/>
      <c r="EV3" s="4894"/>
      <c r="EW3" s="4894"/>
      <c r="EX3" s="4894"/>
      <c r="EY3" s="4894"/>
      <c r="EZ3" s="4894"/>
      <c r="FA3" s="4894"/>
    </row>
    <row r="4" spans="1:157">
      <c r="A4" s="74" t="s">
        <v>3963</v>
      </c>
      <c r="R4" s="74" t="s">
        <v>2712</v>
      </c>
      <c r="S4" s="74"/>
      <c r="T4" s="74"/>
      <c r="U4" s="74"/>
      <c r="V4" s="74"/>
      <c r="W4" s="74"/>
      <c r="X4" s="74"/>
      <c r="Y4" s="74"/>
      <c r="Z4" s="74"/>
      <c r="AA4" s="74"/>
      <c r="AB4" s="74"/>
      <c r="AC4" s="74"/>
      <c r="AD4" s="74"/>
      <c r="AE4" s="74"/>
      <c r="AF4" s="74"/>
      <c r="AG4" s="74"/>
      <c r="AJ4" t="s">
        <v>2007</v>
      </c>
      <c r="AK4" s="73"/>
      <c r="AL4" s="73"/>
      <c r="AM4" s="73"/>
      <c r="AN4" s="73"/>
      <c r="AO4" s="73"/>
      <c r="AP4" s="73"/>
      <c r="AQ4" s="73"/>
      <c r="AR4" s="73"/>
      <c r="AS4" s="73"/>
      <c r="AT4" s="73"/>
      <c r="AU4" s="73"/>
      <c r="AV4" s="73"/>
      <c r="AW4" s="73"/>
      <c r="AX4" s="73"/>
      <c r="AY4" s="73"/>
      <c r="AZ4" s="73"/>
      <c r="BB4" s="1287" t="s">
        <v>1939</v>
      </c>
      <c r="BC4" s="2188"/>
      <c r="BD4" s="2188"/>
      <c r="BE4" s="2188"/>
      <c r="BF4" s="2188"/>
      <c r="BG4" s="2188"/>
      <c r="BH4" s="2188"/>
      <c r="BI4" s="2188"/>
      <c r="BJ4" s="2188"/>
      <c r="BK4" s="2188"/>
      <c r="BL4" s="2188"/>
      <c r="BM4" s="2188"/>
      <c r="BN4" s="2188"/>
      <c r="BO4" s="2188"/>
      <c r="BP4" s="2188"/>
      <c r="BS4" s="118" t="s">
        <v>1369</v>
      </c>
      <c r="BT4" s="868"/>
      <c r="BU4" s="868"/>
      <c r="BV4" s="868"/>
      <c r="BW4" s="868"/>
      <c r="BX4" s="868"/>
      <c r="BY4" s="868"/>
      <c r="BZ4" s="868"/>
      <c r="CA4" s="868"/>
      <c r="CB4" s="868"/>
      <c r="CC4" s="868"/>
      <c r="CD4" s="868"/>
      <c r="CE4" s="868"/>
      <c r="CF4" s="868"/>
      <c r="CG4" s="868"/>
      <c r="CJ4" s="754" t="s">
        <v>1396</v>
      </c>
      <c r="CK4" s="869"/>
      <c r="CL4" s="869"/>
      <c r="CM4" s="869"/>
      <c r="CN4" s="869"/>
      <c r="CO4" s="869"/>
      <c r="CP4" s="869"/>
      <c r="CQ4" s="869"/>
      <c r="CR4" s="869"/>
      <c r="CS4" s="869"/>
      <c r="CT4" s="869"/>
      <c r="CU4" s="869"/>
      <c r="CV4" s="869"/>
      <c r="CW4" s="869"/>
      <c r="CX4" s="869"/>
      <c r="CY4" s="869"/>
      <c r="EH4" s="118"/>
    </row>
    <row r="5" spans="1:157">
      <c r="A5" s="4615"/>
      <c r="B5" s="4615"/>
      <c r="C5" s="4615"/>
      <c r="D5" s="4615"/>
      <c r="E5" s="4919" t="s">
        <v>1371</v>
      </c>
      <c r="F5" s="4919"/>
      <c r="G5" s="4919"/>
      <c r="H5" s="4919"/>
      <c r="I5" s="4919"/>
      <c r="J5" s="4919"/>
      <c r="K5" s="4919"/>
      <c r="L5" s="4919"/>
      <c r="M5" s="4615"/>
      <c r="N5" s="4615"/>
      <c r="O5" s="4615"/>
      <c r="P5" s="161"/>
      <c r="R5" s="43"/>
      <c r="S5" s="43"/>
      <c r="T5" s="43"/>
      <c r="U5" s="761"/>
      <c r="V5" s="4901" t="s">
        <v>1371</v>
      </c>
      <c r="W5" s="4901"/>
      <c r="X5" s="4901"/>
      <c r="Y5" s="4901"/>
      <c r="Z5" s="4901"/>
      <c r="AA5" s="4901"/>
      <c r="AB5" s="4901"/>
      <c r="AC5" s="4901"/>
      <c r="AD5" s="4901"/>
      <c r="AE5" s="4901"/>
      <c r="AF5" s="4901"/>
      <c r="AG5" s="43"/>
      <c r="AJ5" s="738"/>
      <c r="AK5" s="738"/>
      <c r="AL5" s="738"/>
      <c r="AM5" s="738"/>
      <c r="AN5" s="4920" t="s">
        <v>1371</v>
      </c>
      <c r="AO5" s="4920"/>
      <c r="AP5" s="4920"/>
      <c r="AQ5" s="4920"/>
      <c r="AR5" s="4920"/>
      <c r="AS5" s="4920"/>
      <c r="AT5" s="4920"/>
      <c r="AU5" s="4920"/>
      <c r="AV5" s="4920"/>
      <c r="AW5" s="4920"/>
      <c r="AX5" s="4920"/>
      <c r="AY5" s="738"/>
      <c r="AZ5" s="738"/>
      <c r="BB5" s="213"/>
      <c r="BC5" s="2189"/>
      <c r="BD5" s="2189"/>
      <c r="BE5" s="2189"/>
      <c r="BF5" s="4921" t="s">
        <v>1371</v>
      </c>
      <c r="BG5" s="4922"/>
      <c r="BH5" s="4922"/>
      <c r="BI5" s="4922"/>
      <c r="BJ5" s="4922"/>
      <c r="BK5" s="4922"/>
      <c r="BL5" s="4922"/>
      <c r="BM5" s="4922"/>
      <c r="BN5" s="4922"/>
      <c r="BO5" s="4922"/>
      <c r="BP5" s="4923"/>
      <c r="BQ5" s="163"/>
      <c r="BS5" s="43"/>
      <c r="BT5" s="870"/>
      <c r="BU5" s="870"/>
      <c r="BV5" s="870"/>
      <c r="BW5" s="4914" t="s">
        <v>1371</v>
      </c>
      <c r="BX5" s="4914"/>
      <c r="BY5" s="4914"/>
      <c r="BZ5" s="4914"/>
      <c r="CA5" s="4914"/>
      <c r="CB5" s="4914"/>
      <c r="CC5" s="4914"/>
      <c r="CD5" s="4914"/>
      <c r="CE5" s="4914"/>
      <c r="CF5" s="4914"/>
      <c r="CG5" s="43"/>
      <c r="CJ5" s="43"/>
      <c r="CK5" s="871"/>
      <c r="CL5" s="871"/>
      <c r="CM5" s="871"/>
      <c r="CN5" s="4915" t="s">
        <v>1371</v>
      </c>
      <c r="CO5" s="4915"/>
      <c r="CP5" s="4915"/>
      <c r="CQ5" s="4915"/>
      <c r="CR5" s="4915"/>
      <c r="CS5" s="4915"/>
      <c r="CT5" s="4915"/>
      <c r="CU5" s="4915"/>
      <c r="CV5" s="4915"/>
      <c r="CW5" s="4915"/>
      <c r="CX5" s="4915"/>
      <c r="CY5" s="43"/>
      <c r="DB5" s="759"/>
      <c r="DC5" s="872"/>
      <c r="DD5" s="872"/>
      <c r="DE5" s="872"/>
      <c r="DF5" s="4916" t="s">
        <v>1372</v>
      </c>
      <c r="DG5" s="4916"/>
      <c r="DH5" s="4916"/>
      <c r="DI5" s="4916"/>
      <c r="DJ5" s="4916"/>
      <c r="DK5" s="4916"/>
      <c r="DL5" s="4916"/>
      <c r="DM5" s="4916"/>
      <c r="DN5" s="4916"/>
      <c r="DO5" s="4916"/>
      <c r="DP5" s="759"/>
      <c r="DS5" s="729"/>
      <c r="DT5" s="729"/>
      <c r="DU5" s="761"/>
      <c r="DV5" s="761" t="s">
        <v>332</v>
      </c>
      <c r="DW5" s="4902" t="s">
        <v>1373</v>
      </c>
      <c r="DX5" s="4902"/>
      <c r="DY5" s="4902"/>
      <c r="DZ5" s="4902"/>
      <c r="EA5" s="4902"/>
      <c r="EB5" s="4902"/>
      <c r="EC5" s="4902"/>
      <c r="ED5" s="4902"/>
      <c r="EE5" s="4902"/>
      <c r="EF5" s="4902"/>
      <c r="EG5" s="761"/>
      <c r="EH5" s="761"/>
      <c r="EI5" s="74"/>
      <c r="EJ5" s="74"/>
      <c r="EK5" s="74"/>
      <c r="EL5" s="74"/>
      <c r="EM5" s="74"/>
      <c r="EN5" s="4917" t="s">
        <v>1373</v>
      </c>
      <c r="EO5" s="4917"/>
      <c r="EP5" s="4917"/>
      <c r="EQ5" s="4917"/>
      <c r="ER5" s="4917"/>
      <c r="ES5" s="4917"/>
      <c r="ET5" s="4917"/>
      <c r="EU5" s="4917"/>
      <c r="EV5" s="4917"/>
      <c r="EW5" s="4917"/>
      <c r="EX5" s="4917"/>
      <c r="EY5" s="150"/>
      <c r="EZ5" s="74"/>
      <c r="FA5" s="74"/>
    </row>
    <row r="6" spans="1:157" s="191" customFormat="1" ht="27" thickBot="1">
      <c r="A6" s="743" t="s">
        <v>0</v>
      </c>
      <c r="B6" s="743" t="s">
        <v>1</v>
      </c>
      <c r="C6" s="743" t="s">
        <v>2</v>
      </c>
      <c r="D6" s="743" t="s">
        <v>1282</v>
      </c>
      <c r="E6" s="3260">
        <v>1</v>
      </c>
      <c r="F6" s="3260">
        <v>2</v>
      </c>
      <c r="G6" s="3260">
        <v>3</v>
      </c>
      <c r="H6" s="3260">
        <v>4</v>
      </c>
      <c r="I6" s="3260">
        <v>5</v>
      </c>
      <c r="J6" s="3260">
        <v>6</v>
      </c>
      <c r="K6" s="3260">
        <v>7</v>
      </c>
      <c r="L6" s="3260">
        <v>8</v>
      </c>
      <c r="M6" s="743">
        <v>9</v>
      </c>
      <c r="N6" s="743">
        <v>10</v>
      </c>
      <c r="O6" s="743" t="s">
        <v>15</v>
      </c>
      <c r="P6" s="2584" t="s">
        <v>66</v>
      </c>
      <c r="Q6" s="4676"/>
      <c r="R6" s="768" t="s">
        <v>0</v>
      </c>
      <c r="S6" s="768" t="s">
        <v>1</v>
      </c>
      <c r="T6" s="768" t="s">
        <v>2</v>
      </c>
      <c r="U6" s="768" t="s">
        <v>1282</v>
      </c>
      <c r="V6" s="3227">
        <v>0</v>
      </c>
      <c r="W6" s="3227">
        <v>1</v>
      </c>
      <c r="X6" s="3227">
        <v>2</v>
      </c>
      <c r="Y6" s="3227">
        <v>3</v>
      </c>
      <c r="Z6" s="3227">
        <v>4</v>
      </c>
      <c r="AA6" s="3227">
        <v>5</v>
      </c>
      <c r="AB6" s="3227">
        <v>6</v>
      </c>
      <c r="AC6" s="3227">
        <v>7</v>
      </c>
      <c r="AD6" s="3227">
        <v>8</v>
      </c>
      <c r="AE6" s="768">
        <v>9</v>
      </c>
      <c r="AF6" s="768">
        <v>10</v>
      </c>
      <c r="AG6" s="768" t="s">
        <v>15</v>
      </c>
      <c r="AH6" s="837" t="s">
        <v>66</v>
      </c>
      <c r="AJ6" s="743" t="s">
        <v>0</v>
      </c>
      <c r="AK6" s="743" t="s">
        <v>1</v>
      </c>
      <c r="AL6" s="743" t="s">
        <v>2</v>
      </c>
      <c r="AM6" s="743" t="s">
        <v>1282</v>
      </c>
      <c r="AN6" s="2599">
        <v>0</v>
      </c>
      <c r="AO6" s="2599">
        <v>1</v>
      </c>
      <c r="AP6" s="2599">
        <v>2</v>
      </c>
      <c r="AQ6" s="2599">
        <v>3</v>
      </c>
      <c r="AR6" s="2599">
        <v>4</v>
      </c>
      <c r="AS6" s="2599">
        <v>5</v>
      </c>
      <c r="AT6" s="2599">
        <v>6</v>
      </c>
      <c r="AU6" s="2599">
        <v>7</v>
      </c>
      <c r="AV6" s="2599">
        <v>8</v>
      </c>
      <c r="AW6" s="743">
        <v>9</v>
      </c>
      <c r="AX6" s="743">
        <v>10</v>
      </c>
      <c r="AY6" s="743" t="s">
        <v>15</v>
      </c>
      <c r="AZ6" s="2584" t="s">
        <v>66</v>
      </c>
      <c r="BB6" s="835" t="s">
        <v>0</v>
      </c>
      <c r="BC6" s="835" t="s">
        <v>1</v>
      </c>
      <c r="BD6" s="835" t="s">
        <v>2</v>
      </c>
      <c r="BE6" s="835" t="s">
        <v>1282</v>
      </c>
      <c r="BF6" s="835">
        <v>1</v>
      </c>
      <c r="BG6" s="835">
        <v>2</v>
      </c>
      <c r="BH6" s="835">
        <v>3</v>
      </c>
      <c r="BI6" s="835">
        <v>4</v>
      </c>
      <c r="BJ6" s="835">
        <v>5</v>
      </c>
      <c r="BK6" s="835">
        <v>6</v>
      </c>
      <c r="BL6" s="835">
        <v>7</v>
      </c>
      <c r="BM6" s="835">
        <v>8</v>
      </c>
      <c r="BN6" s="835">
        <v>9</v>
      </c>
      <c r="BO6" s="835">
        <v>10</v>
      </c>
      <c r="BP6" s="2190" t="s">
        <v>15</v>
      </c>
      <c r="BQ6" s="2147" t="s">
        <v>66</v>
      </c>
      <c r="BS6" s="873" t="s">
        <v>0</v>
      </c>
      <c r="BT6" s="873" t="s">
        <v>1</v>
      </c>
      <c r="BU6" s="873" t="s">
        <v>2</v>
      </c>
      <c r="BV6" s="873" t="s">
        <v>1282</v>
      </c>
      <c r="BW6" s="873">
        <v>1</v>
      </c>
      <c r="BX6" s="873">
        <v>2</v>
      </c>
      <c r="BY6" s="873">
        <v>3</v>
      </c>
      <c r="BZ6" s="873">
        <v>4</v>
      </c>
      <c r="CA6" s="873">
        <v>5</v>
      </c>
      <c r="CB6" s="873">
        <v>6</v>
      </c>
      <c r="CC6" s="873">
        <v>7</v>
      </c>
      <c r="CD6" s="873">
        <v>8</v>
      </c>
      <c r="CE6" s="873">
        <v>9</v>
      </c>
      <c r="CF6" s="873">
        <v>10</v>
      </c>
      <c r="CG6" s="873" t="s">
        <v>15</v>
      </c>
      <c r="CH6" s="874" t="s">
        <v>66</v>
      </c>
      <c r="CJ6" s="875" t="s">
        <v>0</v>
      </c>
      <c r="CK6" s="875" t="s">
        <v>1</v>
      </c>
      <c r="CL6" s="875" t="s">
        <v>2</v>
      </c>
      <c r="CM6" s="875" t="s">
        <v>1282</v>
      </c>
      <c r="CN6" s="875">
        <v>0</v>
      </c>
      <c r="CO6" s="875">
        <v>1</v>
      </c>
      <c r="CP6" s="875">
        <v>2</v>
      </c>
      <c r="CQ6" s="875">
        <v>3</v>
      </c>
      <c r="CR6" s="875">
        <v>4</v>
      </c>
      <c r="CS6" s="875">
        <v>5</v>
      </c>
      <c r="CT6" s="875">
        <v>6</v>
      </c>
      <c r="CU6" s="875">
        <v>7</v>
      </c>
      <c r="CV6" s="875">
        <v>8</v>
      </c>
      <c r="CW6" s="875">
        <v>9</v>
      </c>
      <c r="CX6" s="875">
        <v>10</v>
      </c>
      <c r="CY6" s="875" t="s">
        <v>15</v>
      </c>
      <c r="CZ6" s="876" t="s">
        <v>1374</v>
      </c>
      <c r="DB6" s="877" t="s">
        <v>0</v>
      </c>
      <c r="DC6" s="877" t="s">
        <v>1</v>
      </c>
      <c r="DD6" s="877" t="s">
        <v>2</v>
      </c>
      <c r="DE6" s="877" t="s">
        <v>1282</v>
      </c>
      <c r="DF6" s="877">
        <v>1</v>
      </c>
      <c r="DG6" s="877">
        <v>2</v>
      </c>
      <c r="DH6" s="877">
        <v>3</v>
      </c>
      <c r="DI6" s="877">
        <v>4</v>
      </c>
      <c r="DJ6" s="877">
        <v>5</v>
      </c>
      <c r="DK6" s="877">
        <v>6</v>
      </c>
      <c r="DL6" s="877">
        <v>7</v>
      </c>
      <c r="DM6" s="877">
        <v>8</v>
      </c>
      <c r="DN6" s="877">
        <v>9</v>
      </c>
      <c r="DO6" s="877">
        <v>10</v>
      </c>
      <c r="DP6" s="877" t="s">
        <v>15</v>
      </c>
      <c r="DQ6" s="767" t="s">
        <v>66</v>
      </c>
      <c r="DS6" s="768" t="s">
        <v>0</v>
      </c>
      <c r="DT6" s="768" t="s">
        <v>1</v>
      </c>
      <c r="DU6" s="768" t="s">
        <v>2</v>
      </c>
      <c r="DV6" s="768" t="s">
        <v>1282</v>
      </c>
      <c r="DW6" s="768">
        <v>1</v>
      </c>
      <c r="DX6" s="768">
        <v>2</v>
      </c>
      <c r="DY6" s="768">
        <v>3</v>
      </c>
      <c r="DZ6" s="768">
        <v>4</v>
      </c>
      <c r="EA6" s="768">
        <v>5</v>
      </c>
      <c r="EB6" s="768">
        <v>6</v>
      </c>
      <c r="EC6" s="768">
        <v>7</v>
      </c>
      <c r="ED6" s="768">
        <v>8</v>
      </c>
      <c r="EE6" s="768">
        <v>9</v>
      </c>
      <c r="EF6" s="768">
        <v>10</v>
      </c>
      <c r="EG6" s="768" t="s">
        <v>15</v>
      </c>
      <c r="EH6" s="769" t="s">
        <v>66</v>
      </c>
      <c r="EI6" s="121"/>
      <c r="EJ6" s="878" t="s">
        <v>0</v>
      </c>
      <c r="EK6" s="878" t="s">
        <v>1</v>
      </c>
      <c r="EL6" s="878" t="s">
        <v>2</v>
      </c>
      <c r="EM6" s="878" t="s">
        <v>1375</v>
      </c>
      <c r="EN6" s="878">
        <v>0</v>
      </c>
      <c r="EO6" s="878">
        <v>1</v>
      </c>
      <c r="EP6" s="878">
        <v>2</v>
      </c>
      <c r="EQ6" s="878">
        <v>3</v>
      </c>
      <c r="ER6" s="878">
        <v>4</v>
      </c>
      <c r="ES6" s="878">
        <v>5</v>
      </c>
      <c r="ET6" s="878">
        <v>6</v>
      </c>
      <c r="EU6" s="878">
        <v>7</v>
      </c>
      <c r="EV6" s="878">
        <v>8</v>
      </c>
      <c r="EW6" s="878">
        <v>9</v>
      </c>
      <c r="EX6" s="878">
        <v>10</v>
      </c>
      <c r="EY6" s="878" t="s">
        <v>15</v>
      </c>
      <c r="EZ6" s="878" t="s">
        <v>66</v>
      </c>
      <c r="FA6" s="773" t="s">
        <v>1376</v>
      </c>
    </row>
    <row r="7" spans="1:157">
      <c r="A7" s="73" t="s">
        <v>3</v>
      </c>
      <c r="B7" s="73" t="s">
        <v>4</v>
      </c>
      <c r="C7" s="73" t="s">
        <v>115</v>
      </c>
      <c r="D7" s="73" t="s">
        <v>1284</v>
      </c>
      <c r="E7" s="3261"/>
      <c r="F7" s="3261"/>
      <c r="G7" s="3261">
        <v>1</v>
      </c>
      <c r="H7" s="3261">
        <v>1</v>
      </c>
      <c r="I7" s="3261">
        <v>0</v>
      </c>
      <c r="J7" s="3261">
        <v>0</v>
      </c>
      <c r="K7" s="3261">
        <v>0</v>
      </c>
      <c r="L7" s="3261">
        <v>0</v>
      </c>
      <c r="M7" s="161"/>
      <c r="N7" s="161">
        <v>0</v>
      </c>
      <c r="O7" s="161">
        <v>2</v>
      </c>
      <c r="P7" s="73"/>
      <c r="R7" s="74" t="s">
        <v>3</v>
      </c>
      <c r="S7" s="74" t="s">
        <v>4</v>
      </c>
      <c r="T7" s="74" t="s">
        <v>115</v>
      </c>
      <c r="U7" s="74" t="s">
        <v>1284</v>
      </c>
      <c r="V7" s="3229"/>
      <c r="W7" s="3229">
        <v>3</v>
      </c>
      <c r="X7" s="3229"/>
      <c r="Y7" s="3229"/>
      <c r="Z7" s="3229"/>
      <c r="AA7" s="3229">
        <v>0</v>
      </c>
      <c r="AB7" s="3229"/>
      <c r="AC7" s="3229"/>
      <c r="AD7" s="3229"/>
      <c r="AE7" s="121"/>
      <c r="AF7" s="121">
        <v>0</v>
      </c>
      <c r="AG7" s="121">
        <v>3</v>
      </c>
      <c r="AJ7" s="161" t="s">
        <v>3</v>
      </c>
      <c r="AK7" s="161" t="s">
        <v>4</v>
      </c>
      <c r="AL7" s="73" t="s">
        <v>116</v>
      </c>
      <c r="AM7" s="73" t="s">
        <v>1284</v>
      </c>
      <c r="AN7" s="2600">
        <v>0</v>
      </c>
      <c r="AO7" s="2600">
        <v>1</v>
      </c>
      <c r="AP7" s="2600"/>
      <c r="AQ7" s="2600"/>
      <c r="AR7" s="2600"/>
      <c r="AS7" s="2600"/>
      <c r="AT7" s="2600">
        <v>4</v>
      </c>
      <c r="AU7" s="2600">
        <v>11</v>
      </c>
      <c r="AV7" s="2600">
        <v>1</v>
      </c>
      <c r="AW7" s="161">
        <v>1</v>
      </c>
      <c r="AX7" s="161"/>
      <c r="AY7" s="161">
        <v>18</v>
      </c>
      <c r="AZ7" s="161"/>
      <c r="BB7" s="2191" t="s">
        <v>3</v>
      </c>
      <c r="BC7" s="2191" t="s">
        <v>4</v>
      </c>
      <c r="BD7" s="2192" t="s">
        <v>116</v>
      </c>
      <c r="BE7" s="2193" t="s">
        <v>1283</v>
      </c>
      <c r="BF7" s="2194"/>
      <c r="BG7" s="2195">
        <v>0</v>
      </c>
      <c r="BH7" s="2195">
        <v>0</v>
      </c>
      <c r="BI7" s="2194"/>
      <c r="BJ7" s="2194"/>
      <c r="BK7" s="2195">
        <v>1</v>
      </c>
      <c r="BL7" s="2195">
        <v>1</v>
      </c>
      <c r="BM7" s="2195">
        <v>1</v>
      </c>
      <c r="BN7" s="963"/>
      <c r="BO7" s="963"/>
      <c r="BP7" s="964">
        <v>3</v>
      </c>
      <c r="BQ7" s="73"/>
      <c r="BS7" s="879" t="s">
        <v>3</v>
      </c>
      <c r="BT7" s="879" t="s">
        <v>4</v>
      </c>
      <c r="BU7" s="880" t="s">
        <v>116</v>
      </c>
      <c r="BV7" s="881" t="s">
        <v>1283</v>
      </c>
      <c r="BW7" s="882"/>
      <c r="BX7" s="882"/>
      <c r="BY7" s="882"/>
      <c r="BZ7" s="882"/>
      <c r="CA7" s="882"/>
      <c r="CB7" s="883">
        <v>0</v>
      </c>
      <c r="CC7" s="883">
        <v>0</v>
      </c>
      <c r="CD7" s="883">
        <v>1</v>
      </c>
      <c r="CE7" s="879"/>
      <c r="CF7" s="879"/>
      <c r="CG7" s="884">
        <v>1</v>
      </c>
      <c r="CH7" s="161"/>
      <c r="CJ7" s="885" t="s">
        <v>3</v>
      </c>
      <c r="CK7" s="885" t="s">
        <v>4</v>
      </c>
      <c r="CL7" s="885" t="s">
        <v>115</v>
      </c>
      <c r="CM7" s="886" t="s">
        <v>1284</v>
      </c>
      <c r="CN7" s="887"/>
      <c r="CO7" s="888">
        <v>1</v>
      </c>
      <c r="CP7" s="888">
        <v>2</v>
      </c>
      <c r="CQ7" s="887"/>
      <c r="CR7" s="887"/>
      <c r="CS7" s="887"/>
      <c r="CT7" s="887"/>
      <c r="CU7" s="887"/>
      <c r="CV7" s="887"/>
      <c r="CW7" s="889"/>
      <c r="CX7" s="889"/>
      <c r="CY7" s="890">
        <v>3</v>
      </c>
      <c r="CZ7" s="891"/>
      <c r="DB7" s="892" t="s">
        <v>3</v>
      </c>
      <c r="DC7" s="892" t="s">
        <v>4</v>
      </c>
      <c r="DD7" s="892" t="s">
        <v>115</v>
      </c>
      <c r="DE7" s="893" t="s">
        <v>1283</v>
      </c>
      <c r="DF7" s="894"/>
      <c r="DG7" s="894"/>
      <c r="DH7" s="895">
        <v>0</v>
      </c>
      <c r="DI7" s="895">
        <v>0</v>
      </c>
      <c r="DJ7" s="894"/>
      <c r="DK7" s="894"/>
      <c r="DL7" s="894"/>
      <c r="DM7" s="895">
        <v>1</v>
      </c>
      <c r="DN7" s="895">
        <v>0</v>
      </c>
      <c r="DO7" s="895">
        <v>2</v>
      </c>
      <c r="DP7" s="895">
        <v>3</v>
      </c>
      <c r="DQ7" s="792"/>
      <c r="DS7" s="121" t="s">
        <v>3</v>
      </c>
      <c r="DT7" s="121" t="s">
        <v>4</v>
      </c>
      <c r="DU7" s="74" t="s">
        <v>115</v>
      </c>
      <c r="DV7" s="74" t="s">
        <v>1283</v>
      </c>
      <c r="DW7" s="121"/>
      <c r="DX7" s="121">
        <v>0</v>
      </c>
      <c r="DY7" s="121">
        <v>0</v>
      </c>
      <c r="DZ7" s="121"/>
      <c r="EA7" s="121">
        <v>0</v>
      </c>
      <c r="EB7" s="121"/>
      <c r="EC7" s="121">
        <v>0</v>
      </c>
      <c r="ED7" s="121">
        <v>1</v>
      </c>
      <c r="EE7" s="121"/>
      <c r="EF7" s="121">
        <v>0</v>
      </c>
      <c r="EG7" s="121">
        <v>1</v>
      </c>
      <c r="EH7" s="74"/>
      <c r="EI7" s="74"/>
      <c r="EJ7" s="793" t="s">
        <v>1397</v>
      </c>
      <c r="EK7" s="793" t="s">
        <v>4</v>
      </c>
      <c r="EL7" s="793" t="s">
        <v>115</v>
      </c>
      <c r="EM7" s="793" t="s">
        <v>1283</v>
      </c>
      <c r="EN7" s="793">
        <v>0</v>
      </c>
      <c r="EO7" s="793">
        <v>0</v>
      </c>
      <c r="EP7" s="793">
        <v>0</v>
      </c>
      <c r="EQ7" s="793">
        <v>0</v>
      </c>
      <c r="ER7" s="793">
        <v>0</v>
      </c>
      <c r="ES7" s="793">
        <v>0</v>
      </c>
      <c r="ET7" s="793">
        <v>0</v>
      </c>
      <c r="EU7" s="793">
        <v>0</v>
      </c>
      <c r="EV7" s="793">
        <v>1</v>
      </c>
      <c r="EW7" s="793">
        <v>0</v>
      </c>
      <c r="EX7" s="793">
        <v>0</v>
      </c>
      <c r="EY7" s="794">
        <v>1</v>
      </c>
      <c r="EZ7" s="896"/>
      <c r="FA7" s="795"/>
    </row>
    <row r="8" spans="1:157">
      <c r="A8" s="73"/>
      <c r="B8" s="73"/>
      <c r="C8" s="73"/>
      <c r="D8" s="73" t="s">
        <v>1289</v>
      </c>
      <c r="E8" s="3261"/>
      <c r="F8" s="3261"/>
      <c r="G8" s="3261">
        <v>0</v>
      </c>
      <c r="H8" s="3261">
        <v>0</v>
      </c>
      <c r="I8" s="3261">
        <v>1</v>
      </c>
      <c r="J8" s="3261">
        <v>0</v>
      </c>
      <c r="K8" s="3261">
        <v>0</v>
      </c>
      <c r="L8" s="3261">
        <v>0</v>
      </c>
      <c r="M8" s="161"/>
      <c r="N8" s="161">
        <v>0</v>
      </c>
      <c r="O8" s="161">
        <v>1</v>
      </c>
      <c r="P8" s="73"/>
      <c r="R8" s="74"/>
      <c r="S8" s="74"/>
      <c r="T8" s="74"/>
      <c r="U8" s="74" t="s">
        <v>1288</v>
      </c>
      <c r="V8" s="3229"/>
      <c r="W8" s="3229">
        <v>0</v>
      </c>
      <c r="X8" s="3229"/>
      <c r="Y8" s="3229"/>
      <c r="Z8" s="3229"/>
      <c r="AA8" s="3229">
        <v>1</v>
      </c>
      <c r="AB8" s="3229"/>
      <c r="AC8" s="3229"/>
      <c r="AD8" s="3229"/>
      <c r="AE8" s="121"/>
      <c r="AF8" s="121">
        <v>0</v>
      </c>
      <c r="AG8" s="121">
        <v>1</v>
      </c>
      <c r="AJ8" s="161"/>
      <c r="AK8" s="161"/>
      <c r="AL8" s="73"/>
      <c r="AM8" s="73" t="s">
        <v>1288</v>
      </c>
      <c r="AN8" s="2600">
        <v>0</v>
      </c>
      <c r="AO8" s="2600">
        <v>0</v>
      </c>
      <c r="AP8" s="2600"/>
      <c r="AQ8" s="2600"/>
      <c r="AR8" s="2600"/>
      <c r="AS8" s="2600"/>
      <c r="AT8" s="2600">
        <v>2</v>
      </c>
      <c r="AU8" s="2600">
        <v>0</v>
      </c>
      <c r="AV8" s="2600">
        <v>0</v>
      </c>
      <c r="AW8" s="161">
        <v>0</v>
      </c>
      <c r="AX8" s="161"/>
      <c r="AY8" s="161">
        <v>2</v>
      </c>
      <c r="AZ8" s="161"/>
      <c r="BB8" s="2191"/>
      <c r="BC8" s="2191"/>
      <c r="BD8" s="2192"/>
      <c r="BE8" s="2193" t="s">
        <v>1284</v>
      </c>
      <c r="BF8" s="2194"/>
      <c r="BG8" s="2195">
        <v>1</v>
      </c>
      <c r="BH8" s="2195">
        <v>0</v>
      </c>
      <c r="BI8" s="2194"/>
      <c r="BJ8" s="2194"/>
      <c r="BK8" s="2195">
        <v>7</v>
      </c>
      <c r="BL8" s="2195">
        <v>3</v>
      </c>
      <c r="BM8" s="2195">
        <v>0</v>
      </c>
      <c r="BN8" s="963"/>
      <c r="BO8" s="963"/>
      <c r="BP8" s="964">
        <v>11</v>
      </c>
      <c r="BQ8" s="73"/>
      <c r="BS8" s="879"/>
      <c r="BT8" s="879"/>
      <c r="BU8" s="880"/>
      <c r="BV8" s="881" t="s">
        <v>1284</v>
      </c>
      <c r="BW8" s="882"/>
      <c r="BX8" s="882"/>
      <c r="BY8" s="882"/>
      <c r="BZ8" s="882"/>
      <c r="CA8" s="882"/>
      <c r="CB8" s="883">
        <v>0</v>
      </c>
      <c r="CC8" s="883">
        <v>7</v>
      </c>
      <c r="CD8" s="883">
        <v>0</v>
      </c>
      <c r="CE8" s="879"/>
      <c r="CF8" s="879"/>
      <c r="CG8" s="884">
        <v>7</v>
      </c>
      <c r="CH8" s="161"/>
      <c r="CJ8" s="885"/>
      <c r="CK8" s="885"/>
      <c r="CL8" s="885"/>
      <c r="CM8" s="897" t="s">
        <v>15</v>
      </c>
      <c r="CN8" s="898"/>
      <c r="CO8" s="899">
        <v>1</v>
      </c>
      <c r="CP8" s="899">
        <v>2</v>
      </c>
      <c r="CQ8" s="898"/>
      <c r="CR8" s="898"/>
      <c r="CS8" s="898"/>
      <c r="CT8" s="898"/>
      <c r="CU8" s="898"/>
      <c r="CV8" s="898"/>
      <c r="CW8" s="900"/>
      <c r="CX8" s="900"/>
      <c r="CY8" s="901">
        <v>3</v>
      </c>
      <c r="CZ8" s="891">
        <v>0</v>
      </c>
      <c r="DB8" s="892"/>
      <c r="DC8" s="892"/>
      <c r="DD8" s="892"/>
      <c r="DE8" s="893" t="s">
        <v>1284</v>
      </c>
      <c r="DF8" s="894"/>
      <c r="DG8" s="894"/>
      <c r="DH8" s="895">
        <v>0</v>
      </c>
      <c r="DI8" s="895">
        <v>1</v>
      </c>
      <c r="DJ8" s="894"/>
      <c r="DK8" s="894"/>
      <c r="DL8" s="894"/>
      <c r="DM8" s="895">
        <v>0</v>
      </c>
      <c r="DN8" s="895">
        <v>1</v>
      </c>
      <c r="DO8" s="895">
        <v>0</v>
      </c>
      <c r="DP8" s="895">
        <v>2</v>
      </c>
      <c r="DQ8" s="792"/>
      <c r="DS8" s="121"/>
      <c r="DT8" s="121"/>
      <c r="DU8" s="74"/>
      <c r="DV8" s="74" t="s">
        <v>1284</v>
      </c>
      <c r="DW8" s="121"/>
      <c r="DX8" s="121">
        <v>1</v>
      </c>
      <c r="DY8" s="121">
        <v>1</v>
      </c>
      <c r="DZ8" s="121"/>
      <c r="EA8" s="121">
        <v>1</v>
      </c>
      <c r="EB8" s="121"/>
      <c r="EC8" s="121">
        <v>1</v>
      </c>
      <c r="ED8" s="121">
        <v>0</v>
      </c>
      <c r="EE8" s="121"/>
      <c r="EF8" s="121">
        <v>0</v>
      </c>
      <c r="EG8" s="121">
        <v>4</v>
      </c>
      <c r="EH8" s="74"/>
      <c r="EI8" s="74"/>
      <c r="EJ8" s="793"/>
      <c r="EK8" s="793"/>
      <c r="EL8" s="793"/>
      <c r="EM8" s="793" t="s">
        <v>1284</v>
      </c>
      <c r="EN8" s="793">
        <v>0</v>
      </c>
      <c r="EO8" s="793">
        <v>0</v>
      </c>
      <c r="EP8" s="793">
        <v>0</v>
      </c>
      <c r="EQ8" s="793">
        <v>0</v>
      </c>
      <c r="ER8" s="793">
        <v>1</v>
      </c>
      <c r="ES8" s="793">
        <v>0</v>
      </c>
      <c r="ET8" s="793">
        <v>0</v>
      </c>
      <c r="EU8" s="793">
        <v>0</v>
      </c>
      <c r="EV8" s="793">
        <v>0</v>
      </c>
      <c r="EW8" s="793">
        <v>0</v>
      </c>
      <c r="EX8" s="793">
        <v>0</v>
      </c>
      <c r="EY8" s="794">
        <v>1</v>
      </c>
      <c r="EZ8" s="896"/>
      <c r="FA8" s="795"/>
    </row>
    <row r="9" spans="1:157">
      <c r="A9" s="73"/>
      <c r="B9" s="73"/>
      <c r="C9" s="73"/>
      <c r="D9" s="73" t="s">
        <v>1292</v>
      </c>
      <c r="E9" s="3261"/>
      <c r="F9" s="3261"/>
      <c r="G9" s="3261">
        <v>0</v>
      </c>
      <c r="H9" s="3261">
        <v>0</v>
      </c>
      <c r="I9" s="3261">
        <v>0</v>
      </c>
      <c r="J9" s="3261">
        <v>0</v>
      </c>
      <c r="K9" s="3261">
        <v>0</v>
      </c>
      <c r="L9" s="3261">
        <v>1</v>
      </c>
      <c r="M9" s="161"/>
      <c r="N9" s="161">
        <v>1</v>
      </c>
      <c r="O9" s="161">
        <v>2</v>
      </c>
      <c r="P9" s="73"/>
      <c r="R9" s="74"/>
      <c r="S9" s="74"/>
      <c r="T9" s="74"/>
      <c r="U9" s="74" t="s">
        <v>1292</v>
      </c>
      <c r="V9" s="3229"/>
      <c r="W9" s="3229">
        <v>0</v>
      </c>
      <c r="X9" s="3229"/>
      <c r="Y9" s="3229"/>
      <c r="Z9" s="3229"/>
      <c r="AA9" s="3229">
        <v>0</v>
      </c>
      <c r="AB9" s="3229"/>
      <c r="AC9" s="3229"/>
      <c r="AD9" s="3229"/>
      <c r="AE9" s="121"/>
      <c r="AF9" s="121">
        <v>1</v>
      </c>
      <c r="AG9" s="121">
        <v>1</v>
      </c>
      <c r="AJ9" s="161"/>
      <c r="AK9" s="161"/>
      <c r="AL9" s="73"/>
      <c r="AM9" s="73" t="s">
        <v>1292</v>
      </c>
      <c r="AN9" s="2600">
        <v>0</v>
      </c>
      <c r="AO9" s="2600">
        <v>0</v>
      </c>
      <c r="AP9" s="2600"/>
      <c r="AQ9" s="2600"/>
      <c r="AR9" s="2600"/>
      <c r="AS9" s="2600"/>
      <c r="AT9" s="2600">
        <v>0</v>
      </c>
      <c r="AU9" s="2600">
        <v>0</v>
      </c>
      <c r="AV9" s="2600">
        <v>9</v>
      </c>
      <c r="AW9" s="161">
        <v>0</v>
      </c>
      <c r="AX9" s="161"/>
      <c r="AY9" s="161">
        <v>9</v>
      </c>
      <c r="AZ9" s="161"/>
      <c r="BB9" s="2191"/>
      <c r="BC9" s="2191"/>
      <c r="BD9" s="2192"/>
      <c r="BE9" s="2193" t="s">
        <v>1286</v>
      </c>
      <c r="BF9" s="2194"/>
      <c r="BG9" s="2195">
        <v>0</v>
      </c>
      <c r="BH9" s="2195">
        <v>1</v>
      </c>
      <c r="BI9" s="2194"/>
      <c r="BJ9" s="2194"/>
      <c r="BK9" s="2195">
        <v>0</v>
      </c>
      <c r="BL9" s="2195">
        <v>0</v>
      </c>
      <c r="BM9" s="2195">
        <v>0</v>
      </c>
      <c r="BN9" s="963"/>
      <c r="BO9" s="963"/>
      <c r="BP9" s="964">
        <v>1</v>
      </c>
      <c r="BQ9" s="73"/>
      <c r="BS9" s="879"/>
      <c r="BT9" s="879"/>
      <c r="BU9" s="880"/>
      <c r="BV9" s="881" t="s">
        <v>1289</v>
      </c>
      <c r="BW9" s="882"/>
      <c r="BX9" s="882"/>
      <c r="BY9" s="882"/>
      <c r="BZ9" s="882"/>
      <c r="CA9" s="882"/>
      <c r="CB9" s="883">
        <v>0</v>
      </c>
      <c r="CC9" s="883">
        <v>1</v>
      </c>
      <c r="CD9" s="883">
        <v>0</v>
      </c>
      <c r="CE9" s="879"/>
      <c r="CF9" s="879"/>
      <c r="CG9" s="884">
        <v>1</v>
      </c>
      <c r="CH9" s="161"/>
      <c r="CJ9" s="885"/>
      <c r="CK9" s="885"/>
      <c r="CL9" s="885" t="s">
        <v>116</v>
      </c>
      <c r="CM9" s="886" t="s">
        <v>1284</v>
      </c>
      <c r="CN9" s="887"/>
      <c r="CO9" s="887"/>
      <c r="CP9" s="887"/>
      <c r="CQ9" s="887"/>
      <c r="CR9" s="887"/>
      <c r="CS9" s="887"/>
      <c r="CT9" s="888">
        <v>3</v>
      </c>
      <c r="CU9" s="888">
        <v>4</v>
      </c>
      <c r="CV9" s="888">
        <v>0</v>
      </c>
      <c r="CW9" s="889"/>
      <c r="CX9" s="889"/>
      <c r="CY9" s="890">
        <v>7</v>
      </c>
      <c r="CZ9" s="891"/>
      <c r="DB9" s="892"/>
      <c r="DC9" s="892"/>
      <c r="DD9" s="892"/>
      <c r="DE9" s="893" t="s">
        <v>1289</v>
      </c>
      <c r="DF9" s="894"/>
      <c r="DG9" s="894"/>
      <c r="DH9" s="895">
        <v>2</v>
      </c>
      <c r="DI9" s="895">
        <v>0</v>
      </c>
      <c r="DJ9" s="894"/>
      <c r="DK9" s="894"/>
      <c r="DL9" s="894"/>
      <c r="DM9" s="895">
        <v>0</v>
      </c>
      <c r="DN9" s="895">
        <v>0</v>
      </c>
      <c r="DO9" s="895">
        <v>0</v>
      </c>
      <c r="DP9" s="895">
        <v>2</v>
      </c>
      <c r="DQ9" s="792"/>
      <c r="DS9" s="121"/>
      <c r="DT9" s="121"/>
      <c r="DU9" s="74"/>
      <c r="DV9" s="74" t="s">
        <v>1289</v>
      </c>
      <c r="DW9" s="121"/>
      <c r="DX9" s="121">
        <v>0</v>
      </c>
      <c r="DY9" s="121">
        <v>1</v>
      </c>
      <c r="DZ9" s="121"/>
      <c r="EA9" s="121">
        <v>0</v>
      </c>
      <c r="EB9" s="121"/>
      <c r="EC9" s="121">
        <v>0</v>
      </c>
      <c r="ED9" s="121">
        <v>0</v>
      </c>
      <c r="EE9" s="121"/>
      <c r="EF9" s="121">
        <v>0</v>
      </c>
      <c r="EG9" s="121">
        <v>1</v>
      </c>
      <c r="EH9" s="74"/>
      <c r="EI9" s="74"/>
      <c r="EJ9" s="793"/>
      <c r="EK9" s="793"/>
      <c r="EL9" s="793"/>
      <c r="EM9" s="793" t="s">
        <v>1289</v>
      </c>
      <c r="EN9" s="793">
        <v>0</v>
      </c>
      <c r="EO9" s="793">
        <v>0</v>
      </c>
      <c r="EP9" s="793">
        <v>2</v>
      </c>
      <c r="EQ9" s="793">
        <v>0</v>
      </c>
      <c r="ER9" s="793">
        <v>0</v>
      </c>
      <c r="ES9" s="793">
        <v>0</v>
      </c>
      <c r="ET9" s="793">
        <v>0</v>
      </c>
      <c r="EU9" s="793">
        <v>0</v>
      </c>
      <c r="EV9" s="793">
        <v>0</v>
      </c>
      <c r="EW9" s="793">
        <v>0</v>
      </c>
      <c r="EX9" s="793">
        <v>0</v>
      </c>
      <c r="EY9" s="794">
        <v>2</v>
      </c>
      <c r="EZ9" s="896"/>
      <c r="FA9" s="795"/>
    </row>
    <row r="10" spans="1:157">
      <c r="A10" s="73"/>
      <c r="B10" s="73"/>
      <c r="C10" s="73"/>
      <c r="D10" s="73" t="s">
        <v>1293</v>
      </c>
      <c r="E10" s="3261"/>
      <c r="F10" s="3261"/>
      <c r="G10" s="3261">
        <v>0</v>
      </c>
      <c r="H10" s="3261">
        <v>0</v>
      </c>
      <c r="I10" s="3261">
        <v>0</v>
      </c>
      <c r="J10" s="3261">
        <v>0</v>
      </c>
      <c r="K10" s="3261">
        <v>1</v>
      </c>
      <c r="L10" s="3261">
        <v>0</v>
      </c>
      <c r="M10" s="161"/>
      <c r="N10" s="161">
        <v>0</v>
      </c>
      <c r="O10" s="161">
        <v>1</v>
      </c>
      <c r="P10" s="73"/>
      <c r="R10" s="74"/>
      <c r="S10" s="74"/>
      <c r="T10" s="74"/>
      <c r="U10" s="74" t="s">
        <v>1398</v>
      </c>
      <c r="V10" s="3229"/>
      <c r="W10" s="3229">
        <v>0</v>
      </c>
      <c r="X10" s="3229"/>
      <c r="Y10" s="3229"/>
      <c r="Z10" s="3229"/>
      <c r="AA10" s="3229">
        <v>1</v>
      </c>
      <c r="AB10" s="3229"/>
      <c r="AC10" s="3229"/>
      <c r="AD10" s="3229"/>
      <c r="AE10" s="121"/>
      <c r="AF10" s="121">
        <v>0</v>
      </c>
      <c r="AG10" s="121">
        <v>1</v>
      </c>
      <c r="AJ10" s="161"/>
      <c r="AK10" s="161"/>
      <c r="AL10" s="73"/>
      <c r="AM10" s="73" t="s">
        <v>1936</v>
      </c>
      <c r="AN10" s="2600">
        <v>2</v>
      </c>
      <c r="AO10" s="2600">
        <v>0</v>
      </c>
      <c r="AP10" s="2600"/>
      <c r="AQ10" s="2600"/>
      <c r="AR10" s="2600"/>
      <c r="AS10" s="2600"/>
      <c r="AT10" s="2600">
        <v>0</v>
      </c>
      <c r="AU10" s="2600">
        <v>0</v>
      </c>
      <c r="AV10" s="2600">
        <v>0</v>
      </c>
      <c r="AW10" s="161">
        <v>0</v>
      </c>
      <c r="AX10" s="161"/>
      <c r="AY10" s="161">
        <v>2</v>
      </c>
      <c r="AZ10" s="161"/>
      <c r="BB10" s="2191"/>
      <c r="BC10" s="2191"/>
      <c r="BD10" s="2192"/>
      <c r="BE10" s="2193" t="s">
        <v>1288</v>
      </c>
      <c r="BF10" s="2194"/>
      <c r="BG10" s="2195">
        <v>0</v>
      </c>
      <c r="BH10" s="2195">
        <v>0</v>
      </c>
      <c r="BI10" s="2194"/>
      <c r="BJ10" s="2194"/>
      <c r="BK10" s="2195">
        <v>0</v>
      </c>
      <c r="BL10" s="2195">
        <v>2</v>
      </c>
      <c r="BM10" s="2195">
        <v>0</v>
      </c>
      <c r="BN10" s="963"/>
      <c r="BO10" s="963"/>
      <c r="BP10" s="964">
        <v>2</v>
      </c>
      <c r="BQ10" s="73"/>
      <c r="BS10" s="879"/>
      <c r="BT10" s="879"/>
      <c r="BU10" s="880"/>
      <c r="BV10" s="881" t="s">
        <v>1292</v>
      </c>
      <c r="BW10" s="882"/>
      <c r="BX10" s="882"/>
      <c r="BY10" s="882"/>
      <c r="BZ10" s="882"/>
      <c r="CA10" s="882"/>
      <c r="CB10" s="883">
        <v>0</v>
      </c>
      <c r="CC10" s="883">
        <v>0</v>
      </c>
      <c r="CD10" s="883">
        <v>2</v>
      </c>
      <c r="CE10" s="879"/>
      <c r="CF10" s="879"/>
      <c r="CG10" s="884">
        <v>2</v>
      </c>
      <c r="CH10" s="161"/>
      <c r="CJ10" s="885"/>
      <c r="CK10" s="885"/>
      <c r="CL10" s="885"/>
      <c r="CM10" s="886" t="s">
        <v>1288</v>
      </c>
      <c r="CN10" s="887"/>
      <c r="CO10" s="887"/>
      <c r="CP10" s="887"/>
      <c r="CQ10" s="887"/>
      <c r="CR10" s="887"/>
      <c r="CS10" s="887"/>
      <c r="CT10" s="888">
        <v>0</v>
      </c>
      <c r="CU10" s="888">
        <v>1</v>
      </c>
      <c r="CV10" s="888">
        <v>0</v>
      </c>
      <c r="CW10" s="889"/>
      <c r="CX10" s="889"/>
      <c r="CY10" s="890">
        <v>1</v>
      </c>
      <c r="CZ10" s="891"/>
      <c r="DB10" s="892"/>
      <c r="DC10" s="892"/>
      <c r="DD10" s="892"/>
      <c r="DE10" s="893" t="s">
        <v>1292</v>
      </c>
      <c r="DF10" s="894"/>
      <c r="DG10" s="894"/>
      <c r="DH10" s="895">
        <v>0</v>
      </c>
      <c r="DI10" s="895">
        <v>0</v>
      </c>
      <c r="DJ10" s="894"/>
      <c r="DK10" s="894"/>
      <c r="DL10" s="894"/>
      <c r="DM10" s="895">
        <v>2</v>
      </c>
      <c r="DN10" s="895">
        <v>0</v>
      </c>
      <c r="DO10" s="895">
        <v>1</v>
      </c>
      <c r="DP10" s="895">
        <v>3</v>
      </c>
      <c r="DQ10" s="792"/>
      <c r="DS10" s="121"/>
      <c r="DT10" s="121"/>
      <c r="DU10" s="74"/>
      <c r="DV10" s="74" t="s">
        <v>1292</v>
      </c>
      <c r="DW10" s="121"/>
      <c r="DX10" s="121">
        <v>0</v>
      </c>
      <c r="DY10" s="121">
        <v>0</v>
      </c>
      <c r="DZ10" s="121"/>
      <c r="EA10" s="121">
        <v>0</v>
      </c>
      <c r="EB10" s="121"/>
      <c r="EC10" s="121">
        <v>0</v>
      </c>
      <c r="ED10" s="121">
        <v>1</v>
      </c>
      <c r="EE10" s="121"/>
      <c r="EF10" s="121">
        <v>1</v>
      </c>
      <c r="EG10" s="121">
        <v>2</v>
      </c>
      <c r="EH10" s="74"/>
      <c r="EI10" s="74"/>
      <c r="EJ10" s="793"/>
      <c r="EK10" s="793"/>
      <c r="EL10" s="793"/>
      <c r="EM10" s="793" t="s">
        <v>1292</v>
      </c>
      <c r="EN10" s="793">
        <v>0</v>
      </c>
      <c r="EO10" s="793">
        <v>0</v>
      </c>
      <c r="EP10" s="793">
        <v>0</v>
      </c>
      <c r="EQ10" s="793">
        <v>0</v>
      </c>
      <c r="ER10" s="793">
        <v>0</v>
      </c>
      <c r="ES10" s="793">
        <v>0</v>
      </c>
      <c r="ET10" s="793">
        <v>2</v>
      </c>
      <c r="EU10" s="793">
        <v>0</v>
      </c>
      <c r="EV10" s="793">
        <v>0</v>
      </c>
      <c r="EW10" s="793">
        <v>0</v>
      </c>
      <c r="EX10" s="793">
        <v>0</v>
      </c>
      <c r="EY10" s="794">
        <v>2</v>
      </c>
      <c r="EZ10" s="896"/>
      <c r="FA10" s="795"/>
    </row>
    <row r="11" spans="1:157">
      <c r="A11" s="73"/>
      <c r="B11" s="73"/>
      <c r="C11" s="73"/>
      <c r="D11" s="73" t="s">
        <v>1398</v>
      </c>
      <c r="E11" s="3261"/>
      <c r="F11" s="3261"/>
      <c r="G11" s="3261">
        <v>0</v>
      </c>
      <c r="H11" s="3261">
        <v>0</v>
      </c>
      <c r="I11" s="3261">
        <v>0</v>
      </c>
      <c r="J11" s="3261">
        <v>1</v>
      </c>
      <c r="K11" s="3261">
        <v>0</v>
      </c>
      <c r="L11" s="3261">
        <v>0</v>
      </c>
      <c r="M11" s="161"/>
      <c r="N11" s="161">
        <v>0</v>
      </c>
      <c r="O11" s="161">
        <v>1</v>
      </c>
      <c r="P11" s="73"/>
      <c r="R11" s="74"/>
      <c r="S11" s="74"/>
      <c r="T11" s="74"/>
      <c r="U11" s="761" t="s">
        <v>15</v>
      </c>
      <c r="V11" s="3230"/>
      <c r="W11" s="3230">
        <v>3</v>
      </c>
      <c r="X11" s="3230"/>
      <c r="Y11" s="3230"/>
      <c r="Z11" s="3230"/>
      <c r="AA11" s="3230">
        <v>2</v>
      </c>
      <c r="AB11" s="3230"/>
      <c r="AC11" s="3230"/>
      <c r="AD11" s="3230"/>
      <c r="AE11" s="729"/>
      <c r="AF11" s="729">
        <v>1</v>
      </c>
      <c r="AG11" s="729">
        <v>6</v>
      </c>
      <c r="AH11" s="4681">
        <f>+(AG8+AG10)/AG11</f>
        <v>0.33333333333333331</v>
      </c>
      <c r="AJ11" s="161"/>
      <c r="AK11" s="161"/>
      <c r="AL11" s="73"/>
      <c r="AM11" s="73" t="s">
        <v>1293</v>
      </c>
      <c r="AN11" s="2600">
        <v>0</v>
      </c>
      <c r="AO11" s="2600">
        <v>0</v>
      </c>
      <c r="AP11" s="2600"/>
      <c r="AQ11" s="2600"/>
      <c r="AR11" s="2600"/>
      <c r="AS11" s="2600"/>
      <c r="AT11" s="2600">
        <v>2</v>
      </c>
      <c r="AU11" s="2600">
        <v>1</v>
      </c>
      <c r="AV11" s="2600">
        <v>0</v>
      </c>
      <c r="AW11" s="161">
        <v>0</v>
      </c>
      <c r="AX11" s="161"/>
      <c r="AY11" s="161">
        <v>3</v>
      </c>
      <c r="AZ11" s="161"/>
      <c r="BB11" s="2191"/>
      <c r="BC11" s="2191"/>
      <c r="BD11" s="2192"/>
      <c r="BE11" s="2193" t="s">
        <v>1292</v>
      </c>
      <c r="BF11" s="2194"/>
      <c r="BG11" s="2195">
        <v>0</v>
      </c>
      <c r="BH11" s="2195">
        <v>0</v>
      </c>
      <c r="BI11" s="2194"/>
      <c r="BJ11" s="2194"/>
      <c r="BK11" s="2195">
        <v>0</v>
      </c>
      <c r="BL11" s="2195">
        <v>1</v>
      </c>
      <c r="BM11" s="2195">
        <v>9</v>
      </c>
      <c r="BN11" s="963"/>
      <c r="BO11" s="963"/>
      <c r="BP11" s="964">
        <v>10</v>
      </c>
      <c r="BQ11" s="73"/>
      <c r="BS11" s="879"/>
      <c r="BT11" s="879"/>
      <c r="BU11" s="880"/>
      <c r="BV11" s="881" t="s">
        <v>1293</v>
      </c>
      <c r="BW11" s="882"/>
      <c r="BX11" s="882"/>
      <c r="BY11" s="882"/>
      <c r="BZ11" s="882"/>
      <c r="CA11" s="882"/>
      <c r="CB11" s="883">
        <v>0</v>
      </c>
      <c r="CC11" s="883">
        <v>1</v>
      </c>
      <c r="CD11" s="883">
        <v>0</v>
      </c>
      <c r="CE11" s="879"/>
      <c r="CF11" s="879"/>
      <c r="CG11" s="884">
        <v>1</v>
      </c>
      <c r="CH11" s="161"/>
      <c r="CJ11" s="885"/>
      <c r="CK11" s="885"/>
      <c r="CL11" s="885"/>
      <c r="CM11" s="886" t="s">
        <v>1292</v>
      </c>
      <c r="CN11" s="887"/>
      <c r="CO11" s="887"/>
      <c r="CP11" s="887"/>
      <c r="CQ11" s="887"/>
      <c r="CR11" s="887"/>
      <c r="CS11" s="887"/>
      <c r="CT11" s="888">
        <v>0</v>
      </c>
      <c r="CU11" s="888">
        <v>0</v>
      </c>
      <c r="CV11" s="888">
        <v>2</v>
      </c>
      <c r="CW11" s="889"/>
      <c r="CX11" s="889"/>
      <c r="CY11" s="890">
        <v>2</v>
      </c>
      <c r="CZ11" s="891"/>
      <c r="DB11" s="892"/>
      <c r="DC11" s="892"/>
      <c r="DD11" s="892"/>
      <c r="DE11" s="902" t="s">
        <v>15</v>
      </c>
      <c r="DF11" s="903"/>
      <c r="DG11" s="903"/>
      <c r="DH11" s="904">
        <v>2</v>
      </c>
      <c r="DI11" s="904">
        <v>1</v>
      </c>
      <c r="DJ11" s="903"/>
      <c r="DK11" s="903"/>
      <c r="DL11" s="903"/>
      <c r="DM11" s="904">
        <v>3</v>
      </c>
      <c r="DN11" s="904">
        <v>1</v>
      </c>
      <c r="DO11" s="904">
        <v>3</v>
      </c>
      <c r="DP11" s="904">
        <v>10</v>
      </c>
      <c r="DQ11" s="905">
        <v>0</v>
      </c>
      <c r="DS11" s="121"/>
      <c r="DT11" s="121"/>
      <c r="DU11" s="74"/>
      <c r="DV11" s="761" t="s">
        <v>15</v>
      </c>
      <c r="DW11" s="729"/>
      <c r="DX11" s="729">
        <v>1</v>
      </c>
      <c r="DY11" s="729">
        <v>2</v>
      </c>
      <c r="DZ11" s="729"/>
      <c r="EA11" s="729">
        <v>1</v>
      </c>
      <c r="EB11" s="729"/>
      <c r="EC11" s="729">
        <v>1</v>
      </c>
      <c r="ED11" s="729">
        <v>2</v>
      </c>
      <c r="EE11" s="729"/>
      <c r="EF11" s="729">
        <v>1</v>
      </c>
      <c r="EG11" s="729">
        <v>8</v>
      </c>
      <c r="EH11" s="815">
        <v>0</v>
      </c>
      <c r="EI11" s="74"/>
      <c r="EJ11" s="793"/>
      <c r="EK11" s="793"/>
      <c r="EL11" s="793"/>
      <c r="EM11" s="796" t="s">
        <v>15</v>
      </c>
      <c r="EN11" s="796">
        <v>0</v>
      </c>
      <c r="EO11" s="796">
        <v>0</v>
      </c>
      <c r="EP11" s="796">
        <v>2</v>
      </c>
      <c r="EQ11" s="796">
        <v>0</v>
      </c>
      <c r="ER11" s="796">
        <v>1</v>
      </c>
      <c r="ES11" s="796">
        <v>0</v>
      </c>
      <c r="ET11" s="796">
        <v>2</v>
      </c>
      <c r="EU11" s="796">
        <v>0</v>
      </c>
      <c r="EV11" s="796">
        <v>1</v>
      </c>
      <c r="EW11" s="796">
        <v>0</v>
      </c>
      <c r="EX11" s="796">
        <v>0</v>
      </c>
      <c r="EY11" s="856">
        <v>6</v>
      </c>
      <c r="EZ11" s="906">
        <f>0/EY11</f>
        <v>0</v>
      </c>
      <c r="FA11" s="795">
        <v>0</v>
      </c>
    </row>
    <row r="12" spans="1:157">
      <c r="A12" s="73"/>
      <c r="B12" s="73"/>
      <c r="C12" s="73"/>
      <c r="D12" s="738" t="s">
        <v>15</v>
      </c>
      <c r="E12" s="3262"/>
      <c r="F12" s="3262"/>
      <c r="G12" s="3262">
        <v>1</v>
      </c>
      <c r="H12" s="3262">
        <v>1</v>
      </c>
      <c r="I12" s="3262">
        <v>1</v>
      </c>
      <c r="J12" s="3262">
        <v>1</v>
      </c>
      <c r="K12" s="3262">
        <v>1</v>
      </c>
      <c r="L12" s="3262">
        <v>1</v>
      </c>
      <c r="M12" s="4674"/>
      <c r="N12" s="4674">
        <v>1</v>
      </c>
      <c r="O12" s="4674">
        <v>7</v>
      </c>
      <c r="P12" s="912">
        <f>+(O11+O10)/O12</f>
        <v>0.2857142857142857</v>
      </c>
      <c r="R12" s="74"/>
      <c r="S12" s="74"/>
      <c r="T12" s="74" t="s">
        <v>116</v>
      </c>
      <c r="U12" s="74" t="s">
        <v>1288</v>
      </c>
      <c r="V12" s="3229"/>
      <c r="W12" s="3229"/>
      <c r="X12" s="3229"/>
      <c r="Y12" s="3229"/>
      <c r="Z12" s="3229"/>
      <c r="AA12" s="3229"/>
      <c r="AB12" s="3229">
        <v>1</v>
      </c>
      <c r="AC12" s="3229"/>
      <c r="AD12" s="3229"/>
      <c r="AE12" s="121"/>
      <c r="AF12" s="121"/>
      <c r="AG12" s="121">
        <v>1</v>
      </c>
      <c r="AJ12" s="161"/>
      <c r="AK12" s="161"/>
      <c r="AL12" s="73"/>
      <c r="AM12" s="73" t="s">
        <v>1398</v>
      </c>
      <c r="AN12" s="2600">
        <v>0</v>
      </c>
      <c r="AO12" s="2600">
        <v>0</v>
      </c>
      <c r="AP12" s="2600"/>
      <c r="AQ12" s="2600"/>
      <c r="AR12" s="2600"/>
      <c r="AS12" s="2600"/>
      <c r="AT12" s="2600">
        <v>4</v>
      </c>
      <c r="AU12" s="2600">
        <v>5</v>
      </c>
      <c r="AV12" s="2600">
        <v>1</v>
      </c>
      <c r="AW12" s="161">
        <v>0</v>
      </c>
      <c r="AX12" s="161"/>
      <c r="AY12" s="161">
        <v>10</v>
      </c>
      <c r="AZ12" s="161"/>
      <c r="BB12" s="2191"/>
      <c r="BC12" s="2191"/>
      <c r="BD12" s="2192"/>
      <c r="BE12" s="2193" t="s">
        <v>1293</v>
      </c>
      <c r="BF12" s="2194"/>
      <c r="BG12" s="2195">
        <v>0</v>
      </c>
      <c r="BH12" s="2195">
        <v>0</v>
      </c>
      <c r="BI12" s="2194"/>
      <c r="BJ12" s="2194"/>
      <c r="BK12" s="2195">
        <v>3</v>
      </c>
      <c r="BL12" s="2195">
        <v>0</v>
      </c>
      <c r="BM12" s="2195">
        <v>0</v>
      </c>
      <c r="BN12" s="963"/>
      <c r="BO12" s="963"/>
      <c r="BP12" s="964">
        <v>3</v>
      </c>
      <c r="BQ12" s="73"/>
      <c r="BS12" s="879"/>
      <c r="BT12" s="879"/>
      <c r="BU12" s="880"/>
      <c r="BV12" s="881" t="s">
        <v>1398</v>
      </c>
      <c r="BW12" s="882"/>
      <c r="BX12" s="882"/>
      <c r="BY12" s="882"/>
      <c r="BZ12" s="882"/>
      <c r="CA12" s="882"/>
      <c r="CB12" s="883">
        <v>2</v>
      </c>
      <c r="CC12" s="883">
        <v>3</v>
      </c>
      <c r="CD12" s="883">
        <v>2</v>
      </c>
      <c r="CE12" s="879"/>
      <c r="CF12" s="879"/>
      <c r="CG12" s="884">
        <v>7</v>
      </c>
      <c r="CH12" s="161"/>
      <c r="CJ12" s="885"/>
      <c r="CK12" s="885"/>
      <c r="CL12" s="885"/>
      <c r="CM12" s="886" t="s">
        <v>1293</v>
      </c>
      <c r="CN12" s="887"/>
      <c r="CO12" s="887"/>
      <c r="CP12" s="887"/>
      <c r="CQ12" s="887"/>
      <c r="CR12" s="887"/>
      <c r="CS12" s="887"/>
      <c r="CT12" s="888">
        <v>1</v>
      </c>
      <c r="CU12" s="888">
        <v>0</v>
      </c>
      <c r="CV12" s="888">
        <v>0</v>
      </c>
      <c r="CW12" s="889"/>
      <c r="CX12" s="889"/>
      <c r="CY12" s="890">
        <v>1</v>
      </c>
      <c r="CZ12" s="891"/>
      <c r="DB12" s="892"/>
      <c r="DC12" s="892"/>
      <c r="DD12" s="892" t="s">
        <v>116</v>
      </c>
      <c r="DE12" s="893" t="s">
        <v>1284</v>
      </c>
      <c r="DF12" s="894"/>
      <c r="DG12" s="894"/>
      <c r="DH12" s="894"/>
      <c r="DI12" s="894"/>
      <c r="DJ12" s="894"/>
      <c r="DK12" s="895">
        <v>4</v>
      </c>
      <c r="DL12" s="895">
        <v>1</v>
      </c>
      <c r="DM12" s="895">
        <v>1</v>
      </c>
      <c r="DN12" s="894"/>
      <c r="DO12" s="895">
        <v>0</v>
      </c>
      <c r="DP12" s="895">
        <v>6</v>
      </c>
      <c r="DQ12" s="792"/>
      <c r="DS12" s="121"/>
      <c r="DT12" s="121"/>
      <c r="DU12" s="74" t="s">
        <v>116</v>
      </c>
      <c r="DV12" s="74" t="s">
        <v>1283</v>
      </c>
      <c r="DW12" s="121"/>
      <c r="DX12" s="121">
        <v>0</v>
      </c>
      <c r="DY12" s="121"/>
      <c r="DZ12" s="121"/>
      <c r="EA12" s="121"/>
      <c r="EB12" s="121">
        <v>1</v>
      </c>
      <c r="EC12" s="121">
        <v>0</v>
      </c>
      <c r="ED12" s="121">
        <v>1</v>
      </c>
      <c r="EE12" s="121"/>
      <c r="EF12" s="121">
        <v>0</v>
      </c>
      <c r="EG12" s="121">
        <v>2</v>
      </c>
      <c r="EH12" s="74"/>
      <c r="EI12" s="74"/>
      <c r="EJ12" s="793"/>
      <c r="EK12" s="793"/>
      <c r="EL12" s="793" t="s">
        <v>116</v>
      </c>
      <c r="EM12" s="793" t="s">
        <v>1283</v>
      </c>
      <c r="EN12" s="793">
        <v>0</v>
      </c>
      <c r="EO12" s="793">
        <v>0</v>
      </c>
      <c r="EP12" s="793">
        <v>0</v>
      </c>
      <c r="EQ12" s="793">
        <v>0</v>
      </c>
      <c r="ER12" s="793">
        <v>1</v>
      </c>
      <c r="ES12" s="793">
        <v>0</v>
      </c>
      <c r="ET12" s="793">
        <v>0</v>
      </c>
      <c r="EU12" s="793">
        <v>0</v>
      </c>
      <c r="EV12" s="793">
        <v>1</v>
      </c>
      <c r="EW12" s="793">
        <v>0</v>
      </c>
      <c r="EX12" s="793">
        <v>0</v>
      </c>
      <c r="EY12" s="794">
        <v>2</v>
      </c>
      <c r="EZ12" s="896"/>
      <c r="FA12" s="795"/>
    </row>
    <row r="13" spans="1:157">
      <c r="A13" s="73"/>
      <c r="B13" s="73"/>
      <c r="C13" s="73" t="s">
        <v>117</v>
      </c>
      <c r="D13" s="73" t="s">
        <v>1283</v>
      </c>
      <c r="E13" s="3261"/>
      <c r="F13" s="3261"/>
      <c r="G13" s="3261"/>
      <c r="H13" s="3261"/>
      <c r="I13" s="3261">
        <v>0</v>
      </c>
      <c r="J13" s="3261">
        <v>1</v>
      </c>
      <c r="K13" s="3261">
        <v>0</v>
      </c>
      <c r="L13" s="3261">
        <v>2</v>
      </c>
      <c r="M13" s="161"/>
      <c r="N13" s="161"/>
      <c r="O13" s="161">
        <v>3</v>
      </c>
      <c r="P13" s="73"/>
      <c r="R13" s="74"/>
      <c r="S13" s="74"/>
      <c r="T13" s="74"/>
      <c r="U13" s="761" t="s">
        <v>15</v>
      </c>
      <c r="V13" s="3230"/>
      <c r="W13" s="3230"/>
      <c r="X13" s="3230"/>
      <c r="Y13" s="3230"/>
      <c r="Z13" s="3230"/>
      <c r="AA13" s="3230"/>
      <c r="AB13" s="3230">
        <v>1</v>
      </c>
      <c r="AC13" s="3230"/>
      <c r="AD13" s="3230"/>
      <c r="AE13" s="729"/>
      <c r="AF13" s="729"/>
      <c r="AG13" s="729">
        <v>1</v>
      </c>
      <c r="AH13" s="4681">
        <f>+AG12/AG13</f>
        <v>1</v>
      </c>
      <c r="AJ13" s="161"/>
      <c r="AK13" s="161"/>
      <c r="AL13" s="73"/>
      <c r="AM13" s="738" t="s">
        <v>15</v>
      </c>
      <c r="AN13" s="2601">
        <v>2</v>
      </c>
      <c r="AO13" s="2601">
        <v>1</v>
      </c>
      <c r="AP13" s="2601"/>
      <c r="AQ13" s="2601"/>
      <c r="AR13" s="2601"/>
      <c r="AS13" s="2601"/>
      <c r="AT13" s="2601">
        <v>12</v>
      </c>
      <c r="AU13" s="2601">
        <v>17</v>
      </c>
      <c r="AV13" s="2601">
        <v>11</v>
      </c>
      <c r="AW13" s="151">
        <v>1</v>
      </c>
      <c r="AX13" s="151"/>
      <c r="AY13" s="151">
        <v>44</v>
      </c>
      <c r="AZ13" s="912">
        <f>+(AY8+AY11+AY12)/AY13</f>
        <v>0.34090909090909088</v>
      </c>
      <c r="BB13" s="2191"/>
      <c r="BC13" s="2191"/>
      <c r="BD13" s="2192"/>
      <c r="BE13" s="2193" t="s">
        <v>1398</v>
      </c>
      <c r="BF13" s="2194"/>
      <c r="BG13" s="2195">
        <v>0</v>
      </c>
      <c r="BH13" s="2195">
        <v>0</v>
      </c>
      <c r="BI13" s="2194"/>
      <c r="BJ13" s="2194"/>
      <c r="BK13" s="2195">
        <v>1</v>
      </c>
      <c r="BL13" s="2195">
        <v>2</v>
      </c>
      <c r="BM13" s="2195">
        <v>0</v>
      </c>
      <c r="BN13" s="963"/>
      <c r="BO13" s="963"/>
      <c r="BP13" s="964">
        <v>3</v>
      </c>
      <c r="BQ13" s="73"/>
      <c r="BS13" s="879"/>
      <c r="BT13" s="879"/>
      <c r="BU13" s="880"/>
      <c r="BV13" s="907" t="s">
        <v>15</v>
      </c>
      <c r="BW13" s="908"/>
      <c r="BX13" s="908"/>
      <c r="BY13" s="908"/>
      <c r="BZ13" s="908"/>
      <c r="CA13" s="908"/>
      <c r="CB13" s="909">
        <v>2</v>
      </c>
      <c r="CC13" s="909">
        <v>12</v>
      </c>
      <c r="CD13" s="909">
        <v>5</v>
      </c>
      <c r="CE13" s="910"/>
      <c r="CF13" s="910"/>
      <c r="CG13" s="911">
        <v>19</v>
      </c>
      <c r="CH13" s="912">
        <f>+(CG11+CG12)/CG13</f>
        <v>0.42105263157894735</v>
      </c>
      <c r="CJ13" s="885"/>
      <c r="CK13" s="885"/>
      <c r="CL13" s="885"/>
      <c r="CM13" s="886" t="s">
        <v>1398</v>
      </c>
      <c r="CN13" s="887"/>
      <c r="CO13" s="887"/>
      <c r="CP13" s="887"/>
      <c r="CQ13" s="887"/>
      <c r="CR13" s="887"/>
      <c r="CS13" s="887"/>
      <c r="CT13" s="888">
        <v>1</v>
      </c>
      <c r="CU13" s="888">
        <v>0</v>
      </c>
      <c r="CV13" s="888">
        <v>1</v>
      </c>
      <c r="CW13" s="889"/>
      <c r="CX13" s="889"/>
      <c r="CY13" s="890">
        <v>2</v>
      </c>
      <c r="CZ13" s="891"/>
      <c r="DB13" s="892"/>
      <c r="DC13" s="892"/>
      <c r="DD13" s="892"/>
      <c r="DE13" s="893" t="s">
        <v>1288</v>
      </c>
      <c r="DF13" s="894"/>
      <c r="DG13" s="894"/>
      <c r="DH13" s="894"/>
      <c r="DI13" s="894"/>
      <c r="DJ13" s="894"/>
      <c r="DK13" s="895">
        <v>0</v>
      </c>
      <c r="DL13" s="895">
        <v>0</v>
      </c>
      <c r="DM13" s="895">
        <v>1</v>
      </c>
      <c r="DN13" s="894"/>
      <c r="DO13" s="895">
        <v>0</v>
      </c>
      <c r="DP13" s="895">
        <v>1</v>
      </c>
      <c r="DQ13" s="792"/>
      <c r="DS13" s="121"/>
      <c r="DT13" s="121"/>
      <c r="DU13" s="74"/>
      <c r="DV13" s="74" t="s">
        <v>1284</v>
      </c>
      <c r="DW13" s="121"/>
      <c r="DX13" s="121">
        <v>2</v>
      </c>
      <c r="DY13" s="121"/>
      <c r="DZ13" s="121"/>
      <c r="EA13" s="121"/>
      <c r="EB13" s="121">
        <v>3</v>
      </c>
      <c r="EC13" s="121">
        <v>6</v>
      </c>
      <c r="ED13" s="121">
        <v>1</v>
      </c>
      <c r="EE13" s="121"/>
      <c r="EF13" s="121">
        <v>0</v>
      </c>
      <c r="EG13" s="121">
        <v>12</v>
      </c>
      <c r="EH13" s="74"/>
      <c r="EI13" s="74"/>
      <c r="EJ13" s="793"/>
      <c r="EK13" s="793"/>
      <c r="EL13" s="793"/>
      <c r="EM13" s="793" t="s">
        <v>1288</v>
      </c>
      <c r="EN13" s="793">
        <v>0</v>
      </c>
      <c r="EO13" s="793">
        <v>0</v>
      </c>
      <c r="EP13" s="793">
        <v>0</v>
      </c>
      <c r="EQ13" s="793">
        <v>0</v>
      </c>
      <c r="ER13" s="793">
        <v>0</v>
      </c>
      <c r="ES13" s="793">
        <v>0</v>
      </c>
      <c r="ET13" s="793">
        <v>1</v>
      </c>
      <c r="EU13" s="793">
        <v>2</v>
      </c>
      <c r="EV13" s="793">
        <v>1</v>
      </c>
      <c r="EW13" s="793">
        <v>0</v>
      </c>
      <c r="EX13" s="793">
        <v>0</v>
      </c>
      <c r="EY13" s="794">
        <v>4</v>
      </c>
      <c r="EZ13" s="896"/>
      <c r="FA13" s="795"/>
    </row>
    <row r="14" spans="1:157">
      <c r="A14" s="73"/>
      <c r="B14" s="73"/>
      <c r="C14" s="73"/>
      <c r="D14" s="73" t="s">
        <v>1284</v>
      </c>
      <c r="E14" s="3261"/>
      <c r="F14" s="3261"/>
      <c r="G14" s="3261"/>
      <c r="H14" s="3261"/>
      <c r="I14" s="3261">
        <v>0</v>
      </c>
      <c r="J14" s="3261">
        <v>3</v>
      </c>
      <c r="K14" s="3261">
        <v>9</v>
      </c>
      <c r="L14" s="3261">
        <v>0</v>
      </c>
      <c r="M14" s="161"/>
      <c r="N14" s="161"/>
      <c r="O14" s="161">
        <v>12</v>
      </c>
      <c r="P14" s="73"/>
      <c r="R14" s="74"/>
      <c r="S14" s="74"/>
      <c r="T14" s="74" t="s">
        <v>117</v>
      </c>
      <c r="U14" s="74" t="s">
        <v>1283</v>
      </c>
      <c r="V14" s="3229"/>
      <c r="W14" s="3229"/>
      <c r="X14" s="3229">
        <v>0</v>
      </c>
      <c r="Y14" s="3229"/>
      <c r="Z14" s="3229"/>
      <c r="AA14" s="3229"/>
      <c r="AB14" s="3229">
        <v>0</v>
      </c>
      <c r="AC14" s="3229">
        <v>1</v>
      </c>
      <c r="AD14" s="3229"/>
      <c r="AE14" s="121"/>
      <c r="AF14" s="121"/>
      <c r="AG14" s="121">
        <v>1</v>
      </c>
      <c r="AJ14" s="161"/>
      <c r="AK14" s="161"/>
      <c r="AL14" s="73" t="s">
        <v>117</v>
      </c>
      <c r="AM14" s="73" t="s">
        <v>1283</v>
      </c>
      <c r="AN14" s="2600">
        <v>0</v>
      </c>
      <c r="AO14" s="2600"/>
      <c r="AP14" s="2600"/>
      <c r="AQ14" s="2600"/>
      <c r="AR14" s="2600"/>
      <c r="AS14" s="2600">
        <v>1</v>
      </c>
      <c r="AT14" s="2600">
        <v>0</v>
      </c>
      <c r="AU14" s="2600">
        <v>0</v>
      </c>
      <c r="AV14" s="2600">
        <v>2</v>
      </c>
      <c r="AW14" s="161"/>
      <c r="AX14" s="161"/>
      <c r="AY14" s="161">
        <v>3</v>
      </c>
      <c r="AZ14" s="161"/>
      <c r="BB14" s="2191"/>
      <c r="BC14" s="2191"/>
      <c r="BD14" s="2192"/>
      <c r="BE14" s="760" t="s">
        <v>15</v>
      </c>
      <c r="BF14" s="2196"/>
      <c r="BG14" s="2197">
        <v>1</v>
      </c>
      <c r="BH14" s="2197">
        <v>1</v>
      </c>
      <c r="BI14" s="2196"/>
      <c r="BJ14" s="2196"/>
      <c r="BK14" s="2197">
        <v>12</v>
      </c>
      <c r="BL14" s="2197">
        <v>9</v>
      </c>
      <c r="BM14" s="2197">
        <v>10</v>
      </c>
      <c r="BN14" s="972"/>
      <c r="BO14" s="972"/>
      <c r="BP14" s="973">
        <v>33</v>
      </c>
      <c r="BQ14" s="2154">
        <f>+(BP10+BP12+BP13)/BP14</f>
        <v>0.24242424242424243</v>
      </c>
      <c r="BS14" s="879"/>
      <c r="BT14" s="879"/>
      <c r="BU14" s="880" t="s">
        <v>117</v>
      </c>
      <c r="BV14" s="881" t="s">
        <v>1283</v>
      </c>
      <c r="BW14" s="882"/>
      <c r="BX14" s="882"/>
      <c r="BY14" s="882"/>
      <c r="BZ14" s="882"/>
      <c r="CA14" s="883">
        <v>0</v>
      </c>
      <c r="CB14" s="883">
        <v>0</v>
      </c>
      <c r="CC14" s="883">
        <v>1</v>
      </c>
      <c r="CD14" s="883">
        <v>1</v>
      </c>
      <c r="CE14" s="879"/>
      <c r="CF14" s="879"/>
      <c r="CG14" s="884">
        <v>2</v>
      </c>
      <c r="CH14" s="161"/>
      <c r="CJ14" s="885"/>
      <c r="CK14" s="885"/>
      <c r="CL14" s="885"/>
      <c r="CM14" s="897" t="s">
        <v>15</v>
      </c>
      <c r="CN14" s="898"/>
      <c r="CO14" s="898"/>
      <c r="CP14" s="898"/>
      <c r="CQ14" s="898"/>
      <c r="CR14" s="898"/>
      <c r="CS14" s="898"/>
      <c r="CT14" s="899">
        <v>5</v>
      </c>
      <c r="CU14" s="899">
        <v>5</v>
      </c>
      <c r="CV14" s="899">
        <v>3</v>
      </c>
      <c r="CW14" s="900"/>
      <c r="CX14" s="900"/>
      <c r="CY14" s="901">
        <v>13</v>
      </c>
      <c r="CZ14" s="891">
        <f>+(CY13+CY12+CY10)/CY14</f>
        <v>0.30769230769230771</v>
      </c>
      <c r="DB14" s="892"/>
      <c r="DC14" s="892"/>
      <c r="DD14" s="892"/>
      <c r="DE14" s="893" t="s">
        <v>1292</v>
      </c>
      <c r="DF14" s="894"/>
      <c r="DG14" s="894"/>
      <c r="DH14" s="894"/>
      <c r="DI14" s="894"/>
      <c r="DJ14" s="894"/>
      <c r="DK14" s="895">
        <v>0</v>
      </c>
      <c r="DL14" s="895">
        <v>0</v>
      </c>
      <c r="DM14" s="895">
        <v>2</v>
      </c>
      <c r="DN14" s="894"/>
      <c r="DO14" s="895">
        <v>1</v>
      </c>
      <c r="DP14" s="895">
        <v>3</v>
      </c>
      <c r="DQ14" s="792"/>
      <c r="DS14" s="121"/>
      <c r="DT14" s="121"/>
      <c r="DU14" s="74"/>
      <c r="DV14" s="74" t="s">
        <v>1292</v>
      </c>
      <c r="DW14" s="121"/>
      <c r="DX14" s="121">
        <v>0</v>
      </c>
      <c r="DY14" s="121"/>
      <c r="DZ14" s="121"/>
      <c r="EA14" s="121"/>
      <c r="EB14" s="121">
        <v>0</v>
      </c>
      <c r="EC14" s="121">
        <v>0</v>
      </c>
      <c r="ED14" s="121">
        <v>4</v>
      </c>
      <c r="EE14" s="121"/>
      <c r="EF14" s="121">
        <v>2</v>
      </c>
      <c r="EG14" s="121">
        <v>6</v>
      </c>
      <c r="EH14" s="74"/>
      <c r="EI14" s="74"/>
      <c r="EJ14" s="793"/>
      <c r="EK14" s="793"/>
      <c r="EL14" s="793"/>
      <c r="EM14" s="793" t="s">
        <v>1289</v>
      </c>
      <c r="EN14" s="793">
        <v>0</v>
      </c>
      <c r="EO14" s="793">
        <v>0</v>
      </c>
      <c r="EP14" s="793">
        <v>0</v>
      </c>
      <c r="EQ14" s="793">
        <v>0</v>
      </c>
      <c r="ER14" s="793">
        <v>1</v>
      </c>
      <c r="ES14" s="793">
        <v>0</v>
      </c>
      <c r="ET14" s="793">
        <v>0</v>
      </c>
      <c r="EU14" s="793">
        <v>0</v>
      </c>
      <c r="EV14" s="793">
        <v>0</v>
      </c>
      <c r="EW14" s="793">
        <v>0</v>
      </c>
      <c r="EX14" s="793">
        <v>0</v>
      </c>
      <c r="EY14" s="794">
        <v>1</v>
      </c>
      <c r="EZ14" s="896"/>
      <c r="FA14" s="795"/>
    </row>
    <row r="15" spans="1:157">
      <c r="A15" s="73"/>
      <c r="B15" s="73"/>
      <c r="C15" s="73"/>
      <c r="D15" s="73" t="s">
        <v>1289</v>
      </c>
      <c r="E15" s="3261"/>
      <c r="F15" s="3261"/>
      <c r="G15" s="3261"/>
      <c r="H15" s="3261"/>
      <c r="I15" s="3261">
        <v>1</v>
      </c>
      <c r="J15" s="3261">
        <v>0</v>
      </c>
      <c r="K15" s="3261">
        <v>0</v>
      </c>
      <c r="L15" s="3261">
        <v>0</v>
      </c>
      <c r="M15" s="161"/>
      <c r="N15" s="161"/>
      <c r="O15" s="161">
        <v>1</v>
      </c>
      <c r="P15" s="73"/>
      <c r="R15" s="74"/>
      <c r="S15" s="74"/>
      <c r="T15" s="74"/>
      <c r="U15" s="74" t="s">
        <v>1284</v>
      </c>
      <c r="V15" s="3229"/>
      <c r="W15" s="3229"/>
      <c r="X15" s="3229">
        <v>1</v>
      </c>
      <c r="Y15" s="3229"/>
      <c r="Z15" s="3229"/>
      <c r="AA15" s="3229"/>
      <c r="AB15" s="3229">
        <v>6</v>
      </c>
      <c r="AC15" s="3229">
        <v>2</v>
      </c>
      <c r="AD15" s="3229"/>
      <c r="AE15" s="121"/>
      <c r="AF15" s="121"/>
      <c r="AG15" s="121">
        <v>9</v>
      </c>
      <c r="AJ15" s="161"/>
      <c r="AK15" s="161"/>
      <c r="AL15" s="73"/>
      <c r="AM15" s="73" t="s">
        <v>1284</v>
      </c>
      <c r="AN15" s="2600">
        <v>0</v>
      </c>
      <c r="AO15" s="2600"/>
      <c r="AP15" s="2600"/>
      <c r="AQ15" s="2600"/>
      <c r="AR15" s="2600"/>
      <c r="AS15" s="2600">
        <v>1</v>
      </c>
      <c r="AT15" s="2600">
        <v>5</v>
      </c>
      <c r="AU15" s="2600">
        <v>4</v>
      </c>
      <c r="AV15" s="2600">
        <v>0</v>
      </c>
      <c r="AW15" s="161"/>
      <c r="AX15" s="161"/>
      <c r="AY15" s="161">
        <v>10</v>
      </c>
      <c r="AZ15" s="161"/>
      <c r="BB15" s="2191"/>
      <c r="BC15" s="2191"/>
      <c r="BD15" s="2192" t="s">
        <v>117</v>
      </c>
      <c r="BE15" s="2193" t="s">
        <v>1283</v>
      </c>
      <c r="BF15" s="2195">
        <v>0</v>
      </c>
      <c r="BG15" s="2194"/>
      <c r="BH15" s="2194"/>
      <c r="BI15" s="2195">
        <v>0</v>
      </c>
      <c r="BJ15" s="2195">
        <v>0</v>
      </c>
      <c r="BK15" s="2195">
        <v>1</v>
      </c>
      <c r="BL15" s="2194"/>
      <c r="BM15" s="2195">
        <v>0</v>
      </c>
      <c r="BN15" s="963"/>
      <c r="BO15" s="963"/>
      <c r="BP15" s="964">
        <v>1</v>
      </c>
      <c r="BQ15" s="73"/>
      <c r="BS15" s="879"/>
      <c r="BT15" s="879"/>
      <c r="BU15" s="880"/>
      <c r="BV15" s="881" t="s">
        <v>1284</v>
      </c>
      <c r="BW15" s="882"/>
      <c r="BX15" s="882"/>
      <c r="BY15" s="882"/>
      <c r="BZ15" s="882"/>
      <c r="CA15" s="883">
        <v>1</v>
      </c>
      <c r="CB15" s="883">
        <v>0</v>
      </c>
      <c r="CC15" s="883">
        <v>1</v>
      </c>
      <c r="CD15" s="883">
        <v>0</v>
      </c>
      <c r="CE15" s="879"/>
      <c r="CF15" s="879"/>
      <c r="CG15" s="884">
        <v>2</v>
      </c>
      <c r="CH15" s="161"/>
      <c r="CJ15" s="885"/>
      <c r="CK15" s="885"/>
      <c r="CL15" s="885" t="s">
        <v>117</v>
      </c>
      <c r="CM15" s="886" t="s">
        <v>1283</v>
      </c>
      <c r="CN15" s="887"/>
      <c r="CO15" s="888">
        <v>0</v>
      </c>
      <c r="CP15" s="887"/>
      <c r="CQ15" s="887"/>
      <c r="CR15" s="887"/>
      <c r="CS15" s="888">
        <v>0</v>
      </c>
      <c r="CT15" s="888">
        <v>0</v>
      </c>
      <c r="CU15" s="888">
        <v>0</v>
      </c>
      <c r="CV15" s="888">
        <v>1</v>
      </c>
      <c r="CW15" s="889"/>
      <c r="CX15" s="889"/>
      <c r="CY15" s="890">
        <v>1</v>
      </c>
      <c r="CZ15" s="891"/>
      <c r="DB15" s="892"/>
      <c r="DC15" s="892"/>
      <c r="DD15" s="892"/>
      <c r="DE15" s="893" t="s">
        <v>1293</v>
      </c>
      <c r="DF15" s="894"/>
      <c r="DG15" s="894"/>
      <c r="DH15" s="894"/>
      <c r="DI15" s="894"/>
      <c r="DJ15" s="894"/>
      <c r="DK15" s="895">
        <v>2</v>
      </c>
      <c r="DL15" s="895">
        <v>1</v>
      </c>
      <c r="DM15" s="895">
        <v>1</v>
      </c>
      <c r="DN15" s="894"/>
      <c r="DO15" s="895">
        <v>0</v>
      </c>
      <c r="DP15" s="895">
        <v>4</v>
      </c>
      <c r="DQ15" s="792"/>
      <c r="DS15" s="121"/>
      <c r="DT15" s="121"/>
      <c r="DU15" s="74"/>
      <c r="DV15" s="74" t="s">
        <v>1293</v>
      </c>
      <c r="DW15" s="121"/>
      <c r="DX15" s="121">
        <v>0</v>
      </c>
      <c r="DY15" s="121"/>
      <c r="DZ15" s="121"/>
      <c r="EA15" s="121"/>
      <c r="EB15" s="121">
        <v>0</v>
      </c>
      <c r="EC15" s="121">
        <v>3</v>
      </c>
      <c r="ED15" s="121">
        <v>0</v>
      </c>
      <c r="EE15" s="121"/>
      <c r="EF15" s="121">
        <v>0</v>
      </c>
      <c r="EG15" s="121">
        <v>3</v>
      </c>
      <c r="EH15" s="74"/>
      <c r="EI15" s="74"/>
      <c r="EJ15" s="793"/>
      <c r="EK15" s="793"/>
      <c r="EL15" s="793"/>
      <c r="EM15" s="793" t="s">
        <v>1292</v>
      </c>
      <c r="EN15" s="793">
        <v>0</v>
      </c>
      <c r="EO15" s="793">
        <v>0</v>
      </c>
      <c r="EP15" s="793">
        <v>0</v>
      </c>
      <c r="EQ15" s="793">
        <v>0</v>
      </c>
      <c r="ER15" s="793">
        <v>0</v>
      </c>
      <c r="ES15" s="793">
        <v>0</v>
      </c>
      <c r="ET15" s="793">
        <v>0</v>
      </c>
      <c r="EU15" s="793">
        <v>2</v>
      </c>
      <c r="EV15" s="793">
        <v>10</v>
      </c>
      <c r="EW15" s="793">
        <v>0</v>
      </c>
      <c r="EX15" s="793">
        <v>0</v>
      </c>
      <c r="EY15" s="794">
        <v>12</v>
      </c>
      <c r="EZ15" s="896"/>
      <c r="FA15" s="795"/>
    </row>
    <row r="16" spans="1:157">
      <c r="A16" s="73"/>
      <c r="B16" s="73"/>
      <c r="C16" s="73"/>
      <c r="D16" s="73" t="s">
        <v>1398</v>
      </c>
      <c r="E16" s="3261"/>
      <c r="F16" s="3261"/>
      <c r="G16" s="3261"/>
      <c r="H16" s="3261"/>
      <c r="I16" s="3261">
        <v>0</v>
      </c>
      <c r="J16" s="3261">
        <v>2</v>
      </c>
      <c r="K16" s="3261">
        <v>0</v>
      </c>
      <c r="L16" s="3261">
        <v>0</v>
      </c>
      <c r="M16" s="161"/>
      <c r="N16" s="161"/>
      <c r="O16" s="161">
        <v>2</v>
      </c>
      <c r="P16" s="73"/>
      <c r="R16" s="74"/>
      <c r="S16" s="74"/>
      <c r="T16" s="74"/>
      <c r="U16" s="74" t="s">
        <v>1293</v>
      </c>
      <c r="V16" s="3229"/>
      <c r="W16" s="3229"/>
      <c r="X16" s="3229">
        <v>0</v>
      </c>
      <c r="Y16" s="3229"/>
      <c r="Z16" s="3229"/>
      <c r="AA16" s="3229"/>
      <c r="AB16" s="3229">
        <v>6</v>
      </c>
      <c r="AC16" s="3229">
        <v>0</v>
      </c>
      <c r="AD16" s="3229"/>
      <c r="AE16" s="121"/>
      <c r="AF16" s="121"/>
      <c r="AG16" s="121">
        <v>6</v>
      </c>
      <c r="AJ16" s="161"/>
      <c r="AK16" s="161"/>
      <c r="AL16" s="73"/>
      <c r="AM16" s="73" t="s">
        <v>1292</v>
      </c>
      <c r="AN16" s="2600">
        <v>0</v>
      </c>
      <c r="AO16" s="2600"/>
      <c r="AP16" s="2600"/>
      <c r="AQ16" s="2600"/>
      <c r="AR16" s="2600"/>
      <c r="AS16" s="2600">
        <v>0</v>
      </c>
      <c r="AT16" s="2600">
        <v>0</v>
      </c>
      <c r="AU16" s="2600">
        <v>1</v>
      </c>
      <c r="AV16" s="2600">
        <v>0</v>
      </c>
      <c r="AW16" s="161"/>
      <c r="AX16" s="161"/>
      <c r="AY16" s="161">
        <v>1</v>
      </c>
      <c r="AZ16" s="161"/>
      <c r="BB16" s="2191"/>
      <c r="BC16" s="2191"/>
      <c r="BD16" s="2192"/>
      <c r="BE16" s="2193" t="s">
        <v>1284</v>
      </c>
      <c r="BF16" s="2195">
        <v>1</v>
      </c>
      <c r="BG16" s="2194"/>
      <c r="BH16" s="2194"/>
      <c r="BI16" s="2195">
        <v>0</v>
      </c>
      <c r="BJ16" s="2195">
        <v>2</v>
      </c>
      <c r="BK16" s="2195">
        <v>2</v>
      </c>
      <c r="BL16" s="2194"/>
      <c r="BM16" s="2195">
        <v>0</v>
      </c>
      <c r="BN16" s="963"/>
      <c r="BO16" s="963"/>
      <c r="BP16" s="964">
        <v>5</v>
      </c>
      <c r="BQ16" s="73"/>
      <c r="BS16" s="879"/>
      <c r="BT16" s="879"/>
      <c r="BU16" s="880"/>
      <c r="BV16" s="881" t="s">
        <v>1288</v>
      </c>
      <c r="BW16" s="882"/>
      <c r="BX16" s="882"/>
      <c r="BY16" s="882"/>
      <c r="BZ16" s="882"/>
      <c r="CA16" s="883">
        <v>1</v>
      </c>
      <c r="CB16" s="883">
        <v>0</v>
      </c>
      <c r="CC16" s="883">
        <v>0</v>
      </c>
      <c r="CD16" s="883">
        <v>0</v>
      </c>
      <c r="CE16" s="879"/>
      <c r="CF16" s="879"/>
      <c r="CG16" s="884">
        <v>1</v>
      </c>
      <c r="CH16" s="161"/>
      <c r="CJ16" s="885"/>
      <c r="CK16" s="885"/>
      <c r="CL16" s="885"/>
      <c r="CM16" s="886" t="s">
        <v>1284</v>
      </c>
      <c r="CN16" s="887"/>
      <c r="CO16" s="888">
        <v>1</v>
      </c>
      <c r="CP16" s="887"/>
      <c r="CQ16" s="887"/>
      <c r="CR16" s="887"/>
      <c r="CS16" s="888">
        <v>3</v>
      </c>
      <c r="CT16" s="888">
        <v>3</v>
      </c>
      <c r="CU16" s="888">
        <v>4</v>
      </c>
      <c r="CV16" s="888">
        <v>0</v>
      </c>
      <c r="CW16" s="889"/>
      <c r="CX16" s="889"/>
      <c r="CY16" s="890">
        <v>11</v>
      </c>
      <c r="CZ16" s="891"/>
      <c r="DB16" s="892"/>
      <c r="DC16" s="892"/>
      <c r="DD16" s="892"/>
      <c r="DE16" s="893" t="s">
        <v>1398</v>
      </c>
      <c r="DF16" s="894"/>
      <c r="DG16" s="894"/>
      <c r="DH16" s="894"/>
      <c r="DI16" s="894"/>
      <c r="DJ16" s="894"/>
      <c r="DK16" s="895">
        <v>0</v>
      </c>
      <c r="DL16" s="895">
        <v>2</v>
      </c>
      <c r="DM16" s="895">
        <v>0</v>
      </c>
      <c r="DN16" s="894"/>
      <c r="DO16" s="895">
        <v>0</v>
      </c>
      <c r="DP16" s="895">
        <v>2</v>
      </c>
      <c r="DQ16" s="792"/>
      <c r="DS16" s="121"/>
      <c r="DT16" s="121"/>
      <c r="DU16" s="74"/>
      <c r="DV16" s="74" t="s">
        <v>1398</v>
      </c>
      <c r="DW16" s="121"/>
      <c r="DX16" s="121">
        <v>0</v>
      </c>
      <c r="DY16" s="121"/>
      <c r="DZ16" s="121"/>
      <c r="EA16" s="121"/>
      <c r="EB16" s="121">
        <v>0</v>
      </c>
      <c r="EC16" s="121">
        <v>1</v>
      </c>
      <c r="ED16" s="121">
        <v>1</v>
      </c>
      <c r="EE16" s="121"/>
      <c r="EF16" s="121">
        <v>0</v>
      </c>
      <c r="EG16" s="121">
        <v>2</v>
      </c>
      <c r="EH16" s="74"/>
      <c r="EI16" s="74"/>
      <c r="EJ16" s="793"/>
      <c r="EK16" s="793"/>
      <c r="EL16" s="793"/>
      <c r="EM16" s="793" t="s">
        <v>1293</v>
      </c>
      <c r="EN16" s="793">
        <v>0</v>
      </c>
      <c r="EO16" s="793">
        <v>0</v>
      </c>
      <c r="EP16" s="793">
        <v>0</v>
      </c>
      <c r="EQ16" s="793">
        <v>0</v>
      </c>
      <c r="ER16" s="793">
        <v>0</v>
      </c>
      <c r="ES16" s="793">
        <v>0</v>
      </c>
      <c r="ET16" s="793">
        <v>0</v>
      </c>
      <c r="EU16" s="793">
        <v>2</v>
      </c>
      <c r="EV16" s="793">
        <v>0</v>
      </c>
      <c r="EW16" s="793">
        <v>0</v>
      </c>
      <c r="EX16" s="793">
        <v>0</v>
      </c>
      <c r="EY16" s="794">
        <v>2</v>
      </c>
      <c r="EZ16" s="896"/>
      <c r="FA16" s="795"/>
    </row>
    <row r="17" spans="1:157">
      <c r="A17" s="73"/>
      <c r="B17" s="73"/>
      <c r="C17" s="73"/>
      <c r="D17" s="738" t="s">
        <v>15</v>
      </c>
      <c r="E17" s="3262"/>
      <c r="F17" s="3262"/>
      <c r="G17" s="3262"/>
      <c r="H17" s="3262"/>
      <c r="I17" s="3262">
        <v>1</v>
      </c>
      <c r="J17" s="3262">
        <v>6</v>
      </c>
      <c r="K17" s="3262">
        <v>9</v>
      </c>
      <c r="L17" s="3262">
        <v>2</v>
      </c>
      <c r="M17" s="4674"/>
      <c r="N17" s="4674"/>
      <c r="O17" s="4674">
        <v>18</v>
      </c>
      <c r="P17" s="912">
        <f>+O16/O17</f>
        <v>0.1111111111111111</v>
      </c>
      <c r="Q17" s="3197"/>
      <c r="R17" s="74"/>
      <c r="S17" s="74"/>
      <c r="T17" s="74"/>
      <c r="U17" s="761" t="s">
        <v>15</v>
      </c>
      <c r="V17" s="3230"/>
      <c r="W17" s="3230"/>
      <c r="X17" s="3230">
        <v>1</v>
      </c>
      <c r="Y17" s="3230"/>
      <c r="Z17" s="3230"/>
      <c r="AA17" s="3230"/>
      <c r="AB17" s="3230">
        <v>12</v>
      </c>
      <c r="AC17" s="3230">
        <v>3</v>
      </c>
      <c r="AD17" s="3230"/>
      <c r="AE17" s="729"/>
      <c r="AF17" s="729"/>
      <c r="AG17" s="729">
        <v>16</v>
      </c>
      <c r="AH17" s="4681">
        <f>+AG16/AG17</f>
        <v>0.375</v>
      </c>
      <c r="AJ17" s="161"/>
      <c r="AK17" s="161"/>
      <c r="AL17" s="73"/>
      <c r="AM17" s="73" t="s">
        <v>1936</v>
      </c>
      <c r="AN17" s="2600">
        <v>1</v>
      </c>
      <c r="AO17" s="2600"/>
      <c r="AP17" s="2600"/>
      <c r="AQ17" s="2600"/>
      <c r="AR17" s="2600"/>
      <c r="AS17" s="2600">
        <v>0</v>
      </c>
      <c r="AT17" s="2600">
        <v>0</v>
      </c>
      <c r="AU17" s="2600">
        <v>0</v>
      </c>
      <c r="AV17" s="2600">
        <v>0</v>
      </c>
      <c r="AW17" s="161"/>
      <c r="AX17" s="161"/>
      <c r="AY17" s="161">
        <v>1</v>
      </c>
      <c r="AZ17" s="161"/>
      <c r="BB17" s="2191"/>
      <c r="BC17" s="2191"/>
      <c r="BD17" s="2192"/>
      <c r="BE17" s="2193" t="s">
        <v>1288</v>
      </c>
      <c r="BF17" s="2195">
        <v>0</v>
      </c>
      <c r="BG17" s="2194"/>
      <c r="BH17" s="2194"/>
      <c r="BI17" s="2195">
        <v>0</v>
      </c>
      <c r="BJ17" s="2195">
        <v>1</v>
      </c>
      <c r="BK17" s="2195">
        <v>0</v>
      </c>
      <c r="BL17" s="2194"/>
      <c r="BM17" s="2195">
        <v>0</v>
      </c>
      <c r="BN17" s="963"/>
      <c r="BO17" s="963"/>
      <c r="BP17" s="964">
        <v>1</v>
      </c>
      <c r="BQ17" s="73"/>
      <c r="BS17" s="879"/>
      <c r="BT17" s="879"/>
      <c r="BU17" s="880"/>
      <c r="BV17" s="881" t="s">
        <v>1292</v>
      </c>
      <c r="BW17" s="882"/>
      <c r="BX17" s="882"/>
      <c r="BY17" s="882"/>
      <c r="BZ17" s="882"/>
      <c r="CA17" s="883">
        <v>0</v>
      </c>
      <c r="CB17" s="883">
        <v>0</v>
      </c>
      <c r="CC17" s="883">
        <v>1</v>
      </c>
      <c r="CD17" s="883">
        <v>1</v>
      </c>
      <c r="CE17" s="879"/>
      <c r="CF17" s="879"/>
      <c r="CG17" s="884">
        <v>2</v>
      </c>
      <c r="CH17" s="161"/>
      <c r="CJ17" s="885"/>
      <c r="CK17" s="885"/>
      <c r="CL17" s="885"/>
      <c r="CM17" s="886" t="s">
        <v>1292</v>
      </c>
      <c r="CN17" s="887"/>
      <c r="CO17" s="888">
        <v>0</v>
      </c>
      <c r="CP17" s="887"/>
      <c r="CQ17" s="887"/>
      <c r="CR17" s="887"/>
      <c r="CS17" s="888">
        <v>0</v>
      </c>
      <c r="CT17" s="888">
        <v>0</v>
      </c>
      <c r="CU17" s="888">
        <v>0</v>
      </c>
      <c r="CV17" s="888">
        <v>2</v>
      </c>
      <c r="CW17" s="889"/>
      <c r="CX17" s="889"/>
      <c r="CY17" s="890">
        <v>2</v>
      </c>
      <c r="CZ17" s="891"/>
      <c r="DB17" s="892"/>
      <c r="DC17" s="892"/>
      <c r="DD17" s="892"/>
      <c r="DE17" s="902" t="s">
        <v>15</v>
      </c>
      <c r="DF17" s="903"/>
      <c r="DG17" s="903"/>
      <c r="DH17" s="903"/>
      <c r="DI17" s="903"/>
      <c r="DJ17" s="903"/>
      <c r="DK17" s="904">
        <v>6</v>
      </c>
      <c r="DL17" s="904">
        <v>4</v>
      </c>
      <c r="DM17" s="904">
        <v>5</v>
      </c>
      <c r="DN17" s="903"/>
      <c r="DO17" s="904">
        <v>1</v>
      </c>
      <c r="DP17" s="904">
        <v>16</v>
      </c>
      <c r="DQ17" s="905">
        <f>+(DP16+DP15+DP13)/DP17</f>
        <v>0.4375</v>
      </c>
      <c r="DS17" s="121"/>
      <c r="DT17" s="121"/>
      <c r="DU17" s="74"/>
      <c r="DV17" s="761" t="s">
        <v>15</v>
      </c>
      <c r="DW17" s="729"/>
      <c r="DX17" s="729">
        <v>2</v>
      </c>
      <c r="DY17" s="729"/>
      <c r="DZ17" s="729"/>
      <c r="EA17" s="729"/>
      <c r="EB17" s="729">
        <v>4</v>
      </c>
      <c r="EC17" s="729">
        <v>10</v>
      </c>
      <c r="ED17" s="729">
        <v>7</v>
      </c>
      <c r="EE17" s="729"/>
      <c r="EF17" s="729">
        <v>2</v>
      </c>
      <c r="EG17" s="729">
        <v>25</v>
      </c>
      <c r="EH17" s="813">
        <f>+(EG15+EG16)/EG17</f>
        <v>0.2</v>
      </c>
      <c r="EI17" s="74"/>
      <c r="EJ17" s="793"/>
      <c r="EK17" s="793"/>
      <c r="EL17" s="793"/>
      <c r="EM17" s="793" t="s">
        <v>1398</v>
      </c>
      <c r="EN17" s="793">
        <v>0</v>
      </c>
      <c r="EO17" s="793">
        <v>0</v>
      </c>
      <c r="EP17" s="793">
        <v>0</v>
      </c>
      <c r="EQ17" s="793">
        <v>0</v>
      </c>
      <c r="ER17" s="793">
        <v>0</v>
      </c>
      <c r="ES17" s="793">
        <v>0</v>
      </c>
      <c r="ET17" s="793">
        <v>0</v>
      </c>
      <c r="EU17" s="793">
        <v>1</v>
      </c>
      <c r="EV17" s="793">
        <v>0</v>
      </c>
      <c r="EW17" s="793">
        <v>0</v>
      </c>
      <c r="EX17" s="793">
        <v>0</v>
      </c>
      <c r="EY17" s="794">
        <v>1</v>
      </c>
      <c r="EZ17" s="896"/>
      <c r="FA17" s="795"/>
    </row>
    <row r="18" spans="1:157">
      <c r="A18" s="73"/>
      <c r="B18" s="73"/>
      <c r="C18" s="73" t="s">
        <v>708</v>
      </c>
      <c r="D18" s="73" t="s">
        <v>1284</v>
      </c>
      <c r="E18" s="3261">
        <v>1</v>
      </c>
      <c r="F18" s="3261"/>
      <c r="G18" s="3261"/>
      <c r="H18" s="3261"/>
      <c r="I18" s="3261"/>
      <c r="J18" s="3261">
        <v>1</v>
      </c>
      <c r="K18" s="3261">
        <v>1</v>
      </c>
      <c r="L18" s="3261">
        <v>0</v>
      </c>
      <c r="M18" s="161">
        <v>1</v>
      </c>
      <c r="N18" s="161"/>
      <c r="O18" s="161">
        <v>4</v>
      </c>
      <c r="P18" s="73"/>
      <c r="R18" s="74"/>
      <c r="S18" s="74"/>
      <c r="T18" s="74" t="s">
        <v>708</v>
      </c>
      <c r="U18" s="74" t="s">
        <v>1284</v>
      </c>
      <c r="V18" s="3229"/>
      <c r="W18" s="3229">
        <v>1</v>
      </c>
      <c r="X18" s="3229"/>
      <c r="Y18" s="3229">
        <v>1</v>
      </c>
      <c r="Z18" s="3229">
        <v>1</v>
      </c>
      <c r="AA18" s="3229"/>
      <c r="AB18" s="3229">
        <v>0</v>
      </c>
      <c r="AC18" s="3229">
        <v>1</v>
      </c>
      <c r="AD18" s="3229">
        <v>0</v>
      </c>
      <c r="AE18" s="121"/>
      <c r="AF18" s="121">
        <v>0</v>
      </c>
      <c r="AG18" s="121">
        <v>4</v>
      </c>
      <c r="AJ18" s="161"/>
      <c r="AK18" s="161"/>
      <c r="AL18" s="73"/>
      <c r="AM18" s="73" t="s">
        <v>1293</v>
      </c>
      <c r="AN18" s="2600">
        <v>0</v>
      </c>
      <c r="AO18" s="2600"/>
      <c r="AP18" s="2600"/>
      <c r="AQ18" s="2600"/>
      <c r="AR18" s="2600"/>
      <c r="AS18" s="2600">
        <v>0</v>
      </c>
      <c r="AT18" s="2600">
        <v>2</v>
      </c>
      <c r="AU18" s="2600">
        <v>2</v>
      </c>
      <c r="AV18" s="2600">
        <v>0</v>
      </c>
      <c r="AW18" s="161"/>
      <c r="AX18" s="161"/>
      <c r="AY18" s="161">
        <v>4</v>
      </c>
      <c r="AZ18" s="161"/>
      <c r="BB18" s="2191"/>
      <c r="BC18" s="2191"/>
      <c r="BD18" s="2192"/>
      <c r="BE18" s="2193" t="s">
        <v>1289</v>
      </c>
      <c r="BF18" s="2195">
        <v>0</v>
      </c>
      <c r="BG18" s="2194"/>
      <c r="BH18" s="2194"/>
      <c r="BI18" s="2195">
        <v>2</v>
      </c>
      <c r="BJ18" s="2195">
        <v>0</v>
      </c>
      <c r="BK18" s="2195">
        <v>0</v>
      </c>
      <c r="BL18" s="2194"/>
      <c r="BM18" s="2195">
        <v>0</v>
      </c>
      <c r="BN18" s="963"/>
      <c r="BO18" s="963"/>
      <c r="BP18" s="964">
        <v>2</v>
      </c>
      <c r="BQ18" s="73"/>
      <c r="BS18" s="879"/>
      <c r="BT18" s="879"/>
      <c r="BU18" s="880"/>
      <c r="BV18" s="881" t="s">
        <v>1293</v>
      </c>
      <c r="BW18" s="882"/>
      <c r="BX18" s="882"/>
      <c r="BY18" s="882"/>
      <c r="BZ18" s="882"/>
      <c r="CA18" s="883">
        <v>2</v>
      </c>
      <c r="CB18" s="883">
        <v>1</v>
      </c>
      <c r="CC18" s="883">
        <v>0</v>
      </c>
      <c r="CD18" s="883">
        <v>0</v>
      </c>
      <c r="CE18" s="879"/>
      <c r="CF18" s="879"/>
      <c r="CG18" s="884">
        <v>3</v>
      </c>
      <c r="CH18" s="161"/>
      <c r="CJ18" s="885"/>
      <c r="CK18" s="885"/>
      <c r="CL18" s="885"/>
      <c r="CM18" s="886" t="s">
        <v>1293</v>
      </c>
      <c r="CN18" s="887"/>
      <c r="CO18" s="888">
        <v>0</v>
      </c>
      <c r="CP18" s="887"/>
      <c r="CQ18" s="887"/>
      <c r="CR18" s="887"/>
      <c r="CS18" s="888">
        <v>1</v>
      </c>
      <c r="CT18" s="888">
        <v>0</v>
      </c>
      <c r="CU18" s="888">
        <v>0</v>
      </c>
      <c r="CV18" s="888">
        <v>0</v>
      </c>
      <c r="CW18" s="889"/>
      <c r="CX18" s="889"/>
      <c r="CY18" s="890">
        <v>1</v>
      </c>
      <c r="CZ18" s="891"/>
      <c r="DB18" s="892"/>
      <c r="DC18" s="892"/>
      <c r="DD18" s="892" t="s">
        <v>117</v>
      </c>
      <c r="DE18" s="893" t="s">
        <v>1283</v>
      </c>
      <c r="DF18" s="894"/>
      <c r="DG18" s="894"/>
      <c r="DH18" s="894"/>
      <c r="DI18" s="894"/>
      <c r="DJ18" s="895">
        <v>0</v>
      </c>
      <c r="DK18" s="895">
        <v>0</v>
      </c>
      <c r="DL18" s="895">
        <v>1</v>
      </c>
      <c r="DM18" s="895">
        <v>0</v>
      </c>
      <c r="DN18" s="894"/>
      <c r="DO18" s="894"/>
      <c r="DP18" s="895">
        <v>1</v>
      </c>
      <c r="DQ18" s="792"/>
      <c r="DS18" s="121"/>
      <c r="DT18" s="121"/>
      <c r="DU18" s="74" t="s">
        <v>117</v>
      </c>
      <c r="DV18" s="74" t="s">
        <v>1284</v>
      </c>
      <c r="DW18" s="121"/>
      <c r="DX18" s="121"/>
      <c r="DY18" s="121"/>
      <c r="DZ18" s="121">
        <v>1</v>
      </c>
      <c r="EA18" s="121">
        <v>0</v>
      </c>
      <c r="EB18" s="121">
        <v>1</v>
      </c>
      <c r="EC18" s="121"/>
      <c r="ED18" s="121"/>
      <c r="EE18" s="121"/>
      <c r="EF18" s="121"/>
      <c r="EG18" s="121">
        <v>2</v>
      </c>
      <c r="EH18" s="74"/>
      <c r="EI18" s="74"/>
      <c r="EJ18" s="793"/>
      <c r="EK18" s="793"/>
      <c r="EL18" s="793"/>
      <c r="EM18" s="796" t="s">
        <v>15</v>
      </c>
      <c r="EN18" s="796">
        <v>0</v>
      </c>
      <c r="EO18" s="796">
        <v>0</v>
      </c>
      <c r="EP18" s="796">
        <v>0</v>
      </c>
      <c r="EQ18" s="796">
        <v>0</v>
      </c>
      <c r="ER18" s="796">
        <v>2</v>
      </c>
      <c r="ES18" s="796">
        <v>0</v>
      </c>
      <c r="ET18" s="796">
        <v>1</v>
      </c>
      <c r="EU18" s="796">
        <v>7</v>
      </c>
      <c r="EV18" s="796">
        <v>12</v>
      </c>
      <c r="EW18" s="796">
        <v>0</v>
      </c>
      <c r="EX18" s="796">
        <v>0</v>
      </c>
      <c r="EY18" s="856">
        <v>22</v>
      </c>
      <c r="EZ18" s="906">
        <f>+(EY13+EY16+EY17)/EY18</f>
        <v>0.31818181818181818</v>
      </c>
      <c r="FA18" s="795">
        <f>+EY13+EY16+EY17</f>
        <v>7</v>
      </c>
    </row>
    <row r="19" spans="1:157">
      <c r="A19" s="73"/>
      <c r="B19" s="73"/>
      <c r="C19" s="73"/>
      <c r="D19" s="73" t="s">
        <v>1288</v>
      </c>
      <c r="E19" s="3261">
        <v>0</v>
      </c>
      <c r="F19" s="3261"/>
      <c r="G19" s="3261"/>
      <c r="H19" s="3261"/>
      <c r="I19" s="3261"/>
      <c r="J19" s="3261">
        <v>0</v>
      </c>
      <c r="K19" s="3261">
        <v>1</v>
      </c>
      <c r="L19" s="3261">
        <v>0</v>
      </c>
      <c r="M19" s="161">
        <v>0</v>
      </c>
      <c r="N19" s="161"/>
      <c r="O19" s="161">
        <v>1</v>
      </c>
      <c r="P19" s="73"/>
      <c r="R19" s="74"/>
      <c r="S19" s="74"/>
      <c r="T19" s="74"/>
      <c r="U19" s="74" t="s">
        <v>1288</v>
      </c>
      <c r="V19" s="3229"/>
      <c r="W19" s="3229">
        <v>0</v>
      </c>
      <c r="X19" s="3229"/>
      <c r="Y19" s="3229">
        <v>0</v>
      </c>
      <c r="Z19" s="3229">
        <v>0</v>
      </c>
      <c r="AA19" s="3229"/>
      <c r="AB19" s="3229">
        <v>0</v>
      </c>
      <c r="AC19" s="3229">
        <v>0</v>
      </c>
      <c r="AD19" s="3229">
        <v>1</v>
      </c>
      <c r="AE19" s="121"/>
      <c r="AF19" s="121">
        <v>0</v>
      </c>
      <c r="AG19" s="121">
        <v>1</v>
      </c>
      <c r="AJ19" s="161"/>
      <c r="AK19" s="161"/>
      <c r="AL19" s="73"/>
      <c r="AM19" s="738" t="s">
        <v>15</v>
      </c>
      <c r="AN19" s="2601">
        <v>1</v>
      </c>
      <c r="AO19" s="2601"/>
      <c r="AP19" s="2601"/>
      <c r="AQ19" s="2601"/>
      <c r="AR19" s="2601"/>
      <c r="AS19" s="2601">
        <v>2</v>
      </c>
      <c r="AT19" s="2601">
        <v>7</v>
      </c>
      <c r="AU19" s="2601">
        <v>7</v>
      </c>
      <c r="AV19" s="2601">
        <v>2</v>
      </c>
      <c r="AW19" s="151"/>
      <c r="AX19" s="151"/>
      <c r="AY19" s="151">
        <v>19</v>
      </c>
      <c r="AZ19" s="912">
        <f>+AY18/AY19</f>
        <v>0.21052631578947367</v>
      </c>
      <c r="BB19" s="2191"/>
      <c r="BC19" s="2191"/>
      <c r="BD19" s="2192"/>
      <c r="BE19" s="2193" t="s">
        <v>1292</v>
      </c>
      <c r="BF19" s="2195">
        <v>0</v>
      </c>
      <c r="BG19" s="2194"/>
      <c r="BH19" s="2194"/>
      <c r="BI19" s="2195">
        <v>0</v>
      </c>
      <c r="BJ19" s="2195">
        <v>0</v>
      </c>
      <c r="BK19" s="2195">
        <v>0</v>
      </c>
      <c r="BL19" s="2194"/>
      <c r="BM19" s="2195">
        <v>1</v>
      </c>
      <c r="BN19" s="963"/>
      <c r="BO19" s="963"/>
      <c r="BP19" s="964">
        <v>1</v>
      </c>
      <c r="BQ19" s="73"/>
      <c r="BS19" s="879"/>
      <c r="BT19" s="879"/>
      <c r="BU19" s="880"/>
      <c r="BV19" s="907" t="s">
        <v>15</v>
      </c>
      <c r="BW19" s="908"/>
      <c r="BX19" s="908"/>
      <c r="BY19" s="908"/>
      <c r="BZ19" s="908"/>
      <c r="CA19" s="909">
        <v>4</v>
      </c>
      <c r="CB19" s="909">
        <v>1</v>
      </c>
      <c r="CC19" s="909">
        <v>3</v>
      </c>
      <c r="CD19" s="909">
        <v>2</v>
      </c>
      <c r="CE19" s="910"/>
      <c r="CF19" s="910"/>
      <c r="CG19" s="911">
        <v>10</v>
      </c>
      <c r="CH19" s="912">
        <f>+(CG16+CG18)/CG19</f>
        <v>0.4</v>
      </c>
      <c r="CJ19" s="885"/>
      <c r="CK19" s="885"/>
      <c r="CL19" s="885"/>
      <c r="CM19" s="886" t="s">
        <v>1398</v>
      </c>
      <c r="CN19" s="887"/>
      <c r="CO19" s="888">
        <v>0</v>
      </c>
      <c r="CP19" s="887"/>
      <c r="CQ19" s="887"/>
      <c r="CR19" s="887"/>
      <c r="CS19" s="888">
        <v>1</v>
      </c>
      <c r="CT19" s="888">
        <v>0</v>
      </c>
      <c r="CU19" s="888">
        <v>0</v>
      </c>
      <c r="CV19" s="888">
        <v>0</v>
      </c>
      <c r="CW19" s="889"/>
      <c r="CX19" s="889"/>
      <c r="CY19" s="890">
        <v>1</v>
      </c>
      <c r="CZ19" s="891"/>
      <c r="DB19" s="892"/>
      <c r="DC19" s="892"/>
      <c r="DD19" s="892"/>
      <c r="DE19" s="893" t="s">
        <v>1284</v>
      </c>
      <c r="DF19" s="894"/>
      <c r="DG19" s="894"/>
      <c r="DH19" s="894"/>
      <c r="DI19" s="894"/>
      <c r="DJ19" s="895">
        <v>0</v>
      </c>
      <c r="DK19" s="895">
        <v>2</v>
      </c>
      <c r="DL19" s="895">
        <v>1</v>
      </c>
      <c r="DM19" s="895">
        <v>0</v>
      </c>
      <c r="DN19" s="894"/>
      <c r="DO19" s="894"/>
      <c r="DP19" s="895">
        <v>3</v>
      </c>
      <c r="DQ19" s="792"/>
      <c r="DS19" s="121"/>
      <c r="DT19" s="121"/>
      <c r="DU19" s="74"/>
      <c r="DV19" s="74" t="s">
        <v>1288</v>
      </c>
      <c r="DW19" s="121"/>
      <c r="DX19" s="121"/>
      <c r="DY19" s="121"/>
      <c r="DZ19" s="121">
        <v>0</v>
      </c>
      <c r="EA19" s="121">
        <v>0</v>
      </c>
      <c r="EB19" s="121">
        <v>1</v>
      </c>
      <c r="EC19" s="121"/>
      <c r="ED19" s="121"/>
      <c r="EE19" s="121"/>
      <c r="EF19" s="121"/>
      <c r="EG19" s="121">
        <v>1</v>
      </c>
      <c r="EH19" s="74"/>
      <c r="EI19" s="74"/>
      <c r="EJ19" s="793"/>
      <c r="EK19" s="793"/>
      <c r="EL19" s="793" t="s">
        <v>117</v>
      </c>
      <c r="EM19" s="793" t="s">
        <v>1284</v>
      </c>
      <c r="EN19" s="793">
        <v>0</v>
      </c>
      <c r="EO19" s="793">
        <v>0</v>
      </c>
      <c r="EP19" s="793">
        <v>0</v>
      </c>
      <c r="EQ19" s="793">
        <v>0</v>
      </c>
      <c r="ER19" s="793">
        <v>0</v>
      </c>
      <c r="ES19" s="793">
        <v>0</v>
      </c>
      <c r="ET19" s="793">
        <v>1</v>
      </c>
      <c r="EU19" s="793">
        <v>2</v>
      </c>
      <c r="EV19" s="793">
        <v>0</v>
      </c>
      <c r="EW19" s="793">
        <v>0</v>
      </c>
      <c r="EX19" s="793">
        <v>0</v>
      </c>
      <c r="EY19" s="794">
        <v>3</v>
      </c>
      <c r="EZ19" s="896"/>
      <c r="FA19" s="795"/>
    </row>
    <row r="20" spans="1:157">
      <c r="A20" s="73"/>
      <c r="B20" s="73"/>
      <c r="C20" s="73"/>
      <c r="D20" s="73" t="s">
        <v>1292</v>
      </c>
      <c r="E20" s="3261">
        <v>0</v>
      </c>
      <c r="F20" s="3261"/>
      <c r="G20" s="3261"/>
      <c r="H20" s="3261"/>
      <c r="I20" s="3261"/>
      <c r="J20" s="3261">
        <v>0</v>
      </c>
      <c r="K20" s="3261">
        <v>1</v>
      </c>
      <c r="L20" s="3261">
        <v>4</v>
      </c>
      <c r="M20" s="161">
        <v>0</v>
      </c>
      <c r="N20" s="161"/>
      <c r="O20" s="161">
        <v>5</v>
      </c>
      <c r="P20" s="73"/>
      <c r="R20" s="74"/>
      <c r="S20" s="74"/>
      <c r="T20" s="74"/>
      <c r="U20" s="74" t="s">
        <v>1292</v>
      </c>
      <c r="V20" s="3229"/>
      <c r="W20" s="3229">
        <v>0</v>
      </c>
      <c r="X20" s="3229"/>
      <c r="Y20" s="3229">
        <v>0</v>
      </c>
      <c r="Z20" s="3229">
        <v>0</v>
      </c>
      <c r="AA20" s="3229"/>
      <c r="AB20" s="3229">
        <v>0</v>
      </c>
      <c r="AC20" s="3229">
        <v>0</v>
      </c>
      <c r="AD20" s="3229">
        <v>1</v>
      </c>
      <c r="AE20" s="121"/>
      <c r="AF20" s="121">
        <v>2</v>
      </c>
      <c r="AG20" s="121">
        <v>3</v>
      </c>
      <c r="AJ20" s="161"/>
      <c r="AK20" s="161"/>
      <c r="AL20" s="73" t="s">
        <v>708</v>
      </c>
      <c r="AM20" s="73" t="s">
        <v>1283</v>
      </c>
      <c r="AN20" s="2600"/>
      <c r="AO20" s="2600">
        <v>0</v>
      </c>
      <c r="AP20" s="2600">
        <v>0</v>
      </c>
      <c r="AQ20" s="2600"/>
      <c r="AR20" s="2600"/>
      <c r="AS20" s="2600"/>
      <c r="AT20" s="2600">
        <v>0</v>
      </c>
      <c r="AU20" s="2600">
        <v>0</v>
      </c>
      <c r="AV20" s="2600">
        <v>1</v>
      </c>
      <c r="AW20" s="161">
        <v>0</v>
      </c>
      <c r="AX20" s="161">
        <v>0</v>
      </c>
      <c r="AY20" s="161">
        <v>1</v>
      </c>
      <c r="AZ20" s="161"/>
      <c r="BB20" s="2191"/>
      <c r="BC20" s="2191"/>
      <c r="BD20" s="2192"/>
      <c r="BE20" s="2193" t="s">
        <v>1293</v>
      </c>
      <c r="BF20" s="2195">
        <v>0</v>
      </c>
      <c r="BG20" s="2194"/>
      <c r="BH20" s="2194"/>
      <c r="BI20" s="2195">
        <v>0</v>
      </c>
      <c r="BJ20" s="2195">
        <v>1</v>
      </c>
      <c r="BK20" s="2195">
        <v>2</v>
      </c>
      <c r="BL20" s="2194"/>
      <c r="BM20" s="2195">
        <v>0</v>
      </c>
      <c r="BN20" s="963"/>
      <c r="BO20" s="963"/>
      <c r="BP20" s="964">
        <v>3</v>
      </c>
      <c r="BQ20" s="73"/>
      <c r="BS20" s="879"/>
      <c r="BT20" s="879"/>
      <c r="BU20" s="880" t="s">
        <v>708</v>
      </c>
      <c r="BV20" s="881" t="s">
        <v>1284</v>
      </c>
      <c r="BW20" s="883">
        <v>1</v>
      </c>
      <c r="BX20" s="883">
        <v>0</v>
      </c>
      <c r="BY20" s="882"/>
      <c r="BZ20" s="882"/>
      <c r="CA20" s="882"/>
      <c r="CB20" s="882"/>
      <c r="CC20" s="883">
        <v>1</v>
      </c>
      <c r="CD20" s="883">
        <v>0</v>
      </c>
      <c r="CE20" s="879"/>
      <c r="CF20" s="879"/>
      <c r="CG20" s="884">
        <v>2</v>
      </c>
      <c r="CH20" s="161"/>
      <c r="CJ20" s="885"/>
      <c r="CK20" s="885"/>
      <c r="CL20" s="885"/>
      <c r="CM20" s="897" t="s">
        <v>15</v>
      </c>
      <c r="CN20" s="898"/>
      <c r="CO20" s="899">
        <v>1</v>
      </c>
      <c r="CP20" s="898"/>
      <c r="CQ20" s="898"/>
      <c r="CR20" s="898"/>
      <c r="CS20" s="899">
        <v>5</v>
      </c>
      <c r="CT20" s="899">
        <v>3</v>
      </c>
      <c r="CU20" s="899">
        <v>4</v>
      </c>
      <c r="CV20" s="899">
        <v>3</v>
      </c>
      <c r="CW20" s="900"/>
      <c r="CX20" s="900"/>
      <c r="CY20" s="901">
        <v>16</v>
      </c>
      <c r="CZ20" s="891">
        <f>+(CY19+CY18)/CY20</f>
        <v>0.125</v>
      </c>
      <c r="DB20" s="892"/>
      <c r="DC20" s="892"/>
      <c r="DD20" s="892"/>
      <c r="DE20" s="893" t="s">
        <v>1288</v>
      </c>
      <c r="DF20" s="894"/>
      <c r="DG20" s="894"/>
      <c r="DH20" s="894"/>
      <c r="DI20" s="894"/>
      <c r="DJ20" s="895">
        <v>1</v>
      </c>
      <c r="DK20" s="895">
        <v>1</v>
      </c>
      <c r="DL20" s="895">
        <v>0</v>
      </c>
      <c r="DM20" s="895">
        <v>0</v>
      </c>
      <c r="DN20" s="894"/>
      <c r="DO20" s="894"/>
      <c r="DP20" s="895">
        <v>2</v>
      </c>
      <c r="DQ20" s="792"/>
      <c r="DS20" s="121"/>
      <c r="DT20" s="121"/>
      <c r="DU20" s="74"/>
      <c r="DV20" s="74" t="s">
        <v>1293</v>
      </c>
      <c r="DW20" s="121"/>
      <c r="DX20" s="121"/>
      <c r="DY20" s="121"/>
      <c r="DZ20" s="121">
        <v>0</v>
      </c>
      <c r="EA20" s="121">
        <v>0</v>
      </c>
      <c r="EB20" s="121">
        <v>1</v>
      </c>
      <c r="EC20" s="121"/>
      <c r="ED20" s="121"/>
      <c r="EE20" s="121"/>
      <c r="EF20" s="121"/>
      <c r="EG20" s="121">
        <v>1</v>
      </c>
      <c r="EH20" s="74"/>
      <c r="EI20" s="74"/>
      <c r="EJ20" s="793"/>
      <c r="EK20" s="793"/>
      <c r="EL20" s="793"/>
      <c r="EM20" s="793" t="s">
        <v>1289</v>
      </c>
      <c r="EN20" s="793">
        <v>0</v>
      </c>
      <c r="EO20" s="793">
        <v>0</v>
      </c>
      <c r="EP20" s="793">
        <v>0</v>
      </c>
      <c r="EQ20" s="793">
        <v>0</v>
      </c>
      <c r="ER20" s="793">
        <v>1</v>
      </c>
      <c r="ES20" s="793">
        <v>0</v>
      </c>
      <c r="ET20" s="793">
        <v>0</v>
      </c>
      <c r="EU20" s="793">
        <v>0</v>
      </c>
      <c r="EV20" s="793">
        <v>0</v>
      </c>
      <c r="EW20" s="793">
        <v>0</v>
      </c>
      <c r="EX20" s="793">
        <v>0</v>
      </c>
      <c r="EY20" s="794">
        <v>1</v>
      </c>
      <c r="EZ20" s="896"/>
      <c r="FA20" s="795"/>
    </row>
    <row r="21" spans="1:157">
      <c r="A21" s="73"/>
      <c r="B21" s="73"/>
      <c r="C21" s="73"/>
      <c r="D21" s="73" t="s">
        <v>1293</v>
      </c>
      <c r="E21" s="3261">
        <v>0</v>
      </c>
      <c r="F21" s="3261"/>
      <c r="G21" s="3261"/>
      <c r="H21" s="3261"/>
      <c r="I21" s="3261"/>
      <c r="J21" s="3261">
        <v>0</v>
      </c>
      <c r="K21" s="3261">
        <v>1</v>
      </c>
      <c r="L21" s="3261">
        <v>1</v>
      </c>
      <c r="M21" s="161">
        <v>0</v>
      </c>
      <c r="N21" s="161"/>
      <c r="O21" s="161">
        <v>2</v>
      </c>
      <c r="P21" s="73"/>
      <c r="R21" s="74"/>
      <c r="S21" s="74"/>
      <c r="T21" s="74"/>
      <c r="U21" s="74" t="s">
        <v>1293</v>
      </c>
      <c r="V21" s="3229"/>
      <c r="W21" s="3229">
        <v>0</v>
      </c>
      <c r="X21" s="3229"/>
      <c r="Y21" s="3229">
        <v>0</v>
      </c>
      <c r="Z21" s="3229">
        <v>0</v>
      </c>
      <c r="AA21" s="3229"/>
      <c r="AB21" s="3229">
        <v>2</v>
      </c>
      <c r="AC21" s="3229">
        <v>5</v>
      </c>
      <c r="AD21" s="3229">
        <v>0</v>
      </c>
      <c r="AE21" s="121"/>
      <c r="AF21" s="121">
        <v>0</v>
      </c>
      <c r="AG21" s="121">
        <v>7</v>
      </c>
      <c r="AJ21" s="161"/>
      <c r="AK21" s="161"/>
      <c r="AL21" s="73"/>
      <c r="AM21" s="73" t="s">
        <v>1284</v>
      </c>
      <c r="AN21" s="2600"/>
      <c r="AO21" s="2600">
        <v>0</v>
      </c>
      <c r="AP21" s="2600">
        <v>1</v>
      </c>
      <c r="AQ21" s="2600"/>
      <c r="AR21" s="2600"/>
      <c r="AS21" s="2600"/>
      <c r="AT21" s="2600">
        <v>1</v>
      </c>
      <c r="AU21" s="2600">
        <v>1</v>
      </c>
      <c r="AV21" s="2600">
        <v>0</v>
      </c>
      <c r="AW21" s="161">
        <v>0</v>
      </c>
      <c r="AX21" s="161">
        <v>0</v>
      </c>
      <c r="AY21" s="161">
        <v>3</v>
      </c>
      <c r="AZ21" s="161"/>
      <c r="BB21" s="2191"/>
      <c r="BC21" s="2191"/>
      <c r="BD21" s="2192"/>
      <c r="BE21" s="2193" t="s">
        <v>1398</v>
      </c>
      <c r="BF21" s="2195">
        <v>0</v>
      </c>
      <c r="BG21" s="2194"/>
      <c r="BH21" s="2194"/>
      <c r="BI21" s="2195">
        <v>0</v>
      </c>
      <c r="BJ21" s="2195">
        <v>1</v>
      </c>
      <c r="BK21" s="2195">
        <v>0</v>
      </c>
      <c r="BL21" s="2194"/>
      <c r="BM21" s="2195">
        <v>0</v>
      </c>
      <c r="BN21" s="963"/>
      <c r="BO21" s="963"/>
      <c r="BP21" s="964">
        <v>1</v>
      </c>
      <c r="BQ21" s="73"/>
      <c r="BS21" s="879"/>
      <c r="BT21" s="879"/>
      <c r="BU21" s="880"/>
      <c r="BV21" s="881" t="s">
        <v>1286</v>
      </c>
      <c r="BW21" s="883">
        <v>1</v>
      </c>
      <c r="BX21" s="883">
        <v>1</v>
      </c>
      <c r="BY21" s="882"/>
      <c r="BZ21" s="882"/>
      <c r="CA21" s="882"/>
      <c r="CB21" s="882"/>
      <c r="CC21" s="883">
        <v>0</v>
      </c>
      <c r="CD21" s="883">
        <v>0</v>
      </c>
      <c r="CE21" s="879"/>
      <c r="CF21" s="879"/>
      <c r="CG21" s="884">
        <v>2</v>
      </c>
      <c r="CH21" s="161"/>
      <c r="CJ21" s="885"/>
      <c r="CK21" s="885"/>
      <c r="CL21" s="897" t="s">
        <v>572</v>
      </c>
      <c r="CM21" s="886" t="s">
        <v>1283</v>
      </c>
      <c r="CN21" s="887"/>
      <c r="CO21" s="888">
        <v>0</v>
      </c>
      <c r="CP21" s="888">
        <v>0</v>
      </c>
      <c r="CQ21" s="887"/>
      <c r="CR21" s="887"/>
      <c r="CS21" s="888">
        <v>0</v>
      </c>
      <c r="CT21" s="888">
        <v>0</v>
      </c>
      <c r="CU21" s="888">
        <v>0</v>
      </c>
      <c r="CV21" s="888">
        <v>1</v>
      </c>
      <c r="CW21" s="889"/>
      <c r="CX21" s="889"/>
      <c r="CY21" s="890">
        <v>1</v>
      </c>
      <c r="CZ21" s="891"/>
      <c r="DB21" s="892"/>
      <c r="DC21" s="892"/>
      <c r="DD21" s="892"/>
      <c r="DE21" s="893" t="s">
        <v>1292</v>
      </c>
      <c r="DF21" s="894"/>
      <c r="DG21" s="894"/>
      <c r="DH21" s="894"/>
      <c r="DI21" s="894"/>
      <c r="DJ21" s="895">
        <v>0</v>
      </c>
      <c r="DK21" s="895">
        <v>0</v>
      </c>
      <c r="DL21" s="895">
        <v>1</v>
      </c>
      <c r="DM21" s="895">
        <v>1</v>
      </c>
      <c r="DN21" s="894"/>
      <c r="DO21" s="894"/>
      <c r="DP21" s="895">
        <v>2</v>
      </c>
      <c r="DQ21" s="792"/>
      <c r="DS21" s="121"/>
      <c r="DT21" s="121"/>
      <c r="DU21" s="74"/>
      <c r="DV21" s="74" t="s">
        <v>1398</v>
      </c>
      <c r="DW21" s="121"/>
      <c r="DX21" s="121"/>
      <c r="DY21" s="121"/>
      <c r="DZ21" s="121">
        <v>0</v>
      </c>
      <c r="EA21" s="121">
        <v>1</v>
      </c>
      <c r="EB21" s="121">
        <v>1</v>
      </c>
      <c r="EC21" s="121"/>
      <c r="ED21" s="121"/>
      <c r="EE21" s="121"/>
      <c r="EF21" s="121"/>
      <c r="EG21" s="121">
        <v>2</v>
      </c>
      <c r="EH21" s="74"/>
      <c r="EI21" s="74"/>
      <c r="EJ21" s="793"/>
      <c r="EK21" s="793"/>
      <c r="EL21" s="793"/>
      <c r="EM21" s="796" t="s">
        <v>15</v>
      </c>
      <c r="EN21" s="796">
        <v>0</v>
      </c>
      <c r="EO21" s="796">
        <v>0</v>
      </c>
      <c r="EP21" s="796">
        <v>0</v>
      </c>
      <c r="EQ21" s="796">
        <v>0</v>
      </c>
      <c r="ER21" s="796">
        <v>1</v>
      </c>
      <c r="ES21" s="796">
        <v>0</v>
      </c>
      <c r="ET21" s="796">
        <v>1</v>
      </c>
      <c r="EU21" s="796">
        <v>2</v>
      </c>
      <c r="EV21" s="796">
        <v>0</v>
      </c>
      <c r="EW21" s="796">
        <v>0</v>
      </c>
      <c r="EX21" s="796">
        <v>0</v>
      </c>
      <c r="EY21" s="856">
        <v>4</v>
      </c>
      <c r="EZ21" s="906">
        <f>0/EY21</f>
        <v>0</v>
      </c>
      <c r="FA21" s="795">
        <v>0</v>
      </c>
    </row>
    <row r="22" spans="1:157">
      <c r="A22" s="73"/>
      <c r="B22" s="73"/>
      <c r="C22" s="73"/>
      <c r="D22" s="73" t="s">
        <v>1398</v>
      </c>
      <c r="E22" s="3261">
        <v>0</v>
      </c>
      <c r="F22" s="3261"/>
      <c r="G22" s="3261"/>
      <c r="H22" s="3261"/>
      <c r="I22" s="3261"/>
      <c r="J22" s="3261">
        <v>0</v>
      </c>
      <c r="K22" s="3261">
        <v>3</v>
      </c>
      <c r="L22" s="3261">
        <v>0</v>
      </c>
      <c r="M22" s="161">
        <v>0</v>
      </c>
      <c r="N22" s="161"/>
      <c r="O22" s="161">
        <v>3</v>
      </c>
      <c r="P22" s="73"/>
      <c r="R22" s="74"/>
      <c r="S22" s="74"/>
      <c r="T22" s="74"/>
      <c r="U22" s="74" t="s">
        <v>1398</v>
      </c>
      <c r="V22" s="3229"/>
      <c r="W22" s="3229">
        <v>0</v>
      </c>
      <c r="X22" s="3229"/>
      <c r="Y22" s="3229">
        <v>0</v>
      </c>
      <c r="Z22" s="3229">
        <v>0</v>
      </c>
      <c r="AA22" s="3229"/>
      <c r="AB22" s="3229">
        <v>0</v>
      </c>
      <c r="AC22" s="3229">
        <v>1</v>
      </c>
      <c r="AD22" s="3229">
        <v>0</v>
      </c>
      <c r="AE22" s="121"/>
      <c r="AF22" s="121">
        <v>0</v>
      </c>
      <c r="AG22" s="121">
        <v>1</v>
      </c>
      <c r="AJ22" s="161"/>
      <c r="AK22" s="161"/>
      <c r="AL22" s="73"/>
      <c r="AM22" s="73" t="s">
        <v>1286</v>
      </c>
      <c r="AN22" s="2600"/>
      <c r="AO22" s="2600">
        <v>1</v>
      </c>
      <c r="AP22" s="2600">
        <v>0</v>
      </c>
      <c r="AQ22" s="2600"/>
      <c r="AR22" s="2600"/>
      <c r="AS22" s="2600"/>
      <c r="AT22" s="2600">
        <v>0</v>
      </c>
      <c r="AU22" s="2600">
        <v>0</v>
      </c>
      <c r="AV22" s="2600">
        <v>0</v>
      </c>
      <c r="AW22" s="161">
        <v>0</v>
      </c>
      <c r="AX22" s="161">
        <v>0</v>
      </c>
      <c r="AY22" s="161">
        <v>1</v>
      </c>
      <c r="AZ22" s="161"/>
      <c r="BB22" s="2191"/>
      <c r="BC22" s="2191"/>
      <c r="BD22" s="2192"/>
      <c r="BE22" s="760" t="s">
        <v>15</v>
      </c>
      <c r="BF22" s="2197">
        <v>1</v>
      </c>
      <c r="BG22" s="2196"/>
      <c r="BH22" s="2196"/>
      <c r="BI22" s="2197">
        <v>2</v>
      </c>
      <c r="BJ22" s="2197">
        <v>5</v>
      </c>
      <c r="BK22" s="2197">
        <v>5</v>
      </c>
      <c r="BL22" s="2196"/>
      <c r="BM22" s="2197">
        <v>1</v>
      </c>
      <c r="BN22" s="972"/>
      <c r="BO22" s="972"/>
      <c r="BP22" s="973">
        <v>14</v>
      </c>
      <c r="BQ22" s="2154">
        <f>+(BP17+BP20+BP21)/BP22</f>
        <v>0.35714285714285715</v>
      </c>
      <c r="BS22" s="879"/>
      <c r="BT22" s="879"/>
      <c r="BU22" s="880"/>
      <c r="BV22" s="881" t="s">
        <v>1288</v>
      </c>
      <c r="BW22" s="883">
        <v>0</v>
      </c>
      <c r="BX22" s="883">
        <v>0</v>
      </c>
      <c r="BY22" s="882"/>
      <c r="BZ22" s="882"/>
      <c r="CA22" s="882"/>
      <c r="CB22" s="882"/>
      <c r="CC22" s="883">
        <v>2</v>
      </c>
      <c r="CD22" s="883">
        <v>1</v>
      </c>
      <c r="CE22" s="879"/>
      <c r="CF22" s="879"/>
      <c r="CG22" s="884">
        <v>3</v>
      </c>
      <c r="CH22" s="161"/>
      <c r="CJ22" s="885"/>
      <c r="CK22" s="885"/>
      <c r="CL22" s="885"/>
      <c r="CM22" s="886" t="s">
        <v>1284</v>
      </c>
      <c r="CN22" s="887"/>
      <c r="CO22" s="888">
        <v>2</v>
      </c>
      <c r="CP22" s="888">
        <v>2</v>
      </c>
      <c r="CQ22" s="887"/>
      <c r="CR22" s="887"/>
      <c r="CS22" s="888">
        <v>3</v>
      </c>
      <c r="CT22" s="888">
        <v>6</v>
      </c>
      <c r="CU22" s="888">
        <v>8</v>
      </c>
      <c r="CV22" s="888">
        <v>0</v>
      </c>
      <c r="CW22" s="889"/>
      <c r="CX22" s="889"/>
      <c r="CY22" s="890">
        <v>21</v>
      </c>
      <c r="CZ22" s="891"/>
      <c r="DB22" s="892"/>
      <c r="DC22" s="892"/>
      <c r="DD22" s="892"/>
      <c r="DE22" s="893" t="s">
        <v>1293</v>
      </c>
      <c r="DF22" s="894"/>
      <c r="DG22" s="894"/>
      <c r="DH22" s="894"/>
      <c r="DI22" s="894"/>
      <c r="DJ22" s="895">
        <v>1</v>
      </c>
      <c r="DK22" s="895">
        <v>4</v>
      </c>
      <c r="DL22" s="895">
        <v>0</v>
      </c>
      <c r="DM22" s="895">
        <v>0</v>
      </c>
      <c r="DN22" s="894"/>
      <c r="DO22" s="894"/>
      <c r="DP22" s="895">
        <v>5</v>
      </c>
      <c r="DQ22" s="792"/>
      <c r="DS22" s="121"/>
      <c r="DT22" s="121"/>
      <c r="DU22" s="74"/>
      <c r="DV22" s="761" t="s">
        <v>15</v>
      </c>
      <c r="DW22" s="729"/>
      <c r="DX22" s="729"/>
      <c r="DY22" s="729"/>
      <c r="DZ22" s="729">
        <v>1</v>
      </c>
      <c r="EA22" s="729">
        <v>1</v>
      </c>
      <c r="EB22" s="729">
        <v>4</v>
      </c>
      <c r="EC22" s="729"/>
      <c r="ED22" s="729"/>
      <c r="EE22" s="729"/>
      <c r="EF22" s="729"/>
      <c r="EG22" s="729">
        <v>6</v>
      </c>
      <c r="EH22" s="813">
        <f>+(EG19+EG20+EG21)/EG22</f>
        <v>0.66666666666666663</v>
      </c>
      <c r="EI22" s="74"/>
      <c r="EJ22" s="793"/>
      <c r="EK22" s="793" t="s">
        <v>16</v>
      </c>
      <c r="EL22" s="793" t="s">
        <v>118</v>
      </c>
      <c r="EM22" s="793" t="s">
        <v>1284</v>
      </c>
      <c r="EN22" s="793">
        <v>0</v>
      </c>
      <c r="EO22" s="793">
        <v>0</v>
      </c>
      <c r="EP22" s="793">
        <v>0</v>
      </c>
      <c r="EQ22" s="793">
        <v>0</v>
      </c>
      <c r="ER22" s="793">
        <v>0</v>
      </c>
      <c r="ES22" s="793">
        <v>0</v>
      </c>
      <c r="ET22" s="793">
        <v>1</v>
      </c>
      <c r="EU22" s="793">
        <v>3</v>
      </c>
      <c r="EV22" s="793">
        <v>0</v>
      </c>
      <c r="EW22" s="793">
        <v>0</v>
      </c>
      <c r="EX22" s="793">
        <v>0</v>
      </c>
      <c r="EY22" s="794">
        <v>4</v>
      </c>
      <c r="EZ22" s="896"/>
      <c r="FA22" s="795"/>
    </row>
    <row r="23" spans="1:157">
      <c r="A23" s="73"/>
      <c r="B23" s="73"/>
      <c r="C23" s="73"/>
      <c r="D23" s="738" t="s">
        <v>15</v>
      </c>
      <c r="E23" s="3262">
        <v>1</v>
      </c>
      <c r="F23" s="3262"/>
      <c r="G23" s="3262"/>
      <c r="H23" s="3262"/>
      <c r="I23" s="3262"/>
      <c r="J23" s="3262">
        <v>1</v>
      </c>
      <c r="K23" s="3262">
        <v>7</v>
      </c>
      <c r="L23" s="3262">
        <v>5</v>
      </c>
      <c r="M23" s="4674">
        <v>1</v>
      </c>
      <c r="N23" s="4674"/>
      <c r="O23" s="4674">
        <v>15</v>
      </c>
      <c r="P23" s="912">
        <f>+(O22+O21+O19)/O23</f>
        <v>0.4</v>
      </c>
      <c r="Q23" s="3197"/>
      <c r="R23" s="74"/>
      <c r="S23" s="74"/>
      <c r="T23" s="74"/>
      <c r="U23" s="761" t="s">
        <v>15</v>
      </c>
      <c r="V23" s="3230"/>
      <c r="W23" s="3230">
        <v>1</v>
      </c>
      <c r="X23" s="3230"/>
      <c r="Y23" s="3230">
        <v>1</v>
      </c>
      <c r="Z23" s="3230">
        <v>1</v>
      </c>
      <c r="AA23" s="3230"/>
      <c r="AB23" s="3230">
        <v>2</v>
      </c>
      <c r="AC23" s="3230">
        <v>7</v>
      </c>
      <c r="AD23" s="3230">
        <v>2</v>
      </c>
      <c r="AE23" s="729"/>
      <c r="AF23" s="729">
        <v>2</v>
      </c>
      <c r="AG23" s="729">
        <v>16</v>
      </c>
      <c r="AH23" s="4681">
        <f>+(AG19+AG21+AG22)/AG23</f>
        <v>0.5625</v>
      </c>
      <c r="AJ23" s="161"/>
      <c r="AK23" s="161"/>
      <c r="AL23" s="73"/>
      <c r="AM23" s="73" t="s">
        <v>1288</v>
      </c>
      <c r="AN23" s="2600"/>
      <c r="AO23" s="2600">
        <v>0</v>
      </c>
      <c r="AP23" s="2600">
        <v>0</v>
      </c>
      <c r="AQ23" s="2600"/>
      <c r="AR23" s="2600"/>
      <c r="AS23" s="2600"/>
      <c r="AT23" s="2600">
        <v>0</v>
      </c>
      <c r="AU23" s="2600">
        <v>0</v>
      </c>
      <c r="AV23" s="2600">
        <v>1</v>
      </c>
      <c r="AW23" s="161">
        <v>1</v>
      </c>
      <c r="AX23" s="161">
        <v>0</v>
      </c>
      <c r="AY23" s="161">
        <v>2</v>
      </c>
      <c r="AZ23" s="161"/>
      <c r="BB23" s="2191"/>
      <c r="BC23" s="2191"/>
      <c r="BD23" s="2192" t="s">
        <v>708</v>
      </c>
      <c r="BE23" s="2193" t="s">
        <v>1284</v>
      </c>
      <c r="BF23" s="2194"/>
      <c r="BG23" s="2194"/>
      <c r="BH23" s="2195">
        <v>1</v>
      </c>
      <c r="BI23" s="2194"/>
      <c r="BJ23" s="2194"/>
      <c r="BK23" s="2195">
        <v>2</v>
      </c>
      <c r="BL23" s="2195">
        <v>2</v>
      </c>
      <c r="BM23" s="2195">
        <v>0</v>
      </c>
      <c r="BN23" s="963"/>
      <c r="BO23" s="964">
        <v>0</v>
      </c>
      <c r="BP23" s="964">
        <v>5</v>
      </c>
      <c r="BQ23" s="73"/>
      <c r="BS23" s="879"/>
      <c r="BT23" s="879"/>
      <c r="BU23" s="880"/>
      <c r="BV23" s="881" t="s">
        <v>1292</v>
      </c>
      <c r="BW23" s="883">
        <v>0</v>
      </c>
      <c r="BX23" s="883">
        <v>0</v>
      </c>
      <c r="BY23" s="882"/>
      <c r="BZ23" s="882"/>
      <c r="CA23" s="882"/>
      <c r="CB23" s="882"/>
      <c r="CC23" s="883">
        <v>0</v>
      </c>
      <c r="CD23" s="883">
        <v>3</v>
      </c>
      <c r="CE23" s="879"/>
      <c r="CF23" s="879"/>
      <c r="CG23" s="884">
        <v>3</v>
      </c>
      <c r="CH23" s="161"/>
      <c r="CJ23" s="885"/>
      <c r="CK23" s="885"/>
      <c r="CL23" s="885"/>
      <c r="CM23" s="886" t="s">
        <v>1288</v>
      </c>
      <c r="CN23" s="887"/>
      <c r="CO23" s="888">
        <v>0</v>
      </c>
      <c r="CP23" s="888">
        <v>0</v>
      </c>
      <c r="CQ23" s="887"/>
      <c r="CR23" s="887"/>
      <c r="CS23" s="888">
        <v>0</v>
      </c>
      <c r="CT23" s="888">
        <v>0</v>
      </c>
      <c r="CU23" s="888">
        <v>1</v>
      </c>
      <c r="CV23" s="888">
        <v>0</v>
      </c>
      <c r="CW23" s="889"/>
      <c r="CX23" s="889"/>
      <c r="CY23" s="890">
        <v>1</v>
      </c>
      <c r="CZ23" s="891"/>
      <c r="DB23" s="892"/>
      <c r="DC23" s="892"/>
      <c r="DD23" s="892"/>
      <c r="DE23" s="893" t="s">
        <v>1398</v>
      </c>
      <c r="DF23" s="894"/>
      <c r="DG23" s="894"/>
      <c r="DH23" s="894"/>
      <c r="DI23" s="894"/>
      <c r="DJ23" s="895">
        <v>0</v>
      </c>
      <c r="DK23" s="895">
        <v>2</v>
      </c>
      <c r="DL23" s="895">
        <v>0</v>
      </c>
      <c r="DM23" s="895">
        <v>0</v>
      </c>
      <c r="DN23" s="894"/>
      <c r="DO23" s="894"/>
      <c r="DP23" s="895">
        <v>2</v>
      </c>
      <c r="DQ23" s="792"/>
      <c r="DS23" s="121"/>
      <c r="DT23" s="121" t="s">
        <v>16</v>
      </c>
      <c r="DU23" s="74" t="s">
        <v>118</v>
      </c>
      <c r="DV23" s="74" t="s">
        <v>1283</v>
      </c>
      <c r="DW23" s="121"/>
      <c r="DX23" s="121"/>
      <c r="DY23" s="121"/>
      <c r="DZ23" s="121"/>
      <c r="EA23" s="121"/>
      <c r="EB23" s="121"/>
      <c r="EC23" s="121">
        <v>1</v>
      </c>
      <c r="ED23" s="121">
        <v>2</v>
      </c>
      <c r="EE23" s="121"/>
      <c r="EF23" s="121"/>
      <c r="EG23" s="121">
        <v>3</v>
      </c>
      <c r="EH23" s="74"/>
      <c r="EI23" s="74"/>
      <c r="EJ23" s="793"/>
      <c r="EK23" s="793"/>
      <c r="EL23" s="793"/>
      <c r="EM23" s="793" t="s">
        <v>1288</v>
      </c>
      <c r="EN23" s="793">
        <v>0</v>
      </c>
      <c r="EO23" s="793">
        <v>0</v>
      </c>
      <c r="EP23" s="793">
        <v>0</v>
      </c>
      <c r="EQ23" s="793">
        <v>0</v>
      </c>
      <c r="ER23" s="793">
        <v>0</v>
      </c>
      <c r="ES23" s="793">
        <v>0</v>
      </c>
      <c r="ET23" s="793">
        <v>1</v>
      </c>
      <c r="EU23" s="793">
        <v>0</v>
      </c>
      <c r="EV23" s="793">
        <v>0</v>
      </c>
      <c r="EW23" s="793">
        <v>0</v>
      </c>
      <c r="EX23" s="793">
        <v>0</v>
      </c>
      <c r="EY23" s="794">
        <v>1</v>
      </c>
      <c r="EZ23" s="896"/>
      <c r="FA23" s="795"/>
    </row>
    <row r="24" spans="1:157">
      <c r="A24" s="73"/>
      <c r="B24" s="73"/>
      <c r="C24" s="73" t="s">
        <v>707</v>
      </c>
      <c r="D24" s="73" t="s">
        <v>1283</v>
      </c>
      <c r="E24" s="3261"/>
      <c r="F24" s="3261"/>
      <c r="G24" s="3261"/>
      <c r="H24" s="3261"/>
      <c r="I24" s="3261"/>
      <c r="J24" s="3261"/>
      <c r="K24" s="3261">
        <v>0</v>
      </c>
      <c r="L24" s="3261">
        <v>1</v>
      </c>
      <c r="M24" s="161"/>
      <c r="N24" s="161">
        <v>0</v>
      </c>
      <c r="O24" s="161">
        <v>1</v>
      </c>
      <c r="P24" s="73"/>
      <c r="R24" s="74"/>
      <c r="S24" s="74"/>
      <c r="T24" s="74" t="s">
        <v>707</v>
      </c>
      <c r="U24" s="74" t="s">
        <v>1283</v>
      </c>
      <c r="V24" s="3229"/>
      <c r="W24" s="3229"/>
      <c r="X24" s="3229"/>
      <c r="Y24" s="3229"/>
      <c r="Z24" s="3229"/>
      <c r="AA24" s="3229"/>
      <c r="AB24" s="3229">
        <v>0</v>
      </c>
      <c r="AC24" s="3229"/>
      <c r="AD24" s="3229">
        <v>2</v>
      </c>
      <c r="AE24" s="121"/>
      <c r="AF24" s="121">
        <v>1</v>
      </c>
      <c r="AG24" s="121">
        <v>3</v>
      </c>
      <c r="AJ24" s="161"/>
      <c r="AK24" s="161"/>
      <c r="AL24" s="73"/>
      <c r="AM24" s="73" t="s">
        <v>1292</v>
      </c>
      <c r="AN24" s="2600"/>
      <c r="AO24" s="2600">
        <v>0</v>
      </c>
      <c r="AP24" s="2600">
        <v>0</v>
      </c>
      <c r="AQ24" s="2600"/>
      <c r="AR24" s="2600"/>
      <c r="AS24" s="2600"/>
      <c r="AT24" s="2600">
        <v>0</v>
      </c>
      <c r="AU24" s="2600">
        <v>0</v>
      </c>
      <c r="AV24" s="2600">
        <v>2</v>
      </c>
      <c r="AW24" s="161">
        <v>0</v>
      </c>
      <c r="AX24" s="161">
        <v>1</v>
      </c>
      <c r="AY24" s="161">
        <v>3</v>
      </c>
      <c r="AZ24" s="161"/>
      <c r="BB24" s="2191"/>
      <c r="BC24" s="2191"/>
      <c r="BD24" s="2192"/>
      <c r="BE24" s="2193" t="s">
        <v>1292</v>
      </c>
      <c r="BF24" s="2194"/>
      <c r="BG24" s="2194"/>
      <c r="BH24" s="2195">
        <v>0</v>
      </c>
      <c r="BI24" s="2194"/>
      <c r="BJ24" s="2194"/>
      <c r="BK24" s="2195">
        <v>0</v>
      </c>
      <c r="BL24" s="2195">
        <v>0</v>
      </c>
      <c r="BM24" s="2195">
        <v>0</v>
      </c>
      <c r="BN24" s="963"/>
      <c r="BO24" s="964">
        <v>2</v>
      </c>
      <c r="BP24" s="964">
        <v>2</v>
      </c>
      <c r="BQ24" s="73"/>
      <c r="BS24" s="879"/>
      <c r="BT24" s="879"/>
      <c r="BU24" s="880"/>
      <c r="BV24" s="881" t="s">
        <v>1293</v>
      </c>
      <c r="BW24" s="883">
        <v>0</v>
      </c>
      <c r="BX24" s="883">
        <v>0</v>
      </c>
      <c r="BY24" s="882"/>
      <c r="BZ24" s="882"/>
      <c r="CA24" s="882"/>
      <c r="CB24" s="882"/>
      <c r="CC24" s="883">
        <v>0</v>
      </c>
      <c r="CD24" s="883">
        <v>1</v>
      </c>
      <c r="CE24" s="879"/>
      <c r="CF24" s="879"/>
      <c r="CG24" s="884">
        <v>1</v>
      </c>
      <c r="CH24" s="161"/>
      <c r="CJ24" s="885"/>
      <c r="CK24" s="885"/>
      <c r="CL24" s="885"/>
      <c r="CM24" s="886" t="s">
        <v>1292</v>
      </c>
      <c r="CN24" s="887"/>
      <c r="CO24" s="888">
        <v>0</v>
      </c>
      <c r="CP24" s="888">
        <v>0</v>
      </c>
      <c r="CQ24" s="887"/>
      <c r="CR24" s="887"/>
      <c r="CS24" s="888">
        <v>0</v>
      </c>
      <c r="CT24" s="888">
        <v>0</v>
      </c>
      <c r="CU24" s="888">
        <v>0</v>
      </c>
      <c r="CV24" s="888">
        <v>4</v>
      </c>
      <c r="CW24" s="889"/>
      <c r="CX24" s="889"/>
      <c r="CY24" s="890">
        <v>4</v>
      </c>
      <c r="CZ24" s="891"/>
      <c r="DB24" s="892"/>
      <c r="DC24" s="892"/>
      <c r="DD24" s="892"/>
      <c r="DE24" s="902" t="s">
        <v>15</v>
      </c>
      <c r="DF24" s="903"/>
      <c r="DG24" s="903"/>
      <c r="DH24" s="903"/>
      <c r="DI24" s="903"/>
      <c r="DJ24" s="904">
        <v>2</v>
      </c>
      <c r="DK24" s="904">
        <v>9</v>
      </c>
      <c r="DL24" s="904">
        <v>3</v>
      </c>
      <c r="DM24" s="904">
        <v>1</v>
      </c>
      <c r="DN24" s="903"/>
      <c r="DO24" s="903"/>
      <c r="DP24" s="904">
        <v>15</v>
      </c>
      <c r="DQ24" s="905">
        <f>+(DP23+DP22+DP20)/DP24</f>
        <v>0.6</v>
      </c>
      <c r="DS24" s="121"/>
      <c r="DT24" s="121"/>
      <c r="DU24" s="74"/>
      <c r="DV24" s="74" t="s">
        <v>1284</v>
      </c>
      <c r="DW24" s="121"/>
      <c r="DX24" s="121"/>
      <c r="DY24" s="121"/>
      <c r="DZ24" s="121"/>
      <c r="EA24" s="121"/>
      <c r="EB24" s="121"/>
      <c r="EC24" s="121">
        <v>11</v>
      </c>
      <c r="ED24" s="121">
        <v>0</v>
      </c>
      <c r="EE24" s="121"/>
      <c r="EF24" s="121"/>
      <c r="EG24" s="121">
        <v>11</v>
      </c>
      <c r="EH24" s="74"/>
      <c r="EI24" s="74"/>
      <c r="EJ24" s="793"/>
      <c r="EK24" s="793"/>
      <c r="EL24" s="793"/>
      <c r="EM24" s="793" t="s">
        <v>1293</v>
      </c>
      <c r="EN24" s="793">
        <v>0</v>
      </c>
      <c r="EO24" s="793">
        <v>0</v>
      </c>
      <c r="EP24" s="793">
        <v>0</v>
      </c>
      <c r="EQ24" s="793">
        <v>0</v>
      </c>
      <c r="ER24" s="793">
        <v>0</v>
      </c>
      <c r="ES24" s="793">
        <v>0</v>
      </c>
      <c r="ET24" s="793">
        <v>0</v>
      </c>
      <c r="EU24" s="793">
        <v>2</v>
      </c>
      <c r="EV24" s="793">
        <v>0</v>
      </c>
      <c r="EW24" s="793">
        <v>0</v>
      </c>
      <c r="EX24" s="793">
        <v>0</v>
      </c>
      <c r="EY24" s="794">
        <v>2</v>
      </c>
      <c r="EZ24" s="896"/>
      <c r="FA24" s="795"/>
    </row>
    <row r="25" spans="1:157">
      <c r="A25" s="73"/>
      <c r="B25" s="73"/>
      <c r="C25" s="73"/>
      <c r="D25" s="73" t="s">
        <v>1284</v>
      </c>
      <c r="E25" s="3261"/>
      <c r="F25" s="3261"/>
      <c r="G25" s="3261"/>
      <c r="H25" s="3261"/>
      <c r="I25" s="3261"/>
      <c r="J25" s="3261"/>
      <c r="K25" s="3261">
        <v>0</v>
      </c>
      <c r="L25" s="3261">
        <v>1</v>
      </c>
      <c r="M25" s="161"/>
      <c r="N25" s="161">
        <v>0</v>
      </c>
      <c r="O25" s="161">
        <v>1</v>
      </c>
      <c r="P25" s="73"/>
      <c r="R25" s="74"/>
      <c r="S25" s="74"/>
      <c r="T25" s="74"/>
      <c r="U25" s="74" t="s">
        <v>1288</v>
      </c>
      <c r="V25" s="3229"/>
      <c r="W25" s="3229"/>
      <c r="X25" s="3229"/>
      <c r="Y25" s="3229"/>
      <c r="Z25" s="3229"/>
      <c r="AA25" s="3229"/>
      <c r="AB25" s="3229">
        <v>1</v>
      </c>
      <c r="AC25" s="3229"/>
      <c r="AD25" s="3229">
        <v>0</v>
      </c>
      <c r="AE25" s="121"/>
      <c r="AF25" s="121">
        <v>0</v>
      </c>
      <c r="AG25" s="121">
        <v>1</v>
      </c>
      <c r="AJ25" s="161"/>
      <c r="AK25" s="161"/>
      <c r="AL25" s="73"/>
      <c r="AM25" s="73" t="s">
        <v>1293</v>
      </c>
      <c r="AN25" s="2600"/>
      <c r="AO25" s="2600">
        <v>0</v>
      </c>
      <c r="AP25" s="2600">
        <v>0</v>
      </c>
      <c r="AQ25" s="2600"/>
      <c r="AR25" s="2600"/>
      <c r="AS25" s="2600"/>
      <c r="AT25" s="2600">
        <v>0</v>
      </c>
      <c r="AU25" s="2600">
        <v>1</v>
      </c>
      <c r="AV25" s="2600">
        <v>1</v>
      </c>
      <c r="AW25" s="161">
        <v>0</v>
      </c>
      <c r="AX25" s="161">
        <v>0</v>
      </c>
      <c r="AY25" s="161">
        <v>2</v>
      </c>
      <c r="AZ25" s="161"/>
      <c r="BB25" s="2191"/>
      <c r="BC25" s="2191"/>
      <c r="BD25" s="2192"/>
      <c r="BE25" s="2193" t="s">
        <v>1293</v>
      </c>
      <c r="BF25" s="2194"/>
      <c r="BG25" s="2194"/>
      <c r="BH25" s="2195">
        <v>0</v>
      </c>
      <c r="BI25" s="2194"/>
      <c r="BJ25" s="2194"/>
      <c r="BK25" s="2195">
        <v>1</v>
      </c>
      <c r="BL25" s="2195">
        <v>0</v>
      </c>
      <c r="BM25" s="2195">
        <v>1</v>
      </c>
      <c r="BN25" s="963"/>
      <c r="BO25" s="964">
        <v>0</v>
      </c>
      <c r="BP25" s="964">
        <v>2</v>
      </c>
      <c r="BQ25" s="73"/>
      <c r="BS25" s="879"/>
      <c r="BT25" s="879"/>
      <c r="BU25" s="880"/>
      <c r="BV25" s="881" t="s">
        <v>1398</v>
      </c>
      <c r="BW25" s="883">
        <v>0</v>
      </c>
      <c r="BX25" s="883">
        <v>0</v>
      </c>
      <c r="BY25" s="882"/>
      <c r="BZ25" s="882"/>
      <c r="CA25" s="882"/>
      <c r="CB25" s="882"/>
      <c r="CC25" s="883">
        <v>0</v>
      </c>
      <c r="CD25" s="883">
        <v>1</v>
      </c>
      <c r="CE25" s="879"/>
      <c r="CF25" s="879"/>
      <c r="CG25" s="884">
        <v>1</v>
      </c>
      <c r="CH25" s="161"/>
      <c r="CJ25" s="885"/>
      <c r="CK25" s="885"/>
      <c r="CL25" s="885"/>
      <c r="CM25" s="886" t="s">
        <v>1293</v>
      </c>
      <c r="CN25" s="887"/>
      <c r="CO25" s="888">
        <v>0</v>
      </c>
      <c r="CP25" s="888">
        <v>0</v>
      </c>
      <c r="CQ25" s="887"/>
      <c r="CR25" s="887"/>
      <c r="CS25" s="888">
        <v>1</v>
      </c>
      <c r="CT25" s="888">
        <v>1</v>
      </c>
      <c r="CU25" s="888">
        <v>0</v>
      </c>
      <c r="CV25" s="888">
        <v>0</v>
      </c>
      <c r="CW25" s="889"/>
      <c r="CX25" s="889"/>
      <c r="CY25" s="890">
        <v>2</v>
      </c>
      <c r="CZ25" s="891"/>
      <c r="DB25" s="892"/>
      <c r="DC25" s="892" t="s">
        <v>16</v>
      </c>
      <c r="DD25" s="892" t="s">
        <v>118</v>
      </c>
      <c r="DE25" s="893" t="s">
        <v>1284</v>
      </c>
      <c r="DF25" s="894"/>
      <c r="DG25" s="894"/>
      <c r="DH25" s="894"/>
      <c r="DI25" s="894"/>
      <c r="DJ25" s="894"/>
      <c r="DK25" s="895">
        <v>3</v>
      </c>
      <c r="DL25" s="895">
        <v>5</v>
      </c>
      <c r="DM25" s="894"/>
      <c r="DN25" s="894"/>
      <c r="DO25" s="894"/>
      <c r="DP25" s="895">
        <v>8</v>
      </c>
      <c r="DQ25" s="792"/>
      <c r="DS25" s="121"/>
      <c r="DT25" s="121"/>
      <c r="DU25" s="74"/>
      <c r="DV25" s="74" t="s">
        <v>1288</v>
      </c>
      <c r="DW25" s="121"/>
      <c r="DX25" s="121"/>
      <c r="DY25" s="121"/>
      <c r="DZ25" s="121"/>
      <c r="EA25" s="121"/>
      <c r="EB25" s="121"/>
      <c r="EC25" s="121">
        <v>1</v>
      </c>
      <c r="ED25" s="121">
        <v>0</v>
      </c>
      <c r="EE25" s="121"/>
      <c r="EF25" s="121"/>
      <c r="EG25" s="121">
        <v>1</v>
      </c>
      <c r="EH25" s="74"/>
      <c r="EI25" s="74"/>
      <c r="EJ25" s="793"/>
      <c r="EK25" s="793"/>
      <c r="EL25" s="793"/>
      <c r="EM25" s="793" t="s">
        <v>1398</v>
      </c>
      <c r="EN25" s="793">
        <v>0</v>
      </c>
      <c r="EO25" s="793">
        <v>0</v>
      </c>
      <c r="EP25" s="793">
        <v>0</v>
      </c>
      <c r="EQ25" s="793">
        <v>0</v>
      </c>
      <c r="ER25" s="793">
        <v>0</v>
      </c>
      <c r="ES25" s="793">
        <v>0</v>
      </c>
      <c r="ET25" s="793">
        <v>1</v>
      </c>
      <c r="EU25" s="793">
        <v>1</v>
      </c>
      <c r="EV25" s="793">
        <v>0</v>
      </c>
      <c r="EW25" s="793">
        <v>0</v>
      </c>
      <c r="EX25" s="793">
        <v>0</v>
      </c>
      <c r="EY25" s="794">
        <v>2</v>
      </c>
      <c r="EZ25" s="896"/>
      <c r="FA25" s="795"/>
    </row>
    <row r="26" spans="1:157">
      <c r="A26" s="73"/>
      <c r="B26" s="73"/>
      <c r="C26" s="73"/>
      <c r="D26" s="73" t="s">
        <v>1288</v>
      </c>
      <c r="E26" s="3261"/>
      <c r="F26" s="3261"/>
      <c r="G26" s="3261"/>
      <c r="H26" s="3261"/>
      <c r="I26" s="3261"/>
      <c r="J26" s="3261"/>
      <c r="K26" s="3261">
        <v>1</v>
      </c>
      <c r="L26" s="3261">
        <v>0</v>
      </c>
      <c r="M26" s="161"/>
      <c r="N26" s="161">
        <v>0</v>
      </c>
      <c r="O26" s="161">
        <v>1</v>
      </c>
      <c r="P26" s="73"/>
      <c r="R26" s="74"/>
      <c r="S26" s="74"/>
      <c r="T26" s="74"/>
      <c r="U26" s="74" t="s">
        <v>1293</v>
      </c>
      <c r="V26" s="3229"/>
      <c r="W26" s="3229"/>
      <c r="X26" s="3229"/>
      <c r="Y26" s="3229"/>
      <c r="Z26" s="3229"/>
      <c r="AA26" s="3229"/>
      <c r="AB26" s="3229">
        <v>0</v>
      </c>
      <c r="AC26" s="3229"/>
      <c r="AD26" s="3229">
        <v>1</v>
      </c>
      <c r="AE26" s="121"/>
      <c r="AF26" s="121">
        <v>0</v>
      </c>
      <c r="AG26" s="121">
        <v>1</v>
      </c>
      <c r="AJ26" s="161"/>
      <c r="AK26" s="161"/>
      <c r="AL26" s="73"/>
      <c r="AM26" s="73" t="s">
        <v>1398</v>
      </c>
      <c r="AN26" s="2600"/>
      <c r="AO26" s="2600">
        <v>0</v>
      </c>
      <c r="AP26" s="2600">
        <v>0</v>
      </c>
      <c r="AQ26" s="2600"/>
      <c r="AR26" s="2600"/>
      <c r="AS26" s="2600"/>
      <c r="AT26" s="2600">
        <v>0</v>
      </c>
      <c r="AU26" s="2600">
        <v>1</v>
      </c>
      <c r="AV26" s="2600">
        <v>2</v>
      </c>
      <c r="AW26" s="161">
        <v>0</v>
      </c>
      <c r="AX26" s="161">
        <v>0</v>
      </c>
      <c r="AY26" s="161">
        <v>3</v>
      </c>
      <c r="AZ26" s="161"/>
      <c r="BB26" s="2191"/>
      <c r="BC26" s="2191"/>
      <c r="BD26" s="2192"/>
      <c r="BE26" s="2193" t="s">
        <v>1398</v>
      </c>
      <c r="BF26" s="2194"/>
      <c r="BG26" s="2194"/>
      <c r="BH26" s="2195">
        <v>0</v>
      </c>
      <c r="BI26" s="2194"/>
      <c r="BJ26" s="2194"/>
      <c r="BK26" s="2195">
        <v>2</v>
      </c>
      <c r="BL26" s="2195">
        <v>0</v>
      </c>
      <c r="BM26" s="2195">
        <v>1</v>
      </c>
      <c r="BN26" s="963"/>
      <c r="BO26" s="964">
        <v>0</v>
      </c>
      <c r="BP26" s="964">
        <v>3</v>
      </c>
      <c r="BQ26" s="73"/>
      <c r="BS26" s="879"/>
      <c r="BT26" s="879"/>
      <c r="BU26" s="880"/>
      <c r="BV26" s="907" t="s">
        <v>15</v>
      </c>
      <c r="BW26" s="909">
        <v>2</v>
      </c>
      <c r="BX26" s="909">
        <v>1</v>
      </c>
      <c r="BY26" s="908"/>
      <c r="BZ26" s="908"/>
      <c r="CA26" s="908"/>
      <c r="CB26" s="908"/>
      <c r="CC26" s="909">
        <v>3</v>
      </c>
      <c r="CD26" s="909">
        <v>6</v>
      </c>
      <c r="CE26" s="910"/>
      <c r="CF26" s="910"/>
      <c r="CG26" s="911">
        <v>12</v>
      </c>
      <c r="CH26" s="912">
        <f>+(CG22+CG24+CG25)/CG26</f>
        <v>0.41666666666666669</v>
      </c>
      <c r="CJ26" s="885"/>
      <c r="CK26" s="885"/>
      <c r="CL26" s="885"/>
      <c r="CM26" s="886" t="s">
        <v>1398</v>
      </c>
      <c r="CN26" s="887"/>
      <c r="CO26" s="888">
        <v>0</v>
      </c>
      <c r="CP26" s="888">
        <v>0</v>
      </c>
      <c r="CQ26" s="887"/>
      <c r="CR26" s="887"/>
      <c r="CS26" s="888">
        <v>1</v>
      </c>
      <c r="CT26" s="888">
        <v>1</v>
      </c>
      <c r="CU26" s="888">
        <v>0</v>
      </c>
      <c r="CV26" s="888">
        <v>1</v>
      </c>
      <c r="CW26" s="889"/>
      <c r="CX26" s="889"/>
      <c r="CY26" s="890">
        <v>3</v>
      </c>
      <c r="CZ26" s="891"/>
      <c r="DB26" s="892"/>
      <c r="DC26" s="892"/>
      <c r="DD26" s="892"/>
      <c r="DE26" s="902" t="s">
        <v>15</v>
      </c>
      <c r="DF26" s="903"/>
      <c r="DG26" s="903"/>
      <c r="DH26" s="903"/>
      <c r="DI26" s="903"/>
      <c r="DJ26" s="903"/>
      <c r="DK26" s="904">
        <v>3</v>
      </c>
      <c r="DL26" s="904">
        <v>5</v>
      </c>
      <c r="DM26" s="903"/>
      <c r="DN26" s="903"/>
      <c r="DO26" s="903"/>
      <c r="DP26" s="904">
        <v>8</v>
      </c>
      <c r="DQ26" s="905">
        <v>0</v>
      </c>
      <c r="DS26" s="121"/>
      <c r="DT26" s="121"/>
      <c r="DU26" s="74"/>
      <c r="DV26" s="74" t="s">
        <v>1292</v>
      </c>
      <c r="DW26" s="121"/>
      <c r="DX26" s="121"/>
      <c r="DY26" s="121"/>
      <c r="DZ26" s="121"/>
      <c r="EA26" s="121"/>
      <c r="EB26" s="121"/>
      <c r="EC26" s="121">
        <v>0</v>
      </c>
      <c r="ED26" s="121">
        <v>1</v>
      </c>
      <c r="EE26" s="121"/>
      <c r="EF26" s="121"/>
      <c r="EG26" s="121">
        <v>1</v>
      </c>
      <c r="EH26" s="74"/>
      <c r="EI26" s="74"/>
      <c r="EJ26" s="793"/>
      <c r="EK26" s="793"/>
      <c r="EL26" s="793"/>
      <c r="EM26" s="796" t="s">
        <v>15</v>
      </c>
      <c r="EN26" s="796">
        <v>0</v>
      </c>
      <c r="EO26" s="796">
        <v>0</v>
      </c>
      <c r="EP26" s="796">
        <v>0</v>
      </c>
      <c r="EQ26" s="796">
        <v>0</v>
      </c>
      <c r="ER26" s="796">
        <v>0</v>
      </c>
      <c r="ES26" s="796">
        <v>0</v>
      </c>
      <c r="ET26" s="796">
        <v>3</v>
      </c>
      <c r="EU26" s="796">
        <v>6</v>
      </c>
      <c r="EV26" s="796">
        <v>0</v>
      </c>
      <c r="EW26" s="796">
        <v>0</v>
      </c>
      <c r="EX26" s="796">
        <v>0</v>
      </c>
      <c r="EY26" s="856">
        <v>9</v>
      </c>
      <c r="EZ26" s="906">
        <f>+(EY25+EY24+EY23)/EY26</f>
        <v>0.55555555555555558</v>
      </c>
      <c r="FA26" s="795">
        <f>+EY23+EY24+EY25</f>
        <v>5</v>
      </c>
    </row>
    <row r="27" spans="1:157">
      <c r="A27" s="73"/>
      <c r="B27" s="73"/>
      <c r="C27" s="73"/>
      <c r="D27" s="73" t="s">
        <v>1292</v>
      </c>
      <c r="E27" s="3261"/>
      <c r="F27" s="3261"/>
      <c r="G27" s="3261"/>
      <c r="H27" s="3261"/>
      <c r="I27" s="3261"/>
      <c r="J27" s="3261"/>
      <c r="K27" s="3261">
        <v>0</v>
      </c>
      <c r="L27" s="3261">
        <v>3</v>
      </c>
      <c r="M27" s="161"/>
      <c r="N27" s="161">
        <v>1</v>
      </c>
      <c r="O27" s="161">
        <v>4</v>
      </c>
      <c r="P27" s="73"/>
      <c r="R27" s="74"/>
      <c r="S27" s="74"/>
      <c r="T27" s="74"/>
      <c r="U27" s="761" t="s">
        <v>15</v>
      </c>
      <c r="V27" s="3230"/>
      <c r="W27" s="3230"/>
      <c r="X27" s="3230"/>
      <c r="Y27" s="3230"/>
      <c r="Z27" s="3230"/>
      <c r="AA27" s="3230"/>
      <c r="AB27" s="3230">
        <v>1</v>
      </c>
      <c r="AC27" s="3230"/>
      <c r="AD27" s="3230">
        <v>3</v>
      </c>
      <c r="AE27" s="729"/>
      <c r="AF27" s="729">
        <v>1</v>
      </c>
      <c r="AG27" s="729">
        <v>5</v>
      </c>
      <c r="AH27" s="4681">
        <f>+(AG25+AG26)/AG27</f>
        <v>0.4</v>
      </c>
      <c r="AJ27" s="161"/>
      <c r="AK27" s="161"/>
      <c r="AL27" s="73"/>
      <c r="AM27" s="738" t="s">
        <v>15</v>
      </c>
      <c r="AN27" s="2601"/>
      <c r="AO27" s="2601">
        <v>1</v>
      </c>
      <c r="AP27" s="2601">
        <v>1</v>
      </c>
      <c r="AQ27" s="2601"/>
      <c r="AR27" s="2601"/>
      <c r="AS27" s="2601"/>
      <c r="AT27" s="2601">
        <v>1</v>
      </c>
      <c r="AU27" s="2601">
        <v>3</v>
      </c>
      <c r="AV27" s="2601">
        <v>7</v>
      </c>
      <c r="AW27" s="151">
        <v>1</v>
      </c>
      <c r="AX27" s="151">
        <v>1</v>
      </c>
      <c r="AY27" s="151">
        <v>15</v>
      </c>
      <c r="AZ27" s="912">
        <f>+(AY23+AY25+AY26-AW23)/AY27</f>
        <v>0.4</v>
      </c>
      <c r="BB27" s="2191"/>
      <c r="BC27" s="2191"/>
      <c r="BD27" s="2192"/>
      <c r="BE27" s="760" t="s">
        <v>15</v>
      </c>
      <c r="BF27" s="2196"/>
      <c r="BG27" s="2196"/>
      <c r="BH27" s="2197">
        <v>1</v>
      </c>
      <c r="BI27" s="2196"/>
      <c r="BJ27" s="2196"/>
      <c r="BK27" s="2197">
        <v>5</v>
      </c>
      <c r="BL27" s="2197">
        <v>2</v>
      </c>
      <c r="BM27" s="2197">
        <v>2</v>
      </c>
      <c r="BN27" s="972"/>
      <c r="BO27" s="973">
        <v>2</v>
      </c>
      <c r="BP27" s="973">
        <v>12</v>
      </c>
      <c r="BQ27" s="2154">
        <f>+(BP25+BP26)/BP27</f>
        <v>0.41666666666666669</v>
      </c>
      <c r="BS27" s="879"/>
      <c r="BT27" s="879"/>
      <c r="BU27" s="880" t="s">
        <v>707</v>
      </c>
      <c r="BV27" s="881" t="s">
        <v>1283</v>
      </c>
      <c r="BW27" s="882"/>
      <c r="BX27" s="882"/>
      <c r="BY27" s="882"/>
      <c r="BZ27" s="882"/>
      <c r="CA27" s="882"/>
      <c r="CB27" s="882"/>
      <c r="CC27" s="883">
        <v>0</v>
      </c>
      <c r="CD27" s="883">
        <v>3</v>
      </c>
      <c r="CE27" s="879"/>
      <c r="CF27" s="879"/>
      <c r="CG27" s="884">
        <v>3</v>
      </c>
      <c r="CH27" s="161"/>
      <c r="CJ27" s="885"/>
      <c r="CK27" s="885"/>
      <c r="CL27" s="885"/>
      <c r="CM27" s="897" t="s">
        <v>572</v>
      </c>
      <c r="CN27" s="898"/>
      <c r="CO27" s="899">
        <v>2</v>
      </c>
      <c r="CP27" s="899">
        <v>2</v>
      </c>
      <c r="CQ27" s="898"/>
      <c r="CR27" s="898"/>
      <c r="CS27" s="899">
        <v>5</v>
      </c>
      <c r="CT27" s="899">
        <v>8</v>
      </c>
      <c r="CU27" s="899">
        <v>9</v>
      </c>
      <c r="CV27" s="899">
        <v>6</v>
      </c>
      <c r="CW27" s="900"/>
      <c r="CX27" s="900"/>
      <c r="CY27" s="901">
        <v>32</v>
      </c>
      <c r="CZ27" s="891">
        <f>+(CY26+CY25+CY23)/CY27</f>
        <v>0.1875</v>
      </c>
      <c r="DB27" s="892"/>
      <c r="DS27" s="121"/>
      <c r="DT27" s="121"/>
      <c r="DU27" s="74"/>
      <c r="DV27" s="761" t="s">
        <v>15</v>
      </c>
      <c r="DW27" s="729"/>
      <c r="DX27" s="729"/>
      <c r="DY27" s="729"/>
      <c r="DZ27" s="729"/>
      <c r="EA27" s="729"/>
      <c r="EB27" s="729"/>
      <c r="EC27" s="729">
        <v>13</v>
      </c>
      <c r="ED27" s="729">
        <v>3</v>
      </c>
      <c r="EE27" s="729"/>
      <c r="EF27" s="729"/>
      <c r="EG27" s="729">
        <v>16</v>
      </c>
      <c r="EH27" s="813">
        <f>+EG25/EG27</f>
        <v>6.25E-2</v>
      </c>
      <c r="EI27" s="74"/>
      <c r="EJ27" s="793"/>
      <c r="EK27" s="793"/>
      <c r="EL27" s="793" t="s">
        <v>247</v>
      </c>
      <c r="EM27" s="793" t="s">
        <v>1284</v>
      </c>
      <c r="EN27" s="793">
        <v>0</v>
      </c>
      <c r="EO27" s="793">
        <v>0</v>
      </c>
      <c r="EP27" s="793">
        <v>1</v>
      </c>
      <c r="EQ27" s="793">
        <v>0</v>
      </c>
      <c r="ER27" s="793">
        <v>2</v>
      </c>
      <c r="ES27" s="793">
        <v>0</v>
      </c>
      <c r="ET27" s="793">
        <v>2</v>
      </c>
      <c r="EU27" s="793">
        <v>0</v>
      </c>
      <c r="EV27" s="793">
        <v>0</v>
      </c>
      <c r="EW27" s="793">
        <v>0</v>
      </c>
      <c r="EX27" s="793">
        <v>0</v>
      </c>
      <c r="EY27" s="794">
        <v>5</v>
      </c>
      <c r="EZ27" s="896"/>
      <c r="FA27" s="795"/>
    </row>
    <row r="28" spans="1:157">
      <c r="A28" s="73"/>
      <c r="B28" s="73"/>
      <c r="C28" s="73"/>
      <c r="D28" s="73" t="s">
        <v>1293</v>
      </c>
      <c r="E28" s="3261"/>
      <c r="F28" s="3261"/>
      <c r="G28" s="3261"/>
      <c r="H28" s="3261"/>
      <c r="I28" s="3261"/>
      <c r="J28" s="3261"/>
      <c r="K28" s="3261">
        <v>1</v>
      </c>
      <c r="L28" s="3261">
        <v>0</v>
      </c>
      <c r="M28" s="161"/>
      <c r="N28" s="161">
        <v>0</v>
      </c>
      <c r="O28" s="161">
        <v>1</v>
      </c>
      <c r="P28" s="73"/>
      <c r="R28" s="74"/>
      <c r="S28" s="74"/>
      <c r="T28" s="74" t="s">
        <v>2713</v>
      </c>
      <c r="U28" s="74" t="s">
        <v>1283</v>
      </c>
      <c r="V28" s="3229"/>
      <c r="W28" s="3229"/>
      <c r="X28" s="3229">
        <v>0</v>
      </c>
      <c r="Y28" s="3229">
        <v>0</v>
      </c>
      <c r="Z28" s="3229"/>
      <c r="AA28" s="3229"/>
      <c r="AB28" s="3229">
        <v>0</v>
      </c>
      <c r="AC28" s="3229">
        <v>0</v>
      </c>
      <c r="AD28" s="3229">
        <v>1</v>
      </c>
      <c r="AE28" s="121"/>
      <c r="AF28" s="121"/>
      <c r="AG28" s="121">
        <v>1</v>
      </c>
      <c r="AJ28" s="161"/>
      <c r="AK28" s="161"/>
      <c r="AL28" s="73" t="s">
        <v>707</v>
      </c>
      <c r="AM28" s="73" t="s">
        <v>1283</v>
      </c>
      <c r="AN28" s="2600"/>
      <c r="AO28" s="2600"/>
      <c r="AP28" s="2600"/>
      <c r="AQ28" s="2600"/>
      <c r="AR28" s="2600">
        <v>0</v>
      </c>
      <c r="AS28" s="2600"/>
      <c r="AT28" s="2600"/>
      <c r="AU28" s="2600">
        <v>0</v>
      </c>
      <c r="AV28" s="2600">
        <v>1</v>
      </c>
      <c r="AW28" s="161"/>
      <c r="AX28" s="161"/>
      <c r="AY28" s="161">
        <v>1</v>
      </c>
      <c r="AZ28" s="161"/>
      <c r="BB28" s="2191"/>
      <c r="BC28" s="2191"/>
      <c r="BD28" s="2192" t="s">
        <v>707</v>
      </c>
      <c r="BE28" s="2193" t="s">
        <v>1283</v>
      </c>
      <c r="BF28" s="2194"/>
      <c r="BG28" s="2194"/>
      <c r="BH28" s="2194"/>
      <c r="BI28" s="2195">
        <v>0</v>
      </c>
      <c r="BJ28" s="2194"/>
      <c r="BK28" s="2194"/>
      <c r="BL28" s="2194"/>
      <c r="BM28" s="2195">
        <v>3</v>
      </c>
      <c r="BN28" s="963"/>
      <c r="BO28" s="963"/>
      <c r="BP28" s="964">
        <v>3</v>
      </c>
      <c r="BQ28" s="73"/>
      <c r="BS28" s="879"/>
      <c r="BT28" s="879"/>
      <c r="BU28" s="880"/>
      <c r="BV28" s="881" t="s">
        <v>1398</v>
      </c>
      <c r="BW28" s="882"/>
      <c r="BX28" s="882"/>
      <c r="BY28" s="882"/>
      <c r="BZ28" s="882"/>
      <c r="CA28" s="882"/>
      <c r="CB28" s="882"/>
      <c r="CC28" s="883">
        <v>1</v>
      </c>
      <c r="CD28" s="883">
        <v>0</v>
      </c>
      <c r="CE28" s="879"/>
      <c r="CF28" s="879"/>
      <c r="CG28" s="884">
        <v>1</v>
      </c>
      <c r="CH28" s="161"/>
      <c r="CJ28" s="885"/>
      <c r="CK28" s="885" t="s">
        <v>16</v>
      </c>
      <c r="CL28" s="885" t="s">
        <v>118</v>
      </c>
      <c r="CM28" s="886" t="s">
        <v>1284</v>
      </c>
      <c r="CN28" s="887"/>
      <c r="CO28" s="887"/>
      <c r="CP28" s="887"/>
      <c r="CQ28" s="887"/>
      <c r="CR28" s="887"/>
      <c r="CS28" s="887"/>
      <c r="CT28" s="888">
        <v>13</v>
      </c>
      <c r="CU28" s="887"/>
      <c r="CV28" s="887"/>
      <c r="CW28" s="889"/>
      <c r="CX28" s="889"/>
      <c r="CY28" s="890">
        <v>13</v>
      </c>
      <c r="CZ28" s="891"/>
      <c r="DB28" s="892"/>
      <c r="DS28" s="121"/>
      <c r="DT28" s="121"/>
      <c r="DU28" s="74" t="s">
        <v>247</v>
      </c>
      <c r="DV28" s="74" t="s">
        <v>1284</v>
      </c>
      <c r="DW28" s="121"/>
      <c r="DX28" s="121">
        <v>2</v>
      </c>
      <c r="DY28" s="121"/>
      <c r="DZ28" s="121">
        <v>1</v>
      </c>
      <c r="EA28" s="121"/>
      <c r="EB28" s="121">
        <v>5</v>
      </c>
      <c r="EC28" s="121"/>
      <c r="ED28" s="121"/>
      <c r="EE28" s="121"/>
      <c r="EF28" s="121"/>
      <c r="EG28" s="121">
        <v>8</v>
      </c>
      <c r="EH28" s="74"/>
      <c r="EI28" s="74"/>
      <c r="EJ28" s="793"/>
      <c r="EK28" s="793"/>
      <c r="EL28" s="793"/>
      <c r="EM28" s="793" t="s">
        <v>1288</v>
      </c>
      <c r="EN28" s="793">
        <v>0</v>
      </c>
      <c r="EO28" s="793">
        <v>0</v>
      </c>
      <c r="EP28" s="793">
        <v>0</v>
      </c>
      <c r="EQ28" s="793">
        <v>0</v>
      </c>
      <c r="ER28" s="793">
        <v>0</v>
      </c>
      <c r="ES28" s="793">
        <v>0</v>
      </c>
      <c r="ET28" s="793">
        <v>2</v>
      </c>
      <c r="EU28" s="793">
        <v>0</v>
      </c>
      <c r="EV28" s="793">
        <v>0</v>
      </c>
      <c r="EW28" s="793">
        <v>0</v>
      </c>
      <c r="EX28" s="793">
        <v>0</v>
      </c>
      <c r="EY28" s="794">
        <v>2</v>
      </c>
      <c r="EZ28" s="896"/>
      <c r="FA28" s="795"/>
    </row>
    <row r="29" spans="1:157">
      <c r="A29" s="73"/>
      <c r="B29" s="73"/>
      <c r="C29" s="73"/>
      <c r="D29" s="738" t="s">
        <v>15</v>
      </c>
      <c r="E29" s="3262"/>
      <c r="F29" s="3262"/>
      <c r="G29" s="3262"/>
      <c r="H29" s="3262"/>
      <c r="I29" s="3262"/>
      <c r="J29" s="3262"/>
      <c r="K29" s="3262">
        <v>2</v>
      </c>
      <c r="L29" s="3262">
        <v>5</v>
      </c>
      <c r="M29" s="4674"/>
      <c r="N29" s="4674">
        <v>1</v>
      </c>
      <c r="O29" s="4674">
        <v>8</v>
      </c>
      <c r="P29" s="912">
        <f>+(O28+O26)/O29</f>
        <v>0.25</v>
      </c>
      <c r="Q29" s="3197"/>
      <c r="R29" s="74"/>
      <c r="S29" s="74"/>
      <c r="T29" s="74"/>
      <c r="U29" s="74" t="s">
        <v>1284</v>
      </c>
      <c r="V29" s="3229"/>
      <c r="W29" s="3229"/>
      <c r="X29" s="3229">
        <v>1</v>
      </c>
      <c r="Y29" s="3229">
        <v>1</v>
      </c>
      <c r="Z29" s="3229"/>
      <c r="AA29" s="3229"/>
      <c r="AB29" s="3229">
        <v>0</v>
      </c>
      <c r="AC29" s="3229">
        <v>3</v>
      </c>
      <c r="AD29" s="3229">
        <v>0</v>
      </c>
      <c r="AE29" s="121"/>
      <c r="AF29" s="121"/>
      <c r="AG29" s="121">
        <v>5</v>
      </c>
      <c r="AJ29" s="161"/>
      <c r="AK29" s="161"/>
      <c r="AL29" s="73"/>
      <c r="AM29" s="73" t="s">
        <v>1284</v>
      </c>
      <c r="AN29" s="2600"/>
      <c r="AO29" s="2600"/>
      <c r="AP29" s="2600"/>
      <c r="AQ29" s="2600"/>
      <c r="AR29" s="2600">
        <v>0</v>
      </c>
      <c r="AS29" s="2600"/>
      <c r="AT29" s="2600"/>
      <c r="AU29" s="2600">
        <v>1</v>
      </c>
      <c r="AV29" s="2600">
        <v>0</v>
      </c>
      <c r="AW29" s="161"/>
      <c r="AX29" s="161"/>
      <c r="AY29" s="161">
        <v>1</v>
      </c>
      <c r="AZ29" s="161"/>
      <c r="BB29" s="2191"/>
      <c r="BC29" s="2191"/>
      <c r="BD29" s="2192"/>
      <c r="BE29" s="2193" t="s">
        <v>1289</v>
      </c>
      <c r="BF29" s="2194"/>
      <c r="BG29" s="2194"/>
      <c r="BH29" s="2194"/>
      <c r="BI29" s="2195">
        <v>1</v>
      </c>
      <c r="BJ29" s="2194"/>
      <c r="BK29" s="2194"/>
      <c r="BL29" s="2194"/>
      <c r="BM29" s="2195">
        <v>0</v>
      </c>
      <c r="BN29" s="963"/>
      <c r="BO29" s="963"/>
      <c r="BP29" s="964">
        <v>1</v>
      </c>
      <c r="BQ29" s="73"/>
      <c r="BS29" s="879"/>
      <c r="BT29" s="879"/>
      <c r="BU29" s="880"/>
      <c r="BV29" s="907" t="s">
        <v>15</v>
      </c>
      <c r="BW29" s="908"/>
      <c r="BX29" s="908"/>
      <c r="BY29" s="908"/>
      <c r="BZ29" s="908"/>
      <c r="CA29" s="908"/>
      <c r="CB29" s="908"/>
      <c r="CC29" s="909">
        <v>1</v>
      </c>
      <c r="CD29" s="909">
        <v>3</v>
      </c>
      <c r="CE29" s="910"/>
      <c r="CF29" s="910"/>
      <c r="CG29" s="911">
        <v>4</v>
      </c>
      <c r="CH29" s="912">
        <f>+CG28/CG29</f>
        <v>0.25</v>
      </c>
      <c r="CJ29" s="885"/>
      <c r="CK29" s="885"/>
      <c r="CL29" s="885"/>
      <c r="CM29" s="897" t="s">
        <v>15</v>
      </c>
      <c r="CN29" s="898"/>
      <c r="CO29" s="898"/>
      <c r="CP29" s="898"/>
      <c r="CQ29" s="898"/>
      <c r="CR29" s="898"/>
      <c r="CS29" s="898"/>
      <c r="CT29" s="899">
        <v>13</v>
      </c>
      <c r="CU29" s="898"/>
      <c r="CV29" s="898"/>
      <c r="CW29" s="900"/>
      <c r="CX29" s="900"/>
      <c r="CY29" s="901">
        <v>13</v>
      </c>
      <c r="CZ29" s="891">
        <v>0</v>
      </c>
      <c r="DB29" s="892"/>
      <c r="DS29" s="121"/>
      <c r="DT29" s="121"/>
      <c r="DU29" s="74"/>
      <c r="DV29" s="74" t="s">
        <v>1288</v>
      </c>
      <c r="DW29" s="121"/>
      <c r="DX29" s="121">
        <v>0</v>
      </c>
      <c r="DY29" s="121"/>
      <c r="DZ29" s="121">
        <v>0</v>
      </c>
      <c r="EA29" s="121"/>
      <c r="EB29" s="121">
        <v>8</v>
      </c>
      <c r="EC29" s="121"/>
      <c r="ED29" s="121"/>
      <c r="EE29" s="121"/>
      <c r="EF29" s="121"/>
      <c r="EG29" s="121">
        <v>8</v>
      </c>
      <c r="EH29" s="74"/>
      <c r="EI29" s="74"/>
      <c r="EJ29" s="793"/>
      <c r="EK29" s="793"/>
      <c r="EL29" s="793"/>
      <c r="EM29" s="793" t="s">
        <v>1398</v>
      </c>
      <c r="EN29" s="793">
        <v>0</v>
      </c>
      <c r="EO29" s="793">
        <v>0</v>
      </c>
      <c r="EP29" s="793">
        <v>0</v>
      </c>
      <c r="EQ29" s="793">
        <v>0</v>
      </c>
      <c r="ER29" s="793">
        <v>0</v>
      </c>
      <c r="ES29" s="793">
        <v>0</v>
      </c>
      <c r="ET29" s="793">
        <v>9</v>
      </c>
      <c r="EU29" s="793">
        <v>0</v>
      </c>
      <c r="EV29" s="793">
        <v>0</v>
      </c>
      <c r="EW29" s="793">
        <v>0</v>
      </c>
      <c r="EX29" s="793">
        <v>0</v>
      </c>
      <c r="EY29" s="794">
        <v>9</v>
      </c>
      <c r="EZ29" s="896"/>
      <c r="FA29" s="795"/>
    </row>
    <row r="30" spans="1:157">
      <c r="A30" s="73"/>
      <c r="B30" s="73"/>
      <c r="C30" s="73" t="s">
        <v>2713</v>
      </c>
      <c r="D30" s="73" t="s">
        <v>1283</v>
      </c>
      <c r="E30" s="3261">
        <v>0</v>
      </c>
      <c r="F30" s="3261"/>
      <c r="G30" s="3261"/>
      <c r="H30" s="3261"/>
      <c r="I30" s="3261"/>
      <c r="J30" s="3261">
        <v>0</v>
      </c>
      <c r="K30" s="3261">
        <v>0</v>
      </c>
      <c r="L30" s="3261">
        <v>1</v>
      </c>
      <c r="M30" s="161">
        <v>0</v>
      </c>
      <c r="N30" s="161">
        <v>0</v>
      </c>
      <c r="O30" s="161">
        <v>1</v>
      </c>
      <c r="P30" s="73"/>
      <c r="R30" s="74"/>
      <c r="S30" s="74"/>
      <c r="T30" s="74"/>
      <c r="U30" s="74" t="s">
        <v>1288</v>
      </c>
      <c r="V30" s="3229"/>
      <c r="W30" s="3229"/>
      <c r="X30" s="3229">
        <v>0</v>
      </c>
      <c r="Y30" s="3229">
        <v>0</v>
      </c>
      <c r="Z30" s="3229"/>
      <c r="AA30" s="3229"/>
      <c r="AB30" s="3229">
        <v>1</v>
      </c>
      <c r="AC30" s="3229">
        <v>0</v>
      </c>
      <c r="AD30" s="3229">
        <v>0</v>
      </c>
      <c r="AE30" s="121"/>
      <c r="AF30" s="121"/>
      <c r="AG30" s="121">
        <v>1</v>
      </c>
      <c r="AJ30" s="161"/>
      <c r="AK30" s="161"/>
      <c r="AL30" s="73"/>
      <c r="AM30" s="73" t="s">
        <v>1289</v>
      </c>
      <c r="AN30" s="2600"/>
      <c r="AO30" s="2600"/>
      <c r="AP30" s="2600"/>
      <c r="AQ30" s="2600"/>
      <c r="AR30" s="2600">
        <v>1</v>
      </c>
      <c r="AS30" s="2600"/>
      <c r="AT30" s="2600"/>
      <c r="AU30" s="2600">
        <v>0</v>
      </c>
      <c r="AV30" s="2600">
        <v>0</v>
      </c>
      <c r="AW30" s="161"/>
      <c r="AX30" s="161"/>
      <c r="AY30" s="161">
        <v>1</v>
      </c>
      <c r="AZ30" s="161"/>
      <c r="BB30" s="2191"/>
      <c r="BC30" s="2191"/>
      <c r="BD30" s="2192"/>
      <c r="BE30" s="760" t="s">
        <v>15</v>
      </c>
      <c r="BF30" s="2196"/>
      <c r="BG30" s="2196"/>
      <c r="BH30" s="2196"/>
      <c r="BI30" s="2197">
        <v>1</v>
      </c>
      <c r="BJ30" s="2196"/>
      <c r="BK30" s="2196"/>
      <c r="BL30" s="2196"/>
      <c r="BM30" s="2197">
        <v>3</v>
      </c>
      <c r="BN30" s="972"/>
      <c r="BO30" s="972"/>
      <c r="BP30" s="973">
        <v>4</v>
      </c>
      <c r="BQ30" s="2154">
        <v>0</v>
      </c>
      <c r="BS30" s="879"/>
      <c r="BT30" s="879"/>
      <c r="BU30" s="880" t="s">
        <v>572</v>
      </c>
      <c r="BV30" s="881" t="s">
        <v>1283</v>
      </c>
      <c r="BW30" s="883">
        <v>0</v>
      </c>
      <c r="BX30" s="883">
        <v>0</v>
      </c>
      <c r="BY30" s="882"/>
      <c r="BZ30" s="882"/>
      <c r="CA30" s="883">
        <v>0</v>
      </c>
      <c r="CB30" s="883">
        <v>0</v>
      </c>
      <c r="CC30" s="883">
        <v>1</v>
      </c>
      <c r="CD30" s="883">
        <v>5</v>
      </c>
      <c r="CE30" s="879"/>
      <c r="CF30" s="879"/>
      <c r="CG30" s="884">
        <v>6</v>
      </c>
      <c r="CH30" s="161"/>
      <c r="CJ30" s="885"/>
      <c r="CK30" s="885"/>
      <c r="CL30" s="885" t="s">
        <v>247</v>
      </c>
      <c r="CM30" s="886" t="s">
        <v>1283</v>
      </c>
      <c r="CN30" s="887"/>
      <c r="CO30" s="887"/>
      <c r="CP30" s="887"/>
      <c r="CQ30" s="888">
        <v>1</v>
      </c>
      <c r="CR30" s="887"/>
      <c r="CS30" s="887"/>
      <c r="CT30" s="888">
        <v>0</v>
      </c>
      <c r="CU30" s="887"/>
      <c r="CV30" s="887"/>
      <c r="CW30" s="889"/>
      <c r="CX30" s="889"/>
      <c r="CY30" s="890">
        <v>1</v>
      </c>
      <c r="CZ30" s="891"/>
      <c r="DB30" s="892"/>
      <c r="DS30" s="121"/>
      <c r="DT30" s="121"/>
      <c r="DU30" s="74"/>
      <c r="DV30" s="74" t="s">
        <v>1293</v>
      </c>
      <c r="DW30" s="121"/>
      <c r="DX30" s="121">
        <v>0</v>
      </c>
      <c r="DY30" s="121"/>
      <c r="DZ30" s="121">
        <v>0</v>
      </c>
      <c r="EA30" s="121"/>
      <c r="EB30" s="121">
        <v>2</v>
      </c>
      <c r="EC30" s="121"/>
      <c r="ED30" s="121"/>
      <c r="EE30" s="121"/>
      <c r="EF30" s="121"/>
      <c r="EG30" s="121">
        <v>2</v>
      </c>
      <c r="EH30" s="74"/>
      <c r="EI30" s="74"/>
      <c r="EJ30" s="793"/>
      <c r="EK30" s="793"/>
      <c r="EL30" s="793"/>
      <c r="EM30" s="796" t="s">
        <v>15</v>
      </c>
      <c r="EN30" s="796">
        <v>0</v>
      </c>
      <c r="EO30" s="796">
        <v>0</v>
      </c>
      <c r="EP30" s="796">
        <v>1</v>
      </c>
      <c r="EQ30" s="796">
        <v>0</v>
      </c>
      <c r="ER30" s="796">
        <v>2</v>
      </c>
      <c r="ES30" s="796">
        <v>0</v>
      </c>
      <c r="ET30" s="796">
        <v>13</v>
      </c>
      <c r="EU30" s="796">
        <v>0</v>
      </c>
      <c r="EV30" s="796">
        <v>0</v>
      </c>
      <c r="EW30" s="796">
        <v>0</v>
      </c>
      <c r="EX30" s="796">
        <v>0</v>
      </c>
      <c r="EY30" s="856">
        <v>16</v>
      </c>
      <c r="EZ30" s="906">
        <f>+(EY29+EY28)/EY30</f>
        <v>0.6875</v>
      </c>
      <c r="FA30" s="795">
        <f>+EY28+EY29</f>
        <v>11</v>
      </c>
    </row>
    <row r="31" spans="1:157">
      <c r="A31" s="73"/>
      <c r="B31" s="73"/>
      <c r="C31" s="73"/>
      <c r="D31" s="73" t="s">
        <v>1284</v>
      </c>
      <c r="E31" s="3261">
        <v>1</v>
      </c>
      <c r="F31" s="3261"/>
      <c r="G31" s="3261"/>
      <c r="H31" s="3261"/>
      <c r="I31" s="3261"/>
      <c r="J31" s="3261">
        <v>4</v>
      </c>
      <c r="K31" s="3261">
        <v>3</v>
      </c>
      <c r="L31" s="3261">
        <v>0</v>
      </c>
      <c r="M31" s="161">
        <v>0</v>
      </c>
      <c r="N31" s="161">
        <v>0</v>
      </c>
      <c r="O31" s="161">
        <v>8</v>
      </c>
      <c r="P31" s="73"/>
      <c r="R31" s="74"/>
      <c r="S31" s="74"/>
      <c r="T31" s="74"/>
      <c r="U31" s="74" t="s">
        <v>1292</v>
      </c>
      <c r="V31" s="3229"/>
      <c r="W31" s="3229"/>
      <c r="X31" s="3229">
        <v>0</v>
      </c>
      <c r="Y31" s="3229">
        <v>0</v>
      </c>
      <c r="Z31" s="3229"/>
      <c r="AA31" s="3229"/>
      <c r="AB31" s="3229">
        <v>0</v>
      </c>
      <c r="AC31" s="3229">
        <v>0</v>
      </c>
      <c r="AD31" s="3229">
        <v>10</v>
      </c>
      <c r="AE31" s="121"/>
      <c r="AF31" s="121"/>
      <c r="AG31" s="121">
        <v>10</v>
      </c>
      <c r="AJ31" s="161"/>
      <c r="AK31" s="161"/>
      <c r="AL31" s="73"/>
      <c r="AM31" s="738" t="s">
        <v>15</v>
      </c>
      <c r="AN31" s="2601"/>
      <c r="AO31" s="2601"/>
      <c r="AP31" s="2601"/>
      <c r="AQ31" s="2601"/>
      <c r="AR31" s="2601">
        <v>1</v>
      </c>
      <c r="AS31" s="2601"/>
      <c r="AT31" s="2601"/>
      <c r="AU31" s="2601">
        <v>1</v>
      </c>
      <c r="AV31" s="2601">
        <v>1</v>
      </c>
      <c r="AW31" s="151"/>
      <c r="AX31" s="151"/>
      <c r="AY31" s="151">
        <v>3</v>
      </c>
      <c r="AZ31" s="912">
        <v>0</v>
      </c>
      <c r="BB31" s="2191"/>
      <c r="BC31" s="2191"/>
      <c r="BD31" s="2192" t="s">
        <v>572</v>
      </c>
      <c r="BE31" s="2193" t="s">
        <v>1283</v>
      </c>
      <c r="BF31" s="2195">
        <v>0</v>
      </c>
      <c r="BG31" s="2195">
        <v>0</v>
      </c>
      <c r="BH31" s="2195">
        <v>0</v>
      </c>
      <c r="BI31" s="2195">
        <v>0</v>
      </c>
      <c r="BJ31" s="2195">
        <v>0</v>
      </c>
      <c r="BK31" s="2195">
        <v>2</v>
      </c>
      <c r="BL31" s="2195">
        <v>1</v>
      </c>
      <c r="BM31" s="2195">
        <v>4</v>
      </c>
      <c r="BN31" s="963"/>
      <c r="BO31" s="964">
        <v>0</v>
      </c>
      <c r="BP31" s="964">
        <v>7</v>
      </c>
      <c r="BQ31" s="73"/>
      <c r="BS31" s="879"/>
      <c r="BT31" s="879"/>
      <c r="BU31" s="880"/>
      <c r="BV31" s="881" t="s">
        <v>1284</v>
      </c>
      <c r="BW31" s="883">
        <v>1</v>
      </c>
      <c r="BX31" s="883">
        <v>0</v>
      </c>
      <c r="BY31" s="882"/>
      <c r="BZ31" s="882"/>
      <c r="CA31" s="883">
        <v>1</v>
      </c>
      <c r="CB31" s="883">
        <v>0</v>
      </c>
      <c r="CC31" s="883">
        <v>9</v>
      </c>
      <c r="CD31" s="883">
        <v>0</v>
      </c>
      <c r="CE31" s="879"/>
      <c r="CF31" s="879"/>
      <c r="CG31" s="884">
        <v>11</v>
      </c>
      <c r="CH31" s="161"/>
      <c r="CJ31" s="885"/>
      <c r="CK31" s="885"/>
      <c r="CL31" s="885"/>
      <c r="CM31" s="886" t="s">
        <v>1284</v>
      </c>
      <c r="CN31" s="887"/>
      <c r="CO31" s="887"/>
      <c r="CP31" s="887"/>
      <c r="CQ31" s="888">
        <v>0</v>
      </c>
      <c r="CR31" s="887"/>
      <c r="CS31" s="887"/>
      <c r="CT31" s="888">
        <v>9</v>
      </c>
      <c r="CU31" s="887"/>
      <c r="CV31" s="887"/>
      <c r="CW31" s="889"/>
      <c r="CX31" s="889"/>
      <c r="CY31" s="890">
        <v>9</v>
      </c>
      <c r="CZ31" s="891"/>
      <c r="DB31" s="892"/>
      <c r="DS31" s="121"/>
      <c r="DT31" s="121"/>
      <c r="DU31" s="74"/>
      <c r="DV31" s="761" t="s">
        <v>15</v>
      </c>
      <c r="DW31" s="729"/>
      <c r="DX31" s="729">
        <v>2</v>
      </c>
      <c r="DY31" s="729"/>
      <c r="DZ31" s="729">
        <v>1</v>
      </c>
      <c r="EA31" s="729"/>
      <c r="EB31" s="729">
        <v>15</v>
      </c>
      <c r="EC31" s="729"/>
      <c r="ED31" s="729"/>
      <c r="EE31" s="729"/>
      <c r="EF31" s="729"/>
      <c r="EG31" s="729">
        <v>18</v>
      </c>
      <c r="EH31" s="813">
        <f>+(EG29+EG30)/EG31</f>
        <v>0.55555555555555558</v>
      </c>
      <c r="EI31" s="74"/>
      <c r="EJ31" s="793"/>
      <c r="EK31" s="793"/>
      <c r="EL31" s="793" t="s">
        <v>120</v>
      </c>
      <c r="EM31" s="793" t="s">
        <v>1283</v>
      </c>
      <c r="EN31" s="793">
        <v>0</v>
      </c>
      <c r="EO31" s="793">
        <v>0</v>
      </c>
      <c r="EP31" s="793">
        <v>0</v>
      </c>
      <c r="EQ31" s="793">
        <v>0</v>
      </c>
      <c r="ER31" s="793">
        <v>0</v>
      </c>
      <c r="ES31" s="793">
        <v>0</v>
      </c>
      <c r="ET31" s="793">
        <v>1</v>
      </c>
      <c r="EU31" s="793">
        <v>0</v>
      </c>
      <c r="EV31" s="793">
        <v>0</v>
      </c>
      <c r="EW31" s="793">
        <v>0</v>
      </c>
      <c r="EX31" s="793">
        <v>0</v>
      </c>
      <c r="EY31" s="794">
        <v>1</v>
      </c>
      <c r="EZ31" s="896"/>
      <c r="FA31" s="795"/>
    </row>
    <row r="32" spans="1:157">
      <c r="A32" s="73"/>
      <c r="B32" s="73"/>
      <c r="C32" s="73"/>
      <c r="D32" s="73" t="s">
        <v>1288</v>
      </c>
      <c r="E32" s="3261">
        <v>0</v>
      </c>
      <c r="F32" s="3261"/>
      <c r="G32" s="3261"/>
      <c r="H32" s="3261"/>
      <c r="I32" s="3261"/>
      <c r="J32" s="3261">
        <v>1</v>
      </c>
      <c r="K32" s="3261">
        <v>2</v>
      </c>
      <c r="L32" s="3261">
        <v>1</v>
      </c>
      <c r="M32" s="161">
        <v>0</v>
      </c>
      <c r="N32" s="161">
        <v>0</v>
      </c>
      <c r="O32" s="161">
        <v>4</v>
      </c>
      <c r="P32" s="73"/>
      <c r="R32" s="74"/>
      <c r="S32" s="74"/>
      <c r="T32" s="74"/>
      <c r="U32" s="74" t="s">
        <v>1293</v>
      </c>
      <c r="V32" s="3229"/>
      <c r="W32" s="3229"/>
      <c r="X32" s="3229">
        <v>0</v>
      </c>
      <c r="Y32" s="3229">
        <v>0</v>
      </c>
      <c r="Z32" s="3229"/>
      <c r="AA32" s="3229"/>
      <c r="AB32" s="3229">
        <v>1</v>
      </c>
      <c r="AC32" s="3229">
        <v>1</v>
      </c>
      <c r="AD32" s="3229">
        <v>4</v>
      </c>
      <c r="AE32" s="121"/>
      <c r="AF32" s="121"/>
      <c r="AG32" s="121">
        <v>6</v>
      </c>
      <c r="AJ32" s="161"/>
      <c r="AK32" s="161"/>
      <c r="AL32" s="73" t="s">
        <v>572</v>
      </c>
      <c r="AM32" s="73" t="s">
        <v>1283</v>
      </c>
      <c r="AN32" s="2600">
        <v>0</v>
      </c>
      <c r="AO32" s="2600">
        <v>0</v>
      </c>
      <c r="AP32" s="2600">
        <v>0</v>
      </c>
      <c r="AQ32" s="2600"/>
      <c r="AR32" s="2600">
        <v>0</v>
      </c>
      <c r="AS32" s="2600">
        <v>1</v>
      </c>
      <c r="AT32" s="2600">
        <v>0</v>
      </c>
      <c r="AU32" s="2600">
        <v>0</v>
      </c>
      <c r="AV32" s="2600">
        <v>4</v>
      </c>
      <c r="AW32" s="161">
        <v>0</v>
      </c>
      <c r="AX32" s="161">
        <v>0</v>
      </c>
      <c r="AY32" s="161">
        <v>5</v>
      </c>
      <c r="AZ32" s="161"/>
      <c r="BB32" s="2191"/>
      <c r="BC32" s="2191"/>
      <c r="BD32" s="2192"/>
      <c r="BE32" s="2193" t="s">
        <v>1284</v>
      </c>
      <c r="BF32" s="2195">
        <v>1</v>
      </c>
      <c r="BG32" s="2195">
        <v>1</v>
      </c>
      <c r="BH32" s="2195">
        <v>1</v>
      </c>
      <c r="BI32" s="2195">
        <v>0</v>
      </c>
      <c r="BJ32" s="2195">
        <v>2</v>
      </c>
      <c r="BK32" s="2195">
        <v>11</v>
      </c>
      <c r="BL32" s="2195">
        <v>5</v>
      </c>
      <c r="BM32" s="2195">
        <v>0</v>
      </c>
      <c r="BN32" s="963"/>
      <c r="BO32" s="964">
        <v>0</v>
      </c>
      <c r="BP32" s="964">
        <v>21</v>
      </c>
      <c r="BQ32" s="73"/>
      <c r="BS32" s="879"/>
      <c r="BT32" s="879"/>
      <c r="BU32" s="880"/>
      <c r="BV32" s="881" t="s">
        <v>1286</v>
      </c>
      <c r="BW32" s="883">
        <v>1</v>
      </c>
      <c r="BX32" s="883">
        <v>1</v>
      </c>
      <c r="BY32" s="882"/>
      <c r="BZ32" s="882"/>
      <c r="CA32" s="883">
        <v>0</v>
      </c>
      <c r="CB32" s="883">
        <v>0</v>
      </c>
      <c r="CC32" s="883">
        <v>0</v>
      </c>
      <c r="CD32" s="883">
        <v>0</v>
      </c>
      <c r="CE32" s="879"/>
      <c r="CF32" s="879"/>
      <c r="CG32" s="884">
        <v>2</v>
      </c>
      <c r="CH32" s="161"/>
      <c r="CJ32" s="885"/>
      <c r="CK32" s="885"/>
      <c r="CL32" s="885"/>
      <c r="CM32" s="886" t="s">
        <v>1288</v>
      </c>
      <c r="CN32" s="887"/>
      <c r="CO32" s="887"/>
      <c r="CP32" s="887"/>
      <c r="CQ32" s="888">
        <v>0</v>
      </c>
      <c r="CR32" s="887"/>
      <c r="CS32" s="887"/>
      <c r="CT32" s="888">
        <v>6</v>
      </c>
      <c r="CU32" s="887"/>
      <c r="CV32" s="887"/>
      <c r="CW32" s="889"/>
      <c r="CX32" s="889"/>
      <c r="CY32" s="890">
        <v>6</v>
      </c>
      <c r="CZ32" s="891"/>
      <c r="DB32" s="892"/>
      <c r="DS32" s="121"/>
      <c r="DT32" s="121"/>
      <c r="DU32" s="74" t="s">
        <v>119</v>
      </c>
      <c r="DV32" s="74" t="s">
        <v>1284</v>
      </c>
      <c r="DW32" s="121">
        <v>1</v>
      </c>
      <c r="DX32" s="121"/>
      <c r="DY32" s="121"/>
      <c r="DZ32" s="121"/>
      <c r="EA32" s="121"/>
      <c r="EB32" s="121">
        <v>6</v>
      </c>
      <c r="EC32" s="121">
        <v>2</v>
      </c>
      <c r="ED32" s="121"/>
      <c r="EE32" s="121"/>
      <c r="EF32" s="121"/>
      <c r="EG32" s="121">
        <v>9</v>
      </c>
      <c r="EH32" s="74"/>
      <c r="EI32" s="74"/>
      <c r="EJ32" s="793"/>
      <c r="EK32" s="793"/>
      <c r="EL32" s="793"/>
      <c r="EM32" s="793" t="s">
        <v>1284</v>
      </c>
      <c r="EN32" s="793">
        <v>1</v>
      </c>
      <c r="EO32" s="793">
        <v>0</v>
      </c>
      <c r="EP32" s="793">
        <v>0</v>
      </c>
      <c r="EQ32" s="793">
        <v>0</v>
      </c>
      <c r="ER32" s="793">
        <v>0</v>
      </c>
      <c r="ES32" s="793">
        <v>0</v>
      </c>
      <c r="ET32" s="793">
        <v>0</v>
      </c>
      <c r="EU32" s="793">
        <v>0</v>
      </c>
      <c r="EV32" s="793">
        <v>0</v>
      </c>
      <c r="EW32" s="793">
        <v>0</v>
      </c>
      <c r="EX32" s="793">
        <v>0</v>
      </c>
      <c r="EY32" s="794">
        <v>1</v>
      </c>
      <c r="EZ32" s="896"/>
      <c r="FA32" s="795"/>
    </row>
    <row r="33" spans="1:157">
      <c r="A33" s="73"/>
      <c r="B33" s="73"/>
      <c r="C33" s="73"/>
      <c r="D33" s="73" t="s">
        <v>1292</v>
      </c>
      <c r="E33" s="3261">
        <v>0</v>
      </c>
      <c r="F33" s="3261"/>
      <c r="G33" s="3261"/>
      <c r="H33" s="3261"/>
      <c r="I33" s="3261"/>
      <c r="J33" s="3261">
        <v>0</v>
      </c>
      <c r="K33" s="3261">
        <v>0</v>
      </c>
      <c r="L33" s="3261">
        <v>2</v>
      </c>
      <c r="M33" s="161">
        <v>1</v>
      </c>
      <c r="N33" s="161">
        <v>1</v>
      </c>
      <c r="O33" s="161">
        <v>4</v>
      </c>
      <c r="P33" s="73"/>
      <c r="R33" s="74"/>
      <c r="S33" s="74"/>
      <c r="T33" s="74"/>
      <c r="U33" s="74" t="s">
        <v>1398</v>
      </c>
      <c r="V33" s="3229"/>
      <c r="W33" s="3229"/>
      <c r="X33" s="3229">
        <v>0</v>
      </c>
      <c r="Y33" s="3229">
        <v>0</v>
      </c>
      <c r="Z33" s="3229"/>
      <c r="AA33" s="3229"/>
      <c r="AB33" s="3229">
        <v>0</v>
      </c>
      <c r="AC33" s="3229">
        <v>1</v>
      </c>
      <c r="AD33" s="3229">
        <v>0</v>
      </c>
      <c r="AE33" s="121"/>
      <c r="AF33" s="121"/>
      <c r="AG33" s="121">
        <v>1</v>
      </c>
      <c r="AJ33" s="161"/>
      <c r="AK33" s="161"/>
      <c r="AL33" s="73"/>
      <c r="AM33" s="73" t="s">
        <v>1284</v>
      </c>
      <c r="AN33" s="2600">
        <v>0</v>
      </c>
      <c r="AO33" s="2600">
        <v>1</v>
      </c>
      <c r="AP33" s="2600">
        <v>1</v>
      </c>
      <c r="AQ33" s="2600"/>
      <c r="AR33" s="2600">
        <v>0</v>
      </c>
      <c r="AS33" s="2600">
        <v>1</v>
      </c>
      <c r="AT33" s="2600">
        <v>10</v>
      </c>
      <c r="AU33" s="2600">
        <v>17</v>
      </c>
      <c r="AV33" s="2600">
        <v>1</v>
      </c>
      <c r="AW33" s="161">
        <v>1</v>
      </c>
      <c r="AX33" s="161">
        <v>0</v>
      </c>
      <c r="AY33" s="161">
        <v>32</v>
      </c>
      <c r="AZ33" s="161"/>
      <c r="BB33" s="2191"/>
      <c r="BC33" s="2191"/>
      <c r="BD33" s="2192"/>
      <c r="BE33" s="2193" t="s">
        <v>1286</v>
      </c>
      <c r="BF33" s="2195">
        <v>0</v>
      </c>
      <c r="BG33" s="2195">
        <v>0</v>
      </c>
      <c r="BH33" s="2195">
        <v>1</v>
      </c>
      <c r="BI33" s="2195">
        <v>0</v>
      </c>
      <c r="BJ33" s="2195">
        <v>0</v>
      </c>
      <c r="BK33" s="2195">
        <v>0</v>
      </c>
      <c r="BL33" s="2195">
        <v>0</v>
      </c>
      <c r="BM33" s="2195">
        <v>0</v>
      </c>
      <c r="BN33" s="963"/>
      <c r="BO33" s="964">
        <v>0</v>
      </c>
      <c r="BP33" s="964">
        <v>1</v>
      </c>
      <c r="BQ33" s="73"/>
      <c r="BS33" s="879"/>
      <c r="BT33" s="879"/>
      <c r="BU33" s="880"/>
      <c r="BV33" s="881" t="s">
        <v>1288</v>
      </c>
      <c r="BW33" s="883">
        <v>0</v>
      </c>
      <c r="BX33" s="883">
        <v>0</v>
      </c>
      <c r="BY33" s="882"/>
      <c r="BZ33" s="882"/>
      <c r="CA33" s="883">
        <v>1</v>
      </c>
      <c r="CB33" s="883">
        <v>0</v>
      </c>
      <c r="CC33" s="883">
        <v>2</v>
      </c>
      <c r="CD33" s="883">
        <v>1</v>
      </c>
      <c r="CE33" s="879"/>
      <c r="CF33" s="879"/>
      <c r="CG33" s="884">
        <v>4</v>
      </c>
      <c r="CH33" s="161"/>
      <c r="CJ33" s="885"/>
      <c r="CK33" s="885"/>
      <c r="CL33" s="885"/>
      <c r="CM33" s="886" t="s">
        <v>1293</v>
      </c>
      <c r="CN33" s="887"/>
      <c r="CO33" s="887"/>
      <c r="CP33" s="887"/>
      <c r="CQ33" s="888">
        <v>0</v>
      </c>
      <c r="CR33" s="887"/>
      <c r="CS33" s="887"/>
      <c r="CT33" s="888">
        <v>2</v>
      </c>
      <c r="CU33" s="887"/>
      <c r="CV33" s="887"/>
      <c r="CW33" s="889"/>
      <c r="CX33" s="889"/>
      <c r="CY33" s="890">
        <v>2</v>
      </c>
      <c r="CZ33" s="891"/>
      <c r="DS33" s="121"/>
      <c r="DT33" s="121"/>
      <c r="DU33" s="74"/>
      <c r="DV33" s="74" t="s">
        <v>1293</v>
      </c>
      <c r="DW33" s="121">
        <v>0</v>
      </c>
      <c r="DX33" s="121"/>
      <c r="DY33" s="121"/>
      <c r="DZ33" s="121"/>
      <c r="EA33" s="121"/>
      <c r="EB33" s="121">
        <v>5</v>
      </c>
      <c r="EC33" s="121">
        <v>0</v>
      </c>
      <c r="ED33" s="121"/>
      <c r="EE33" s="121"/>
      <c r="EF33" s="121"/>
      <c r="EG33" s="121">
        <v>5</v>
      </c>
      <c r="EH33" s="74"/>
      <c r="EI33" s="74"/>
      <c r="EJ33" s="793"/>
      <c r="EK33" s="793"/>
      <c r="EL33" s="793"/>
      <c r="EM33" s="796" t="s">
        <v>15</v>
      </c>
      <c r="EN33" s="796">
        <v>1</v>
      </c>
      <c r="EO33" s="796">
        <v>0</v>
      </c>
      <c r="EP33" s="796">
        <v>0</v>
      </c>
      <c r="EQ33" s="796">
        <v>0</v>
      </c>
      <c r="ER33" s="796">
        <v>0</v>
      </c>
      <c r="ES33" s="796">
        <v>0</v>
      </c>
      <c r="ET33" s="796">
        <v>1</v>
      </c>
      <c r="EU33" s="796">
        <v>0</v>
      </c>
      <c r="EV33" s="796">
        <v>0</v>
      </c>
      <c r="EW33" s="796">
        <v>0</v>
      </c>
      <c r="EX33" s="796">
        <v>0</v>
      </c>
      <c r="EY33" s="856">
        <v>2</v>
      </c>
      <c r="EZ33" s="906">
        <f>0/EY33</f>
        <v>0</v>
      </c>
      <c r="FA33" s="795">
        <v>0</v>
      </c>
    </row>
    <row r="34" spans="1:157">
      <c r="A34" s="73"/>
      <c r="B34" s="73"/>
      <c r="C34" s="73"/>
      <c r="D34" s="73" t="s">
        <v>1293</v>
      </c>
      <c r="E34" s="3261">
        <v>0</v>
      </c>
      <c r="F34" s="3261"/>
      <c r="G34" s="3261"/>
      <c r="H34" s="3261"/>
      <c r="I34" s="3261"/>
      <c r="J34" s="3261">
        <v>2</v>
      </c>
      <c r="K34" s="3261">
        <v>5</v>
      </c>
      <c r="L34" s="3261">
        <v>4</v>
      </c>
      <c r="M34" s="161">
        <v>0</v>
      </c>
      <c r="N34" s="161">
        <v>0</v>
      </c>
      <c r="O34" s="161">
        <v>11</v>
      </c>
      <c r="P34" s="73"/>
      <c r="R34" s="74"/>
      <c r="S34" s="74"/>
      <c r="T34" s="74"/>
      <c r="U34" s="761" t="s">
        <v>15</v>
      </c>
      <c r="V34" s="3230"/>
      <c r="W34" s="3230"/>
      <c r="X34" s="3230">
        <v>1</v>
      </c>
      <c r="Y34" s="3230">
        <v>1</v>
      </c>
      <c r="Z34" s="3230"/>
      <c r="AA34" s="3230"/>
      <c r="AB34" s="3230">
        <v>2</v>
      </c>
      <c r="AC34" s="3230">
        <v>5</v>
      </c>
      <c r="AD34" s="3230">
        <v>15</v>
      </c>
      <c r="AE34" s="729"/>
      <c r="AF34" s="729"/>
      <c r="AG34" s="729">
        <v>24</v>
      </c>
      <c r="AH34" s="4681">
        <f>+(AG30+AG32+AG33)/AG34</f>
        <v>0.33333333333333331</v>
      </c>
      <c r="AJ34" s="161"/>
      <c r="AK34" s="161"/>
      <c r="AL34" s="73"/>
      <c r="AM34" s="73" t="s">
        <v>1286</v>
      </c>
      <c r="AN34" s="2600">
        <v>0</v>
      </c>
      <c r="AO34" s="2600">
        <v>1</v>
      </c>
      <c r="AP34" s="2600">
        <v>0</v>
      </c>
      <c r="AQ34" s="2600"/>
      <c r="AR34" s="2600">
        <v>0</v>
      </c>
      <c r="AS34" s="2600">
        <v>0</v>
      </c>
      <c r="AT34" s="2600">
        <v>0</v>
      </c>
      <c r="AU34" s="2600">
        <v>0</v>
      </c>
      <c r="AV34" s="2600">
        <v>0</v>
      </c>
      <c r="AW34" s="161">
        <v>0</v>
      </c>
      <c r="AX34" s="161">
        <v>0</v>
      </c>
      <c r="AY34" s="161">
        <v>1</v>
      </c>
      <c r="AZ34" s="161"/>
      <c r="BB34" s="2191"/>
      <c r="BC34" s="2191"/>
      <c r="BD34" s="2192"/>
      <c r="BE34" s="2193" t="s">
        <v>1288</v>
      </c>
      <c r="BF34" s="2195">
        <v>0</v>
      </c>
      <c r="BG34" s="2195">
        <v>0</v>
      </c>
      <c r="BH34" s="2195">
        <v>0</v>
      </c>
      <c r="BI34" s="2195">
        <v>0</v>
      </c>
      <c r="BJ34" s="2195">
        <v>1</v>
      </c>
      <c r="BK34" s="2195">
        <v>0</v>
      </c>
      <c r="BL34" s="2195">
        <v>2</v>
      </c>
      <c r="BM34" s="2195">
        <v>0</v>
      </c>
      <c r="BN34" s="963"/>
      <c r="BO34" s="964">
        <v>0</v>
      </c>
      <c r="BP34" s="964">
        <v>3</v>
      </c>
      <c r="BQ34" s="73"/>
      <c r="BS34" s="879"/>
      <c r="BT34" s="879"/>
      <c r="BU34" s="880"/>
      <c r="BV34" s="881" t="s">
        <v>1289</v>
      </c>
      <c r="BW34" s="883">
        <v>0</v>
      </c>
      <c r="BX34" s="883">
        <v>0</v>
      </c>
      <c r="BY34" s="882"/>
      <c r="BZ34" s="882"/>
      <c r="CA34" s="883">
        <v>0</v>
      </c>
      <c r="CB34" s="883">
        <v>0</v>
      </c>
      <c r="CC34" s="883">
        <v>1</v>
      </c>
      <c r="CD34" s="883">
        <v>0</v>
      </c>
      <c r="CE34" s="879"/>
      <c r="CF34" s="879"/>
      <c r="CG34" s="884">
        <v>1</v>
      </c>
      <c r="CH34" s="161"/>
      <c r="CJ34" s="885"/>
      <c r="CK34" s="885"/>
      <c r="CL34" s="885"/>
      <c r="CM34" s="886" t="s">
        <v>1398</v>
      </c>
      <c r="CN34" s="887"/>
      <c r="CO34" s="887"/>
      <c r="CP34" s="887"/>
      <c r="CQ34" s="888">
        <v>0</v>
      </c>
      <c r="CR34" s="887"/>
      <c r="CS34" s="887"/>
      <c r="CT34" s="888">
        <v>7</v>
      </c>
      <c r="CU34" s="887"/>
      <c r="CV34" s="887"/>
      <c r="CW34" s="889"/>
      <c r="CX34" s="889"/>
      <c r="CY34" s="890">
        <v>7</v>
      </c>
      <c r="CZ34" s="891"/>
      <c r="DS34" s="121"/>
      <c r="DT34" s="121"/>
      <c r="DU34" s="74"/>
      <c r="DV34" s="761" t="s">
        <v>15</v>
      </c>
      <c r="DW34" s="729">
        <v>1</v>
      </c>
      <c r="DX34" s="729"/>
      <c r="DY34" s="729"/>
      <c r="DZ34" s="729"/>
      <c r="EA34" s="729"/>
      <c r="EB34" s="729">
        <v>11</v>
      </c>
      <c r="EC34" s="729">
        <v>2</v>
      </c>
      <c r="ED34" s="729"/>
      <c r="EE34" s="729"/>
      <c r="EF34" s="729"/>
      <c r="EG34" s="729">
        <v>14</v>
      </c>
      <c r="EH34" s="813">
        <f>+EG33/EG34</f>
        <v>0.35714285714285715</v>
      </c>
      <c r="EI34" s="74"/>
      <c r="EJ34" s="793"/>
      <c r="EK34" s="793" t="s">
        <v>105</v>
      </c>
      <c r="EL34" s="793" t="s">
        <v>106</v>
      </c>
      <c r="EM34" s="793" t="s">
        <v>1283</v>
      </c>
      <c r="EN34" s="793">
        <v>0</v>
      </c>
      <c r="EO34" s="793">
        <v>0</v>
      </c>
      <c r="EP34" s="793">
        <v>0</v>
      </c>
      <c r="EQ34" s="793">
        <v>0</v>
      </c>
      <c r="ER34" s="793">
        <v>0</v>
      </c>
      <c r="ES34" s="793">
        <v>0</v>
      </c>
      <c r="ET34" s="793">
        <v>1</v>
      </c>
      <c r="EU34" s="793">
        <v>0</v>
      </c>
      <c r="EV34" s="793">
        <v>0</v>
      </c>
      <c r="EW34" s="793">
        <v>0</v>
      </c>
      <c r="EX34" s="793">
        <v>0</v>
      </c>
      <c r="EY34" s="794">
        <v>1</v>
      </c>
      <c r="EZ34" s="896"/>
      <c r="FA34" s="795"/>
    </row>
    <row r="35" spans="1:157">
      <c r="A35" s="73"/>
      <c r="B35" s="73"/>
      <c r="C35" s="73"/>
      <c r="D35" s="73" t="s">
        <v>1398</v>
      </c>
      <c r="E35" s="3261">
        <v>0</v>
      </c>
      <c r="F35" s="3261"/>
      <c r="G35" s="3261"/>
      <c r="H35" s="3261"/>
      <c r="I35" s="3261"/>
      <c r="J35" s="3261">
        <v>0</v>
      </c>
      <c r="K35" s="3261">
        <v>3</v>
      </c>
      <c r="L35" s="3261">
        <v>1</v>
      </c>
      <c r="M35" s="161">
        <v>0</v>
      </c>
      <c r="N35" s="161">
        <v>0</v>
      </c>
      <c r="O35" s="161">
        <v>4</v>
      </c>
      <c r="P35" s="73"/>
      <c r="R35" s="74"/>
      <c r="S35" s="74"/>
      <c r="T35" s="74" t="s">
        <v>572</v>
      </c>
      <c r="U35" s="74" t="s">
        <v>1283</v>
      </c>
      <c r="V35" s="3229"/>
      <c r="W35" s="3229">
        <v>0</v>
      </c>
      <c r="X35" s="3229">
        <v>0</v>
      </c>
      <c r="Y35" s="3229">
        <v>0</v>
      </c>
      <c r="Z35" s="3229">
        <v>0</v>
      </c>
      <c r="AA35" s="3229">
        <v>0</v>
      </c>
      <c r="AB35" s="3229">
        <v>0</v>
      </c>
      <c r="AC35" s="3229">
        <v>1</v>
      </c>
      <c r="AD35" s="3229">
        <v>3</v>
      </c>
      <c r="AE35" s="121"/>
      <c r="AF35" s="121">
        <v>1</v>
      </c>
      <c r="AG35" s="121">
        <v>5</v>
      </c>
      <c r="AJ35" s="161"/>
      <c r="AK35" s="161"/>
      <c r="AL35" s="73"/>
      <c r="AM35" s="73" t="s">
        <v>1288</v>
      </c>
      <c r="AN35" s="2600">
        <v>0</v>
      </c>
      <c r="AO35" s="2600">
        <v>0</v>
      </c>
      <c r="AP35" s="2600">
        <v>0</v>
      </c>
      <c r="AQ35" s="2600"/>
      <c r="AR35" s="2600">
        <v>0</v>
      </c>
      <c r="AS35" s="2600">
        <v>0</v>
      </c>
      <c r="AT35" s="2600">
        <v>2</v>
      </c>
      <c r="AU35" s="2600">
        <v>0</v>
      </c>
      <c r="AV35" s="2600">
        <v>1</v>
      </c>
      <c r="AW35" s="161">
        <v>1</v>
      </c>
      <c r="AX35" s="161">
        <v>0</v>
      </c>
      <c r="AY35" s="161">
        <v>4</v>
      </c>
      <c r="AZ35" s="161"/>
      <c r="BB35" s="2191"/>
      <c r="BC35" s="2191"/>
      <c r="BD35" s="2192"/>
      <c r="BE35" s="2193" t="s">
        <v>1289</v>
      </c>
      <c r="BF35" s="2195">
        <v>0</v>
      </c>
      <c r="BG35" s="2195">
        <v>0</v>
      </c>
      <c r="BH35" s="2195">
        <v>0</v>
      </c>
      <c r="BI35" s="2195">
        <v>3</v>
      </c>
      <c r="BJ35" s="2195">
        <v>0</v>
      </c>
      <c r="BK35" s="2195">
        <v>0</v>
      </c>
      <c r="BL35" s="2195">
        <v>0</v>
      </c>
      <c r="BM35" s="2195">
        <v>0</v>
      </c>
      <c r="BN35" s="963"/>
      <c r="BO35" s="964">
        <v>0</v>
      </c>
      <c r="BP35" s="964">
        <v>3</v>
      </c>
      <c r="BQ35" s="73"/>
      <c r="BS35" s="879"/>
      <c r="BT35" s="879"/>
      <c r="BU35" s="880"/>
      <c r="BV35" s="881" t="s">
        <v>1292</v>
      </c>
      <c r="BW35" s="883">
        <v>0</v>
      </c>
      <c r="BX35" s="883">
        <v>0</v>
      </c>
      <c r="BY35" s="882"/>
      <c r="BZ35" s="882"/>
      <c r="CA35" s="883">
        <v>0</v>
      </c>
      <c r="CB35" s="883">
        <v>0</v>
      </c>
      <c r="CC35" s="883">
        <v>1</v>
      </c>
      <c r="CD35" s="883">
        <v>6</v>
      </c>
      <c r="CE35" s="879"/>
      <c r="CF35" s="879"/>
      <c r="CG35" s="884">
        <v>7</v>
      </c>
      <c r="CH35" s="161"/>
      <c r="CJ35" s="885"/>
      <c r="CK35" s="885"/>
      <c r="CL35" s="885"/>
      <c r="CM35" s="897" t="s">
        <v>15</v>
      </c>
      <c r="CN35" s="898"/>
      <c r="CO35" s="898"/>
      <c r="CP35" s="898"/>
      <c r="CQ35" s="899">
        <v>1</v>
      </c>
      <c r="CR35" s="898"/>
      <c r="CS35" s="898"/>
      <c r="CT35" s="899">
        <v>24</v>
      </c>
      <c r="CU35" s="898"/>
      <c r="CV35" s="898"/>
      <c r="CW35" s="900"/>
      <c r="CX35" s="900"/>
      <c r="CY35" s="901">
        <v>25</v>
      </c>
      <c r="CZ35" s="891">
        <f>+(CY34+CY33+CY32)/CY35</f>
        <v>0.6</v>
      </c>
      <c r="DS35" s="121"/>
      <c r="DT35" s="121"/>
      <c r="DU35" s="74" t="s">
        <v>120</v>
      </c>
      <c r="DV35" s="74" t="s">
        <v>1283</v>
      </c>
      <c r="DW35" s="121"/>
      <c r="DX35" s="121"/>
      <c r="DY35" s="121"/>
      <c r="DZ35" s="121"/>
      <c r="EA35" s="121"/>
      <c r="EB35" s="121">
        <v>0</v>
      </c>
      <c r="EC35" s="121">
        <v>0</v>
      </c>
      <c r="ED35" s="121">
        <v>1</v>
      </c>
      <c r="EE35" s="121"/>
      <c r="EF35" s="121"/>
      <c r="EG35" s="121">
        <v>1</v>
      </c>
      <c r="EH35" s="74"/>
      <c r="EI35" s="74"/>
      <c r="EJ35" s="793"/>
      <c r="EK35" s="793"/>
      <c r="EL35" s="793"/>
      <c r="EM35" s="793" t="s">
        <v>1284</v>
      </c>
      <c r="EN35" s="793">
        <v>0</v>
      </c>
      <c r="EO35" s="793">
        <v>0</v>
      </c>
      <c r="EP35" s="793">
        <v>0</v>
      </c>
      <c r="EQ35" s="793">
        <v>1</v>
      </c>
      <c r="ER35" s="793">
        <v>1</v>
      </c>
      <c r="ES35" s="793">
        <v>0</v>
      </c>
      <c r="ET35" s="793">
        <v>0</v>
      </c>
      <c r="EU35" s="793">
        <v>0</v>
      </c>
      <c r="EV35" s="793">
        <v>0</v>
      </c>
      <c r="EW35" s="793">
        <v>0</v>
      </c>
      <c r="EX35" s="793">
        <v>0</v>
      </c>
      <c r="EY35" s="794">
        <v>2</v>
      </c>
      <c r="EZ35" s="896"/>
      <c r="FA35" s="795"/>
    </row>
    <row r="36" spans="1:157">
      <c r="A36" s="73"/>
      <c r="B36" s="73"/>
      <c r="C36" s="73"/>
      <c r="D36" s="738" t="s">
        <v>15</v>
      </c>
      <c r="E36" s="3262">
        <v>1</v>
      </c>
      <c r="F36" s="3262"/>
      <c r="G36" s="3262"/>
      <c r="H36" s="3262"/>
      <c r="I36" s="3262"/>
      <c r="J36" s="3262">
        <v>7</v>
      </c>
      <c r="K36" s="3262">
        <v>13</v>
      </c>
      <c r="L36" s="3262">
        <v>9</v>
      </c>
      <c r="M36" s="4674">
        <v>1</v>
      </c>
      <c r="N36" s="4674">
        <v>1</v>
      </c>
      <c r="O36" s="4674">
        <v>32</v>
      </c>
      <c r="P36" s="912">
        <f>+(O35+O34+O32)/O36</f>
        <v>0.59375</v>
      </c>
      <c r="Q36" s="3197"/>
      <c r="R36" s="74"/>
      <c r="S36" s="74"/>
      <c r="T36" s="74"/>
      <c r="U36" s="74" t="s">
        <v>1284</v>
      </c>
      <c r="V36" s="3229"/>
      <c r="W36" s="3229">
        <v>4</v>
      </c>
      <c r="X36" s="3229">
        <v>2</v>
      </c>
      <c r="Y36" s="3229">
        <v>2</v>
      </c>
      <c r="Z36" s="3229">
        <v>1</v>
      </c>
      <c r="AA36" s="3229">
        <v>0</v>
      </c>
      <c r="AB36" s="3229">
        <v>6</v>
      </c>
      <c r="AC36" s="3229">
        <v>6</v>
      </c>
      <c r="AD36" s="3229">
        <v>0</v>
      </c>
      <c r="AE36" s="121"/>
      <c r="AF36" s="121">
        <v>0</v>
      </c>
      <c r="AG36" s="121">
        <v>21</v>
      </c>
      <c r="AJ36" s="161"/>
      <c r="AK36" s="161"/>
      <c r="AL36" s="73"/>
      <c r="AM36" s="73" t="s">
        <v>1289</v>
      </c>
      <c r="AN36" s="2600">
        <v>0</v>
      </c>
      <c r="AO36" s="2600">
        <v>0</v>
      </c>
      <c r="AP36" s="2600">
        <v>0</v>
      </c>
      <c r="AQ36" s="2600"/>
      <c r="AR36" s="2600">
        <v>1</v>
      </c>
      <c r="AS36" s="2600">
        <v>0</v>
      </c>
      <c r="AT36" s="2600">
        <v>0</v>
      </c>
      <c r="AU36" s="2600">
        <v>0</v>
      </c>
      <c r="AV36" s="2600">
        <v>0</v>
      </c>
      <c r="AW36" s="161">
        <v>0</v>
      </c>
      <c r="AX36" s="161">
        <v>0</v>
      </c>
      <c r="AY36" s="161">
        <v>1</v>
      </c>
      <c r="AZ36" s="161"/>
      <c r="BB36" s="2191"/>
      <c r="BC36" s="2191"/>
      <c r="BD36" s="2192"/>
      <c r="BE36" s="2193" t="s">
        <v>1292</v>
      </c>
      <c r="BF36" s="2195">
        <v>0</v>
      </c>
      <c r="BG36" s="2195">
        <v>0</v>
      </c>
      <c r="BH36" s="2195">
        <v>0</v>
      </c>
      <c r="BI36" s="2195">
        <v>0</v>
      </c>
      <c r="BJ36" s="2195">
        <v>0</v>
      </c>
      <c r="BK36" s="2195">
        <v>0</v>
      </c>
      <c r="BL36" s="2195">
        <v>1</v>
      </c>
      <c r="BM36" s="2195">
        <v>10</v>
      </c>
      <c r="BN36" s="963"/>
      <c r="BO36" s="964">
        <v>2</v>
      </c>
      <c r="BP36" s="964">
        <v>13</v>
      </c>
      <c r="BQ36" s="73"/>
      <c r="BS36" s="879"/>
      <c r="BT36" s="879"/>
      <c r="BU36" s="880"/>
      <c r="BV36" s="881" t="s">
        <v>1293</v>
      </c>
      <c r="BW36" s="883">
        <v>0</v>
      </c>
      <c r="BX36" s="883">
        <v>0</v>
      </c>
      <c r="BY36" s="882"/>
      <c r="BZ36" s="882"/>
      <c r="CA36" s="883">
        <v>2</v>
      </c>
      <c r="CB36" s="883">
        <v>1</v>
      </c>
      <c r="CC36" s="883">
        <v>1</v>
      </c>
      <c r="CD36" s="883">
        <v>1</v>
      </c>
      <c r="CE36" s="879"/>
      <c r="CF36" s="879"/>
      <c r="CG36" s="884">
        <v>5</v>
      </c>
      <c r="CH36" s="161"/>
      <c r="CJ36" s="885"/>
      <c r="CK36" s="885"/>
      <c r="CL36" s="885" t="s">
        <v>120</v>
      </c>
      <c r="CM36" s="886" t="s">
        <v>1283</v>
      </c>
      <c r="CN36" s="887"/>
      <c r="CO36" s="888">
        <v>0</v>
      </c>
      <c r="CP36" s="887"/>
      <c r="CQ36" s="887"/>
      <c r="CR36" s="887"/>
      <c r="CS36" s="887"/>
      <c r="CT36" s="887"/>
      <c r="CU36" s="888">
        <v>0</v>
      </c>
      <c r="CV36" s="888">
        <v>1</v>
      </c>
      <c r="CW36" s="889"/>
      <c r="CX36" s="889"/>
      <c r="CY36" s="890">
        <v>1</v>
      </c>
      <c r="CZ36" s="891"/>
      <c r="DS36" s="121"/>
      <c r="DT36" s="121"/>
      <c r="DU36" s="74"/>
      <c r="DV36" s="74" t="s">
        <v>1284</v>
      </c>
      <c r="DW36" s="121"/>
      <c r="DX36" s="121"/>
      <c r="DY36" s="121"/>
      <c r="DZ36" s="121"/>
      <c r="EA36" s="121"/>
      <c r="EB36" s="121">
        <v>7</v>
      </c>
      <c r="EC36" s="121">
        <v>0</v>
      </c>
      <c r="ED36" s="121">
        <v>0</v>
      </c>
      <c r="EE36" s="121"/>
      <c r="EF36" s="121"/>
      <c r="EG36" s="121">
        <v>7</v>
      </c>
      <c r="EH36" s="74"/>
      <c r="EI36" s="74"/>
      <c r="EJ36" s="793"/>
      <c r="EK36" s="793"/>
      <c r="EL36" s="793"/>
      <c r="EM36" s="793" t="s">
        <v>1288</v>
      </c>
      <c r="EN36" s="793">
        <v>0</v>
      </c>
      <c r="EO36" s="793">
        <v>0</v>
      </c>
      <c r="EP36" s="793">
        <v>0</v>
      </c>
      <c r="EQ36" s="793">
        <v>1</v>
      </c>
      <c r="ER36" s="793">
        <v>0</v>
      </c>
      <c r="ES36" s="793">
        <v>0</v>
      </c>
      <c r="ET36" s="793">
        <v>0</v>
      </c>
      <c r="EU36" s="793">
        <v>0</v>
      </c>
      <c r="EV36" s="793">
        <v>0</v>
      </c>
      <c r="EW36" s="793">
        <v>0</v>
      </c>
      <c r="EX36" s="793">
        <v>0</v>
      </c>
      <c r="EY36" s="794">
        <v>1</v>
      </c>
      <c r="EZ36" s="896"/>
      <c r="FA36" s="795"/>
    </row>
    <row r="37" spans="1:157">
      <c r="A37" s="73"/>
      <c r="B37" s="73"/>
      <c r="C37" s="738" t="s">
        <v>572</v>
      </c>
      <c r="D37" s="738" t="s">
        <v>1283</v>
      </c>
      <c r="E37" s="3262">
        <v>0</v>
      </c>
      <c r="F37" s="3262"/>
      <c r="G37" s="3262">
        <v>0</v>
      </c>
      <c r="H37" s="3262">
        <v>0</v>
      </c>
      <c r="I37" s="3262">
        <v>0</v>
      </c>
      <c r="J37" s="3262">
        <v>1</v>
      </c>
      <c r="K37" s="3262">
        <v>0</v>
      </c>
      <c r="L37" s="3262">
        <v>4</v>
      </c>
      <c r="M37" s="4674">
        <v>0</v>
      </c>
      <c r="N37" s="4674">
        <v>0</v>
      </c>
      <c r="O37" s="4674">
        <v>5</v>
      </c>
      <c r="P37" s="73"/>
      <c r="R37" s="74"/>
      <c r="S37" s="74"/>
      <c r="T37" s="74"/>
      <c r="U37" s="74" t="s">
        <v>1288</v>
      </c>
      <c r="V37" s="3229"/>
      <c r="W37" s="3229">
        <v>0</v>
      </c>
      <c r="X37" s="3229">
        <v>0</v>
      </c>
      <c r="Y37" s="3229">
        <v>0</v>
      </c>
      <c r="Z37" s="3229">
        <v>0</v>
      </c>
      <c r="AA37" s="3229">
        <v>1</v>
      </c>
      <c r="AB37" s="3229">
        <v>3</v>
      </c>
      <c r="AC37" s="3229">
        <v>0</v>
      </c>
      <c r="AD37" s="3229">
        <v>1</v>
      </c>
      <c r="AE37" s="121"/>
      <c r="AF37" s="121">
        <v>0</v>
      </c>
      <c r="AG37" s="121">
        <v>5</v>
      </c>
      <c r="AJ37" s="161"/>
      <c r="AK37" s="161"/>
      <c r="AL37" s="73"/>
      <c r="AM37" s="73" t="s">
        <v>1292</v>
      </c>
      <c r="AN37" s="2600">
        <v>0</v>
      </c>
      <c r="AO37" s="2600">
        <v>0</v>
      </c>
      <c r="AP37" s="2600">
        <v>0</v>
      </c>
      <c r="AQ37" s="2600"/>
      <c r="AR37" s="2600">
        <v>0</v>
      </c>
      <c r="AS37" s="2600">
        <v>0</v>
      </c>
      <c r="AT37" s="2600">
        <v>0</v>
      </c>
      <c r="AU37" s="2600">
        <v>1</v>
      </c>
      <c r="AV37" s="2600">
        <v>11</v>
      </c>
      <c r="AW37" s="161">
        <v>0</v>
      </c>
      <c r="AX37" s="161">
        <v>1</v>
      </c>
      <c r="AY37" s="161">
        <v>13</v>
      </c>
      <c r="AZ37" s="161"/>
      <c r="BB37" s="2191"/>
      <c r="BC37" s="2191"/>
      <c r="BD37" s="2192"/>
      <c r="BE37" s="2193" t="s">
        <v>1293</v>
      </c>
      <c r="BF37" s="2195">
        <v>0</v>
      </c>
      <c r="BG37" s="2195">
        <v>0</v>
      </c>
      <c r="BH37" s="2195">
        <v>0</v>
      </c>
      <c r="BI37" s="2195">
        <v>0</v>
      </c>
      <c r="BJ37" s="2195">
        <v>1</v>
      </c>
      <c r="BK37" s="2195">
        <v>6</v>
      </c>
      <c r="BL37" s="2195">
        <v>0</v>
      </c>
      <c r="BM37" s="2195">
        <v>1</v>
      </c>
      <c r="BN37" s="963"/>
      <c r="BO37" s="964">
        <v>0</v>
      </c>
      <c r="BP37" s="964">
        <v>8</v>
      </c>
      <c r="BQ37" s="73"/>
      <c r="BS37" s="879"/>
      <c r="BT37" s="879"/>
      <c r="BU37" s="880"/>
      <c r="BV37" s="881" t="s">
        <v>1398</v>
      </c>
      <c r="BW37" s="883">
        <v>0</v>
      </c>
      <c r="BX37" s="883">
        <v>0</v>
      </c>
      <c r="BY37" s="882"/>
      <c r="BZ37" s="882"/>
      <c r="CA37" s="883">
        <v>0</v>
      </c>
      <c r="CB37" s="883">
        <v>2</v>
      </c>
      <c r="CC37" s="883">
        <v>4</v>
      </c>
      <c r="CD37" s="883">
        <v>3</v>
      </c>
      <c r="CE37" s="879"/>
      <c r="CF37" s="879"/>
      <c r="CG37" s="884">
        <v>9</v>
      </c>
      <c r="CH37" s="161"/>
      <c r="CJ37" s="885"/>
      <c r="CK37" s="885"/>
      <c r="CL37" s="885"/>
      <c r="CM37" s="886" t="s">
        <v>1284</v>
      </c>
      <c r="CN37" s="887"/>
      <c r="CO37" s="888">
        <v>0</v>
      </c>
      <c r="CP37" s="887"/>
      <c r="CQ37" s="887"/>
      <c r="CR37" s="887"/>
      <c r="CS37" s="887"/>
      <c r="CT37" s="887"/>
      <c r="CU37" s="888">
        <v>1</v>
      </c>
      <c r="CV37" s="888">
        <v>0</v>
      </c>
      <c r="CW37" s="889"/>
      <c r="CX37" s="889"/>
      <c r="CY37" s="890">
        <v>1</v>
      </c>
      <c r="CZ37" s="891"/>
      <c r="DS37" s="121"/>
      <c r="DT37" s="121"/>
      <c r="DU37" s="74"/>
      <c r="DV37" s="74" t="s">
        <v>1288</v>
      </c>
      <c r="DW37" s="121"/>
      <c r="DX37" s="121"/>
      <c r="DY37" s="121"/>
      <c r="DZ37" s="121"/>
      <c r="EA37" s="121"/>
      <c r="EB37" s="121">
        <v>0</v>
      </c>
      <c r="EC37" s="121">
        <v>2</v>
      </c>
      <c r="ED37" s="121">
        <v>0</v>
      </c>
      <c r="EE37" s="121"/>
      <c r="EF37" s="121"/>
      <c r="EG37" s="121">
        <v>2</v>
      </c>
      <c r="EH37" s="74"/>
      <c r="EI37" s="74"/>
      <c r="EJ37" s="793"/>
      <c r="EK37" s="793"/>
      <c r="EL37" s="793"/>
      <c r="EM37" s="793" t="s">
        <v>1289</v>
      </c>
      <c r="EN37" s="793">
        <v>0</v>
      </c>
      <c r="EO37" s="793">
        <v>0</v>
      </c>
      <c r="EP37" s="793">
        <v>1</v>
      </c>
      <c r="EQ37" s="793">
        <v>3</v>
      </c>
      <c r="ER37" s="793">
        <v>13</v>
      </c>
      <c r="ES37" s="793">
        <v>6</v>
      </c>
      <c r="ET37" s="793">
        <v>3</v>
      </c>
      <c r="EU37" s="793">
        <v>0</v>
      </c>
      <c r="EV37" s="793">
        <v>0</v>
      </c>
      <c r="EW37" s="793">
        <v>0</v>
      </c>
      <c r="EX37" s="793">
        <v>0</v>
      </c>
      <c r="EY37" s="794">
        <v>26</v>
      </c>
      <c r="EZ37" s="896"/>
      <c r="FA37" s="795"/>
    </row>
    <row r="38" spans="1:157">
      <c r="A38" s="73"/>
      <c r="B38" s="73"/>
      <c r="C38" s="73"/>
      <c r="D38" s="738" t="s">
        <v>1284</v>
      </c>
      <c r="E38" s="3262">
        <v>2</v>
      </c>
      <c r="F38" s="3262"/>
      <c r="G38" s="3262">
        <v>1</v>
      </c>
      <c r="H38" s="3262">
        <v>1</v>
      </c>
      <c r="I38" s="3262">
        <v>0</v>
      </c>
      <c r="J38" s="3262">
        <v>8</v>
      </c>
      <c r="K38" s="3262">
        <v>13</v>
      </c>
      <c r="L38" s="3262">
        <v>1</v>
      </c>
      <c r="M38" s="4674">
        <v>1</v>
      </c>
      <c r="N38" s="4674">
        <v>0</v>
      </c>
      <c r="O38" s="4674">
        <v>27</v>
      </c>
      <c r="P38" s="73"/>
      <c r="R38" s="74"/>
      <c r="S38" s="74"/>
      <c r="T38" s="74"/>
      <c r="U38" s="74" t="s">
        <v>1292</v>
      </c>
      <c r="V38" s="3229"/>
      <c r="W38" s="3229">
        <v>0</v>
      </c>
      <c r="X38" s="3229">
        <v>0</v>
      </c>
      <c r="Y38" s="3229">
        <v>0</v>
      </c>
      <c r="Z38" s="3229">
        <v>0</v>
      </c>
      <c r="AA38" s="3229">
        <v>0</v>
      </c>
      <c r="AB38" s="3229">
        <v>0</v>
      </c>
      <c r="AC38" s="3229">
        <v>0</v>
      </c>
      <c r="AD38" s="3229">
        <v>11</v>
      </c>
      <c r="AE38" s="121"/>
      <c r="AF38" s="121">
        <v>3</v>
      </c>
      <c r="AG38" s="121">
        <v>14</v>
      </c>
      <c r="AJ38" s="161"/>
      <c r="AK38" s="161"/>
      <c r="AL38" s="73"/>
      <c r="AM38" s="73" t="s">
        <v>1936</v>
      </c>
      <c r="AN38" s="2600">
        <v>3</v>
      </c>
      <c r="AO38" s="2600">
        <v>0</v>
      </c>
      <c r="AP38" s="2600">
        <v>0</v>
      </c>
      <c r="AQ38" s="2600"/>
      <c r="AR38" s="2600">
        <v>0</v>
      </c>
      <c r="AS38" s="2600">
        <v>0</v>
      </c>
      <c r="AT38" s="2600">
        <v>0</v>
      </c>
      <c r="AU38" s="2600">
        <v>0</v>
      </c>
      <c r="AV38" s="2600">
        <v>0</v>
      </c>
      <c r="AW38" s="161">
        <v>0</v>
      </c>
      <c r="AX38" s="161">
        <v>0</v>
      </c>
      <c r="AY38" s="161">
        <v>3</v>
      </c>
      <c r="AZ38" s="161"/>
      <c r="BB38" s="2191"/>
      <c r="BC38" s="2191"/>
      <c r="BD38" s="2192"/>
      <c r="BE38" s="2193" t="s">
        <v>1398</v>
      </c>
      <c r="BF38" s="2195">
        <v>0</v>
      </c>
      <c r="BG38" s="2195">
        <v>0</v>
      </c>
      <c r="BH38" s="2195">
        <v>0</v>
      </c>
      <c r="BI38" s="2195">
        <v>0</v>
      </c>
      <c r="BJ38" s="2195">
        <v>1</v>
      </c>
      <c r="BK38" s="2195">
        <v>3</v>
      </c>
      <c r="BL38" s="2195">
        <v>2</v>
      </c>
      <c r="BM38" s="2195">
        <v>1</v>
      </c>
      <c r="BN38" s="963"/>
      <c r="BO38" s="964">
        <v>0</v>
      </c>
      <c r="BP38" s="964">
        <v>7</v>
      </c>
      <c r="BQ38" s="73"/>
      <c r="BS38" s="879"/>
      <c r="BT38" s="879"/>
      <c r="BU38" s="880"/>
      <c r="BV38" s="907" t="s">
        <v>572</v>
      </c>
      <c r="BW38" s="909">
        <v>2</v>
      </c>
      <c r="BX38" s="909">
        <v>1</v>
      </c>
      <c r="BY38" s="908"/>
      <c r="BZ38" s="908"/>
      <c r="CA38" s="909">
        <v>4</v>
      </c>
      <c r="CB38" s="909">
        <v>3</v>
      </c>
      <c r="CC38" s="909">
        <v>19</v>
      </c>
      <c r="CD38" s="909">
        <v>16</v>
      </c>
      <c r="CE38" s="910"/>
      <c r="CF38" s="910"/>
      <c r="CG38" s="911">
        <v>45</v>
      </c>
      <c r="CH38" s="912">
        <f>+(CG33+CG36+CG37)/CG38</f>
        <v>0.4</v>
      </c>
      <c r="CJ38" s="885"/>
      <c r="CK38" s="885"/>
      <c r="CL38" s="885"/>
      <c r="CM38" s="886" t="s">
        <v>1286</v>
      </c>
      <c r="CN38" s="887"/>
      <c r="CO38" s="888">
        <v>3</v>
      </c>
      <c r="CP38" s="887"/>
      <c r="CQ38" s="887"/>
      <c r="CR38" s="887"/>
      <c r="CS38" s="887"/>
      <c r="CT38" s="887"/>
      <c r="CU38" s="888">
        <v>0</v>
      </c>
      <c r="CV38" s="888">
        <v>0</v>
      </c>
      <c r="CW38" s="889"/>
      <c r="CX38" s="889"/>
      <c r="CY38" s="890">
        <v>3</v>
      </c>
      <c r="CZ38" s="891"/>
      <c r="DS38" s="121"/>
      <c r="DT38" s="121"/>
      <c r="DU38" s="74"/>
      <c r="DV38" s="74" t="s">
        <v>1293</v>
      </c>
      <c r="DW38" s="121"/>
      <c r="DX38" s="121"/>
      <c r="DY38" s="121"/>
      <c r="DZ38" s="121"/>
      <c r="EA38" s="121"/>
      <c r="EB38" s="121">
        <v>0</v>
      </c>
      <c r="EC38" s="121">
        <v>0</v>
      </c>
      <c r="ED38" s="121">
        <v>1</v>
      </c>
      <c r="EE38" s="121"/>
      <c r="EF38" s="121"/>
      <c r="EG38" s="121">
        <v>1</v>
      </c>
      <c r="EH38" s="74"/>
      <c r="EI38" s="74"/>
      <c r="EJ38" s="793"/>
      <c r="EK38" s="793"/>
      <c r="EL38" s="793"/>
      <c r="EM38" s="793" t="s">
        <v>1398</v>
      </c>
      <c r="EN38" s="793">
        <v>0</v>
      </c>
      <c r="EO38" s="793">
        <v>0</v>
      </c>
      <c r="EP38" s="793">
        <v>0</v>
      </c>
      <c r="EQ38" s="793">
        <v>1</v>
      </c>
      <c r="ER38" s="793">
        <v>0</v>
      </c>
      <c r="ES38" s="793">
        <v>0</v>
      </c>
      <c r="ET38" s="793">
        <v>0</v>
      </c>
      <c r="EU38" s="793">
        <v>0</v>
      </c>
      <c r="EV38" s="793">
        <v>0</v>
      </c>
      <c r="EW38" s="793">
        <v>0</v>
      </c>
      <c r="EX38" s="793">
        <v>0</v>
      </c>
      <c r="EY38" s="794">
        <v>1</v>
      </c>
      <c r="EZ38" s="896"/>
      <c r="FA38" s="795"/>
    </row>
    <row r="39" spans="1:157">
      <c r="A39" s="73"/>
      <c r="B39" s="73"/>
      <c r="C39" s="73"/>
      <c r="D39" s="738" t="s">
        <v>1288</v>
      </c>
      <c r="E39" s="3262">
        <v>0</v>
      </c>
      <c r="F39" s="3262"/>
      <c r="G39" s="3262">
        <v>0</v>
      </c>
      <c r="H39" s="3262">
        <v>0</v>
      </c>
      <c r="I39" s="3262">
        <v>0</v>
      </c>
      <c r="J39" s="3262">
        <v>1</v>
      </c>
      <c r="K39" s="3262">
        <v>4</v>
      </c>
      <c r="L39" s="3262">
        <v>1</v>
      </c>
      <c r="M39" s="4674">
        <v>0</v>
      </c>
      <c r="N39" s="4674">
        <v>0</v>
      </c>
      <c r="O39" s="4674">
        <v>6</v>
      </c>
      <c r="P39" s="73"/>
      <c r="R39" s="74"/>
      <c r="S39" s="74"/>
      <c r="T39" s="74"/>
      <c r="U39" s="74" t="s">
        <v>1293</v>
      </c>
      <c r="V39" s="3229"/>
      <c r="W39" s="3229">
        <v>0</v>
      </c>
      <c r="X39" s="3229">
        <v>0</v>
      </c>
      <c r="Y39" s="3229">
        <v>0</v>
      </c>
      <c r="Z39" s="3229">
        <v>0</v>
      </c>
      <c r="AA39" s="3229">
        <v>0</v>
      </c>
      <c r="AB39" s="3229">
        <v>9</v>
      </c>
      <c r="AC39" s="3229">
        <v>6</v>
      </c>
      <c r="AD39" s="3229">
        <v>5</v>
      </c>
      <c r="AE39" s="121"/>
      <c r="AF39" s="121">
        <v>0</v>
      </c>
      <c r="AG39" s="121">
        <v>20</v>
      </c>
      <c r="AJ39" s="161"/>
      <c r="AK39" s="161"/>
      <c r="AL39" s="73"/>
      <c r="AM39" s="73" t="s">
        <v>1293</v>
      </c>
      <c r="AN39" s="2600">
        <v>0</v>
      </c>
      <c r="AO39" s="2600">
        <v>0</v>
      </c>
      <c r="AP39" s="2600">
        <v>0</v>
      </c>
      <c r="AQ39" s="2600"/>
      <c r="AR39" s="2600">
        <v>0</v>
      </c>
      <c r="AS39" s="2600">
        <v>0</v>
      </c>
      <c r="AT39" s="2600">
        <v>4</v>
      </c>
      <c r="AU39" s="2600">
        <v>4</v>
      </c>
      <c r="AV39" s="2600">
        <v>1</v>
      </c>
      <c r="AW39" s="161">
        <v>0</v>
      </c>
      <c r="AX39" s="161">
        <v>0</v>
      </c>
      <c r="AY39" s="161">
        <v>9</v>
      </c>
      <c r="AZ39" s="161"/>
      <c r="BB39" s="2191"/>
      <c r="BC39" s="2191"/>
      <c r="BD39" s="2192"/>
      <c r="BE39" s="760" t="s">
        <v>572</v>
      </c>
      <c r="BF39" s="2197">
        <v>1</v>
      </c>
      <c r="BG39" s="2197">
        <v>1</v>
      </c>
      <c r="BH39" s="2197">
        <v>2</v>
      </c>
      <c r="BI39" s="2197">
        <v>3</v>
      </c>
      <c r="BJ39" s="2197">
        <v>5</v>
      </c>
      <c r="BK39" s="2197">
        <v>22</v>
      </c>
      <c r="BL39" s="2197">
        <v>11</v>
      </c>
      <c r="BM39" s="2197">
        <v>16</v>
      </c>
      <c r="BN39" s="972"/>
      <c r="BO39" s="973">
        <v>2</v>
      </c>
      <c r="BP39" s="973">
        <v>63</v>
      </c>
      <c r="BQ39" s="2154">
        <f>+(BP34+BP37+BP38)/BP39</f>
        <v>0.2857142857142857</v>
      </c>
      <c r="BS39" s="879"/>
      <c r="BT39" s="879" t="s">
        <v>16</v>
      </c>
      <c r="BU39" s="880" t="s">
        <v>118</v>
      </c>
      <c r="BV39" s="881" t="s">
        <v>1284</v>
      </c>
      <c r="BW39" s="882"/>
      <c r="BX39" s="882"/>
      <c r="BY39" s="882"/>
      <c r="BZ39" s="882"/>
      <c r="CA39" s="882"/>
      <c r="CB39" s="883">
        <v>5</v>
      </c>
      <c r="CC39" s="883">
        <v>3</v>
      </c>
      <c r="CD39" s="882"/>
      <c r="CE39" s="879"/>
      <c r="CF39" s="879"/>
      <c r="CG39" s="884">
        <v>8</v>
      </c>
      <c r="CH39" s="161"/>
      <c r="CJ39" s="885"/>
      <c r="CK39" s="885"/>
      <c r="CL39" s="885"/>
      <c r="CM39" s="886" t="s">
        <v>1292</v>
      </c>
      <c r="CN39" s="887"/>
      <c r="CO39" s="888">
        <v>0</v>
      </c>
      <c r="CP39" s="887"/>
      <c r="CQ39" s="887"/>
      <c r="CR39" s="887"/>
      <c r="CS39" s="887"/>
      <c r="CT39" s="887"/>
      <c r="CU39" s="888">
        <v>0</v>
      </c>
      <c r="CV39" s="888">
        <v>5</v>
      </c>
      <c r="CW39" s="889"/>
      <c r="CX39" s="889"/>
      <c r="CY39" s="890">
        <v>5</v>
      </c>
      <c r="CZ39" s="891"/>
      <c r="DS39" s="121"/>
      <c r="DT39" s="121"/>
      <c r="DU39" s="74"/>
      <c r="DV39" s="761" t="s">
        <v>15</v>
      </c>
      <c r="DW39" s="729"/>
      <c r="DX39" s="729"/>
      <c r="DY39" s="729"/>
      <c r="DZ39" s="729"/>
      <c r="EA39" s="729"/>
      <c r="EB39" s="729">
        <v>7</v>
      </c>
      <c r="EC39" s="729">
        <v>2</v>
      </c>
      <c r="ED39" s="729">
        <v>2</v>
      </c>
      <c r="EE39" s="729"/>
      <c r="EF39" s="729"/>
      <c r="EG39" s="729">
        <v>11</v>
      </c>
      <c r="EH39" s="813">
        <f>+(EG37+EG38)/EG39</f>
        <v>0.27272727272727271</v>
      </c>
      <c r="EI39" s="74"/>
      <c r="EJ39" s="793"/>
      <c r="EK39" s="793"/>
      <c r="EL39" s="793"/>
      <c r="EM39" s="796" t="s">
        <v>15</v>
      </c>
      <c r="EN39" s="796">
        <v>0</v>
      </c>
      <c r="EO39" s="796">
        <v>0</v>
      </c>
      <c r="EP39" s="796">
        <v>1</v>
      </c>
      <c r="EQ39" s="796">
        <v>6</v>
      </c>
      <c r="ER39" s="796">
        <v>14</v>
      </c>
      <c r="ES39" s="796">
        <v>6</v>
      </c>
      <c r="ET39" s="796">
        <v>4</v>
      </c>
      <c r="EU39" s="796">
        <v>0</v>
      </c>
      <c r="EV39" s="796">
        <v>0</v>
      </c>
      <c r="EW39" s="796">
        <v>0</v>
      </c>
      <c r="EX39" s="796">
        <v>0</v>
      </c>
      <c r="EY39" s="856">
        <v>31</v>
      </c>
      <c r="EZ39" s="906">
        <f>+(EY38+EY36)/EY39</f>
        <v>6.4516129032258063E-2</v>
      </c>
      <c r="FA39" s="795">
        <f>+EY36+EY38</f>
        <v>2</v>
      </c>
    </row>
    <row r="40" spans="1:157">
      <c r="A40" s="73"/>
      <c r="B40" s="73"/>
      <c r="C40" s="73"/>
      <c r="D40" s="738" t="s">
        <v>1289</v>
      </c>
      <c r="E40" s="3262">
        <v>0</v>
      </c>
      <c r="F40" s="3262"/>
      <c r="G40" s="3262">
        <v>0</v>
      </c>
      <c r="H40" s="3262">
        <v>0</v>
      </c>
      <c r="I40" s="3262">
        <v>2</v>
      </c>
      <c r="J40" s="3262">
        <v>0</v>
      </c>
      <c r="K40" s="3262">
        <v>0</v>
      </c>
      <c r="L40" s="3262">
        <v>0</v>
      </c>
      <c r="M40" s="4674">
        <v>0</v>
      </c>
      <c r="N40" s="4674">
        <v>0</v>
      </c>
      <c r="O40" s="4674">
        <v>2</v>
      </c>
      <c r="P40" s="73"/>
      <c r="R40" s="74"/>
      <c r="S40" s="74"/>
      <c r="T40" s="74"/>
      <c r="U40" s="74" t="s">
        <v>1398</v>
      </c>
      <c r="V40" s="3229"/>
      <c r="W40" s="3229">
        <v>0</v>
      </c>
      <c r="X40" s="3229">
        <v>0</v>
      </c>
      <c r="Y40" s="3229">
        <v>0</v>
      </c>
      <c r="Z40" s="3229">
        <v>0</v>
      </c>
      <c r="AA40" s="3229">
        <v>1</v>
      </c>
      <c r="AB40" s="3229">
        <v>0</v>
      </c>
      <c r="AC40" s="3229">
        <v>2</v>
      </c>
      <c r="AD40" s="3229">
        <v>0</v>
      </c>
      <c r="AE40" s="121"/>
      <c r="AF40" s="121">
        <v>0</v>
      </c>
      <c r="AG40" s="121">
        <v>3</v>
      </c>
      <c r="AJ40" s="161"/>
      <c r="AK40" s="161"/>
      <c r="AL40" s="73"/>
      <c r="AM40" s="73" t="s">
        <v>1398</v>
      </c>
      <c r="AN40" s="2600">
        <v>0</v>
      </c>
      <c r="AO40" s="2600">
        <v>0</v>
      </c>
      <c r="AP40" s="2600">
        <v>0</v>
      </c>
      <c r="AQ40" s="2600"/>
      <c r="AR40" s="2600">
        <v>0</v>
      </c>
      <c r="AS40" s="2600">
        <v>0</v>
      </c>
      <c r="AT40" s="2600">
        <v>4</v>
      </c>
      <c r="AU40" s="2600">
        <v>6</v>
      </c>
      <c r="AV40" s="2600">
        <v>3</v>
      </c>
      <c r="AW40" s="161">
        <v>0</v>
      </c>
      <c r="AX40" s="161">
        <v>0</v>
      </c>
      <c r="AY40" s="161">
        <v>13</v>
      </c>
      <c r="AZ40" s="161"/>
      <c r="BB40" s="2191"/>
      <c r="BC40" s="2191" t="s">
        <v>16</v>
      </c>
      <c r="BD40" s="2192" t="s">
        <v>118</v>
      </c>
      <c r="BE40" s="2193" t="s">
        <v>1283</v>
      </c>
      <c r="BF40" s="2194"/>
      <c r="BG40" s="2194"/>
      <c r="BH40" s="2194"/>
      <c r="BI40" s="2194"/>
      <c r="BJ40" s="2194"/>
      <c r="BK40" s="2195">
        <v>0</v>
      </c>
      <c r="BL40" s="2195">
        <v>2</v>
      </c>
      <c r="BM40" s="2195">
        <v>3</v>
      </c>
      <c r="BN40" s="963"/>
      <c r="BO40" s="963"/>
      <c r="BP40" s="964">
        <v>5</v>
      </c>
      <c r="BQ40" s="73"/>
      <c r="BS40" s="879"/>
      <c r="BT40" s="879"/>
      <c r="BU40" s="880"/>
      <c r="BV40" s="881" t="s">
        <v>1292</v>
      </c>
      <c r="BW40" s="882"/>
      <c r="BX40" s="882"/>
      <c r="BY40" s="882"/>
      <c r="BZ40" s="882"/>
      <c r="CA40" s="882"/>
      <c r="CB40" s="883">
        <v>0</v>
      </c>
      <c r="CC40" s="883">
        <v>4</v>
      </c>
      <c r="CD40" s="882"/>
      <c r="CE40" s="879"/>
      <c r="CF40" s="879"/>
      <c r="CG40" s="884">
        <v>4</v>
      </c>
      <c r="CH40" s="161"/>
      <c r="CJ40" s="885"/>
      <c r="CK40" s="885"/>
      <c r="CL40" s="885"/>
      <c r="CM40" s="897" t="s">
        <v>15</v>
      </c>
      <c r="CN40" s="898"/>
      <c r="CO40" s="899">
        <v>3</v>
      </c>
      <c r="CP40" s="898"/>
      <c r="CQ40" s="898"/>
      <c r="CR40" s="898"/>
      <c r="CS40" s="898"/>
      <c r="CT40" s="898"/>
      <c r="CU40" s="899">
        <v>1</v>
      </c>
      <c r="CV40" s="899">
        <v>6</v>
      </c>
      <c r="CW40" s="900"/>
      <c r="CX40" s="900"/>
      <c r="CY40" s="901">
        <v>10</v>
      </c>
      <c r="CZ40" s="891">
        <v>0</v>
      </c>
      <c r="DC40" s="892" t="s">
        <v>105</v>
      </c>
      <c r="DD40" s="892" t="s">
        <v>106</v>
      </c>
      <c r="DE40" s="893" t="s">
        <v>1284</v>
      </c>
      <c r="DF40" s="894"/>
      <c r="DG40" s="895">
        <v>0</v>
      </c>
      <c r="DH40" s="895">
        <v>4</v>
      </c>
      <c r="DI40" s="895">
        <v>3</v>
      </c>
      <c r="DJ40" s="895">
        <v>1</v>
      </c>
      <c r="DK40" s="895">
        <v>1</v>
      </c>
      <c r="DL40" s="895">
        <v>0</v>
      </c>
      <c r="DM40" s="895">
        <v>0</v>
      </c>
      <c r="DN40" s="894"/>
      <c r="DO40" s="894"/>
      <c r="DP40" s="895">
        <v>9</v>
      </c>
      <c r="DQ40" s="792"/>
      <c r="DS40" s="121"/>
      <c r="DT40" s="121" t="s">
        <v>105</v>
      </c>
      <c r="DU40" s="74" t="s">
        <v>106</v>
      </c>
      <c r="DV40" s="74" t="s">
        <v>1284</v>
      </c>
      <c r="DW40" s="121"/>
      <c r="DX40" s="121"/>
      <c r="DY40" s="121">
        <v>0</v>
      </c>
      <c r="DZ40" s="121">
        <v>0</v>
      </c>
      <c r="EA40" s="121">
        <v>0</v>
      </c>
      <c r="EB40" s="121">
        <v>1</v>
      </c>
      <c r="EC40" s="121">
        <v>1</v>
      </c>
      <c r="ED40" s="121"/>
      <c r="EE40" s="121"/>
      <c r="EF40" s="121"/>
      <c r="EG40" s="121">
        <v>2</v>
      </c>
      <c r="EH40" s="74"/>
      <c r="EI40" s="74"/>
      <c r="EJ40" s="793" t="s">
        <v>25</v>
      </c>
      <c r="EK40" s="793" t="s">
        <v>4</v>
      </c>
      <c r="EL40" s="793" t="s">
        <v>121</v>
      </c>
      <c r="EM40" s="793" t="s">
        <v>1283</v>
      </c>
      <c r="EN40" s="793">
        <v>0</v>
      </c>
      <c r="EO40" s="793">
        <v>0</v>
      </c>
      <c r="EP40" s="793">
        <v>0</v>
      </c>
      <c r="EQ40" s="793">
        <v>0</v>
      </c>
      <c r="ER40" s="793">
        <v>0</v>
      </c>
      <c r="ES40" s="793">
        <v>0</v>
      </c>
      <c r="ET40" s="793">
        <v>0</v>
      </c>
      <c r="EU40" s="793">
        <v>0</v>
      </c>
      <c r="EV40" s="793">
        <v>1</v>
      </c>
      <c r="EW40" s="793">
        <v>0</v>
      </c>
      <c r="EX40" s="793">
        <v>0</v>
      </c>
      <c r="EY40" s="794">
        <v>1</v>
      </c>
      <c r="EZ40" s="896"/>
      <c r="FA40" s="795"/>
    </row>
    <row r="41" spans="1:157">
      <c r="A41" s="73"/>
      <c r="B41" s="73"/>
      <c r="C41" s="73"/>
      <c r="D41" s="738" t="s">
        <v>1292</v>
      </c>
      <c r="E41" s="3262">
        <v>0</v>
      </c>
      <c r="F41" s="3262"/>
      <c r="G41" s="3262">
        <v>0</v>
      </c>
      <c r="H41" s="3262">
        <v>0</v>
      </c>
      <c r="I41" s="3262">
        <v>0</v>
      </c>
      <c r="J41" s="3262">
        <v>0</v>
      </c>
      <c r="K41" s="3262">
        <v>1</v>
      </c>
      <c r="L41" s="3262">
        <v>10</v>
      </c>
      <c r="M41" s="4674">
        <v>1</v>
      </c>
      <c r="N41" s="4674">
        <v>3</v>
      </c>
      <c r="O41" s="4674">
        <v>15</v>
      </c>
      <c r="P41" s="73"/>
      <c r="R41" s="74"/>
      <c r="S41" s="74"/>
      <c r="T41" s="74"/>
      <c r="U41" s="761" t="s">
        <v>572</v>
      </c>
      <c r="V41" s="3230"/>
      <c r="W41" s="3230">
        <v>4</v>
      </c>
      <c r="X41" s="3230">
        <v>2</v>
      </c>
      <c r="Y41" s="3230">
        <v>2</v>
      </c>
      <c r="Z41" s="3230">
        <v>1</v>
      </c>
      <c r="AA41" s="3230">
        <v>2</v>
      </c>
      <c r="AB41" s="3230">
        <v>18</v>
      </c>
      <c r="AC41" s="3230">
        <v>15</v>
      </c>
      <c r="AD41" s="3230">
        <v>20</v>
      </c>
      <c r="AE41" s="729"/>
      <c r="AF41" s="729">
        <v>4</v>
      </c>
      <c r="AG41" s="729">
        <v>68</v>
      </c>
      <c r="AH41" s="4681">
        <f>+(AG37+AG39+AG40)/AG41</f>
        <v>0.41176470588235292</v>
      </c>
      <c r="AJ41" s="161"/>
      <c r="AK41" s="161"/>
      <c r="AL41" s="73"/>
      <c r="AM41" s="738" t="s">
        <v>572</v>
      </c>
      <c r="AN41" s="2601">
        <v>3</v>
      </c>
      <c r="AO41" s="2601">
        <v>2</v>
      </c>
      <c r="AP41" s="2601">
        <v>1</v>
      </c>
      <c r="AQ41" s="2601"/>
      <c r="AR41" s="2601">
        <v>1</v>
      </c>
      <c r="AS41" s="2601">
        <v>2</v>
      </c>
      <c r="AT41" s="2601">
        <v>20</v>
      </c>
      <c r="AU41" s="2601">
        <v>28</v>
      </c>
      <c r="AV41" s="2601">
        <v>21</v>
      </c>
      <c r="AW41" s="151">
        <v>2</v>
      </c>
      <c r="AX41" s="151">
        <v>1</v>
      </c>
      <c r="AY41" s="151">
        <v>81</v>
      </c>
      <c r="AZ41" s="912">
        <f>+(AY35+AY39+AY40-AW35)/AY41</f>
        <v>0.30864197530864196</v>
      </c>
      <c r="BB41" s="2191"/>
      <c r="BC41" s="2191"/>
      <c r="BD41" s="2192"/>
      <c r="BE41" s="2193" t="s">
        <v>1284</v>
      </c>
      <c r="BF41" s="2194"/>
      <c r="BG41" s="2194"/>
      <c r="BH41" s="2194"/>
      <c r="BI41" s="2194"/>
      <c r="BJ41" s="2194"/>
      <c r="BK41" s="2195">
        <v>6</v>
      </c>
      <c r="BL41" s="2195">
        <v>6</v>
      </c>
      <c r="BM41" s="2195">
        <v>0</v>
      </c>
      <c r="BN41" s="963"/>
      <c r="BO41" s="963"/>
      <c r="BP41" s="964">
        <v>12</v>
      </c>
      <c r="BQ41" s="73"/>
      <c r="BS41" s="879"/>
      <c r="BT41" s="879"/>
      <c r="BU41" s="880"/>
      <c r="BV41" s="907" t="s">
        <v>15</v>
      </c>
      <c r="BW41" s="908"/>
      <c r="BX41" s="908"/>
      <c r="BY41" s="908"/>
      <c r="BZ41" s="908"/>
      <c r="CA41" s="908"/>
      <c r="CB41" s="909">
        <v>5</v>
      </c>
      <c r="CC41" s="909">
        <v>7</v>
      </c>
      <c r="CD41" s="908"/>
      <c r="CE41" s="910"/>
      <c r="CF41" s="910"/>
      <c r="CG41" s="911">
        <v>12</v>
      </c>
      <c r="CH41" s="912">
        <v>0</v>
      </c>
      <c r="CJ41" s="885"/>
      <c r="CK41" s="885"/>
      <c r="CL41" s="897" t="s">
        <v>573</v>
      </c>
      <c r="CM41" s="886" t="s">
        <v>1283</v>
      </c>
      <c r="CN41" s="887"/>
      <c r="CO41" s="888">
        <v>0</v>
      </c>
      <c r="CP41" s="887"/>
      <c r="CQ41" s="888">
        <v>1</v>
      </c>
      <c r="CR41" s="887"/>
      <c r="CS41" s="887"/>
      <c r="CT41" s="888">
        <v>0</v>
      </c>
      <c r="CU41" s="888">
        <v>0</v>
      </c>
      <c r="CV41" s="888">
        <v>1</v>
      </c>
      <c r="CW41" s="889"/>
      <c r="CX41" s="889"/>
      <c r="CY41" s="890">
        <v>2</v>
      </c>
      <c r="CZ41" s="891"/>
      <c r="DC41" s="892"/>
      <c r="DD41" s="892"/>
      <c r="DE41" s="893" t="s">
        <v>1289</v>
      </c>
      <c r="DF41" s="894"/>
      <c r="DG41" s="895">
        <v>1</v>
      </c>
      <c r="DH41" s="895">
        <v>7</v>
      </c>
      <c r="DI41" s="895">
        <v>1</v>
      </c>
      <c r="DJ41" s="895">
        <v>2</v>
      </c>
      <c r="DK41" s="895">
        <v>0</v>
      </c>
      <c r="DL41" s="895">
        <v>0</v>
      </c>
      <c r="DM41" s="895">
        <v>0</v>
      </c>
      <c r="DN41" s="894"/>
      <c r="DO41" s="894"/>
      <c r="DP41" s="895">
        <v>11</v>
      </c>
      <c r="DQ41" s="792"/>
      <c r="DS41" s="121"/>
      <c r="DT41" s="121"/>
      <c r="DU41" s="74"/>
      <c r="DV41" s="74" t="s">
        <v>1288</v>
      </c>
      <c r="DW41" s="121"/>
      <c r="DX41" s="121"/>
      <c r="DY41" s="121">
        <v>3</v>
      </c>
      <c r="DZ41" s="121">
        <v>0</v>
      </c>
      <c r="EA41" s="121">
        <v>0</v>
      </c>
      <c r="EB41" s="121">
        <v>0</v>
      </c>
      <c r="EC41" s="121">
        <v>1</v>
      </c>
      <c r="ED41" s="121"/>
      <c r="EE41" s="121"/>
      <c r="EF41" s="121"/>
      <c r="EG41" s="121">
        <v>4</v>
      </c>
      <c r="EH41" s="74"/>
      <c r="EI41" s="74"/>
      <c r="EJ41" s="793"/>
      <c r="EK41" s="793"/>
      <c r="EL41" s="793"/>
      <c r="EM41" s="793" t="s">
        <v>1289</v>
      </c>
      <c r="EN41" s="793">
        <v>0</v>
      </c>
      <c r="EO41" s="793">
        <v>0</v>
      </c>
      <c r="EP41" s="793">
        <v>0</v>
      </c>
      <c r="EQ41" s="793">
        <v>0</v>
      </c>
      <c r="ER41" s="793">
        <v>1</v>
      </c>
      <c r="ES41" s="793">
        <v>0</v>
      </c>
      <c r="ET41" s="793">
        <v>0</v>
      </c>
      <c r="EU41" s="793">
        <v>0</v>
      </c>
      <c r="EV41" s="793">
        <v>0</v>
      </c>
      <c r="EW41" s="793">
        <v>0</v>
      </c>
      <c r="EX41" s="793">
        <v>0</v>
      </c>
      <c r="EY41" s="794">
        <v>1</v>
      </c>
      <c r="EZ41" s="896"/>
      <c r="FA41" s="795"/>
    </row>
    <row r="42" spans="1:157">
      <c r="A42" s="73"/>
      <c r="B42" s="73"/>
      <c r="C42" s="73"/>
      <c r="D42" s="738" t="s">
        <v>1293</v>
      </c>
      <c r="E42" s="3262">
        <v>0</v>
      </c>
      <c r="F42" s="3262"/>
      <c r="G42" s="3262">
        <v>0</v>
      </c>
      <c r="H42" s="3262">
        <v>0</v>
      </c>
      <c r="I42" s="3262">
        <v>0</v>
      </c>
      <c r="J42" s="3262">
        <v>2</v>
      </c>
      <c r="K42" s="3262">
        <v>8</v>
      </c>
      <c r="L42" s="3262">
        <v>5</v>
      </c>
      <c r="M42" s="4674">
        <v>0</v>
      </c>
      <c r="N42" s="4674">
        <v>0</v>
      </c>
      <c r="O42" s="4674">
        <v>15</v>
      </c>
      <c r="P42" s="73"/>
      <c r="R42" s="74"/>
      <c r="S42" s="74" t="s">
        <v>16</v>
      </c>
      <c r="T42" s="74" t="s">
        <v>247</v>
      </c>
      <c r="U42" s="74" t="s">
        <v>1284</v>
      </c>
      <c r="V42" s="3229"/>
      <c r="W42" s="3229"/>
      <c r="X42" s="3229"/>
      <c r="Y42" s="3229"/>
      <c r="Z42" s="3229"/>
      <c r="AA42" s="3229">
        <v>1</v>
      </c>
      <c r="AB42" s="3229">
        <v>9</v>
      </c>
      <c r="AC42" s="3229"/>
      <c r="AD42" s="3229"/>
      <c r="AE42" s="121"/>
      <c r="AF42" s="121"/>
      <c r="AG42" s="121">
        <v>10</v>
      </c>
      <c r="AJ42" s="161"/>
      <c r="AK42" s="161" t="s">
        <v>16</v>
      </c>
      <c r="AL42" s="73" t="s">
        <v>118</v>
      </c>
      <c r="AM42" s="73" t="s">
        <v>1284</v>
      </c>
      <c r="AN42" s="2600"/>
      <c r="AO42" s="2600"/>
      <c r="AP42" s="2600"/>
      <c r="AQ42" s="2600"/>
      <c r="AR42" s="2600"/>
      <c r="AS42" s="2600"/>
      <c r="AT42" s="2600">
        <v>7</v>
      </c>
      <c r="AU42" s="2600">
        <v>1</v>
      </c>
      <c r="AV42" s="2600"/>
      <c r="AW42" s="161"/>
      <c r="AX42" s="161"/>
      <c r="AY42" s="161">
        <v>8</v>
      </c>
      <c r="AZ42" s="161"/>
      <c r="BB42" s="2191"/>
      <c r="BC42" s="2191"/>
      <c r="BD42" s="2192"/>
      <c r="BE42" s="2193" t="s">
        <v>1293</v>
      </c>
      <c r="BF42" s="2194"/>
      <c r="BG42" s="2194"/>
      <c r="BH42" s="2194"/>
      <c r="BI42" s="2194"/>
      <c r="BJ42" s="2194"/>
      <c r="BK42" s="2195">
        <v>0</v>
      </c>
      <c r="BL42" s="2195">
        <v>1</v>
      </c>
      <c r="BM42" s="2195">
        <v>0</v>
      </c>
      <c r="BN42" s="963"/>
      <c r="BO42" s="963"/>
      <c r="BP42" s="964">
        <v>1</v>
      </c>
      <c r="BQ42" s="73"/>
      <c r="BS42" s="879"/>
      <c r="BT42" s="879"/>
      <c r="BU42" s="880" t="s">
        <v>119</v>
      </c>
      <c r="BV42" s="881" t="s">
        <v>1284</v>
      </c>
      <c r="BW42" s="883">
        <v>0</v>
      </c>
      <c r="BX42" s="882"/>
      <c r="BY42" s="882"/>
      <c r="BZ42" s="882"/>
      <c r="CA42" s="882"/>
      <c r="CB42" s="883">
        <v>2</v>
      </c>
      <c r="CC42" s="883">
        <v>0</v>
      </c>
      <c r="CD42" s="883">
        <v>3</v>
      </c>
      <c r="CE42" s="879"/>
      <c r="CF42" s="879"/>
      <c r="CG42" s="884">
        <v>5</v>
      </c>
      <c r="CH42" s="161"/>
      <c r="CJ42" s="885"/>
      <c r="CK42" s="885"/>
      <c r="CL42" s="885"/>
      <c r="CM42" s="886" t="s">
        <v>1284</v>
      </c>
      <c r="CN42" s="887"/>
      <c r="CO42" s="888">
        <v>0</v>
      </c>
      <c r="CP42" s="887"/>
      <c r="CQ42" s="888">
        <v>0</v>
      </c>
      <c r="CR42" s="887"/>
      <c r="CS42" s="887"/>
      <c r="CT42" s="888">
        <v>22</v>
      </c>
      <c r="CU42" s="888">
        <v>1</v>
      </c>
      <c r="CV42" s="888">
        <v>0</v>
      </c>
      <c r="CW42" s="889"/>
      <c r="CX42" s="889"/>
      <c r="CY42" s="890">
        <v>23</v>
      </c>
      <c r="CZ42" s="891"/>
      <c r="DC42" s="892"/>
      <c r="DD42" s="892"/>
      <c r="DE42" s="893" t="s">
        <v>1292</v>
      </c>
      <c r="DF42" s="894"/>
      <c r="DG42" s="895">
        <v>0</v>
      </c>
      <c r="DH42" s="895">
        <v>0</v>
      </c>
      <c r="DI42" s="895">
        <v>3</v>
      </c>
      <c r="DJ42" s="895">
        <v>0</v>
      </c>
      <c r="DK42" s="895">
        <v>2</v>
      </c>
      <c r="DL42" s="895">
        <v>1</v>
      </c>
      <c r="DM42" s="895">
        <v>4</v>
      </c>
      <c r="DN42" s="894"/>
      <c r="DO42" s="894"/>
      <c r="DP42" s="895">
        <v>10</v>
      </c>
      <c r="DQ42" s="792"/>
      <c r="DS42" s="121"/>
      <c r="DT42" s="121"/>
      <c r="DU42" s="74"/>
      <c r="DV42" s="74" t="s">
        <v>1289</v>
      </c>
      <c r="DW42" s="121"/>
      <c r="DX42" s="121"/>
      <c r="DY42" s="121">
        <v>22</v>
      </c>
      <c r="DZ42" s="121">
        <v>5</v>
      </c>
      <c r="EA42" s="121">
        <v>4</v>
      </c>
      <c r="EB42" s="121">
        <v>1</v>
      </c>
      <c r="EC42" s="121">
        <v>0</v>
      </c>
      <c r="ED42" s="121"/>
      <c r="EE42" s="121"/>
      <c r="EF42" s="121"/>
      <c r="EG42" s="121">
        <v>32</v>
      </c>
      <c r="EH42" s="74"/>
      <c r="EI42" s="74"/>
      <c r="EJ42" s="793"/>
      <c r="EK42" s="793"/>
      <c r="EL42" s="793"/>
      <c r="EM42" s="793" t="s">
        <v>1292</v>
      </c>
      <c r="EN42" s="793">
        <v>0</v>
      </c>
      <c r="EO42" s="793">
        <v>0</v>
      </c>
      <c r="EP42" s="793">
        <v>0</v>
      </c>
      <c r="EQ42" s="793">
        <v>0</v>
      </c>
      <c r="ER42" s="793">
        <v>0</v>
      </c>
      <c r="ES42" s="793">
        <v>0</v>
      </c>
      <c r="ET42" s="793">
        <v>0</v>
      </c>
      <c r="EU42" s="793">
        <v>0</v>
      </c>
      <c r="EV42" s="793">
        <v>0</v>
      </c>
      <c r="EW42" s="793">
        <v>2</v>
      </c>
      <c r="EX42" s="793">
        <v>0</v>
      </c>
      <c r="EY42" s="794">
        <v>2</v>
      </c>
      <c r="EZ42" s="896"/>
      <c r="FA42" s="795"/>
    </row>
    <row r="43" spans="1:157">
      <c r="A43" s="73"/>
      <c r="B43" s="73"/>
      <c r="C43" s="73"/>
      <c r="D43" s="738" t="s">
        <v>1398</v>
      </c>
      <c r="E43" s="3262">
        <v>0</v>
      </c>
      <c r="F43" s="3262"/>
      <c r="G43" s="3262">
        <v>0</v>
      </c>
      <c r="H43" s="3262">
        <v>0</v>
      </c>
      <c r="I43" s="3262">
        <v>0</v>
      </c>
      <c r="J43" s="3262">
        <v>3</v>
      </c>
      <c r="K43" s="3262">
        <v>6</v>
      </c>
      <c r="L43" s="3262">
        <v>1</v>
      </c>
      <c r="M43" s="4674">
        <v>0</v>
      </c>
      <c r="N43" s="4674">
        <v>0</v>
      </c>
      <c r="O43" s="4674">
        <v>10</v>
      </c>
      <c r="P43" s="73"/>
      <c r="R43" s="74"/>
      <c r="S43" s="74"/>
      <c r="T43" s="74"/>
      <c r="U43" s="74" t="s">
        <v>1288</v>
      </c>
      <c r="V43" s="3229"/>
      <c r="W43" s="3229"/>
      <c r="X43" s="3229"/>
      <c r="Y43" s="3229"/>
      <c r="Z43" s="3229"/>
      <c r="AA43" s="3229">
        <v>0</v>
      </c>
      <c r="AB43" s="3229">
        <v>1</v>
      </c>
      <c r="AC43" s="3229"/>
      <c r="AD43" s="3229"/>
      <c r="AE43" s="121"/>
      <c r="AF43" s="121"/>
      <c r="AG43" s="121">
        <v>1</v>
      </c>
      <c r="AJ43" s="161"/>
      <c r="AK43" s="161"/>
      <c r="AL43" s="73"/>
      <c r="AM43" s="73" t="s">
        <v>1292</v>
      </c>
      <c r="AN43" s="2600"/>
      <c r="AO43" s="2600"/>
      <c r="AP43" s="2600"/>
      <c r="AQ43" s="2600"/>
      <c r="AR43" s="2600"/>
      <c r="AS43" s="2600"/>
      <c r="AT43" s="2600">
        <v>0</v>
      </c>
      <c r="AU43" s="2600">
        <v>1</v>
      </c>
      <c r="AV43" s="2600"/>
      <c r="AW43" s="161"/>
      <c r="AX43" s="161"/>
      <c r="AY43" s="161">
        <v>1</v>
      </c>
      <c r="AZ43" s="161"/>
      <c r="BB43" s="2191"/>
      <c r="BC43" s="2191"/>
      <c r="BD43" s="2192"/>
      <c r="BE43" s="760" t="s">
        <v>15</v>
      </c>
      <c r="BF43" s="2196"/>
      <c r="BG43" s="2196"/>
      <c r="BH43" s="2196"/>
      <c r="BI43" s="2196"/>
      <c r="BJ43" s="2196"/>
      <c r="BK43" s="2197">
        <v>6</v>
      </c>
      <c r="BL43" s="2197">
        <v>9</v>
      </c>
      <c r="BM43" s="2197">
        <v>3</v>
      </c>
      <c r="BN43" s="972"/>
      <c r="BO43" s="972"/>
      <c r="BP43" s="973">
        <v>18</v>
      </c>
      <c r="BQ43" s="2154">
        <f>+BP42/BP43</f>
        <v>5.5555555555555552E-2</v>
      </c>
      <c r="BS43" s="879"/>
      <c r="BT43" s="879"/>
      <c r="BU43" s="880"/>
      <c r="BV43" s="881" t="s">
        <v>1286</v>
      </c>
      <c r="BW43" s="883">
        <v>1</v>
      </c>
      <c r="BX43" s="882"/>
      <c r="BY43" s="882"/>
      <c r="BZ43" s="882"/>
      <c r="CA43" s="882"/>
      <c r="CB43" s="883">
        <v>0</v>
      </c>
      <c r="CC43" s="883">
        <v>0</v>
      </c>
      <c r="CD43" s="883">
        <v>0</v>
      </c>
      <c r="CE43" s="879"/>
      <c r="CF43" s="879"/>
      <c r="CG43" s="884">
        <v>1</v>
      </c>
      <c r="CH43" s="161"/>
      <c r="CJ43" s="885"/>
      <c r="CK43" s="885"/>
      <c r="CL43" s="885"/>
      <c r="CM43" s="886" t="s">
        <v>1286</v>
      </c>
      <c r="CN43" s="887"/>
      <c r="CO43" s="888">
        <v>3</v>
      </c>
      <c r="CP43" s="887"/>
      <c r="CQ43" s="888">
        <v>0</v>
      </c>
      <c r="CR43" s="887"/>
      <c r="CS43" s="887"/>
      <c r="CT43" s="888">
        <v>0</v>
      </c>
      <c r="CU43" s="888">
        <v>0</v>
      </c>
      <c r="CV43" s="888">
        <v>0</v>
      </c>
      <c r="CW43" s="889"/>
      <c r="CX43" s="889"/>
      <c r="CY43" s="890">
        <v>3</v>
      </c>
      <c r="CZ43" s="891"/>
      <c r="DC43" s="892"/>
      <c r="DD43" s="892"/>
      <c r="DE43" s="893" t="s">
        <v>1293</v>
      </c>
      <c r="DF43" s="894"/>
      <c r="DG43" s="895">
        <v>0</v>
      </c>
      <c r="DH43" s="895">
        <v>1</v>
      </c>
      <c r="DI43" s="895">
        <v>1</v>
      </c>
      <c r="DJ43" s="895">
        <v>0</v>
      </c>
      <c r="DK43" s="895">
        <v>0</v>
      </c>
      <c r="DL43" s="895">
        <v>0</v>
      </c>
      <c r="DM43" s="895">
        <v>0</v>
      </c>
      <c r="DN43" s="894"/>
      <c r="DO43" s="894"/>
      <c r="DP43" s="895">
        <v>2</v>
      </c>
      <c r="DQ43" s="792"/>
      <c r="DS43" s="121"/>
      <c r="DT43" s="121"/>
      <c r="DU43" s="74"/>
      <c r="DV43" s="74" t="s">
        <v>1292</v>
      </c>
      <c r="DW43" s="121"/>
      <c r="DX43" s="121"/>
      <c r="DY43" s="121">
        <v>0</v>
      </c>
      <c r="DZ43" s="121">
        <v>1</v>
      </c>
      <c r="EA43" s="121">
        <v>0</v>
      </c>
      <c r="EB43" s="121">
        <v>0</v>
      </c>
      <c r="EC43" s="121">
        <v>0</v>
      </c>
      <c r="ED43" s="121"/>
      <c r="EE43" s="121"/>
      <c r="EF43" s="121"/>
      <c r="EG43" s="121">
        <v>1</v>
      </c>
      <c r="EH43" s="74"/>
      <c r="EI43" s="74"/>
      <c r="EJ43" s="793"/>
      <c r="EK43" s="793"/>
      <c r="EL43" s="793"/>
      <c r="EM43" s="796" t="s">
        <v>15</v>
      </c>
      <c r="EN43" s="796">
        <v>0</v>
      </c>
      <c r="EO43" s="796">
        <v>0</v>
      </c>
      <c r="EP43" s="796">
        <v>0</v>
      </c>
      <c r="EQ43" s="796">
        <v>0</v>
      </c>
      <c r="ER43" s="796">
        <v>1</v>
      </c>
      <c r="ES43" s="796">
        <v>0</v>
      </c>
      <c r="ET43" s="796">
        <v>0</v>
      </c>
      <c r="EU43" s="796">
        <v>0</v>
      </c>
      <c r="EV43" s="796">
        <v>1</v>
      </c>
      <c r="EW43" s="796">
        <v>2</v>
      </c>
      <c r="EX43" s="796">
        <v>0</v>
      </c>
      <c r="EY43" s="856">
        <v>4</v>
      </c>
      <c r="EZ43" s="906">
        <f>0/EY43</f>
        <v>0</v>
      </c>
      <c r="FA43" s="795">
        <v>0</v>
      </c>
    </row>
    <row r="44" spans="1:157">
      <c r="A44" s="73"/>
      <c r="B44" s="73"/>
      <c r="C44" s="73"/>
      <c r="D44" s="738" t="s">
        <v>572</v>
      </c>
      <c r="E44" s="3262">
        <v>2</v>
      </c>
      <c r="F44" s="3262"/>
      <c r="G44" s="3262">
        <v>1</v>
      </c>
      <c r="H44" s="3262">
        <v>1</v>
      </c>
      <c r="I44" s="3262">
        <v>2</v>
      </c>
      <c r="J44" s="3262">
        <v>15</v>
      </c>
      <c r="K44" s="3262">
        <v>32</v>
      </c>
      <c r="L44" s="3262">
        <v>22</v>
      </c>
      <c r="M44" s="4674">
        <v>2</v>
      </c>
      <c r="N44" s="4674">
        <v>3</v>
      </c>
      <c r="O44" s="4674">
        <v>80</v>
      </c>
      <c r="P44" s="912">
        <f>+(O43+O42+O39)/O44</f>
        <v>0.38750000000000001</v>
      </c>
      <c r="Q44" s="3197"/>
      <c r="R44" s="74"/>
      <c r="S44" s="74"/>
      <c r="T44" s="74"/>
      <c r="U44" s="761" t="s">
        <v>15</v>
      </c>
      <c r="V44" s="3230"/>
      <c r="W44" s="3230"/>
      <c r="X44" s="3230"/>
      <c r="Y44" s="3230"/>
      <c r="Z44" s="3230"/>
      <c r="AA44" s="3230">
        <v>1</v>
      </c>
      <c r="AB44" s="3230">
        <v>10</v>
      </c>
      <c r="AC44" s="3230"/>
      <c r="AD44" s="3230"/>
      <c r="AE44" s="729"/>
      <c r="AF44" s="729"/>
      <c r="AG44" s="729">
        <v>11</v>
      </c>
      <c r="AH44" s="4681">
        <f>+AG43/AG44</f>
        <v>9.0909090909090912E-2</v>
      </c>
      <c r="AJ44" s="161"/>
      <c r="AK44" s="161"/>
      <c r="AL44" s="73"/>
      <c r="AM44" s="73" t="s">
        <v>1293</v>
      </c>
      <c r="AN44" s="2600"/>
      <c r="AO44" s="2600"/>
      <c r="AP44" s="2600"/>
      <c r="AQ44" s="2600"/>
      <c r="AR44" s="2600"/>
      <c r="AS44" s="2600"/>
      <c r="AT44" s="2600">
        <v>1</v>
      </c>
      <c r="AU44" s="2600">
        <v>0</v>
      </c>
      <c r="AV44" s="2600"/>
      <c r="AW44" s="161"/>
      <c r="AX44" s="161"/>
      <c r="AY44" s="161">
        <v>1</v>
      </c>
      <c r="AZ44" s="161"/>
      <c r="BB44" s="2191"/>
      <c r="BC44" s="2191"/>
      <c r="BD44" s="2192" t="s">
        <v>247</v>
      </c>
      <c r="BE44" s="2193" t="s">
        <v>1284</v>
      </c>
      <c r="BF44" s="2194"/>
      <c r="BG44" s="2194"/>
      <c r="BH44" s="2195">
        <v>2</v>
      </c>
      <c r="BI44" s="2195">
        <v>2</v>
      </c>
      <c r="BJ44" s="2195">
        <v>4</v>
      </c>
      <c r="BK44" s="2195">
        <v>11</v>
      </c>
      <c r="BL44" s="2194"/>
      <c r="BM44" s="2194"/>
      <c r="BN44" s="963"/>
      <c r="BO44" s="963"/>
      <c r="BP44" s="964">
        <v>19</v>
      </c>
      <c r="BQ44" s="73"/>
      <c r="BS44" s="879"/>
      <c r="BT44" s="879"/>
      <c r="BU44" s="880"/>
      <c r="BV44" s="881" t="s">
        <v>1288</v>
      </c>
      <c r="BW44" s="883">
        <v>0</v>
      </c>
      <c r="BX44" s="882"/>
      <c r="BY44" s="882"/>
      <c r="BZ44" s="882"/>
      <c r="CA44" s="882"/>
      <c r="CB44" s="883">
        <v>2</v>
      </c>
      <c r="CC44" s="883">
        <v>3</v>
      </c>
      <c r="CD44" s="883">
        <v>0</v>
      </c>
      <c r="CE44" s="879"/>
      <c r="CF44" s="879"/>
      <c r="CG44" s="884">
        <v>5</v>
      </c>
      <c r="CH44" s="161"/>
      <c r="CJ44" s="885"/>
      <c r="CK44" s="885"/>
      <c r="CL44" s="885"/>
      <c r="CM44" s="886" t="s">
        <v>1288</v>
      </c>
      <c r="CN44" s="887"/>
      <c r="CO44" s="888">
        <v>0</v>
      </c>
      <c r="CP44" s="887"/>
      <c r="CQ44" s="888">
        <v>0</v>
      </c>
      <c r="CR44" s="887"/>
      <c r="CS44" s="887"/>
      <c r="CT44" s="888">
        <v>6</v>
      </c>
      <c r="CU44" s="888">
        <v>0</v>
      </c>
      <c r="CV44" s="888">
        <v>0</v>
      </c>
      <c r="CW44" s="889"/>
      <c r="CX44" s="889"/>
      <c r="CY44" s="890">
        <v>6</v>
      </c>
      <c r="CZ44" s="891"/>
      <c r="DC44" s="892"/>
      <c r="DD44" s="892"/>
      <c r="DE44" s="893" t="s">
        <v>1398</v>
      </c>
      <c r="DF44" s="894"/>
      <c r="DG44" s="895">
        <v>0</v>
      </c>
      <c r="DH44" s="895">
        <v>1</v>
      </c>
      <c r="DI44" s="895">
        <v>0</v>
      </c>
      <c r="DJ44" s="895">
        <v>0</v>
      </c>
      <c r="DK44" s="895">
        <v>0</v>
      </c>
      <c r="DL44" s="895">
        <v>0</v>
      </c>
      <c r="DM44" s="895">
        <v>0</v>
      </c>
      <c r="DN44" s="894"/>
      <c r="DO44" s="894"/>
      <c r="DP44" s="895">
        <v>1</v>
      </c>
      <c r="DQ44" s="792"/>
      <c r="DS44" s="121"/>
      <c r="DT44" s="121"/>
      <c r="DU44" s="74"/>
      <c r="DV44" s="74" t="s">
        <v>1293</v>
      </c>
      <c r="DW44" s="121"/>
      <c r="DX44" s="121"/>
      <c r="DY44" s="121">
        <v>0</v>
      </c>
      <c r="DZ44" s="121">
        <v>1</v>
      </c>
      <c r="EA44" s="121">
        <v>0</v>
      </c>
      <c r="EB44" s="121">
        <v>3</v>
      </c>
      <c r="EC44" s="121">
        <v>0</v>
      </c>
      <c r="ED44" s="121"/>
      <c r="EE44" s="121"/>
      <c r="EF44" s="121"/>
      <c r="EG44" s="121">
        <v>4</v>
      </c>
      <c r="EH44" s="74"/>
      <c r="EI44" s="74"/>
      <c r="EJ44" s="793"/>
      <c r="EK44" s="793"/>
      <c r="EL44" s="793" t="s">
        <v>122</v>
      </c>
      <c r="EM44" s="793" t="s">
        <v>1283</v>
      </c>
      <c r="EN44" s="793">
        <v>0</v>
      </c>
      <c r="EO44" s="793">
        <v>0</v>
      </c>
      <c r="EP44" s="793">
        <v>0</v>
      </c>
      <c r="EQ44" s="793">
        <v>0</v>
      </c>
      <c r="ER44" s="793">
        <v>0</v>
      </c>
      <c r="ES44" s="793">
        <v>0</v>
      </c>
      <c r="ET44" s="793">
        <v>0</v>
      </c>
      <c r="EU44" s="793">
        <v>0</v>
      </c>
      <c r="EV44" s="793">
        <v>3</v>
      </c>
      <c r="EW44" s="793">
        <v>1</v>
      </c>
      <c r="EX44" s="793">
        <v>1</v>
      </c>
      <c r="EY44" s="794">
        <v>5</v>
      </c>
      <c r="EZ44" s="896"/>
      <c r="FA44" s="795"/>
    </row>
    <row r="45" spans="1:157">
      <c r="A45" s="73"/>
      <c r="B45" s="73" t="s">
        <v>16</v>
      </c>
      <c r="C45" s="73" t="s">
        <v>118</v>
      </c>
      <c r="D45" s="73" t="s">
        <v>1283</v>
      </c>
      <c r="E45" s="3261">
        <v>0</v>
      </c>
      <c r="F45" s="3261"/>
      <c r="G45" s="3261"/>
      <c r="H45" s="3261"/>
      <c r="I45" s="3261"/>
      <c r="J45" s="3261">
        <v>0</v>
      </c>
      <c r="K45" s="3261">
        <v>0</v>
      </c>
      <c r="L45" s="3261">
        <v>1</v>
      </c>
      <c r="M45" s="161"/>
      <c r="N45" s="161"/>
      <c r="O45" s="161">
        <v>1</v>
      </c>
      <c r="P45" s="73"/>
      <c r="R45" s="74"/>
      <c r="S45" s="74"/>
      <c r="T45" s="74" t="s">
        <v>119</v>
      </c>
      <c r="U45" s="74" t="s">
        <v>1283</v>
      </c>
      <c r="V45" s="3229"/>
      <c r="W45" s="3229">
        <v>0</v>
      </c>
      <c r="X45" s="3229"/>
      <c r="Y45" s="3229"/>
      <c r="Z45" s="3229">
        <v>0</v>
      </c>
      <c r="AA45" s="3229"/>
      <c r="AB45" s="3229"/>
      <c r="AC45" s="3229">
        <v>0</v>
      </c>
      <c r="AD45" s="3229">
        <v>4</v>
      </c>
      <c r="AE45" s="121"/>
      <c r="AF45" s="121"/>
      <c r="AG45" s="121">
        <v>4</v>
      </c>
      <c r="AJ45" s="161"/>
      <c r="AK45" s="161"/>
      <c r="AL45" s="73"/>
      <c r="AM45" s="738" t="s">
        <v>15</v>
      </c>
      <c r="AN45" s="2601"/>
      <c r="AO45" s="2601"/>
      <c r="AP45" s="2601"/>
      <c r="AQ45" s="2601"/>
      <c r="AR45" s="2601"/>
      <c r="AS45" s="2601"/>
      <c r="AT45" s="2601">
        <v>8</v>
      </c>
      <c r="AU45" s="2601">
        <v>2</v>
      </c>
      <c r="AV45" s="2601"/>
      <c r="AW45" s="151"/>
      <c r="AX45" s="151"/>
      <c r="AY45" s="151">
        <v>10</v>
      </c>
      <c r="AZ45" s="912">
        <f>+AY44/AY45</f>
        <v>0.1</v>
      </c>
      <c r="BB45" s="2191"/>
      <c r="BC45" s="2191"/>
      <c r="BD45" s="2192"/>
      <c r="BE45" s="2193" t="s">
        <v>1288</v>
      </c>
      <c r="BF45" s="2194"/>
      <c r="BG45" s="2194"/>
      <c r="BH45" s="2195">
        <v>0</v>
      </c>
      <c r="BI45" s="2195">
        <v>0</v>
      </c>
      <c r="BJ45" s="2195">
        <v>0</v>
      </c>
      <c r="BK45" s="2195">
        <v>1</v>
      </c>
      <c r="BL45" s="2194"/>
      <c r="BM45" s="2194"/>
      <c r="BN45" s="963"/>
      <c r="BO45" s="963"/>
      <c r="BP45" s="964">
        <v>1</v>
      </c>
      <c r="BQ45" s="73"/>
      <c r="BS45" s="879"/>
      <c r="BT45" s="879"/>
      <c r="BU45" s="880"/>
      <c r="BV45" s="881" t="s">
        <v>1293</v>
      </c>
      <c r="BW45" s="883">
        <v>0</v>
      </c>
      <c r="BX45" s="882"/>
      <c r="BY45" s="882"/>
      <c r="BZ45" s="882"/>
      <c r="CA45" s="882"/>
      <c r="CB45" s="883">
        <v>1</v>
      </c>
      <c r="CC45" s="883">
        <v>2</v>
      </c>
      <c r="CD45" s="883">
        <v>0</v>
      </c>
      <c r="CE45" s="879"/>
      <c r="CF45" s="879"/>
      <c r="CG45" s="884">
        <v>3</v>
      </c>
      <c r="CH45" s="161"/>
      <c r="CJ45" s="885"/>
      <c r="CK45" s="885"/>
      <c r="CL45" s="885"/>
      <c r="CM45" s="886" t="s">
        <v>1292</v>
      </c>
      <c r="CN45" s="887"/>
      <c r="CO45" s="888">
        <v>0</v>
      </c>
      <c r="CP45" s="887"/>
      <c r="CQ45" s="888">
        <v>0</v>
      </c>
      <c r="CR45" s="887"/>
      <c r="CS45" s="887"/>
      <c r="CT45" s="888">
        <v>0</v>
      </c>
      <c r="CU45" s="888">
        <v>0</v>
      </c>
      <c r="CV45" s="888">
        <v>5</v>
      </c>
      <c r="CW45" s="889"/>
      <c r="CX45" s="889"/>
      <c r="CY45" s="890">
        <v>5</v>
      </c>
      <c r="CZ45" s="891"/>
      <c r="DC45" s="892"/>
      <c r="DD45" s="892"/>
      <c r="DE45" s="902" t="s">
        <v>15</v>
      </c>
      <c r="DF45" s="903"/>
      <c r="DG45" s="904">
        <v>1</v>
      </c>
      <c r="DH45" s="904">
        <v>13</v>
      </c>
      <c r="DI45" s="904">
        <v>8</v>
      </c>
      <c r="DJ45" s="904">
        <v>3</v>
      </c>
      <c r="DK45" s="904">
        <v>3</v>
      </c>
      <c r="DL45" s="904">
        <v>1</v>
      </c>
      <c r="DM45" s="904">
        <v>4</v>
      </c>
      <c r="DN45" s="903"/>
      <c r="DO45" s="903"/>
      <c r="DP45" s="904">
        <v>33</v>
      </c>
      <c r="DQ45" s="905">
        <f>+(DP44+DP43)/DP45</f>
        <v>9.0909090909090912E-2</v>
      </c>
      <c r="DS45" s="121"/>
      <c r="DT45" s="121"/>
      <c r="DU45" s="74"/>
      <c r="DV45" s="74" t="s">
        <v>1398</v>
      </c>
      <c r="DW45" s="121"/>
      <c r="DX45" s="121"/>
      <c r="DY45" s="121">
        <v>2</v>
      </c>
      <c r="DZ45" s="121">
        <v>1</v>
      </c>
      <c r="EA45" s="121">
        <v>0</v>
      </c>
      <c r="EB45" s="121">
        <v>0</v>
      </c>
      <c r="EC45" s="121">
        <v>0</v>
      </c>
      <c r="ED45" s="121"/>
      <c r="EE45" s="121"/>
      <c r="EF45" s="121"/>
      <c r="EG45" s="121">
        <v>3</v>
      </c>
      <c r="EH45" s="74"/>
      <c r="EI45" s="74"/>
      <c r="EJ45" s="793"/>
      <c r="EK45" s="793"/>
      <c r="EL45" s="793"/>
      <c r="EM45" s="793" t="s">
        <v>1284</v>
      </c>
      <c r="EN45" s="793">
        <v>0</v>
      </c>
      <c r="EO45" s="793">
        <v>0</v>
      </c>
      <c r="EP45" s="793">
        <v>0</v>
      </c>
      <c r="EQ45" s="793">
        <v>0</v>
      </c>
      <c r="ER45" s="793">
        <v>0</v>
      </c>
      <c r="ES45" s="793">
        <v>0</v>
      </c>
      <c r="ET45" s="793">
        <v>1</v>
      </c>
      <c r="EU45" s="793">
        <v>1</v>
      </c>
      <c r="EV45" s="793">
        <v>0</v>
      </c>
      <c r="EW45" s="793">
        <v>0</v>
      </c>
      <c r="EX45" s="793">
        <v>0</v>
      </c>
      <c r="EY45" s="794">
        <v>2</v>
      </c>
      <c r="EZ45" s="896"/>
      <c r="FA45" s="795"/>
    </row>
    <row r="46" spans="1:157">
      <c r="A46" s="73"/>
      <c r="B46" s="73"/>
      <c r="C46" s="73"/>
      <c r="D46" s="73" t="s">
        <v>1284</v>
      </c>
      <c r="E46" s="3261">
        <v>0</v>
      </c>
      <c r="F46" s="3261"/>
      <c r="G46" s="3261"/>
      <c r="H46" s="3261"/>
      <c r="I46" s="3261"/>
      <c r="J46" s="3261">
        <v>0</v>
      </c>
      <c r="K46" s="3261">
        <v>4</v>
      </c>
      <c r="L46" s="3261">
        <v>0</v>
      </c>
      <c r="M46" s="161"/>
      <c r="N46" s="161"/>
      <c r="O46" s="161">
        <v>4</v>
      </c>
      <c r="P46" s="73"/>
      <c r="R46" s="74"/>
      <c r="S46" s="74"/>
      <c r="T46" s="74"/>
      <c r="U46" s="74" t="s">
        <v>1284</v>
      </c>
      <c r="V46" s="3229"/>
      <c r="W46" s="3229">
        <v>1</v>
      </c>
      <c r="X46" s="3229"/>
      <c r="Y46" s="3229"/>
      <c r="Z46" s="3229">
        <v>0</v>
      </c>
      <c r="AA46" s="3229"/>
      <c r="AB46" s="3229"/>
      <c r="AC46" s="3229">
        <v>4</v>
      </c>
      <c r="AD46" s="3229">
        <v>0</v>
      </c>
      <c r="AE46" s="121"/>
      <c r="AF46" s="121"/>
      <c r="AG46" s="121">
        <v>5</v>
      </c>
      <c r="AJ46" s="161"/>
      <c r="AK46" s="161"/>
      <c r="AL46" s="73" t="s">
        <v>119</v>
      </c>
      <c r="AM46" s="73" t="s">
        <v>1284</v>
      </c>
      <c r="AN46" s="2600"/>
      <c r="AO46" s="2600">
        <v>1</v>
      </c>
      <c r="AP46" s="2600"/>
      <c r="AQ46" s="2600"/>
      <c r="AR46" s="2600"/>
      <c r="AS46" s="2600"/>
      <c r="AT46" s="2600"/>
      <c r="AU46" s="2600">
        <v>1</v>
      </c>
      <c r="AV46" s="2600">
        <v>1</v>
      </c>
      <c r="AW46" s="161">
        <v>1</v>
      </c>
      <c r="AX46" s="161">
        <v>0</v>
      </c>
      <c r="AY46" s="161">
        <v>4</v>
      </c>
      <c r="AZ46" s="161"/>
      <c r="BB46" s="2191"/>
      <c r="BC46" s="2191"/>
      <c r="BD46" s="2192"/>
      <c r="BE46" s="2193" t="s">
        <v>1293</v>
      </c>
      <c r="BF46" s="2194"/>
      <c r="BG46" s="2194"/>
      <c r="BH46" s="2195">
        <v>0</v>
      </c>
      <c r="BI46" s="2195">
        <v>0</v>
      </c>
      <c r="BJ46" s="2195">
        <v>0</v>
      </c>
      <c r="BK46" s="2195">
        <v>1</v>
      </c>
      <c r="BL46" s="2194"/>
      <c r="BM46" s="2194"/>
      <c r="BN46" s="963"/>
      <c r="BO46" s="963"/>
      <c r="BP46" s="964">
        <v>1</v>
      </c>
      <c r="BQ46" s="73"/>
      <c r="BS46" s="879"/>
      <c r="BT46" s="879"/>
      <c r="BU46" s="880"/>
      <c r="BV46" s="881" t="s">
        <v>1398</v>
      </c>
      <c r="BW46" s="883">
        <v>0</v>
      </c>
      <c r="BX46" s="882"/>
      <c r="BY46" s="882"/>
      <c r="BZ46" s="882"/>
      <c r="CA46" s="882"/>
      <c r="CB46" s="883">
        <v>0</v>
      </c>
      <c r="CC46" s="883">
        <v>1</v>
      </c>
      <c r="CD46" s="883">
        <v>0</v>
      </c>
      <c r="CE46" s="879"/>
      <c r="CF46" s="879"/>
      <c r="CG46" s="884">
        <v>1</v>
      </c>
      <c r="CH46" s="161"/>
      <c r="CJ46" s="885"/>
      <c r="CK46" s="885"/>
      <c r="CL46" s="885"/>
      <c r="CM46" s="886" t="s">
        <v>1293</v>
      </c>
      <c r="CN46" s="887"/>
      <c r="CO46" s="888">
        <v>0</v>
      </c>
      <c r="CP46" s="887"/>
      <c r="CQ46" s="888">
        <v>0</v>
      </c>
      <c r="CR46" s="887"/>
      <c r="CS46" s="887"/>
      <c r="CT46" s="888">
        <v>2</v>
      </c>
      <c r="CU46" s="888">
        <v>0</v>
      </c>
      <c r="CV46" s="888">
        <v>0</v>
      </c>
      <c r="CW46" s="889"/>
      <c r="CX46" s="889"/>
      <c r="CY46" s="890">
        <v>2</v>
      </c>
      <c r="CZ46" s="891"/>
      <c r="DS46" s="121"/>
      <c r="DT46" s="121"/>
      <c r="DU46" s="74"/>
      <c r="DV46" s="761" t="s">
        <v>15</v>
      </c>
      <c r="DW46" s="729"/>
      <c r="DX46" s="729"/>
      <c r="DY46" s="729">
        <v>27</v>
      </c>
      <c r="DZ46" s="729">
        <v>8</v>
      </c>
      <c r="EA46" s="729">
        <v>4</v>
      </c>
      <c r="EB46" s="729">
        <v>5</v>
      </c>
      <c r="EC46" s="729">
        <v>2</v>
      </c>
      <c r="ED46" s="729"/>
      <c r="EE46" s="729"/>
      <c r="EF46" s="729"/>
      <c r="EG46" s="729">
        <v>46</v>
      </c>
      <c r="EH46" s="813">
        <f>+(EG41+EG44+EG45)/EG46</f>
        <v>0.2391304347826087</v>
      </c>
      <c r="EI46" s="74"/>
      <c r="EJ46" s="793"/>
      <c r="EK46" s="793"/>
      <c r="EL46" s="793"/>
      <c r="EM46" s="793" t="s">
        <v>1286</v>
      </c>
      <c r="EN46" s="793">
        <v>0</v>
      </c>
      <c r="EO46" s="793">
        <v>1</v>
      </c>
      <c r="EP46" s="793">
        <v>1</v>
      </c>
      <c r="EQ46" s="793">
        <v>0</v>
      </c>
      <c r="ER46" s="793">
        <v>0</v>
      </c>
      <c r="ES46" s="793">
        <v>0</v>
      </c>
      <c r="ET46" s="793">
        <v>0</v>
      </c>
      <c r="EU46" s="793">
        <v>0</v>
      </c>
      <c r="EV46" s="793">
        <v>0</v>
      </c>
      <c r="EW46" s="793">
        <v>0</v>
      </c>
      <c r="EX46" s="793">
        <v>0</v>
      </c>
      <c r="EY46" s="794">
        <v>2</v>
      </c>
      <c r="EZ46" s="896"/>
      <c r="FA46" s="795"/>
    </row>
    <row r="47" spans="1:157">
      <c r="A47" s="73"/>
      <c r="B47" s="73"/>
      <c r="C47" s="73"/>
      <c r="D47" s="73" t="s">
        <v>1286</v>
      </c>
      <c r="E47" s="3261">
        <v>1</v>
      </c>
      <c r="F47" s="3261"/>
      <c r="G47" s="3261"/>
      <c r="H47" s="3261"/>
      <c r="I47" s="3261"/>
      <c r="J47" s="3261">
        <v>0</v>
      </c>
      <c r="K47" s="3261">
        <v>0</v>
      </c>
      <c r="L47" s="3261">
        <v>0</v>
      </c>
      <c r="M47" s="161"/>
      <c r="N47" s="161"/>
      <c r="O47" s="161">
        <v>1</v>
      </c>
      <c r="P47" s="73"/>
      <c r="R47" s="74"/>
      <c r="S47" s="74"/>
      <c r="T47" s="74"/>
      <c r="U47" s="74" t="s">
        <v>1289</v>
      </c>
      <c r="V47" s="3229"/>
      <c r="W47" s="3229">
        <v>0</v>
      </c>
      <c r="X47" s="3229"/>
      <c r="Y47" s="3229"/>
      <c r="Z47" s="3229">
        <v>1</v>
      </c>
      <c r="AA47" s="3229"/>
      <c r="AB47" s="3229"/>
      <c r="AC47" s="3229">
        <v>0</v>
      </c>
      <c r="AD47" s="3229">
        <v>0</v>
      </c>
      <c r="AE47" s="121"/>
      <c r="AF47" s="121"/>
      <c r="AG47" s="121">
        <v>1</v>
      </c>
      <c r="AJ47" s="161"/>
      <c r="AK47" s="161"/>
      <c r="AL47" s="73"/>
      <c r="AM47" s="73" t="s">
        <v>1286</v>
      </c>
      <c r="AN47" s="2600"/>
      <c r="AO47" s="2600">
        <v>1</v>
      </c>
      <c r="AP47" s="2600"/>
      <c r="AQ47" s="2600"/>
      <c r="AR47" s="2600"/>
      <c r="AS47" s="2600"/>
      <c r="AT47" s="2600"/>
      <c r="AU47" s="2600">
        <v>0</v>
      </c>
      <c r="AV47" s="2600">
        <v>0</v>
      </c>
      <c r="AW47" s="161">
        <v>0</v>
      </c>
      <c r="AX47" s="161">
        <v>0</v>
      </c>
      <c r="AY47" s="161">
        <v>1</v>
      </c>
      <c r="AZ47" s="161"/>
      <c r="BB47" s="2191"/>
      <c r="BC47" s="2191"/>
      <c r="BD47" s="2192"/>
      <c r="BE47" s="2193" t="s">
        <v>1398</v>
      </c>
      <c r="BF47" s="2194"/>
      <c r="BG47" s="2194"/>
      <c r="BH47" s="2195">
        <v>0</v>
      </c>
      <c r="BI47" s="2195">
        <v>0</v>
      </c>
      <c r="BJ47" s="2195">
        <v>0</v>
      </c>
      <c r="BK47" s="2195">
        <v>4</v>
      </c>
      <c r="BL47" s="2194"/>
      <c r="BM47" s="2194"/>
      <c r="BN47" s="963"/>
      <c r="BO47" s="963"/>
      <c r="BP47" s="964">
        <v>4</v>
      </c>
      <c r="BQ47" s="73"/>
      <c r="BS47" s="879"/>
      <c r="BT47" s="879"/>
      <c r="BU47" s="880"/>
      <c r="BV47" s="907" t="s">
        <v>15</v>
      </c>
      <c r="BW47" s="909">
        <v>1</v>
      </c>
      <c r="BX47" s="908"/>
      <c r="BY47" s="908"/>
      <c r="BZ47" s="908"/>
      <c r="CA47" s="908"/>
      <c r="CB47" s="909">
        <v>5</v>
      </c>
      <c r="CC47" s="909">
        <v>6</v>
      </c>
      <c r="CD47" s="909">
        <v>3</v>
      </c>
      <c r="CE47" s="910"/>
      <c r="CF47" s="910"/>
      <c r="CG47" s="911">
        <v>15</v>
      </c>
      <c r="CH47" s="912">
        <f>+(CG44+CG45+CG46)/CG47</f>
        <v>0.6</v>
      </c>
      <c r="CJ47" s="885"/>
      <c r="CK47" s="885"/>
      <c r="CL47" s="885"/>
      <c r="CM47" s="886" t="s">
        <v>1398</v>
      </c>
      <c r="CN47" s="887"/>
      <c r="CO47" s="888">
        <v>0</v>
      </c>
      <c r="CP47" s="887"/>
      <c r="CQ47" s="888">
        <v>0</v>
      </c>
      <c r="CR47" s="887"/>
      <c r="CS47" s="887"/>
      <c r="CT47" s="888">
        <v>7</v>
      </c>
      <c r="CU47" s="888">
        <v>0</v>
      </c>
      <c r="CV47" s="888">
        <v>0</v>
      </c>
      <c r="CW47" s="889"/>
      <c r="CX47" s="889"/>
      <c r="CY47" s="890">
        <v>7</v>
      </c>
      <c r="CZ47" s="891"/>
      <c r="DB47" s="892" t="s">
        <v>25</v>
      </c>
      <c r="DC47" s="892" t="s">
        <v>4</v>
      </c>
      <c r="DD47" s="892" t="s">
        <v>121</v>
      </c>
      <c r="DE47" s="893" t="s">
        <v>1283</v>
      </c>
      <c r="DF47" s="894"/>
      <c r="DG47" s="894"/>
      <c r="DH47" s="894"/>
      <c r="DI47" s="894"/>
      <c r="DJ47" s="894"/>
      <c r="DK47" s="894"/>
      <c r="DL47" s="895">
        <v>0</v>
      </c>
      <c r="DM47" s="895">
        <v>0</v>
      </c>
      <c r="DN47" s="895">
        <v>1</v>
      </c>
      <c r="DO47" s="894"/>
      <c r="DP47" s="895">
        <v>1</v>
      </c>
      <c r="DQ47" s="792"/>
      <c r="DS47" s="121" t="s">
        <v>25</v>
      </c>
      <c r="DT47" s="121" t="s">
        <v>4</v>
      </c>
      <c r="DU47" s="74" t="s">
        <v>121</v>
      </c>
      <c r="DV47" s="74" t="s">
        <v>1283</v>
      </c>
      <c r="DW47" s="121"/>
      <c r="DX47" s="121"/>
      <c r="DY47" s="121"/>
      <c r="DZ47" s="121"/>
      <c r="EA47" s="121"/>
      <c r="EB47" s="121"/>
      <c r="EC47" s="121">
        <v>0</v>
      </c>
      <c r="ED47" s="121">
        <v>1</v>
      </c>
      <c r="EE47" s="121"/>
      <c r="EF47" s="121">
        <v>1</v>
      </c>
      <c r="EG47" s="121">
        <v>2</v>
      </c>
      <c r="EH47" s="74"/>
      <c r="EI47" s="74"/>
      <c r="EJ47" s="793"/>
      <c r="EK47" s="793"/>
      <c r="EL47" s="793"/>
      <c r="EM47" s="793" t="s">
        <v>1288</v>
      </c>
      <c r="EN47" s="793">
        <v>0</v>
      </c>
      <c r="EO47" s="793">
        <v>0</v>
      </c>
      <c r="EP47" s="793">
        <v>0</v>
      </c>
      <c r="EQ47" s="793">
        <v>0</v>
      </c>
      <c r="ER47" s="793">
        <v>0</v>
      </c>
      <c r="ES47" s="793">
        <v>0</v>
      </c>
      <c r="ET47" s="793">
        <v>0</v>
      </c>
      <c r="EU47" s="793">
        <v>2</v>
      </c>
      <c r="EV47" s="793">
        <v>0</v>
      </c>
      <c r="EW47" s="793">
        <v>0</v>
      </c>
      <c r="EX47" s="793">
        <v>0</v>
      </c>
      <c r="EY47" s="794">
        <v>2</v>
      </c>
      <c r="EZ47" s="896"/>
      <c r="FA47" s="795"/>
    </row>
    <row r="48" spans="1:157">
      <c r="A48" s="73"/>
      <c r="B48" s="73"/>
      <c r="C48" s="73"/>
      <c r="D48" s="73" t="s">
        <v>1288</v>
      </c>
      <c r="E48" s="3261">
        <v>0</v>
      </c>
      <c r="F48" s="3261"/>
      <c r="G48" s="3261"/>
      <c r="H48" s="3261"/>
      <c r="I48" s="3261"/>
      <c r="J48" s="3261">
        <v>2</v>
      </c>
      <c r="K48" s="3261">
        <v>2</v>
      </c>
      <c r="L48" s="3261">
        <v>0</v>
      </c>
      <c r="M48" s="161"/>
      <c r="N48" s="161"/>
      <c r="O48" s="161">
        <v>4</v>
      </c>
      <c r="P48" s="73"/>
      <c r="R48" s="74"/>
      <c r="S48" s="74"/>
      <c r="T48" s="74"/>
      <c r="U48" s="74" t="s">
        <v>1292</v>
      </c>
      <c r="V48" s="3229"/>
      <c r="W48" s="3229">
        <v>0</v>
      </c>
      <c r="X48" s="3229"/>
      <c r="Y48" s="3229"/>
      <c r="Z48" s="3229">
        <v>0</v>
      </c>
      <c r="AA48" s="3229"/>
      <c r="AB48" s="3229"/>
      <c r="AC48" s="3229">
        <v>0</v>
      </c>
      <c r="AD48" s="3229">
        <v>6</v>
      </c>
      <c r="AE48" s="121"/>
      <c r="AF48" s="121"/>
      <c r="AG48" s="121">
        <v>6</v>
      </c>
      <c r="AJ48" s="161"/>
      <c r="AK48" s="161"/>
      <c r="AL48" s="73"/>
      <c r="AM48" s="73" t="s">
        <v>1292</v>
      </c>
      <c r="AN48" s="2600"/>
      <c r="AO48" s="2600">
        <v>0</v>
      </c>
      <c r="AP48" s="2600"/>
      <c r="AQ48" s="2600"/>
      <c r="AR48" s="2600"/>
      <c r="AS48" s="2600"/>
      <c r="AT48" s="2600"/>
      <c r="AU48" s="2600">
        <v>0</v>
      </c>
      <c r="AV48" s="2600">
        <v>1</v>
      </c>
      <c r="AW48" s="161">
        <v>2</v>
      </c>
      <c r="AX48" s="161">
        <v>1</v>
      </c>
      <c r="AY48" s="161">
        <v>4</v>
      </c>
      <c r="AZ48" s="161"/>
      <c r="BB48" s="2191"/>
      <c r="BC48" s="2191"/>
      <c r="BD48" s="2192"/>
      <c r="BE48" s="760" t="s">
        <v>15</v>
      </c>
      <c r="BF48" s="2196"/>
      <c r="BG48" s="2196"/>
      <c r="BH48" s="2197">
        <v>2</v>
      </c>
      <c r="BI48" s="2197">
        <v>2</v>
      </c>
      <c r="BJ48" s="2197">
        <v>4</v>
      </c>
      <c r="BK48" s="2197">
        <v>17</v>
      </c>
      <c r="BL48" s="2196"/>
      <c r="BM48" s="2196"/>
      <c r="BN48" s="972"/>
      <c r="BO48" s="972"/>
      <c r="BP48" s="973">
        <v>25</v>
      </c>
      <c r="BQ48" s="2154">
        <f>+(BP45+BP46+BP47)/BP48</f>
        <v>0.24</v>
      </c>
      <c r="BS48" s="879"/>
      <c r="BT48" s="879"/>
      <c r="BU48" s="880" t="s">
        <v>533</v>
      </c>
      <c r="BV48" s="881" t="s">
        <v>1284</v>
      </c>
      <c r="BW48" s="882"/>
      <c r="BX48" s="882"/>
      <c r="BY48" s="882"/>
      <c r="BZ48" s="882"/>
      <c r="CA48" s="882"/>
      <c r="CB48" s="883">
        <v>3</v>
      </c>
      <c r="CC48" s="883">
        <v>3</v>
      </c>
      <c r="CD48" s="883">
        <v>0</v>
      </c>
      <c r="CE48" s="879"/>
      <c r="CF48" s="879"/>
      <c r="CG48" s="884">
        <v>6</v>
      </c>
      <c r="CH48" s="161"/>
      <c r="CJ48" s="885"/>
      <c r="CK48" s="885"/>
      <c r="CL48" s="885"/>
      <c r="CM48" s="897" t="s">
        <v>573</v>
      </c>
      <c r="CN48" s="898"/>
      <c r="CO48" s="899">
        <v>3</v>
      </c>
      <c r="CP48" s="898"/>
      <c r="CQ48" s="899">
        <v>1</v>
      </c>
      <c r="CR48" s="898"/>
      <c r="CS48" s="898"/>
      <c r="CT48" s="899">
        <v>37</v>
      </c>
      <c r="CU48" s="899">
        <v>1</v>
      </c>
      <c r="CV48" s="899">
        <v>6</v>
      </c>
      <c r="CW48" s="900"/>
      <c r="CX48" s="900"/>
      <c r="CY48" s="901">
        <v>48</v>
      </c>
      <c r="CZ48" s="891">
        <f>+(CY47+CY46+CY44)/CY48</f>
        <v>0.3125</v>
      </c>
      <c r="DB48" s="892"/>
      <c r="DC48" s="892"/>
      <c r="DD48" s="892"/>
      <c r="DE48" s="893" t="s">
        <v>1292</v>
      </c>
      <c r="DF48" s="894"/>
      <c r="DG48" s="894"/>
      <c r="DH48" s="894"/>
      <c r="DI48" s="894"/>
      <c r="DJ48" s="894"/>
      <c r="DK48" s="894"/>
      <c r="DL48" s="895">
        <v>1</v>
      </c>
      <c r="DM48" s="895">
        <v>2</v>
      </c>
      <c r="DN48" s="895">
        <v>2</v>
      </c>
      <c r="DO48" s="894"/>
      <c r="DP48" s="895">
        <v>5</v>
      </c>
      <c r="DQ48" s="792"/>
      <c r="DS48" s="121"/>
      <c r="DT48" s="121"/>
      <c r="DU48" s="74"/>
      <c r="DV48" s="74" t="s">
        <v>1284</v>
      </c>
      <c r="DW48" s="121"/>
      <c r="DX48" s="121"/>
      <c r="DY48" s="121"/>
      <c r="DZ48" s="121"/>
      <c r="EA48" s="121"/>
      <c r="EB48" s="121"/>
      <c r="EC48" s="121">
        <v>1</v>
      </c>
      <c r="ED48" s="121">
        <v>0</v>
      </c>
      <c r="EE48" s="121"/>
      <c r="EF48" s="121">
        <v>0</v>
      </c>
      <c r="EG48" s="121">
        <v>1</v>
      </c>
      <c r="EH48" s="74"/>
      <c r="EI48" s="74"/>
      <c r="EJ48" s="793"/>
      <c r="EK48" s="793"/>
      <c r="EL48" s="793"/>
      <c r="EM48" s="793" t="s">
        <v>1289</v>
      </c>
      <c r="EN48" s="793">
        <v>0</v>
      </c>
      <c r="EO48" s="793">
        <v>0</v>
      </c>
      <c r="EP48" s="793">
        <v>0</v>
      </c>
      <c r="EQ48" s="793">
        <v>0</v>
      </c>
      <c r="ER48" s="793">
        <v>1</v>
      </c>
      <c r="ES48" s="793">
        <v>0</v>
      </c>
      <c r="ET48" s="793">
        <v>0</v>
      </c>
      <c r="EU48" s="793">
        <v>0</v>
      </c>
      <c r="EV48" s="793">
        <v>0</v>
      </c>
      <c r="EW48" s="793">
        <v>0</v>
      </c>
      <c r="EX48" s="793">
        <v>0</v>
      </c>
      <c r="EY48" s="794">
        <v>1</v>
      </c>
      <c r="EZ48" s="896"/>
      <c r="FA48" s="795"/>
    </row>
    <row r="49" spans="1:157">
      <c r="A49" s="73"/>
      <c r="B49" s="73"/>
      <c r="C49" s="73"/>
      <c r="D49" s="73" t="s">
        <v>1292</v>
      </c>
      <c r="E49" s="3261">
        <v>0</v>
      </c>
      <c r="F49" s="3261"/>
      <c r="G49" s="3261"/>
      <c r="H49" s="3261"/>
      <c r="I49" s="3261"/>
      <c r="J49" s="3261">
        <v>0</v>
      </c>
      <c r="K49" s="3261">
        <v>0</v>
      </c>
      <c r="L49" s="3261">
        <v>1</v>
      </c>
      <c r="M49" s="161"/>
      <c r="N49" s="161"/>
      <c r="O49" s="161">
        <v>1</v>
      </c>
      <c r="P49" s="73"/>
      <c r="R49" s="74"/>
      <c r="S49" s="74"/>
      <c r="T49" s="74"/>
      <c r="U49" s="74" t="s">
        <v>1293</v>
      </c>
      <c r="V49" s="3229"/>
      <c r="W49" s="3229">
        <v>0</v>
      </c>
      <c r="X49" s="3229"/>
      <c r="Y49" s="3229"/>
      <c r="Z49" s="3229">
        <v>0</v>
      </c>
      <c r="AA49" s="3229"/>
      <c r="AB49" s="3229"/>
      <c r="AC49" s="3229">
        <v>1</v>
      </c>
      <c r="AD49" s="3229">
        <v>0</v>
      </c>
      <c r="AE49" s="121"/>
      <c r="AF49" s="121"/>
      <c r="AG49" s="121">
        <v>1</v>
      </c>
      <c r="AJ49" s="161"/>
      <c r="AK49" s="161"/>
      <c r="AL49" s="73"/>
      <c r="AM49" s="73" t="s">
        <v>1293</v>
      </c>
      <c r="AN49" s="2600"/>
      <c r="AO49" s="2600">
        <v>0</v>
      </c>
      <c r="AP49" s="2600"/>
      <c r="AQ49" s="2600"/>
      <c r="AR49" s="2600"/>
      <c r="AS49" s="2600"/>
      <c r="AT49" s="2600"/>
      <c r="AU49" s="2600">
        <v>3</v>
      </c>
      <c r="AV49" s="2600">
        <v>1</v>
      </c>
      <c r="AW49" s="161">
        <v>0</v>
      </c>
      <c r="AX49" s="161">
        <v>0</v>
      </c>
      <c r="AY49" s="161">
        <v>4</v>
      </c>
      <c r="AZ49" s="161"/>
      <c r="BB49" s="2191"/>
      <c r="BC49" s="2191"/>
      <c r="BD49" s="2192" t="s">
        <v>120</v>
      </c>
      <c r="BE49" s="2193" t="s">
        <v>1284</v>
      </c>
      <c r="BF49" s="2195">
        <v>0</v>
      </c>
      <c r="BG49" s="2195">
        <v>0</v>
      </c>
      <c r="BH49" s="2194"/>
      <c r="BI49" s="2195">
        <v>1</v>
      </c>
      <c r="BJ49" s="2194"/>
      <c r="BK49" s="2195">
        <v>0</v>
      </c>
      <c r="BL49" s="2195">
        <v>3</v>
      </c>
      <c r="BM49" s="2195">
        <v>0</v>
      </c>
      <c r="BN49" s="963"/>
      <c r="BO49" s="963"/>
      <c r="BP49" s="964">
        <v>4</v>
      </c>
      <c r="BQ49" s="73"/>
      <c r="BS49" s="879"/>
      <c r="BT49" s="879"/>
      <c r="BU49" s="880"/>
      <c r="BV49" s="881" t="s">
        <v>1288</v>
      </c>
      <c r="BW49" s="882"/>
      <c r="BX49" s="882"/>
      <c r="BY49" s="882"/>
      <c r="BZ49" s="882"/>
      <c r="CA49" s="882"/>
      <c r="CB49" s="883">
        <v>1</v>
      </c>
      <c r="CC49" s="883">
        <v>0</v>
      </c>
      <c r="CD49" s="883">
        <v>0</v>
      </c>
      <c r="CE49" s="879"/>
      <c r="CF49" s="879"/>
      <c r="CG49" s="884">
        <v>1</v>
      </c>
      <c r="CH49" s="161"/>
      <c r="CJ49" s="885"/>
      <c r="CK49" s="885" t="s">
        <v>105</v>
      </c>
      <c r="CL49" s="885" t="s">
        <v>106</v>
      </c>
      <c r="CM49" s="886" t="s">
        <v>1284</v>
      </c>
      <c r="CN49" s="887"/>
      <c r="CO49" s="888">
        <v>0</v>
      </c>
      <c r="CP49" s="888">
        <v>0</v>
      </c>
      <c r="CQ49" s="888">
        <v>1</v>
      </c>
      <c r="CR49" s="888">
        <v>1</v>
      </c>
      <c r="CS49" s="888">
        <v>1</v>
      </c>
      <c r="CT49" s="888">
        <v>0</v>
      </c>
      <c r="CU49" s="887"/>
      <c r="CV49" s="887"/>
      <c r="CW49" s="889"/>
      <c r="CX49" s="889"/>
      <c r="CY49" s="890">
        <v>3</v>
      </c>
      <c r="CZ49" s="891"/>
      <c r="DB49" s="892"/>
      <c r="DC49" s="892"/>
      <c r="DD49" s="892"/>
      <c r="DE49" s="902" t="s">
        <v>15</v>
      </c>
      <c r="DF49" s="903"/>
      <c r="DG49" s="903"/>
      <c r="DH49" s="903"/>
      <c r="DI49" s="903"/>
      <c r="DJ49" s="903"/>
      <c r="DK49" s="903"/>
      <c r="DL49" s="904">
        <v>1</v>
      </c>
      <c r="DM49" s="904">
        <v>2</v>
      </c>
      <c r="DN49" s="904">
        <v>3</v>
      </c>
      <c r="DO49" s="903"/>
      <c r="DP49" s="904">
        <v>6</v>
      </c>
      <c r="DQ49" s="905">
        <v>0</v>
      </c>
      <c r="DS49" s="121"/>
      <c r="DT49" s="121"/>
      <c r="DU49" s="74"/>
      <c r="DV49" s="761" t="s">
        <v>15</v>
      </c>
      <c r="DW49" s="729"/>
      <c r="DX49" s="729"/>
      <c r="DY49" s="729"/>
      <c r="DZ49" s="729"/>
      <c r="EA49" s="729"/>
      <c r="EB49" s="729"/>
      <c r="EC49" s="729">
        <v>1</v>
      </c>
      <c r="ED49" s="729">
        <v>1</v>
      </c>
      <c r="EE49" s="729"/>
      <c r="EF49" s="729">
        <v>1</v>
      </c>
      <c r="EG49" s="729">
        <v>3</v>
      </c>
      <c r="EH49" s="815">
        <v>0</v>
      </c>
      <c r="EI49" s="74"/>
      <c r="EJ49" s="793"/>
      <c r="EK49" s="793"/>
      <c r="EL49" s="793"/>
      <c r="EM49" s="793" t="s">
        <v>1292</v>
      </c>
      <c r="EN49" s="793">
        <v>0</v>
      </c>
      <c r="EO49" s="793">
        <v>0</v>
      </c>
      <c r="EP49" s="793">
        <v>0</v>
      </c>
      <c r="EQ49" s="793">
        <v>0</v>
      </c>
      <c r="ER49" s="793">
        <v>0</v>
      </c>
      <c r="ES49" s="793">
        <v>0</v>
      </c>
      <c r="ET49" s="793">
        <v>0</v>
      </c>
      <c r="EU49" s="793">
        <v>1</v>
      </c>
      <c r="EV49" s="793">
        <v>6</v>
      </c>
      <c r="EW49" s="793">
        <v>2</v>
      </c>
      <c r="EX49" s="793">
        <v>1</v>
      </c>
      <c r="EY49" s="794">
        <v>10</v>
      </c>
      <c r="EZ49" s="896"/>
      <c r="FA49" s="795"/>
    </row>
    <row r="50" spans="1:157">
      <c r="A50" s="73"/>
      <c r="B50" s="73"/>
      <c r="C50" s="73"/>
      <c r="D50" s="73" t="s">
        <v>1293</v>
      </c>
      <c r="E50" s="3261">
        <v>0</v>
      </c>
      <c r="F50" s="3261"/>
      <c r="G50" s="3261"/>
      <c r="H50" s="3261"/>
      <c r="I50" s="3261"/>
      <c r="J50" s="3261">
        <v>0</v>
      </c>
      <c r="K50" s="3261">
        <v>2</v>
      </c>
      <c r="L50" s="3261">
        <v>0</v>
      </c>
      <c r="M50" s="161"/>
      <c r="N50" s="161"/>
      <c r="O50" s="161">
        <v>2</v>
      </c>
      <c r="P50" s="73"/>
      <c r="R50" s="74"/>
      <c r="S50" s="74"/>
      <c r="T50" s="74"/>
      <c r="U50" s="761" t="s">
        <v>15</v>
      </c>
      <c r="V50" s="3230"/>
      <c r="W50" s="3230">
        <v>1</v>
      </c>
      <c r="X50" s="3230"/>
      <c r="Y50" s="3230"/>
      <c r="Z50" s="3230">
        <v>1</v>
      </c>
      <c r="AA50" s="3230"/>
      <c r="AB50" s="3230"/>
      <c r="AC50" s="3230">
        <v>5</v>
      </c>
      <c r="AD50" s="3230">
        <v>10</v>
      </c>
      <c r="AE50" s="729"/>
      <c r="AF50" s="729"/>
      <c r="AG50" s="729">
        <v>17</v>
      </c>
      <c r="AH50" s="4681">
        <f>+AG49/AG50</f>
        <v>5.8823529411764705E-2</v>
      </c>
      <c r="AJ50" s="161"/>
      <c r="AK50" s="161"/>
      <c r="AL50" s="73"/>
      <c r="AM50" s="73" t="s">
        <v>1398</v>
      </c>
      <c r="AN50" s="2600"/>
      <c r="AO50" s="2600">
        <v>0</v>
      </c>
      <c r="AP50" s="2600"/>
      <c r="AQ50" s="2600"/>
      <c r="AR50" s="2600"/>
      <c r="AS50" s="2600"/>
      <c r="AT50" s="2600"/>
      <c r="AU50" s="2600">
        <v>11</v>
      </c>
      <c r="AV50" s="2600">
        <v>0</v>
      </c>
      <c r="AW50" s="161">
        <v>0</v>
      </c>
      <c r="AX50" s="161">
        <v>0</v>
      </c>
      <c r="AY50" s="161">
        <v>11</v>
      </c>
      <c r="AZ50" s="161"/>
      <c r="BB50" s="2191"/>
      <c r="BC50" s="2191"/>
      <c r="BD50" s="2192"/>
      <c r="BE50" s="2193" t="s">
        <v>1286</v>
      </c>
      <c r="BF50" s="2195">
        <v>1</v>
      </c>
      <c r="BG50" s="2195">
        <v>1</v>
      </c>
      <c r="BH50" s="2194"/>
      <c r="BI50" s="2195">
        <v>0</v>
      </c>
      <c r="BJ50" s="2194"/>
      <c r="BK50" s="2195">
        <v>0</v>
      </c>
      <c r="BL50" s="2195">
        <v>0</v>
      </c>
      <c r="BM50" s="2195">
        <v>0</v>
      </c>
      <c r="BN50" s="963"/>
      <c r="BO50" s="963"/>
      <c r="BP50" s="964">
        <v>2</v>
      </c>
      <c r="BQ50" s="73"/>
      <c r="BS50" s="879"/>
      <c r="BT50" s="879"/>
      <c r="BU50" s="880"/>
      <c r="BV50" s="881" t="s">
        <v>1292</v>
      </c>
      <c r="BW50" s="882"/>
      <c r="BX50" s="882"/>
      <c r="BY50" s="882"/>
      <c r="BZ50" s="882"/>
      <c r="CA50" s="882"/>
      <c r="CB50" s="883">
        <v>0</v>
      </c>
      <c r="CC50" s="883">
        <v>0</v>
      </c>
      <c r="CD50" s="883">
        <v>1</v>
      </c>
      <c r="CE50" s="879"/>
      <c r="CF50" s="879"/>
      <c r="CG50" s="884">
        <v>1</v>
      </c>
      <c r="CH50" s="161"/>
      <c r="CJ50" s="885"/>
      <c r="CK50" s="885"/>
      <c r="CL50" s="885"/>
      <c r="CM50" s="886" t="s">
        <v>1288</v>
      </c>
      <c r="CN50" s="887"/>
      <c r="CO50" s="888">
        <v>0</v>
      </c>
      <c r="CP50" s="888">
        <v>0</v>
      </c>
      <c r="CQ50" s="888">
        <v>0</v>
      </c>
      <c r="CR50" s="888">
        <v>1</v>
      </c>
      <c r="CS50" s="888">
        <v>0</v>
      </c>
      <c r="CT50" s="888">
        <v>2</v>
      </c>
      <c r="CU50" s="887"/>
      <c r="CV50" s="887"/>
      <c r="CW50" s="889"/>
      <c r="CX50" s="889"/>
      <c r="CY50" s="890">
        <v>3</v>
      </c>
      <c r="CZ50" s="891"/>
      <c r="DB50" s="892"/>
      <c r="DC50" s="892"/>
      <c r="DD50" s="892" t="s">
        <v>122</v>
      </c>
      <c r="DE50" s="893" t="s">
        <v>1283</v>
      </c>
      <c r="DF50" s="894"/>
      <c r="DG50" s="894"/>
      <c r="DH50" s="894"/>
      <c r="DI50" s="895">
        <v>0</v>
      </c>
      <c r="DJ50" s="895">
        <v>0</v>
      </c>
      <c r="DK50" s="894"/>
      <c r="DL50" s="895">
        <v>0</v>
      </c>
      <c r="DM50" s="895">
        <v>1</v>
      </c>
      <c r="DN50" s="895">
        <v>1</v>
      </c>
      <c r="DO50" s="895">
        <v>3</v>
      </c>
      <c r="DP50" s="895">
        <v>5</v>
      </c>
      <c r="DQ50" s="792"/>
      <c r="DS50" s="121"/>
      <c r="DT50" s="121"/>
      <c r="DU50" s="74" t="s">
        <v>122</v>
      </c>
      <c r="DV50" s="74" t="s">
        <v>1283</v>
      </c>
      <c r="DW50" s="121">
        <v>0</v>
      </c>
      <c r="DX50" s="121"/>
      <c r="DY50" s="121"/>
      <c r="DZ50" s="121"/>
      <c r="EA50" s="121">
        <v>0</v>
      </c>
      <c r="EB50" s="121">
        <v>0</v>
      </c>
      <c r="EC50" s="121"/>
      <c r="ED50" s="121">
        <v>5</v>
      </c>
      <c r="EE50" s="121">
        <v>2</v>
      </c>
      <c r="EF50" s="121"/>
      <c r="EG50" s="121">
        <v>7</v>
      </c>
      <c r="EH50" s="74"/>
      <c r="EI50" s="74"/>
      <c r="EJ50" s="793"/>
      <c r="EK50" s="793"/>
      <c r="EL50" s="793"/>
      <c r="EM50" s="793" t="s">
        <v>1398</v>
      </c>
      <c r="EN50" s="793">
        <v>0</v>
      </c>
      <c r="EO50" s="793">
        <v>0</v>
      </c>
      <c r="EP50" s="793">
        <v>0</v>
      </c>
      <c r="EQ50" s="793">
        <v>0</v>
      </c>
      <c r="ER50" s="793">
        <v>0</v>
      </c>
      <c r="ES50" s="793">
        <v>0</v>
      </c>
      <c r="ET50" s="793">
        <v>1</v>
      </c>
      <c r="EU50" s="793">
        <v>1</v>
      </c>
      <c r="EV50" s="793">
        <v>1</v>
      </c>
      <c r="EW50" s="793">
        <v>0</v>
      </c>
      <c r="EX50" s="793">
        <v>0</v>
      </c>
      <c r="EY50" s="794">
        <v>3</v>
      </c>
      <c r="EZ50" s="896"/>
      <c r="FA50" s="795"/>
    </row>
    <row r="51" spans="1:157">
      <c r="A51" s="73"/>
      <c r="B51" s="73"/>
      <c r="C51" s="73"/>
      <c r="D51" s="738" t="s">
        <v>15</v>
      </c>
      <c r="E51" s="3262">
        <v>1</v>
      </c>
      <c r="F51" s="3262"/>
      <c r="G51" s="3262"/>
      <c r="H51" s="3262"/>
      <c r="I51" s="3262"/>
      <c r="J51" s="3262">
        <v>2</v>
      </c>
      <c r="K51" s="3262">
        <v>8</v>
      </c>
      <c r="L51" s="3262">
        <v>2</v>
      </c>
      <c r="M51" s="4674"/>
      <c r="N51" s="4674"/>
      <c r="O51" s="4674">
        <v>13</v>
      </c>
      <c r="P51" s="912">
        <f>+(O50+O48)/O51</f>
        <v>0.46153846153846156</v>
      </c>
      <c r="Q51" s="3197"/>
      <c r="R51" s="74"/>
      <c r="S51" s="74"/>
      <c r="T51" s="74" t="s">
        <v>120</v>
      </c>
      <c r="U51" s="74" t="s">
        <v>1284</v>
      </c>
      <c r="V51" s="3229"/>
      <c r="W51" s="3229">
        <v>1</v>
      </c>
      <c r="X51" s="3229"/>
      <c r="Y51" s="3229"/>
      <c r="Z51" s="3229"/>
      <c r="AA51" s="3229"/>
      <c r="AB51" s="3229">
        <v>1</v>
      </c>
      <c r="AC51" s="3229">
        <v>0</v>
      </c>
      <c r="AD51" s="3229"/>
      <c r="AE51" s="121"/>
      <c r="AF51" s="121"/>
      <c r="AG51" s="121">
        <v>2</v>
      </c>
      <c r="AJ51" s="161"/>
      <c r="AK51" s="161"/>
      <c r="AL51" s="73"/>
      <c r="AM51" s="738" t="s">
        <v>15</v>
      </c>
      <c r="AN51" s="2601"/>
      <c r="AO51" s="2601">
        <v>2</v>
      </c>
      <c r="AP51" s="2601"/>
      <c r="AQ51" s="2601"/>
      <c r="AR51" s="2601"/>
      <c r="AS51" s="2601"/>
      <c r="AT51" s="2601"/>
      <c r="AU51" s="2601">
        <v>15</v>
      </c>
      <c r="AV51" s="2601">
        <v>3</v>
      </c>
      <c r="AW51" s="151">
        <v>3</v>
      </c>
      <c r="AX51" s="151">
        <v>1</v>
      </c>
      <c r="AY51" s="151">
        <v>24</v>
      </c>
      <c r="AZ51" s="912">
        <f>+(AY49+AY50)/AY51</f>
        <v>0.625</v>
      </c>
      <c r="BB51" s="2191"/>
      <c r="BC51" s="2191"/>
      <c r="BD51" s="2192"/>
      <c r="BE51" s="2193" t="s">
        <v>1292</v>
      </c>
      <c r="BF51" s="2195">
        <v>0</v>
      </c>
      <c r="BG51" s="2195">
        <v>0</v>
      </c>
      <c r="BH51" s="2194"/>
      <c r="BI51" s="2195">
        <v>0</v>
      </c>
      <c r="BJ51" s="2194"/>
      <c r="BK51" s="2195">
        <v>0</v>
      </c>
      <c r="BL51" s="2195">
        <v>0</v>
      </c>
      <c r="BM51" s="2195">
        <v>5</v>
      </c>
      <c r="BN51" s="963"/>
      <c r="BO51" s="963"/>
      <c r="BP51" s="964">
        <v>5</v>
      </c>
      <c r="BQ51" s="73"/>
      <c r="BS51" s="879"/>
      <c r="BT51" s="879"/>
      <c r="BU51" s="880"/>
      <c r="BV51" s="881" t="s">
        <v>1293</v>
      </c>
      <c r="BW51" s="882"/>
      <c r="BX51" s="882"/>
      <c r="BY51" s="882"/>
      <c r="BZ51" s="882"/>
      <c r="CA51" s="882"/>
      <c r="CB51" s="883">
        <v>3</v>
      </c>
      <c r="CC51" s="883">
        <v>1</v>
      </c>
      <c r="CD51" s="883">
        <v>0</v>
      </c>
      <c r="CE51" s="879"/>
      <c r="CF51" s="879"/>
      <c r="CG51" s="884">
        <v>4</v>
      </c>
      <c r="CH51" s="161"/>
      <c r="CJ51" s="885"/>
      <c r="CK51" s="885"/>
      <c r="CL51" s="885"/>
      <c r="CM51" s="886" t="s">
        <v>1289</v>
      </c>
      <c r="CN51" s="887"/>
      <c r="CO51" s="888">
        <v>1</v>
      </c>
      <c r="CP51" s="888">
        <v>2</v>
      </c>
      <c r="CQ51" s="888">
        <v>15</v>
      </c>
      <c r="CR51" s="888">
        <v>10</v>
      </c>
      <c r="CS51" s="888">
        <v>10</v>
      </c>
      <c r="CT51" s="888">
        <v>5</v>
      </c>
      <c r="CU51" s="887"/>
      <c r="CV51" s="887"/>
      <c r="CW51" s="889"/>
      <c r="CX51" s="889"/>
      <c r="CY51" s="890">
        <v>43</v>
      </c>
      <c r="CZ51" s="891"/>
      <c r="DB51" s="892"/>
      <c r="DC51" s="892"/>
      <c r="DD51" s="892"/>
      <c r="DE51" s="893" t="s">
        <v>1284</v>
      </c>
      <c r="DF51" s="894"/>
      <c r="DG51" s="894"/>
      <c r="DH51" s="894"/>
      <c r="DI51" s="895">
        <v>1</v>
      </c>
      <c r="DJ51" s="895">
        <v>0</v>
      </c>
      <c r="DK51" s="894"/>
      <c r="DL51" s="895">
        <v>1</v>
      </c>
      <c r="DM51" s="895">
        <v>1</v>
      </c>
      <c r="DN51" s="895">
        <v>1</v>
      </c>
      <c r="DO51" s="895">
        <v>0</v>
      </c>
      <c r="DP51" s="895">
        <v>4</v>
      </c>
      <c r="DQ51" s="792"/>
      <c r="DS51" s="121"/>
      <c r="DT51" s="121"/>
      <c r="DU51" s="74"/>
      <c r="DV51" s="74" t="s">
        <v>1284</v>
      </c>
      <c r="DW51" s="121">
        <v>1</v>
      </c>
      <c r="DX51" s="121"/>
      <c r="DY51" s="121"/>
      <c r="DZ51" s="121"/>
      <c r="EA51" s="121">
        <v>0</v>
      </c>
      <c r="EB51" s="121">
        <v>0</v>
      </c>
      <c r="EC51" s="121"/>
      <c r="ED51" s="121">
        <v>0</v>
      </c>
      <c r="EE51" s="121">
        <v>0</v>
      </c>
      <c r="EF51" s="121"/>
      <c r="EG51" s="121">
        <v>1</v>
      </c>
      <c r="EH51" s="74"/>
      <c r="EI51" s="74"/>
      <c r="EJ51" s="793"/>
      <c r="EK51" s="793"/>
      <c r="EL51" s="793"/>
      <c r="EM51" s="796" t="s">
        <v>15</v>
      </c>
      <c r="EN51" s="796">
        <v>0</v>
      </c>
      <c r="EO51" s="796">
        <v>1</v>
      </c>
      <c r="EP51" s="796">
        <v>1</v>
      </c>
      <c r="EQ51" s="796">
        <v>0</v>
      </c>
      <c r="ER51" s="796">
        <v>1</v>
      </c>
      <c r="ES51" s="796">
        <v>0</v>
      </c>
      <c r="ET51" s="796">
        <v>2</v>
      </c>
      <c r="EU51" s="796">
        <v>5</v>
      </c>
      <c r="EV51" s="796">
        <v>10</v>
      </c>
      <c r="EW51" s="796">
        <v>3</v>
      </c>
      <c r="EX51" s="796">
        <v>2</v>
      </c>
      <c r="EY51" s="856">
        <v>25</v>
      </c>
      <c r="EZ51" s="906">
        <f>+(EY50+EY47)/EY51</f>
        <v>0.2</v>
      </c>
      <c r="FA51" s="795">
        <f>+EY47+EY50</f>
        <v>5</v>
      </c>
    </row>
    <row r="52" spans="1:157">
      <c r="A52" s="73"/>
      <c r="B52" s="73"/>
      <c r="C52" s="73" t="s">
        <v>533</v>
      </c>
      <c r="D52" s="73" t="s">
        <v>1283</v>
      </c>
      <c r="E52" s="3261"/>
      <c r="F52" s="3261"/>
      <c r="G52" s="3261"/>
      <c r="H52" s="3261"/>
      <c r="I52" s="3261"/>
      <c r="J52" s="3261">
        <v>0</v>
      </c>
      <c r="K52" s="3261">
        <v>2</v>
      </c>
      <c r="L52" s="3261"/>
      <c r="M52" s="161"/>
      <c r="N52" s="161"/>
      <c r="O52" s="161">
        <v>2</v>
      </c>
      <c r="P52" s="73"/>
      <c r="R52" s="74"/>
      <c r="S52" s="74"/>
      <c r="T52" s="74"/>
      <c r="U52" s="74" t="s">
        <v>1292</v>
      </c>
      <c r="V52" s="3229"/>
      <c r="W52" s="3229">
        <v>0</v>
      </c>
      <c r="X52" s="3229"/>
      <c r="Y52" s="3229"/>
      <c r="Z52" s="3229"/>
      <c r="AA52" s="3229"/>
      <c r="AB52" s="3229">
        <v>0</v>
      </c>
      <c r="AC52" s="3229">
        <v>1</v>
      </c>
      <c r="AD52" s="3229"/>
      <c r="AE52" s="121"/>
      <c r="AF52" s="121"/>
      <c r="AG52" s="121">
        <v>1</v>
      </c>
      <c r="AJ52" s="161"/>
      <c r="AK52" s="161"/>
      <c r="AL52" s="73" t="s">
        <v>533</v>
      </c>
      <c r="AM52" s="73" t="s">
        <v>1283</v>
      </c>
      <c r="AN52" s="2600">
        <v>0</v>
      </c>
      <c r="AO52" s="2600"/>
      <c r="AP52" s="2600"/>
      <c r="AQ52" s="2600"/>
      <c r="AR52" s="2600"/>
      <c r="AS52" s="2600"/>
      <c r="AT52" s="2600">
        <v>0</v>
      </c>
      <c r="AU52" s="2600">
        <v>4</v>
      </c>
      <c r="AV52" s="2600"/>
      <c r="AW52" s="161"/>
      <c r="AX52" s="161"/>
      <c r="AY52" s="161">
        <v>4</v>
      </c>
      <c r="AZ52" s="161"/>
      <c r="BB52" s="2191"/>
      <c r="BC52" s="2191"/>
      <c r="BD52" s="2192"/>
      <c r="BE52" s="2193" t="s">
        <v>1398</v>
      </c>
      <c r="BF52" s="2195">
        <v>0</v>
      </c>
      <c r="BG52" s="2195">
        <v>0</v>
      </c>
      <c r="BH52" s="2194"/>
      <c r="BI52" s="2195">
        <v>0</v>
      </c>
      <c r="BJ52" s="2194"/>
      <c r="BK52" s="2195">
        <v>1</v>
      </c>
      <c r="BL52" s="2195">
        <v>0</v>
      </c>
      <c r="BM52" s="2195">
        <v>0</v>
      </c>
      <c r="BN52" s="963"/>
      <c r="BO52" s="963"/>
      <c r="BP52" s="964">
        <v>1</v>
      </c>
      <c r="BQ52" s="73"/>
      <c r="BS52" s="879"/>
      <c r="BT52" s="879"/>
      <c r="BU52" s="880"/>
      <c r="BV52" s="907" t="s">
        <v>15</v>
      </c>
      <c r="BW52" s="908"/>
      <c r="BX52" s="908"/>
      <c r="BY52" s="908"/>
      <c r="BZ52" s="908"/>
      <c r="CA52" s="908"/>
      <c r="CB52" s="909">
        <v>7</v>
      </c>
      <c r="CC52" s="909">
        <v>4</v>
      </c>
      <c r="CD52" s="909">
        <v>1</v>
      </c>
      <c r="CE52" s="910"/>
      <c r="CF52" s="910"/>
      <c r="CG52" s="911">
        <v>12</v>
      </c>
      <c r="CH52" s="912">
        <f>+(CG49+CG51)/CG52</f>
        <v>0.41666666666666669</v>
      </c>
      <c r="CJ52" s="885"/>
      <c r="CK52" s="885"/>
      <c r="CL52" s="885"/>
      <c r="CM52" s="886" t="s">
        <v>1292</v>
      </c>
      <c r="CN52" s="887"/>
      <c r="CO52" s="888">
        <v>0</v>
      </c>
      <c r="CP52" s="888">
        <v>0</v>
      </c>
      <c r="CQ52" s="888">
        <v>0</v>
      </c>
      <c r="CR52" s="888">
        <v>0</v>
      </c>
      <c r="CS52" s="888">
        <v>2</v>
      </c>
      <c r="CT52" s="888">
        <v>0</v>
      </c>
      <c r="CU52" s="887"/>
      <c r="CV52" s="887"/>
      <c r="CW52" s="889"/>
      <c r="CX52" s="889"/>
      <c r="CY52" s="890">
        <v>2</v>
      </c>
      <c r="CZ52" s="891"/>
      <c r="DB52" s="892"/>
      <c r="DC52" s="892"/>
      <c r="DD52" s="892"/>
      <c r="DE52" s="893" t="s">
        <v>1288</v>
      </c>
      <c r="DF52" s="894"/>
      <c r="DG52" s="894"/>
      <c r="DH52" s="894"/>
      <c r="DI52" s="895">
        <v>0</v>
      </c>
      <c r="DJ52" s="895">
        <v>0</v>
      </c>
      <c r="DK52" s="894"/>
      <c r="DL52" s="895">
        <v>3</v>
      </c>
      <c r="DM52" s="895">
        <v>0</v>
      </c>
      <c r="DN52" s="895">
        <v>0</v>
      </c>
      <c r="DO52" s="895">
        <v>0</v>
      </c>
      <c r="DP52" s="895">
        <v>3</v>
      </c>
      <c r="DQ52" s="792"/>
      <c r="DS52" s="121"/>
      <c r="DT52" s="121"/>
      <c r="DU52" s="74"/>
      <c r="DV52" s="74" t="s">
        <v>1288</v>
      </c>
      <c r="DW52" s="121">
        <v>0</v>
      </c>
      <c r="DX52" s="121"/>
      <c r="DY52" s="121"/>
      <c r="DZ52" s="121"/>
      <c r="EA52" s="121">
        <v>0</v>
      </c>
      <c r="EB52" s="121">
        <v>2</v>
      </c>
      <c r="EC52" s="121"/>
      <c r="ED52" s="121">
        <v>0</v>
      </c>
      <c r="EE52" s="121">
        <v>0</v>
      </c>
      <c r="EF52" s="121"/>
      <c r="EG52" s="121">
        <v>2</v>
      </c>
      <c r="EH52" s="74"/>
      <c r="EI52" s="74"/>
      <c r="EJ52" s="793"/>
      <c r="EK52" s="793"/>
      <c r="EL52" s="793" t="s">
        <v>123</v>
      </c>
      <c r="EM52" s="793" t="s">
        <v>1283</v>
      </c>
      <c r="EN52" s="793">
        <v>0</v>
      </c>
      <c r="EO52" s="793">
        <v>0</v>
      </c>
      <c r="EP52" s="793">
        <v>0</v>
      </c>
      <c r="EQ52" s="793">
        <v>0</v>
      </c>
      <c r="ER52" s="793">
        <v>0</v>
      </c>
      <c r="ES52" s="793">
        <v>0</v>
      </c>
      <c r="ET52" s="793">
        <v>0</v>
      </c>
      <c r="EU52" s="793">
        <v>1</v>
      </c>
      <c r="EV52" s="793">
        <v>5</v>
      </c>
      <c r="EW52" s="793">
        <v>1</v>
      </c>
      <c r="EX52" s="793">
        <v>1</v>
      </c>
      <c r="EY52" s="794">
        <v>8</v>
      </c>
      <c r="EZ52" s="896"/>
      <c r="FA52" s="795"/>
    </row>
    <row r="53" spans="1:157">
      <c r="A53" s="73"/>
      <c r="B53" s="73"/>
      <c r="C53" s="73"/>
      <c r="D53" s="73" t="s">
        <v>1284</v>
      </c>
      <c r="E53" s="3261"/>
      <c r="F53" s="3261"/>
      <c r="G53" s="3261"/>
      <c r="H53" s="3261"/>
      <c r="I53" s="3261"/>
      <c r="J53" s="3261">
        <v>12</v>
      </c>
      <c r="K53" s="3261">
        <v>0</v>
      </c>
      <c r="L53" s="3261"/>
      <c r="M53" s="161"/>
      <c r="N53" s="161"/>
      <c r="O53" s="161">
        <v>12</v>
      </c>
      <c r="P53" s="73"/>
      <c r="R53" s="74"/>
      <c r="S53" s="74"/>
      <c r="T53" s="74"/>
      <c r="U53" s="74" t="s">
        <v>1293</v>
      </c>
      <c r="V53" s="3229"/>
      <c r="W53" s="3229">
        <v>0</v>
      </c>
      <c r="X53" s="3229"/>
      <c r="Y53" s="3229"/>
      <c r="Z53" s="3229"/>
      <c r="AA53" s="3229"/>
      <c r="AB53" s="3229">
        <v>3</v>
      </c>
      <c r="AC53" s="3229">
        <v>0</v>
      </c>
      <c r="AD53" s="3229"/>
      <c r="AE53" s="121"/>
      <c r="AF53" s="121"/>
      <c r="AG53" s="121">
        <v>3</v>
      </c>
      <c r="AJ53" s="161"/>
      <c r="AK53" s="161"/>
      <c r="AL53" s="73"/>
      <c r="AM53" s="73" t="s">
        <v>1284</v>
      </c>
      <c r="AN53" s="2600">
        <v>0</v>
      </c>
      <c r="AO53" s="2600"/>
      <c r="AP53" s="2600"/>
      <c r="AQ53" s="2600"/>
      <c r="AR53" s="2600"/>
      <c r="AS53" s="2600"/>
      <c r="AT53" s="2600">
        <v>6</v>
      </c>
      <c r="AU53" s="2600">
        <v>0</v>
      </c>
      <c r="AV53" s="2600"/>
      <c r="AW53" s="161"/>
      <c r="AX53" s="161"/>
      <c r="AY53" s="161">
        <v>6</v>
      </c>
      <c r="AZ53" s="161"/>
      <c r="BB53" s="2191"/>
      <c r="BC53" s="2191"/>
      <c r="BD53" s="2192"/>
      <c r="BE53" s="760" t="s">
        <v>15</v>
      </c>
      <c r="BF53" s="2197">
        <v>1</v>
      </c>
      <c r="BG53" s="2197">
        <v>1</v>
      </c>
      <c r="BH53" s="2196"/>
      <c r="BI53" s="2197">
        <v>1</v>
      </c>
      <c r="BJ53" s="2196"/>
      <c r="BK53" s="2197">
        <v>1</v>
      </c>
      <c r="BL53" s="2197">
        <v>3</v>
      </c>
      <c r="BM53" s="2197">
        <v>5</v>
      </c>
      <c r="BN53" s="972"/>
      <c r="BO53" s="972"/>
      <c r="BP53" s="973">
        <v>12</v>
      </c>
      <c r="BQ53" s="2154">
        <f>+BP52/BP53</f>
        <v>8.3333333333333329E-2</v>
      </c>
      <c r="BS53" s="879"/>
      <c r="BT53" s="879"/>
      <c r="BU53" s="880" t="s">
        <v>573</v>
      </c>
      <c r="BV53" s="881" t="s">
        <v>1284</v>
      </c>
      <c r="BW53" s="883">
        <v>0</v>
      </c>
      <c r="BX53" s="882"/>
      <c r="BY53" s="882"/>
      <c r="BZ53" s="882"/>
      <c r="CA53" s="882"/>
      <c r="CB53" s="883">
        <v>10</v>
      </c>
      <c r="CC53" s="883">
        <v>6</v>
      </c>
      <c r="CD53" s="883">
        <v>3</v>
      </c>
      <c r="CE53" s="879"/>
      <c r="CF53" s="879"/>
      <c r="CG53" s="884">
        <v>19</v>
      </c>
      <c r="CH53" s="161"/>
      <c r="CJ53" s="885"/>
      <c r="CK53" s="885"/>
      <c r="CL53" s="885"/>
      <c r="CM53" s="886" t="s">
        <v>1293</v>
      </c>
      <c r="CN53" s="887"/>
      <c r="CO53" s="888">
        <v>0</v>
      </c>
      <c r="CP53" s="888">
        <v>0</v>
      </c>
      <c r="CQ53" s="888">
        <v>0</v>
      </c>
      <c r="CR53" s="888">
        <v>1</v>
      </c>
      <c r="CS53" s="888">
        <v>1</v>
      </c>
      <c r="CT53" s="888">
        <v>0</v>
      </c>
      <c r="CU53" s="887"/>
      <c r="CV53" s="887"/>
      <c r="CW53" s="889"/>
      <c r="CX53" s="889"/>
      <c r="CY53" s="890">
        <v>2</v>
      </c>
      <c r="CZ53" s="891"/>
      <c r="DB53" s="892"/>
      <c r="DC53" s="892"/>
      <c r="DD53" s="892"/>
      <c r="DE53" s="893" t="s">
        <v>1289</v>
      </c>
      <c r="DF53" s="894"/>
      <c r="DG53" s="894"/>
      <c r="DH53" s="894"/>
      <c r="DI53" s="895">
        <v>0</v>
      </c>
      <c r="DJ53" s="895">
        <v>1</v>
      </c>
      <c r="DK53" s="894"/>
      <c r="DL53" s="895">
        <v>0</v>
      </c>
      <c r="DM53" s="895">
        <v>0</v>
      </c>
      <c r="DN53" s="895">
        <v>0</v>
      </c>
      <c r="DO53" s="895">
        <v>0</v>
      </c>
      <c r="DP53" s="895">
        <v>1</v>
      </c>
      <c r="DQ53" s="792"/>
      <c r="DS53" s="121"/>
      <c r="DT53" s="121"/>
      <c r="DU53" s="74"/>
      <c r="DV53" s="74" t="s">
        <v>1289</v>
      </c>
      <c r="DW53" s="121">
        <v>0</v>
      </c>
      <c r="DX53" s="121"/>
      <c r="DY53" s="121"/>
      <c r="DZ53" s="121"/>
      <c r="EA53" s="121">
        <v>1</v>
      </c>
      <c r="EB53" s="121">
        <v>0</v>
      </c>
      <c r="EC53" s="121"/>
      <c r="ED53" s="121">
        <v>0</v>
      </c>
      <c r="EE53" s="121">
        <v>0</v>
      </c>
      <c r="EF53" s="121"/>
      <c r="EG53" s="121">
        <v>1</v>
      </c>
      <c r="EH53" s="74"/>
      <c r="EI53" s="74"/>
      <c r="EJ53" s="793"/>
      <c r="EK53" s="793"/>
      <c r="EL53" s="793"/>
      <c r="EM53" s="793" t="s">
        <v>1284</v>
      </c>
      <c r="EN53" s="793">
        <v>0</v>
      </c>
      <c r="EO53" s="793">
        <v>0</v>
      </c>
      <c r="EP53" s="793">
        <v>0</v>
      </c>
      <c r="EQ53" s="793">
        <v>1</v>
      </c>
      <c r="ER53" s="793">
        <v>0</v>
      </c>
      <c r="ES53" s="793">
        <v>0</v>
      </c>
      <c r="ET53" s="793">
        <v>0</v>
      </c>
      <c r="EU53" s="793">
        <v>0</v>
      </c>
      <c r="EV53" s="793">
        <v>0</v>
      </c>
      <c r="EW53" s="793">
        <v>0</v>
      </c>
      <c r="EX53" s="793">
        <v>0</v>
      </c>
      <c r="EY53" s="794">
        <v>1</v>
      </c>
      <c r="EZ53" s="896"/>
      <c r="FA53" s="795"/>
    </row>
    <row r="54" spans="1:157">
      <c r="A54" s="73"/>
      <c r="B54" s="73"/>
      <c r="C54" s="73"/>
      <c r="D54" s="73" t="s">
        <v>1288</v>
      </c>
      <c r="E54" s="3261"/>
      <c r="F54" s="3261"/>
      <c r="G54" s="3261"/>
      <c r="H54" s="3261"/>
      <c r="I54" s="3261"/>
      <c r="J54" s="3261">
        <v>2</v>
      </c>
      <c r="K54" s="3261">
        <v>0</v>
      </c>
      <c r="L54" s="3261"/>
      <c r="M54" s="161"/>
      <c r="N54" s="161"/>
      <c r="O54" s="161">
        <v>2</v>
      </c>
      <c r="P54" s="73"/>
      <c r="R54" s="74"/>
      <c r="S54" s="74"/>
      <c r="T54" s="74"/>
      <c r="U54" s="761" t="s">
        <v>15</v>
      </c>
      <c r="V54" s="3230"/>
      <c r="W54" s="3230">
        <v>1</v>
      </c>
      <c r="X54" s="3230"/>
      <c r="Y54" s="3230"/>
      <c r="Z54" s="3230"/>
      <c r="AA54" s="3230"/>
      <c r="AB54" s="3230">
        <v>4</v>
      </c>
      <c r="AC54" s="3230">
        <v>1</v>
      </c>
      <c r="AD54" s="3230"/>
      <c r="AE54" s="729"/>
      <c r="AF54" s="729"/>
      <c r="AG54" s="729">
        <v>6</v>
      </c>
      <c r="AH54" s="4681">
        <f>+AG53/AG54</f>
        <v>0.5</v>
      </c>
      <c r="AJ54" s="161"/>
      <c r="AK54" s="161"/>
      <c r="AL54" s="73"/>
      <c r="AM54" s="73" t="s">
        <v>1288</v>
      </c>
      <c r="AN54" s="2600">
        <v>0</v>
      </c>
      <c r="AO54" s="2600"/>
      <c r="AP54" s="2600"/>
      <c r="AQ54" s="2600"/>
      <c r="AR54" s="2600"/>
      <c r="AS54" s="2600"/>
      <c r="AT54" s="2600">
        <v>1</v>
      </c>
      <c r="AU54" s="2600">
        <v>0</v>
      </c>
      <c r="AV54" s="2600"/>
      <c r="AW54" s="161"/>
      <c r="AX54" s="161"/>
      <c r="AY54" s="161">
        <v>1</v>
      </c>
      <c r="AZ54" s="161"/>
      <c r="BB54" s="2191"/>
      <c r="BC54" s="2191"/>
      <c r="BD54" s="2192" t="s">
        <v>573</v>
      </c>
      <c r="BE54" s="2193" t="s">
        <v>1283</v>
      </c>
      <c r="BF54" s="2195">
        <v>0</v>
      </c>
      <c r="BG54" s="2195">
        <v>0</v>
      </c>
      <c r="BH54" s="2195">
        <v>0</v>
      </c>
      <c r="BI54" s="2195">
        <v>0</v>
      </c>
      <c r="BJ54" s="2195">
        <v>0</v>
      </c>
      <c r="BK54" s="2195">
        <v>0</v>
      </c>
      <c r="BL54" s="2195">
        <v>2</v>
      </c>
      <c r="BM54" s="2195">
        <v>3</v>
      </c>
      <c r="BN54" s="963"/>
      <c r="BO54" s="963"/>
      <c r="BP54" s="964">
        <v>5</v>
      </c>
      <c r="BQ54" s="73"/>
      <c r="BS54" s="879"/>
      <c r="BT54" s="879"/>
      <c r="BU54" s="880"/>
      <c r="BV54" s="881" t="s">
        <v>1286</v>
      </c>
      <c r="BW54" s="883">
        <v>1</v>
      </c>
      <c r="BX54" s="882"/>
      <c r="BY54" s="882"/>
      <c r="BZ54" s="882"/>
      <c r="CA54" s="882"/>
      <c r="CB54" s="883">
        <v>0</v>
      </c>
      <c r="CC54" s="883">
        <v>0</v>
      </c>
      <c r="CD54" s="883">
        <v>0</v>
      </c>
      <c r="CE54" s="879"/>
      <c r="CF54" s="879"/>
      <c r="CG54" s="884">
        <v>1</v>
      </c>
      <c r="CH54" s="161"/>
      <c r="CJ54" s="885"/>
      <c r="CK54" s="885"/>
      <c r="CL54" s="885"/>
      <c r="CM54" s="886" t="s">
        <v>1398</v>
      </c>
      <c r="CN54" s="887"/>
      <c r="CO54" s="888">
        <v>0</v>
      </c>
      <c r="CP54" s="888">
        <v>0</v>
      </c>
      <c r="CQ54" s="888">
        <v>2</v>
      </c>
      <c r="CR54" s="888">
        <v>4</v>
      </c>
      <c r="CS54" s="888">
        <v>2</v>
      </c>
      <c r="CT54" s="888">
        <v>0</v>
      </c>
      <c r="CU54" s="887"/>
      <c r="CV54" s="887"/>
      <c r="CW54" s="889"/>
      <c r="CX54" s="889"/>
      <c r="CY54" s="890">
        <v>8</v>
      </c>
      <c r="CZ54" s="891"/>
      <c r="DB54" s="892"/>
      <c r="DC54" s="892"/>
      <c r="DD54" s="892"/>
      <c r="DE54" s="893" t="s">
        <v>1292</v>
      </c>
      <c r="DF54" s="894"/>
      <c r="DG54" s="894"/>
      <c r="DH54" s="894"/>
      <c r="DI54" s="895">
        <v>0</v>
      </c>
      <c r="DJ54" s="895">
        <v>0</v>
      </c>
      <c r="DK54" s="894"/>
      <c r="DL54" s="895">
        <v>0</v>
      </c>
      <c r="DM54" s="895">
        <v>6</v>
      </c>
      <c r="DN54" s="895">
        <v>1</v>
      </c>
      <c r="DO54" s="895">
        <v>0</v>
      </c>
      <c r="DP54" s="895">
        <v>7</v>
      </c>
      <c r="DQ54" s="792"/>
      <c r="DS54" s="121"/>
      <c r="DT54" s="121"/>
      <c r="DU54" s="74"/>
      <c r="DV54" s="74" t="s">
        <v>1292</v>
      </c>
      <c r="DW54" s="121">
        <v>0</v>
      </c>
      <c r="DX54" s="121"/>
      <c r="DY54" s="121"/>
      <c r="DZ54" s="121"/>
      <c r="EA54" s="121">
        <v>0</v>
      </c>
      <c r="EB54" s="121">
        <v>0</v>
      </c>
      <c r="EC54" s="121"/>
      <c r="ED54" s="121">
        <v>9</v>
      </c>
      <c r="EE54" s="121">
        <v>0</v>
      </c>
      <c r="EF54" s="121"/>
      <c r="EG54" s="121">
        <v>9</v>
      </c>
      <c r="EH54" s="74"/>
      <c r="EI54" s="74"/>
      <c r="EJ54" s="793"/>
      <c r="EK54" s="793"/>
      <c r="EL54" s="793"/>
      <c r="EM54" s="793" t="s">
        <v>1288</v>
      </c>
      <c r="EN54" s="793">
        <v>0</v>
      </c>
      <c r="EO54" s="793">
        <v>0</v>
      </c>
      <c r="EP54" s="793">
        <v>0</v>
      </c>
      <c r="EQ54" s="793">
        <v>0</v>
      </c>
      <c r="ER54" s="793">
        <v>0</v>
      </c>
      <c r="ES54" s="793">
        <v>0</v>
      </c>
      <c r="ET54" s="793">
        <v>0</v>
      </c>
      <c r="EU54" s="793">
        <v>1</v>
      </c>
      <c r="EV54" s="793">
        <v>0</v>
      </c>
      <c r="EW54" s="793">
        <v>0</v>
      </c>
      <c r="EX54" s="793">
        <v>0</v>
      </c>
      <c r="EY54" s="794">
        <v>1</v>
      </c>
      <c r="EZ54" s="896"/>
      <c r="FA54" s="795"/>
    </row>
    <row r="55" spans="1:157">
      <c r="A55" s="73"/>
      <c r="B55" s="73"/>
      <c r="C55" s="73"/>
      <c r="D55" s="73" t="s">
        <v>1293</v>
      </c>
      <c r="E55" s="3261"/>
      <c r="F55" s="3261"/>
      <c r="G55" s="3261"/>
      <c r="H55" s="3261"/>
      <c r="I55" s="3261"/>
      <c r="J55" s="3261">
        <v>1</v>
      </c>
      <c r="K55" s="3261">
        <v>0</v>
      </c>
      <c r="L55" s="3261"/>
      <c r="M55" s="161"/>
      <c r="N55" s="161"/>
      <c r="O55" s="161">
        <v>1</v>
      </c>
      <c r="P55" s="73"/>
      <c r="R55" s="74"/>
      <c r="S55" s="74"/>
      <c r="T55" s="74" t="s">
        <v>573</v>
      </c>
      <c r="U55" s="74" t="s">
        <v>1283</v>
      </c>
      <c r="V55" s="3229"/>
      <c r="W55" s="3229">
        <v>0</v>
      </c>
      <c r="X55" s="3229"/>
      <c r="Y55" s="3229"/>
      <c r="Z55" s="3229">
        <v>0</v>
      </c>
      <c r="AA55" s="3229">
        <v>0</v>
      </c>
      <c r="AB55" s="3229">
        <v>0</v>
      </c>
      <c r="AC55" s="3229">
        <v>0</v>
      </c>
      <c r="AD55" s="3229">
        <v>4</v>
      </c>
      <c r="AE55" s="121"/>
      <c r="AF55" s="121"/>
      <c r="AG55" s="121">
        <v>4</v>
      </c>
      <c r="AJ55" s="161"/>
      <c r="AK55" s="161"/>
      <c r="AL55" s="73"/>
      <c r="AM55" s="73" t="s">
        <v>1936</v>
      </c>
      <c r="AN55" s="2600">
        <v>1</v>
      </c>
      <c r="AO55" s="2600"/>
      <c r="AP55" s="2600"/>
      <c r="AQ55" s="2600"/>
      <c r="AR55" s="2600"/>
      <c r="AS55" s="2600"/>
      <c r="AT55" s="2600">
        <v>0</v>
      </c>
      <c r="AU55" s="2600">
        <v>0</v>
      </c>
      <c r="AV55" s="2600"/>
      <c r="AW55" s="161"/>
      <c r="AX55" s="161"/>
      <c r="AY55" s="161">
        <v>1</v>
      </c>
      <c r="AZ55" s="161"/>
      <c r="BB55" s="2191"/>
      <c r="BC55" s="2191"/>
      <c r="BD55" s="2192"/>
      <c r="BE55" s="2193" t="s">
        <v>1284</v>
      </c>
      <c r="BF55" s="2195">
        <v>0</v>
      </c>
      <c r="BG55" s="2195">
        <v>0</v>
      </c>
      <c r="BH55" s="2195">
        <v>2</v>
      </c>
      <c r="BI55" s="2195">
        <v>3</v>
      </c>
      <c r="BJ55" s="2195">
        <v>4</v>
      </c>
      <c r="BK55" s="2195">
        <v>17</v>
      </c>
      <c r="BL55" s="2195">
        <v>9</v>
      </c>
      <c r="BM55" s="2195">
        <v>0</v>
      </c>
      <c r="BN55" s="963"/>
      <c r="BO55" s="963"/>
      <c r="BP55" s="964">
        <v>35</v>
      </c>
      <c r="BQ55" s="73"/>
      <c r="BS55" s="879"/>
      <c r="BT55" s="879"/>
      <c r="BU55" s="880"/>
      <c r="BV55" s="881" t="s">
        <v>1288</v>
      </c>
      <c r="BW55" s="883">
        <v>0</v>
      </c>
      <c r="BX55" s="882"/>
      <c r="BY55" s="882"/>
      <c r="BZ55" s="882"/>
      <c r="CA55" s="882"/>
      <c r="CB55" s="883">
        <v>3</v>
      </c>
      <c r="CC55" s="883">
        <v>3</v>
      </c>
      <c r="CD55" s="883">
        <v>0</v>
      </c>
      <c r="CE55" s="879"/>
      <c r="CF55" s="879"/>
      <c r="CG55" s="884">
        <v>6</v>
      </c>
      <c r="CH55" s="161"/>
      <c r="CJ55" s="885"/>
      <c r="CK55" s="885"/>
      <c r="CL55" s="885"/>
      <c r="CM55" s="897" t="s">
        <v>15</v>
      </c>
      <c r="CN55" s="898"/>
      <c r="CO55" s="899">
        <v>1</v>
      </c>
      <c r="CP55" s="899">
        <v>2</v>
      </c>
      <c r="CQ55" s="899">
        <v>18</v>
      </c>
      <c r="CR55" s="899">
        <v>17</v>
      </c>
      <c r="CS55" s="899">
        <v>16</v>
      </c>
      <c r="CT55" s="899">
        <v>7</v>
      </c>
      <c r="CU55" s="898"/>
      <c r="CV55" s="898"/>
      <c r="CW55" s="900"/>
      <c r="CX55" s="900"/>
      <c r="CY55" s="901">
        <v>61</v>
      </c>
      <c r="CZ55" s="891">
        <f>+(CY54+CY53+CY50)/CY55</f>
        <v>0.21311475409836064</v>
      </c>
      <c r="DB55" s="892"/>
      <c r="DC55" s="892"/>
      <c r="DD55" s="892"/>
      <c r="DE55" s="902" t="s">
        <v>15</v>
      </c>
      <c r="DF55" s="903"/>
      <c r="DG55" s="903"/>
      <c r="DH55" s="903"/>
      <c r="DI55" s="904">
        <v>1</v>
      </c>
      <c r="DJ55" s="904">
        <v>1</v>
      </c>
      <c r="DK55" s="903"/>
      <c r="DL55" s="904">
        <v>4</v>
      </c>
      <c r="DM55" s="904">
        <v>8</v>
      </c>
      <c r="DN55" s="904">
        <v>3</v>
      </c>
      <c r="DO55" s="904">
        <v>3</v>
      </c>
      <c r="DP55" s="904">
        <v>20</v>
      </c>
      <c r="DQ55" s="905">
        <f>+DP52/DP55</f>
        <v>0.15</v>
      </c>
      <c r="DS55" s="121"/>
      <c r="DT55" s="121"/>
      <c r="DU55" s="74"/>
      <c r="DV55" s="761" t="s">
        <v>15</v>
      </c>
      <c r="DW55" s="729">
        <v>1</v>
      </c>
      <c r="DX55" s="729"/>
      <c r="DY55" s="729"/>
      <c r="DZ55" s="729"/>
      <c r="EA55" s="729">
        <v>1</v>
      </c>
      <c r="EB55" s="729">
        <v>2</v>
      </c>
      <c r="EC55" s="729"/>
      <c r="ED55" s="729">
        <v>14</v>
      </c>
      <c r="EE55" s="729">
        <v>2</v>
      </c>
      <c r="EF55" s="729"/>
      <c r="EG55" s="729">
        <v>20</v>
      </c>
      <c r="EH55" s="813">
        <f>+EG52/EG55</f>
        <v>0.1</v>
      </c>
      <c r="EI55" s="74"/>
      <c r="EJ55" s="793"/>
      <c r="EK55" s="793"/>
      <c r="EL55" s="793"/>
      <c r="EM55" s="793" t="s">
        <v>1292</v>
      </c>
      <c r="EN55" s="793">
        <v>0</v>
      </c>
      <c r="EO55" s="793">
        <v>0</v>
      </c>
      <c r="EP55" s="793">
        <v>0</v>
      </c>
      <c r="EQ55" s="793">
        <v>0</v>
      </c>
      <c r="ER55" s="793">
        <v>0</v>
      </c>
      <c r="ES55" s="793">
        <v>0</v>
      </c>
      <c r="ET55" s="793">
        <v>0</v>
      </c>
      <c r="EU55" s="793">
        <v>1</v>
      </c>
      <c r="EV55" s="793">
        <v>0</v>
      </c>
      <c r="EW55" s="793">
        <v>0</v>
      </c>
      <c r="EX55" s="793">
        <v>0</v>
      </c>
      <c r="EY55" s="794">
        <v>1</v>
      </c>
      <c r="EZ55" s="896"/>
      <c r="FA55" s="795"/>
    </row>
    <row r="56" spans="1:157">
      <c r="A56" s="73"/>
      <c r="B56" s="73"/>
      <c r="C56" s="73"/>
      <c r="D56" s="73" t="s">
        <v>1398</v>
      </c>
      <c r="E56" s="3261"/>
      <c r="F56" s="3261"/>
      <c r="G56" s="3261"/>
      <c r="H56" s="3261"/>
      <c r="I56" s="3261"/>
      <c r="J56" s="3261">
        <v>1</v>
      </c>
      <c r="K56" s="3261">
        <v>0</v>
      </c>
      <c r="L56" s="3261"/>
      <c r="M56" s="161"/>
      <c r="N56" s="161"/>
      <c r="O56" s="161">
        <v>1</v>
      </c>
      <c r="P56" s="73"/>
      <c r="R56" s="74"/>
      <c r="S56" s="74"/>
      <c r="T56" s="74"/>
      <c r="U56" s="74" t="s">
        <v>1284</v>
      </c>
      <c r="V56" s="3229"/>
      <c r="W56" s="3229">
        <v>2</v>
      </c>
      <c r="X56" s="3229"/>
      <c r="Y56" s="3229"/>
      <c r="Z56" s="3229">
        <v>0</v>
      </c>
      <c r="AA56" s="3229">
        <v>1</v>
      </c>
      <c r="AB56" s="3229">
        <v>10</v>
      </c>
      <c r="AC56" s="3229">
        <v>4</v>
      </c>
      <c r="AD56" s="3229">
        <v>0</v>
      </c>
      <c r="AE56" s="121"/>
      <c r="AF56" s="121"/>
      <c r="AG56" s="121">
        <v>17</v>
      </c>
      <c r="AJ56" s="161"/>
      <c r="AK56" s="161"/>
      <c r="AL56" s="73"/>
      <c r="AM56" s="73" t="s">
        <v>1293</v>
      </c>
      <c r="AN56" s="2600">
        <v>0</v>
      </c>
      <c r="AO56" s="2600"/>
      <c r="AP56" s="2600"/>
      <c r="AQ56" s="2600"/>
      <c r="AR56" s="2600"/>
      <c r="AS56" s="2600"/>
      <c r="AT56" s="2600">
        <v>6</v>
      </c>
      <c r="AU56" s="2600">
        <v>0</v>
      </c>
      <c r="AV56" s="2600"/>
      <c r="AW56" s="161"/>
      <c r="AX56" s="161"/>
      <c r="AY56" s="161">
        <v>6</v>
      </c>
      <c r="AZ56" s="161"/>
      <c r="BB56" s="2191"/>
      <c r="BC56" s="2191"/>
      <c r="BD56" s="2192"/>
      <c r="BE56" s="2193" t="s">
        <v>1286</v>
      </c>
      <c r="BF56" s="2195">
        <v>1</v>
      </c>
      <c r="BG56" s="2195">
        <v>1</v>
      </c>
      <c r="BH56" s="2195">
        <v>0</v>
      </c>
      <c r="BI56" s="2195">
        <v>0</v>
      </c>
      <c r="BJ56" s="2195">
        <v>0</v>
      </c>
      <c r="BK56" s="2195">
        <v>0</v>
      </c>
      <c r="BL56" s="2195">
        <v>0</v>
      </c>
      <c r="BM56" s="2195">
        <v>0</v>
      </c>
      <c r="BN56" s="963"/>
      <c r="BO56" s="963"/>
      <c r="BP56" s="964">
        <v>2</v>
      </c>
      <c r="BQ56" s="73"/>
      <c r="BS56" s="879"/>
      <c r="BT56" s="879"/>
      <c r="BU56" s="880"/>
      <c r="BV56" s="881" t="s">
        <v>1292</v>
      </c>
      <c r="BW56" s="883">
        <v>0</v>
      </c>
      <c r="BX56" s="882"/>
      <c r="BY56" s="882"/>
      <c r="BZ56" s="882"/>
      <c r="CA56" s="882"/>
      <c r="CB56" s="883">
        <v>0</v>
      </c>
      <c r="CC56" s="883">
        <v>4</v>
      </c>
      <c r="CD56" s="883">
        <v>1</v>
      </c>
      <c r="CE56" s="879"/>
      <c r="CF56" s="879"/>
      <c r="CG56" s="884">
        <v>5</v>
      </c>
      <c r="CH56" s="161"/>
      <c r="CJ56" s="885"/>
      <c r="CK56" s="885"/>
      <c r="CL56" s="897" t="s">
        <v>888</v>
      </c>
      <c r="CM56" s="886" t="s">
        <v>1284</v>
      </c>
      <c r="CN56" s="887"/>
      <c r="CO56" s="888">
        <v>0</v>
      </c>
      <c r="CP56" s="888">
        <v>0</v>
      </c>
      <c r="CQ56" s="888">
        <v>1</v>
      </c>
      <c r="CR56" s="888">
        <v>1</v>
      </c>
      <c r="CS56" s="888">
        <v>1</v>
      </c>
      <c r="CT56" s="888">
        <v>0</v>
      </c>
      <c r="CU56" s="887"/>
      <c r="CV56" s="887"/>
      <c r="CW56" s="889"/>
      <c r="CX56" s="889"/>
      <c r="CY56" s="890">
        <v>3</v>
      </c>
      <c r="CZ56" s="891"/>
      <c r="DB56" s="892"/>
      <c r="DC56" s="892"/>
      <c r="DD56" s="892" t="s">
        <v>123</v>
      </c>
      <c r="DE56" s="893" t="s">
        <v>1283</v>
      </c>
      <c r="DF56" s="894"/>
      <c r="DG56" s="894"/>
      <c r="DH56" s="894"/>
      <c r="DI56" s="894"/>
      <c r="DJ56" s="895">
        <v>0</v>
      </c>
      <c r="DK56" s="895">
        <v>0</v>
      </c>
      <c r="DL56" s="895">
        <v>1</v>
      </c>
      <c r="DM56" s="895">
        <v>5</v>
      </c>
      <c r="DN56" s="895">
        <v>2</v>
      </c>
      <c r="DO56" s="895">
        <v>6</v>
      </c>
      <c r="DP56" s="895">
        <v>14</v>
      </c>
      <c r="DQ56" s="792"/>
      <c r="DS56" s="121"/>
      <c r="DT56" s="121"/>
      <c r="DU56" s="74" t="s">
        <v>123</v>
      </c>
      <c r="DV56" s="74" t="s">
        <v>1283</v>
      </c>
      <c r="DW56" s="121"/>
      <c r="DX56" s="121">
        <v>0</v>
      </c>
      <c r="DY56" s="121">
        <v>0</v>
      </c>
      <c r="DZ56" s="121"/>
      <c r="EA56" s="121"/>
      <c r="EB56" s="121"/>
      <c r="EC56" s="121">
        <v>1</v>
      </c>
      <c r="ED56" s="121">
        <v>7</v>
      </c>
      <c r="EE56" s="121"/>
      <c r="EF56" s="121">
        <v>1</v>
      </c>
      <c r="EG56" s="121">
        <v>9</v>
      </c>
      <c r="EH56" s="74"/>
      <c r="EI56" s="74"/>
      <c r="EJ56" s="793"/>
      <c r="EK56" s="793"/>
      <c r="EL56" s="793"/>
      <c r="EM56" s="793" t="s">
        <v>1398</v>
      </c>
      <c r="EN56" s="793">
        <v>0</v>
      </c>
      <c r="EO56" s="793">
        <v>0</v>
      </c>
      <c r="EP56" s="793">
        <v>0</v>
      </c>
      <c r="EQ56" s="793">
        <v>0</v>
      </c>
      <c r="ER56" s="793">
        <v>0</v>
      </c>
      <c r="ES56" s="793">
        <v>0</v>
      </c>
      <c r="ET56" s="793">
        <v>0</v>
      </c>
      <c r="EU56" s="793">
        <v>0</v>
      </c>
      <c r="EV56" s="793">
        <v>1</v>
      </c>
      <c r="EW56" s="793">
        <v>0</v>
      </c>
      <c r="EX56" s="793">
        <v>0</v>
      </c>
      <c r="EY56" s="794">
        <v>1</v>
      </c>
      <c r="EZ56" s="896"/>
      <c r="FA56" s="795"/>
    </row>
    <row r="57" spans="1:157">
      <c r="A57" s="73"/>
      <c r="B57" s="73"/>
      <c r="C57" s="73"/>
      <c r="D57" s="738" t="s">
        <v>15</v>
      </c>
      <c r="E57" s="3262"/>
      <c r="F57" s="3262"/>
      <c r="G57" s="3262"/>
      <c r="H57" s="3262"/>
      <c r="I57" s="3262"/>
      <c r="J57" s="3262">
        <v>16</v>
      </c>
      <c r="K57" s="3262">
        <v>2</v>
      </c>
      <c r="L57" s="3262"/>
      <c r="M57" s="4674"/>
      <c r="N57" s="4674"/>
      <c r="O57" s="4674">
        <v>18</v>
      </c>
      <c r="P57" s="912">
        <f>+(O56+O55+O54)/O57</f>
        <v>0.22222222222222221</v>
      </c>
      <c r="Q57" s="3197"/>
      <c r="R57" s="74"/>
      <c r="S57" s="74"/>
      <c r="T57" s="74"/>
      <c r="U57" s="74" t="s">
        <v>1288</v>
      </c>
      <c r="V57" s="3229"/>
      <c r="W57" s="3229">
        <v>0</v>
      </c>
      <c r="X57" s="3229"/>
      <c r="Y57" s="3229"/>
      <c r="Z57" s="3229">
        <v>0</v>
      </c>
      <c r="AA57" s="3229">
        <v>0</v>
      </c>
      <c r="AB57" s="3229">
        <v>1</v>
      </c>
      <c r="AC57" s="3229">
        <v>0</v>
      </c>
      <c r="AD57" s="3229">
        <v>0</v>
      </c>
      <c r="AE57" s="121"/>
      <c r="AF57" s="121"/>
      <c r="AG57" s="121">
        <v>1</v>
      </c>
      <c r="AJ57" s="161"/>
      <c r="AK57" s="161"/>
      <c r="AL57" s="73"/>
      <c r="AM57" s="73" t="s">
        <v>1398</v>
      </c>
      <c r="AN57" s="2600">
        <v>0</v>
      </c>
      <c r="AO57" s="2600"/>
      <c r="AP57" s="2600"/>
      <c r="AQ57" s="2600"/>
      <c r="AR57" s="2600"/>
      <c r="AS57" s="2600"/>
      <c r="AT57" s="2600">
        <v>1</v>
      </c>
      <c r="AU57" s="2600">
        <v>0</v>
      </c>
      <c r="AV57" s="2600"/>
      <c r="AW57" s="161"/>
      <c r="AX57" s="161"/>
      <c r="AY57" s="161">
        <v>1</v>
      </c>
      <c r="AZ57" s="161"/>
      <c r="BB57" s="2191"/>
      <c r="BC57" s="2191"/>
      <c r="BD57" s="2192"/>
      <c r="BE57" s="2193" t="s">
        <v>1288</v>
      </c>
      <c r="BF57" s="2195">
        <v>0</v>
      </c>
      <c r="BG57" s="2195">
        <v>0</v>
      </c>
      <c r="BH57" s="2195">
        <v>0</v>
      </c>
      <c r="BI57" s="2195">
        <v>0</v>
      </c>
      <c r="BJ57" s="2195">
        <v>0</v>
      </c>
      <c r="BK57" s="2195">
        <v>1</v>
      </c>
      <c r="BL57" s="2195">
        <v>0</v>
      </c>
      <c r="BM57" s="2195">
        <v>0</v>
      </c>
      <c r="BN57" s="963"/>
      <c r="BO57" s="963"/>
      <c r="BP57" s="964">
        <v>1</v>
      </c>
      <c r="BQ57" s="73"/>
      <c r="BS57" s="879"/>
      <c r="BT57" s="879"/>
      <c r="BU57" s="880"/>
      <c r="BV57" s="881" t="s">
        <v>1293</v>
      </c>
      <c r="BW57" s="883">
        <v>0</v>
      </c>
      <c r="BX57" s="882"/>
      <c r="BY57" s="882"/>
      <c r="BZ57" s="882"/>
      <c r="CA57" s="882"/>
      <c r="CB57" s="883">
        <v>4</v>
      </c>
      <c r="CC57" s="883">
        <v>3</v>
      </c>
      <c r="CD57" s="883">
        <v>0</v>
      </c>
      <c r="CE57" s="879"/>
      <c r="CF57" s="879"/>
      <c r="CG57" s="884">
        <v>7</v>
      </c>
      <c r="CH57" s="161"/>
      <c r="CJ57" s="885"/>
      <c r="CK57" s="885"/>
      <c r="CL57" s="885"/>
      <c r="CM57" s="886" t="s">
        <v>1288</v>
      </c>
      <c r="CN57" s="887"/>
      <c r="CO57" s="888">
        <v>0</v>
      </c>
      <c r="CP57" s="888">
        <v>0</v>
      </c>
      <c r="CQ57" s="888">
        <v>0</v>
      </c>
      <c r="CR57" s="888">
        <v>1</v>
      </c>
      <c r="CS57" s="888">
        <v>0</v>
      </c>
      <c r="CT57" s="888">
        <v>2</v>
      </c>
      <c r="CU57" s="887"/>
      <c r="CV57" s="887"/>
      <c r="CW57" s="889"/>
      <c r="CX57" s="889"/>
      <c r="CY57" s="890">
        <v>3</v>
      </c>
      <c r="CZ57" s="891"/>
      <c r="DB57" s="892"/>
      <c r="DC57" s="892"/>
      <c r="DD57" s="892"/>
      <c r="DE57" s="893" t="s">
        <v>1284</v>
      </c>
      <c r="DF57" s="894"/>
      <c r="DG57" s="894"/>
      <c r="DH57" s="894"/>
      <c r="DI57" s="894"/>
      <c r="DJ57" s="895">
        <v>1</v>
      </c>
      <c r="DK57" s="895">
        <v>1</v>
      </c>
      <c r="DL57" s="895">
        <v>1</v>
      </c>
      <c r="DM57" s="895">
        <v>2</v>
      </c>
      <c r="DN57" s="895">
        <v>2</v>
      </c>
      <c r="DO57" s="895">
        <v>0</v>
      </c>
      <c r="DP57" s="895">
        <v>7</v>
      </c>
      <c r="DQ57" s="792"/>
      <c r="DS57" s="121"/>
      <c r="DT57" s="121"/>
      <c r="DU57" s="74"/>
      <c r="DV57" s="74" t="s">
        <v>1284</v>
      </c>
      <c r="DW57" s="121"/>
      <c r="DX57" s="121">
        <v>0</v>
      </c>
      <c r="DY57" s="121">
        <v>2</v>
      </c>
      <c r="DZ57" s="121"/>
      <c r="EA57" s="121"/>
      <c r="EB57" s="121"/>
      <c r="EC57" s="121">
        <v>1</v>
      </c>
      <c r="ED57" s="121">
        <v>2</v>
      </c>
      <c r="EE57" s="121"/>
      <c r="EF57" s="121">
        <v>0</v>
      </c>
      <c r="EG57" s="121">
        <v>5</v>
      </c>
      <c r="EH57" s="74"/>
      <c r="EI57" s="74"/>
      <c r="EJ57" s="793"/>
      <c r="EK57" s="793"/>
      <c r="EL57" s="793"/>
      <c r="EM57" s="796" t="s">
        <v>15</v>
      </c>
      <c r="EN57" s="796">
        <v>0</v>
      </c>
      <c r="EO57" s="796">
        <v>0</v>
      </c>
      <c r="EP57" s="796">
        <v>0</v>
      </c>
      <c r="EQ57" s="796">
        <v>1</v>
      </c>
      <c r="ER57" s="796">
        <v>0</v>
      </c>
      <c r="ES57" s="796">
        <v>0</v>
      </c>
      <c r="ET57" s="796">
        <v>0</v>
      </c>
      <c r="EU57" s="796">
        <v>3</v>
      </c>
      <c r="EV57" s="796">
        <v>6</v>
      </c>
      <c r="EW57" s="796">
        <v>1</v>
      </c>
      <c r="EX57" s="796">
        <v>1</v>
      </c>
      <c r="EY57" s="856">
        <v>12</v>
      </c>
      <c r="EZ57" s="906">
        <f>+(EY56+EY54)/EY57</f>
        <v>0.16666666666666666</v>
      </c>
      <c r="FA57" s="795">
        <f>+EY54+EY56</f>
        <v>2</v>
      </c>
    </row>
    <row r="58" spans="1:157">
      <c r="A58" s="73"/>
      <c r="B58" s="73"/>
      <c r="C58" s="738" t="s">
        <v>573</v>
      </c>
      <c r="D58" s="738" t="s">
        <v>1283</v>
      </c>
      <c r="E58" s="3262">
        <v>0</v>
      </c>
      <c r="F58" s="3262"/>
      <c r="G58" s="3262"/>
      <c r="H58" s="3262"/>
      <c r="I58" s="3262"/>
      <c r="J58" s="3262">
        <v>0</v>
      </c>
      <c r="K58" s="3262">
        <v>2</v>
      </c>
      <c r="L58" s="3262">
        <v>1</v>
      </c>
      <c r="M58" s="4674"/>
      <c r="N58" s="4674"/>
      <c r="O58" s="4674">
        <v>3</v>
      </c>
      <c r="P58" s="73"/>
      <c r="R58" s="74"/>
      <c r="S58" s="74"/>
      <c r="T58" s="74"/>
      <c r="U58" s="74" t="s">
        <v>1289</v>
      </c>
      <c r="V58" s="3229"/>
      <c r="W58" s="3229">
        <v>0</v>
      </c>
      <c r="X58" s="3229"/>
      <c r="Y58" s="3229"/>
      <c r="Z58" s="3229">
        <v>1</v>
      </c>
      <c r="AA58" s="3229">
        <v>0</v>
      </c>
      <c r="AB58" s="3229">
        <v>0</v>
      </c>
      <c r="AC58" s="3229">
        <v>0</v>
      </c>
      <c r="AD58" s="3229">
        <v>0</v>
      </c>
      <c r="AE58" s="121"/>
      <c r="AF58" s="121"/>
      <c r="AG58" s="121">
        <v>1</v>
      </c>
      <c r="AJ58" s="161"/>
      <c r="AK58" s="161"/>
      <c r="AL58" s="73"/>
      <c r="AM58" s="738" t="s">
        <v>15</v>
      </c>
      <c r="AN58" s="2601">
        <v>1</v>
      </c>
      <c r="AO58" s="2601"/>
      <c r="AP58" s="2601"/>
      <c r="AQ58" s="2601"/>
      <c r="AR58" s="2601"/>
      <c r="AS58" s="2601"/>
      <c r="AT58" s="2601">
        <v>14</v>
      </c>
      <c r="AU58" s="2601">
        <v>4</v>
      </c>
      <c r="AV58" s="2601"/>
      <c r="AW58" s="151"/>
      <c r="AX58" s="151"/>
      <c r="AY58" s="151">
        <v>19</v>
      </c>
      <c r="AZ58" s="912">
        <f>+(AY54+AY56+AY57)/AY58</f>
        <v>0.42105263157894735</v>
      </c>
      <c r="BB58" s="2191"/>
      <c r="BC58" s="2191"/>
      <c r="BD58" s="2192"/>
      <c r="BE58" s="2193" t="s">
        <v>1292</v>
      </c>
      <c r="BF58" s="2195">
        <v>0</v>
      </c>
      <c r="BG58" s="2195">
        <v>0</v>
      </c>
      <c r="BH58" s="2195">
        <v>0</v>
      </c>
      <c r="BI58" s="2195">
        <v>0</v>
      </c>
      <c r="BJ58" s="2195">
        <v>0</v>
      </c>
      <c r="BK58" s="2195">
        <v>0</v>
      </c>
      <c r="BL58" s="2195">
        <v>0</v>
      </c>
      <c r="BM58" s="2195">
        <v>5</v>
      </c>
      <c r="BN58" s="963"/>
      <c r="BO58" s="963"/>
      <c r="BP58" s="964">
        <v>5</v>
      </c>
      <c r="BQ58" s="73"/>
      <c r="BS58" s="879"/>
      <c r="BT58" s="879"/>
      <c r="BU58" s="880"/>
      <c r="BV58" s="881" t="s">
        <v>1398</v>
      </c>
      <c r="BW58" s="883">
        <v>0</v>
      </c>
      <c r="BX58" s="882"/>
      <c r="BY58" s="882"/>
      <c r="BZ58" s="882"/>
      <c r="CA58" s="882"/>
      <c r="CB58" s="883">
        <v>0</v>
      </c>
      <c r="CC58" s="883">
        <v>1</v>
      </c>
      <c r="CD58" s="883">
        <v>0</v>
      </c>
      <c r="CE58" s="879"/>
      <c r="CF58" s="879"/>
      <c r="CG58" s="884">
        <v>1</v>
      </c>
      <c r="CH58" s="161"/>
      <c r="CJ58" s="885"/>
      <c r="CK58" s="885"/>
      <c r="CL58" s="885"/>
      <c r="CM58" s="886" t="s">
        <v>1289</v>
      </c>
      <c r="CN58" s="887"/>
      <c r="CO58" s="888">
        <v>1</v>
      </c>
      <c r="CP58" s="888">
        <v>2</v>
      </c>
      <c r="CQ58" s="888">
        <v>15</v>
      </c>
      <c r="CR58" s="888">
        <v>10</v>
      </c>
      <c r="CS58" s="888">
        <v>10</v>
      </c>
      <c r="CT58" s="888">
        <v>5</v>
      </c>
      <c r="CU58" s="887"/>
      <c r="CV58" s="887"/>
      <c r="CW58" s="889"/>
      <c r="CX58" s="889"/>
      <c r="CY58" s="890">
        <v>43</v>
      </c>
      <c r="CZ58" s="891"/>
      <c r="DB58" s="892"/>
      <c r="DC58" s="892"/>
      <c r="DD58" s="892"/>
      <c r="DE58" s="893" t="s">
        <v>1288</v>
      </c>
      <c r="DF58" s="894"/>
      <c r="DG58" s="894"/>
      <c r="DH58" s="894"/>
      <c r="DI58" s="894"/>
      <c r="DJ58" s="895">
        <v>0</v>
      </c>
      <c r="DK58" s="895">
        <v>1</v>
      </c>
      <c r="DL58" s="895">
        <v>2</v>
      </c>
      <c r="DM58" s="895">
        <v>0</v>
      </c>
      <c r="DN58" s="895">
        <v>0</v>
      </c>
      <c r="DO58" s="895">
        <v>0</v>
      </c>
      <c r="DP58" s="895">
        <v>3</v>
      </c>
      <c r="DQ58" s="792"/>
      <c r="DS58" s="121"/>
      <c r="DT58" s="121"/>
      <c r="DU58" s="74"/>
      <c r="DV58" s="74" t="s">
        <v>1289</v>
      </c>
      <c r="DW58" s="121"/>
      <c r="DX58" s="121">
        <v>1</v>
      </c>
      <c r="DY58" s="121">
        <v>0</v>
      </c>
      <c r="DZ58" s="121"/>
      <c r="EA58" s="121"/>
      <c r="EB58" s="121"/>
      <c r="EC58" s="121">
        <v>0</v>
      </c>
      <c r="ED58" s="121">
        <v>0</v>
      </c>
      <c r="EE58" s="121"/>
      <c r="EF58" s="121">
        <v>0</v>
      </c>
      <c r="EG58" s="121">
        <v>1</v>
      </c>
      <c r="EH58" s="74"/>
      <c r="EI58" s="74"/>
      <c r="EJ58" s="793"/>
      <c r="EK58" s="793"/>
      <c r="EL58" s="793" t="s">
        <v>124</v>
      </c>
      <c r="EM58" s="793" t="s">
        <v>1283</v>
      </c>
      <c r="EN58" s="793">
        <v>0</v>
      </c>
      <c r="EO58" s="793">
        <v>0</v>
      </c>
      <c r="EP58" s="793">
        <v>0</v>
      </c>
      <c r="EQ58" s="793">
        <v>0</v>
      </c>
      <c r="ER58" s="793">
        <v>0</v>
      </c>
      <c r="ES58" s="793">
        <v>0</v>
      </c>
      <c r="ET58" s="793">
        <v>0</v>
      </c>
      <c r="EU58" s="793">
        <v>0</v>
      </c>
      <c r="EV58" s="793">
        <v>1</v>
      </c>
      <c r="EW58" s="793">
        <v>0</v>
      </c>
      <c r="EX58" s="793">
        <v>2</v>
      </c>
      <c r="EY58" s="794">
        <v>3</v>
      </c>
      <c r="EZ58" s="896"/>
      <c r="FA58" s="795"/>
    </row>
    <row r="59" spans="1:157">
      <c r="A59" s="73"/>
      <c r="B59" s="73"/>
      <c r="C59" s="738"/>
      <c r="D59" s="738" t="s">
        <v>1284</v>
      </c>
      <c r="E59" s="3262">
        <v>0</v>
      </c>
      <c r="F59" s="3262"/>
      <c r="G59" s="3262"/>
      <c r="H59" s="3262"/>
      <c r="I59" s="3262"/>
      <c r="J59" s="3262">
        <v>12</v>
      </c>
      <c r="K59" s="3262">
        <v>4</v>
      </c>
      <c r="L59" s="3262">
        <v>0</v>
      </c>
      <c r="M59" s="4674"/>
      <c r="N59" s="4674"/>
      <c r="O59" s="4674">
        <v>16</v>
      </c>
      <c r="P59" s="73"/>
      <c r="R59" s="74"/>
      <c r="S59" s="74"/>
      <c r="T59" s="74"/>
      <c r="U59" s="74" t="s">
        <v>1292</v>
      </c>
      <c r="V59" s="3229"/>
      <c r="W59" s="3229">
        <v>0</v>
      </c>
      <c r="X59" s="3229"/>
      <c r="Y59" s="3229"/>
      <c r="Z59" s="3229">
        <v>0</v>
      </c>
      <c r="AA59" s="3229">
        <v>0</v>
      </c>
      <c r="AB59" s="3229">
        <v>0</v>
      </c>
      <c r="AC59" s="3229">
        <v>1</v>
      </c>
      <c r="AD59" s="3229">
        <v>6</v>
      </c>
      <c r="AE59" s="121"/>
      <c r="AF59" s="121"/>
      <c r="AG59" s="121">
        <v>7</v>
      </c>
      <c r="AJ59" s="161"/>
      <c r="AK59" s="161"/>
      <c r="AL59" s="73" t="s">
        <v>573</v>
      </c>
      <c r="AM59" s="73" t="s">
        <v>1283</v>
      </c>
      <c r="AN59" s="2600">
        <v>0</v>
      </c>
      <c r="AO59" s="2600">
        <v>0</v>
      </c>
      <c r="AP59" s="2600"/>
      <c r="AQ59" s="2600"/>
      <c r="AR59" s="2600"/>
      <c r="AS59" s="2600"/>
      <c r="AT59" s="2600">
        <v>0</v>
      </c>
      <c r="AU59" s="2600">
        <v>4</v>
      </c>
      <c r="AV59" s="2600">
        <v>0</v>
      </c>
      <c r="AW59" s="161">
        <v>0</v>
      </c>
      <c r="AX59" s="161">
        <v>0</v>
      </c>
      <c r="AY59" s="161">
        <v>4</v>
      </c>
      <c r="AZ59" s="161"/>
      <c r="BB59" s="2191"/>
      <c r="BC59" s="2191"/>
      <c r="BD59" s="2192"/>
      <c r="BE59" s="2193" t="s">
        <v>1293</v>
      </c>
      <c r="BF59" s="2195">
        <v>0</v>
      </c>
      <c r="BG59" s="2195">
        <v>0</v>
      </c>
      <c r="BH59" s="2195">
        <v>0</v>
      </c>
      <c r="BI59" s="2195">
        <v>0</v>
      </c>
      <c r="BJ59" s="2195">
        <v>0</v>
      </c>
      <c r="BK59" s="2195">
        <v>1</v>
      </c>
      <c r="BL59" s="2195">
        <v>1</v>
      </c>
      <c r="BM59" s="2195">
        <v>0</v>
      </c>
      <c r="BN59" s="963"/>
      <c r="BO59" s="963"/>
      <c r="BP59" s="964">
        <v>2</v>
      </c>
      <c r="BQ59" s="73"/>
      <c r="BS59" s="879"/>
      <c r="BT59" s="879"/>
      <c r="BU59" s="880"/>
      <c r="BV59" s="907" t="s">
        <v>573</v>
      </c>
      <c r="BW59" s="909">
        <v>1</v>
      </c>
      <c r="BX59" s="908"/>
      <c r="BY59" s="908"/>
      <c r="BZ59" s="908"/>
      <c r="CA59" s="908"/>
      <c r="CB59" s="909">
        <v>17</v>
      </c>
      <c r="CC59" s="909">
        <v>17</v>
      </c>
      <c r="CD59" s="909">
        <v>4</v>
      </c>
      <c r="CE59" s="910"/>
      <c r="CF59" s="910"/>
      <c r="CG59" s="911">
        <v>39</v>
      </c>
      <c r="CH59" s="912">
        <f>+(CG55+CG57+CG58)/CG59</f>
        <v>0.35897435897435898</v>
      </c>
      <c r="CJ59" s="885"/>
      <c r="CK59" s="885"/>
      <c r="CL59" s="885"/>
      <c r="CM59" s="886" t="s">
        <v>1292</v>
      </c>
      <c r="CN59" s="887"/>
      <c r="CO59" s="888">
        <v>0</v>
      </c>
      <c r="CP59" s="888">
        <v>0</v>
      </c>
      <c r="CQ59" s="888">
        <v>0</v>
      </c>
      <c r="CR59" s="888">
        <v>0</v>
      </c>
      <c r="CS59" s="888">
        <v>2</v>
      </c>
      <c r="CT59" s="888">
        <v>0</v>
      </c>
      <c r="CU59" s="887"/>
      <c r="CV59" s="887"/>
      <c r="CW59" s="889"/>
      <c r="CX59" s="889"/>
      <c r="CY59" s="890">
        <v>2</v>
      </c>
      <c r="CZ59" s="891"/>
      <c r="DB59" s="892"/>
      <c r="DC59" s="892"/>
      <c r="DD59" s="892"/>
      <c r="DE59" s="902" t="s">
        <v>15</v>
      </c>
      <c r="DF59" s="903"/>
      <c r="DG59" s="903"/>
      <c r="DH59" s="903"/>
      <c r="DI59" s="903"/>
      <c r="DJ59" s="904">
        <v>1</v>
      </c>
      <c r="DK59" s="904">
        <v>2</v>
      </c>
      <c r="DL59" s="904">
        <v>4</v>
      </c>
      <c r="DM59" s="904">
        <v>7</v>
      </c>
      <c r="DN59" s="904">
        <v>4</v>
      </c>
      <c r="DO59" s="904">
        <v>6</v>
      </c>
      <c r="DP59" s="904">
        <v>24</v>
      </c>
      <c r="DQ59" s="905">
        <f>+DP58/DP59</f>
        <v>0.125</v>
      </c>
      <c r="DS59" s="121"/>
      <c r="DT59" s="121"/>
      <c r="DU59" s="74"/>
      <c r="DV59" s="74" t="s">
        <v>1292</v>
      </c>
      <c r="DW59" s="121"/>
      <c r="DX59" s="121">
        <v>0</v>
      </c>
      <c r="DY59" s="121">
        <v>0</v>
      </c>
      <c r="DZ59" s="121"/>
      <c r="EA59" s="121"/>
      <c r="EB59" s="121"/>
      <c r="EC59" s="121">
        <v>0</v>
      </c>
      <c r="ED59" s="121">
        <v>1</v>
      </c>
      <c r="EE59" s="121"/>
      <c r="EF59" s="121">
        <v>0</v>
      </c>
      <c r="EG59" s="121">
        <v>1</v>
      </c>
      <c r="EH59" s="74"/>
      <c r="EI59" s="74"/>
      <c r="EJ59" s="793"/>
      <c r="EK59" s="793"/>
      <c r="EL59" s="793"/>
      <c r="EM59" s="793" t="s">
        <v>1288</v>
      </c>
      <c r="EN59" s="793">
        <v>0</v>
      </c>
      <c r="EO59" s="793">
        <v>0</v>
      </c>
      <c r="EP59" s="793">
        <v>0</v>
      </c>
      <c r="EQ59" s="793">
        <v>0</v>
      </c>
      <c r="ER59" s="793">
        <v>0</v>
      </c>
      <c r="ES59" s="793">
        <v>0</v>
      </c>
      <c r="ET59" s="793">
        <v>0</v>
      </c>
      <c r="EU59" s="793">
        <v>2</v>
      </c>
      <c r="EV59" s="793">
        <v>0</v>
      </c>
      <c r="EW59" s="793">
        <v>0</v>
      </c>
      <c r="EX59" s="793">
        <v>0</v>
      </c>
      <c r="EY59" s="794">
        <v>2</v>
      </c>
      <c r="EZ59" s="896"/>
      <c r="FA59" s="795"/>
    </row>
    <row r="60" spans="1:157">
      <c r="A60" s="73"/>
      <c r="B60" s="73"/>
      <c r="C60" s="738"/>
      <c r="D60" s="738" t="s">
        <v>1286</v>
      </c>
      <c r="E60" s="3262">
        <v>1</v>
      </c>
      <c r="F60" s="3262"/>
      <c r="G60" s="3262"/>
      <c r="H60" s="3262"/>
      <c r="I60" s="3262"/>
      <c r="J60" s="3262">
        <v>0</v>
      </c>
      <c r="K60" s="3262">
        <v>0</v>
      </c>
      <c r="L60" s="3262">
        <v>0</v>
      </c>
      <c r="M60" s="4674"/>
      <c r="N60" s="4674"/>
      <c r="O60" s="4674">
        <v>1</v>
      </c>
      <c r="P60" s="73"/>
      <c r="R60" s="74"/>
      <c r="S60" s="74"/>
      <c r="T60" s="74"/>
      <c r="U60" s="74" t="s">
        <v>1293</v>
      </c>
      <c r="V60" s="3229"/>
      <c r="W60" s="3229">
        <v>0</v>
      </c>
      <c r="X60" s="3229"/>
      <c r="Y60" s="3229"/>
      <c r="Z60" s="3229">
        <v>0</v>
      </c>
      <c r="AA60" s="3229">
        <v>0</v>
      </c>
      <c r="AB60" s="3229">
        <v>3</v>
      </c>
      <c r="AC60" s="3229">
        <v>1</v>
      </c>
      <c r="AD60" s="3229">
        <v>0</v>
      </c>
      <c r="AE60" s="121"/>
      <c r="AF60" s="121"/>
      <c r="AG60" s="121">
        <v>4</v>
      </c>
      <c r="AJ60" s="161"/>
      <c r="AK60" s="161"/>
      <c r="AL60" s="73"/>
      <c r="AM60" s="73" t="s">
        <v>1284</v>
      </c>
      <c r="AN60" s="2600">
        <v>0</v>
      </c>
      <c r="AO60" s="2600">
        <v>1</v>
      </c>
      <c r="AP60" s="2600"/>
      <c r="AQ60" s="2600"/>
      <c r="AR60" s="2600"/>
      <c r="AS60" s="2600"/>
      <c r="AT60" s="2600">
        <v>13</v>
      </c>
      <c r="AU60" s="2600">
        <v>2</v>
      </c>
      <c r="AV60" s="2600">
        <v>1</v>
      </c>
      <c r="AW60" s="161">
        <v>1</v>
      </c>
      <c r="AX60" s="161">
        <v>0</v>
      </c>
      <c r="AY60" s="161">
        <v>18</v>
      </c>
      <c r="AZ60" s="161"/>
      <c r="BB60" s="2191"/>
      <c r="BC60" s="2191"/>
      <c r="BD60" s="2192"/>
      <c r="BE60" s="2193" t="s">
        <v>1398</v>
      </c>
      <c r="BF60" s="2195">
        <v>0</v>
      </c>
      <c r="BG60" s="2195">
        <v>0</v>
      </c>
      <c r="BH60" s="2195">
        <v>0</v>
      </c>
      <c r="BI60" s="2195">
        <v>0</v>
      </c>
      <c r="BJ60" s="2195">
        <v>0</v>
      </c>
      <c r="BK60" s="2195">
        <v>5</v>
      </c>
      <c r="BL60" s="2195">
        <v>0</v>
      </c>
      <c r="BM60" s="2195">
        <v>0</v>
      </c>
      <c r="BN60" s="963"/>
      <c r="BO60" s="963"/>
      <c r="BP60" s="964">
        <v>5</v>
      </c>
      <c r="BQ60" s="73"/>
      <c r="BS60" s="879"/>
      <c r="BT60" s="879" t="s">
        <v>105</v>
      </c>
      <c r="BU60" s="880" t="s">
        <v>106</v>
      </c>
      <c r="BV60" s="881" t="s">
        <v>1289</v>
      </c>
      <c r="BW60" s="882"/>
      <c r="BX60" s="882"/>
      <c r="BY60" s="883">
        <v>1</v>
      </c>
      <c r="BZ60" s="882"/>
      <c r="CA60" s="883">
        <v>2</v>
      </c>
      <c r="CB60" s="883">
        <v>2</v>
      </c>
      <c r="CC60" s="882"/>
      <c r="CD60" s="882"/>
      <c r="CE60" s="879"/>
      <c r="CF60" s="879"/>
      <c r="CG60" s="884">
        <v>5</v>
      </c>
      <c r="CH60" s="161"/>
      <c r="CJ60" s="885"/>
      <c r="CK60" s="885"/>
      <c r="CL60" s="885"/>
      <c r="CM60" s="886" t="s">
        <v>1293</v>
      </c>
      <c r="CN60" s="887"/>
      <c r="CO60" s="888">
        <v>0</v>
      </c>
      <c r="CP60" s="888">
        <v>0</v>
      </c>
      <c r="CQ60" s="888">
        <v>0</v>
      </c>
      <c r="CR60" s="888">
        <v>1</v>
      </c>
      <c r="CS60" s="888">
        <v>1</v>
      </c>
      <c r="CT60" s="888">
        <v>0</v>
      </c>
      <c r="CU60" s="887"/>
      <c r="CV60" s="887"/>
      <c r="CW60" s="889"/>
      <c r="CX60" s="889"/>
      <c r="CY60" s="890">
        <v>2</v>
      </c>
      <c r="CZ60" s="891"/>
      <c r="DB60" s="892"/>
      <c r="DC60" s="892"/>
      <c r="DD60" s="892" t="s">
        <v>124</v>
      </c>
      <c r="DE60" s="893" t="s">
        <v>1283</v>
      </c>
      <c r="DF60" s="894"/>
      <c r="DG60" s="894"/>
      <c r="DH60" s="894"/>
      <c r="DI60" s="894"/>
      <c r="DJ60" s="894"/>
      <c r="DK60" s="895">
        <v>0</v>
      </c>
      <c r="DL60" s="895">
        <v>0</v>
      </c>
      <c r="DM60" s="895">
        <v>1</v>
      </c>
      <c r="DN60" s="894"/>
      <c r="DO60" s="894"/>
      <c r="DP60" s="895">
        <v>1</v>
      </c>
      <c r="DQ60" s="792"/>
      <c r="DS60" s="121"/>
      <c r="DT60" s="121"/>
      <c r="DU60" s="74"/>
      <c r="DV60" s="761" t="s">
        <v>15</v>
      </c>
      <c r="DW60" s="729"/>
      <c r="DX60" s="729">
        <v>1</v>
      </c>
      <c r="DY60" s="729">
        <v>2</v>
      </c>
      <c r="DZ60" s="729"/>
      <c r="EA60" s="729"/>
      <c r="EB60" s="729"/>
      <c r="EC60" s="729">
        <v>2</v>
      </c>
      <c r="ED60" s="729">
        <v>10</v>
      </c>
      <c r="EE60" s="729"/>
      <c r="EF60" s="729">
        <v>1</v>
      </c>
      <c r="EG60" s="729">
        <v>16</v>
      </c>
      <c r="EH60" s="815">
        <v>0</v>
      </c>
      <c r="EI60" s="74"/>
      <c r="EJ60" s="793"/>
      <c r="EK60" s="793"/>
      <c r="EL60" s="793"/>
      <c r="EM60" s="793" t="s">
        <v>1292</v>
      </c>
      <c r="EN60" s="793">
        <v>0</v>
      </c>
      <c r="EO60" s="793">
        <v>0</v>
      </c>
      <c r="EP60" s="793">
        <v>0</v>
      </c>
      <c r="EQ60" s="793">
        <v>0</v>
      </c>
      <c r="ER60" s="793">
        <v>0</v>
      </c>
      <c r="ES60" s="793">
        <v>0</v>
      </c>
      <c r="ET60" s="793">
        <v>0</v>
      </c>
      <c r="EU60" s="793">
        <v>1</v>
      </c>
      <c r="EV60" s="793">
        <v>4</v>
      </c>
      <c r="EW60" s="793">
        <v>0</v>
      </c>
      <c r="EX60" s="793">
        <v>0</v>
      </c>
      <c r="EY60" s="794">
        <v>5</v>
      </c>
      <c r="EZ60" s="896"/>
      <c r="FA60" s="795"/>
    </row>
    <row r="61" spans="1:157">
      <c r="A61" s="73"/>
      <c r="B61" s="73"/>
      <c r="C61" s="738"/>
      <c r="D61" s="738" t="s">
        <v>1288</v>
      </c>
      <c r="E61" s="3262">
        <v>0</v>
      </c>
      <c r="F61" s="3262"/>
      <c r="G61" s="3262"/>
      <c r="H61" s="3262"/>
      <c r="I61" s="3262"/>
      <c r="J61" s="3262">
        <v>4</v>
      </c>
      <c r="K61" s="3262">
        <v>2</v>
      </c>
      <c r="L61" s="3262">
        <v>0</v>
      </c>
      <c r="M61" s="4674"/>
      <c r="N61" s="4674"/>
      <c r="O61" s="4674">
        <v>6</v>
      </c>
      <c r="P61" s="73"/>
      <c r="R61" s="74"/>
      <c r="S61" s="74"/>
      <c r="T61" s="74"/>
      <c r="U61" s="761" t="s">
        <v>573</v>
      </c>
      <c r="V61" s="3230"/>
      <c r="W61" s="3230">
        <v>2</v>
      </c>
      <c r="X61" s="3230"/>
      <c r="Y61" s="3230"/>
      <c r="Z61" s="3230">
        <v>1</v>
      </c>
      <c r="AA61" s="3230">
        <v>1</v>
      </c>
      <c r="AB61" s="3230">
        <v>14</v>
      </c>
      <c r="AC61" s="3230">
        <v>6</v>
      </c>
      <c r="AD61" s="3230">
        <v>10</v>
      </c>
      <c r="AE61" s="729"/>
      <c r="AF61" s="729"/>
      <c r="AG61" s="729">
        <v>34</v>
      </c>
      <c r="AH61" s="4681">
        <f>+(AG57+AG60)/AG61</f>
        <v>0.14705882352941177</v>
      </c>
      <c r="AJ61" s="161"/>
      <c r="AK61" s="161"/>
      <c r="AL61" s="73"/>
      <c r="AM61" s="73" t="s">
        <v>1286</v>
      </c>
      <c r="AN61" s="2600">
        <v>0</v>
      </c>
      <c r="AO61" s="2600">
        <v>1</v>
      </c>
      <c r="AP61" s="2600"/>
      <c r="AQ61" s="2600"/>
      <c r="AR61" s="2600"/>
      <c r="AS61" s="2600"/>
      <c r="AT61" s="2600">
        <v>0</v>
      </c>
      <c r="AU61" s="2600">
        <v>0</v>
      </c>
      <c r="AV61" s="2600">
        <v>0</v>
      </c>
      <c r="AW61" s="161">
        <v>0</v>
      </c>
      <c r="AX61" s="161">
        <v>0</v>
      </c>
      <c r="AY61" s="161">
        <v>1</v>
      </c>
      <c r="AZ61" s="161"/>
      <c r="BB61" s="2191"/>
      <c r="BC61" s="2191"/>
      <c r="BD61" s="2192"/>
      <c r="BE61" s="760" t="s">
        <v>573</v>
      </c>
      <c r="BF61" s="2197">
        <v>1</v>
      </c>
      <c r="BG61" s="2197">
        <v>1</v>
      </c>
      <c r="BH61" s="2197">
        <v>2</v>
      </c>
      <c r="BI61" s="2197">
        <v>3</v>
      </c>
      <c r="BJ61" s="2197">
        <v>4</v>
      </c>
      <c r="BK61" s="2197">
        <v>24</v>
      </c>
      <c r="BL61" s="2197">
        <v>12</v>
      </c>
      <c r="BM61" s="2197">
        <v>8</v>
      </c>
      <c r="BN61" s="972"/>
      <c r="BO61" s="972"/>
      <c r="BP61" s="973">
        <v>55</v>
      </c>
      <c r="BQ61" s="2154">
        <f>+(BP57+BP59+BP60)/BP61</f>
        <v>0.14545454545454545</v>
      </c>
      <c r="BS61" s="879"/>
      <c r="BT61" s="879"/>
      <c r="BU61" s="880"/>
      <c r="BV61" s="881" t="s">
        <v>1398</v>
      </c>
      <c r="BW61" s="882"/>
      <c r="BX61" s="882"/>
      <c r="BY61" s="883">
        <v>3</v>
      </c>
      <c r="BZ61" s="882"/>
      <c r="CA61" s="883">
        <v>0</v>
      </c>
      <c r="CB61" s="883">
        <v>0</v>
      </c>
      <c r="CC61" s="882"/>
      <c r="CD61" s="882"/>
      <c r="CE61" s="879"/>
      <c r="CF61" s="879"/>
      <c r="CG61" s="884">
        <v>3</v>
      </c>
      <c r="CH61" s="161"/>
      <c r="CJ61" s="885"/>
      <c r="CK61" s="885"/>
      <c r="CL61" s="885"/>
      <c r="CM61" s="886" t="s">
        <v>1398</v>
      </c>
      <c r="CN61" s="887"/>
      <c r="CO61" s="888">
        <v>0</v>
      </c>
      <c r="CP61" s="888">
        <v>0</v>
      </c>
      <c r="CQ61" s="888">
        <v>2</v>
      </c>
      <c r="CR61" s="888">
        <v>4</v>
      </c>
      <c r="CS61" s="888">
        <v>2</v>
      </c>
      <c r="CT61" s="888">
        <v>0</v>
      </c>
      <c r="CU61" s="887"/>
      <c r="CV61" s="887"/>
      <c r="CW61" s="889"/>
      <c r="CX61" s="889"/>
      <c r="CY61" s="890">
        <v>8</v>
      </c>
      <c r="CZ61" s="891"/>
      <c r="DB61" s="892"/>
      <c r="DC61" s="892"/>
      <c r="DD61" s="892"/>
      <c r="DE61" s="893" t="s">
        <v>1288</v>
      </c>
      <c r="DF61" s="894"/>
      <c r="DG61" s="894"/>
      <c r="DH61" s="894"/>
      <c r="DI61" s="894"/>
      <c r="DJ61" s="894"/>
      <c r="DK61" s="895">
        <v>0</v>
      </c>
      <c r="DL61" s="895">
        <v>2</v>
      </c>
      <c r="DM61" s="895">
        <v>0</v>
      </c>
      <c r="DN61" s="894"/>
      <c r="DO61" s="894"/>
      <c r="DP61" s="895">
        <v>2</v>
      </c>
      <c r="DQ61" s="792"/>
      <c r="DS61" s="121"/>
      <c r="DT61" s="121"/>
      <c r="DU61" s="74" t="s">
        <v>124</v>
      </c>
      <c r="DV61" s="74" t="s">
        <v>1283</v>
      </c>
      <c r="DW61" s="121"/>
      <c r="DX61" s="121">
        <v>0</v>
      </c>
      <c r="DY61" s="121"/>
      <c r="DZ61" s="121"/>
      <c r="EA61" s="121"/>
      <c r="EB61" s="121">
        <v>0</v>
      </c>
      <c r="EC61" s="121">
        <v>0</v>
      </c>
      <c r="ED61" s="121">
        <v>2</v>
      </c>
      <c r="EE61" s="121"/>
      <c r="EF61" s="121"/>
      <c r="EG61" s="121">
        <v>2</v>
      </c>
      <c r="EH61" s="74"/>
      <c r="EI61" s="74"/>
      <c r="EJ61" s="793"/>
      <c r="EK61" s="793"/>
      <c r="EL61" s="793"/>
      <c r="EM61" s="796" t="s">
        <v>15</v>
      </c>
      <c r="EN61" s="796">
        <v>0</v>
      </c>
      <c r="EO61" s="796">
        <v>0</v>
      </c>
      <c r="EP61" s="796">
        <v>0</v>
      </c>
      <c r="EQ61" s="796">
        <v>0</v>
      </c>
      <c r="ER61" s="796">
        <v>0</v>
      </c>
      <c r="ES61" s="796">
        <v>0</v>
      </c>
      <c r="ET61" s="796">
        <v>0</v>
      </c>
      <c r="EU61" s="796">
        <v>3</v>
      </c>
      <c r="EV61" s="796">
        <v>5</v>
      </c>
      <c r="EW61" s="796">
        <v>0</v>
      </c>
      <c r="EX61" s="796">
        <v>2</v>
      </c>
      <c r="EY61" s="856">
        <v>10</v>
      </c>
      <c r="EZ61" s="906">
        <f>+EY59/EY61</f>
        <v>0.2</v>
      </c>
      <c r="FA61" s="795">
        <f>+EY59</f>
        <v>2</v>
      </c>
    </row>
    <row r="62" spans="1:157">
      <c r="A62" s="73"/>
      <c r="B62" s="73"/>
      <c r="C62" s="738"/>
      <c r="D62" s="738" t="s">
        <v>1292</v>
      </c>
      <c r="E62" s="3262">
        <v>0</v>
      </c>
      <c r="F62" s="3262"/>
      <c r="G62" s="3262"/>
      <c r="H62" s="3262"/>
      <c r="I62" s="3262"/>
      <c r="J62" s="3262">
        <v>0</v>
      </c>
      <c r="K62" s="3262">
        <v>0</v>
      </c>
      <c r="L62" s="3262">
        <v>1</v>
      </c>
      <c r="M62" s="4674"/>
      <c r="N62" s="4674"/>
      <c r="O62" s="4674">
        <v>1</v>
      </c>
      <c r="P62" s="73"/>
      <c r="R62" s="74"/>
      <c r="S62" s="74" t="s">
        <v>21</v>
      </c>
      <c r="T62" s="74" t="s">
        <v>106</v>
      </c>
      <c r="U62" s="74" t="s">
        <v>1288</v>
      </c>
      <c r="V62" s="3229"/>
      <c r="W62" s="3229"/>
      <c r="X62" s="3229"/>
      <c r="Y62" s="3229"/>
      <c r="Z62" s="3229"/>
      <c r="AA62" s="3229"/>
      <c r="AB62" s="3229">
        <v>1</v>
      </c>
      <c r="AC62" s="3229"/>
      <c r="AD62" s="3229"/>
      <c r="AE62" s="121"/>
      <c r="AF62" s="121"/>
      <c r="AG62" s="121">
        <v>1</v>
      </c>
      <c r="AJ62" s="161"/>
      <c r="AK62" s="161"/>
      <c r="AL62" s="73"/>
      <c r="AM62" s="73" t="s">
        <v>1288</v>
      </c>
      <c r="AN62" s="2600">
        <v>0</v>
      </c>
      <c r="AO62" s="2600">
        <v>0</v>
      </c>
      <c r="AP62" s="2600"/>
      <c r="AQ62" s="2600"/>
      <c r="AR62" s="2600"/>
      <c r="AS62" s="2600"/>
      <c r="AT62" s="2600">
        <v>1</v>
      </c>
      <c r="AU62" s="2600">
        <v>0</v>
      </c>
      <c r="AV62" s="2600">
        <v>0</v>
      </c>
      <c r="AW62" s="161">
        <v>0</v>
      </c>
      <c r="AX62" s="161">
        <v>0</v>
      </c>
      <c r="AY62" s="161">
        <v>1</v>
      </c>
      <c r="AZ62" s="161"/>
      <c r="BB62" s="2191"/>
      <c r="BC62" s="2191" t="s">
        <v>105</v>
      </c>
      <c r="BD62" s="2192" t="s">
        <v>106</v>
      </c>
      <c r="BE62" s="2193" t="s">
        <v>1284</v>
      </c>
      <c r="BF62" s="2194"/>
      <c r="BG62" s="2194"/>
      <c r="BH62" s="2195">
        <v>0</v>
      </c>
      <c r="BI62" s="2195">
        <v>0</v>
      </c>
      <c r="BJ62" s="2195">
        <v>1</v>
      </c>
      <c r="BK62" s="2195">
        <v>0</v>
      </c>
      <c r="BL62" s="2194"/>
      <c r="BM62" s="2194"/>
      <c r="BN62" s="963"/>
      <c r="BO62" s="963"/>
      <c r="BP62" s="964">
        <v>1</v>
      </c>
      <c r="BQ62" s="73"/>
      <c r="BS62" s="879"/>
      <c r="BT62" s="879"/>
      <c r="BU62" s="880"/>
      <c r="BV62" s="907" t="s">
        <v>15</v>
      </c>
      <c r="BW62" s="908"/>
      <c r="BX62" s="908"/>
      <c r="BY62" s="909">
        <v>4</v>
      </c>
      <c r="BZ62" s="908"/>
      <c r="CA62" s="909">
        <v>2</v>
      </c>
      <c r="CB62" s="909">
        <v>2</v>
      </c>
      <c r="CC62" s="908"/>
      <c r="CD62" s="908"/>
      <c r="CE62" s="910"/>
      <c r="CF62" s="910"/>
      <c r="CG62" s="911">
        <v>8</v>
      </c>
      <c r="CH62" s="912">
        <f>+CG61/CG62</f>
        <v>0.375</v>
      </c>
      <c r="CJ62" s="885"/>
      <c r="CK62" s="885"/>
      <c r="CL62" s="885"/>
      <c r="CM62" s="897" t="s">
        <v>888</v>
      </c>
      <c r="CN62" s="898"/>
      <c r="CO62" s="899">
        <v>1</v>
      </c>
      <c r="CP62" s="899">
        <v>2</v>
      </c>
      <c r="CQ62" s="899">
        <v>18</v>
      </c>
      <c r="CR62" s="899">
        <v>17</v>
      </c>
      <c r="CS62" s="899">
        <v>16</v>
      </c>
      <c r="CT62" s="899">
        <v>7</v>
      </c>
      <c r="CU62" s="898"/>
      <c r="CV62" s="898"/>
      <c r="CW62" s="900"/>
      <c r="CX62" s="900"/>
      <c r="CY62" s="901">
        <v>61</v>
      </c>
      <c r="CZ62" s="891">
        <f>+(CY61+CY60+CY57)/CY62</f>
        <v>0.21311475409836064</v>
      </c>
      <c r="DB62" s="892"/>
      <c r="DC62" s="892"/>
      <c r="DD62" s="892"/>
      <c r="DE62" s="893" t="s">
        <v>1292</v>
      </c>
      <c r="DF62" s="894"/>
      <c r="DG62" s="894"/>
      <c r="DH62" s="894"/>
      <c r="DI62" s="894"/>
      <c r="DJ62" s="894"/>
      <c r="DK62" s="895">
        <v>0</v>
      </c>
      <c r="DL62" s="895">
        <v>0</v>
      </c>
      <c r="DM62" s="895">
        <v>5</v>
      </c>
      <c r="DN62" s="894"/>
      <c r="DO62" s="894"/>
      <c r="DP62" s="895">
        <v>5</v>
      </c>
      <c r="DQ62" s="792"/>
      <c r="DS62" s="121"/>
      <c r="DT62" s="121"/>
      <c r="DU62" s="74"/>
      <c r="DV62" s="74" t="s">
        <v>1284</v>
      </c>
      <c r="DW62" s="121"/>
      <c r="DX62" s="121">
        <v>1</v>
      </c>
      <c r="DY62" s="121"/>
      <c r="DZ62" s="121"/>
      <c r="EA62" s="121"/>
      <c r="EB62" s="121">
        <v>0</v>
      </c>
      <c r="EC62" s="121">
        <v>0</v>
      </c>
      <c r="ED62" s="121">
        <v>0</v>
      </c>
      <c r="EE62" s="121"/>
      <c r="EF62" s="121"/>
      <c r="EG62" s="121">
        <v>1</v>
      </c>
      <c r="EH62" s="74"/>
      <c r="EI62" s="74"/>
      <c r="EJ62" s="793"/>
      <c r="EK62" s="793"/>
      <c r="EL62" s="793" t="s">
        <v>125</v>
      </c>
      <c r="EM62" s="793" t="s">
        <v>1284</v>
      </c>
      <c r="EN62" s="793">
        <v>0</v>
      </c>
      <c r="EO62" s="793">
        <v>0</v>
      </c>
      <c r="EP62" s="793">
        <v>0</v>
      </c>
      <c r="EQ62" s="793">
        <v>0</v>
      </c>
      <c r="ER62" s="793">
        <v>0</v>
      </c>
      <c r="ES62" s="793">
        <v>0</v>
      </c>
      <c r="ET62" s="793">
        <v>0</v>
      </c>
      <c r="EU62" s="793">
        <v>2</v>
      </c>
      <c r="EV62" s="793">
        <v>0</v>
      </c>
      <c r="EW62" s="793">
        <v>0</v>
      </c>
      <c r="EX62" s="793">
        <v>0</v>
      </c>
      <c r="EY62" s="794">
        <v>2</v>
      </c>
      <c r="EZ62" s="896"/>
      <c r="FA62" s="795"/>
    </row>
    <row r="63" spans="1:157">
      <c r="A63" s="73"/>
      <c r="B63" s="73"/>
      <c r="C63" s="738"/>
      <c r="D63" s="738" t="s">
        <v>1293</v>
      </c>
      <c r="E63" s="3262">
        <v>0</v>
      </c>
      <c r="F63" s="3262"/>
      <c r="G63" s="3262"/>
      <c r="H63" s="3262"/>
      <c r="I63" s="3262"/>
      <c r="J63" s="3262">
        <v>1</v>
      </c>
      <c r="K63" s="3262">
        <v>2</v>
      </c>
      <c r="L63" s="3262">
        <v>0</v>
      </c>
      <c r="M63" s="4674"/>
      <c r="N63" s="4674"/>
      <c r="O63" s="4674">
        <v>3</v>
      </c>
      <c r="P63" s="73"/>
      <c r="R63" s="74"/>
      <c r="S63" s="74"/>
      <c r="T63" s="74"/>
      <c r="U63" s="761" t="s">
        <v>15</v>
      </c>
      <c r="V63" s="3230"/>
      <c r="W63" s="3230"/>
      <c r="X63" s="3230"/>
      <c r="Y63" s="3230"/>
      <c r="Z63" s="3230"/>
      <c r="AA63" s="3230"/>
      <c r="AB63" s="3230">
        <v>1</v>
      </c>
      <c r="AC63" s="3230"/>
      <c r="AD63" s="3230"/>
      <c r="AE63" s="729"/>
      <c r="AF63" s="729"/>
      <c r="AG63" s="729">
        <v>1</v>
      </c>
      <c r="AH63" s="4681">
        <f>+AG62/AG63</f>
        <v>1</v>
      </c>
      <c r="AJ63" s="161"/>
      <c r="AK63" s="161"/>
      <c r="AL63" s="73"/>
      <c r="AM63" s="73" t="s">
        <v>1292</v>
      </c>
      <c r="AN63" s="2600">
        <v>0</v>
      </c>
      <c r="AO63" s="2600">
        <v>0</v>
      </c>
      <c r="AP63" s="2600"/>
      <c r="AQ63" s="2600"/>
      <c r="AR63" s="2600"/>
      <c r="AS63" s="2600"/>
      <c r="AT63" s="2600">
        <v>0</v>
      </c>
      <c r="AU63" s="2600">
        <v>1</v>
      </c>
      <c r="AV63" s="2600">
        <v>1</v>
      </c>
      <c r="AW63" s="161">
        <v>2</v>
      </c>
      <c r="AX63" s="161">
        <v>1</v>
      </c>
      <c r="AY63" s="161">
        <v>5</v>
      </c>
      <c r="AZ63" s="161"/>
      <c r="BB63" s="2191"/>
      <c r="BC63" s="2191"/>
      <c r="BD63" s="2192"/>
      <c r="BE63" s="2193" t="s">
        <v>1288</v>
      </c>
      <c r="BF63" s="2194"/>
      <c r="BG63" s="2194"/>
      <c r="BH63" s="2195">
        <v>0</v>
      </c>
      <c r="BI63" s="2195">
        <v>2</v>
      </c>
      <c r="BJ63" s="2195">
        <v>0</v>
      </c>
      <c r="BK63" s="2195">
        <v>0</v>
      </c>
      <c r="BL63" s="2194"/>
      <c r="BM63" s="2194"/>
      <c r="BN63" s="963"/>
      <c r="BO63" s="963"/>
      <c r="BP63" s="964">
        <v>2</v>
      </c>
      <c r="BQ63" s="73"/>
      <c r="BS63" s="879"/>
      <c r="BT63" s="879"/>
      <c r="BU63" s="880" t="s">
        <v>888</v>
      </c>
      <c r="BV63" s="881" t="s">
        <v>1289</v>
      </c>
      <c r="BW63" s="882"/>
      <c r="BX63" s="882"/>
      <c r="BY63" s="883">
        <v>1</v>
      </c>
      <c r="BZ63" s="882"/>
      <c r="CA63" s="883">
        <v>2</v>
      </c>
      <c r="CB63" s="883">
        <v>2</v>
      </c>
      <c r="CC63" s="882"/>
      <c r="CD63" s="882"/>
      <c r="CE63" s="879"/>
      <c r="CF63" s="879"/>
      <c r="CG63" s="884">
        <v>5</v>
      </c>
      <c r="CH63" s="161"/>
      <c r="CJ63" s="885"/>
      <c r="CK63" s="885"/>
      <c r="CL63" s="897" t="s">
        <v>107</v>
      </c>
      <c r="CM63" s="886" t="s">
        <v>1283</v>
      </c>
      <c r="CN63" s="887"/>
      <c r="CO63" s="888">
        <v>0</v>
      </c>
      <c r="CP63" s="888">
        <v>0</v>
      </c>
      <c r="CQ63" s="888">
        <v>1</v>
      </c>
      <c r="CR63" s="888">
        <v>0</v>
      </c>
      <c r="CS63" s="888">
        <v>0</v>
      </c>
      <c r="CT63" s="888">
        <v>0</v>
      </c>
      <c r="CU63" s="888">
        <v>0</v>
      </c>
      <c r="CV63" s="888">
        <v>2</v>
      </c>
      <c r="CW63" s="889"/>
      <c r="CX63" s="889"/>
      <c r="CY63" s="890">
        <v>3</v>
      </c>
      <c r="CZ63" s="891"/>
      <c r="DB63" s="892"/>
      <c r="DC63" s="892"/>
      <c r="DD63" s="892"/>
      <c r="DE63" s="893" t="s">
        <v>1398</v>
      </c>
      <c r="DF63" s="894"/>
      <c r="DG63" s="894"/>
      <c r="DH63" s="894"/>
      <c r="DI63" s="894"/>
      <c r="DJ63" s="894"/>
      <c r="DK63" s="895">
        <v>1</v>
      </c>
      <c r="DL63" s="895">
        <v>2</v>
      </c>
      <c r="DM63" s="895">
        <v>0</v>
      </c>
      <c r="DN63" s="894"/>
      <c r="DO63" s="894"/>
      <c r="DP63" s="895">
        <v>3</v>
      </c>
      <c r="DQ63" s="792"/>
      <c r="DS63" s="121"/>
      <c r="DT63" s="121"/>
      <c r="DU63" s="74"/>
      <c r="DV63" s="74" t="s">
        <v>1288</v>
      </c>
      <c r="DW63" s="121"/>
      <c r="DX63" s="121">
        <v>0</v>
      </c>
      <c r="DY63" s="121"/>
      <c r="DZ63" s="121"/>
      <c r="EA63" s="121"/>
      <c r="EB63" s="121">
        <v>1</v>
      </c>
      <c r="EC63" s="121">
        <v>1</v>
      </c>
      <c r="ED63" s="121">
        <v>0</v>
      </c>
      <c r="EE63" s="121"/>
      <c r="EF63" s="121"/>
      <c r="EG63" s="121">
        <v>2</v>
      </c>
      <c r="EH63" s="74"/>
      <c r="EI63" s="74"/>
      <c r="EJ63" s="793"/>
      <c r="EK63" s="793"/>
      <c r="EL63" s="793"/>
      <c r="EM63" s="793" t="s">
        <v>1288</v>
      </c>
      <c r="EN63" s="793">
        <v>0</v>
      </c>
      <c r="EO63" s="793">
        <v>0</v>
      </c>
      <c r="EP63" s="793">
        <v>0</v>
      </c>
      <c r="EQ63" s="793">
        <v>0</v>
      </c>
      <c r="ER63" s="793">
        <v>0</v>
      </c>
      <c r="ES63" s="793">
        <v>0</v>
      </c>
      <c r="ET63" s="793">
        <v>0</v>
      </c>
      <c r="EU63" s="793">
        <v>0</v>
      </c>
      <c r="EV63" s="793">
        <v>0</v>
      </c>
      <c r="EW63" s="793">
        <v>1</v>
      </c>
      <c r="EX63" s="793">
        <v>0</v>
      </c>
      <c r="EY63" s="794">
        <v>1</v>
      </c>
      <c r="EZ63" s="896"/>
      <c r="FA63" s="795"/>
    </row>
    <row r="64" spans="1:157">
      <c r="A64" s="73"/>
      <c r="B64" s="73"/>
      <c r="C64" s="738"/>
      <c r="D64" s="738" t="s">
        <v>1398</v>
      </c>
      <c r="E64" s="3262">
        <v>0</v>
      </c>
      <c r="F64" s="3262"/>
      <c r="G64" s="3262"/>
      <c r="H64" s="3262"/>
      <c r="I64" s="3262"/>
      <c r="J64" s="3262">
        <v>1</v>
      </c>
      <c r="K64" s="3262">
        <v>0</v>
      </c>
      <c r="L64" s="3262">
        <v>0</v>
      </c>
      <c r="M64" s="4674"/>
      <c r="N64" s="4674"/>
      <c r="O64" s="4674">
        <v>1</v>
      </c>
      <c r="P64" s="73"/>
      <c r="R64" s="74"/>
      <c r="S64" s="74"/>
      <c r="T64" s="74" t="s">
        <v>1692</v>
      </c>
      <c r="U64" s="74" t="s">
        <v>1284</v>
      </c>
      <c r="V64" s="3229"/>
      <c r="W64" s="3229"/>
      <c r="X64" s="3229"/>
      <c r="Y64" s="3229"/>
      <c r="Z64" s="3229">
        <v>0</v>
      </c>
      <c r="AA64" s="3229">
        <v>3</v>
      </c>
      <c r="AB64" s="3229">
        <v>0</v>
      </c>
      <c r="AC64" s="3229">
        <v>2</v>
      </c>
      <c r="AD64" s="3229">
        <v>0</v>
      </c>
      <c r="AE64" s="121"/>
      <c r="AF64" s="121"/>
      <c r="AG64" s="121">
        <v>5</v>
      </c>
      <c r="AJ64" s="161"/>
      <c r="AK64" s="161"/>
      <c r="AL64" s="73"/>
      <c r="AM64" s="73" t="s">
        <v>1936</v>
      </c>
      <c r="AN64" s="2600">
        <v>1</v>
      </c>
      <c r="AO64" s="2600">
        <v>0</v>
      </c>
      <c r="AP64" s="2600"/>
      <c r="AQ64" s="2600"/>
      <c r="AR64" s="2600"/>
      <c r="AS64" s="2600"/>
      <c r="AT64" s="2600">
        <v>0</v>
      </c>
      <c r="AU64" s="2600">
        <v>0</v>
      </c>
      <c r="AV64" s="2600">
        <v>0</v>
      </c>
      <c r="AW64" s="161">
        <v>0</v>
      </c>
      <c r="AX64" s="161">
        <v>0</v>
      </c>
      <c r="AY64" s="161">
        <v>1</v>
      </c>
      <c r="AZ64" s="161"/>
      <c r="BB64" s="2191"/>
      <c r="BC64" s="2191"/>
      <c r="BD64" s="2192"/>
      <c r="BE64" s="2193" t="s">
        <v>1289</v>
      </c>
      <c r="BF64" s="2194"/>
      <c r="BG64" s="2194"/>
      <c r="BH64" s="2195">
        <v>4</v>
      </c>
      <c r="BI64" s="2195">
        <v>4</v>
      </c>
      <c r="BJ64" s="2195">
        <v>6</v>
      </c>
      <c r="BK64" s="2195">
        <v>10</v>
      </c>
      <c r="BL64" s="2194"/>
      <c r="BM64" s="2194"/>
      <c r="BN64" s="963"/>
      <c r="BO64" s="963"/>
      <c r="BP64" s="964">
        <v>24</v>
      </c>
      <c r="BQ64" s="73"/>
      <c r="BS64" s="879"/>
      <c r="BT64" s="879"/>
      <c r="BU64" s="880"/>
      <c r="BV64" s="881" t="s">
        <v>1398</v>
      </c>
      <c r="BW64" s="882"/>
      <c r="BX64" s="882"/>
      <c r="BY64" s="883">
        <v>3</v>
      </c>
      <c r="BZ64" s="882"/>
      <c r="CA64" s="883">
        <v>0</v>
      </c>
      <c r="CB64" s="883">
        <v>0</v>
      </c>
      <c r="CC64" s="882"/>
      <c r="CD64" s="882"/>
      <c r="CE64" s="879"/>
      <c r="CF64" s="879"/>
      <c r="CG64" s="884">
        <v>3</v>
      </c>
      <c r="CH64" s="161"/>
      <c r="CJ64" s="885"/>
      <c r="CK64" s="885"/>
      <c r="CL64" s="885"/>
      <c r="CM64" s="886" t="s">
        <v>1284</v>
      </c>
      <c r="CN64" s="887"/>
      <c r="CO64" s="888">
        <v>2</v>
      </c>
      <c r="CP64" s="888">
        <v>2</v>
      </c>
      <c r="CQ64" s="888">
        <v>1</v>
      </c>
      <c r="CR64" s="888">
        <v>1</v>
      </c>
      <c r="CS64" s="888">
        <v>4</v>
      </c>
      <c r="CT64" s="888">
        <v>28</v>
      </c>
      <c r="CU64" s="888">
        <v>9</v>
      </c>
      <c r="CV64" s="888">
        <v>0</v>
      </c>
      <c r="CW64" s="889"/>
      <c r="CX64" s="889"/>
      <c r="CY64" s="890">
        <v>47</v>
      </c>
      <c r="CZ64" s="891"/>
      <c r="DB64" s="892"/>
      <c r="DC64" s="892"/>
      <c r="DD64" s="892"/>
      <c r="DE64" s="902" t="s">
        <v>15</v>
      </c>
      <c r="DF64" s="903"/>
      <c r="DG64" s="903"/>
      <c r="DH64" s="903"/>
      <c r="DI64" s="903"/>
      <c r="DJ64" s="903"/>
      <c r="DK64" s="904">
        <v>1</v>
      </c>
      <c r="DL64" s="904">
        <v>4</v>
      </c>
      <c r="DM64" s="904">
        <v>6</v>
      </c>
      <c r="DN64" s="903"/>
      <c r="DO64" s="903"/>
      <c r="DP64" s="904">
        <v>11</v>
      </c>
      <c r="DQ64" s="905">
        <f>+(DP63+DP61)/DP64</f>
        <v>0.45454545454545453</v>
      </c>
      <c r="DS64" s="121"/>
      <c r="DT64" s="121"/>
      <c r="DU64" s="74"/>
      <c r="DV64" s="74" t="s">
        <v>1292</v>
      </c>
      <c r="DW64" s="121"/>
      <c r="DX64" s="121">
        <v>0</v>
      </c>
      <c r="DY64" s="121"/>
      <c r="DZ64" s="121"/>
      <c r="EA64" s="121"/>
      <c r="EB64" s="121">
        <v>0</v>
      </c>
      <c r="EC64" s="121">
        <v>0</v>
      </c>
      <c r="ED64" s="121">
        <v>9</v>
      </c>
      <c r="EE64" s="121"/>
      <c r="EF64" s="121"/>
      <c r="EG64" s="121">
        <v>9</v>
      </c>
      <c r="EH64" s="74"/>
      <c r="EI64" s="74"/>
      <c r="EJ64" s="793"/>
      <c r="EK64" s="793"/>
      <c r="EL64" s="793"/>
      <c r="EM64" s="793" t="s">
        <v>1292</v>
      </c>
      <c r="EN64" s="793">
        <v>0</v>
      </c>
      <c r="EO64" s="793">
        <v>0</v>
      </c>
      <c r="EP64" s="793">
        <v>0</v>
      </c>
      <c r="EQ64" s="793">
        <v>0</v>
      </c>
      <c r="ER64" s="793">
        <v>0</v>
      </c>
      <c r="ES64" s="793">
        <v>0</v>
      </c>
      <c r="ET64" s="793">
        <v>0</v>
      </c>
      <c r="EU64" s="793">
        <v>3</v>
      </c>
      <c r="EV64" s="793">
        <v>2</v>
      </c>
      <c r="EW64" s="793">
        <v>1</v>
      </c>
      <c r="EX64" s="793">
        <v>1</v>
      </c>
      <c r="EY64" s="794">
        <v>7</v>
      </c>
      <c r="EZ64" s="896"/>
      <c r="FA64" s="795"/>
    </row>
    <row r="65" spans="1:157">
      <c r="A65" s="73"/>
      <c r="B65" s="73"/>
      <c r="C65" s="73"/>
      <c r="D65" s="738" t="s">
        <v>573</v>
      </c>
      <c r="E65" s="3262">
        <v>1</v>
      </c>
      <c r="F65" s="3262"/>
      <c r="G65" s="3262"/>
      <c r="H65" s="3262"/>
      <c r="I65" s="3262"/>
      <c r="J65" s="3262">
        <v>18</v>
      </c>
      <c r="K65" s="3262">
        <v>10</v>
      </c>
      <c r="L65" s="3262">
        <v>2</v>
      </c>
      <c r="M65" s="4674"/>
      <c r="N65" s="4674"/>
      <c r="O65" s="4674">
        <v>31</v>
      </c>
      <c r="P65" s="912">
        <f>+(O64+O63+O61)/O65</f>
        <v>0.32258064516129031</v>
      </c>
      <c r="Q65" s="3197"/>
      <c r="R65" s="74"/>
      <c r="S65" s="74"/>
      <c r="T65" s="74"/>
      <c r="U65" s="74" t="s">
        <v>1288</v>
      </c>
      <c r="V65" s="3229"/>
      <c r="W65" s="3229"/>
      <c r="X65" s="3229"/>
      <c r="Y65" s="3229"/>
      <c r="Z65" s="3229">
        <v>1</v>
      </c>
      <c r="AA65" s="3229">
        <v>0</v>
      </c>
      <c r="AB65" s="3229">
        <v>1</v>
      </c>
      <c r="AC65" s="3229">
        <v>0</v>
      </c>
      <c r="AD65" s="3229">
        <v>0</v>
      </c>
      <c r="AE65" s="121"/>
      <c r="AF65" s="121"/>
      <c r="AG65" s="121">
        <v>2</v>
      </c>
      <c r="AJ65" s="161"/>
      <c r="AK65" s="161"/>
      <c r="AL65" s="73"/>
      <c r="AM65" s="73" t="s">
        <v>1293</v>
      </c>
      <c r="AN65" s="2600">
        <v>0</v>
      </c>
      <c r="AO65" s="2600">
        <v>0</v>
      </c>
      <c r="AP65" s="2600"/>
      <c r="AQ65" s="2600"/>
      <c r="AR65" s="2600"/>
      <c r="AS65" s="2600"/>
      <c r="AT65" s="2600">
        <v>7</v>
      </c>
      <c r="AU65" s="2600">
        <v>3</v>
      </c>
      <c r="AV65" s="2600">
        <v>1</v>
      </c>
      <c r="AW65" s="161">
        <v>0</v>
      </c>
      <c r="AX65" s="161">
        <v>0</v>
      </c>
      <c r="AY65" s="161">
        <v>11</v>
      </c>
      <c r="AZ65" s="161"/>
      <c r="BB65" s="2191"/>
      <c r="BC65" s="2191"/>
      <c r="BD65" s="2192"/>
      <c r="BE65" s="2193" t="s">
        <v>1398</v>
      </c>
      <c r="BF65" s="2194"/>
      <c r="BG65" s="2194"/>
      <c r="BH65" s="2195">
        <v>0</v>
      </c>
      <c r="BI65" s="2195">
        <v>0</v>
      </c>
      <c r="BJ65" s="2195">
        <v>1</v>
      </c>
      <c r="BK65" s="2195">
        <v>2</v>
      </c>
      <c r="BL65" s="2194"/>
      <c r="BM65" s="2194"/>
      <c r="BN65" s="963"/>
      <c r="BO65" s="963"/>
      <c r="BP65" s="964">
        <v>3</v>
      </c>
      <c r="BQ65" s="73"/>
      <c r="BS65" s="879"/>
      <c r="BT65" s="879"/>
      <c r="BU65" s="880"/>
      <c r="BV65" s="907" t="s">
        <v>888</v>
      </c>
      <c r="BW65" s="908"/>
      <c r="BX65" s="908"/>
      <c r="BY65" s="909">
        <v>4</v>
      </c>
      <c r="BZ65" s="908"/>
      <c r="CA65" s="909">
        <v>2</v>
      </c>
      <c r="CB65" s="909">
        <v>2</v>
      </c>
      <c r="CC65" s="908"/>
      <c r="CD65" s="908"/>
      <c r="CE65" s="910"/>
      <c r="CF65" s="910"/>
      <c r="CG65" s="911">
        <v>8</v>
      </c>
      <c r="CH65" s="912">
        <f>+CG64/CG65</f>
        <v>0.375</v>
      </c>
      <c r="CJ65" s="885"/>
      <c r="CK65" s="885"/>
      <c r="CL65" s="885"/>
      <c r="CM65" s="886" t="s">
        <v>1286</v>
      </c>
      <c r="CN65" s="887"/>
      <c r="CO65" s="888">
        <v>3</v>
      </c>
      <c r="CP65" s="888">
        <v>0</v>
      </c>
      <c r="CQ65" s="888">
        <v>0</v>
      </c>
      <c r="CR65" s="888">
        <v>0</v>
      </c>
      <c r="CS65" s="888">
        <v>0</v>
      </c>
      <c r="CT65" s="888">
        <v>0</v>
      </c>
      <c r="CU65" s="888">
        <v>0</v>
      </c>
      <c r="CV65" s="888">
        <v>0</v>
      </c>
      <c r="CW65" s="889"/>
      <c r="CX65" s="889"/>
      <c r="CY65" s="890">
        <v>3</v>
      </c>
      <c r="CZ65" s="891"/>
      <c r="DB65" s="892"/>
      <c r="DC65" s="892"/>
      <c r="DD65" s="892" t="s">
        <v>125</v>
      </c>
      <c r="DE65" s="893" t="s">
        <v>1283</v>
      </c>
      <c r="DF65" s="895">
        <v>0</v>
      </c>
      <c r="DG65" s="894"/>
      <c r="DH65" s="894"/>
      <c r="DI65" s="894"/>
      <c r="DJ65" s="894"/>
      <c r="DK65" s="895">
        <v>0</v>
      </c>
      <c r="DL65" s="895">
        <v>0</v>
      </c>
      <c r="DM65" s="895">
        <v>1</v>
      </c>
      <c r="DN65" s="895">
        <v>0</v>
      </c>
      <c r="DO65" s="895">
        <v>2</v>
      </c>
      <c r="DP65" s="895">
        <v>3</v>
      </c>
      <c r="DQ65" s="792"/>
      <c r="DS65" s="121"/>
      <c r="DT65" s="121"/>
      <c r="DU65" s="74"/>
      <c r="DV65" s="761" t="s">
        <v>15</v>
      </c>
      <c r="DW65" s="729"/>
      <c r="DX65" s="729">
        <v>1</v>
      </c>
      <c r="DY65" s="729"/>
      <c r="DZ65" s="729"/>
      <c r="EA65" s="729"/>
      <c r="EB65" s="729">
        <v>1</v>
      </c>
      <c r="EC65" s="729">
        <v>1</v>
      </c>
      <c r="ED65" s="729">
        <v>11</v>
      </c>
      <c r="EE65" s="729"/>
      <c r="EF65" s="729"/>
      <c r="EG65" s="729">
        <v>14</v>
      </c>
      <c r="EH65" s="813">
        <f>+EG63/EG65</f>
        <v>0.14285714285714285</v>
      </c>
      <c r="EI65" s="74"/>
      <c r="EJ65" s="793"/>
      <c r="EK65" s="793"/>
      <c r="EL65" s="793"/>
      <c r="EM65" s="793" t="s">
        <v>1398</v>
      </c>
      <c r="EN65" s="793">
        <v>0</v>
      </c>
      <c r="EO65" s="793">
        <v>0</v>
      </c>
      <c r="EP65" s="793">
        <v>0</v>
      </c>
      <c r="EQ65" s="793">
        <v>0</v>
      </c>
      <c r="ER65" s="793">
        <v>0</v>
      </c>
      <c r="ES65" s="793">
        <v>0</v>
      </c>
      <c r="ET65" s="793">
        <v>2</v>
      </c>
      <c r="EU65" s="793">
        <v>3</v>
      </c>
      <c r="EV65" s="793">
        <v>0</v>
      </c>
      <c r="EW65" s="793">
        <v>0</v>
      </c>
      <c r="EX65" s="793">
        <v>0</v>
      </c>
      <c r="EY65" s="794">
        <v>5</v>
      </c>
      <c r="EZ65" s="896"/>
      <c r="FA65" s="795"/>
    </row>
    <row r="66" spans="1:157">
      <c r="A66" s="73"/>
      <c r="B66" s="73" t="s">
        <v>21</v>
      </c>
      <c r="C66" s="73" t="s">
        <v>1692</v>
      </c>
      <c r="D66" s="73" t="s">
        <v>1288</v>
      </c>
      <c r="E66" s="3261"/>
      <c r="F66" s="3261"/>
      <c r="G66" s="3261"/>
      <c r="H66" s="3261"/>
      <c r="I66" s="3261"/>
      <c r="J66" s="3261"/>
      <c r="K66" s="3261">
        <v>1</v>
      </c>
      <c r="L66" s="3261">
        <v>0</v>
      </c>
      <c r="M66" s="161"/>
      <c r="N66" s="161"/>
      <c r="O66" s="161">
        <v>1</v>
      </c>
      <c r="P66" s="73"/>
      <c r="R66" s="74"/>
      <c r="S66" s="74"/>
      <c r="T66" s="74"/>
      <c r="U66" s="74" t="s">
        <v>1292</v>
      </c>
      <c r="V66" s="3229"/>
      <c r="W66" s="3229"/>
      <c r="X66" s="3229"/>
      <c r="Y66" s="3229"/>
      <c r="Z66" s="3229">
        <v>0</v>
      </c>
      <c r="AA66" s="3229">
        <v>0</v>
      </c>
      <c r="AB66" s="3229">
        <v>0</v>
      </c>
      <c r="AC66" s="3229">
        <v>0</v>
      </c>
      <c r="AD66" s="3229">
        <v>1</v>
      </c>
      <c r="AE66" s="121"/>
      <c r="AF66" s="121"/>
      <c r="AG66" s="121">
        <v>1</v>
      </c>
      <c r="AJ66" s="161"/>
      <c r="AK66" s="161"/>
      <c r="AL66" s="73"/>
      <c r="AM66" s="73" t="s">
        <v>1398</v>
      </c>
      <c r="AN66" s="2600">
        <v>0</v>
      </c>
      <c r="AO66" s="2600">
        <v>0</v>
      </c>
      <c r="AP66" s="2600"/>
      <c r="AQ66" s="2600"/>
      <c r="AR66" s="2600"/>
      <c r="AS66" s="2600"/>
      <c r="AT66" s="2600">
        <v>1</v>
      </c>
      <c r="AU66" s="2600">
        <v>11</v>
      </c>
      <c r="AV66" s="2600">
        <v>0</v>
      </c>
      <c r="AW66" s="161">
        <v>0</v>
      </c>
      <c r="AX66" s="161">
        <v>0</v>
      </c>
      <c r="AY66" s="161">
        <v>12</v>
      </c>
      <c r="AZ66" s="161"/>
      <c r="BB66" s="2191"/>
      <c r="BC66" s="2191"/>
      <c r="BD66" s="2192"/>
      <c r="BE66" s="760" t="s">
        <v>15</v>
      </c>
      <c r="BF66" s="2196"/>
      <c r="BG66" s="2196"/>
      <c r="BH66" s="2197">
        <v>4</v>
      </c>
      <c r="BI66" s="2197">
        <v>6</v>
      </c>
      <c r="BJ66" s="2197">
        <v>8</v>
      </c>
      <c r="BK66" s="2197">
        <v>12</v>
      </c>
      <c r="BL66" s="2196"/>
      <c r="BM66" s="2196"/>
      <c r="BN66" s="972"/>
      <c r="BO66" s="972"/>
      <c r="BP66" s="973">
        <v>30</v>
      </c>
      <c r="BQ66" s="2154">
        <f>+(BP63+BP65)/BP66</f>
        <v>0.16666666666666666</v>
      </c>
      <c r="BS66" s="879"/>
      <c r="BT66" s="879"/>
      <c r="BU66" s="907" t="s">
        <v>107</v>
      </c>
      <c r="BV66" s="881" t="s">
        <v>1283</v>
      </c>
      <c r="BW66" s="883">
        <v>0</v>
      </c>
      <c r="BX66" s="883">
        <v>0</v>
      </c>
      <c r="BY66" s="883">
        <v>0</v>
      </c>
      <c r="BZ66" s="882"/>
      <c r="CA66" s="883">
        <v>0</v>
      </c>
      <c r="CB66" s="883">
        <v>0</v>
      </c>
      <c r="CC66" s="883">
        <v>1</v>
      </c>
      <c r="CD66" s="883">
        <v>5</v>
      </c>
      <c r="CE66" s="879"/>
      <c r="CF66" s="879"/>
      <c r="CG66" s="884">
        <v>6</v>
      </c>
      <c r="CH66" s="161"/>
      <c r="CJ66" s="885"/>
      <c r="CK66" s="885"/>
      <c r="CL66" s="885"/>
      <c r="CM66" s="886" t="s">
        <v>1288</v>
      </c>
      <c r="CN66" s="887"/>
      <c r="CO66" s="888">
        <v>0</v>
      </c>
      <c r="CP66" s="888">
        <v>0</v>
      </c>
      <c r="CQ66" s="888">
        <v>0</v>
      </c>
      <c r="CR66" s="888">
        <v>1</v>
      </c>
      <c r="CS66" s="888">
        <v>0</v>
      </c>
      <c r="CT66" s="888">
        <v>8</v>
      </c>
      <c r="CU66" s="888">
        <v>1</v>
      </c>
      <c r="CV66" s="888">
        <v>0</v>
      </c>
      <c r="CW66" s="889"/>
      <c r="CX66" s="889"/>
      <c r="CY66" s="890">
        <v>10</v>
      </c>
      <c r="CZ66" s="891"/>
      <c r="DB66" s="892"/>
      <c r="DC66" s="892"/>
      <c r="DD66" s="892"/>
      <c r="DE66" s="893" t="s">
        <v>1284</v>
      </c>
      <c r="DF66" s="895">
        <v>1</v>
      </c>
      <c r="DG66" s="894"/>
      <c r="DH66" s="894"/>
      <c r="DI66" s="894"/>
      <c r="DJ66" s="894"/>
      <c r="DK66" s="895">
        <v>2</v>
      </c>
      <c r="DL66" s="895">
        <v>1</v>
      </c>
      <c r="DM66" s="895">
        <v>3</v>
      </c>
      <c r="DN66" s="895">
        <v>0</v>
      </c>
      <c r="DO66" s="895">
        <v>0</v>
      </c>
      <c r="DP66" s="895">
        <v>7</v>
      </c>
      <c r="DQ66" s="792"/>
      <c r="DS66" s="121"/>
      <c r="DT66" s="121"/>
      <c r="DU66" s="74" t="s">
        <v>125</v>
      </c>
      <c r="DV66" s="74" t="s">
        <v>1283</v>
      </c>
      <c r="DW66" s="121">
        <v>0</v>
      </c>
      <c r="DX66" s="121"/>
      <c r="DY66" s="121"/>
      <c r="DZ66" s="121"/>
      <c r="EA66" s="121"/>
      <c r="EB66" s="121"/>
      <c r="EC66" s="121">
        <v>0</v>
      </c>
      <c r="ED66" s="121">
        <v>1</v>
      </c>
      <c r="EE66" s="121"/>
      <c r="EF66" s="121">
        <v>0</v>
      </c>
      <c r="EG66" s="121">
        <v>1</v>
      </c>
      <c r="EH66" s="74"/>
      <c r="EI66" s="74"/>
      <c r="EJ66" s="793"/>
      <c r="EK66" s="793"/>
      <c r="EL66" s="793"/>
      <c r="EM66" s="796" t="s">
        <v>15</v>
      </c>
      <c r="EN66" s="796">
        <v>0</v>
      </c>
      <c r="EO66" s="796">
        <v>0</v>
      </c>
      <c r="EP66" s="796">
        <v>0</v>
      </c>
      <c r="EQ66" s="796">
        <v>0</v>
      </c>
      <c r="ER66" s="796">
        <v>0</v>
      </c>
      <c r="ES66" s="796">
        <v>0</v>
      </c>
      <c r="ET66" s="796">
        <v>2</v>
      </c>
      <c r="EU66" s="796">
        <v>8</v>
      </c>
      <c r="EV66" s="796">
        <v>2</v>
      </c>
      <c r="EW66" s="796">
        <v>2</v>
      </c>
      <c r="EX66" s="796">
        <v>1</v>
      </c>
      <c r="EY66" s="856">
        <v>15</v>
      </c>
      <c r="EZ66" s="906">
        <f>+(EY65+EY63-EW63)/EY66</f>
        <v>0.33333333333333331</v>
      </c>
      <c r="FA66" s="795">
        <f>+EY63+EY65-EW63</f>
        <v>5</v>
      </c>
    </row>
    <row r="67" spans="1:157">
      <c r="A67" s="73"/>
      <c r="B67" s="73"/>
      <c r="C67" s="73"/>
      <c r="D67" s="73" t="s">
        <v>1292</v>
      </c>
      <c r="E67" s="3261"/>
      <c r="F67" s="3261"/>
      <c r="G67" s="3261"/>
      <c r="H67" s="3261"/>
      <c r="I67" s="3261"/>
      <c r="J67" s="3261"/>
      <c r="K67" s="3261">
        <v>0</v>
      </c>
      <c r="L67" s="3261">
        <v>1</v>
      </c>
      <c r="M67" s="161"/>
      <c r="N67" s="161"/>
      <c r="O67" s="161">
        <v>1</v>
      </c>
      <c r="P67" s="73"/>
      <c r="R67" s="74"/>
      <c r="S67" s="74"/>
      <c r="T67" s="74"/>
      <c r="U67" s="74" t="s">
        <v>1293</v>
      </c>
      <c r="V67" s="3229"/>
      <c r="W67" s="3229"/>
      <c r="X67" s="3229"/>
      <c r="Y67" s="3229"/>
      <c r="Z67" s="3229">
        <v>0</v>
      </c>
      <c r="AA67" s="3229">
        <v>2</v>
      </c>
      <c r="AB67" s="3229">
        <v>0</v>
      </c>
      <c r="AC67" s="3229">
        <v>0</v>
      </c>
      <c r="AD67" s="3229">
        <v>0</v>
      </c>
      <c r="AE67" s="121"/>
      <c r="AF67" s="121"/>
      <c r="AG67" s="121">
        <v>2</v>
      </c>
      <c r="AJ67" s="161"/>
      <c r="AK67" s="161"/>
      <c r="AL67" s="73"/>
      <c r="AM67" s="738" t="s">
        <v>573</v>
      </c>
      <c r="AN67" s="2601">
        <v>1</v>
      </c>
      <c r="AO67" s="2601">
        <v>2</v>
      </c>
      <c r="AP67" s="2601"/>
      <c r="AQ67" s="2601"/>
      <c r="AR67" s="2601"/>
      <c r="AS67" s="2601"/>
      <c r="AT67" s="2601">
        <v>22</v>
      </c>
      <c r="AU67" s="2601">
        <v>21</v>
      </c>
      <c r="AV67" s="2601">
        <v>3</v>
      </c>
      <c r="AW67" s="151">
        <v>3</v>
      </c>
      <c r="AX67" s="151">
        <v>1</v>
      </c>
      <c r="AY67" s="151">
        <v>53</v>
      </c>
      <c r="AZ67" s="912">
        <f>+(AY62+AY65+AY66)/AY67</f>
        <v>0.45283018867924529</v>
      </c>
      <c r="BB67" s="2191"/>
      <c r="BC67" s="2191"/>
      <c r="BD67" s="2192" t="s">
        <v>1692</v>
      </c>
      <c r="BE67" s="2193" t="s">
        <v>1284</v>
      </c>
      <c r="BF67" s="2194"/>
      <c r="BG67" s="2194"/>
      <c r="BH67" s="2194"/>
      <c r="BI67" s="2194"/>
      <c r="BJ67" s="2195">
        <v>0</v>
      </c>
      <c r="BK67" s="2194"/>
      <c r="BL67" s="2195">
        <v>1</v>
      </c>
      <c r="BM67" s="2195">
        <v>0</v>
      </c>
      <c r="BN67" s="963"/>
      <c r="BO67" s="963"/>
      <c r="BP67" s="964">
        <v>1</v>
      </c>
      <c r="BQ67" s="73"/>
      <c r="BS67" s="879"/>
      <c r="BT67" s="879"/>
      <c r="BU67" s="880"/>
      <c r="BV67" s="881" t="s">
        <v>1284</v>
      </c>
      <c r="BW67" s="883">
        <v>1</v>
      </c>
      <c r="BX67" s="883">
        <v>0</v>
      </c>
      <c r="BY67" s="883">
        <v>0</v>
      </c>
      <c r="BZ67" s="882"/>
      <c r="CA67" s="883">
        <v>1</v>
      </c>
      <c r="CB67" s="883">
        <v>10</v>
      </c>
      <c r="CC67" s="883">
        <v>15</v>
      </c>
      <c r="CD67" s="883">
        <v>3</v>
      </c>
      <c r="CE67" s="879"/>
      <c r="CF67" s="879"/>
      <c r="CG67" s="884">
        <v>30</v>
      </c>
      <c r="CH67" s="161"/>
      <c r="CJ67" s="885"/>
      <c r="CK67" s="885"/>
      <c r="CL67" s="885"/>
      <c r="CM67" s="886" t="s">
        <v>1289</v>
      </c>
      <c r="CN67" s="887"/>
      <c r="CO67" s="888">
        <v>1</v>
      </c>
      <c r="CP67" s="888">
        <v>2</v>
      </c>
      <c r="CQ67" s="888">
        <v>15</v>
      </c>
      <c r="CR67" s="888">
        <v>10</v>
      </c>
      <c r="CS67" s="888">
        <v>10</v>
      </c>
      <c r="CT67" s="888">
        <v>5</v>
      </c>
      <c r="CU67" s="888">
        <v>0</v>
      </c>
      <c r="CV67" s="888">
        <v>0</v>
      </c>
      <c r="CW67" s="889"/>
      <c r="CX67" s="889"/>
      <c r="CY67" s="890">
        <v>43</v>
      </c>
      <c r="CZ67" s="891"/>
      <c r="DB67" s="892"/>
      <c r="DC67" s="892"/>
      <c r="DD67" s="892"/>
      <c r="DE67" s="893" t="s">
        <v>1288</v>
      </c>
      <c r="DF67" s="895">
        <v>0</v>
      </c>
      <c r="DG67" s="894"/>
      <c r="DH67" s="894"/>
      <c r="DI67" s="894"/>
      <c r="DJ67" s="894"/>
      <c r="DK67" s="895">
        <v>0</v>
      </c>
      <c r="DL67" s="895">
        <v>0</v>
      </c>
      <c r="DM67" s="895">
        <v>0</v>
      </c>
      <c r="DN67" s="895">
        <v>1</v>
      </c>
      <c r="DO67" s="895">
        <v>0</v>
      </c>
      <c r="DP67" s="895">
        <v>1</v>
      </c>
      <c r="DQ67" s="792"/>
      <c r="DS67" s="121"/>
      <c r="DT67" s="121"/>
      <c r="DU67" s="74"/>
      <c r="DV67" s="74" t="s">
        <v>1284</v>
      </c>
      <c r="DW67" s="121">
        <v>1</v>
      </c>
      <c r="DX67" s="121"/>
      <c r="DY67" s="121"/>
      <c r="DZ67" s="121"/>
      <c r="EA67" s="121"/>
      <c r="EB67" s="121"/>
      <c r="EC67" s="121">
        <v>2</v>
      </c>
      <c r="ED67" s="121">
        <v>0</v>
      </c>
      <c r="EE67" s="121"/>
      <c r="EF67" s="121">
        <v>0</v>
      </c>
      <c r="EG67" s="121">
        <v>3</v>
      </c>
      <c r="EH67" s="74"/>
      <c r="EI67" s="74"/>
      <c r="EJ67" s="793"/>
      <c r="EK67" s="793"/>
      <c r="EL67" s="793" t="s">
        <v>1399</v>
      </c>
      <c r="EM67" s="793" t="s">
        <v>1289</v>
      </c>
      <c r="EN67" s="793">
        <v>0</v>
      </c>
      <c r="EO67" s="793">
        <v>0</v>
      </c>
      <c r="EP67" s="793">
        <v>0</v>
      </c>
      <c r="EQ67" s="793">
        <v>0</v>
      </c>
      <c r="ER67" s="793">
        <v>0</v>
      </c>
      <c r="ES67" s="793">
        <v>0</v>
      </c>
      <c r="ET67" s="793">
        <v>1</v>
      </c>
      <c r="EU67" s="793">
        <v>0</v>
      </c>
      <c r="EV67" s="793">
        <v>0</v>
      </c>
      <c r="EW67" s="793">
        <v>0</v>
      </c>
      <c r="EX67" s="793">
        <v>0</v>
      </c>
      <c r="EY67" s="794">
        <v>1</v>
      </c>
      <c r="EZ67" s="896"/>
      <c r="FA67" s="795"/>
    </row>
    <row r="68" spans="1:157">
      <c r="A68" s="73"/>
      <c r="B68" s="73"/>
      <c r="C68" s="73"/>
      <c r="D68" s="738" t="s">
        <v>15</v>
      </c>
      <c r="E68" s="3262"/>
      <c r="F68" s="3262"/>
      <c r="G68" s="3262"/>
      <c r="H68" s="3262"/>
      <c r="I68" s="3262"/>
      <c r="J68" s="3262"/>
      <c r="K68" s="3262">
        <v>1</v>
      </c>
      <c r="L68" s="3262">
        <v>1</v>
      </c>
      <c r="M68" s="4674"/>
      <c r="N68" s="4674"/>
      <c r="O68" s="4674">
        <v>2</v>
      </c>
      <c r="P68" s="912">
        <f>+O66/O68</f>
        <v>0.5</v>
      </c>
      <c r="Q68" s="3197"/>
      <c r="R68" s="74"/>
      <c r="S68" s="74"/>
      <c r="T68" s="74"/>
      <c r="U68" s="74" t="s">
        <v>1398</v>
      </c>
      <c r="V68" s="3229"/>
      <c r="W68" s="3229"/>
      <c r="X68" s="3229"/>
      <c r="Y68" s="3229"/>
      <c r="Z68" s="3229">
        <v>0</v>
      </c>
      <c r="AA68" s="3229">
        <v>1</v>
      </c>
      <c r="AB68" s="3229">
        <v>0</v>
      </c>
      <c r="AC68" s="3229">
        <v>0</v>
      </c>
      <c r="AD68" s="3229">
        <v>0</v>
      </c>
      <c r="AE68" s="121"/>
      <c r="AF68" s="121"/>
      <c r="AG68" s="121">
        <v>1</v>
      </c>
      <c r="AJ68" s="161"/>
      <c r="AK68" s="161" t="s">
        <v>105</v>
      </c>
      <c r="AL68" s="73" t="s">
        <v>1693</v>
      </c>
      <c r="AM68" s="73" t="s">
        <v>1284</v>
      </c>
      <c r="AN68" s="2600"/>
      <c r="AO68" s="2600"/>
      <c r="AP68" s="2600"/>
      <c r="AQ68" s="2600"/>
      <c r="AR68" s="2600"/>
      <c r="AS68" s="2600">
        <v>1</v>
      </c>
      <c r="AT68" s="2600">
        <v>1</v>
      </c>
      <c r="AU68" s="2600"/>
      <c r="AV68" s="2600">
        <v>0</v>
      </c>
      <c r="AW68" s="161"/>
      <c r="AX68" s="161"/>
      <c r="AY68" s="161">
        <v>2</v>
      </c>
      <c r="AZ68" s="161"/>
      <c r="BB68" s="2191"/>
      <c r="BC68" s="2191"/>
      <c r="BD68" s="2192"/>
      <c r="BE68" s="2193" t="s">
        <v>1292</v>
      </c>
      <c r="BF68" s="2194"/>
      <c r="BG68" s="2194"/>
      <c r="BH68" s="2194"/>
      <c r="BI68" s="2194"/>
      <c r="BJ68" s="2195">
        <v>1</v>
      </c>
      <c r="BK68" s="2194"/>
      <c r="BL68" s="2195">
        <v>1</v>
      </c>
      <c r="BM68" s="2195">
        <v>2</v>
      </c>
      <c r="BN68" s="963"/>
      <c r="BO68" s="963"/>
      <c r="BP68" s="964">
        <v>4</v>
      </c>
      <c r="BQ68" s="73"/>
      <c r="BS68" s="879"/>
      <c r="BT68" s="879"/>
      <c r="BU68" s="880"/>
      <c r="BV68" s="881" t="s">
        <v>1286</v>
      </c>
      <c r="BW68" s="883">
        <v>2</v>
      </c>
      <c r="BX68" s="883">
        <v>1</v>
      </c>
      <c r="BY68" s="883">
        <v>0</v>
      </c>
      <c r="BZ68" s="882"/>
      <c r="CA68" s="883">
        <v>0</v>
      </c>
      <c r="CB68" s="883">
        <v>0</v>
      </c>
      <c r="CC68" s="883">
        <v>0</v>
      </c>
      <c r="CD68" s="883">
        <v>0</v>
      </c>
      <c r="CE68" s="879"/>
      <c r="CF68" s="879"/>
      <c r="CG68" s="884">
        <v>3</v>
      </c>
      <c r="CH68" s="161"/>
      <c r="CJ68" s="885"/>
      <c r="CK68" s="885"/>
      <c r="CL68" s="885"/>
      <c r="CM68" s="886" t="s">
        <v>1292</v>
      </c>
      <c r="CN68" s="887"/>
      <c r="CO68" s="888">
        <v>0</v>
      </c>
      <c r="CP68" s="888">
        <v>0</v>
      </c>
      <c r="CQ68" s="888">
        <v>0</v>
      </c>
      <c r="CR68" s="888">
        <v>0</v>
      </c>
      <c r="CS68" s="888">
        <v>2</v>
      </c>
      <c r="CT68" s="888">
        <v>0</v>
      </c>
      <c r="CU68" s="888">
        <v>0</v>
      </c>
      <c r="CV68" s="888">
        <v>9</v>
      </c>
      <c r="CW68" s="889"/>
      <c r="CX68" s="889"/>
      <c r="CY68" s="890">
        <v>11</v>
      </c>
      <c r="CZ68" s="891"/>
      <c r="DB68" s="892"/>
      <c r="DC68" s="892"/>
      <c r="DD68" s="892"/>
      <c r="DE68" s="893" t="s">
        <v>1292</v>
      </c>
      <c r="DF68" s="895">
        <v>0</v>
      </c>
      <c r="DG68" s="894"/>
      <c r="DH68" s="894"/>
      <c r="DI68" s="894"/>
      <c r="DJ68" s="894"/>
      <c r="DK68" s="895">
        <v>0</v>
      </c>
      <c r="DL68" s="895">
        <v>0</v>
      </c>
      <c r="DM68" s="895">
        <v>0</v>
      </c>
      <c r="DN68" s="895">
        <v>2</v>
      </c>
      <c r="DO68" s="895">
        <v>2</v>
      </c>
      <c r="DP68" s="895">
        <v>4</v>
      </c>
      <c r="DQ68" s="792"/>
      <c r="DS68" s="121"/>
      <c r="DT68" s="121"/>
      <c r="DU68" s="74"/>
      <c r="DV68" s="74" t="s">
        <v>1288</v>
      </c>
      <c r="DW68" s="121">
        <v>0</v>
      </c>
      <c r="DX68" s="121"/>
      <c r="DY68" s="121"/>
      <c r="DZ68" s="121"/>
      <c r="EA68" s="121"/>
      <c r="EB68" s="121"/>
      <c r="EC68" s="121">
        <v>0</v>
      </c>
      <c r="ED68" s="121">
        <v>2</v>
      </c>
      <c r="EE68" s="121"/>
      <c r="EF68" s="121">
        <v>0</v>
      </c>
      <c r="EG68" s="121">
        <v>2</v>
      </c>
      <c r="EH68" s="74"/>
      <c r="EI68" s="74"/>
      <c r="EJ68" s="793"/>
      <c r="EK68" s="793"/>
      <c r="EL68" s="793"/>
      <c r="EM68" s="793" t="s">
        <v>1398</v>
      </c>
      <c r="EN68" s="793">
        <v>0</v>
      </c>
      <c r="EO68" s="793">
        <v>0</v>
      </c>
      <c r="EP68" s="793">
        <v>0</v>
      </c>
      <c r="EQ68" s="793">
        <v>0</v>
      </c>
      <c r="ER68" s="793">
        <v>0</v>
      </c>
      <c r="ES68" s="793">
        <v>0</v>
      </c>
      <c r="ET68" s="793">
        <v>1</v>
      </c>
      <c r="EU68" s="793">
        <v>0</v>
      </c>
      <c r="EV68" s="793">
        <v>0</v>
      </c>
      <c r="EW68" s="793">
        <v>0</v>
      </c>
      <c r="EX68" s="793">
        <v>0</v>
      </c>
      <c r="EY68" s="794">
        <v>1</v>
      </c>
      <c r="EZ68" s="896"/>
      <c r="FA68" s="795"/>
    </row>
    <row r="69" spans="1:157">
      <c r="A69" s="73"/>
      <c r="B69" s="73"/>
      <c r="C69" s="73" t="s">
        <v>1693</v>
      </c>
      <c r="D69" s="73" t="s">
        <v>1284</v>
      </c>
      <c r="E69" s="3261"/>
      <c r="F69" s="3261">
        <v>1</v>
      </c>
      <c r="G69" s="3261"/>
      <c r="H69" s="3261"/>
      <c r="I69" s="3261"/>
      <c r="J69" s="3261"/>
      <c r="K69" s="3261"/>
      <c r="L69" s="3261">
        <v>0</v>
      </c>
      <c r="M69" s="161"/>
      <c r="N69" s="161"/>
      <c r="O69" s="161">
        <v>1</v>
      </c>
      <c r="P69" s="73"/>
      <c r="R69" s="74"/>
      <c r="S69" s="74"/>
      <c r="T69" s="74"/>
      <c r="U69" s="761" t="s">
        <v>15</v>
      </c>
      <c r="V69" s="3230"/>
      <c r="W69" s="3230"/>
      <c r="X69" s="3230"/>
      <c r="Y69" s="3230"/>
      <c r="Z69" s="3230">
        <v>1</v>
      </c>
      <c r="AA69" s="3230">
        <v>6</v>
      </c>
      <c r="AB69" s="3230">
        <v>1</v>
      </c>
      <c r="AC69" s="3230">
        <v>2</v>
      </c>
      <c r="AD69" s="3230">
        <v>1</v>
      </c>
      <c r="AE69" s="729"/>
      <c r="AF69" s="729"/>
      <c r="AG69" s="729">
        <v>11</v>
      </c>
      <c r="AH69" s="4681">
        <f>+(AG65+AG67+AG68)/AG69</f>
        <v>0.45454545454545453</v>
      </c>
      <c r="AJ69" s="161"/>
      <c r="AK69" s="161"/>
      <c r="AL69" s="73"/>
      <c r="AM69" s="73" t="s">
        <v>1292</v>
      </c>
      <c r="AN69" s="2600"/>
      <c r="AO69" s="2600"/>
      <c r="AP69" s="2600"/>
      <c r="AQ69" s="2600"/>
      <c r="AR69" s="2600"/>
      <c r="AS69" s="2600">
        <v>0</v>
      </c>
      <c r="AT69" s="2600">
        <v>0</v>
      </c>
      <c r="AU69" s="2600"/>
      <c r="AV69" s="2600">
        <v>2</v>
      </c>
      <c r="AW69" s="161"/>
      <c r="AX69" s="161"/>
      <c r="AY69" s="161">
        <v>2</v>
      </c>
      <c r="AZ69" s="161"/>
      <c r="BB69" s="2191"/>
      <c r="BC69" s="2191"/>
      <c r="BD69" s="2192"/>
      <c r="BE69" s="760" t="s">
        <v>15</v>
      </c>
      <c r="BF69" s="2196"/>
      <c r="BG69" s="2196"/>
      <c r="BH69" s="2196"/>
      <c r="BI69" s="2196"/>
      <c r="BJ69" s="2197">
        <v>1</v>
      </c>
      <c r="BK69" s="2196"/>
      <c r="BL69" s="2197">
        <v>2</v>
      </c>
      <c r="BM69" s="2197">
        <v>2</v>
      </c>
      <c r="BN69" s="972"/>
      <c r="BO69" s="972"/>
      <c r="BP69" s="973">
        <v>5</v>
      </c>
      <c r="BQ69" s="2154">
        <v>0</v>
      </c>
      <c r="BS69" s="879"/>
      <c r="BT69" s="879"/>
      <c r="BU69" s="880"/>
      <c r="BV69" s="881" t="s">
        <v>1288</v>
      </c>
      <c r="BW69" s="883">
        <v>0</v>
      </c>
      <c r="BX69" s="883">
        <v>0</v>
      </c>
      <c r="BY69" s="883">
        <v>0</v>
      </c>
      <c r="BZ69" s="882"/>
      <c r="CA69" s="883">
        <v>1</v>
      </c>
      <c r="CB69" s="883">
        <v>3</v>
      </c>
      <c r="CC69" s="883">
        <v>5</v>
      </c>
      <c r="CD69" s="883">
        <v>1</v>
      </c>
      <c r="CE69" s="879"/>
      <c r="CF69" s="879"/>
      <c r="CG69" s="884">
        <v>10</v>
      </c>
      <c r="CH69" s="161"/>
      <c r="CJ69" s="885"/>
      <c r="CK69" s="885"/>
      <c r="CL69" s="885"/>
      <c r="CM69" s="886" t="s">
        <v>1293</v>
      </c>
      <c r="CN69" s="887"/>
      <c r="CO69" s="888">
        <v>0</v>
      </c>
      <c r="CP69" s="888">
        <v>0</v>
      </c>
      <c r="CQ69" s="888">
        <v>0</v>
      </c>
      <c r="CR69" s="888">
        <v>1</v>
      </c>
      <c r="CS69" s="888">
        <v>2</v>
      </c>
      <c r="CT69" s="888">
        <v>3</v>
      </c>
      <c r="CU69" s="888">
        <v>0</v>
      </c>
      <c r="CV69" s="888">
        <v>0</v>
      </c>
      <c r="CW69" s="889"/>
      <c r="CX69" s="889"/>
      <c r="CY69" s="890">
        <v>6</v>
      </c>
      <c r="CZ69" s="891"/>
      <c r="DB69" s="892"/>
      <c r="DC69" s="892"/>
      <c r="DD69" s="892"/>
      <c r="DE69" s="902" t="s">
        <v>15</v>
      </c>
      <c r="DF69" s="904">
        <v>1</v>
      </c>
      <c r="DG69" s="903"/>
      <c r="DH69" s="903"/>
      <c r="DI69" s="903"/>
      <c r="DJ69" s="903"/>
      <c r="DK69" s="904">
        <v>2</v>
      </c>
      <c r="DL69" s="904">
        <v>1</v>
      </c>
      <c r="DM69" s="904">
        <v>4</v>
      </c>
      <c r="DN69" s="904">
        <v>3</v>
      </c>
      <c r="DO69" s="904">
        <v>4</v>
      </c>
      <c r="DP69" s="904">
        <v>15</v>
      </c>
      <c r="DQ69" s="905">
        <f>+DP67/DP69</f>
        <v>6.6666666666666666E-2</v>
      </c>
      <c r="DS69" s="121"/>
      <c r="DT69" s="121"/>
      <c r="DU69" s="74"/>
      <c r="DV69" s="74" t="s">
        <v>1292</v>
      </c>
      <c r="DW69" s="121">
        <v>0</v>
      </c>
      <c r="DX69" s="121"/>
      <c r="DY69" s="121"/>
      <c r="DZ69" s="121"/>
      <c r="EA69" s="121"/>
      <c r="EB69" s="121"/>
      <c r="EC69" s="121">
        <v>0</v>
      </c>
      <c r="ED69" s="121">
        <v>6</v>
      </c>
      <c r="EE69" s="121"/>
      <c r="EF69" s="121">
        <v>3</v>
      </c>
      <c r="EG69" s="121">
        <v>9</v>
      </c>
      <c r="EH69" s="74"/>
      <c r="EI69" s="74"/>
      <c r="EJ69" s="793"/>
      <c r="EK69" s="793"/>
      <c r="EL69" s="793"/>
      <c r="EM69" s="796" t="s">
        <v>15</v>
      </c>
      <c r="EN69" s="796">
        <v>0</v>
      </c>
      <c r="EO69" s="796">
        <v>0</v>
      </c>
      <c r="EP69" s="796">
        <v>0</v>
      </c>
      <c r="EQ69" s="796">
        <v>0</v>
      </c>
      <c r="ER69" s="796">
        <v>0</v>
      </c>
      <c r="ES69" s="796">
        <v>0</v>
      </c>
      <c r="ET69" s="796">
        <v>2</v>
      </c>
      <c r="EU69" s="796">
        <v>0</v>
      </c>
      <c r="EV69" s="796">
        <v>0</v>
      </c>
      <c r="EW69" s="796">
        <v>0</v>
      </c>
      <c r="EX69" s="796">
        <v>0</v>
      </c>
      <c r="EY69" s="856">
        <v>2</v>
      </c>
      <c r="EZ69" s="906">
        <f>+EY68/EY69</f>
        <v>0.5</v>
      </c>
      <c r="FA69" s="795">
        <f>+EY68</f>
        <v>1</v>
      </c>
    </row>
    <row r="70" spans="1:157">
      <c r="A70" s="73"/>
      <c r="B70" s="73"/>
      <c r="C70" s="73"/>
      <c r="D70" s="73" t="s">
        <v>1292</v>
      </c>
      <c r="E70" s="3261"/>
      <c r="F70" s="3261">
        <v>0</v>
      </c>
      <c r="G70" s="3261"/>
      <c r="H70" s="3261"/>
      <c r="I70" s="3261"/>
      <c r="J70" s="3261"/>
      <c r="K70" s="3261"/>
      <c r="L70" s="3261">
        <v>1</v>
      </c>
      <c r="M70" s="161"/>
      <c r="N70" s="161"/>
      <c r="O70" s="161">
        <v>1</v>
      </c>
      <c r="P70" s="73"/>
      <c r="R70" s="74"/>
      <c r="S70" s="74"/>
      <c r="T70" s="74" t="s">
        <v>1693</v>
      </c>
      <c r="U70" s="74" t="s">
        <v>1284</v>
      </c>
      <c r="V70" s="3229">
        <v>2</v>
      </c>
      <c r="W70" s="3229"/>
      <c r="X70" s="3229"/>
      <c r="Y70" s="3229"/>
      <c r="Z70" s="3229"/>
      <c r="AA70" s="3229"/>
      <c r="AB70" s="3229"/>
      <c r="AC70" s="3229">
        <v>2</v>
      </c>
      <c r="AD70" s="3229">
        <v>0</v>
      </c>
      <c r="AE70" s="121">
        <v>0</v>
      </c>
      <c r="AF70" s="121"/>
      <c r="AG70" s="121">
        <v>4</v>
      </c>
      <c r="AJ70" s="161"/>
      <c r="AK70" s="161"/>
      <c r="AL70" s="73"/>
      <c r="AM70" s="738" t="s">
        <v>15</v>
      </c>
      <c r="AN70" s="2601"/>
      <c r="AO70" s="2601"/>
      <c r="AP70" s="2601"/>
      <c r="AQ70" s="2601"/>
      <c r="AR70" s="2601"/>
      <c r="AS70" s="2601">
        <v>1</v>
      </c>
      <c r="AT70" s="2601">
        <v>1</v>
      </c>
      <c r="AU70" s="2601"/>
      <c r="AV70" s="2601">
        <v>2</v>
      </c>
      <c r="AW70" s="151"/>
      <c r="AX70" s="151"/>
      <c r="AY70" s="151">
        <v>4</v>
      </c>
      <c r="AZ70" s="912">
        <v>0</v>
      </c>
      <c r="BB70" s="2191"/>
      <c r="BC70" s="2191"/>
      <c r="BD70" s="2192" t="s">
        <v>1693</v>
      </c>
      <c r="BE70" s="2193" t="s">
        <v>1292</v>
      </c>
      <c r="BF70" s="2194"/>
      <c r="BG70" s="2194"/>
      <c r="BH70" s="2195">
        <v>0</v>
      </c>
      <c r="BI70" s="2195">
        <v>1</v>
      </c>
      <c r="BJ70" s="2194"/>
      <c r="BK70" s="2194"/>
      <c r="BL70" s="2195">
        <v>1</v>
      </c>
      <c r="BM70" s="2194"/>
      <c r="BN70" s="963"/>
      <c r="BO70" s="963"/>
      <c r="BP70" s="964">
        <v>2</v>
      </c>
      <c r="BQ70" s="73"/>
      <c r="BS70" s="879"/>
      <c r="BT70" s="879"/>
      <c r="BU70" s="880"/>
      <c r="BV70" s="881" t="s">
        <v>1289</v>
      </c>
      <c r="BW70" s="883">
        <v>0</v>
      </c>
      <c r="BX70" s="883">
        <v>0</v>
      </c>
      <c r="BY70" s="883">
        <v>1</v>
      </c>
      <c r="BZ70" s="882"/>
      <c r="CA70" s="883">
        <v>2</v>
      </c>
      <c r="CB70" s="883">
        <v>2</v>
      </c>
      <c r="CC70" s="883">
        <v>1</v>
      </c>
      <c r="CD70" s="883">
        <v>0</v>
      </c>
      <c r="CE70" s="879"/>
      <c r="CF70" s="879"/>
      <c r="CG70" s="884">
        <v>6</v>
      </c>
      <c r="CH70" s="161"/>
      <c r="CJ70" s="885"/>
      <c r="CK70" s="885"/>
      <c r="CL70" s="885"/>
      <c r="CM70" s="886" t="s">
        <v>1398</v>
      </c>
      <c r="CN70" s="887"/>
      <c r="CO70" s="888">
        <v>0</v>
      </c>
      <c r="CP70" s="888">
        <v>0</v>
      </c>
      <c r="CQ70" s="888">
        <v>2</v>
      </c>
      <c r="CR70" s="888">
        <v>4</v>
      </c>
      <c r="CS70" s="888">
        <v>3</v>
      </c>
      <c r="CT70" s="888">
        <v>8</v>
      </c>
      <c r="CU70" s="888">
        <v>0</v>
      </c>
      <c r="CV70" s="888">
        <v>1</v>
      </c>
      <c r="CW70" s="889"/>
      <c r="CX70" s="889"/>
      <c r="CY70" s="890">
        <v>18</v>
      </c>
      <c r="CZ70" s="891"/>
      <c r="DB70" s="892"/>
      <c r="DC70" s="892"/>
      <c r="DD70" s="892" t="s">
        <v>424</v>
      </c>
      <c r="DE70" s="893" t="s">
        <v>1284</v>
      </c>
      <c r="DF70" s="894"/>
      <c r="DG70" s="894"/>
      <c r="DH70" s="894"/>
      <c r="DI70" s="894"/>
      <c r="DJ70" s="894"/>
      <c r="DK70" s="895">
        <v>0</v>
      </c>
      <c r="DL70" s="895">
        <v>1</v>
      </c>
      <c r="DM70" s="895">
        <v>0</v>
      </c>
      <c r="DN70" s="894"/>
      <c r="DO70" s="894"/>
      <c r="DP70" s="895">
        <v>1</v>
      </c>
      <c r="DQ70" s="792"/>
      <c r="DS70" s="121"/>
      <c r="DT70" s="121"/>
      <c r="DU70" s="74"/>
      <c r="DV70" s="761" t="s">
        <v>15</v>
      </c>
      <c r="DW70" s="729">
        <v>1</v>
      </c>
      <c r="DX70" s="729"/>
      <c r="DY70" s="729"/>
      <c r="DZ70" s="729"/>
      <c r="EA70" s="729"/>
      <c r="EB70" s="729"/>
      <c r="EC70" s="729">
        <v>2</v>
      </c>
      <c r="ED70" s="729">
        <v>9</v>
      </c>
      <c r="EE70" s="729"/>
      <c r="EF70" s="729">
        <v>3</v>
      </c>
      <c r="EG70" s="729">
        <v>15</v>
      </c>
      <c r="EH70" s="813">
        <f>+EG68/EG70</f>
        <v>0.13333333333333333</v>
      </c>
      <c r="EI70" s="74"/>
      <c r="EJ70" s="793"/>
      <c r="EK70" s="793"/>
      <c r="EL70" s="793" t="s">
        <v>889</v>
      </c>
      <c r="EM70" s="793" t="s">
        <v>1284</v>
      </c>
      <c r="EN70" s="793">
        <v>0</v>
      </c>
      <c r="EO70" s="793">
        <v>0</v>
      </c>
      <c r="EP70" s="793">
        <v>0</v>
      </c>
      <c r="EQ70" s="793">
        <v>0</v>
      </c>
      <c r="ER70" s="793">
        <v>0</v>
      </c>
      <c r="ES70" s="793">
        <v>0</v>
      </c>
      <c r="ET70" s="793">
        <v>1</v>
      </c>
      <c r="EU70" s="793">
        <v>0</v>
      </c>
      <c r="EV70" s="793">
        <v>0</v>
      </c>
      <c r="EW70" s="793">
        <v>0</v>
      </c>
      <c r="EX70" s="793">
        <v>0</v>
      </c>
      <c r="EY70" s="794">
        <v>1</v>
      </c>
      <c r="EZ70" s="896"/>
      <c r="FA70" s="795"/>
    </row>
    <row r="71" spans="1:157">
      <c r="A71" s="73"/>
      <c r="B71" s="73"/>
      <c r="C71" s="73"/>
      <c r="D71" s="738" t="s">
        <v>15</v>
      </c>
      <c r="E71" s="3262"/>
      <c r="F71" s="3262">
        <v>1</v>
      </c>
      <c r="G71" s="3262"/>
      <c r="H71" s="3262"/>
      <c r="I71" s="3262"/>
      <c r="J71" s="3262"/>
      <c r="K71" s="3262"/>
      <c r="L71" s="3262">
        <v>1</v>
      </c>
      <c r="M71" s="4674"/>
      <c r="N71" s="4674"/>
      <c r="O71" s="4674">
        <v>2</v>
      </c>
      <c r="P71" s="912">
        <v>0</v>
      </c>
      <c r="Q71" s="3197"/>
      <c r="R71" s="74"/>
      <c r="S71" s="74"/>
      <c r="T71" s="74"/>
      <c r="U71" s="74" t="s">
        <v>1292</v>
      </c>
      <c r="V71" s="3229">
        <v>0</v>
      </c>
      <c r="W71" s="3229"/>
      <c r="X71" s="3229"/>
      <c r="Y71" s="3229"/>
      <c r="Z71" s="3229"/>
      <c r="AA71" s="3229"/>
      <c r="AB71" s="3229"/>
      <c r="AC71" s="3229">
        <v>0</v>
      </c>
      <c r="AD71" s="3229">
        <v>5</v>
      </c>
      <c r="AE71" s="121">
        <v>1</v>
      </c>
      <c r="AF71" s="121"/>
      <c r="AG71" s="121">
        <v>6</v>
      </c>
      <c r="AJ71" s="161"/>
      <c r="AK71" s="161"/>
      <c r="AL71" s="73" t="s">
        <v>1691</v>
      </c>
      <c r="AM71" s="73" t="s">
        <v>1284</v>
      </c>
      <c r="AN71" s="2600"/>
      <c r="AO71" s="2600"/>
      <c r="AP71" s="2600"/>
      <c r="AQ71" s="2600">
        <v>1</v>
      </c>
      <c r="AR71" s="2600"/>
      <c r="AS71" s="2600"/>
      <c r="AT71" s="2600"/>
      <c r="AU71" s="2600"/>
      <c r="AV71" s="2600">
        <v>0</v>
      </c>
      <c r="AW71" s="161"/>
      <c r="AX71" s="161"/>
      <c r="AY71" s="161">
        <v>1</v>
      </c>
      <c r="AZ71" s="161"/>
      <c r="BB71" s="2191"/>
      <c r="BC71" s="2191"/>
      <c r="BD71" s="2192"/>
      <c r="BE71" s="2193" t="s">
        <v>1398</v>
      </c>
      <c r="BF71" s="2194"/>
      <c r="BG71" s="2194"/>
      <c r="BH71" s="2195">
        <v>1</v>
      </c>
      <c r="BI71" s="2195">
        <v>0</v>
      </c>
      <c r="BJ71" s="2194"/>
      <c r="BK71" s="2194"/>
      <c r="BL71" s="2195">
        <v>0</v>
      </c>
      <c r="BM71" s="2194"/>
      <c r="BN71" s="963"/>
      <c r="BO71" s="963"/>
      <c r="BP71" s="964">
        <v>1</v>
      </c>
      <c r="BQ71" s="73"/>
      <c r="BS71" s="879"/>
      <c r="BT71" s="879"/>
      <c r="BU71" s="880"/>
      <c r="BV71" s="881" t="s">
        <v>1292</v>
      </c>
      <c r="BW71" s="883">
        <v>0</v>
      </c>
      <c r="BX71" s="883">
        <v>0</v>
      </c>
      <c r="BY71" s="883">
        <v>0</v>
      </c>
      <c r="BZ71" s="882"/>
      <c r="CA71" s="883">
        <v>0</v>
      </c>
      <c r="CB71" s="883">
        <v>0</v>
      </c>
      <c r="CC71" s="883">
        <v>5</v>
      </c>
      <c r="CD71" s="883">
        <v>7</v>
      </c>
      <c r="CE71" s="879"/>
      <c r="CF71" s="879"/>
      <c r="CG71" s="884">
        <v>12</v>
      </c>
      <c r="CH71" s="161"/>
      <c r="CJ71" s="885"/>
      <c r="CK71" s="885"/>
      <c r="CL71" s="885"/>
      <c r="CM71" s="897" t="s">
        <v>107</v>
      </c>
      <c r="CN71" s="898"/>
      <c r="CO71" s="899">
        <v>6</v>
      </c>
      <c r="CP71" s="899">
        <v>4</v>
      </c>
      <c r="CQ71" s="899">
        <v>19</v>
      </c>
      <c r="CR71" s="899">
        <v>17</v>
      </c>
      <c r="CS71" s="899">
        <v>21</v>
      </c>
      <c r="CT71" s="899">
        <v>52</v>
      </c>
      <c r="CU71" s="899">
        <v>10</v>
      </c>
      <c r="CV71" s="899">
        <v>12</v>
      </c>
      <c r="CW71" s="900"/>
      <c r="CX71" s="900"/>
      <c r="CY71" s="901">
        <v>141</v>
      </c>
      <c r="CZ71" s="891">
        <f>+(CY70+CY69+CY66)/CY71</f>
        <v>0.24113475177304963</v>
      </c>
      <c r="DB71" s="892"/>
      <c r="DC71" s="892"/>
      <c r="DD71" s="892"/>
      <c r="DE71" s="893" t="s">
        <v>1288</v>
      </c>
      <c r="DF71" s="894"/>
      <c r="DG71" s="894"/>
      <c r="DH71" s="894"/>
      <c r="DI71" s="894"/>
      <c r="DJ71" s="894"/>
      <c r="DK71" s="895">
        <v>0</v>
      </c>
      <c r="DL71" s="895">
        <v>2</v>
      </c>
      <c r="DM71" s="895">
        <v>0</v>
      </c>
      <c r="DN71" s="894"/>
      <c r="DO71" s="894"/>
      <c r="DP71" s="895">
        <v>2</v>
      </c>
      <c r="DQ71" s="792"/>
      <c r="DS71" s="121"/>
      <c r="DT71" s="121"/>
      <c r="DU71" s="74" t="s">
        <v>424</v>
      </c>
      <c r="DV71" s="74" t="s">
        <v>1283</v>
      </c>
      <c r="DW71" s="121"/>
      <c r="DX71" s="121"/>
      <c r="DY71" s="121"/>
      <c r="DZ71" s="121"/>
      <c r="EA71" s="121"/>
      <c r="EB71" s="121">
        <v>0</v>
      </c>
      <c r="EC71" s="121">
        <v>1</v>
      </c>
      <c r="ED71" s="121">
        <v>0</v>
      </c>
      <c r="EE71" s="121"/>
      <c r="EF71" s="121"/>
      <c r="EG71" s="121">
        <v>1</v>
      </c>
      <c r="EH71" s="74"/>
      <c r="EI71" s="74"/>
      <c r="EJ71" s="793"/>
      <c r="EK71" s="793"/>
      <c r="EL71" s="793"/>
      <c r="EM71" s="793" t="s">
        <v>1288</v>
      </c>
      <c r="EN71" s="793">
        <v>0</v>
      </c>
      <c r="EO71" s="793">
        <v>0</v>
      </c>
      <c r="EP71" s="793">
        <v>0</v>
      </c>
      <c r="EQ71" s="793">
        <v>0</v>
      </c>
      <c r="ER71" s="793">
        <v>0</v>
      </c>
      <c r="ES71" s="793">
        <v>0</v>
      </c>
      <c r="ET71" s="793">
        <v>0</v>
      </c>
      <c r="EU71" s="793">
        <v>1</v>
      </c>
      <c r="EV71" s="793">
        <v>0</v>
      </c>
      <c r="EW71" s="793">
        <v>0</v>
      </c>
      <c r="EX71" s="793">
        <v>0</v>
      </c>
      <c r="EY71" s="794">
        <v>1</v>
      </c>
      <c r="EZ71" s="896"/>
      <c r="FA71" s="795"/>
    </row>
    <row r="72" spans="1:157">
      <c r="A72" s="73"/>
      <c r="B72" s="73"/>
      <c r="C72" s="73" t="s">
        <v>1694</v>
      </c>
      <c r="D72" s="73" t="s">
        <v>1284</v>
      </c>
      <c r="E72" s="3261"/>
      <c r="F72" s="3261"/>
      <c r="G72" s="3261"/>
      <c r="H72" s="3261"/>
      <c r="I72" s="3261"/>
      <c r="J72" s="3261">
        <v>2</v>
      </c>
      <c r="K72" s="3261"/>
      <c r="L72" s="3261">
        <v>0</v>
      </c>
      <c r="M72" s="161"/>
      <c r="N72" s="161"/>
      <c r="O72" s="161">
        <v>2</v>
      </c>
      <c r="P72" s="73"/>
      <c r="R72" s="74"/>
      <c r="S72" s="74"/>
      <c r="T72" s="74"/>
      <c r="U72" s="761" t="s">
        <v>15</v>
      </c>
      <c r="V72" s="3230">
        <v>2</v>
      </c>
      <c r="W72" s="3230"/>
      <c r="X72" s="3230"/>
      <c r="Y72" s="3230"/>
      <c r="Z72" s="3230"/>
      <c r="AA72" s="3230"/>
      <c r="AB72" s="3230"/>
      <c r="AC72" s="3230">
        <v>2</v>
      </c>
      <c r="AD72" s="3230">
        <v>5</v>
      </c>
      <c r="AE72" s="729">
        <v>1</v>
      </c>
      <c r="AF72" s="729"/>
      <c r="AG72" s="729">
        <v>10</v>
      </c>
      <c r="AH72" s="4681">
        <v>0</v>
      </c>
      <c r="AJ72" s="161"/>
      <c r="AK72" s="161"/>
      <c r="AL72" s="73"/>
      <c r="AM72" s="73" t="s">
        <v>1292</v>
      </c>
      <c r="AN72" s="2600"/>
      <c r="AO72" s="2600"/>
      <c r="AP72" s="2600"/>
      <c r="AQ72" s="2600">
        <v>0</v>
      </c>
      <c r="AR72" s="2600"/>
      <c r="AS72" s="2600"/>
      <c r="AT72" s="2600"/>
      <c r="AU72" s="2600"/>
      <c r="AV72" s="2600">
        <v>1</v>
      </c>
      <c r="AW72" s="161"/>
      <c r="AX72" s="161"/>
      <c r="AY72" s="161">
        <v>1</v>
      </c>
      <c r="AZ72" s="161"/>
      <c r="BB72" s="2191"/>
      <c r="BC72" s="2191"/>
      <c r="BD72" s="2192"/>
      <c r="BE72" s="760" t="s">
        <v>15</v>
      </c>
      <c r="BF72" s="2196"/>
      <c r="BG72" s="2196"/>
      <c r="BH72" s="2197">
        <v>1</v>
      </c>
      <c r="BI72" s="2197">
        <v>1</v>
      </c>
      <c r="BJ72" s="2196"/>
      <c r="BK72" s="2196"/>
      <c r="BL72" s="2197">
        <v>1</v>
      </c>
      <c r="BM72" s="2196"/>
      <c r="BN72" s="972"/>
      <c r="BO72" s="972"/>
      <c r="BP72" s="973">
        <v>3</v>
      </c>
      <c r="BQ72" s="2154">
        <f>+BP71/BP72</f>
        <v>0.33333333333333331</v>
      </c>
      <c r="BS72" s="879"/>
      <c r="BT72" s="879"/>
      <c r="BU72" s="880"/>
      <c r="BV72" s="881" t="s">
        <v>1293</v>
      </c>
      <c r="BW72" s="883">
        <v>0</v>
      </c>
      <c r="BX72" s="883">
        <v>0</v>
      </c>
      <c r="BY72" s="883">
        <v>0</v>
      </c>
      <c r="BZ72" s="882"/>
      <c r="CA72" s="883">
        <v>2</v>
      </c>
      <c r="CB72" s="883">
        <v>5</v>
      </c>
      <c r="CC72" s="883">
        <v>4</v>
      </c>
      <c r="CD72" s="883">
        <v>1</v>
      </c>
      <c r="CE72" s="879"/>
      <c r="CF72" s="879"/>
      <c r="CG72" s="884">
        <v>12</v>
      </c>
      <c r="CH72" s="161"/>
      <c r="CJ72" s="885" t="s">
        <v>25</v>
      </c>
      <c r="CK72" s="885" t="s">
        <v>4</v>
      </c>
      <c r="CL72" s="885" t="s">
        <v>121</v>
      </c>
      <c r="CM72" s="886" t="s">
        <v>1284</v>
      </c>
      <c r="CN72" s="887"/>
      <c r="CO72" s="887"/>
      <c r="CP72" s="887"/>
      <c r="CQ72" s="887"/>
      <c r="CR72" s="887"/>
      <c r="CS72" s="887"/>
      <c r="CT72" s="887"/>
      <c r="CU72" s="888">
        <v>2</v>
      </c>
      <c r="CV72" s="887"/>
      <c r="CW72" s="890">
        <v>0</v>
      </c>
      <c r="CX72" s="889"/>
      <c r="CY72" s="890">
        <v>2</v>
      </c>
      <c r="CZ72" s="891"/>
      <c r="DB72" s="892"/>
      <c r="DC72" s="892"/>
      <c r="DD72" s="892"/>
      <c r="DE72" s="893" t="s">
        <v>1289</v>
      </c>
      <c r="DF72" s="894"/>
      <c r="DG72" s="894"/>
      <c r="DH72" s="894"/>
      <c r="DI72" s="894"/>
      <c r="DJ72" s="894"/>
      <c r="DK72" s="895">
        <v>0</v>
      </c>
      <c r="DL72" s="895">
        <v>1</v>
      </c>
      <c r="DM72" s="895">
        <v>0</v>
      </c>
      <c r="DN72" s="894"/>
      <c r="DO72" s="894"/>
      <c r="DP72" s="895">
        <v>1</v>
      </c>
      <c r="DQ72" s="792"/>
      <c r="DS72" s="121"/>
      <c r="DT72" s="121"/>
      <c r="DU72" s="74"/>
      <c r="DV72" s="74" t="s">
        <v>1284</v>
      </c>
      <c r="DW72" s="121"/>
      <c r="DX72" s="121"/>
      <c r="DY72" s="121"/>
      <c r="DZ72" s="121"/>
      <c r="EA72" s="121"/>
      <c r="EB72" s="121">
        <v>2</v>
      </c>
      <c r="EC72" s="121">
        <v>3</v>
      </c>
      <c r="ED72" s="121">
        <v>0</v>
      </c>
      <c r="EE72" s="121"/>
      <c r="EF72" s="121"/>
      <c r="EG72" s="121">
        <v>5</v>
      </c>
      <c r="EH72" s="74"/>
      <c r="EI72" s="74"/>
      <c r="EJ72" s="793"/>
      <c r="EK72" s="793"/>
      <c r="EL72" s="793"/>
      <c r="EM72" s="793" t="s">
        <v>1292</v>
      </c>
      <c r="EN72" s="793">
        <v>0</v>
      </c>
      <c r="EO72" s="793">
        <v>0</v>
      </c>
      <c r="EP72" s="793">
        <v>0</v>
      </c>
      <c r="EQ72" s="793">
        <v>0</v>
      </c>
      <c r="ER72" s="793">
        <v>0</v>
      </c>
      <c r="ES72" s="793">
        <v>0</v>
      </c>
      <c r="ET72" s="793">
        <v>0</v>
      </c>
      <c r="EU72" s="793">
        <v>3</v>
      </c>
      <c r="EV72" s="793">
        <v>5</v>
      </c>
      <c r="EW72" s="793">
        <v>0</v>
      </c>
      <c r="EX72" s="793">
        <v>0</v>
      </c>
      <c r="EY72" s="794">
        <v>8</v>
      </c>
      <c r="EZ72" s="896"/>
      <c r="FA72" s="795"/>
    </row>
    <row r="73" spans="1:157">
      <c r="A73" s="73"/>
      <c r="B73" s="73"/>
      <c r="C73" s="73"/>
      <c r="D73" s="73" t="s">
        <v>1289</v>
      </c>
      <c r="E73" s="3261"/>
      <c r="F73" s="3261"/>
      <c r="G73" s="3261"/>
      <c r="H73" s="3261"/>
      <c r="I73" s="3261"/>
      <c r="J73" s="3261">
        <v>1</v>
      </c>
      <c r="K73" s="3261"/>
      <c r="L73" s="3261">
        <v>0</v>
      </c>
      <c r="M73" s="161"/>
      <c r="N73" s="161"/>
      <c r="O73" s="161">
        <v>1</v>
      </c>
      <c r="P73" s="73"/>
      <c r="R73" s="74"/>
      <c r="S73" s="74"/>
      <c r="T73" s="74" t="s">
        <v>1694</v>
      </c>
      <c r="U73" s="74" t="s">
        <v>1284</v>
      </c>
      <c r="V73" s="3229"/>
      <c r="W73" s="3229">
        <v>1</v>
      </c>
      <c r="X73" s="3229"/>
      <c r="Y73" s="3229"/>
      <c r="Z73" s="3229">
        <v>3</v>
      </c>
      <c r="AA73" s="3229">
        <v>2</v>
      </c>
      <c r="AB73" s="3229">
        <v>2</v>
      </c>
      <c r="AC73" s="3229">
        <v>3</v>
      </c>
      <c r="AD73" s="3229"/>
      <c r="AE73" s="121">
        <v>0</v>
      </c>
      <c r="AF73" s="121"/>
      <c r="AG73" s="121">
        <v>11</v>
      </c>
      <c r="AJ73" s="161"/>
      <c r="AK73" s="161"/>
      <c r="AL73" s="73"/>
      <c r="AM73" s="738" t="s">
        <v>15</v>
      </c>
      <c r="AN73" s="2601"/>
      <c r="AO73" s="2601"/>
      <c r="AP73" s="2601"/>
      <c r="AQ73" s="2601">
        <v>1</v>
      </c>
      <c r="AR73" s="2601"/>
      <c r="AS73" s="2601"/>
      <c r="AT73" s="2601"/>
      <c r="AU73" s="2601"/>
      <c r="AV73" s="2601">
        <v>1</v>
      </c>
      <c r="AW73" s="151"/>
      <c r="AX73" s="151"/>
      <c r="AY73" s="151">
        <v>2</v>
      </c>
      <c r="AZ73" s="912">
        <v>0</v>
      </c>
      <c r="BB73" s="2191"/>
      <c r="BC73" s="2191"/>
      <c r="BD73" s="2192" t="s">
        <v>1694</v>
      </c>
      <c r="BE73" s="2193" t="s">
        <v>1292</v>
      </c>
      <c r="BF73" s="2194"/>
      <c r="BG73" s="2194"/>
      <c r="BH73" s="2194"/>
      <c r="BI73" s="2195">
        <v>0</v>
      </c>
      <c r="BJ73" s="2194"/>
      <c r="BK73" s="2194"/>
      <c r="BL73" s="2195">
        <v>1</v>
      </c>
      <c r="BM73" s="2194"/>
      <c r="BN73" s="963"/>
      <c r="BO73" s="963"/>
      <c r="BP73" s="964">
        <v>1</v>
      </c>
      <c r="BQ73" s="73"/>
      <c r="BS73" s="879"/>
      <c r="BT73" s="879"/>
      <c r="BU73" s="880"/>
      <c r="BV73" s="881" t="s">
        <v>1398</v>
      </c>
      <c r="BW73" s="883">
        <v>0</v>
      </c>
      <c r="BX73" s="883">
        <v>0</v>
      </c>
      <c r="BY73" s="883">
        <v>3</v>
      </c>
      <c r="BZ73" s="882"/>
      <c r="CA73" s="883">
        <v>0</v>
      </c>
      <c r="CB73" s="883">
        <v>2</v>
      </c>
      <c r="CC73" s="883">
        <v>5</v>
      </c>
      <c r="CD73" s="883">
        <v>3</v>
      </c>
      <c r="CE73" s="879"/>
      <c r="CF73" s="879"/>
      <c r="CG73" s="884">
        <v>13</v>
      </c>
      <c r="CH73" s="161"/>
      <c r="CJ73" s="885"/>
      <c r="CK73" s="885"/>
      <c r="CL73" s="885"/>
      <c r="CM73" s="886" t="s">
        <v>1288</v>
      </c>
      <c r="CN73" s="887"/>
      <c r="CO73" s="887"/>
      <c r="CP73" s="887"/>
      <c r="CQ73" s="887"/>
      <c r="CR73" s="887"/>
      <c r="CS73" s="887"/>
      <c r="CT73" s="887"/>
      <c r="CU73" s="888">
        <v>1</v>
      </c>
      <c r="CV73" s="887"/>
      <c r="CW73" s="890">
        <v>0</v>
      </c>
      <c r="CX73" s="889"/>
      <c r="CY73" s="890">
        <v>1</v>
      </c>
      <c r="CZ73" s="891"/>
      <c r="DB73" s="892"/>
      <c r="DC73" s="892"/>
      <c r="DD73" s="892"/>
      <c r="DE73" s="893" t="s">
        <v>1292</v>
      </c>
      <c r="DF73" s="894"/>
      <c r="DG73" s="894"/>
      <c r="DH73" s="894"/>
      <c r="DI73" s="894"/>
      <c r="DJ73" s="894"/>
      <c r="DK73" s="895">
        <v>0</v>
      </c>
      <c r="DL73" s="895">
        <v>0</v>
      </c>
      <c r="DM73" s="895">
        <v>10</v>
      </c>
      <c r="DN73" s="894"/>
      <c r="DO73" s="894"/>
      <c r="DP73" s="895">
        <v>10</v>
      </c>
      <c r="DQ73" s="792"/>
      <c r="DS73" s="121"/>
      <c r="DT73" s="121"/>
      <c r="DU73" s="74"/>
      <c r="DV73" s="74" t="s">
        <v>1288</v>
      </c>
      <c r="DW73" s="121"/>
      <c r="DX73" s="121"/>
      <c r="DY73" s="121"/>
      <c r="DZ73" s="121"/>
      <c r="EA73" s="121"/>
      <c r="EB73" s="121">
        <v>2</v>
      </c>
      <c r="EC73" s="121">
        <v>2</v>
      </c>
      <c r="ED73" s="121">
        <v>0</v>
      </c>
      <c r="EE73" s="121"/>
      <c r="EF73" s="121"/>
      <c r="EG73" s="121">
        <v>4</v>
      </c>
      <c r="EH73" s="74"/>
      <c r="EI73" s="74"/>
      <c r="EJ73" s="793"/>
      <c r="EK73" s="793"/>
      <c r="EL73" s="793"/>
      <c r="EM73" s="796" t="s">
        <v>15</v>
      </c>
      <c r="EN73" s="796">
        <v>0</v>
      </c>
      <c r="EO73" s="796">
        <v>0</v>
      </c>
      <c r="EP73" s="796">
        <v>0</v>
      </c>
      <c r="EQ73" s="796">
        <v>0</v>
      </c>
      <c r="ER73" s="796">
        <v>0</v>
      </c>
      <c r="ES73" s="796">
        <v>0</v>
      </c>
      <c r="ET73" s="796">
        <v>1</v>
      </c>
      <c r="EU73" s="796">
        <v>4</v>
      </c>
      <c r="EV73" s="796">
        <v>5</v>
      </c>
      <c r="EW73" s="796">
        <v>0</v>
      </c>
      <c r="EX73" s="796">
        <v>0</v>
      </c>
      <c r="EY73" s="856">
        <v>10</v>
      </c>
      <c r="EZ73" s="906">
        <f>+EY71/EY73</f>
        <v>0.1</v>
      </c>
      <c r="FA73" s="795">
        <f>+EY71</f>
        <v>1</v>
      </c>
    </row>
    <row r="74" spans="1:157">
      <c r="A74" s="73"/>
      <c r="B74" s="73"/>
      <c r="C74" s="73"/>
      <c r="D74" s="73" t="s">
        <v>1292</v>
      </c>
      <c r="E74" s="3261"/>
      <c r="F74" s="3261"/>
      <c r="G74" s="3261"/>
      <c r="H74" s="3261"/>
      <c r="I74" s="3261"/>
      <c r="J74" s="3261">
        <v>0</v>
      </c>
      <c r="K74" s="3261"/>
      <c r="L74" s="3261">
        <v>2</v>
      </c>
      <c r="M74" s="161"/>
      <c r="N74" s="161"/>
      <c r="O74" s="161">
        <v>2</v>
      </c>
      <c r="P74" s="73"/>
      <c r="R74" s="74"/>
      <c r="S74" s="74"/>
      <c r="T74" s="74"/>
      <c r="U74" s="74" t="s">
        <v>1288</v>
      </c>
      <c r="V74" s="3229"/>
      <c r="W74" s="3229">
        <v>0</v>
      </c>
      <c r="X74" s="3229"/>
      <c r="Y74" s="3229"/>
      <c r="Z74" s="3229">
        <v>2</v>
      </c>
      <c r="AA74" s="3229">
        <v>1</v>
      </c>
      <c r="AB74" s="3229">
        <v>1</v>
      </c>
      <c r="AC74" s="3229">
        <v>0</v>
      </c>
      <c r="AD74" s="3229"/>
      <c r="AE74" s="121">
        <v>0</v>
      </c>
      <c r="AF74" s="121"/>
      <c r="AG74" s="121">
        <v>4</v>
      </c>
      <c r="AJ74" s="161"/>
      <c r="AK74" s="161"/>
      <c r="AL74" s="73" t="s">
        <v>1695</v>
      </c>
      <c r="AM74" s="73" t="s">
        <v>1284</v>
      </c>
      <c r="AN74" s="2600"/>
      <c r="AO74" s="2600"/>
      <c r="AP74" s="2600"/>
      <c r="AQ74" s="2600"/>
      <c r="AR74" s="2600">
        <v>1</v>
      </c>
      <c r="AS74" s="2600"/>
      <c r="AT74" s="2600"/>
      <c r="AU74" s="2600"/>
      <c r="AV74" s="2600">
        <v>0</v>
      </c>
      <c r="AW74" s="161"/>
      <c r="AX74" s="161"/>
      <c r="AY74" s="161">
        <v>1</v>
      </c>
      <c r="AZ74" s="161"/>
      <c r="BB74" s="2191"/>
      <c r="BC74" s="2191"/>
      <c r="BD74" s="2192"/>
      <c r="BE74" s="2193" t="s">
        <v>1398</v>
      </c>
      <c r="BF74" s="2194"/>
      <c r="BG74" s="2194"/>
      <c r="BH74" s="2194"/>
      <c r="BI74" s="2195">
        <v>3</v>
      </c>
      <c r="BJ74" s="2194"/>
      <c r="BK74" s="2194"/>
      <c r="BL74" s="2195">
        <v>0</v>
      </c>
      <c r="BM74" s="2194"/>
      <c r="BN74" s="963"/>
      <c r="BO74" s="963"/>
      <c r="BP74" s="964">
        <v>3</v>
      </c>
      <c r="BQ74" s="73"/>
      <c r="BS74" s="879"/>
      <c r="BT74" s="879"/>
      <c r="BU74" s="880"/>
      <c r="BV74" s="907" t="s">
        <v>107</v>
      </c>
      <c r="BW74" s="909">
        <v>3</v>
      </c>
      <c r="BX74" s="909">
        <v>1</v>
      </c>
      <c r="BY74" s="909">
        <v>4</v>
      </c>
      <c r="BZ74" s="908"/>
      <c r="CA74" s="909">
        <v>6</v>
      </c>
      <c r="CB74" s="909">
        <v>22</v>
      </c>
      <c r="CC74" s="909">
        <v>36</v>
      </c>
      <c r="CD74" s="909">
        <v>20</v>
      </c>
      <c r="CE74" s="910"/>
      <c r="CF74" s="910"/>
      <c r="CG74" s="911">
        <v>92</v>
      </c>
      <c r="CH74" s="912">
        <f>+(CG69+CG72+CG73)/CG74</f>
        <v>0.38043478260869568</v>
      </c>
      <c r="CJ74" s="885"/>
      <c r="CK74" s="885"/>
      <c r="CL74" s="885"/>
      <c r="CM74" s="886" t="s">
        <v>1292</v>
      </c>
      <c r="CN74" s="887"/>
      <c r="CO74" s="887"/>
      <c r="CP74" s="887"/>
      <c r="CQ74" s="887"/>
      <c r="CR74" s="887"/>
      <c r="CS74" s="887"/>
      <c r="CT74" s="887"/>
      <c r="CU74" s="888">
        <v>0</v>
      </c>
      <c r="CV74" s="887"/>
      <c r="CW74" s="890">
        <v>1</v>
      </c>
      <c r="CX74" s="889"/>
      <c r="CY74" s="890">
        <v>1</v>
      </c>
      <c r="CZ74" s="891"/>
      <c r="DB74" s="892"/>
      <c r="DC74" s="892"/>
      <c r="DD74" s="892"/>
      <c r="DE74" s="893" t="s">
        <v>1398</v>
      </c>
      <c r="DF74" s="894"/>
      <c r="DG74" s="894"/>
      <c r="DH74" s="894"/>
      <c r="DI74" s="894"/>
      <c r="DJ74" s="894"/>
      <c r="DK74" s="895">
        <v>1</v>
      </c>
      <c r="DL74" s="895">
        <v>0</v>
      </c>
      <c r="DM74" s="895">
        <v>0</v>
      </c>
      <c r="DN74" s="894"/>
      <c r="DO74" s="894"/>
      <c r="DP74" s="895">
        <v>1</v>
      </c>
      <c r="DQ74" s="792"/>
      <c r="DS74" s="121"/>
      <c r="DT74" s="121"/>
      <c r="DU74" s="74"/>
      <c r="DV74" s="74" t="s">
        <v>1292</v>
      </c>
      <c r="DW74" s="121"/>
      <c r="DX74" s="121"/>
      <c r="DY74" s="121"/>
      <c r="DZ74" s="121"/>
      <c r="EA74" s="121"/>
      <c r="EB74" s="121">
        <v>0</v>
      </c>
      <c r="EC74" s="121">
        <v>0</v>
      </c>
      <c r="ED74" s="121">
        <v>2</v>
      </c>
      <c r="EE74" s="121"/>
      <c r="EF74" s="121"/>
      <c r="EG74" s="121">
        <v>2</v>
      </c>
      <c r="EH74" s="74"/>
      <c r="EI74" s="74"/>
      <c r="EJ74" s="793"/>
      <c r="EK74" s="793" t="s">
        <v>16</v>
      </c>
      <c r="EL74" s="793" t="s">
        <v>108</v>
      </c>
      <c r="EM74" s="793" t="s">
        <v>1284</v>
      </c>
      <c r="EN74" s="793">
        <v>0</v>
      </c>
      <c r="EO74" s="793">
        <v>0</v>
      </c>
      <c r="EP74" s="793">
        <v>0</v>
      </c>
      <c r="EQ74" s="793">
        <v>1</v>
      </c>
      <c r="ER74" s="793">
        <v>0</v>
      </c>
      <c r="ES74" s="793">
        <v>0</v>
      </c>
      <c r="ET74" s="793">
        <v>0</v>
      </c>
      <c r="EU74" s="793">
        <v>0</v>
      </c>
      <c r="EV74" s="793">
        <v>0</v>
      </c>
      <c r="EW74" s="793">
        <v>0</v>
      </c>
      <c r="EX74" s="793">
        <v>0</v>
      </c>
      <c r="EY74" s="794">
        <v>1</v>
      </c>
      <c r="EZ74" s="896"/>
      <c r="FA74" s="795"/>
    </row>
    <row r="75" spans="1:157">
      <c r="A75" s="73"/>
      <c r="B75" s="73"/>
      <c r="C75" s="73"/>
      <c r="D75" s="738" t="s">
        <v>15</v>
      </c>
      <c r="E75" s="3262"/>
      <c r="F75" s="3262"/>
      <c r="G75" s="3262"/>
      <c r="H75" s="3262"/>
      <c r="I75" s="3262"/>
      <c r="J75" s="3262">
        <v>3</v>
      </c>
      <c r="K75" s="3262"/>
      <c r="L75" s="3262">
        <v>2</v>
      </c>
      <c r="M75" s="4674"/>
      <c r="N75" s="4674"/>
      <c r="O75" s="4674">
        <v>5</v>
      </c>
      <c r="P75" s="912">
        <v>0</v>
      </c>
      <c r="Q75" s="3197"/>
      <c r="R75" s="74"/>
      <c r="S75" s="74"/>
      <c r="T75" s="74"/>
      <c r="U75" s="74" t="s">
        <v>1289</v>
      </c>
      <c r="V75" s="3229"/>
      <c r="W75" s="3229">
        <v>0</v>
      </c>
      <c r="X75" s="3229"/>
      <c r="Y75" s="3229"/>
      <c r="Z75" s="3229">
        <v>0</v>
      </c>
      <c r="AA75" s="3229">
        <v>1</v>
      </c>
      <c r="AB75" s="3229">
        <v>0</v>
      </c>
      <c r="AC75" s="3229">
        <v>0</v>
      </c>
      <c r="AD75" s="3229"/>
      <c r="AE75" s="121">
        <v>0</v>
      </c>
      <c r="AF75" s="121"/>
      <c r="AG75" s="121">
        <v>1</v>
      </c>
      <c r="AJ75" s="161"/>
      <c r="AK75" s="161"/>
      <c r="AL75" s="73"/>
      <c r="AM75" s="73" t="s">
        <v>1292</v>
      </c>
      <c r="AN75" s="2600"/>
      <c r="AO75" s="2600"/>
      <c r="AP75" s="2600"/>
      <c r="AQ75" s="2600"/>
      <c r="AR75" s="2600">
        <v>0</v>
      </c>
      <c r="AS75" s="2600"/>
      <c r="AT75" s="2600"/>
      <c r="AU75" s="2600"/>
      <c r="AV75" s="2600">
        <v>2</v>
      </c>
      <c r="AW75" s="161"/>
      <c r="AX75" s="161"/>
      <c r="AY75" s="161">
        <v>2</v>
      </c>
      <c r="AZ75" s="161"/>
      <c r="BB75" s="2191"/>
      <c r="BC75" s="2191"/>
      <c r="BD75" s="2192"/>
      <c r="BE75" s="760" t="s">
        <v>15</v>
      </c>
      <c r="BF75" s="2196"/>
      <c r="BG75" s="2196"/>
      <c r="BH75" s="2196"/>
      <c r="BI75" s="2197">
        <v>3</v>
      </c>
      <c r="BJ75" s="2196"/>
      <c r="BK75" s="2196"/>
      <c r="BL75" s="2197">
        <v>1</v>
      </c>
      <c r="BM75" s="2196"/>
      <c r="BN75" s="972"/>
      <c r="BO75" s="972"/>
      <c r="BP75" s="973">
        <v>4</v>
      </c>
      <c r="BQ75" s="2154">
        <f>+BP74/BP75</f>
        <v>0.75</v>
      </c>
      <c r="BS75" s="879" t="s">
        <v>25</v>
      </c>
      <c r="BT75" s="879" t="s">
        <v>4</v>
      </c>
      <c r="BU75" s="880" t="s">
        <v>121</v>
      </c>
      <c r="BV75" s="881" t="s">
        <v>1283</v>
      </c>
      <c r="BW75" s="883">
        <v>0</v>
      </c>
      <c r="BX75" s="882"/>
      <c r="BY75" s="882"/>
      <c r="BZ75" s="882"/>
      <c r="CA75" s="882"/>
      <c r="CB75" s="882"/>
      <c r="CC75" s="883">
        <v>1</v>
      </c>
      <c r="CD75" s="883">
        <v>0</v>
      </c>
      <c r="CE75" s="884">
        <v>1</v>
      </c>
      <c r="CF75" s="884">
        <v>0</v>
      </c>
      <c r="CG75" s="884">
        <v>2</v>
      </c>
      <c r="CH75" s="161"/>
      <c r="CJ75" s="885"/>
      <c r="CK75" s="885"/>
      <c r="CL75" s="885"/>
      <c r="CM75" s="886" t="s">
        <v>1398</v>
      </c>
      <c r="CN75" s="887"/>
      <c r="CO75" s="887"/>
      <c r="CP75" s="887"/>
      <c r="CQ75" s="887"/>
      <c r="CR75" s="887"/>
      <c r="CS75" s="887"/>
      <c r="CT75" s="887"/>
      <c r="CU75" s="888">
        <v>2</v>
      </c>
      <c r="CV75" s="887"/>
      <c r="CW75" s="890">
        <v>0</v>
      </c>
      <c r="CX75" s="889"/>
      <c r="CY75" s="890">
        <v>2</v>
      </c>
      <c r="CZ75" s="891"/>
      <c r="DB75" s="892"/>
      <c r="DC75" s="892"/>
      <c r="DD75" s="892"/>
      <c r="DE75" s="902" t="s">
        <v>15</v>
      </c>
      <c r="DF75" s="903"/>
      <c r="DG75" s="903"/>
      <c r="DH75" s="903"/>
      <c r="DI75" s="903"/>
      <c r="DJ75" s="903"/>
      <c r="DK75" s="904">
        <v>1</v>
      </c>
      <c r="DL75" s="904">
        <v>4</v>
      </c>
      <c r="DM75" s="904">
        <v>10</v>
      </c>
      <c r="DN75" s="903"/>
      <c r="DO75" s="903"/>
      <c r="DP75" s="904">
        <v>15</v>
      </c>
      <c r="DQ75" s="905">
        <f>+(DP74+DP71)/DP75</f>
        <v>0.2</v>
      </c>
      <c r="DS75" s="121"/>
      <c r="DT75" s="121"/>
      <c r="DU75" s="74"/>
      <c r="DV75" s="74" t="s">
        <v>1398</v>
      </c>
      <c r="DW75" s="121"/>
      <c r="DX75" s="121"/>
      <c r="DY75" s="121"/>
      <c r="DZ75" s="121"/>
      <c r="EA75" s="121"/>
      <c r="EB75" s="121">
        <v>3</v>
      </c>
      <c r="EC75" s="121">
        <v>1</v>
      </c>
      <c r="ED75" s="121">
        <v>0</v>
      </c>
      <c r="EE75" s="121"/>
      <c r="EF75" s="121"/>
      <c r="EG75" s="121">
        <v>4</v>
      </c>
      <c r="EH75" s="74"/>
      <c r="EI75" s="74"/>
      <c r="EJ75" s="793"/>
      <c r="EK75" s="793"/>
      <c r="EL75" s="793"/>
      <c r="EM75" s="793" t="s">
        <v>1288</v>
      </c>
      <c r="EN75" s="793">
        <v>0</v>
      </c>
      <c r="EO75" s="793">
        <v>0</v>
      </c>
      <c r="EP75" s="793">
        <v>0</v>
      </c>
      <c r="EQ75" s="793">
        <v>10</v>
      </c>
      <c r="ER75" s="793">
        <v>2</v>
      </c>
      <c r="ES75" s="793">
        <v>0</v>
      </c>
      <c r="ET75" s="793">
        <v>0</v>
      </c>
      <c r="EU75" s="793">
        <v>0</v>
      </c>
      <c r="EV75" s="793">
        <v>0</v>
      </c>
      <c r="EW75" s="793">
        <v>0</v>
      </c>
      <c r="EX75" s="793">
        <v>0</v>
      </c>
      <c r="EY75" s="794">
        <v>12</v>
      </c>
      <c r="EZ75" s="896"/>
      <c r="FA75" s="795"/>
    </row>
    <row r="76" spans="1:157">
      <c r="A76" s="73"/>
      <c r="B76" s="73"/>
      <c r="C76" s="73" t="s">
        <v>1695</v>
      </c>
      <c r="D76" s="73" t="s">
        <v>1283</v>
      </c>
      <c r="E76" s="3261"/>
      <c r="F76" s="3261"/>
      <c r="G76" s="3261"/>
      <c r="H76" s="3261"/>
      <c r="I76" s="3261">
        <v>0</v>
      </c>
      <c r="J76" s="3261">
        <v>0</v>
      </c>
      <c r="K76" s="3261">
        <v>1</v>
      </c>
      <c r="L76" s="3261">
        <v>0</v>
      </c>
      <c r="M76" s="161"/>
      <c r="N76" s="161"/>
      <c r="O76" s="161">
        <v>1</v>
      </c>
      <c r="P76" s="73"/>
      <c r="R76" s="74"/>
      <c r="S76" s="74"/>
      <c r="T76" s="74"/>
      <c r="U76" s="74" t="s">
        <v>1292</v>
      </c>
      <c r="V76" s="3229"/>
      <c r="W76" s="3229">
        <v>0</v>
      </c>
      <c r="X76" s="3229"/>
      <c r="Y76" s="3229"/>
      <c r="Z76" s="3229">
        <v>0</v>
      </c>
      <c r="AA76" s="3229">
        <v>0</v>
      </c>
      <c r="AB76" s="3229">
        <v>0</v>
      </c>
      <c r="AC76" s="3229">
        <v>0</v>
      </c>
      <c r="AD76" s="3229"/>
      <c r="AE76" s="121">
        <v>2</v>
      </c>
      <c r="AF76" s="121"/>
      <c r="AG76" s="121">
        <v>2</v>
      </c>
      <c r="AJ76" s="161"/>
      <c r="AK76" s="161"/>
      <c r="AL76" s="73"/>
      <c r="AM76" s="738" t="s">
        <v>15</v>
      </c>
      <c r="AN76" s="2601"/>
      <c r="AO76" s="2601"/>
      <c r="AP76" s="2601"/>
      <c r="AQ76" s="2601"/>
      <c r="AR76" s="2601">
        <v>1</v>
      </c>
      <c r="AS76" s="2601"/>
      <c r="AT76" s="2601"/>
      <c r="AU76" s="2601"/>
      <c r="AV76" s="2601">
        <v>2</v>
      </c>
      <c r="AW76" s="151"/>
      <c r="AX76" s="151"/>
      <c r="AY76" s="151">
        <v>3</v>
      </c>
      <c r="AZ76" s="912">
        <v>0</v>
      </c>
      <c r="BB76" s="2191"/>
      <c r="BC76" s="2191"/>
      <c r="BD76" s="2192" t="s">
        <v>1691</v>
      </c>
      <c r="BE76" s="2193" t="s">
        <v>1284</v>
      </c>
      <c r="BF76" s="2194"/>
      <c r="BG76" s="2194"/>
      <c r="BH76" s="2194"/>
      <c r="BI76" s="2194"/>
      <c r="BJ76" s="2195">
        <v>0</v>
      </c>
      <c r="BK76" s="2195">
        <v>1</v>
      </c>
      <c r="BL76" s="2195">
        <v>0</v>
      </c>
      <c r="BM76" s="2194"/>
      <c r="BN76" s="963"/>
      <c r="BO76" s="963"/>
      <c r="BP76" s="964">
        <v>1</v>
      </c>
      <c r="BQ76" s="73"/>
      <c r="BS76" s="879"/>
      <c r="BT76" s="879"/>
      <c r="BU76" s="880"/>
      <c r="BV76" s="881" t="s">
        <v>1284</v>
      </c>
      <c r="BW76" s="883">
        <v>0</v>
      </c>
      <c r="BX76" s="882"/>
      <c r="BY76" s="882"/>
      <c r="BZ76" s="882"/>
      <c r="CA76" s="882"/>
      <c r="CB76" s="882"/>
      <c r="CC76" s="883">
        <v>1</v>
      </c>
      <c r="CD76" s="883">
        <v>0</v>
      </c>
      <c r="CE76" s="884">
        <v>0</v>
      </c>
      <c r="CF76" s="884">
        <v>0</v>
      </c>
      <c r="CG76" s="884">
        <v>1</v>
      </c>
      <c r="CH76" s="161"/>
      <c r="CJ76" s="885"/>
      <c r="CK76" s="885"/>
      <c r="CL76" s="885"/>
      <c r="CM76" s="897" t="s">
        <v>15</v>
      </c>
      <c r="CN76" s="898"/>
      <c r="CO76" s="898"/>
      <c r="CP76" s="898"/>
      <c r="CQ76" s="898"/>
      <c r="CR76" s="898"/>
      <c r="CS76" s="898"/>
      <c r="CT76" s="898"/>
      <c r="CU76" s="899">
        <v>5</v>
      </c>
      <c r="CV76" s="898"/>
      <c r="CW76" s="901">
        <v>1</v>
      </c>
      <c r="CX76" s="900"/>
      <c r="CY76" s="901">
        <v>6</v>
      </c>
      <c r="CZ76" s="891">
        <f>+(CY75+CY73)/CY76</f>
        <v>0.5</v>
      </c>
      <c r="DB76" s="892"/>
      <c r="DC76" s="892" t="s">
        <v>16</v>
      </c>
      <c r="DD76" s="892" t="s">
        <v>108</v>
      </c>
      <c r="DE76" s="893" t="s">
        <v>1288</v>
      </c>
      <c r="DF76" s="894"/>
      <c r="DG76" s="894"/>
      <c r="DH76" s="895">
        <v>9</v>
      </c>
      <c r="DI76" s="895">
        <v>0</v>
      </c>
      <c r="DJ76" s="894"/>
      <c r="DK76" s="895">
        <v>0</v>
      </c>
      <c r="DL76" s="894"/>
      <c r="DM76" s="894"/>
      <c r="DN76" s="894"/>
      <c r="DO76" s="894"/>
      <c r="DP76" s="895">
        <v>9</v>
      </c>
      <c r="DQ76" s="792"/>
      <c r="DS76" s="121"/>
      <c r="DT76" s="121"/>
      <c r="DU76" s="74"/>
      <c r="DV76" s="761" t="s">
        <v>15</v>
      </c>
      <c r="DW76" s="729"/>
      <c r="DX76" s="729"/>
      <c r="DY76" s="729"/>
      <c r="DZ76" s="729"/>
      <c r="EA76" s="729"/>
      <c r="EB76" s="729">
        <v>7</v>
      </c>
      <c r="EC76" s="729">
        <v>7</v>
      </c>
      <c r="ED76" s="729">
        <v>2</v>
      </c>
      <c r="EE76" s="729"/>
      <c r="EF76" s="729"/>
      <c r="EG76" s="729">
        <v>16</v>
      </c>
      <c r="EH76" s="813">
        <f>+(EG73+EG75)/EG76</f>
        <v>0.5</v>
      </c>
      <c r="EI76" s="74"/>
      <c r="EJ76" s="793"/>
      <c r="EK76" s="793"/>
      <c r="EL76" s="793"/>
      <c r="EM76" s="793" t="s">
        <v>1289</v>
      </c>
      <c r="EN76" s="793">
        <v>0</v>
      </c>
      <c r="EO76" s="793">
        <v>0</v>
      </c>
      <c r="EP76" s="793">
        <v>0</v>
      </c>
      <c r="EQ76" s="793">
        <v>1</v>
      </c>
      <c r="ER76" s="793">
        <v>0</v>
      </c>
      <c r="ES76" s="793">
        <v>0</v>
      </c>
      <c r="ET76" s="793">
        <v>0</v>
      </c>
      <c r="EU76" s="793">
        <v>0</v>
      </c>
      <c r="EV76" s="793">
        <v>0</v>
      </c>
      <c r="EW76" s="793">
        <v>0</v>
      </c>
      <c r="EX76" s="793">
        <v>0</v>
      </c>
      <c r="EY76" s="794">
        <v>1</v>
      </c>
      <c r="EZ76" s="896"/>
      <c r="FA76" s="795"/>
    </row>
    <row r="77" spans="1:157">
      <c r="A77" s="73"/>
      <c r="B77" s="73"/>
      <c r="C77" s="73"/>
      <c r="D77" s="73" t="s">
        <v>1284</v>
      </c>
      <c r="E77" s="3261"/>
      <c r="F77" s="3261"/>
      <c r="G77" s="3261"/>
      <c r="H77" s="3261"/>
      <c r="I77" s="3261">
        <v>0</v>
      </c>
      <c r="J77" s="3261">
        <v>1</v>
      </c>
      <c r="K77" s="3261">
        <v>0</v>
      </c>
      <c r="L77" s="3261">
        <v>0</v>
      </c>
      <c r="M77" s="161"/>
      <c r="N77" s="161"/>
      <c r="O77" s="161">
        <v>1</v>
      </c>
      <c r="P77" s="73"/>
      <c r="R77" s="74"/>
      <c r="S77" s="74"/>
      <c r="T77" s="74"/>
      <c r="U77" s="74" t="s">
        <v>1293</v>
      </c>
      <c r="V77" s="3229"/>
      <c r="W77" s="3229">
        <v>0</v>
      </c>
      <c r="X77" s="3229"/>
      <c r="Y77" s="3229"/>
      <c r="Z77" s="3229">
        <v>0</v>
      </c>
      <c r="AA77" s="3229">
        <v>0</v>
      </c>
      <c r="AB77" s="3229">
        <v>1</v>
      </c>
      <c r="AC77" s="3229">
        <v>1</v>
      </c>
      <c r="AD77" s="3229"/>
      <c r="AE77" s="121">
        <v>0</v>
      </c>
      <c r="AF77" s="121"/>
      <c r="AG77" s="121">
        <v>2</v>
      </c>
      <c r="AJ77" s="161"/>
      <c r="AK77" s="161"/>
      <c r="AL77" s="73" t="s">
        <v>888</v>
      </c>
      <c r="AM77" s="73" t="s">
        <v>1284</v>
      </c>
      <c r="AN77" s="2600"/>
      <c r="AO77" s="2600"/>
      <c r="AP77" s="2600"/>
      <c r="AQ77" s="2600">
        <v>1</v>
      </c>
      <c r="AR77" s="2600">
        <v>1</v>
      </c>
      <c r="AS77" s="2600">
        <v>1</v>
      </c>
      <c r="AT77" s="2600">
        <v>1</v>
      </c>
      <c r="AU77" s="2600"/>
      <c r="AV77" s="2600">
        <v>0</v>
      </c>
      <c r="AW77" s="161"/>
      <c r="AX77" s="161"/>
      <c r="AY77" s="161">
        <v>4</v>
      </c>
      <c r="AZ77" s="161"/>
      <c r="BB77" s="2191"/>
      <c r="BC77" s="2191"/>
      <c r="BD77" s="2192"/>
      <c r="BE77" s="2193" t="s">
        <v>1292</v>
      </c>
      <c r="BF77" s="2194"/>
      <c r="BG77" s="2194"/>
      <c r="BH77" s="2194"/>
      <c r="BI77" s="2194"/>
      <c r="BJ77" s="2195">
        <v>1</v>
      </c>
      <c r="BK77" s="2195">
        <v>0</v>
      </c>
      <c r="BL77" s="2195">
        <v>1</v>
      </c>
      <c r="BM77" s="2194"/>
      <c r="BN77" s="963"/>
      <c r="BO77" s="963"/>
      <c r="BP77" s="964">
        <v>2</v>
      </c>
      <c r="BQ77" s="73"/>
      <c r="BS77" s="879"/>
      <c r="BT77" s="879"/>
      <c r="BU77" s="880"/>
      <c r="BV77" s="881" t="s">
        <v>1286</v>
      </c>
      <c r="BW77" s="883">
        <v>2</v>
      </c>
      <c r="BX77" s="882"/>
      <c r="BY77" s="882"/>
      <c r="BZ77" s="882"/>
      <c r="CA77" s="882"/>
      <c r="CB77" s="882"/>
      <c r="CC77" s="883">
        <v>0</v>
      </c>
      <c r="CD77" s="883">
        <v>0</v>
      </c>
      <c r="CE77" s="884">
        <v>0</v>
      </c>
      <c r="CF77" s="884">
        <v>0</v>
      </c>
      <c r="CG77" s="884">
        <v>2</v>
      </c>
      <c r="CH77" s="161"/>
      <c r="CJ77" s="885"/>
      <c r="CK77" s="885"/>
      <c r="CL77" s="885" t="s">
        <v>122</v>
      </c>
      <c r="CM77" s="886" t="s">
        <v>1283</v>
      </c>
      <c r="CN77" s="887"/>
      <c r="CO77" s="887"/>
      <c r="CP77" s="888">
        <v>0</v>
      </c>
      <c r="CQ77" s="888">
        <v>0</v>
      </c>
      <c r="CR77" s="887"/>
      <c r="CS77" s="887"/>
      <c r="CT77" s="888">
        <v>0</v>
      </c>
      <c r="CU77" s="888">
        <v>0</v>
      </c>
      <c r="CV77" s="888">
        <v>3</v>
      </c>
      <c r="CW77" s="890">
        <v>0</v>
      </c>
      <c r="CX77" s="890">
        <v>2</v>
      </c>
      <c r="CY77" s="890">
        <v>5</v>
      </c>
      <c r="CZ77" s="891"/>
      <c r="DB77" s="892"/>
      <c r="DC77" s="892"/>
      <c r="DD77" s="892"/>
      <c r="DE77" s="893" t="s">
        <v>1289</v>
      </c>
      <c r="DF77" s="894"/>
      <c r="DG77" s="894"/>
      <c r="DH77" s="895">
        <v>0</v>
      </c>
      <c r="DI77" s="895">
        <v>0</v>
      </c>
      <c r="DJ77" s="894"/>
      <c r="DK77" s="895">
        <v>1</v>
      </c>
      <c r="DL77" s="894"/>
      <c r="DM77" s="894"/>
      <c r="DN77" s="894"/>
      <c r="DO77" s="894"/>
      <c r="DP77" s="895">
        <v>1</v>
      </c>
      <c r="DQ77" s="792"/>
      <c r="DS77" s="121"/>
      <c r="DT77" s="121" t="s">
        <v>16</v>
      </c>
      <c r="DU77" s="74" t="s">
        <v>126</v>
      </c>
      <c r="DV77" s="74" t="s">
        <v>1283</v>
      </c>
      <c r="DW77" s="121"/>
      <c r="DX77" s="121"/>
      <c r="DY77" s="121"/>
      <c r="DZ77" s="121"/>
      <c r="EA77" s="121"/>
      <c r="EB77" s="121">
        <v>0</v>
      </c>
      <c r="EC77" s="121">
        <v>0</v>
      </c>
      <c r="ED77" s="121">
        <v>2</v>
      </c>
      <c r="EE77" s="121"/>
      <c r="EF77" s="121"/>
      <c r="EG77" s="121">
        <v>2</v>
      </c>
      <c r="EH77" s="74"/>
      <c r="EI77" s="74"/>
      <c r="EJ77" s="793"/>
      <c r="EK77" s="793"/>
      <c r="EL77" s="793"/>
      <c r="EM77" s="793" t="s">
        <v>1398</v>
      </c>
      <c r="EN77" s="793">
        <v>0</v>
      </c>
      <c r="EO77" s="793">
        <v>0</v>
      </c>
      <c r="EP77" s="793">
        <v>0</v>
      </c>
      <c r="EQ77" s="793">
        <v>3</v>
      </c>
      <c r="ER77" s="793">
        <v>0</v>
      </c>
      <c r="ES77" s="793">
        <v>0</v>
      </c>
      <c r="ET77" s="793">
        <v>1</v>
      </c>
      <c r="EU77" s="793">
        <v>0</v>
      </c>
      <c r="EV77" s="793">
        <v>0</v>
      </c>
      <c r="EW77" s="793">
        <v>0</v>
      </c>
      <c r="EX77" s="793">
        <v>0</v>
      </c>
      <c r="EY77" s="794">
        <v>4</v>
      </c>
      <c r="EZ77" s="896"/>
      <c r="FA77" s="795"/>
    </row>
    <row r="78" spans="1:157">
      <c r="A78" s="73"/>
      <c r="B78" s="73"/>
      <c r="C78" s="73"/>
      <c r="D78" s="73" t="s">
        <v>1288</v>
      </c>
      <c r="E78" s="3261"/>
      <c r="F78" s="3261"/>
      <c r="G78" s="3261"/>
      <c r="H78" s="3261"/>
      <c r="I78" s="3261">
        <v>1</v>
      </c>
      <c r="J78" s="3261">
        <v>0</v>
      </c>
      <c r="K78" s="3261">
        <v>0</v>
      </c>
      <c r="L78" s="3261">
        <v>0</v>
      </c>
      <c r="M78" s="161"/>
      <c r="N78" s="161"/>
      <c r="O78" s="161">
        <v>1</v>
      </c>
      <c r="P78" s="73"/>
      <c r="R78" s="74"/>
      <c r="S78" s="74"/>
      <c r="T78" s="74"/>
      <c r="U78" s="74" t="s">
        <v>1398</v>
      </c>
      <c r="V78" s="3229"/>
      <c r="W78" s="3229">
        <v>0</v>
      </c>
      <c r="X78" s="3229"/>
      <c r="Y78" s="3229"/>
      <c r="Z78" s="3229">
        <v>0</v>
      </c>
      <c r="AA78" s="3229">
        <v>1</v>
      </c>
      <c r="AB78" s="3229">
        <v>0</v>
      </c>
      <c r="AC78" s="3229">
        <v>0</v>
      </c>
      <c r="AD78" s="3229"/>
      <c r="AE78" s="121">
        <v>0</v>
      </c>
      <c r="AF78" s="121"/>
      <c r="AG78" s="121">
        <v>1</v>
      </c>
      <c r="AJ78" s="161"/>
      <c r="AK78" s="161"/>
      <c r="AL78" s="73"/>
      <c r="AM78" s="73" t="s">
        <v>1292</v>
      </c>
      <c r="AN78" s="2600"/>
      <c r="AO78" s="2600"/>
      <c r="AP78" s="2600"/>
      <c r="AQ78" s="2600">
        <v>0</v>
      </c>
      <c r="AR78" s="2600">
        <v>0</v>
      </c>
      <c r="AS78" s="2600">
        <v>0</v>
      </c>
      <c r="AT78" s="2600">
        <v>0</v>
      </c>
      <c r="AU78" s="2600"/>
      <c r="AV78" s="2600">
        <v>5</v>
      </c>
      <c r="AW78" s="161"/>
      <c r="AX78" s="161"/>
      <c r="AY78" s="161">
        <v>5</v>
      </c>
      <c r="AZ78" s="161"/>
      <c r="BB78" s="2191"/>
      <c r="BC78" s="2191"/>
      <c r="BD78" s="2192"/>
      <c r="BE78" s="2193" t="s">
        <v>1293</v>
      </c>
      <c r="BF78" s="2194"/>
      <c r="BG78" s="2194"/>
      <c r="BH78" s="2194"/>
      <c r="BI78" s="2194"/>
      <c r="BJ78" s="2195">
        <v>0</v>
      </c>
      <c r="BK78" s="2195">
        <v>1</v>
      </c>
      <c r="BL78" s="2195">
        <v>0</v>
      </c>
      <c r="BM78" s="2194"/>
      <c r="BN78" s="963"/>
      <c r="BO78" s="963"/>
      <c r="BP78" s="964">
        <v>1</v>
      </c>
      <c r="BQ78" s="73"/>
      <c r="BS78" s="879"/>
      <c r="BT78" s="879"/>
      <c r="BU78" s="880"/>
      <c r="BV78" s="881" t="s">
        <v>1288</v>
      </c>
      <c r="BW78" s="883">
        <v>0</v>
      </c>
      <c r="BX78" s="882"/>
      <c r="BY78" s="882"/>
      <c r="BZ78" s="882"/>
      <c r="CA78" s="882"/>
      <c r="CB78" s="882"/>
      <c r="CC78" s="883">
        <v>2</v>
      </c>
      <c r="CD78" s="883">
        <v>0</v>
      </c>
      <c r="CE78" s="884">
        <v>1</v>
      </c>
      <c r="CF78" s="884">
        <v>0</v>
      </c>
      <c r="CG78" s="884">
        <v>3</v>
      </c>
      <c r="CH78" s="161"/>
      <c r="CJ78" s="885"/>
      <c r="CK78" s="885"/>
      <c r="CL78" s="885"/>
      <c r="CM78" s="886" t="s">
        <v>1284</v>
      </c>
      <c r="CN78" s="887"/>
      <c r="CO78" s="887"/>
      <c r="CP78" s="888">
        <v>2</v>
      </c>
      <c r="CQ78" s="888">
        <v>1</v>
      </c>
      <c r="CR78" s="887"/>
      <c r="CS78" s="887"/>
      <c r="CT78" s="888">
        <v>1</v>
      </c>
      <c r="CU78" s="888">
        <v>1</v>
      </c>
      <c r="CV78" s="888">
        <v>1</v>
      </c>
      <c r="CW78" s="890">
        <v>0</v>
      </c>
      <c r="CX78" s="890">
        <v>0</v>
      </c>
      <c r="CY78" s="890">
        <v>6</v>
      </c>
      <c r="CZ78" s="891"/>
      <c r="DB78" s="892"/>
      <c r="DC78" s="892"/>
      <c r="DD78" s="892"/>
      <c r="DE78" s="893" t="s">
        <v>1398</v>
      </c>
      <c r="DF78" s="894"/>
      <c r="DG78" s="894"/>
      <c r="DH78" s="895">
        <v>3</v>
      </c>
      <c r="DI78" s="895">
        <v>2</v>
      </c>
      <c r="DJ78" s="894"/>
      <c r="DK78" s="895">
        <v>0</v>
      </c>
      <c r="DL78" s="894"/>
      <c r="DM78" s="894"/>
      <c r="DN78" s="894"/>
      <c r="DO78" s="894"/>
      <c r="DP78" s="895">
        <v>5</v>
      </c>
      <c r="DQ78" s="792"/>
      <c r="DS78" s="121"/>
      <c r="DT78" s="121"/>
      <c r="DU78" s="74"/>
      <c r="DV78" s="74" t="s">
        <v>1284</v>
      </c>
      <c r="DW78" s="121"/>
      <c r="DX78" s="121"/>
      <c r="DY78" s="121"/>
      <c r="DZ78" s="121"/>
      <c r="EA78" s="121"/>
      <c r="EB78" s="121">
        <v>0</v>
      </c>
      <c r="EC78" s="121">
        <v>1</v>
      </c>
      <c r="ED78" s="121">
        <v>0</v>
      </c>
      <c r="EE78" s="121"/>
      <c r="EF78" s="121"/>
      <c r="EG78" s="121">
        <v>1</v>
      </c>
      <c r="EH78" s="74"/>
      <c r="EI78" s="74"/>
      <c r="EJ78" s="793"/>
      <c r="EK78" s="793"/>
      <c r="EL78" s="793"/>
      <c r="EM78" s="796" t="s">
        <v>15</v>
      </c>
      <c r="EN78" s="796">
        <v>0</v>
      </c>
      <c r="EO78" s="796">
        <v>0</v>
      </c>
      <c r="EP78" s="796">
        <v>0</v>
      </c>
      <c r="EQ78" s="796">
        <v>15</v>
      </c>
      <c r="ER78" s="796">
        <v>2</v>
      </c>
      <c r="ES78" s="796">
        <v>0</v>
      </c>
      <c r="ET78" s="796">
        <v>1</v>
      </c>
      <c r="EU78" s="796">
        <v>0</v>
      </c>
      <c r="EV78" s="796">
        <v>0</v>
      </c>
      <c r="EW78" s="796">
        <v>0</v>
      </c>
      <c r="EX78" s="796">
        <v>0</v>
      </c>
      <c r="EY78" s="856">
        <v>18</v>
      </c>
      <c r="EZ78" s="906">
        <f>+(EY77+EY75)/EY78</f>
        <v>0.88888888888888884</v>
      </c>
      <c r="FA78" s="795">
        <f>+EY75+EY77</f>
        <v>16</v>
      </c>
    </row>
    <row r="79" spans="1:157">
      <c r="A79" s="73"/>
      <c r="B79" s="73"/>
      <c r="C79" s="73"/>
      <c r="D79" s="73" t="s">
        <v>1292</v>
      </c>
      <c r="E79" s="3261"/>
      <c r="F79" s="3261"/>
      <c r="G79" s="3261"/>
      <c r="H79" s="3261"/>
      <c r="I79" s="3261">
        <v>0</v>
      </c>
      <c r="J79" s="3261">
        <v>0</v>
      </c>
      <c r="K79" s="3261">
        <v>0</v>
      </c>
      <c r="L79" s="3261">
        <v>1</v>
      </c>
      <c r="M79" s="161"/>
      <c r="N79" s="161"/>
      <c r="O79" s="161">
        <v>1</v>
      </c>
      <c r="P79" s="73"/>
      <c r="R79" s="74"/>
      <c r="S79" s="74"/>
      <c r="T79" s="74"/>
      <c r="U79" s="761" t="s">
        <v>15</v>
      </c>
      <c r="V79" s="3230"/>
      <c r="W79" s="3230">
        <v>1</v>
      </c>
      <c r="X79" s="3230"/>
      <c r="Y79" s="3230"/>
      <c r="Z79" s="3230">
        <v>5</v>
      </c>
      <c r="AA79" s="3230">
        <v>5</v>
      </c>
      <c r="AB79" s="3230">
        <v>4</v>
      </c>
      <c r="AC79" s="3230">
        <v>4</v>
      </c>
      <c r="AD79" s="3230"/>
      <c r="AE79" s="729">
        <v>2</v>
      </c>
      <c r="AF79" s="729"/>
      <c r="AG79" s="729">
        <v>21</v>
      </c>
      <c r="AH79" s="4681">
        <f>+(AG74+AG77+AG78)/AG79</f>
        <v>0.33333333333333331</v>
      </c>
      <c r="AJ79" s="161"/>
      <c r="AK79" s="161"/>
      <c r="AL79" s="73"/>
      <c r="AM79" s="738" t="s">
        <v>888</v>
      </c>
      <c r="AN79" s="2601"/>
      <c r="AO79" s="2601"/>
      <c r="AP79" s="2601"/>
      <c r="AQ79" s="2601">
        <v>1</v>
      </c>
      <c r="AR79" s="2601">
        <v>1</v>
      </c>
      <c r="AS79" s="2601">
        <v>1</v>
      </c>
      <c r="AT79" s="2601">
        <v>1</v>
      </c>
      <c r="AU79" s="2601"/>
      <c r="AV79" s="2601">
        <v>5</v>
      </c>
      <c r="AW79" s="151"/>
      <c r="AX79" s="151"/>
      <c r="AY79" s="151">
        <v>9</v>
      </c>
      <c r="AZ79" s="912">
        <v>0</v>
      </c>
      <c r="BB79" s="2191"/>
      <c r="BC79" s="2191"/>
      <c r="BD79" s="2192"/>
      <c r="BE79" s="760" t="s">
        <v>15</v>
      </c>
      <c r="BF79" s="2196"/>
      <c r="BG79" s="2196"/>
      <c r="BH79" s="2196"/>
      <c r="BI79" s="2196"/>
      <c r="BJ79" s="2197">
        <v>1</v>
      </c>
      <c r="BK79" s="2197">
        <v>2</v>
      </c>
      <c r="BL79" s="2197">
        <v>1</v>
      </c>
      <c r="BM79" s="2196"/>
      <c r="BN79" s="972"/>
      <c r="BO79" s="972"/>
      <c r="BP79" s="973">
        <v>4</v>
      </c>
      <c r="BQ79" s="2154">
        <f>+BP78/BP79</f>
        <v>0.25</v>
      </c>
      <c r="BS79" s="879"/>
      <c r="BT79" s="879"/>
      <c r="BU79" s="880"/>
      <c r="BV79" s="881" t="s">
        <v>1292</v>
      </c>
      <c r="BW79" s="883">
        <v>0</v>
      </c>
      <c r="BX79" s="882"/>
      <c r="BY79" s="882"/>
      <c r="BZ79" s="882"/>
      <c r="CA79" s="882"/>
      <c r="CB79" s="882"/>
      <c r="CC79" s="883">
        <v>0</v>
      </c>
      <c r="CD79" s="883">
        <v>4</v>
      </c>
      <c r="CE79" s="884">
        <v>1</v>
      </c>
      <c r="CF79" s="884">
        <v>1</v>
      </c>
      <c r="CG79" s="884">
        <v>6</v>
      </c>
      <c r="CH79" s="161"/>
      <c r="CJ79" s="885"/>
      <c r="CK79" s="885"/>
      <c r="CL79" s="885"/>
      <c r="CM79" s="886" t="s">
        <v>1286</v>
      </c>
      <c r="CN79" s="887"/>
      <c r="CO79" s="887"/>
      <c r="CP79" s="888">
        <v>1</v>
      </c>
      <c r="CQ79" s="888">
        <v>0</v>
      </c>
      <c r="CR79" s="887"/>
      <c r="CS79" s="887"/>
      <c r="CT79" s="888">
        <v>0</v>
      </c>
      <c r="CU79" s="888">
        <v>0</v>
      </c>
      <c r="CV79" s="888">
        <v>0</v>
      </c>
      <c r="CW79" s="890">
        <v>0</v>
      </c>
      <c r="CX79" s="890">
        <v>0</v>
      </c>
      <c r="CY79" s="890">
        <v>1</v>
      </c>
      <c r="CZ79" s="891"/>
      <c r="DB79" s="892"/>
      <c r="DC79" s="892"/>
      <c r="DD79" s="892"/>
      <c r="DE79" s="902" t="s">
        <v>15</v>
      </c>
      <c r="DF79" s="903"/>
      <c r="DG79" s="903"/>
      <c r="DH79" s="904">
        <v>12</v>
      </c>
      <c r="DI79" s="904">
        <v>2</v>
      </c>
      <c r="DJ79" s="903"/>
      <c r="DK79" s="904">
        <v>1</v>
      </c>
      <c r="DL79" s="903"/>
      <c r="DM79" s="903"/>
      <c r="DN79" s="903"/>
      <c r="DO79" s="903"/>
      <c r="DP79" s="904">
        <v>15</v>
      </c>
      <c r="DQ79" s="905">
        <f>+(DP78+DP76)/DP79</f>
        <v>0.93333333333333335</v>
      </c>
      <c r="DS79" s="121"/>
      <c r="DT79" s="121"/>
      <c r="DU79" s="74"/>
      <c r="DV79" s="74" t="s">
        <v>1288</v>
      </c>
      <c r="DW79" s="121"/>
      <c r="DX79" s="121"/>
      <c r="DY79" s="121"/>
      <c r="DZ79" s="121"/>
      <c r="EA79" s="121"/>
      <c r="EB79" s="121">
        <v>1</v>
      </c>
      <c r="EC79" s="121">
        <v>2</v>
      </c>
      <c r="ED79" s="121">
        <v>0</v>
      </c>
      <c r="EE79" s="121"/>
      <c r="EF79" s="121"/>
      <c r="EG79" s="121">
        <v>3</v>
      </c>
      <c r="EH79" s="74"/>
      <c r="EI79" s="74"/>
      <c r="EJ79" s="793"/>
      <c r="EK79" s="793"/>
      <c r="EL79" s="793" t="s">
        <v>126</v>
      </c>
      <c r="EM79" s="793" t="s">
        <v>1284</v>
      </c>
      <c r="EN79" s="793">
        <v>0</v>
      </c>
      <c r="EO79" s="793">
        <v>1</v>
      </c>
      <c r="EP79" s="793">
        <v>0</v>
      </c>
      <c r="EQ79" s="793">
        <v>0</v>
      </c>
      <c r="ER79" s="793">
        <v>0</v>
      </c>
      <c r="ES79" s="793">
        <v>0</v>
      </c>
      <c r="ET79" s="793">
        <v>1</v>
      </c>
      <c r="EU79" s="793">
        <v>1</v>
      </c>
      <c r="EV79" s="793">
        <v>0</v>
      </c>
      <c r="EW79" s="793">
        <v>0</v>
      </c>
      <c r="EX79" s="793">
        <v>0</v>
      </c>
      <c r="EY79" s="794">
        <v>3</v>
      </c>
      <c r="EZ79" s="896"/>
      <c r="FA79" s="795"/>
    </row>
    <row r="80" spans="1:157">
      <c r="A80" s="73"/>
      <c r="B80" s="73"/>
      <c r="C80" s="73"/>
      <c r="D80" s="73" t="s">
        <v>1293</v>
      </c>
      <c r="E80" s="3261"/>
      <c r="F80" s="3261"/>
      <c r="G80" s="3261"/>
      <c r="H80" s="3261"/>
      <c r="I80" s="3261">
        <v>0</v>
      </c>
      <c r="J80" s="3261">
        <v>0</v>
      </c>
      <c r="K80" s="3261">
        <v>1</v>
      </c>
      <c r="L80" s="3261">
        <v>0</v>
      </c>
      <c r="M80" s="161"/>
      <c r="N80" s="161"/>
      <c r="O80" s="161">
        <v>1</v>
      </c>
      <c r="P80" s="73"/>
      <c r="R80" s="74"/>
      <c r="S80" s="74"/>
      <c r="T80" s="74" t="s">
        <v>1691</v>
      </c>
      <c r="U80" s="74" t="s">
        <v>1283</v>
      </c>
      <c r="V80" s="3229"/>
      <c r="W80" s="3229"/>
      <c r="X80" s="3229"/>
      <c r="Y80" s="3229"/>
      <c r="Z80" s="3229">
        <v>0</v>
      </c>
      <c r="AA80" s="3229"/>
      <c r="AB80" s="3229">
        <v>0</v>
      </c>
      <c r="AC80" s="3229">
        <v>1</v>
      </c>
      <c r="AD80" s="3229">
        <v>0</v>
      </c>
      <c r="AE80" s="121">
        <v>0</v>
      </c>
      <c r="AF80" s="121"/>
      <c r="AG80" s="121">
        <v>1</v>
      </c>
      <c r="AJ80" s="161"/>
      <c r="AK80" s="161"/>
      <c r="AL80" s="73" t="s">
        <v>107</v>
      </c>
      <c r="AM80" s="73" t="s">
        <v>1283</v>
      </c>
      <c r="AN80" s="2600">
        <v>0</v>
      </c>
      <c r="AO80" s="2600">
        <v>0</v>
      </c>
      <c r="AP80" s="2600">
        <v>0</v>
      </c>
      <c r="AQ80" s="2600">
        <v>0</v>
      </c>
      <c r="AR80" s="2600">
        <v>0</v>
      </c>
      <c r="AS80" s="2600">
        <v>1</v>
      </c>
      <c r="AT80" s="2600">
        <v>0</v>
      </c>
      <c r="AU80" s="2600">
        <v>4</v>
      </c>
      <c r="AV80" s="2600">
        <v>4</v>
      </c>
      <c r="AW80" s="161">
        <v>0</v>
      </c>
      <c r="AX80" s="161">
        <v>0</v>
      </c>
      <c r="AY80" s="161">
        <v>9</v>
      </c>
      <c r="AZ80" s="161"/>
      <c r="BB80" s="2191"/>
      <c r="BC80" s="2191"/>
      <c r="BD80" s="2192" t="s">
        <v>1695</v>
      </c>
      <c r="BE80" s="2193" t="s">
        <v>1292</v>
      </c>
      <c r="BF80" s="2194"/>
      <c r="BG80" s="2194"/>
      <c r="BH80" s="2195">
        <v>0</v>
      </c>
      <c r="BI80" s="2195">
        <v>1</v>
      </c>
      <c r="BJ80" s="2194"/>
      <c r="BK80" s="2194"/>
      <c r="BL80" s="2194"/>
      <c r="BM80" s="2194"/>
      <c r="BN80" s="963"/>
      <c r="BO80" s="963"/>
      <c r="BP80" s="964">
        <v>1</v>
      </c>
      <c r="BQ80" s="73"/>
      <c r="BS80" s="879"/>
      <c r="BT80" s="879"/>
      <c r="BU80" s="880"/>
      <c r="BV80" s="881" t="s">
        <v>1398</v>
      </c>
      <c r="BW80" s="883">
        <v>0</v>
      </c>
      <c r="BX80" s="882"/>
      <c r="BY80" s="882"/>
      <c r="BZ80" s="882"/>
      <c r="CA80" s="882"/>
      <c r="CB80" s="882"/>
      <c r="CC80" s="883">
        <v>0</v>
      </c>
      <c r="CD80" s="883">
        <v>1</v>
      </c>
      <c r="CE80" s="884">
        <v>0</v>
      </c>
      <c r="CF80" s="884">
        <v>0</v>
      </c>
      <c r="CG80" s="884">
        <v>1</v>
      </c>
      <c r="CH80" s="161"/>
      <c r="CJ80" s="885"/>
      <c r="CK80" s="885"/>
      <c r="CL80" s="885"/>
      <c r="CM80" s="886" t="s">
        <v>1288</v>
      </c>
      <c r="CN80" s="887"/>
      <c r="CO80" s="887"/>
      <c r="CP80" s="888">
        <v>0</v>
      </c>
      <c r="CQ80" s="888">
        <v>0</v>
      </c>
      <c r="CR80" s="887"/>
      <c r="CS80" s="887"/>
      <c r="CT80" s="888">
        <v>0</v>
      </c>
      <c r="CU80" s="888">
        <v>7</v>
      </c>
      <c r="CV80" s="888">
        <v>0</v>
      </c>
      <c r="CW80" s="890">
        <v>1</v>
      </c>
      <c r="CX80" s="890">
        <v>0</v>
      </c>
      <c r="CY80" s="890">
        <v>8</v>
      </c>
      <c r="CZ80" s="891"/>
      <c r="DB80" s="892"/>
      <c r="DC80" s="892"/>
      <c r="DD80" s="892" t="s">
        <v>127</v>
      </c>
      <c r="DE80" s="893" t="s">
        <v>1284</v>
      </c>
      <c r="DF80" s="894"/>
      <c r="DG80" s="895">
        <v>0</v>
      </c>
      <c r="DH80" s="895">
        <v>0</v>
      </c>
      <c r="DI80" s="895">
        <v>1</v>
      </c>
      <c r="DJ80" s="895">
        <v>0</v>
      </c>
      <c r="DK80" s="895">
        <v>1</v>
      </c>
      <c r="DL80" s="895">
        <v>15</v>
      </c>
      <c r="DM80" s="895">
        <v>0</v>
      </c>
      <c r="DN80" s="894"/>
      <c r="DO80" s="894"/>
      <c r="DP80" s="895">
        <v>17</v>
      </c>
      <c r="DQ80" s="792"/>
      <c r="DS80" s="121"/>
      <c r="DT80" s="121"/>
      <c r="DU80" s="74"/>
      <c r="DV80" s="74" t="s">
        <v>1292</v>
      </c>
      <c r="DW80" s="121"/>
      <c r="DX80" s="121"/>
      <c r="DY80" s="121"/>
      <c r="DZ80" s="121"/>
      <c r="EA80" s="121"/>
      <c r="EB80" s="121">
        <v>0</v>
      </c>
      <c r="EC80" s="121">
        <v>0</v>
      </c>
      <c r="ED80" s="121">
        <v>8</v>
      </c>
      <c r="EE80" s="121"/>
      <c r="EF80" s="121"/>
      <c r="EG80" s="121">
        <v>8</v>
      </c>
      <c r="EH80" s="74"/>
      <c r="EI80" s="74"/>
      <c r="EJ80" s="793"/>
      <c r="EK80" s="793"/>
      <c r="EL80" s="793"/>
      <c r="EM80" s="793" t="s">
        <v>1288</v>
      </c>
      <c r="EN80" s="793">
        <v>0</v>
      </c>
      <c r="EO80" s="793">
        <v>0</v>
      </c>
      <c r="EP80" s="793">
        <v>0</v>
      </c>
      <c r="EQ80" s="793">
        <v>0</v>
      </c>
      <c r="ER80" s="793">
        <v>0</v>
      </c>
      <c r="ES80" s="793">
        <v>0</v>
      </c>
      <c r="ET80" s="793">
        <v>0</v>
      </c>
      <c r="EU80" s="793">
        <v>1</v>
      </c>
      <c r="EV80" s="793">
        <v>0</v>
      </c>
      <c r="EW80" s="793">
        <v>0</v>
      </c>
      <c r="EX80" s="793">
        <v>0</v>
      </c>
      <c r="EY80" s="794">
        <v>1</v>
      </c>
      <c r="EZ80" s="896"/>
      <c r="FA80" s="795"/>
    </row>
    <row r="81" spans="1:157">
      <c r="A81" s="73"/>
      <c r="B81" s="73"/>
      <c r="C81" s="73"/>
      <c r="D81" s="738" t="s">
        <v>15</v>
      </c>
      <c r="E81" s="3262"/>
      <c r="F81" s="3262"/>
      <c r="G81" s="3262"/>
      <c r="H81" s="3262"/>
      <c r="I81" s="3262">
        <v>1</v>
      </c>
      <c r="J81" s="3262">
        <v>1</v>
      </c>
      <c r="K81" s="3262">
        <v>2</v>
      </c>
      <c r="L81" s="3262">
        <v>1</v>
      </c>
      <c r="M81" s="4674"/>
      <c r="N81" s="4674"/>
      <c r="O81" s="4674">
        <v>5</v>
      </c>
      <c r="P81" s="912">
        <f>+(O80+O78)/O81</f>
        <v>0.4</v>
      </c>
      <c r="Q81" s="3197"/>
      <c r="R81" s="74"/>
      <c r="S81" s="74"/>
      <c r="T81" s="74"/>
      <c r="U81" s="74" t="s">
        <v>1284</v>
      </c>
      <c r="V81" s="3229"/>
      <c r="W81" s="3229"/>
      <c r="X81" s="3229"/>
      <c r="Y81" s="3229"/>
      <c r="Z81" s="3229">
        <v>0</v>
      </c>
      <c r="AA81" s="3229"/>
      <c r="AB81" s="3229">
        <v>3</v>
      </c>
      <c r="AC81" s="3229">
        <v>3</v>
      </c>
      <c r="AD81" s="3229">
        <v>0</v>
      </c>
      <c r="AE81" s="121">
        <v>0</v>
      </c>
      <c r="AF81" s="121"/>
      <c r="AG81" s="121">
        <v>6</v>
      </c>
      <c r="AJ81" s="161"/>
      <c r="AK81" s="161"/>
      <c r="AL81" s="73"/>
      <c r="AM81" s="73" t="s">
        <v>1284</v>
      </c>
      <c r="AN81" s="2600">
        <v>0</v>
      </c>
      <c r="AO81" s="2600">
        <v>2</v>
      </c>
      <c r="AP81" s="2600">
        <v>1</v>
      </c>
      <c r="AQ81" s="2600">
        <v>1</v>
      </c>
      <c r="AR81" s="2600">
        <v>1</v>
      </c>
      <c r="AS81" s="2600">
        <v>2</v>
      </c>
      <c r="AT81" s="2600">
        <v>24</v>
      </c>
      <c r="AU81" s="2600">
        <v>19</v>
      </c>
      <c r="AV81" s="2600">
        <v>2</v>
      </c>
      <c r="AW81" s="161">
        <v>2</v>
      </c>
      <c r="AX81" s="161">
        <v>0</v>
      </c>
      <c r="AY81" s="161">
        <v>54</v>
      </c>
      <c r="AZ81" s="161"/>
      <c r="BB81" s="2191"/>
      <c r="BC81" s="2191"/>
      <c r="BD81" s="2192"/>
      <c r="BE81" s="2193" t="s">
        <v>1398</v>
      </c>
      <c r="BF81" s="2194"/>
      <c r="BG81" s="2194"/>
      <c r="BH81" s="2195">
        <v>1</v>
      </c>
      <c r="BI81" s="2195">
        <v>0</v>
      </c>
      <c r="BJ81" s="2194"/>
      <c r="BK81" s="2194"/>
      <c r="BL81" s="2194"/>
      <c r="BM81" s="2194"/>
      <c r="BN81" s="963"/>
      <c r="BO81" s="963"/>
      <c r="BP81" s="964">
        <v>1</v>
      </c>
      <c r="BQ81" s="73"/>
      <c r="BS81" s="879"/>
      <c r="BT81" s="879"/>
      <c r="BU81" s="880"/>
      <c r="BV81" s="907" t="s">
        <v>15</v>
      </c>
      <c r="BW81" s="909">
        <v>2</v>
      </c>
      <c r="BX81" s="908"/>
      <c r="BY81" s="908"/>
      <c r="BZ81" s="908"/>
      <c r="CA81" s="908"/>
      <c r="CB81" s="908"/>
      <c r="CC81" s="909">
        <v>4</v>
      </c>
      <c r="CD81" s="909">
        <v>5</v>
      </c>
      <c r="CE81" s="911">
        <v>3</v>
      </c>
      <c r="CF81" s="911">
        <v>1</v>
      </c>
      <c r="CG81" s="911">
        <v>15</v>
      </c>
      <c r="CH81" s="912">
        <f>+(CG78+CG80-CE78)/CG81</f>
        <v>0.2</v>
      </c>
      <c r="CJ81" s="885"/>
      <c r="CK81" s="885"/>
      <c r="CL81" s="885"/>
      <c r="CM81" s="886" t="s">
        <v>1289</v>
      </c>
      <c r="CN81" s="887"/>
      <c r="CO81" s="887"/>
      <c r="CP81" s="888">
        <v>0</v>
      </c>
      <c r="CQ81" s="888">
        <v>1</v>
      </c>
      <c r="CR81" s="887"/>
      <c r="CS81" s="887"/>
      <c r="CT81" s="888">
        <v>0</v>
      </c>
      <c r="CU81" s="888">
        <v>0</v>
      </c>
      <c r="CV81" s="888">
        <v>0</v>
      </c>
      <c r="CW81" s="890">
        <v>0</v>
      </c>
      <c r="CX81" s="890">
        <v>0</v>
      </c>
      <c r="CY81" s="890">
        <v>1</v>
      </c>
      <c r="CZ81" s="891"/>
      <c r="DB81" s="892"/>
      <c r="DC81" s="892"/>
      <c r="DD81" s="892"/>
      <c r="DE81" s="893" t="s">
        <v>1286</v>
      </c>
      <c r="DF81" s="894"/>
      <c r="DG81" s="895">
        <v>1</v>
      </c>
      <c r="DH81" s="895">
        <v>0</v>
      </c>
      <c r="DI81" s="895">
        <v>0</v>
      </c>
      <c r="DJ81" s="895">
        <v>0</v>
      </c>
      <c r="DK81" s="895">
        <v>0</v>
      </c>
      <c r="DL81" s="895">
        <v>0</v>
      </c>
      <c r="DM81" s="895">
        <v>0</v>
      </c>
      <c r="DN81" s="894"/>
      <c r="DO81" s="894"/>
      <c r="DP81" s="895">
        <v>1</v>
      </c>
      <c r="DQ81" s="792"/>
      <c r="DS81" s="121"/>
      <c r="DT81" s="121"/>
      <c r="DU81" s="74"/>
      <c r="DV81" s="761" t="s">
        <v>15</v>
      </c>
      <c r="DW81" s="729"/>
      <c r="DX81" s="729"/>
      <c r="DY81" s="729"/>
      <c r="DZ81" s="729"/>
      <c r="EA81" s="729"/>
      <c r="EB81" s="729">
        <v>1</v>
      </c>
      <c r="EC81" s="729">
        <v>3</v>
      </c>
      <c r="ED81" s="729">
        <v>10</v>
      </c>
      <c r="EE81" s="729"/>
      <c r="EF81" s="729"/>
      <c r="EG81" s="729">
        <v>14</v>
      </c>
      <c r="EH81" s="813">
        <f>+EG79/EG81</f>
        <v>0.21428571428571427</v>
      </c>
      <c r="EI81" s="74"/>
      <c r="EJ81" s="793"/>
      <c r="EK81" s="793"/>
      <c r="EL81" s="793"/>
      <c r="EM81" s="793" t="s">
        <v>1292</v>
      </c>
      <c r="EN81" s="793">
        <v>0</v>
      </c>
      <c r="EO81" s="793">
        <v>0</v>
      </c>
      <c r="EP81" s="793">
        <v>0</v>
      </c>
      <c r="EQ81" s="793">
        <v>0</v>
      </c>
      <c r="ER81" s="793">
        <v>0</v>
      </c>
      <c r="ES81" s="793">
        <v>0</v>
      </c>
      <c r="ET81" s="793">
        <v>0</v>
      </c>
      <c r="EU81" s="793">
        <v>4</v>
      </c>
      <c r="EV81" s="793">
        <v>5</v>
      </c>
      <c r="EW81" s="793">
        <v>0</v>
      </c>
      <c r="EX81" s="793">
        <v>0</v>
      </c>
      <c r="EY81" s="794">
        <v>9</v>
      </c>
      <c r="EZ81" s="896"/>
      <c r="FA81" s="795"/>
    </row>
    <row r="82" spans="1:157">
      <c r="A82" s="73"/>
      <c r="B82" s="73"/>
      <c r="C82" s="73" t="s">
        <v>2714</v>
      </c>
      <c r="D82" s="73" t="s">
        <v>1292</v>
      </c>
      <c r="E82" s="3261"/>
      <c r="F82" s="3261"/>
      <c r="G82" s="3261"/>
      <c r="H82" s="3261"/>
      <c r="I82" s="3261"/>
      <c r="J82" s="3261"/>
      <c r="K82" s="3261"/>
      <c r="L82" s="3261">
        <v>2</v>
      </c>
      <c r="M82" s="161"/>
      <c r="N82" s="161"/>
      <c r="O82" s="161">
        <v>2</v>
      </c>
      <c r="P82" s="73"/>
      <c r="R82" s="74"/>
      <c r="S82" s="74"/>
      <c r="T82" s="74"/>
      <c r="U82" s="74" t="s">
        <v>1292</v>
      </c>
      <c r="V82" s="3229"/>
      <c r="W82" s="3229"/>
      <c r="X82" s="3229"/>
      <c r="Y82" s="3229"/>
      <c r="Z82" s="3229">
        <v>0</v>
      </c>
      <c r="AA82" s="3229"/>
      <c r="AB82" s="3229">
        <v>0</v>
      </c>
      <c r="AC82" s="3229">
        <v>0</v>
      </c>
      <c r="AD82" s="3229">
        <v>8</v>
      </c>
      <c r="AE82" s="121">
        <v>0</v>
      </c>
      <c r="AF82" s="121"/>
      <c r="AG82" s="121">
        <v>8</v>
      </c>
      <c r="AJ82" s="161"/>
      <c r="AK82" s="161"/>
      <c r="AL82" s="73"/>
      <c r="AM82" s="73" t="s">
        <v>1286</v>
      </c>
      <c r="AN82" s="2600">
        <v>0</v>
      </c>
      <c r="AO82" s="2600">
        <v>2</v>
      </c>
      <c r="AP82" s="2600">
        <v>0</v>
      </c>
      <c r="AQ82" s="2600">
        <v>0</v>
      </c>
      <c r="AR82" s="2600">
        <v>0</v>
      </c>
      <c r="AS82" s="2600">
        <v>0</v>
      </c>
      <c r="AT82" s="2600">
        <v>0</v>
      </c>
      <c r="AU82" s="2600">
        <v>0</v>
      </c>
      <c r="AV82" s="2600">
        <v>0</v>
      </c>
      <c r="AW82" s="161">
        <v>0</v>
      </c>
      <c r="AX82" s="161">
        <v>0</v>
      </c>
      <c r="AY82" s="161">
        <v>2</v>
      </c>
      <c r="AZ82" s="161"/>
      <c r="BB82" s="2191"/>
      <c r="BC82" s="2191"/>
      <c r="BD82" s="2192"/>
      <c r="BE82" s="760" t="s">
        <v>15</v>
      </c>
      <c r="BF82" s="2196"/>
      <c r="BG82" s="2196"/>
      <c r="BH82" s="2197">
        <v>1</v>
      </c>
      <c r="BI82" s="2197">
        <v>1</v>
      </c>
      <c r="BJ82" s="2196"/>
      <c r="BK82" s="2196"/>
      <c r="BL82" s="2196"/>
      <c r="BM82" s="2196"/>
      <c r="BN82" s="972"/>
      <c r="BO82" s="972"/>
      <c r="BP82" s="973">
        <v>2</v>
      </c>
      <c r="BQ82" s="2154">
        <f>+BP81/BP82</f>
        <v>0.5</v>
      </c>
      <c r="BS82" s="879"/>
      <c r="BT82" s="879"/>
      <c r="BU82" s="880" t="s">
        <v>122</v>
      </c>
      <c r="BV82" s="881" t="s">
        <v>1283</v>
      </c>
      <c r="BW82" s="882"/>
      <c r="BX82" s="882"/>
      <c r="BY82" s="882"/>
      <c r="BZ82" s="882"/>
      <c r="CA82" s="883">
        <v>0</v>
      </c>
      <c r="CB82" s="882"/>
      <c r="CC82" s="883">
        <v>0</v>
      </c>
      <c r="CD82" s="883">
        <v>5</v>
      </c>
      <c r="CE82" s="879"/>
      <c r="CF82" s="884">
        <v>2</v>
      </c>
      <c r="CG82" s="884">
        <v>7</v>
      </c>
      <c r="CH82" s="161"/>
      <c r="CJ82" s="885"/>
      <c r="CK82" s="885"/>
      <c r="CL82" s="885"/>
      <c r="CM82" s="886" t="s">
        <v>1292</v>
      </c>
      <c r="CN82" s="887"/>
      <c r="CO82" s="887"/>
      <c r="CP82" s="888">
        <v>0</v>
      </c>
      <c r="CQ82" s="888">
        <v>0</v>
      </c>
      <c r="CR82" s="887"/>
      <c r="CS82" s="887"/>
      <c r="CT82" s="888">
        <v>0</v>
      </c>
      <c r="CU82" s="888">
        <v>0</v>
      </c>
      <c r="CV82" s="888">
        <v>13</v>
      </c>
      <c r="CW82" s="890">
        <v>4</v>
      </c>
      <c r="CX82" s="890">
        <v>1</v>
      </c>
      <c r="CY82" s="890">
        <v>18</v>
      </c>
      <c r="CZ82" s="891"/>
      <c r="DB82" s="892"/>
      <c r="DC82" s="892"/>
      <c r="DD82" s="892"/>
      <c r="DE82" s="893" t="s">
        <v>1288</v>
      </c>
      <c r="DF82" s="894"/>
      <c r="DG82" s="895">
        <v>0</v>
      </c>
      <c r="DH82" s="895">
        <v>0</v>
      </c>
      <c r="DI82" s="895">
        <v>0</v>
      </c>
      <c r="DJ82" s="895">
        <v>0</v>
      </c>
      <c r="DK82" s="895">
        <v>1</v>
      </c>
      <c r="DL82" s="895">
        <v>5</v>
      </c>
      <c r="DM82" s="895">
        <v>1</v>
      </c>
      <c r="DN82" s="894"/>
      <c r="DO82" s="894"/>
      <c r="DP82" s="895">
        <v>7</v>
      </c>
      <c r="DQ82" s="792"/>
      <c r="DS82" s="121"/>
      <c r="DT82" s="121"/>
      <c r="DU82" s="74" t="s">
        <v>127</v>
      </c>
      <c r="DV82" s="74" t="s">
        <v>1284</v>
      </c>
      <c r="DW82" s="121"/>
      <c r="DX82" s="121"/>
      <c r="DY82" s="121"/>
      <c r="DZ82" s="121"/>
      <c r="EA82" s="121"/>
      <c r="EB82" s="121">
        <v>1</v>
      </c>
      <c r="EC82" s="121">
        <v>2</v>
      </c>
      <c r="ED82" s="121">
        <v>0</v>
      </c>
      <c r="EE82" s="121"/>
      <c r="EF82" s="121"/>
      <c r="EG82" s="121">
        <v>3</v>
      </c>
      <c r="EH82" s="74"/>
      <c r="EI82" s="74"/>
      <c r="EJ82" s="793"/>
      <c r="EK82" s="793"/>
      <c r="EL82" s="793"/>
      <c r="EM82" s="793" t="s">
        <v>1398</v>
      </c>
      <c r="EN82" s="793">
        <v>0</v>
      </c>
      <c r="EO82" s="793">
        <v>0</v>
      </c>
      <c r="EP82" s="793">
        <v>0</v>
      </c>
      <c r="EQ82" s="793">
        <v>0</v>
      </c>
      <c r="ER82" s="793">
        <v>0</v>
      </c>
      <c r="ES82" s="793">
        <v>0</v>
      </c>
      <c r="ET82" s="793">
        <v>8</v>
      </c>
      <c r="EU82" s="793">
        <v>0</v>
      </c>
      <c r="EV82" s="793">
        <v>0</v>
      </c>
      <c r="EW82" s="793">
        <v>0</v>
      </c>
      <c r="EX82" s="793">
        <v>0</v>
      </c>
      <c r="EY82" s="794">
        <v>8</v>
      </c>
      <c r="EZ82" s="896"/>
      <c r="FA82" s="795"/>
    </row>
    <row r="83" spans="1:157">
      <c r="A83" s="73"/>
      <c r="B83" s="73"/>
      <c r="C83" s="73"/>
      <c r="D83" s="738" t="s">
        <v>15</v>
      </c>
      <c r="E83" s="3262"/>
      <c r="F83" s="3262"/>
      <c r="G83" s="3262"/>
      <c r="H83" s="3262"/>
      <c r="I83" s="3262"/>
      <c r="J83" s="3262"/>
      <c r="K83" s="3262"/>
      <c r="L83" s="3262">
        <v>2</v>
      </c>
      <c r="M83" s="4674"/>
      <c r="N83" s="4674"/>
      <c r="O83" s="4674">
        <v>2</v>
      </c>
      <c r="P83" s="912">
        <v>0</v>
      </c>
      <c r="Q83" s="3197"/>
      <c r="R83" s="74"/>
      <c r="S83" s="74"/>
      <c r="T83" s="74"/>
      <c r="U83" s="74" t="s">
        <v>1293</v>
      </c>
      <c r="V83" s="3229"/>
      <c r="W83" s="3229"/>
      <c r="X83" s="3229"/>
      <c r="Y83" s="3229"/>
      <c r="Z83" s="3229">
        <v>1</v>
      </c>
      <c r="AA83" s="3229"/>
      <c r="AB83" s="3229">
        <v>0</v>
      </c>
      <c r="AC83" s="3229">
        <v>0</v>
      </c>
      <c r="AD83" s="3229">
        <v>0</v>
      </c>
      <c r="AE83" s="121">
        <v>1</v>
      </c>
      <c r="AF83" s="121"/>
      <c r="AG83" s="121">
        <v>2</v>
      </c>
      <c r="AJ83" s="161"/>
      <c r="AK83" s="161"/>
      <c r="AL83" s="73"/>
      <c r="AM83" s="73" t="s">
        <v>1288</v>
      </c>
      <c r="AN83" s="2600">
        <v>0</v>
      </c>
      <c r="AO83" s="2600">
        <v>0</v>
      </c>
      <c r="AP83" s="2600">
        <v>0</v>
      </c>
      <c r="AQ83" s="2600">
        <v>0</v>
      </c>
      <c r="AR83" s="2600">
        <v>0</v>
      </c>
      <c r="AS83" s="2600">
        <v>0</v>
      </c>
      <c r="AT83" s="2600">
        <v>3</v>
      </c>
      <c r="AU83" s="2600">
        <v>0</v>
      </c>
      <c r="AV83" s="2600">
        <v>1</v>
      </c>
      <c r="AW83" s="161">
        <v>1</v>
      </c>
      <c r="AX83" s="161">
        <v>0</v>
      </c>
      <c r="AY83" s="161">
        <v>5</v>
      </c>
      <c r="AZ83" s="161"/>
      <c r="BB83" s="2191"/>
      <c r="BC83" s="2191"/>
      <c r="BD83" s="2192" t="s">
        <v>888</v>
      </c>
      <c r="BE83" s="2193" t="s">
        <v>1284</v>
      </c>
      <c r="BF83" s="2194"/>
      <c r="BG83" s="2194"/>
      <c r="BH83" s="2195">
        <v>0</v>
      </c>
      <c r="BI83" s="2195">
        <v>0</v>
      </c>
      <c r="BJ83" s="2195">
        <v>1</v>
      </c>
      <c r="BK83" s="2195">
        <v>1</v>
      </c>
      <c r="BL83" s="2195">
        <v>1</v>
      </c>
      <c r="BM83" s="2195">
        <v>0</v>
      </c>
      <c r="BN83" s="963"/>
      <c r="BO83" s="963"/>
      <c r="BP83" s="964">
        <v>3</v>
      </c>
      <c r="BQ83" s="73"/>
      <c r="BS83" s="879"/>
      <c r="BT83" s="879"/>
      <c r="BU83" s="880"/>
      <c r="BV83" s="881" t="s">
        <v>1284</v>
      </c>
      <c r="BW83" s="882"/>
      <c r="BX83" s="882"/>
      <c r="BY83" s="882"/>
      <c r="BZ83" s="882"/>
      <c r="CA83" s="883">
        <v>0</v>
      </c>
      <c r="CB83" s="882"/>
      <c r="CC83" s="883">
        <v>2</v>
      </c>
      <c r="CD83" s="883">
        <v>0</v>
      </c>
      <c r="CE83" s="879"/>
      <c r="CF83" s="884">
        <v>0</v>
      </c>
      <c r="CG83" s="884">
        <v>2</v>
      </c>
      <c r="CH83" s="161"/>
      <c r="CJ83" s="885"/>
      <c r="CK83" s="885"/>
      <c r="CL83" s="885"/>
      <c r="CM83" s="897" t="s">
        <v>15</v>
      </c>
      <c r="CN83" s="898"/>
      <c r="CO83" s="898"/>
      <c r="CP83" s="899">
        <v>3</v>
      </c>
      <c r="CQ83" s="899">
        <v>2</v>
      </c>
      <c r="CR83" s="898"/>
      <c r="CS83" s="898"/>
      <c r="CT83" s="899">
        <v>1</v>
      </c>
      <c r="CU83" s="899">
        <v>8</v>
      </c>
      <c r="CV83" s="899">
        <v>17</v>
      </c>
      <c r="CW83" s="901">
        <v>5</v>
      </c>
      <c r="CX83" s="901">
        <v>3</v>
      </c>
      <c r="CY83" s="901">
        <v>39</v>
      </c>
      <c r="CZ83" s="891">
        <f>+(CY80-CW80)/CY83</f>
        <v>0.17948717948717949</v>
      </c>
      <c r="DB83" s="892"/>
      <c r="DC83" s="892"/>
      <c r="DD83" s="892"/>
      <c r="DE83" s="893" t="s">
        <v>1289</v>
      </c>
      <c r="DF83" s="894"/>
      <c r="DG83" s="895">
        <v>0</v>
      </c>
      <c r="DH83" s="895">
        <v>1</v>
      </c>
      <c r="DI83" s="895">
        <v>0</v>
      </c>
      <c r="DJ83" s="895">
        <v>1</v>
      </c>
      <c r="DK83" s="895">
        <v>1</v>
      </c>
      <c r="DL83" s="895">
        <v>0</v>
      </c>
      <c r="DM83" s="895">
        <v>0</v>
      </c>
      <c r="DN83" s="894"/>
      <c r="DO83" s="894"/>
      <c r="DP83" s="895">
        <v>3</v>
      </c>
      <c r="DQ83" s="792"/>
      <c r="DS83" s="121"/>
      <c r="DT83" s="121"/>
      <c r="DU83" s="74"/>
      <c r="DV83" s="74" t="s">
        <v>1288</v>
      </c>
      <c r="DW83" s="121"/>
      <c r="DX83" s="121"/>
      <c r="DY83" s="121"/>
      <c r="DZ83" s="121"/>
      <c r="EA83" s="121"/>
      <c r="EB83" s="121">
        <v>0</v>
      </c>
      <c r="EC83" s="121">
        <v>1</v>
      </c>
      <c r="ED83" s="121">
        <v>0</v>
      </c>
      <c r="EE83" s="121"/>
      <c r="EF83" s="121"/>
      <c r="EG83" s="121">
        <v>1</v>
      </c>
      <c r="EH83" s="74"/>
      <c r="EI83" s="74"/>
      <c r="EJ83" s="793"/>
      <c r="EK83" s="793"/>
      <c r="EL83" s="793"/>
      <c r="EM83" s="796" t="s">
        <v>15</v>
      </c>
      <c r="EN83" s="796">
        <v>0</v>
      </c>
      <c r="EO83" s="796">
        <v>1</v>
      </c>
      <c r="EP83" s="796">
        <v>0</v>
      </c>
      <c r="EQ83" s="796">
        <v>0</v>
      </c>
      <c r="ER83" s="796">
        <v>0</v>
      </c>
      <c r="ES83" s="796">
        <v>0</v>
      </c>
      <c r="ET83" s="796">
        <v>9</v>
      </c>
      <c r="EU83" s="796">
        <v>6</v>
      </c>
      <c r="EV83" s="796">
        <v>5</v>
      </c>
      <c r="EW83" s="796">
        <v>0</v>
      </c>
      <c r="EX83" s="796">
        <v>0</v>
      </c>
      <c r="EY83" s="856">
        <v>21</v>
      </c>
      <c r="EZ83" s="906">
        <f>+(EY82+EY80)/EY83</f>
        <v>0.42857142857142855</v>
      </c>
      <c r="FA83" s="795">
        <f>+EY80+EY82</f>
        <v>9</v>
      </c>
    </row>
    <row r="84" spans="1:157">
      <c r="A84" s="73"/>
      <c r="B84" s="73"/>
      <c r="C84" s="738" t="s">
        <v>574</v>
      </c>
      <c r="D84" s="738" t="s">
        <v>1283</v>
      </c>
      <c r="E84" s="3262"/>
      <c r="F84" s="3262">
        <v>0</v>
      </c>
      <c r="G84" s="3262"/>
      <c r="H84" s="3262"/>
      <c r="I84" s="3262">
        <v>0</v>
      </c>
      <c r="J84" s="3262">
        <v>0</v>
      </c>
      <c r="K84" s="3262">
        <v>1</v>
      </c>
      <c r="L84" s="3262">
        <v>0</v>
      </c>
      <c r="M84" s="4674"/>
      <c r="N84" s="4674"/>
      <c r="O84" s="4674">
        <v>1</v>
      </c>
      <c r="P84" s="73"/>
      <c r="R84" s="74"/>
      <c r="S84" s="74"/>
      <c r="T84" s="74"/>
      <c r="U84" s="761" t="s">
        <v>15</v>
      </c>
      <c r="V84" s="3230"/>
      <c r="W84" s="3230"/>
      <c r="X84" s="3230"/>
      <c r="Y84" s="3230"/>
      <c r="Z84" s="3230">
        <v>1</v>
      </c>
      <c r="AA84" s="3230"/>
      <c r="AB84" s="3230">
        <v>3</v>
      </c>
      <c r="AC84" s="3230">
        <v>4</v>
      </c>
      <c r="AD84" s="3230">
        <v>8</v>
      </c>
      <c r="AE84" s="729">
        <v>1</v>
      </c>
      <c r="AF84" s="729"/>
      <c r="AG84" s="729">
        <v>17</v>
      </c>
      <c r="AH84" s="4681">
        <f>+(AG83-AE83)/AG84</f>
        <v>5.8823529411764705E-2</v>
      </c>
      <c r="AJ84" s="161"/>
      <c r="AK84" s="161"/>
      <c r="AL84" s="73"/>
      <c r="AM84" s="73" t="s">
        <v>1289</v>
      </c>
      <c r="AN84" s="2600">
        <v>0</v>
      </c>
      <c r="AO84" s="2600">
        <v>0</v>
      </c>
      <c r="AP84" s="2600">
        <v>0</v>
      </c>
      <c r="AQ84" s="2600">
        <v>0</v>
      </c>
      <c r="AR84" s="2600">
        <v>1</v>
      </c>
      <c r="AS84" s="2600">
        <v>0</v>
      </c>
      <c r="AT84" s="2600">
        <v>0</v>
      </c>
      <c r="AU84" s="2600">
        <v>0</v>
      </c>
      <c r="AV84" s="2600">
        <v>0</v>
      </c>
      <c r="AW84" s="161">
        <v>0</v>
      </c>
      <c r="AX84" s="161">
        <v>0</v>
      </c>
      <c r="AY84" s="161">
        <v>1</v>
      </c>
      <c r="AZ84" s="161"/>
      <c r="BB84" s="2191"/>
      <c r="BC84" s="2191"/>
      <c r="BD84" s="2192"/>
      <c r="BE84" s="2193" t="s">
        <v>1288</v>
      </c>
      <c r="BF84" s="2194"/>
      <c r="BG84" s="2194"/>
      <c r="BH84" s="2195">
        <v>0</v>
      </c>
      <c r="BI84" s="2195">
        <v>2</v>
      </c>
      <c r="BJ84" s="2195">
        <v>0</v>
      </c>
      <c r="BK84" s="2195">
        <v>0</v>
      </c>
      <c r="BL84" s="2195">
        <v>0</v>
      </c>
      <c r="BM84" s="2195">
        <v>0</v>
      </c>
      <c r="BN84" s="963"/>
      <c r="BO84" s="963"/>
      <c r="BP84" s="964">
        <v>2</v>
      </c>
      <c r="BQ84" s="73"/>
      <c r="BS84" s="879"/>
      <c r="BT84" s="879"/>
      <c r="BU84" s="880"/>
      <c r="BV84" s="881" t="s">
        <v>1288</v>
      </c>
      <c r="BW84" s="882"/>
      <c r="BX84" s="882"/>
      <c r="BY84" s="882"/>
      <c r="BZ84" s="882"/>
      <c r="CA84" s="883">
        <v>0</v>
      </c>
      <c r="CB84" s="882"/>
      <c r="CC84" s="883">
        <v>1</v>
      </c>
      <c r="CD84" s="883">
        <v>1</v>
      </c>
      <c r="CE84" s="879"/>
      <c r="CF84" s="884">
        <v>0</v>
      </c>
      <c r="CG84" s="884">
        <v>2</v>
      </c>
      <c r="CH84" s="161"/>
      <c r="CJ84" s="885"/>
      <c r="CK84" s="885"/>
      <c r="CL84" s="885" t="s">
        <v>123</v>
      </c>
      <c r="CM84" s="886" t="s">
        <v>1283</v>
      </c>
      <c r="CN84" s="887"/>
      <c r="CO84" s="887"/>
      <c r="CP84" s="887"/>
      <c r="CQ84" s="887"/>
      <c r="CR84" s="887"/>
      <c r="CS84" s="887"/>
      <c r="CT84" s="888">
        <v>0</v>
      </c>
      <c r="CU84" s="887"/>
      <c r="CV84" s="888">
        <v>3</v>
      </c>
      <c r="CW84" s="889"/>
      <c r="CX84" s="890">
        <v>4</v>
      </c>
      <c r="CY84" s="890">
        <v>7</v>
      </c>
      <c r="CZ84" s="891"/>
      <c r="DB84" s="892"/>
      <c r="DC84" s="892"/>
      <c r="DD84" s="892"/>
      <c r="DE84" s="893" t="s">
        <v>1292</v>
      </c>
      <c r="DF84" s="894"/>
      <c r="DG84" s="895">
        <v>0</v>
      </c>
      <c r="DH84" s="895">
        <v>0</v>
      </c>
      <c r="DI84" s="895">
        <v>0</v>
      </c>
      <c r="DJ84" s="895">
        <v>0</v>
      </c>
      <c r="DK84" s="895">
        <v>0</v>
      </c>
      <c r="DL84" s="895">
        <v>1</v>
      </c>
      <c r="DM84" s="895">
        <v>33</v>
      </c>
      <c r="DN84" s="894"/>
      <c r="DO84" s="894"/>
      <c r="DP84" s="895">
        <v>34</v>
      </c>
      <c r="DQ84" s="792"/>
      <c r="DS84" s="121"/>
      <c r="DT84" s="121"/>
      <c r="DU84" s="74"/>
      <c r="DV84" s="74" t="s">
        <v>1292</v>
      </c>
      <c r="DW84" s="121"/>
      <c r="DX84" s="121"/>
      <c r="DY84" s="121"/>
      <c r="DZ84" s="121"/>
      <c r="EA84" s="121"/>
      <c r="EB84" s="121">
        <v>0</v>
      </c>
      <c r="EC84" s="121">
        <v>0</v>
      </c>
      <c r="ED84" s="121">
        <v>2</v>
      </c>
      <c r="EE84" s="121"/>
      <c r="EF84" s="121"/>
      <c r="EG84" s="121">
        <v>2</v>
      </c>
      <c r="EH84" s="74"/>
      <c r="EI84" s="74"/>
      <c r="EJ84" s="793"/>
      <c r="EK84" s="793"/>
      <c r="EL84" s="793" t="s">
        <v>127</v>
      </c>
      <c r="EM84" s="793" t="s">
        <v>1283</v>
      </c>
      <c r="EN84" s="793">
        <v>0</v>
      </c>
      <c r="EO84" s="793">
        <v>0</v>
      </c>
      <c r="EP84" s="793">
        <v>0</v>
      </c>
      <c r="EQ84" s="793">
        <v>0</v>
      </c>
      <c r="ER84" s="793">
        <v>0</v>
      </c>
      <c r="ES84" s="793">
        <v>0</v>
      </c>
      <c r="ET84" s="793">
        <v>0</v>
      </c>
      <c r="EU84" s="793">
        <v>0</v>
      </c>
      <c r="EV84" s="793">
        <v>3</v>
      </c>
      <c r="EW84" s="793">
        <v>0</v>
      </c>
      <c r="EX84" s="793">
        <v>0</v>
      </c>
      <c r="EY84" s="794">
        <v>3</v>
      </c>
      <c r="EZ84" s="896"/>
      <c r="FA84" s="795"/>
    </row>
    <row r="85" spans="1:157">
      <c r="A85" s="73"/>
      <c r="B85" s="73"/>
      <c r="C85" s="738"/>
      <c r="D85" s="738" t="s">
        <v>1284</v>
      </c>
      <c r="E85" s="3262"/>
      <c r="F85" s="3262">
        <v>1</v>
      </c>
      <c r="G85" s="3262"/>
      <c r="H85" s="3262"/>
      <c r="I85" s="3262">
        <v>0</v>
      </c>
      <c r="J85" s="3262">
        <v>3</v>
      </c>
      <c r="K85" s="3262">
        <v>0</v>
      </c>
      <c r="L85" s="3262">
        <v>0</v>
      </c>
      <c r="M85" s="4674"/>
      <c r="N85" s="4674"/>
      <c r="O85" s="4674">
        <v>4</v>
      </c>
      <c r="P85" s="73"/>
      <c r="R85" s="74"/>
      <c r="S85" s="74"/>
      <c r="T85" s="74" t="s">
        <v>1695</v>
      </c>
      <c r="U85" s="74" t="s">
        <v>1284</v>
      </c>
      <c r="V85" s="3229">
        <v>0</v>
      </c>
      <c r="W85" s="3229">
        <v>2</v>
      </c>
      <c r="X85" s="3229">
        <v>0</v>
      </c>
      <c r="Y85" s="3229"/>
      <c r="Z85" s="3229">
        <v>1</v>
      </c>
      <c r="AA85" s="3229">
        <v>1</v>
      </c>
      <c r="AB85" s="3229">
        <v>1</v>
      </c>
      <c r="AC85" s="3229"/>
      <c r="AD85" s="3229">
        <v>1</v>
      </c>
      <c r="AE85" s="121">
        <v>0</v>
      </c>
      <c r="AF85" s="121"/>
      <c r="AG85" s="121">
        <v>6</v>
      </c>
      <c r="AJ85" s="161"/>
      <c r="AK85" s="161"/>
      <c r="AL85" s="73"/>
      <c r="AM85" s="73" t="s">
        <v>1292</v>
      </c>
      <c r="AN85" s="2600">
        <v>0</v>
      </c>
      <c r="AO85" s="2600">
        <v>0</v>
      </c>
      <c r="AP85" s="2600">
        <v>0</v>
      </c>
      <c r="AQ85" s="2600">
        <v>0</v>
      </c>
      <c r="AR85" s="2600">
        <v>0</v>
      </c>
      <c r="AS85" s="2600">
        <v>0</v>
      </c>
      <c r="AT85" s="2600">
        <v>0</v>
      </c>
      <c r="AU85" s="2600">
        <v>2</v>
      </c>
      <c r="AV85" s="2600">
        <v>17</v>
      </c>
      <c r="AW85" s="161">
        <v>2</v>
      </c>
      <c r="AX85" s="161">
        <v>2</v>
      </c>
      <c r="AY85" s="161">
        <v>23</v>
      </c>
      <c r="AZ85" s="161"/>
      <c r="BB85" s="2191"/>
      <c r="BC85" s="2191"/>
      <c r="BD85" s="2192"/>
      <c r="BE85" s="2193" t="s">
        <v>1289</v>
      </c>
      <c r="BF85" s="2194"/>
      <c r="BG85" s="2194"/>
      <c r="BH85" s="2195">
        <v>4</v>
      </c>
      <c r="BI85" s="2195">
        <v>4</v>
      </c>
      <c r="BJ85" s="2195">
        <v>6</v>
      </c>
      <c r="BK85" s="2195">
        <v>10</v>
      </c>
      <c r="BL85" s="2195">
        <v>0</v>
      </c>
      <c r="BM85" s="2195">
        <v>0</v>
      </c>
      <c r="BN85" s="963"/>
      <c r="BO85" s="963"/>
      <c r="BP85" s="964">
        <v>24</v>
      </c>
      <c r="BQ85" s="73"/>
      <c r="BS85" s="879"/>
      <c r="BT85" s="879"/>
      <c r="BU85" s="880"/>
      <c r="BV85" s="881" t="s">
        <v>1289</v>
      </c>
      <c r="BW85" s="882"/>
      <c r="BX85" s="882"/>
      <c r="BY85" s="882"/>
      <c r="BZ85" s="882"/>
      <c r="CA85" s="883">
        <v>1</v>
      </c>
      <c r="CB85" s="882"/>
      <c r="CC85" s="883">
        <v>0</v>
      </c>
      <c r="CD85" s="883">
        <v>0</v>
      </c>
      <c r="CE85" s="879"/>
      <c r="CF85" s="884">
        <v>0</v>
      </c>
      <c r="CG85" s="884">
        <v>1</v>
      </c>
      <c r="CH85" s="161"/>
      <c r="CJ85" s="885"/>
      <c r="CK85" s="885"/>
      <c r="CL85" s="885"/>
      <c r="CM85" s="886" t="s">
        <v>1288</v>
      </c>
      <c r="CN85" s="887"/>
      <c r="CO85" s="887"/>
      <c r="CP85" s="887"/>
      <c r="CQ85" s="887"/>
      <c r="CR85" s="887"/>
      <c r="CS85" s="887"/>
      <c r="CT85" s="888">
        <v>1</v>
      </c>
      <c r="CU85" s="887"/>
      <c r="CV85" s="888">
        <v>0</v>
      </c>
      <c r="CW85" s="889"/>
      <c r="CX85" s="890">
        <v>0</v>
      </c>
      <c r="CY85" s="890">
        <v>1</v>
      </c>
      <c r="CZ85" s="891"/>
      <c r="DB85" s="892"/>
      <c r="DC85" s="892"/>
      <c r="DD85" s="892"/>
      <c r="DE85" s="893" t="s">
        <v>1398</v>
      </c>
      <c r="DF85" s="894"/>
      <c r="DG85" s="895">
        <v>0</v>
      </c>
      <c r="DH85" s="895">
        <v>0</v>
      </c>
      <c r="DI85" s="895">
        <v>0</v>
      </c>
      <c r="DJ85" s="895">
        <v>0</v>
      </c>
      <c r="DK85" s="895">
        <v>4</v>
      </c>
      <c r="DL85" s="895">
        <v>0</v>
      </c>
      <c r="DM85" s="895">
        <v>0</v>
      </c>
      <c r="DN85" s="894"/>
      <c r="DO85" s="894"/>
      <c r="DP85" s="895">
        <v>4</v>
      </c>
      <c r="DQ85" s="792"/>
      <c r="DS85" s="121"/>
      <c r="DT85" s="121"/>
      <c r="DU85" s="74"/>
      <c r="DV85" s="761" t="s">
        <v>15</v>
      </c>
      <c r="DW85" s="729"/>
      <c r="DX85" s="729"/>
      <c r="DY85" s="729"/>
      <c r="DZ85" s="729"/>
      <c r="EA85" s="729"/>
      <c r="EB85" s="729">
        <v>1</v>
      </c>
      <c r="EC85" s="729">
        <v>3</v>
      </c>
      <c r="ED85" s="729">
        <v>2</v>
      </c>
      <c r="EE85" s="729"/>
      <c r="EF85" s="729"/>
      <c r="EG85" s="729">
        <v>6</v>
      </c>
      <c r="EH85" s="813">
        <f>+EG83/EG85</f>
        <v>0.16666666666666666</v>
      </c>
      <c r="EI85" s="74"/>
      <c r="EJ85" s="793"/>
      <c r="EK85" s="793"/>
      <c r="EL85" s="793"/>
      <c r="EM85" s="793" t="s">
        <v>1284</v>
      </c>
      <c r="EN85" s="793">
        <v>0</v>
      </c>
      <c r="EO85" s="793">
        <v>0</v>
      </c>
      <c r="EP85" s="793">
        <v>0</v>
      </c>
      <c r="EQ85" s="793">
        <v>1</v>
      </c>
      <c r="ER85" s="793">
        <v>1</v>
      </c>
      <c r="ES85" s="793">
        <v>0</v>
      </c>
      <c r="ET85" s="793">
        <v>3</v>
      </c>
      <c r="EU85" s="793">
        <v>1</v>
      </c>
      <c r="EV85" s="793">
        <v>0</v>
      </c>
      <c r="EW85" s="793">
        <v>0</v>
      </c>
      <c r="EX85" s="793">
        <v>0</v>
      </c>
      <c r="EY85" s="794">
        <v>6</v>
      </c>
      <c r="EZ85" s="896"/>
      <c r="FA85" s="795"/>
    </row>
    <row r="86" spans="1:157">
      <c r="A86" s="73"/>
      <c r="B86" s="73"/>
      <c r="C86" s="738"/>
      <c r="D86" s="738" t="s">
        <v>1288</v>
      </c>
      <c r="E86" s="3262"/>
      <c r="F86" s="3262">
        <v>0</v>
      </c>
      <c r="G86" s="3262"/>
      <c r="H86" s="3262"/>
      <c r="I86" s="3262">
        <v>1</v>
      </c>
      <c r="J86" s="3262">
        <v>0</v>
      </c>
      <c r="K86" s="3262">
        <v>1</v>
      </c>
      <c r="L86" s="3262">
        <v>0</v>
      </c>
      <c r="M86" s="4674"/>
      <c r="N86" s="4674"/>
      <c r="O86" s="4674">
        <v>2</v>
      </c>
      <c r="P86" s="73"/>
      <c r="R86" s="74"/>
      <c r="S86" s="74"/>
      <c r="T86" s="74"/>
      <c r="U86" s="74" t="s">
        <v>1286</v>
      </c>
      <c r="V86" s="3229">
        <v>1</v>
      </c>
      <c r="W86" s="3229">
        <v>0</v>
      </c>
      <c r="X86" s="3229">
        <v>1</v>
      </c>
      <c r="Y86" s="3229"/>
      <c r="Z86" s="3229">
        <v>0</v>
      </c>
      <c r="AA86" s="3229">
        <v>0</v>
      </c>
      <c r="AB86" s="3229">
        <v>0</v>
      </c>
      <c r="AC86" s="3229"/>
      <c r="AD86" s="3229">
        <v>0</v>
      </c>
      <c r="AE86" s="121">
        <v>0</v>
      </c>
      <c r="AF86" s="121"/>
      <c r="AG86" s="121">
        <v>2</v>
      </c>
      <c r="AJ86" s="161"/>
      <c r="AK86" s="161"/>
      <c r="AL86" s="73"/>
      <c r="AM86" s="73" t="s">
        <v>1936</v>
      </c>
      <c r="AN86" s="2600">
        <v>4</v>
      </c>
      <c r="AO86" s="2600">
        <v>0</v>
      </c>
      <c r="AP86" s="2600">
        <v>0</v>
      </c>
      <c r="AQ86" s="2600">
        <v>0</v>
      </c>
      <c r="AR86" s="2600">
        <v>0</v>
      </c>
      <c r="AS86" s="2600">
        <v>0</v>
      </c>
      <c r="AT86" s="2600">
        <v>0</v>
      </c>
      <c r="AU86" s="2600">
        <v>0</v>
      </c>
      <c r="AV86" s="2600">
        <v>0</v>
      </c>
      <c r="AW86" s="161">
        <v>0</v>
      </c>
      <c r="AX86" s="161">
        <v>0</v>
      </c>
      <c r="AY86" s="161">
        <v>4</v>
      </c>
      <c r="AZ86" s="161"/>
      <c r="BB86" s="2191"/>
      <c r="BC86" s="2191"/>
      <c r="BD86" s="2192"/>
      <c r="BE86" s="2193" t="s">
        <v>1292</v>
      </c>
      <c r="BF86" s="2194"/>
      <c r="BG86" s="2194"/>
      <c r="BH86" s="2195">
        <v>0</v>
      </c>
      <c r="BI86" s="2195">
        <v>2</v>
      </c>
      <c r="BJ86" s="2195">
        <v>2</v>
      </c>
      <c r="BK86" s="2195">
        <v>0</v>
      </c>
      <c r="BL86" s="2195">
        <v>4</v>
      </c>
      <c r="BM86" s="2195">
        <v>2</v>
      </c>
      <c r="BN86" s="963"/>
      <c r="BO86" s="963"/>
      <c r="BP86" s="964">
        <v>10</v>
      </c>
      <c r="BQ86" s="73"/>
      <c r="BS86" s="879"/>
      <c r="BT86" s="879"/>
      <c r="BU86" s="880"/>
      <c r="BV86" s="881" t="s">
        <v>1292</v>
      </c>
      <c r="BW86" s="882"/>
      <c r="BX86" s="882"/>
      <c r="BY86" s="882"/>
      <c r="BZ86" s="882"/>
      <c r="CA86" s="883">
        <v>0</v>
      </c>
      <c r="CB86" s="882"/>
      <c r="CC86" s="883">
        <v>0</v>
      </c>
      <c r="CD86" s="883">
        <v>12</v>
      </c>
      <c r="CE86" s="879"/>
      <c r="CF86" s="884">
        <v>1</v>
      </c>
      <c r="CG86" s="884">
        <v>13</v>
      </c>
      <c r="CH86" s="161"/>
      <c r="CJ86" s="885"/>
      <c r="CK86" s="885"/>
      <c r="CL86" s="885"/>
      <c r="CM86" s="886" t="s">
        <v>1292</v>
      </c>
      <c r="CN86" s="887"/>
      <c r="CO86" s="887"/>
      <c r="CP86" s="887"/>
      <c r="CQ86" s="887"/>
      <c r="CR86" s="887"/>
      <c r="CS86" s="887"/>
      <c r="CT86" s="888">
        <v>0</v>
      </c>
      <c r="CU86" s="887"/>
      <c r="CV86" s="888">
        <v>1</v>
      </c>
      <c r="CW86" s="889"/>
      <c r="CX86" s="890">
        <v>0</v>
      </c>
      <c r="CY86" s="890">
        <v>1</v>
      </c>
      <c r="CZ86" s="891"/>
      <c r="DB86" s="892"/>
      <c r="DC86" s="892"/>
      <c r="DD86" s="892"/>
      <c r="DE86" s="902" t="s">
        <v>15</v>
      </c>
      <c r="DF86" s="903"/>
      <c r="DG86" s="904">
        <v>1</v>
      </c>
      <c r="DH86" s="904">
        <v>1</v>
      </c>
      <c r="DI86" s="904">
        <v>1</v>
      </c>
      <c r="DJ86" s="904">
        <v>1</v>
      </c>
      <c r="DK86" s="904">
        <v>7</v>
      </c>
      <c r="DL86" s="904">
        <v>21</v>
      </c>
      <c r="DM86" s="904">
        <v>34</v>
      </c>
      <c r="DN86" s="903"/>
      <c r="DO86" s="903"/>
      <c r="DP86" s="904">
        <v>66</v>
      </c>
      <c r="DQ86" s="905">
        <f>+(DP85+DP82)/DP86</f>
        <v>0.16666666666666666</v>
      </c>
      <c r="DS86" s="121"/>
      <c r="DT86" s="121"/>
      <c r="DU86" s="74" t="s">
        <v>129</v>
      </c>
      <c r="DV86" s="74" t="s">
        <v>1288</v>
      </c>
      <c r="DW86" s="121"/>
      <c r="DX86" s="121"/>
      <c r="DY86" s="121"/>
      <c r="DZ86" s="121"/>
      <c r="EA86" s="121"/>
      <c r="EB86" s="121"/>
      <c r="EC86" s="121">
        <v>4</v>
      </c>
      <c r="ED86" s="121"/>
      <c r="EE86" s="121">
        <v>0</v>
      </c>
      <c r="EF86" s="121"/>
      <c r="EG86" s="121">
        <v>4</v>
      </c>
      <c r="EH86" s="74"/>
      <c r="EI86" s="74"/>
      <c r="EJ86" s="793"/>
      <c r="EK86" s="793"/>
      <c r="EL86" s="793"/>
      <c r="EM86" s="793" t="s">
        <v>1288</v>
      </c>
      <c r="EN86" s="793">
        <v>0</v>
      </c>
      <c r="EO86" s="793">
        <v>0</v>
      </c>
      <c r="EP86" s="793">
        <v>0</v>
      </c>
      <c r="EQ86" s="793">
        <v>0</v>
      </c>
      <c r="ER86" s="793">
        <v>0</v>
      </c>
      <c r="ES86" s="793">
        <v>0</v>
      </c>
      <c r="ET86" s="793">
        <v>1</v>
      </c>
      <c r="EU86" s="793">
        <v>1</v>
      </c>
      <c r="EV86" s="793">
        <v>0</v>
      </c>
      <c r="EW86" s="793">
        <v>0</v>
      </c>
      <c r="EX86" s="793">
        <v>0</v>
      </c>
      <c r="EY86" s="794">
        <v>2</v>
      </c>
      <c r="EZ86" s="896"/>
      <c r="FA86" s="795"/>
    </row>
    <row r="87" spans="1:157">
      <c r="A87" s="73"/>
      <c r="B87" s="73"/>
      <c r="C87" s="738"/>
      <c r="D87" s="738" t="s">
        <v>1289</v>
      </c>
      <c r="E87" s="3262"/>
      <c r="F87" s="3262">
        <v>0</v>
      </c>
      <c r="G87" s="3262"/>
      <c r="H87" s="3262"/>
      <c r="I87" s="3262">
        <v>0</v>
      </c>
      <c r="J87" s="3262">
        <v>1</v>
      </c>
      <c r="K87" s="3262">
        <v>0</v>
      </c>
      <c r="L87" s="3262">
        <v>0</v>
      </c>
      <c r="M87" s="4674"/>
      <c r="N87" s="4674"/>
      <c r="O87" s="4674">
        <v>1</v>
      </c>
      <c r="P87" s="73"/>
      <c r="R87" s="74"/>
      <c r="S87" s="74"/>
      <c r="T87" s="74"/>
      <c r="U87" s="74" t="s">
        <v>1292</v>
      </c>
      <c r="V87" s="3229">
        <v>0</v>
      </c>
      <c r="W87" s="3229">
        <v>0</v>
      </c>
      <c r="X87" s="3229">
        <v>0</v>
      </c>
      <c r="Y87" s="3229"/>
      <c r="Z87" s="3229">
        <v>0</v>
      </c>
      <c r="AA87" s="3229">
        <v>0</v>
      </c>
      <c r="AB87" s="3229">
        <v>0</v>
      </c>
      <c r="AC87" s="3229"/>
      <c r="AD87" s="3229">
        <v>3</v>
      </c>
      <c r="AE87" s="121">
        <v>1</v>
      </c>
      <c r="AF87" s="121"/>
      <c r="AG87" s="121">
        <v>4</v>
      </c>
      <c r="AJ87" s="161"/>
      <c r="AK87" s="161"/>
      <c r="AL87" s="73"/>
      <c r="AM87" s="73" t="s">
        <v>1293</v>
      </c>
      <c r="AN87" s="2600">
        <v>0</v>
      </c>
      <c r="AO87" s="2600">
        <v>0</v>
      </c>
      <c r="AP87" s="2600">
        <v>0</v>
      </c>
      <c r="AQ87" s="2600">
        <v>0</v>
      </c>
      <c r="AR87" s="2600">
        <v>0</v>
      </c>
      <c r="AS87" s="2600">
        <v>0</v>
      </c>
      <c r="AT87" s="2600">
        <v>11</v>
      </c>
      <c r="AU87" s="2600">
        <v>7</v>
      </c>
      <c r="AV87" s="2600">
        <v>2</v>
      </c>
      <c r="AW87" s="161">
        <v>0</v>
      </c>
      <c r="AX87" s="161">
        <v>0</v>
      </c>
      <c r="AY87" s="161">
        <v>20</v>
      </c>
      <c r="AZ87" s="161"/>
      <c r="BB87" s="2191"/>
      <c r="BC87" s="2191"/>
      <c r="BD87" s="2192"/>
      <c r="BE87" s="2193" t="s">
        <v>1293</v>
      </c>
      <c r="BF87" s="2194"/>
      <c r="BG87" s="2194"/>
      <c r="BH87" s="2195">
        <v>0</v>
      </c>
      <c r="BI87" s="2195">
        <v>0</v>
      </c>
      <c r="BJ87" s="2195">
        <v>0</v>
      </c>
      <c r="BK87" s="2195">
        <v>1</v>
      </c>
      <c r="BL87" s="2195">
        <v>0</v>
      </c>
      <c r="BM87" s="2195">
        <v>0</v>
      </c>
      <c r="BN87" s="963"/>
      <c r="BO87" s="963"/>
      <c r="BP87" s="964">
        <v>1</v>
      </c>
      <c r="BQ87" s="73"/>
      <c r="BS87" s="879"/>
      <c r="BT87" s="879"/>
      <c r="BU87" s="880"/>
      <c r="BV87" s="907" t="s">
        <v>15</v>
      </c>
      <c r="BW87" s="908"/>
      <c r="BX87" s="908"/>
      <c r="BY87" s="908"/>
      <c r="BZ87" s="908"/>
      <c r="CA87" s="909">
        <v>1</v>
      </c>
      <c r="CB87" s="908"/>
      <c r="CC87" s="909">
        <v>3</v>
      </c>
      <c r="CD87" s="909">
        <v>18</v>
      </c>
      <c r="CE87" s="910"/>
      <c r="CF87" s="911">
        <v>3</v>
      </c>
      <c r="CG87" s="911">
        <v>25</v>
      </c>
      <c r="CH87" s="151"/>
      <c r="CJ87" s="885"/>
      <c r="CK87" s="885"/>
      <c r="CL87" s="885"/>
      <c r="CM87" s="886" t="s">
        <v>1398</v>
      </c>
      <c r="CN87" s="887"/>
      <c r="CO87" s="887"/>
      <c r="CP87" s="887"/>
      <c r="CQ87" s="887"/>
      <c r="CR87" s="887"/>
      <c r="CS87" s="887"/>
      <c r="CT87" s="888">
        <v>3</v>
      </c>
      <c r="CU87" s="887"/>
      <c r="CV87" s="888">
        <v>0</v>
      </c>
      <c r="CW87" s="889"/>
      <c r="CX87" s="890">
        <v>0</v>
      </c>
      <c r="CY87" s="890">
        <v>3</v>
      </c>
      <c r="CZ87" s="891"/>
      <c r="DB87" s="892"/>
      <c r="DC87" s="892"/>
      <c r="DD87" s="892" t="s">
        <v>128</v>
      </c>
      <c r="DE87" s="893" t="s">
        <v>1283</v>
      </c>
      <c r="DF87" s="894"/>
      <c r="DG87" s="894"/>
      <c r="DH87" s="894"/>
      <c r="DI87" s="894"/>
      <c r="DJ87" s="895">
        <v>0</v>
      </c>
      <c r="DK87" s="895">
        <v>0</v>
      </c>
      <c r="DL87" s="895">
        <v>0</v>
      </c>
      <c r="DM87" s="895">
        <v>1</v>
      </c>
      <c r="DN87" s="894"/>
      <c r="DO87" s="894"/>
      <c r="DP87" s="895">
        <v>1</v>
      </c>
      <c r="DQ87" s="792"/>
      <c r="DS87" s="121"/>
      <c r="DT87" s="121"/>
      <c r="DU87" s="74"/>
      <c r="DV87" s="74" t="s">
        <v>1292</v>
      </c>
      <c r="DW87" s="121"/>
      <c r="DX87" s="121"/>
      <c r="DY87" s="121"/>
      <c r="DZ87" s="121"/>
      <c r="EA87" s="121"/>
      <c r="EB87" s="121"/>
      <c r="EC87" s="121">
        <v>0</v>
      </c>
      <c r="ED87" s="121"/>
      <c r="EE87" s="121">
        <v>1</v>
      </c>
      <c r="EF87" s="121"/>
      <c r="EG87" s="121">
        <v>1</v>
      </c>
      <c r="EH87" s="74"/>
      <c r="EI87" s="74"/>
      <c r="EJ87" s="793"/>
      <c r="EK87" s="793"/>
      <c r="EL87" s="793"/>
      <c r="EM87" s="793" t="s">
        <v>1289</v>
      </c>
      <c r="EN87" s="793">
        <v>0</v>
      </c>
      <c r="EO87" s="793">
        <v>0</v>
      </c>
      <c r="EP87" s="793">
        <v>0</v>
      </c>
      <c r="EQ87" s="793">
        <v>0</v>
      </c>
      <c r="ER87" s="793">
        <v>0</v>
      </c>
      <c r="ES87" s="793">
        <v>1</v>
      </c>
      <c r="ET87" s="793">
        <v>1</v>
      </c>
      <c r="EU87" s="793">
        <v>0</v>
      </c>
      <c r="EV87" s="793">
        <v>0</v>
      </c>
      <c r="EW87" s="793">
        <v>0</v>
      </c>
      <c r="EX87" s="793">
        <v>0</v>
      </c>
      <c r="EY87" s="794">
        <v>2</v>
      </c>
      <c r="EZ87" s="896"/>
      <c r="FA87" s="795"/>
    </row>
    <row r="88" spans="1:157">
      <c r="A88" s="73"/>
      <c r="B88" s="73"/>
      <c r="C88" s="738"/>
      <c r="D88" s="738" t="s">
        <v>1292</v>
      </c>
      <c r="E88" s="3262"/>
      <c r="F88" s="3262">
        <v>0</v>
      </c>
      <c r="G88" s="3262"/>
      <c r="H88" s="3262"/>
      <c r="I88" s="3262">
        <v>0</v>
      </c>
      <c r="J88" s="3262">
        <v>0</v>
      </c>
      <c r="K88" s="3262">
        <v>0</v>
      </c>
      <c r="L88" s="3262">
        <v>7</v>
      </c>
      <c r="M88" s="4674"/>
      <c r="N88" s="4674"/>
      <c r="O88" s="4674">
        <v>7</v>
      </c>
      <c r="P88" s="73"/>
      <c r="R88" s="74"/>
      <c r="S88" s="74"/>
      <c r="T88" s="74"/>
      <c r="U88" s="74" t="s">
        <v>1293</v>
      </c>
      <c r="V88" s="3229">
        <v>0</v>
      </c>
      <c r="W88" s="3229">
        <v>0</v>
      </c>
      <c r="X88" s="3229">
        <v>0</v>
      </c>
      <c r="Y88" s="3229"/>
      <c r="Z88" s="3229">
        <v>0</v>
      </c>
      <c r="AA88" s="3229">
        <v>0</v>
      </c>
      <c r="AB88" s="3229">
        <v>0</v>
      </c>
      <c r="AC88" s="3229"/>
      <c r="AD88" s="3229">
        <v>1</v>
      </c>
      <c r="AE88" s="121">
        <v>0</v>
      </c>
      <c r="AF88" s="121"/>
      <c r="AG88" s="121">
        <v>1</v>
      </c>
      <c r="AJ88" s="161"/>
      <c r="AK88" s="161"/>
      <c r="AL88" s="73"/>
      <c r="AM88" s="73" t="s">
        <v>1398</v>
      </c>
      <c r="AN88" s="2600">
        <v>0</v>
      </c>
      <c r="AO88" s="2600">
        <v>0</v>
      </c>
      <c r="AP88" s="2600">
        <v>0</v>
      </c>
      <c r="AQ88" s="2600">
        <v>0</v>
      </c>
      <c r="AR88" s="2600">
        <v>0</v>
      </c>
      <c r="AS88" s="2600">
        <v>0</v>
      </c>
      <c r="AT88" s="2600">
        <v>5</v>
      </c>
      <c r="AU88" s="2600">
        <v>17</v>
      </c>
      <c r="AV88" s="2600">
        <v>3</v>
      </c>
      <c r="AW88" s="161">
        <v>0</v>
      </c>
      <c r="AX88" s="161">
        <v>0</v>
      </c>
      <c r="AY88" s="161">
        <v>25</v>
      </c>
      <c r="AZ88" s="161"/>
      <c r="BB88" s="2191"/>
      <c r="BC88" s="2191"/>
      <c r="BD88" s="2192"/>
      <c r="BE88" s="2193" t="s">
        <v>1398</v>
      </c>
      <c r="BF88" s="2194"/>
      <c r="BG88" s="2194"/>
      <c r="BH88" s="2195">
        <v>2</v>
      </c>
      <c r="BI88" s="2195">
        <v>3</v>
      </c>
      <c r="BJ88" s="2195">
        <v>1</v>
      </c>
      <c r="BK88" s="2195">
        <v>2</v>
      </c>
      <c r="BL88" s="2195">
        <v>0</v>
      </c>
      <c r="BM88" s="2195">
        <v>0</v>
      </c>
      <c r="BN88" s="963"/>
      <c r="BO88" s="963"/>
      <c r="BP88" s="964">
        <v>8</v>
      </c>
      <c r="BQ88" s="73"/>
      <c r="BS88" s="879"/>
      <c r="BT88" s="879"/>
      <c r="BU88" s="880" t="s">
        <v>123</v>
      </c>
      <c r="BV88" s="881" t="s">
        <v>1283</v>
      </c>
      <c r="BW88" s="883">
        <v>0</v>
      </c>
      <c r="BX88" s="882"/>
      <c r="BY88" s="882"/>
      <c r="BZ88" s="882"/>
      <c r="CA88" s="882"/>
      <c r="CB88" s="883">
        <v>0</v>
      </c>
      <c r="CC88" s="883">
        <v>0</v>
      </c>
      <c r="CD88" s="883">
        <v>11</v>
      </c>
      <c r="CE88" s="884">
        <v>0</v>
      </c>
      <c r="CF88" s="884">
        <v>4</v>
      </c>
      <c r="CG88" s="884">
        <v>15</v>
      </c>
      <c r="CH88" s="912">
        <f>+CG84/CG87</f>
        <v>0.08</v>
      </c>
      <c r="CJ88" s="885"/>
      <c r="CK88" s="885"/>
      <c r="CL88" s="885"/>
      <c r="CM88" s="897" t="s">
        <v>15</v>
      </c>
      <c r="CN88" s="898"/>
      <c r="CO88" s="898"/>
      <c r="CP88" s="898"/>
      <c r="CQ88" s="898"/>
      <c r="CR88" s="898"/>
      <c r="CS88" s="898"/>
      <c r="CT88" s="899">
        <v>4</v>
      </c>
      <c r="CU88" s="898"/>
      <c r="CV88" s="899">
        <v>4</v>
      </c>
      <c r="CW88" s="900"/>
      <c r="CX88" s="901">
        <v>4</v>
      </c>
      <c r="CY88" s="901">
        <v>12</v>
      </c>
      <c r="CZ88" s="891">
        <f>+(CY87+CY85)/CY88</f>
        <v>0.33333333333333331</v>
      </c>
      <c r="DB88" s="892"/>
      <c r="DC88" s="892"/>
      <c r="DD88" s="892"/>
      <c r="DE88" s="893" t="s">
        <v>1284</v>
      </c>
      <c r="DF88" s="894"/>
      <c r="DG88" s="894"/>
      <c r="DH88" s="894"/>
      <c r="DI88" s="894"/>
      <c r="DJ88" s="895">
        <v>0</v>
      </c>
      <c r="DK88" s="895">
        <v>3</v>
      </c>
      <c r="DL88" s="895">
        <v>3</v>
      </c>
      <c r="DM88" s="895">
        <v>0</v>
      </c>
      <c r="DN88" s="894"/>
      <c r="DO88" s="894"/>
      <c r="DP88" s="895">
        <v>6</v>
      </c>
      <c r="DQ88" s="792"/>
      <c r="DS88" s="121"/>
      <c r="DT88" s="121"/>
      <c r="DU88" s="74"/>
      <c r="DV88" s="74" t="s">
        <v>1293</v>
      </c>
      <c r="DW88" s="121"/>
      <c r="DX88" s="121"/>
      <c r="DY88" s="121"/>
      <c r="DZ88" s="121"/>
      <c r="EA88" s="121"/>
      <c r="EB88" s="121"/>
      <c r="EC88" s="121">
        <v>4</v>
      </c>
      <c r="ED88" s="121"/>
      <c r="EE88" s="121">
        <v>0</v>
      </c>
      <c r="EF88" s="121"/>
      <c r="EG88" s="121">
        <v>4</v>
      </c>
      <c r="EH88" s="74"/>
      <c r="EI88" s="74"/>
      <c r="EJ88" s="793"/>
      <c r="EK88" s="793"/>
      <c r="EL88" s="793"/>
      <c r="EM88" s="793" t="s">
        <v>1292</v>
      </c>
      <c r="EN88" s="793">
        <v>0</v>
      </c>
      <c r="EO88" s="793">
        <v>0</v>
      </c>
      <c r="EP88" s="793">
        <v>0</v>
      </c>
      <c r="EQ88" s="793">
        <v>0</v>
      </c>
      <c r="ER88" s="793">
        <v>0</v>
      </c>
      <c r="ES88" s="793">
        <v>0</v>
      </c>
      <c r="ET88" s="793">
        <v>0</v>
      </c>
      <c r="EU88" s="793">
        <v>12</v>
      </c>
      <c r="EV88" s="793">
        <v>51</v>
      </c>
      <c r="EW88" s="793">
        <v>0</v>
      </c>
      <c r="EX88" s="793">
        <v>0</v>
      </c>
      <c r="EY88" s="794">
        <v>63</v>
      </c>
      <c r="EZ88" s="896"/>
      <c r="FA88" s="795"/>
    </row>
    <row r="89" spans="1:157">
      <c r="A89" s="73"/>
      <c r="B89" s="73"/>
      <c r="C89" s="738"/>
      <c r="D89" s="738" t="s">
        <v>1293</v>
      </c>
      <c r="E89" s="3262"/>
      <c r="F89" s="3262">
        <v>0</v>
      </c>
      <c r="G89" s="3262"/>
      <c r="H89" s="3262"/>
      <c r="I89" s="3262">
        <v>0</v>
      </c>
      <c r="J89" s="3262">
        <v>0</v>
      </c>
      <c r="K89" s="3262">
        <v>1</v>
      </c>
      <c r="L89" s="3262">
        <v>0</v>
      </c>
      <c r="M89" s="4674"/>
      <c r="N89" s="4674"/>
      <c r="O89" s="4674">
        <v>1</v>
      </c>
      <c r="P89" s="73"/>
      <c r="R89" s="74"/>
      <c r="S89" s="74"/>
      <c r="T89" s="74"/>
      <c r="U89" s="761" t="s">
        <v>15</v>
      </c>
      <c r="V89" s="3230">
        <v>1</v>
      </c>
      <c r="W89" s="3230">
        <v>2</v>
      </c>
      <c r="X89" s="3230">
        <v>1</v>
      </c>
      <c r="Y89" s="3230"/>
      <c r="Z89" s="3230">
        <v>1</v>
      </c>
      <c r="AA89" s="3230">
        <v>1</v>
      </c>
      <c r="AB89" s="3230">
        <v>1</v>
      </c>
      <c r="AC89" s="3230"/>
      <c r="AD89" s="3230">
        <v>5</v>
      </c>
      <c r="AE89" s="729">
        <v>1</v>
      </c>
      <c r="AF89" s="729"/>
      <c r="AG89" s="729">
        <v>13</v>
      </c>
      <c r="AH89" s="4681">
        <f>+AG88/AG89</f>
        <v>7.6923076923076927E-2</v>
      </c>
      <c r="AJ89" s="161"/>
      <c r="AK89" s="161"/>
      <c r="AL89" s="73"/>
      <c r="AM89" s="738" t="s">
        <v>107</v>
      </c>
      <c r="AN89" s="2601">
        <v>4</v>
      </c>
      <c r="AO89" s="2601">
        <v>4</v>
      </c>
      <c r="AP89" s="2601">
        <v>1</v>
      </c>
      <c r="AQ89" s="2601">
        <v>1</v>
      </c>
      <c r="AR89" s="2601">
        <v>2</v>
      </c>
      <c r="AS89" s="2601">
        <v>3</v>
      </c>
      <c r="AT89" s="2601">
        <v>43</v>
      </c>
      <c r="AU89" s="2601">
        <v>49</v>
      </c>
      <c r="AV89" s="2601">
        <v>29</v>
      </c>
      <c r="AW89" s="151">
        <v>5</v>
      </c>
      <c r="AX89" s="151">
        <v>2</v>
      </c>
      <c r="AY89" s="151">
        <v>143</v>
      </c>
      <c r="AZ89" s="912">
        <f>+(AY83+AY87+AY88-AW83)/AY89</f>
        <v>0.34265734265734266</v>
      </c>
      <c r="BB89" s="2191"/>
      <c r="BC89" s="2191"/>
      <c r="BD89" s="2192"/>
      <c r="BE89" s="760" t="s">
        <v>888</v>
      </c>
      <c r="BF89" s="2196"/>
      <c r="BG89" s="2196"/>
      <c r="BH89" s="2197">
        <v>6</v>
      </c>
      <c r="BI89" s="2197">
        <v>11</v>
      </c>
      <c r="BJ89" s="2197">
        <v>10</v>
      </c>
      <c r="BK89" s="2197">
        <v>14</v>
      </c>
      <c r="BL89" s="2197">
        <v>5</v>
      </c>
      <c r="BM89" s="2197">
        <v>2</v>
      </c>
      <c r="BN89" s="972"/>
      <c r="BO89" s="972"/>
      <c r="BP89" s="973">
        <v>48</v>
      </c>
      <c r="BQ89" s="2154">
        <f>+(BP84+BP87+BP88)/BP89</f>
        <v>0.22916666666666666</v>
      </c>
      <c r="BS89" s="879"/>
      <c r="BT89" s="879"/>
      <c r="BU89" s="880"/>
      <c r="BV89" s="881" t="s">
        <v>1284</v>
      </c>
      <c r="BW89" s="883">
        <v>0</v>
      </c>
      <c r="BX89" s="882"/>
      <c r="BY89" s="882"/>
      <c r="BZ89" s="882"/>
      <c r="CA89" s="882"/>
      <c r="CB89" s="883">
        <v>0</v>
      </c>
      <c r="CC89" s="883">
        <v>0</v>
      </c>
      <c r="CD89" s="883">
        <v>0</v>
      </c>
      <c r="CE89" s="884">
        <v>1</v>
      </c>
      <c r="CF89" s="884">
        <v>0</v>
      </c>
      <c r="CG89" s="884">
        <v>1</v>
      </c>
      <c r="CH89" s="161"/>
      <c r="CJ89" s="885"/>
      <c r="CK89" s="885"/>
      <c r="CL89" s="885" t="s">
        <v>124</v>
      </c>
      <c r="CM89" s="886" t="s">
        <v>1283</v>
      </c>
      <c r="CN89" s="888">
        <v>0</v>
      </c>
      <c r="CO89" s="887"/>
      <c r="CP89" s="887"/>
      <c r="CQ89" s="887"/>
      <c r="CR89" s="887"/>
      <c r="CS89" s="888">
        <v>0</v>
      </c>
      <c r="CT89" s="887"/>
      <c r="CU89" s="888">
        <v>0</v>
      </c>
      <c r="CV89" s="888">
        <v>4</v>
      </c>
      <c r="CW89" s="889"/>
      <c r="CX89" s="890">
        <v>1</v>
      </c>
      <c r="CY89" s="890">
        <v>5</v>
      </c>
      <c r="CZ89" s="891"/>
      <c r="DB89" s="892"/>
      <c r="DC89" s="892"/>
      <c r="DD89" s="892"/>
      <c r="DE89" s="893" t="s">
        <v>1288</v>
      </c>
      <c r="DF89" s="894"/>
      <c r="DG89" s="894"/>
      <c r="DH89" s="894"/>
      <c r="DI89" s="894"/>
      <c r="DJ89" s="895">
        <v>0</v>
      </c>
      <c r="DK89" s="895">
        <v>9</v>
      </c>
      <c r="DL89" s="895">
        <v>14</v>
      </c>
      <c r="DM89" s="895">
        <v>0</v>
      </c>
      <c r="DN89" s="894"/>
      <c r="DO89" s="894"/>
      <c r="DP89" s="895">
        <v>23</v>
      </c>
      <c r="DQ89" s="792"/>
      <c r="DS89" s="121"/>
      <c r="DT89" s="121"/>
      <c r="DU89" s="74"/>
      <c r="DV89" s="74" t="s">
        <v>1398</v>
      </c>
      <c r="DW89" s="121"/>
      <c r="DX89" s="121"/>
      <c r="DY89" s="121"/>
      <c r="DZ89" s="121"/>
      <c r="EA89" s="121"/>
      <c r="EB89" s="121"/>
      <c r="EC89" s="121">
        <v>1</v>
      </c>
      <c r="ED89" s="121"/>
      <c r="EE89" s="121">
        <v>0</v>
      </c>
      <c r="EF89" s="121"/>
      <c r="EG89" s="121">
        <v>1</v>
      </c>
      <c r="EH89" s="74"/>
      <c r="EI89" s="74"/>
      <c r="EJ89" s="793"/>
      <c r="EK89" s="793"/>
      <c r="EL89" s="793"/>
      <c r="EM89" s="793" t="s">
        <v>1398</v>
      </c>
      <c r="EN89" s="793">
        <v>0</v>
      </c>
      <c r="EO89" s="793">
        <v>0</v>
      </c>
      <c r="EP89" s="793">
        <v>0</v>
      </c>
      <c r="EQ89" s="793">
        <v>0</v>
      </c>
      <c r="ER89" s="793">
        <v>0</v>
      </c>
      <c r="ES89" s="793">
        <v>0</v>
      </c>
      <c r="ET89" s="793">
        <v>3</v>
      </c>
      <c r="EU89" s="793">
        <v>1</v>
      </c>
      <c r="EV89" s="793">
        <v>0</v>
      </c>
      <c r="EW89" s="793">
        <v>0</v>
      </c>
      <c r="EX89" s="793">
        <v>0</v>
      </c>
      <c r="EY89" s="794">
        <v>4</v>
      </c>
      <c r="EZ89" s="896"/>
      <c r="FA89" s="795"/>
    </row>
    <row r="90" spans="1:157">
      <c r="A90" s="73"/>
      <c r="B90" s="73"/>
      <c r="C90" s="738"/>
      <c r="D90" s="738" t="s">
        <v>574</v>
      </c>
      <c r="E90" s="3262"/>
      <c r="F90" s="3262">
        <v>1</v>
      </c>
      <c r="G90" s="3262"/>
      <c r="H90" s="3262"/>
      <c r="I90" s="3262">
        <v>1</v>
      </c>
      <c r="J90" s="3262">
        <v>4</v>
      </c>
      <c r="K90" s="3262">
        <v>3</v>
      </c>
      <c r="L90" s="3262">
        <v>7</v>
      </c>
      <c r="M90" s="4674"/>
      <c r="N90" s="4674"/>
      <c r="O90" s="4674">
        <v>16</v>
      </c>
      <c r="P90" s="912">
        <f>+(O89+O86)/O90</f>
        <v>0.1875</v>
      </c>
      <c r="Q90" s="3197"/>
      <c r="R90" s="74"/>
      <c r="S90" s="74"/>
      <c r="T90" s="74" t="s">
        <v>2714</v>
      </c>
      <c r="U90" s="74" t="s">
        <v>1284</v>
      </c>
      <c r="V90" s="3229"/>
      <c r="W90" s="3229"/>
      <c r="X90" s="3229"/>
      <c r="Y90" s="3229"/>
      <c r="Z90" s="3229"/>
      <c r="AA90" s="3229"/>
      <c r="AB90" s="3229">
        <v>1</v>
      </c>
      <c r="AC90" s="3229">
        <v>1</v>
      </c>
      <c r="AD90" s="3229">
        <v>0</v>
      </c>
      <c r="AE90" s="121">
        <v>0</v>
      </c>
      <c r="AF90" s="121"/>
      <c r="AG90" s="121">
        <v>2</v>
      </c>
      <c r="AJ90" s="161" t="s">
        <v>25</v>
      </c>
      <c r="AK90" s="161" t="s">
        <v>4</v>
      </c>
      <c r="AL90" s="73" t="s">
        <v>121</v>
      </c>
      <c r="AM90" s="73" t="s">
        <v>1284</v>
      </c>
      <c r="AN90" s="2600"/>
      <c r="AO90" s="2600"/>
      <c r="AP90" s="2600"/>
      <c r="AQ90" s="2600">
        <v>1</v>
      </c>
      <c r="AR90" s="2600">
        <v>0</v>
      </c>
      <c r="AS90" s="2600"/>
      <c r="AT90" s="2600"/>
      <c r="AU90" s="2600">
        <v>1</v>
      </c>
      <c r="AV90" s="2600">
        <v>0</v>
      </c>
      <c r="AW90" s="161">
        <v>0</v>
      </c>
      <c r="AX90" s="161">
        <v>0</v>
      </c>
      <c r="AY90" s="161">
        <v>2</v>
      </c>
      <c r="AZ90" s="161"/>
      <c r="BB90" s="2191"/>
      <c r="BC90" s="2191"/>
      <c r="BD90" s="2192" t="s">
        <v>107</v>
      </c>
      <c r="BE90" s="2193" t="s">
        <v>1283</v>
      </c>
      <c r="BF90" s="2195">
        <v>0</v>
      </c>
      <c r="BG90" s="2195">
        <v>0</v>
      </c>
      <c r="BH90" s="2195">
        <v>0</v>
      </c>
      <c r="BI90" s="2195">
        <v>0</v>
      </c>
      <c r="BJ90" s="2195">
        <v>0</v>
      </c>
      <c r="BK90" s="2195">
        <v>2</v>
      </c>
      <c r="BL90" s="2195">
        <v>3</v>
      </c>
      <c r="BM90" s="2195">
        <v>7</v>
      </c>
      <c r="BN90" s="963"/>
      <c r="BO90" s="964">
        <v>0</v>
      </c>
      <c r="BP90" s="964">
        <v>12</v>
      </c>
      <c r="BQ90" s="73"/>
      <c r="BS90" s="879"/>
      <c r="BT90" s="879"/>
      <c r="BU90" s="880"/>
      <c r="BV90" s="881" t="s">
        <v>1286</v>
      </c>
      <c r="BW90" s="883">
        <v>2</v>
      </c>
      <c r="BX90" s="882"/>
      <c r="BY90" s="882"/>
      <c r="BZ90" s="882"/>
      <c r="CA90" s="882"/>
      <c r="CB90" s="883">
        <v>0</v>
      </c>
      <c r="CC90" s="883">
        <v>0</v>
      </c>
      <c r="CD90" s="883">
        <v>0</v>
      </c>
      <c r="CE90" s="884">
        <v>0</v>
      </c>
      <c r="CF90" s="884">
        <v>0</v>
      </c>
      <c r="CG90" s="884">
        <v>2</v>
      </c>
      <c r="CH90" s="161"/>
      <c r="CJ90" s="885"/>
      <c r="CK90" s="885"/>
      <c r="CL90" s="885"/>
      <c r="CM90" s="886" t="s">
        <v>1284</v>
      </c>
      <c r="CN90" s="888">
        <v>1</v>
      </c>
      <c r="CO90" s="887"/>
      <c r="CP90" s="887"/>
      <c r="CQ90" s="887"/>
      <c r="CR90" s="887"/>
      <c r="CS90" s="888">
        <v>0</v>
      </c>
      <c r="CT90" s="887"/>
      <c r="CU90" s="888">
        <v>0</v>
      </c>
      <c r="CV90" s="888">
        <v>0</v>
      </c>
      <c r="CW90" s="889"/>
      <c r="CX90" s="890">
        <v>0</v>
      </c>
      <c r="CY90" s="890">
        <v>1</v>
      </c>
      <c r="CZ90" s="891"/>
      <c r="DB90" s="892"/>
      <c r="DC90" s="892"/>
      <c r="DD90" s="892"/>
      <c r="DE90" s="893" t="s">
        <v>1289</v>
      </c>
      <c r="DF90" s="894"/>
      <c r="DG90" s="894"/>
      <c r="DH90" s="894"/>
      <c r="DI90" s="894"/>
      <c r="DJ90" s="895">
        <v>1</v>
      </c>
      <c r="DK90" s="895">
        <v>1</v>
      </c>
      <c r="DL90" s="895">
        <v>0</v>
      </c>
      <c r="DM90" s="895">
        <v>0</v>
      </c>
      <c r="DN90" s="894"/>
      <c r="DO90" s="894"/>
      <c r="DP90" s="895">
        <v>2</v>
      </c>
      <c r="DQ90" s="792"/>
      <c r="DS90" s="121"/>
      <c r="DT90" s="121"/>
      <c r="DU90" s="74"/>
      <c r="DV90" s="761" t="s">
        <v>15</v>
      </c>
      <c r="DW90" s="729"/>
      <c r="DX90" s="729"/>
      <c r="DY90" s="729"/>
      <c r="DZ90" s="729"/>
      <c r="EA90" s="729"/>
      <c r="EB90" s="729"/>
      <c r="EC90" s="729">
        <v>9</v>
      </c>
      <c r="ED90" s="729"/>
      <c r="EE90" s="729">
        <v>1</v>
      </c>
      <c r="EF90" s="729"/>
      <c r="EG90" s="729">
        <v>10</v>
      </c>
      <c r="EH90" s="813">
        <f>+(EG86+EG88+EG89)/EG90</f>
        <v>0.9</v>
      </c>
      <c r="EI90" s="74"/>
      <c r="EJ90" s="793"/>
      <c r="EK90" s="793"/>
      <c r="EL90" s="793"/>
      <c r="EM90" s="796" t="s">
        <v>15</v>
      </c>
      <c r="EN90" s="796">
        <v>0</v>
      </c>
      <c r="EO90" s="796">
        <v>0</v>
      </c>
      <c r="EP90" s="796">
        <v>0</v>
      </c>
      <c r="EQ90" s="796">
        <v>1</v>
      </c>
      <c r="ER90" s="796">
        <v>1</v>
      </c>
      <c r="ES90" s="796">
        <v>1</v>
      </c>
      <c r="ET90" s="796">
        <v>8</v>
      </c>
      <c r="EU90" s="796">
        <v>15</v>
      </c>
      <c r="EV90" s="796">
        <v>54</v>
      </c>
      <c r="EW90" s="796">
        <v>0</v>
      </c>
      <c r="EX90" s="796">
        <v>0</v>
      </c>
      <c r="EY90" s="856">
        <v>80</v>
      </c>
      <c r="EZ90" s="906">
        <f>+(EY89+EY86)/EY90</f>
        <v>7.4999999999999997E-2</v>
      </c>
      <c r="FA90" s="795">
        <f>+EY86+EY89</f>
        <v>6</v>
      </c>
    </row>
    <row r="91" spans="1:157">
      <c r="A91" s="73"/>
      <c r="B91" s="73"/>
      <c r="C91" s="738" t="s">
        <v>107</v>
      </c>
      <c r="D91" s="738" t="s">
        <v>1283</v>
      </c>
      <c r="E91" s="3262">
        <v>0</v>
      </c>
      <c r="F91" s="3262">
        <v>0</v>
      </c>
      <c r="G91" s="3262">
        <v>0</v>
      </c>
      <c r="H91" s="3262">
        <v>0</v>
      </c>
      <c r="I91" s="3262">
        <v>0</v>
      </c>
      <c r="J91" s="3262">
        <v>1</v>
      </c>
      <c r="K91" s="3262">
        <v>3</v>
      </c>
      <c r="L91" s="3262">
        <v>5</v>
      </c>
      <c r="M91" s="4674">
        <v>0</v>
      </c>
      <c r="N91" s="4674">
        <v>0</v>
      </c>
      <c r="O91" s="4674">
        <v>9</v>
      </c>
      <c r="P91" s="73"/>
      <c r="R91" s="74"/>
      <c r="S91" s="74"/>
      <c r="T91" s="74"/>
      <c r="U91" s="74" t="s">
        <v>1292</v>
      </c>
      <c r="V91" s="3229"/>
      <c r="W91" s="3229"/>
      <c r="X91" s="3229"/>
      <c r="Y91" s="3229"/>
      <c r="Z91" s="3229"/>
      <c r="AA91" s="3229"/>
      <c r="AB91" s="3229">
        <v>0</v>
      </c>
      <c r="AC91" s="3229">
        <v>0</v>
      </c>
      <c r="AD91" s="3229">
        <v>4</v>
      </c>
      <c r="AE91" s="121">
        <v>1</v>
      </c>
      <c r="AF91" s="121"/>
      <c r="AG91" s="121">
        <v>5</v>
      </c>
      <c r="AJ91" s="161"/>
      <c r="AK91" s="161"/>
      <c r="AL91" s="73"/>
      <c r="AM91" s="73" t="s">
        <v>1289</v>
      </c>
      <c r="AN91" s="2600"/>
      <c r="AO91" s="2600"/>
      <c r="AP91" s="2600"/>
      <c r="AQ91" s="2600">
        <v>0</v>
      </c>
      <c r="AR91" s="2600">
        <v>2</v>
      </c>
      <c r="AS91" s="2600"/>
      <c r="AT91" s="2600"/>
      <c r="AU91" s="2600">
        <v>0</v>
      </c>
      <c r="AV91" s="2600">
        <v>0</v>
      </c>
      <c r="AW91" s="161">
        <v>0</v>
      </c>
      <c r="AX91" s="161">
        <v>0</v>
      </c>
      <c r="AY91" s="161">
        <v>2</v>
      </c>
      <c r="AZ91" s="161"/>
      <c r="BB91" s="2191"/>
      <c r="BC91" s="2191"/>
      <c r="BD91" s="2192"/>
      <c r="BE91" s="2193" t="s">
        <v>1284</v>
      </c>
      <c r="BF91" s="2195">
        <v>1</v>
      </c>
      <c r="BG91" s="2195">
        <v>1</v>
      </c>
      <c r="BH91" s="2195">
        <v>3</v>
      </c>
      <c r="BI91" s="2195">
        <v>3</v>
      </c>
      <c r="BJ91" s="2195">
        <v>7</v>
      </c>
      <c r="BK91" s="2195">
        <v>29</v>
      </c>
      <c r="BL91" s="2195">
        <v>15</v>
      </c>
      <c r="BM91" s="2195">
        <v>0</v>
      </c>
      <c r="BN91" s="963"/>
      <c r="BO91" s="964">
        <v>0</v>
      </c>
      <c r="BP91" s="964">
        <v>59</v>
      </c>
      <c r="BQ91" s="73"/>
      <c r="BS91" s="879"/>
      <c r="BT91" s="879"/>
      <c r="BU91" s="880"/>
      <c r="BV91" s="881" t="s">
        <v>1288</v>
      </c>
      <c r="BW91" s="883">
        <v>0</v>
      </c>
      <c r="BX91" s="882"/>
      <c r="BY91" s="882"/>
      <c r="BZ91" s="882"/>
      <c r="CA91" s="882"/>
      <c r="CB91" s="883">
        <v>1</v>
      </c>
      <c r="CC91" s="883">
        <v>1</v>
      </c>
      <c r="CD91" s="883">
        <v>3</v>
      </c>
      <c r="CE91" s="884">
        <v>0</v>
      </c>
      <c r="CF91" s="884">
        <v>0</v>
      </c>
      <c r="CG91" s="884">
        <v>5</v>
      </c>
      <c r="CH91" s="161"/>
      <c r="CJ91" s="885"/>
      <c r="CK91" s="885"/>
      <c r="CL91" s="885"/>
      <c r="CM91" s="886" t="s">
        <v>1288</v>
      </c>
      <c r="CN91" s="888">
        <v>0</v>
      </c>
      <c r="CO91" s="887"/>
      <c r="CP91" s="887"/>
      <c r="CQ91" s="887"/>
      <c r="CR91" s="887"/>
      <c r="CS91" s="888">
        <v>0</v>
      </c>
      <c r="CT91" s="887"/>
      <c r="CU91" s="888">
        <v>2</v>
      </c>
      <c r="CV91" s="888">
        <v>0</v>
      </c>
      <c r="CW91" s="889"/>
      <c r="CX91" s="890">
        <v>0</v>
      </c>
      <c r="CY91" s="890">
        <v>2</v>
      </c>
      <c r="CZ91" s="891"/>
      <c r="DB91" s="892"/>
      <c r="DC91" s="892"/>
      <c r="DD91" s="892"/>
      <c r="DE91" s="893" t="s">
        <v>1292</v>
      </c>
      <c r="DF91" s="894"/>
      <c r="DG91" s="894"/>
      <c r="DH91" s="894"/>
      <c r="DI91" s="894"/>
      <c r="DJ91" s="895">
        <v>0</v>
      </c>
      <c r="DK91" s="895">
        <v>0</v>
      </c>
      <c r="DL91" s="895">
        <v>0</v>
      </c>
      <c r="DM91" s="895">
        <v>1</v>
      </c>
      <c r="DN91" s="894"/>
      <c r="DO91" s="894"/>
      <c r="DP91" s="895">
        <v>1</v>
      </c>
      <c r="DQ91" s="792"/>
      <c r="DS91" s="121"/>
      <c r="DT91" s="121" t="s">
        <v>41</v>
      </c>
      <c r="DU91" s="74" t="s">
        <v>130</v>
      </c>
      <c r="DV91" s="74" t="s">
        <v>1283</v>
      </c>
      <c r="DW91" s="121"/>
      <c r="DX91" s="121">
        <v>0</v>
      </c>
      <c r="DY91" s="121"/>
      <c r="DZ91" s="121"/>
      <c r="EA91" s="121"/>
      <c r="EB91" s="121">
        <v>0</v>
      </c>
      <c r="EC91" s="121">
        <v>0</v>
      </c>
      <c r="ED91" s="121">
        <v>1</v>
      </c>
      <c r="EE91" s="121"/>
      <c r="EF91" s="121"/>
      <c r="EG91" s="121">
        <v>1</v>
      </c>
      <c r="EH91" s="74"/>
      <c r="EI91" s="74"/>
      <c r="EJ91" s="793"/>
      <c r="EK91" s="793"/>
      <c r="EL91" s="793" t="s">
        <v>128</v>
      </c>
      <c r="EM91" s="793" t="s">
        <v>1284</v>
      </c>
      <c r="EN91" s="793">
        <v>0</v>
      </c>
      <c r="EO91" s="793">
        <v>0</v>
      </c>
      <c r="EP91" s="793">
        <v>1</v>
      </c>
      <c r="EQ91" s="793">
        <v>0</v>
      </c>
      <c r="ER91" s="793">
        <v>0</v>
      </c>
      <c r="ES91" s="793">
        <v>0</v>
      </c>
      <c r="ET91" s="793">
        <v>2</v>
      </c>
      <c r="EU91" s="793">
        <v>2</v>
      </c>
      <c r="EV91" s="793">
        <v>0</v>
      </c>
      <c r="EW91" s="793">
        <v>0</v>
      </c>
      <c r="EX91" s="793">
        <v>0</v>
      </c>
      <c r="EY91" s="794">
        <v>5</v>
      </c>
      <c r="EZ91" s="896"/>
      <c r="FA91" s="795"/>
    </row>
    <row r="92" spans="1:157">
      <c r="A92" s="73"/>
      <c r="B92" s="73"/>
      <c r="C92" s="738"/>
      <c r="D92" s="738" t="s">
        <v>1284</v>
      </c>
      <c r="E92" s="3262">
        <v>2</v>
      </c>
      <c r="F92" s="3262">
        <v>1</v>
      </c>
      <c r="G92" s="3262">
        <v>1</v>
      </c>
      <c r="H92" s="3262">
        <v>1</v>
      </c>
      <c r="I92" s="3262">
        <v>0</v>
      </c>
      <c r="J92" s="3262">
        <v>23</v>
      </c>
      <c r="K92" s="3262">
        <v>17</v>
      </c>
      <c r="L92" s="3262">
        <v>1</v>
      </c>
      <c r="M92" s="4674">
        <v>1</v>
      </c>
      <c r="N92" s="4674">
        <v>0</v>
      </c>
      <c r="O92" s="4674">
        <v>47</v>
      </c>
      <c r="P92" s="73"/>
      <c r="R92" s="74"/>
      <c r="S92" s="74"/>
      <c r="T92" s="74"/>
      <c r="U92" s="761" t="s">
        <v>15</v>
      </c>
      <c r="V92" s="3230"/>
      <c r="W92" s="3230"/>
      <c r="X92" s="3230"/>
      <c r="Y92" s="3230"/>
      <c r="Z92" s="3230"/>
      <c r="AA92" s="3230"/>
      <c r="AB92" s="3230">
        <v>1</v>
      </c>
      <c r="AC92" s="3230">
        <v>1</v>
      </c>
      <c r="AD92" s="3230">
        <v>4</v>
      </c>
      <c r="AE92" s="729">
        <v>1</v>
      </c>
      <c r="AF92" s="729"/>
      <c r="AG92" s="729">
        <v>7</v>
      </c>
      <c r="AH92" s="4681">
        <v>0</v>
      </c>
      <c r="AJ92" s="161"/>
      <c r="AK92" s="161"/>
      <c r="AL92" s="73"/>
      <c r="AM92" s="73" t="s">
        <v>1292</v>
      </c>
      <c r="AN92" s="2600"/>
      <c r="AO92" s="2600"/>
      <c r="AP92" s="2600"/>
      <c r="AQ92" s="2600">
        <v>0</v>
      </c>
      <c r="AR92" s="2600">
        <v>0</v>
      </c>
      <c r="AS92" s="2600"/>
      <c r="AT92" s="2600"/>
      <c r="AU92" s="2600">
        <v>0</v>
      </c>
      <c r="AV92" s="2600">
        <v>4</v>
      </c>
      <c r="AW92" s="161">
        <v>1</v>
      </c>
      <c r="AX92" s="161">
        <v>1</v>
      </c>
      <c r="AY92" s="161">
        <v>6</v>
      </c>
      <c r="AZ92" s="161"/>
      <c r="BB92" s="2191"/>
      <c r="BC92" s="2191"/>
      <c r="BD92" s="2192"/>
      <c r="BE92" s="2193" t="s">
        <v>1286</v>
      </c>
      <c r="BF92" s="2195">
        <v>1</v>
      </c>
      <c r="BG92" s="2195">
        <v>1</v>
      </c>
      <c r="BH92" s="2195">
        <v>1</v>
      </c>
      <c r="BI92" s="2195">
        <v>0</v>
      </c>
      <c r="BJ92" s="2195">
        <v>0</v>
      </c>
      <c r="BK92" s="2195">
        <v>0</v>
      </c>
      <c r="BL92" s="2195">
        <v>0</v>
      </c>
      <c r="BM92" s="2195">
        <v>0</v>
      </c>
      <c r="BN92" s="963"/>
      <c r="BO92" s="964">
        <v>0</v>
      </c>
      <c r="BP92" s="964">
        <v>3</v>
      </c>
      <c r="BQ92" s="73"/>
      <c r="BS92" s="879"/>
      <c r="BT92" s="879"/>
      <c r="BU92" s="880"/>
      <c r="BV92" s="881" t="s">
        <v>1292</v>
      </c>
      <c r="BW92" s="883">
        <v>0</v>
      </c>
      <c r="BX92" s="882"/>
      <c r="BY92" s="882"/>
      <c r="BZ92" s="882"/>
      <c r="CA92" s="882"/>
      <c r="CB92" s="883">
        <v>0</v>
      </c>
      <c r="CC92" s="883">
        <v>0</v>
      </c>
      <c r="CD92" s="883">
        <v>1</v>
      </c>
      <c r="CE92" s="884">
        <v>0</v>
      </c>
      <c r="CF92" s="884">
        <v>1</v>
      </c>
      <c r="CG92" s="884">
        <v>2</v>
      </c>
      <c r="CH92" s="161"/>
      <c r="CJ92" s="885"/>
      <c r="CK92" s="885"/>
      <c r="CL92" s="885"/>
      <c r="CM92" s="886" t="s">
        <v>1292</v>
      </c>
      <c r="CN92" s="888">
        <v>0</v>
      </c>
      <c r="CO92" s="887"/>
      <c r="CP92" s="887"/>
      <c r="CQ92" s="887"/>
      <c r="CR92" s="887"/>
      <c r="CS92" s="888">
        <v>0</v>
      </c>
      <c r="CT92" s="887"/>
      <c r="CU92" s="888">
        <v>0</v>
      </c>
      <c r="CV92" s="888">
        <v>3</v>
      </c>
      <c r="CW92" s="889"/>
      <c r="CX92" s="890">
        <v>0</v>
      </c>
      <c r="CY92" s="890">
        <v>3</v>
      </c>
      <c r="CZ92" s="891"/>
      <c r="DB92" s="892"/>
      <c r="DC92" s="892"/>
      <c r="DD92" s="892"/>
      <c r="DE92" s="893" t="s">
        <v>1398</v>
      </c>
      <c r="DF92" s="894"/>
      <c r="DG92" s="894"/>
      <c r="DH92" s="894"/>
      <c r="DI92" s="894"/>
      <c r="DJ92" s="895">
        <v>0</v>
      </c>
      <c r="DK92" s="895">
        <v>1</v>
      </c>
      <c r="DL92" s="895">
        <v>2</v>
      </c>
      <c r="DM92" s="895">
        <v>0</v>
      </c>
      <c r="DN92" s="894"/>
      <c r="DO92" s="894"/>
      <c r="DP92" s="895">
        <v>3</v>
      </c>
      <c r="DQ92" s="792"/>
      <c r="DS92" s="121"/>
      <c r="DT92" s="121"/>
      <c r="DU92" s="74"/>
      <c r="DV92" s="74" t="s">
        <v>1284</v>
      </c>
      <c r="DW92" s="121"/>
      <c r="DX92" s="121">
        <v>2</v>
      </c>
      <c r="DY92" s="121"/>
      <c r="DZ92" s="121"/>
      <c r="EA92" s="121"/>
      <c r="EB92" s="121">
        <v>1</v>
      </c>
      <c r="EC92" s="121">
        <v>1</v>
      </c>
      <c r="ED92" s="121">
        <v>0</v>
      </c>
      <c r="EE92" s="121"/>
      <c r="EF92" s="121"/>
      <c r="EG92" s="121">
        <v>4</v>
      </c>
      <c r="EH92" s="74"/>
      <c r="EI92" s="74"/>
      <c r="EJ92" s="793"/>
      <c r="EK92" s="793"/>
      <c r="EL92" s="793"/>
      <c r="EM92" s="793" t="s">
        <v>1286</v>
      </c>
      <c r="EN92" s="793">
        <v>0</v>
      </c>
      <c r="EO92" s="793">
        <v>0</v>
      </c>
      <c r="EP92" s="793">
        <v>0</v>
      </c>
      <c r="EQ92" s="793">
        <v>1</v>
      </c>
      <c r="ER92" s="793">
        <v>0</v>
      </c>
      <c r="ES92" s="793">
        <v>0</v>
      </c>
      <c r="ET92" s="793">
        <v>0</v>
      </c>
      <c r="EU92" s="793">
        <v>0</v>
      </c>
      <c r="EV92" s="793">
        <v>0</v>
      </c>
      <c r="EW92" s="793">
        <v>0</v>
      </c>
      <c r="EX92" s="793">
        <v>0</v>
      </c>
      <c r="EY92" s="794">
        <v>1</v>
      </c>
      <c r="EZ92" s="896"/>
      <c r="FA92" s="795"/>
    </row>
    <row r="93" spans="1:157">
      <c r="A93" s="73"/>
      <c r="B93" s="73"/>
      <c r="C93" s="738"/>
      <c r="D93" s="738" t="s">
        <v>1286</v>
      </c>
      <c r="E93" s="3262">
        <v>1</v>
      </c>
      <c r="F93" s="3262">
        <v>0</v>
      </c>
      <c r="G93" s="3262">
        <v>0</v>
      </c>
      <c r="H93" s="3262">
        <v>0</v>
      </c>
      <c r="I93" s="3262">
        <v>0</v>
      </c>
      <c r="J93" s="3262">
        <v>0</v>
      </c>
      <c r="K93" s="3262">
        <v>0</v>
      </c>
      <c r="L93" s="3262">
        <v>0</v>
      </c>
      <c r="M93" s="4674">
        <v>0</v>
      </c>
      <c r="N93" s="4674">
        <v>0</v>
      </c>
      <c r="O93" s="4674">
        <v>1</v>
      </c>
      <c r="P93" s="73"/>
      <c r="R93" s="74"/>
      <c r="S93" s="74"/>
      <c r="T93" s="74" t="s">
        <v>574</v>
      </c>
      <c r="U93" s="74" t="s">
        <v>1283</v>
      </c>
      <c r="V93" s="3229">
        <v>0</v>
      </c>
      <c r="W93" s="3229">
        <v>0</v>
      </c>
      <c r="X93" s="3229">
        <v>0</v>
      </c>
      <c r="Y93" s="3229"/>
      <c r="Z93" s="3229">
        <v>0</v>
      </c>
      <c r="AA93" s="3229">
        <v>0</v>
      </c>
      <c r="AB93" s="3229">
        <v>0</v>
      </c>
      <c r="AC93" s="3229">
        <v>1</v>
      </c>
      <c r="AD93" s="3229">
        <v>0</v>
      </c>
      <c r="AE93" s="121">
        <v>0</v>
      </c>
      <c r="AF93" s="121"/>
      <c r="AG93" s="121">
        <v>1</v>
      </c>
      <c r="AJ93" s="161"/>
      <c r="AK93" s="161"/>
      <c r="AL93" s="73"/>
      <c r="AM93" s="73" t="s">
        <v>1398</v>
      </c>
      <c r="AN93" s="2600"/>
      <c r="AO93" s="2600"/>
      <c r="AP93" s="2600"/>
      <c r="AQ93" s="2600">
        <v>0</v>
      </c>
      <c r="AR93" s="2600">
        <v>0</v>
      </c>
      <c r="AS93" s="2600"/>
      <c r="AT93" s="2600"/>
      <c r="AU93" s="2600">
        <v>0</v>
      </c>
      <c r="AV93" s="2600">
        <v>2</v>
      </c>
      <c r="AW93" s="161">
        <v>0</v>
      </c>
      <c r="AX93" s="161">
        <v>0</v>
      </c>
      <c r="AY93" s="161">
        <v>2</v>
      </c>
      <c r="AZ93" s="161"/>
      <c r="BB93" s="2191"/>
      <c r="BC93" s="2191"/>
      <c r="BD93" s="2192"/>
      <c r="BE93" s="2193" t="s">
        <v>1288</v>
      </c>
      <c r="BF93" s="2195">
        <v>0</v>
      </c>
      <c r="BG93" s="2195">
        <v>0</v>
      </c>
      <c r="BH93" s="2195">
        <v>0</v>
      </c>
      <c r="BI93" s="2195">
        <v>2</v>
      </c>
      <c r="BJ93" s="2195">
        <v>1</v>
      </c>
      <c r="BK93" s="2195">
        <v>1</v>
      </c>
      <c r="BL93" s="2195">
        <v>2</v>
      </c>
      <c r="BM93" s="2195">
        <v>0</v>
      </c>
      <c r="BN93" s="963"/>
      <c r="BO93" s="964">
        <v>0</v>
      </c>
      <c r="BP93" s="964">
        <v>6</v>
      </c>
      <c r="BQ93" s="73"/>
      <c r="BS93" s="879"/>
      <c r="BT93" s="879"/>
      <c r="BU93" s="880"/>
      <c r="BV93" s="881" t="s">
        <v>1398</v>
      </c>
      <c r="BW93" s="883">
        <v>0</v>
      </c>
      <c r="BX93" s="882"/>
      <c r="BY93" s="882"/>
      <c r="BZ93" s="882"/>
      <c r="CA93" s="882"/>
      <c r="CB93" s="883">
        <v>0</v>
      </c>
      <c r="CC93" s="883">
        <v>1</v>
      </c>
      <c r="CD93" s="883">
        <v>0</v>
      </c>
      <c r="CE93" s="884">
        <v>0</v>
      </c>
      <c r="CF93" s="884">
        <v>0</v>
      </c>
      <c r="CG93" s="884">
        <v>1</v>
      </c>
      <c r="CH93" s="161"/>
      <c r="CJ93" s="885"/>
      <c r="CK93" s="885"/>
      <c r="CL93" s="885"/>
      <c r="CM93" s="886" t="s">
        <v>1398</v>
      </c>
      <c r="CN93" s="888">
        <v>0</v>
      </c>
      <c r="CO93" s="887"/>
      <c r="CP93" s="887"/>
      <c r="CQ93" s="887"/>
      <c r="CR93" s="887"/>
      <c r="CS93" s="888">
        <v>1</v>
      </c>
      <c r="CT93" s="887"/>
      <c r="CU93" s="888">
        <v>0</v>
      </c>
      <c r="CV93" s="888">
        <v>0</v>
      </c>
      <c r="CW93" s="889"/>
      <c r="CX93" s="890">
        <v>0</v>
      </c>
      <c r="CY93" s="890">
        <v>1</v>
      </c>
      <c r="CZ93" s="891"/>
      <c r="DB93" s="892"/>
      <c r="DC93" s="892"/>
      <c r="DD93" s="892"/>
      <c r="DE93" s="902" t="s">
        <v>15</v>
      </c>
      <c r="DF93" s="903"/>
      <c r="DG93" s="903"/>
      <c r="DH93" s="903"/>
      <c r="DI93" s="903"/>
      <c r="DJ93" s="904">
        <v>1</v>
      </c>
      <c r="DK93" s="904">
        <v>14</v>
      </c>
      <c r="DL93" s="904">
        <v>19</v>
      </c>
      <c r="DM93" s="904">
        <v>2</v>
      </c>
      <c r="DN93" s="903"/>
      <c r="DO93" s="903"/>
      <c r="DP93" s="904">
        <v>36</v>
      </c>
      <c r="DQ93" s="905">
        <f>+(DP92+DP89)/DP93</f>
        <v>0.72222222222222221</v>
      </c>
      <c r="DS93" s="121"/>
      <c r="DT93" s="121"/>
      <c r="DU93" s="74"/>
      <c r="DV93" s="74" t="s">
        <v>1288</v>
      </c>
      <c r="DW93" s="121"/>
      <c r="DX93" s="121">
        <v>0</v>
      </c>
      <c r="DY93" s="121"/>
      <c r="DZ93" s="121"/>
      <c r="EA93" s="121"/>
      <c r="EB93" s="121">
        <v>2</v>
      </c>
      <c r="EC93" s="121">
        <v>2</v>
      </c>
      <c r="ED93" s="121">
        <v>0</v>
      </c>
      <c r="EE93" s="121"/>
      <c r="EF93" s="121"/>
      <c r="EG93" s="121">
        <v>4</v>
      </c>
      <c r="EH93" s="74"/>
      <c r="EI93" s="74"/>
      <c r="EJ93" s="793"/>
      <c r="EK93" s="793"/>
      <c r="EL93" s="793"/>
      <c r="EM93" s="793" t="s">
        <v>1288</v>
      </c>
      <c r="EN93" s="793">
        <v>0</v>
      </c>
      <c r="EO93" s="793">
        <v>0</v>
      </c>
      <c r="EP93" s="793">
        <v>0</v>
      </c>
      <c r="EQ93" s="793">
        <v>0</v>
      </c>
      <c r="ER93" s="793">
        <v>0</v>
      </c>
      <c r="ES93" s="793">
        <v>0</v>
      </c>
      <c r="ET93" s="793">
        <v>7</v>
      </c>
      <c r="EU93" s="793">
        <v>0</v>
      </c>
      <c r="EV93" s="793">
        <v>0</v>
      </c>
      <c r="EW93" s="793">
        <v>0</v>
      </c>
      <c r="EX93" s="793">
        <v>0</v>
      </c>
      <c r="EY93" s="794">
        <v>7</v>
      </c>
      <c r="EZ93" s="896"/>
      <c r="FA93" s="795"/>
    </row>
    <row r="94" spans="1:157">
      <c r="A94" s="73"/>
      <c r="B94" s="73"/>
      <c r="C94" s="738"/>
      <c r="D94" s="738" t="s">
        <v>1288</v>
      </c>
      <c r="E94" s="3262">
        <v>0</v>
      </c>
      <c r="F94" s="3262">
        <v>0</v>
      </c>
      <c r="G94" s="3262">
        <v>0</v>
      </c>
      <c r="H94" s="3262">
        <v>0</v>
      </c>
      <c r="I94" s="3262">
        <v>1</v>
      </c>
      <c r="J94" s="3262">
        <v>5</v>
      </c>
      <c r="K94" s="3262">
        <v>7</v>
      </c>
      <c r="L94" s="3262">
        <v>1</v>
      </c>
      <c r="M94" s="4674">
        <v>0</v>
      </c>
      <c r="N94" s="4674">
        <v>0</v>
      </c>
      <c r="O94" s="4674">
        <v>14</v>
      </c>
      <c r="P94" s="73"/>
      <c r="R94" s="74"/>
      <c r="S94" s="74"/>
      <c r="T94" s="74"/>
      <c r="U94" s="74" t="s">
        <v>1284</v>
      </c>
      <c r="V94" s="3229">
        <v>2</v>
      </c>
      <c r="W94" s="3229">
        <v>3</v>
      </c>
      <c r="X94" s="3229">
        <v>0</v>
      </c>
      <c r="Y94" s="3229"/>
      <c r="Z94" s="3229">
        <v>4</v>
      </c>
      <c r="AA94" s="3229">
        <v>6</v>
      </c>
      <c r="AB94" s="3229">
        <v>7</v>
      </c>
      <c r="AC94" s="3229">
        <v>11</v>
      </c>
      <c r="AD94" s="3229">
        <v>1</v>
      </c>
      <c r="AE94" s="121">
        <v>0</v>
      </c>
      <c r="AF94" s="121"/>
      <c r="AG94" s="121">
        <v>34</v>
      </c>
      <c r="AJ94" s="161"/>
      <c r="AK94" s="161"/>
      <c r="AL94" s="73"/>
      <c r="AM94" s="738" t="s">
        <v>15</v>
      </c>
      <c r="AN94" s="2601"/>
      <c r="AO94" s="2601"/>
      <c r="AP94" s="2601"/>
      <c r="AQ94" s="2601">
        <v>1</v>
      </c>
      <c r="AR94" s="2601">
        <v>2</v>
      </c>
      <c r="AS94" s="2601"/>
      <c r="AT94" s="2601"/>
      <c r="AU94" s="2601">
        <v>1</v>
      </c>
      <c r="AV94" s="2601">
        <v>6</v>
      </c>
      <c r="AW94" s="151">
        <v>1</v>
      </c>
      <c r="AX94" s="151">
        <v>1</v>
      </c>
      <c r="AY94" s="151">
        <v>12</v>
      </c>
      <c r="AZ94" s="912">
        <f>+AY93/AY94</f>
        <v>0.16666666666666666</v>
      </c>
      <c r="BB94" s="2191"/>
      <c r="BC94" s="2191"/>
      <c r="BD94" s="2192"/>
      <c r="BE94" s="2193" t="s">
        <v>1289</v>
      </c>
      <c r="BF94" s="2195">
        <v>0</v>
      </c>
      <c r="BG94" s="2195">
        <v>0</v>
      </c>
      <c r="BH94" s="2195">
        <v>4</v>
      </c>
      <c r="BI94" s="2195">
        <v>7</v>
      </c>
      <c r="BJ94" s="2195">
        <v>6</v>
      </c>
      <c r="BK94" s="2195">
        <v>10</v>
      </c>
      <c r="BL94" s="2195">
        <v>0</v>
      </c>
      <c r="BM94" s="2195">
        <v>0</v>
      </c>
      <c r="BN94" s="963"/>
      <c r="BO94" s="964">
        <v>0</v>
      </c>
      <c r="BP94" s="964">
        <v>27</v>
      </c>
      <c r="BQ94" s="73"/>
      <c r="BS94" s="879"/>
      <c r="BT94" s="879"/>
      <c r="BU94" s="880"/>
      <c r="BV94" s="907" t="s">
        <v>15</v>
      </c>
      <c r="BW94" s="909">
        <v>2</v>
      </c>
      <c r="BX94" s="908"/>
      <c r="BY94" s="908"/>
      <c r="BZ94" s="908"/>
      <c r="CA94" s="908"/>
      <c r="CB94" s="909">
        <v>1</v>
      </c>
      <c r="CC94" s="909">
        <v>2</v>
      </c>
      <c r="CD94" s="909">
        <v>15</v>
      </c>
      <c r="CE94" s="911">
        <v>1</v>
      </c>
      <c r="CF94" s="911">
        <v>5</v>
      </c>
      <c r="CG94" s="911">
        <v>26</v>
      </c>
      <c r="CH94" s="912">
        <f>+(CG91+CG93)/CG94</f>
        <v>0.23076923076923078</v>
      </c>
      <c r="CJ94" s="885"/>
      <c r="CK94" s="885"/>
      <c r="CL94" s="885"/>
      <c r="CM94" s="897" t="s">
        <v>15</v>
      </c>
      <c r="CN94" s="899">
        <v>1</v>
      </c>
      <c r="CO94" s="898"/>
      <c r="CP94" s="898"/>
      <c r="CQ94" s="898"/>
      <c r="CR94" s="898"/>
      <c r="CS94" s="899">
        <v>1</v>
      </c>
      <c r="CT94" s="898"/>
      <c r="CU94" s="899">
        <v>2</v>
      </c>
      <c r="CV94" s="899">
        <v>7</v>
      </c>
      <c r="CW94" s="900"/>
      <c r="CX94" s="901">
        <v>1</v>
      </c>
      <c r="CY94" s="901">
        <v>12</v>
      </c>
      <c r="CZ94" s="891">
        <f>+(CY93+CY91)/CY94</f>
        <v>0.25</v>
      </c>
      <c r="DB94" s="892"/>
      <c r="DC94" s="892"/>
      <c r="DD94" s="892" t="s">
        <v>129</v>
      </c>
      <c r="DE94" s="893" t="s">
        <v>1284</v>
      </c>
      <c r="DF94" s="894"/>
      <c r="DG94" s="894"/>
      <c r="DH94" s="894"/>
      <c r="DI94" s="894"/>
      <c r="DJ94" s="894"/>
      <c r="DK94" s="895">
        <v>1</v>
      </c>
      <c r="DL94" s="895">
        <v>2</v>
      </c>
      <c r="DM94" s="895">
        <v>0</v>
      </c>
      <c r="DN94" s="894"/>
      <c r="DO94" s="894"/>
      <c r="DP94" s="895">
        <v>3</v>
      </c>
      <c r="DQ94" s="792"/>
      <c r="DS94" s="121"/>
      <c r="DT94" s="121"/>
      <c r="DU94" s="74"/>
      <c r="DV94" s="74" t="s">
        <v>1292</v>
      </c>
      <c r="DW94" s="121"/>
      <c r="DX94" s="121">
        <v>0</v>
      </c>
      <c r="DY94" s="121"/>
      <c r="DZ94" s="121"/>
      <c r="EA94" s="121"/>
      <c r="EB94" s="121">
        <v>0</v>
      </c>
      <c r="EC94" s="121">
        <v>0</v>
      </c>
      <c r="ED94" s="121">
        <v>3</v>
      </c>
      <c r="EE94" s="121"/>
      <c r="EF94" s="121"/>
      <c r="EG94" s="121">
        <v>3</v>
      </c>
      <c r="EH94" s="74"/>
      <c r="EI94" s="74"/>
      <c r="EJ94" s="793"/>
      <c r="EK94" s="793"/>
      <c r="EL94" s="793"/>
      <c r="EM94" s="793" t="s">
        <v>1289</v>
      </c>
      <c r="EN94" s="793">
        <v>0</v>
      </c>
      <c r="EO94" s="793">
        <v>0</v>
      </c>
      <c r="EP94" s="793">
        <v>1</v>
      </c>
      <c r="EQ94" s="793">
        <v>0</v>
      </c>
      <c r="ER94" s="793">
        <v>0</v>
      </c>
      <c r="ES94" s="793">
        <v>0</v>
      </c>
      <c r="ET94" s="793">
        <v>0</v>
      </c>
      <c r="EU94" s="793">
        <v>0</v>
      </c>
      <c r="EV94" s="793">
        <v>0</v>
      </c>
      <c r="EW94" s="793">
        <v>0</v>
      </c>
      <c r="EX94" s="793">
        <v>0</v>
      </c>
      <c r="EY94" s="794">
        <v>1</v>
      </c>
      <c r="EZ94" s="896"/>
      <c r="FA94" s="795"/>
    </row>
    <row r="95" spans="1:157">
      <c r="A95" s="73"/>
      <c r="B95" s="73"/>
      <c r="C95" s="738"/>
      <c r="D95" s="738" t="s">
        <v>1289</v>
      </c>
      <c r="E95" s="3262">
        <v>0</v>
      </c>
      <c r="F95" s="3262">
        <v>0</v>
      </c>
      <c r="G95" s="3262">
        <v>0</v>
      </c>
      <c r="H95" s="3262">
        <v>0</v>
      </c>
      <c r="I95" s="3262">
        <v>2</v>
      </c>
      <c r="J95" s="3262">
        <v>1</v>
      </c>
      <c r="K95" s="3262">
        <v>0</v>
      </c>
      <c r="L95" s="3262">
        <v>0</v>
      </c>
      <c r="M95" s="4674">
        <v>0</v>
      </c>
      <c r="N95" s="4674">
        <v>0</v>
      </c>
      <c r="O95" s="4674">
        <v>3</v>
      </c>
      <c r="P95" s="73"/>
      <c r="R95" s="74"/>
      <c r="S95" s="74"/>
      <c r="T95" s="74"/>
      <c r="U95" s="74" t="s">
        <v>1286</v>
      </c>
      <c r="V95" s="3229">
        <v>1</v>
      </c>
      <c r="W95" s="3229">
        <v>0</v>
      </c>
      <c r="X95" s="3229">
        <v>1</v>
      </c>
      <c r="Y95" s="3229"/>
      <c r="Z95" s="3229">
        <v>0</v>
      </c>
      <c r="AA95" s="3229">
        <v>0</v>
      </c>
      <c r="AB95" s="3229">
        <v>0</v>
      </c>
      <c r="AC95" s="3229">
        <v>0</v>
      </c>
      <c r="AD95" s="3229">
        <v>0</v>
      </c>
      <c r="AE95" s="121">
        <v>0</v>
      </c>
      <c r="AF95" s="121"/>
      <c r="AG95" s="121">
        <v>2</v>
      </c>
      <c r="AJ95" s="161"/>
      <c r="AK95" s="161"/>
      <c r="AL95" s="73" t="s">
        <v>122</v>
      </c>
      <c r="AM95" s="73" t="s">
        <v>1283</v>
      </c>
      <c r="AN95" s="2600"/>
      <c r="AO95" s="2600"/>
      <c r="AP95" s="2600">
        <v>0</v>
      </c>
      <c r="AQ95" s="2600"/>
      <c r="AR95" s="2600"/>
      <c r="AS95" s="2600"/>
      <c r="AT95" s="2600">
        <v>0</v>
      </c>
      <c r="AU95" s="2600">
        <v>0</v>
      </c>
      <c r="AV95" s="2600">
        <v>2</v>
      </c>
      <c r="AW95" s="161">
        <v>3</v>
      </c>
      <c r="AX95" s="161"/>
      <c r="AY95" s="161">
        <v>5</v>
      </c>
      <c r="AZ95" s="161"/>
      <c r="BB95" s="2191"/>
      <c r="BC95" s="2191"/>
      <c r="BD95" s="2192"/>
      <c r="BE95" s="2193" t="s">
        <v>1292</v>
      </c>
      <c r="BF95" s="2195">
        <v>0</v>
      </c>
      <c r="BG95" s="2195">
        <v>0</v>
      </c>
      <c r="BH95" s="2195">
        <v>0</v>
      </c>
      <c r="BI95" s="2195">
        <v>2</v>
      </c>
      <c r="BJ95" s="2195">
        <v>2</v>
      </c>
      <c r="BK95" s="2195">
        <v>0</v>
      </c>
      <c r="BL95" s="2195">
        <v>5</v>
      </c>
      <c r="BM95" s="2195">
        <v>17</v>
      </c>
      <c r="BN95" s="963"/>
      <c r="BO95" s="964">
        <v>2</v>
      </c>
      <c r="BP95" s="964">
        <v>28</v>
      </c>
      <c r="BQ95" s="73"/>
      <c r="BS95" s="879"/>
      <c r="BT95" s="879"/>
      <c r="BU95" s="880" t="s">
        <v>124</v>
      </c>
      <c r="BV95" s="881" t="s">
        <v>1283</v>
      </c>
      <c r="BW95" s="883">
        <v>0</v>
      </c>
      <c r="BX95" s="883">
        <v>0</v>
      </c>
      <c r="BY95" s="883">
        <v>0</v>
      </c>
      <c r="BZ95" s="882"/>
      <c r="CA95" s="882"/>
      <c r="CB95" s="883">
        <v>0</v>
      </c>
      <c r="CC95" s="883">
        <v>0</v>
      </c>
      <c r="CD95" s="883">
        <v>2</v>
      </c>
      <c r="CE95" s="879"/>
      <c r="CF95" s="879"/>
      <c r="CG95" s="884">
        <v>2</v>
      </c>
      <c r="CH95" s="161"/>
      <c r="CJ95" s="885"/>
      <c r="CK95" s="885"/>
      <c r="CL95" s="885" t="s">
        <v>125</v>
      </c>
      <c r="CM95" s="886" t="s">
        <v>1283</v>
      </c>
      <c r="CN95" s="887"/>
      <c r="CO95" s="888">
        <v>0</v>
      </c>
      <c r="CP95" s="887"/>
      <c r="CQ95" s="888">
        <v>0</v>
      </c>
      <c r="CR95" s="887"/>
      <c r="CS95" s="887"/>
      <c r="CT95" s="887"/>
      <c r="CU95" s="888">
        <v>0</v>
      </c>
      <c r="CV95" s="888">
        <v>2</v>
      </c>
      <c r="CW95" s="890">
        <v>0</v>
      </c>
      <c r="CX95" s="890">
        <v>0</v>
      </c>
      <c r="CY95" s="890">
        <v>2</v>
      </c>
      <c r="CZ95" s="891"/>
      <c r="DB95" s="892"/>
      <c r="DC95" s="892"/>
      <c r="DD95" s="892"/>
      <c r="DE95" s="893" t="s">
        <v>1288</v>
      </c>
      <c r="DF95" s="894"/>
      <c r="DG95" s="894"/>
      <c r="DH95" s="894"/>
      <c r="DI95" s="894"/>
      <c r="DJ95" s="894"/>
      <c r="DK95" s="895">
        <v>1</v>
      </c>
      <c r="DL95" s="895">
        <v>3</v>
      </c>
      <c r="DM95" s="895">
        <v>0</v>
      </c>
      <c r="DN95" s="894"/>
      <c r="DO95" s="894"/>
      <c r="DP95" s="895">
        <v>4</v>
      </c>
      <c r="DQ95" s="792"/>
      <c r="DS95" s="121"/>
      <c r="DT95" s="121"/>
      <c r="DU95" s="74"/>
      <c r="DV95" s="74" t="s">
        <v>1398</v>
      </c>
      <c r="DW95" s="121"/>
      <c r="DX95" s="121">
        <v>0</v>
      </c>
      <c r="DY95" s="121"/>
      <c r="DZ95" s="121"/>
      <c r="EA95" s="121"/>
      <c r="EB95" s="121">
        <v>7</v>
      </c>
      <c r="EC95" s="121">
        <v>2</v>
      </c>
      <c r="ED95" s="121">
        <v>0</v>
      </c>
      <c r="EE95" s="121"/>
      <c r="EF95" s="121"/>
      <c r="EG95" s="121">
        <v>9</v>
      </c>
      <c r="EH95" s="74"/>
      <c r="EI95" s="74"/>
      <c r="EJ95" s="793"/>
      <c r="EK95" s="793"/>
      <c r="EL95" s="793"/>
      <c r="EM95" s="793" t="s">
        <v>1292</v>
      </c>
      <c r="EN95" s="793">
        <v>0</v>
      </c>
      <c r="EO95" s="793">
        <v>0</v>
      </c>
      <c r="EP95" s="793">
        <v>0</v>
      </c>
      <c r="EQ95" s="793">
        <v>0</v>
      </c>
      <c r="ER95" s="793">
        <v>0</v>
      </c>
      <c r="ES95" s="793">
        <v>0</v>
      </c>
      <c r="ET95" s="793">
        <v>0</v>
      </c>
      <c r="EU95" s="793">
        <v>2</v>
      </c>
      <c r="EV95" s="793">
        <v>4</v>
      </c>
      <c r="EW95" s="793">
        <v>0</v>
      </c>
      <c r="EX95" s="793">
        <v>0</v>
      </c>
      <c r="EY95" s="794">
        <v>6</v>
      </c>
      <c r="EZ95" s="896"/>
      <c r="FA95" s="795"/>
    </row>
    <row r="96" spans="1:157">
      <c r="A96" s="73"/>
      <c r="B96" s="73"/>
      <c r="C96" s="738"/>
      <c r="D96" s="738" t="s">
        <v>1292</v>
      </c>
      <c r="E96" s="3262">
        <v>0</v>
      </c>
      <c r="F96" s="3262">
        <v>0</v>
      </c>
      <c r="G96" s="3262">
        <v>0</v>
      </c>
      <c r="H96" s="3262">
        <v>0</v>
      </c>
      <c r="I96" s="3262">
        <v>0</v>
      </c>
      <c r="J96" s="3262">
        <v>0</v>
      </c>
      <c r="K96" s="3262">
        <v>1</v>
      </c>
      <c r="L96" s="3262">
        <v>18</v>
      </c>
      <c r="M96" s="4674">
        <v>1</v>
      </c>
      <c r="N96" s="4674">
        <v>3</v>
      </c>
      <c r="O96" s="4674">
        <v>23</v>
      </c>
      <c r="P96" s="73"/>
      <c r="R96" s="74"/>
      <c r="S96" s="74"/>
      <c r="T96" s="74"/>
      <c r="U96" s="74" t="s">
        <v>1288</v>
      </c>
      <c r="V96" s="3229">
        <v>0</v>
      </c>
      <c r="W96" s="3229">
        <v>0</v>
      </c>
      <c r="X96" s="3229">
        <v>0</v>
      </c>
      <c r="Y96" s="3229"/>
      <c r="Z96" s="3229">
        <v>3</v>
      </c>
      <c r="AA96" s="3229">
        <v>1</v>
      </c>
      <c r="AB96" s="3229">
        <v>3</v>
      </c>
      <c r="AC96" s="3229">
        <v>0</v>
      </c>
      <c r="AD96" s="3229">
        <v>0</v>
      </c>
      <c r="AE96" s="121">
        <v>0</v>
      </c>
      <c r="AF96" s="121"/>
      <c r="AG96" s="121">
        <v>7</v>
      </c>
      <c r="AJ96" s="161"/>
      <c r="AK96" s="161"/>
      <c r="AL96" s="73"/>
      <c r="AM96" s="73" t="s">
        <v>1284</v>
      </c>
      <c r="AN96" s="2600"/>
      <c r="AO96" s="2600"/>
      <c r="AP96" s="2600">
        <v>0</v>
      </c>
      <c r="AQ96" s="2600"/>
      <c r="AR96" s="2600"/>
      <c r="AS96" s="2600"/>
      <c r="AT96" s="2600">
        <v>2</v>
      </c>
      <c r="AU96" s="2600">
        <v>6</v>
      </c>
      <c r="AV96" s="2600">
        <v>0</v>
      </c>
      <c r="AW96" s="161">
        <v>0</v>
      </c>
      <c r="AX96" s="161"/>
      <c r="AY96" s="161">
        <v>8</v>
      </c>
      <c r="AZ96" s="161"/>
      <c r="BB96" s="2191"/>
      <c r="BC96" s="2191"/>
      <c r="BD96" s="2192"/>
      <c r="BE96" s="2193" t="s">
        <v>1293</v>
      </c>
      <c r="BF96" s="2195">
        <v>0</v>
      </c>
      <c r="BG96" s="2195">
        <v>0</v>
      </c>
      <c r="BH96" s="2195">
        <v>0</v>
      </c>
      <c r="BI96" s="2195">
        <v>0</v>
      </c>
      <c r="BJ96" s="2195">
        <v>1</v>
      </c>
      <c r="BK96" s="2195">
        <v>8</v>
      </c>
      <c r="BL96" s="2195">
        <v>1</v>
      </c>
      <c r="BM96" s="2195">
        <v>1</v>
      </c>
      <c r="BN96" s="963"/>
      <c r="BO96" s="964">
        <v>0</v>
      </c>
      <c r="BP96" s="964">
        <v>11</v>
      </c>
      <c r="BQ96" s="73"/>
      <c r="BS96" s="879"/>
      <c r="BT96" s="879"/>
      <c r="BU96" s="880"/>
      <c r="BV96" s="881" t="s">
        <v>1284</v>
      </c>
      <c r="BW96" s="883">
        <v>1</v>
      </c>
      <c r="BX96" s="883">
        <v>1</v>
      </c>
      <c r="BY96" s="883">
        <v>1</v>
      </c>
      <c r="BZ96" s="882"/>
      <c r="CA96" s="882"/>
      <c r="CB96" s="883">
        <v>0</v>
      </c>
      <c r="CC96" s="883">
        <v>0</v>
      </c>
      <c r="CD96" s="883">
        <v>0</v>
      </c>
      <c r="CE96" s="879"/>
      <c r="CF96" s="879"/>
      <c r="CG96" s="884">
        <v>3</v>
      </c>
      <c r="CH96" s="161"/>
      <c r="CJ96" s="885"/>
      <c r="CK96" s="885"/>
      <c r="CL96" s="885"/>
      <c r="CM96" s="886" t="s">
        <v>1284</v>
      </c>
      <c r="CN96" s="887"/>
      <c r="CO96" s="888">
        <v>3</v>
      </c>
      <c r="CP96" s="887"/>
      <c r="CQ96" s="888">
        <v>0</v>
      </c>
      <c r="CR96" s="887"/>
      <c r="CS96" s="887"/>
      <c r="CT96" s="887"/>
      <c r="CU96" s="888">
        <v>0</v>
      </c>
      <c r="CV96" s="888">
        <v>2</v>
      </c>
      <c r="CW96" s="890">
        <v>0</v>
      </c>
      <c r="CX96" s="890">
        <v>0</v>
      </c>
      <c r="CY96" s="890">
        <v>5</v>
      </c>
      <c r="CZ96" s="891"/>
      <c r="DB96" s="892"/>
      <c r="DC96" s="892"/>
      <c r="DD96" s="892"/>
      <c r="DE96" s="893" t="s">
        <v>1293</v>
      </c>
      <c r="DF96" s="894"/>
      <c r="DG96" s="894"/>
      <c r="DH96" s="894"/>
      <c r="DI96" s="894"/>
      <c r="DJ96" s="894"/>
      <c r="DK96" s="895">
        <v>0</v>
      </c>
      <c r="DL96" s="895">
        <v>3</v>
      </c>
      <c r="DM96" s="895">
        <v>0</v>
      </c>
      <c r="DN96" s="894"/>
      <c r="DO96" s="894"/>
      <c r="DP96" s="895">
        <v>3</v>
      </c>
      <c r="DQ96" s="792"/>
      <c r="DS96" s="121"/>
      <c r="DT96" s="121"/>
      <c r="DU96" s="74"/>
      <c r="DV96" s="761" t="s">
        <v>15</v>
      </c>
      <c r="DW96" s="729"/>
      <c r="DX96" s="729">
        <v>2</v>
      </c>
      <c r="DY96" s="729"/>
      <c r="DZ96" s="729"/>
      <c r="EA96" s="729"/>
      <c r="EB96" s="729">
        <v>10</v>
      </c>
      <c r="EC96" s="729">
        <v>5</v>
      </c>
      <c r="ED96" s="729">
        <v>4</v>
      </c>
      <c r="EE96" s="729"/>
      <c r="EF96" s="729"/>
      <c r="EG96" s="729">
        <v>21</v>
      </c>
      <c r="EH96" s="813">
        <f>+(EG93+EG95)/EG96</f>
        <v>0.61904761904761907</v>
      </c>
      <c r="EI96" s="74"/>
      <c r="EJ96" s="793"/>
      <c r="EK96" s="793"/>
      <c r="EL96" s="793"/>
      <c r="EM96" s="793" t="s">
        <v>1398</v>
      </c>
      <c r="EN96" s="793">
        <v>0</v>
      </c>
      <c r="EO96" s="793">
        <v>0</v>
      </c>
      <c r="EP96" s="793">
        <v>0</v>
      </c>
      <c r="EQ96" s="793">
        <v>0</v>
      </c>
      <c r="ER96" s="793">
        <v>0</v>
      </c>
      <c r="ES96" s="793">
        <v>0</v>
      </c>
      <c r="ET96" s="793">
        <v>10</v>
      </c>
      <c r="EU96" s="793">
        <v>1</v>
      </c>
      <c r="EV96" s="793">
        <v>0</v>
      </c>
      <c r="EW96" s="793">
        <v>0</v>
      </c>
      <c r="EX96" s="793">
        <v>0</v>
      </c>
      <c r="EY96" s="794">
        <v>11</v>
      </c>
      <c r="EZ96" s="896"/>
      <c r="FA96" s="795"/>
    </row>
    <row r="97" spans="1:157">
      <c r="A97" s="73"/>
      <c r="B97" s="73"/>
      <c r="C97" s="738"/>
      <c r="D97" s="738" t="s">
        <v>1293</v>
      </c>
      <c r="E97" s="3262">
        <v>0</v>
      </c>
      <c r="F97" s="3262">
        <v>0</v>
      </c>
      <c r="G97" s="3262">
        <v>0</v>
      </c>
      <c r="H97" s="3262">
        <v>0</v>
      </c>
      <c r="I97" s="3262">
        <v>0</v>
      </c>
      <c r="J97" s="3262">
        <v>3</v>
      </c>
      <c r="K97" s="3262">
        <v>11</v>
      </c>
      <c r="L97" s="3262">
        <v>5</v>
      </c>
      <c r="M97" s="4674">
        <v>0</v>
      </c>
      <c r="N97" s="4674">
        <v>0</v>
      </c>
      <c r="O97" s="4674">
        <v>19</v>
      </c>
      <c r="P97" s="73"/>
      <c r="R97" s="74"/>
      <c r="S97" s="74"/>
      <c r="T97" s="74"/>
      <c r="U97" s="74" t="s">
        <v>1289</v>
      </c>
      <c r="V97" s="3229">
        <v>0</v>
      </c>
      <c r="W97" s="3229">
        <v>0</v>
      </c>
      <c r="X97" s="3229">
        <v>0</v>
      </c>
      <c r="Y97" s="3229"/>
      <c r="Z97" s="3229">
        <v>0</v>
      </c>
      <c r="AA97" s="3229">
        <v>1</v>
      </c>
      <c r="AB97" s="3229">
        <v>0</v>
      </c>
      <c r="AC97" s="3229">
        <v>0</v>
      </c>
      <c r="AD97" s="3229">
        <v>0</v>
      </c>
      <c r="AE97" s="121">
        <v>0</v>
      </c>
      <c r="AF97" s="121"/>
      <c r="AG97" s="121">
        <v>1</v>
      </c>
      <c r="AJ97" s="161"/>
      <c r="AK97" s="161"/>
      <c r="AL97" s="73"/>
      <c r="AM97" s="73" t="s">
        <v>1286</v>
      </c>
      <c r="AN97" s="2600"/>
      <c r="AO97" s="2600"/>
      <c r="AP97" s="2600">
        <v>1</v>
      </c>
      <c r="AQ97" s="2600"/>
      <c r="AR97" s="2600"/>
      <c r="AS97" s="2600"/>
      <c r="AT97" s="2600">
        <v>0</v>
      </c>
      <c r="AU97" s="2600">
        <v>0</v>
      </c>
      <c r="AV97" s="2600">
        <v>0</v>
      </c>
      <c r="AW97" s="161">
        <v>0</v>
      </c>
      <c r="AX97" s="161"/>
      <c r="AY97" s="161">
        <v>1</v>
      </c>
      <c r="AZ97" s="161"/>
      <c r="BB97" s="2191"/>
      <c r="BC97" s="2191"/>
      <c r="BD97" s="2192"/>
      <c r="BE97" s="2193" t="s">
        <v>1398</v>
      </c>
      <c r="BF97" s="2195">
        <v>0</v>
      </c>
      <c r="BG97" s="2195">
        <v>0</v>
      </c>
      <c r="BH97" s="2195">
        <v>2</v>
      </c>
      <c r="BI97" s="2195">
        <v>3</v>
      </c>
      <c r="BJ97" s="2195">
        <v>2</v>
      </c>
      <c r="BK97" s="2195">
        <v>10</v>
      </c>
      <c r="BL97" s="2195">
        <v>2</v>
      </c>
      <c r="BM97" s="2195">
        <v>1</v>
      </c>
      <c r="BN97" s="963"/>
      <c r="BO97" s="964">
        <v>0</v>
      </c>
      <c r="BP97" s="964">
        <v>20</v>
      </c>
      <c r="BQ97" s="73"/>
      <c r="BS97" s="879"/>
      <c r="BT97" s="879"/>
      <c r="BU97" s="880"/>
      <c r="BV97" s="881" t="s">
        <v>1288</v>
      </c>
      <c r="BW97" s="883">
        <v>0</v>
      </c>
      <c r="BX97" s="883">
        <v>0</v>
      </c>
      <c r="BY97" s="883">
        <v>0</v>
      </c>
      <c r="BZ97" s="882"/>
      <c r="CA97" s="882"/>
      <c r="CB97" s="883">
        <v>0</v>
      </c>
      <c r="CC97" s="883">
        <v>2</v>
      </c>
      <c r="CD97" s="883">
        <v>0</v>
      </c>
      <c r="CE97" s="879"/>
      <c r="CF97" s="879"/>
      <c r="CG97" s="884">
        <v>2</v>
      </c>
      <c r="CH97" s="161"/>
      <c r="CJ97" s="885"/>
      <c r="CK97" s="885"/>
      <c r="CL97" s="885"/>
      <c r="CM97" s="886" t="s">
        <v>1286</v>
      </c>
      <c r="CN97" s="887"/>
      <c r="CO97" s="888">
        <v>0</v>
      </c>
      <c r="CP97" s="887"/>
      <c r="CQ97" s="888">
        <v>1</v>
      </c>
      <c r="CR97" s="887"/>
      <c r="CS97" s="887"/>
      <c r="CT97" s="887"/>
      <c r="CU97" s="888">
        <v>0</v>
      </c>
      <c r="CV97" s="888">
        <v>0</v>
      </c>
      <c r="CW97" s="890">
        <v>0</v>
      </c>
      <c r="CX97" s="890">
        <v>0</v>
      </c>
      <c r="CY97" s="890">
        <v>1</v>
      </c>
      <c r="CZ97" s="891"/>
      <c r="DB97" s="892"/>
      <c r="DC97" s="892"/>
      <c r="DD97" s="892"/>
      <c r="DE97" s="893" t="s">
        <v>1398</v>
      </c>
      <c r="DF97" s="894"/>
      <c r="DG97" s="894"/>
      <c r="DH97" s="894"/>
      <c r="DI97" s="894"/>
      <c r="DJ97" s="894"/>
      <c r="DK97" s="895">
        <v>0</v>
      </c>
      <c r="DL97" s="895">
        <v>3</v>
      </c>
      <c r="DM97" s="895">
        <v>1</v>
      </c>
      <c r="DN97" s="894"/>
      <c r="DO97" s="894"/>
      <c r="DP97" s="895">
        <v>4</v>
      </c>
      <c r="DQ97" s="792"/>
      <c r="DS97" s="121"/>
      <c r="DT97" s="121"/>
      <c r="DU97" s="74" t="s">
        <v>131</v>
      </c>
      <c r="DV97" s="74" t="s">
        <v>1284</v>
      </c>
      <c r="DW97" s="121"/>
      <c r="DX97" s="121"/>
      <c r="DY97" s="121"/>
      <c r="DZ97" s="121"/>
      <c r="EA97" s="121"/>
      <c r="EB97" s="121">
        <v>0</v>
      </c>
      <c r="EC97" s="121">
        <v>1</v>
      </c>
      <c r="ED97" s="121">
        <v>0</v>
      </c>
      <c r="EE97" s="121"/>
      <c r="EF97" s="121"/>
      <c r="EG97" s="121">
        <v>1</v>
      </c>
      <c r="EH97" s="74"/>
      <c r="EI97" s="74"/>
      <c r="EJ97" s="793"/>
      <c r="EK97" s="793"/>
      <c r="EL97" s="793"/>
      <c r="EM97" s="796" t="s">
        <v>15</v>
      </c>
      <c r="EN97" s="796">
        <v>0</v>
      </c>
      <c r="EO97" s="796">
        <v>0</v>
      </c>
      <c r="EP97" s="796">
        <v>2</v>
      </c>
      <c r="EQ97" s="796">
        <v>1</v>
      </c>
      <c r="ER97" s="796">
        <v>0</v>
      </c>
      <c r="ES97" s="796">
        <v>0</v>
      </c>
      <c r="ET97" s="796">
        <v>19</v>
      </c>
      <c r="EU97" s="796">
        <v>5</v>
      </c>
      <c r="EV97" s="796">
        <v>4</v>
      </c>
      <c r="EW97" s="796">
        <v>0</v>
      </c>
      <c r="EX97" s="796">
        <v>0</v>
      </c>
      <c r="EY97" s="856">
        <v>31</v>
      </c>
      <c r="EZ97" s="906">
        <f>+(EY96+EY93)/EY97</f>
        <v>0.58064516129032262</v>
      </c>
      <c r="FA97" s="795">
        <f>+EY93+EY96</f>
        <v>18</v>
      </c>
    </row>
    <row r="98" spans="1:157">
      <c r="A98" s="73"/>
      <c r="B98" s="73"/>
      <c r="C98" s="738"/>
      <c r="D98" s="738" t="s">
        <v>1398</v>
      </c>
      <c r="E98" s="3262">
        <v>0</v>
      </c>
      <c r="F98" s="3262">
        <v>0</v>
      </c>
      <c r="G98" s="3262">
        <v>0</v>
      </c>
      <c r="H98" s="3262">
        <v>0</v>
      </c>
      <c r="I98" s="3262">
        <v>0</v>
      </c>
      <c r="J98" s="3262">
        <v>4</v>
      </c>
      <c r="K98" s="3262">
        <v>6</v>
      </c>
      <c r="L98" s="3262">
        <v>1</v>
      </c>
      <c r="M98" s="4674">
        <v>0</v>
      </c>
      <c r="N98" s="4674">
        <v>0</v>
      </c>
      <c r="O98" s="4674">
        <v>11</v>
      </c>
      <c r="P98" s="73"/>
      <c r="R98" s="74"/>
      <c r="S98" s="74"/>
      <c r="T98" s="74"/>
      <c r="U98" s="74" t="s">
        <v>1292</v>
      </c>
      <c r="V98" s="3229">
        <v>0</v>
      </c>
      <c r="W98" s="3229">
        <v>0</v>
      </c>
      <c r="X98" s="3229">
        <v>0</v>
      </c>
      <c r="Y98" s="3229"/>
      <c r="Z98" s="3229">
        <v>0</v>
      </c>
      <c r="AA98" s="3229">
        <v>0</v>
      </c>
      <c r="AB98" s="3229">
        <v>0</v>
      </c>
      <c r="AC98" s="3229">
        <v>0</v>
      </c>
      <c r="AD98" s="3229">
        <v>21</v>
      </c>
      <c r="AE98" s="121">
        <v>5</v>
      </c>
      <c r="AF98" s="121"/>
      <c r="AG98" s="121">
        <v>26</v>
      </c>
      <c r="AJ98" s="161"/>
      <c r="AK98" s="161"/>
      <c r="AL98" s="73"/>
      <c r="AM98" s="73" t="s">
        <v>1288</v>
      </c>
      <c r="AN98" s="2600"/>
      <c r="AO98" s="2600"/>
      <c r="AP98" s="2600">
        <v>0</v>
      </c>
      <c r="AQ98" s="2600"/>
      <c r="AR98" s="2600"/>
      <c r="AS98" s="2600"/>
      <c r="AT98" s="2600">
        <v>1</v>
      </c>
      <c r="AU98" s="2600">
        <v>0</v>
      </c>
      <c r="AV98" s="2600">
        <v>0</v>
      </c>
      <c r="AW98" s="161">
        <v>0</v>
      </c>
      <c r="AX98" s="161"/>
      <c r="AY98" s="161">
        <v>1</v>
      </c>
      <c r="AZ98" s="161"/>
      <c r="BB98" s="2191"/>
      <c r="BC98" s="2191"/>
      <c r="BD98" s="2192"/>
      <c r="BE98" s="760" t="s">
        <v>107</v>
      </c>
      <c r="BF98" s="2197">
        <v>2</v>
      </c>
      <c r="BG98" s="2197">
        <v>2</v>
      </c>
      <c r="BH98" s="2197">
        <v>10</v>
      </c>
      <c r="BI98" s="2197">
        <v>17</v>
      </c>
      <c r="BJ98" s="2197">
        <v>19</v>
      </c>
      <c r="BK98" s="2197">
        <v>60</v>
      </c>
      <c r="BL98" s="2197">
        <v>28</v>
      </c>
      <c r="BM98" s="2197">
        <v>26</v>
      </c>
      <c r="BN98" s="972"/>
      <c r="BO98" s="973">
        <v>2</v>
      </c>
      <c r="BP98" s="973">
        <v>166</v>
      </c>
      <c r="BQ98" s="2154">
        <f>+(BP93+BP96+BP97)/BP98</f>
        <v>0.22289156626506024</v>
      </c>
      <c r="BS98" s="879"/>
      <c r="BT98" s="879"/>
      <c r="BU98" s="880"/>
      <c r="BV98" s="881" t="s">
        <v>1292</v>
      </c>
      <c r="BW98" s="883">
        <v>0</v>
      </c>
      <c r="BX98" s="883">
        <v>0</v>
      </c>
      <c r="BY98" s="883">
        <v>0</v>
      </c>
      <c r="BZ98" s="882"/>
      <c r="CA98" s="882"/>
      <c r="CB98" s="883">
        <v>0</v>
      </c>
      <c r="CC98" s="883">
        <v>0</v>
      </c>
      <c r="CD98" s="883">
        <v>2</v>
      </c>
      <c r="CE98" s="879"/>
      <c r="CF98" s="879"/>
      <c r="CG98" s="884">
        <v>2</v>
      </c>
      <c r="CH98" s="161"/>
      <c r="CJ98" s="885"/>
      <c r="CK98" s="885"/>
      <c r="CL98" s="885"/>
      <c r="CM98" s="886" t="s">
        <v>1288</v>
      </c>
      <c r="CN98" s="887"/>
      <c r="CO98" s="888">
        <v>0</v>
      </c>
      <c r="CP98" s="887"/>
      <c r="CQ98" s="888">
        <v>0</v>
      </c>
      <c r="CR98" s="887"/>
      <c r="CS98" s="887"/>
      <c r="CT98" s="887"/>
      <c r="CU98" s="888">
        <v>2</v>
      </c>
      <c r="CV98" s="888">
        <v>2</v>
      </c>
      <c r="CW98" s="890">
        <v>1</v>
      </c>
      <c r="CX98" s="890">
        <v>0</v>
      </c>
      <c r="CY98" s="890">
        <v>5</v>
      </c>
      <c r="CZ98" s="891"/>
      <c r="DB98" s="892"/>
      <c r="DC98" s="892"/>
      <c r="DD98" s="892"/>
      <c r="DE98" s="902" t="s">
        <v>15</v>
      </c>
      <c r="DF98" s="903"/>
      <c r="DG98" s="903"/>
      <c r="DH98" s="903"/>
      <c r="DI98" s="903"/>
      <c r="DJ98" s="903"/>
      <c r="DK98" s="904">
        <v>2</v>
      </c>
      <c r="DL98" s="904">
        <v>11</v>
      </c>
      <c r="DM98" s="904">
        <v>1</v>
      </c>
      <c r="DN98" s="903"/>
      <c r="DO98" s="903"/>
      <c r="DP98" s="904">
        <v>14</v>
      </c>
      <c r="DQ98" s="905">
        <f>+(DP97+DP96+DP95)/DP98</f>
        <v>0.7857142857142857</v>
      </c>
      <c r="DS98" s="121"/>
      <c r="DT98" s="121"/>
      <c r="DU98" s="74"/>
      <c r="DV98" s="74" t="s">
        <v>1288</v>
      </c>
      <c r="DW98" s="121"/>
      <c r="DX98" s="121"/>
      <c r="DY98" s="121"/>
      <c r="DZ98" s="121"/>
      <c r="EA98" s="121"/>
      <c r="EB98" s="121">
        <v>0</v>
      </c>
      <c r="EC98" s="121">
        <v>9</v>
      </c>
      <c r="ED98" s="121">
        <v>0</v>
      </c>
      <c r="EE98" s="121"/>
      <c r="EF98" s="121"/>
      <c r="EG98" s="121">
        <v>9</v>
      </c>
      <c r="EH98" s="74"/>
      <c r="EI98" s="74"/>
      <c r="EJ98" s="793"/>
      <c r="EK98" s="793"/>
      <c r="EL98" s="793" t="s">
        <v>129</v>
      </c>
      <c r="EM98" s="793" t="s">
        <v>1283</v>
      </c>
      <c r="EN98" s="793">
        <v>0</v>
      </c>
      <c r="EO98" s="793">
        <v>0</v>
      </c>
      <c r="EP98" s="793">
        <v>0</v>
      </c>
      <c r="EQ98" s="793">
        <v>0</v>
      </c>
      <c r="ER98" s="793">
        <v>0</v>
      </c>
      <c r="ES98" s="793">
        <v>0</v>
      </c>
      <c r="ET98" s="793">
        <v>0</v>
      </c>
      <c r="EU98" s="793">
        <v>0</v>
      </c>
      <c r="EV98" s="793">
        <v>0</v>
      </c>
      <c r="EW98" s="793">
        <v>0</v>
      </c>
      <c r="EX98" s="793">
        <v>1</v>
      </c>
      <c r="EY98" s="794">
        <v>1</v>
      </c>
      <c r="EZ98" s="896"/>
      <c r="FA98" s="795"/>
    </row>
    <row r="99" spans="1:157">
      <c r="A99" s="73"/>
      <c r="B99" s="73"/>
      <c r="C99" s="738"/>
      <c r="D99" s="738" t="s">
        <v>107</v>
      </c>
      <c r="E99" s="3262">
        <v>3</v>
      </c>
      <c r="F99" s="3262">
        <v>1</v>
      </c>
      <c r="G99" s="3262">
        <v>1</v>
      </c>
      <c r="H99" s="3262">
        <v>1</v>
      </c>
      <c r="I99" s="3262">
        <v>3</v>
      </c>
      <c r="J99" s="3262">
        <v>37</v>
      </c>
      <c r="K99" s="3262">
        <v>45</v>
      </c>
      <c r="L99" s="3262">
        <v>31</v>
      </c>
      <c r="M99" s="4674">
        <v>2</v>
      </c>
      <c r="N99" s="4674">
        <v>3</v>
      </c>
      <c r="O99" s="4674">
        <v>127</v>
      </c>
      <c r="P99" s="912">
        <f>+(O98+O97+O94)/O99</f>
        <v>0.34645669291338582</v>
      </c>
      <c r="Q99" s="3197"/>
      <c r="R99" s="74"/>
      <c r="S99" s="74"/>
      <c r="T99" s="74"/>
      <c r="U99" s="74" t="s">
        <v>1293</v>
      </c>
      <c r="V99" s="3229">
        <v>0</v>
      </c>
      <c r="W99" s="3229">
        <v>0</v>
      </c>
      <c r="X99" s="3229">
        <v>0</v>
      </c>
      <c r="Y99" s="3229"/>
      <c r="Z99" s="3229">
        <v>1</v>
      </c>
      <c r="AA99" s="3229">
        <v>2</v>
      </c>
      <c r="AB99" s="3229">
        <v>1</v>
      </c>
      <c r="AC99" s="3229">
        <v>1</v>
      </c>
      <c r="AD99" s="3229">
        <v>1</v>
      </c>
      <c r="AE99" s="121">
        <v>1</v>
      </c>
      <c r="AF99" s="121"/>
      <c r="AG99" s="121">
        <v>7</v>
      </c>
      <c r="AJ99" s="161"/>
      <c r="AK99" s="161"/>
      <c r="AL99" s="73"/>
      <c r="AM99" s="73" t="s">
        <v>1292</v>
      </c>
      <c r="AN99" s="2600"/>
      <c r="AO99" s="2600"/>
      <c r="AP99" s="2600">
        <v>0</v>
      </c>
      <c r="AQ99" s="2600"/>
      <c r="AR99" s="2600"/>
      <c r="AS99" s="2600"/>
      <c r="AT99" s="2600">
        <v>0</v>
      </c>
      <c r="AU99" s="2600">
        <v>0</v>
      </c>
      <c r="AV99" s="2600">
        <v>8</v>
      </c>
      <c r="AW99" s="161">
        <v>2</v>
      </c>
      <c r="AX99" s="161"/>
      <c r="AY99" s="161">
        <v>10</v>
      </c>
      <c r="AZ99" s="161"/>
      <c r="BB99" s="2191" t="s">
        <v>25</v>
      </c>
      <c r="BC99" s="2191" t="s">
        <v>4</v>
      </c>
      <c r="BD99" s="2192" t="s">
        <v>121</v>
      </c>
      <c r="BE99" s="2193" t="s">
        <v>1286</v>
      </c>
      <c r="BF99" s="2195">
        <v>1</v>
      </c>
      <c r="BG99" s="2194"/>
      <c r="BH99" s="2195">
        <v>1</v>
      </c>
      <c r="BI99" s="2194"/>
      <c r="BJ99" s="2194"/>
      <c r="BK99" s="2194"/>
      <c r="BL99" s="2195">
        <v>0</v>
      </c>
      <c r="BM99" s="2195">
        <v>0</v>
      </c>
      <c r="BN99" s="964">
        <v>0</v>
      </c>
      <c r="BO99" s="964">
        <v>0</v>
      </c>
      <c r="BP99" s="964">
        <v>2</v>
      </c>
      <c r="BQ99" s="73"/>
      <c r="BS99" s="879"/>
      <c r="BT99" s="879"/>
      <c r="BU99" s="880"/>
      <c r="BV99" s="881" t="s">
        <v>1398</v>
      </c>
      <c r="BW99" s="883">
        <v>0</v>
      </c>
      <c r="BX99" s="883">
        <v>0</v>
      </c>
      <c r="BY99" s="883">
        <v>0</v>
      </c>
      <c r="BZ99" s="882"/>
      <c r="CA99" s="882"/>
      <c r="CB99" s="883">
        <v>1</v>
      </c>
      <c r="CC99" s="883">
        <v>1</v>
      </c>
      <c r="CD99" s="883">
        <v>0</v>
      </c>
      <c r="CE99" s="879"/>
      <c r="CF99" s="879"/>
      <c r="CG99" s="884">
        <v>2</v>
      </c>
      <c r="CH99" s="161"/>
      <c r="CJ99" s="885"/>
      <c r="CK99" s="885"/>
      <c r="CL99" s="885"/>
      <c r="CM99" s="886" t="s">
        <v>1292</v>
      </c>
      <c r="CN99" s="887"/>
      <c r="CO99" s="888">
        <v>0</v>
      </c>
      <c r="CP99" s="887"/>
      <c r="CQ99" s="888">
        <v>0</v>
      </c>
      <c r="CR99" s="887"/>
      <c r="CS99" s="887"/>
      <c r="CT99" s="887"/>
      <c r="CU99" s="888">
        <v>0</v>
      </c>
      <c r="CV99" s="888">
        <v>2</v>
      </c>
      <c r="CW99" s="890">
        <v>2</v>
      </c>
      <c r="CX99" s="890">
        <v>2</v>
      </c>
      <c r="CY99" s="890">
        <v>6</v>
      </c>
      <c r="CZ99" s="891"/>
      <c r="DB99" s="892"/>
      <c r="DC99" s="892" t="s">
        <v>41</v>
      </c>
      <c r="DD99" s="892" t="s">
        <v>130</v>
      </c>
      <c r="DE99" s="893" t="s">
        <v>1284</v>
      </c>
      <c r="DF99" s="894"/>
      <c r="DG99" s="894"/>
      <c r="DH99" s="894"/>
      <c r="DI99" s="894"/>
      <c r="DJ99" s="894"/>
      <c r="DK99" s="895">
        <v>0</v>
      </c>
      <c r="DL99" s="895">
        <v>2</v>
      </c>
      <c r="DM99" s="895">
        <v>0</v>
      </c>
      <c r="DN99" s="894"/>
      <c r="DO99" s="894"/>
      <c r="DP99" s="895">
        <v>2</v>
      </c>
      <c r="DQ99" s="792"/>
      <c r="DS99" s="121"/>
      <c r="DT99" s="121"/>
      <c r="DU99" s="74"/>
      <c r="DV99" s="74" t="s">
        <v>1292</v>
      </c>
      <c r="DW99" s="121"/>
      <c r="DX99" s="121"/>
      <c r="DY99" s="121"/>
      <c r="DZ99" s="121"/>
      <c r="EA99" s="121"/>
      <c r="EB99" s="121">
        <v>0</v>
      </c>
      <c r="EC99" s="121">
        <v>0</v>
      </c>
      <c r="ED99" s="121">
        <v>9</v>
      </c>
      <c r="EE99" s="121"/>
      <c r="EF99" s="121"/>
      <c r="EG99" s="121">
        <v>9</v>
      </c>
      <c r="EH99" s="74"/>
      <c r="EI99" s="74"/>
      <c r="EJ99" s="793"/>
      <c r="EK99" s="793"/>
      <c r="EL99" s="793"/>
      <c r="EM99" s="793" t="s">
        <v>1284</v>
      </c>
      <c r="EN99" s="793">
        <v>0</v>
      </c>
      <c r="EO99" s="793">
        <v>0</v>
      </c>
      <c r="EP99" s="793">
        <v>1</v>
      </c>
      <c r="EQ99" s="793">
        <v>0</v>
      </c>
      <c r="ER99" s="793">
        <v>0</v>
      </c>
      <c r="ES99" s="793">
        <v>0</v>
      </c>
      <c r="ET99" s="793">
        <v>0</v>
      </c>
      <c r="EU99" s="793">
        <v>0</v>
      </c>
      <c r="EV99" s="793">
        <v>0</v>
      </c>
      <c r="EW99" s="793">
        <v>0</v>
      </c>
      <c r="EX99" s="793">
        <v>0</v>
      </c>
      <c r="EY99" s="794">
        <v>1</v>
      </c>
      <c r="EZ99" s="896"/>
      <c r="FA99" s="795"/>
    </row>
    <row r="100" spans="1:157">
      <c r="A100" s="73" t="s">
        <v>25</v>
      </c>
      <c r="B100" s="73" t="s">
        <v>4</v>
      </c>
      <c r="C100" s="73" t="s">
        <v>121</v>
      </c>
      <c r="D100" s="73" t="s">
        <v>1284</v>
      </c>
      <c r="E100" s="3261">
        <v>1</v>
      </c>
      <c r="F100" s="3261"/>
      <c r="G100" s="3261">
        <v>0</v>
      </c>
      <c r="H100" s="3261">
        <v>0</v>
      </c>
      <c r="I100" s="3261"/>
      <c r="J100" s="3261">
        <v>0</v>
      </c>
      <c r="K100" s="3261">
        <v>0</v>
      </c>
      <c r="L100" s="3261">
        <v>0</v>
      </c>
      <c r="M100" s="161">
        <v>0</v>
      </c>
      <c r="N100" s="161"/>
      <c r="O100" s="161">
        <v>1</v>
      </c>
      <c r="P100" s="73"/>
      <c r="R100" s="74"/>
      <c r="S100" s="74"/>
      <c r="T100" s="74"/>
      <c r="U100" s="74" t="s">
        <v>1398</v>
      </c>
      <c r="V100" s="3229">
        <v>0</v>
      </c>
      <c r="W100" s="3229">
        <v>0</v>
      </c>
      <c r="X100" s="3229">
        <v>0</v>
      </c>
      <c r="Y100" s="3229"/>
      <c r="Z100" s="3229">
        <v>0</v>
      </c>
      <c r="AA100" s="3229">
        <v>2</v>
      </c>
      <c r="AB100" s="3229">
        <v>0</v>
      </c>
      <c r="AC100" s="3229">
        <v>0</v>
      </c>
      <c r="AD100" s="3229">
        <v>0</v>
      </c>
      <c r="AE100" s="121">
        <v>0</v>
      </c>
      <c r="AF100" s="121"/>
      <c r="AG100" s="121">
        <v>2</v>
      </c>
      <c r="AJ100" s="161"/>
      <c r="AK100" s="161"/>
      <c r="AL100" s="73"/>
      <c r="AM100" s="73" t="s">
        <v>1398</v>
      </c>
      <c r="AN100" s="2600"/>
      <c r="AO100" s="2600"/>
      <c r="AP100" s="2600">
        <v>0</v>
      </c>
      <c r="AQ100" s="2600"/>
      <c r="AR100" s="2600"/>
      <c r="AS100" s="2600"/>
      <c r="AT100" s="2600">
        <v>0</v>
      </c>
      <c r="AU100" s="2600">
        <v>2</v>
      </c>
      <c r="AV100" s="2600">
        <v>0</v>
      </c>
      <c r="AW100" s="161">
        <v>0</v>
      </c>
      <c r="AX100" s="161"/>
      <c r="AY100" s="161">
        <v>2</v>
      </c>
      <c r="AZ100" s="161"/>
      <c r="BB100" s="2191"/>
      <c r="BC100" s="2191"/>
      <c r="BD100" s="2192"/>
      <c r="BE100" s="2193" t="s">
        <v>1288</v>
      </c>
      <c r="BF100" s="2195">
        <v>0</v>
      </c>
      <c r="BG100" s="2194"/>
      <c r="BH100" s="2195">
        <v>0</v>
      </c>
      <c r="BI100" s="2194"/>
      <c r="BJ100" s="2194"/>
      <c r="BK100" s="2194"/>
      <c r="BL100" s="2195">
        <v>1</v>
      </c>
      <c r="BM100" s="2195">
        <v>0</v>
      </c>
      <c r="BN100" s="964">
        <v>0</v>
      </c>
      <c r="BO100" s="964">
        <v>0</v>
      </c>
      <c r="BP100" s="964">
        <v>1</v>
      </c>
      <c r="BQ100" s="73"/>
      <c r="BS100" s="879"/>
      <c r="BT100" s="879"/>
      <c r="BU100" s="880"/>
      <c r="BV100" s="907" t="s">
        <v>15</v>
      </c>
      <c r="BW100" s="909">
        <v>1</v>
      </c>
      <c r="BX100" s="909">
        <v>1</v>
      </c>
      <c r="BY100" s="909">
        <v>1</v>
      </c>
      <c r="BZ100" s="908"/>
      <c r="CA100" s="908"/>
      <c r="CB100" s="909">
        <v>1</v>
      </c>
      <c r="CC100" s="909">
        <v>3</v>
      </c>
      <c r="CD100" s="909">
        <v>4</v>
      </c>
      <c r="CE100" s="910"/>
      <c r="CF100" s="910"/>
      <c r="CG100" s="911">
        <v>11</v>
      </c>
      <c r="CH100" s="912">
        <f>+(CG97+CG99)/CG100</f>
        <v>0.36363636363636365</v>
      </c>
      <c r="CJ100" s="885"/>
      <c r="CK100" s="885"/>
      <c r="CL100" s="885"/>
      <c r="CM100" s="886" t="s">
        <v>1398</v>
      </c>
      <c r="CN100" s="887"/>
      <c r="CO100" s="888">
        <v>0</v>
      </c>
      <c r="CP100" s="887"/>
      <c r="CQ100" s="888">
        <v>0</v>
      </c>
      <c r="CR100" s="887"/>
      <c r="CS100" s="887"/>
      <c r="CT100" s="887"/>
      <c r="CU100" s="888">
        <v>1</v>
      </c>
      <c r="CV100" s="888">
        <v>0</v>
      </c>
      <c r="CW100" s="890">
        <v>0</v>
      </c>
      <c r="CX100" s="890">
        <v>0</v>
      </c>
      <c r="CY100" s="890">
        <v>1</v>
      </c>
      <c r="CZ100" s="891"/>
      <c r="DB100" s="892"/>
      <c r="DC100" s="892"/>
      <c r="DD100" s="892"/>
      <c r="DE100" s="893" t="s">
        <v>1288</v>
      </c>
      <c r="DF100" s="894"/>
      <c r="DG100" s="894"/>
      <c r="DH100" s="894"/>
      <c r="DI100" s="894"/>
      <c r="DJ100" s="894"/>
      <c r="DK100" s="895">
        <v>1</v>
      </c>
      <c r="DL100" s="895">
        <v>5</v>
      </c>
      <c r="DM100" s="895">
        <v>0</v>
      </c>
      <c r="DN100" s="894"/>
      <c r="DO100" s="894"/>
      <c r="DP100" s="895">
        <v>6</v>
      </c>
      <c r="DQ100" s="792"/>
      <c r="DS100" s="121"/>
      <c r="DT100" s="121"/>
      <c r="DU100" s="74"/>
      <c r="DV100" s="74" t="s">
        <v>1398</v>
      </c>
      <c r="DW100" s="121"/>
      <c r="DX100" s="121"/>
      <c r="DY100" s="121"/>
      <c r="DZ100" s="121"/>
      <c r="EA100" s="121"/>
      <c r="EB100" s="121">
        <v>1</v>
      </c>
      <c r="EC100" s="121">
        <v>3</v>
      </c>
      <c r="ED100" s="121">
        <v>0</v>
      </c>
      <c r="EE100" s="121"/>
      <c r="EF100" s="121"/>
      <c r="EG100" s="121">
        <v>4</v>
      </c>
      <c r="EH100" s="74"/>
      <c r="EI100" s="74"/>
      <c r="EJ100" s="793"/>
      <c r="EK100" s="793"/>
      <c r="EL100" s="793"/>
      <c r="EM100" s="793" t="s">
        <v>1288</v>
      </c>
      <c r="EN100" s="793">
        <v>0</v>
      </c>
      <c r="EO100" s="793">
        <v>0</v>
      </c>
      <c r="EP100" s="793">
        <v>0</v>
      </c>
      <c r="EQ100" s="793">
        <v>0</v>
      </c>
      <c r="ER100" s="793">
        <v>0</v>
      </c>
      <c r="ES100" s="793">
        <v>0</v>
      </c>
      <c r="ET100" s="793">
        <v>0</v>
      </c>
      <c r="EU100" s="793">
        <v>3</v>
      </c>
      <c r="EV100" s="793">
        <v>0</v>
      </c>
      <c r="EW100" s="793">
        <v>0</v>
      </c>
      <c r="EX100" s="793">
        <v>0</v>
      </c>
      <c r="EY100" s="794">
        <v>3</v>
      </c>
      <c r="EZ100" s="896"/>
      <c r="FA100" s="795"/>
    </row>
    <row r="101" spans="1:157">
      <c r="A101" s="73"/>
      <c r="B101" s="73"/>
      <c r="C101" s="73"/>
      <c r="D101" s="73" t="s">
        <v>1288</v>
      </c>
      <c r="E101" s="3261">
        <v>0</v>
      </c>
      <c r="F101" s="3261"/>
      <c r="G101" s="3261">
        <v>0</v>
      </c>
      <c r="H101" s="3261">
        <v>0</v>
      </c>
      <c r="I101" s="3261"/>
      <c r="J101" s="3261">
        <v>0</v>
      </c>
      <c r="K101" s="3261">
        <v>1</v>
      </c>
      <c r="L101" s="3261">
        <v>1</v>
      </c>
      <c r="M101" s="161">
        <v>2</v>
      </c>
      <c r="N101" s="161"/>
      <c r="O101" s="161">
        <v>4</v>
      </c>
      <c r="P101" s="73"/>
      <c r="R101" s="74"/>
      <c r="S101" s="74"/>
      <c r="T101" s="74"/>
      <c r="U101" s="761" t="s">
        <v>574</v>
      </c>
      <c r="V101" s="3230">
        <v>3</v>
      </c>
      <c r="W101" s="3230">
        <v>3</v>
      </c>
      <c r="X101" s="3230">
        <v>1</v>
      </c>
      <c r="Y101" s="3230"/>
      <c r="Z101" s="3230">
        <v>8</v>
      </c>
      <c r="AA101" s="3230">
        <v>12</v>
      </c>
      <c r="AB101" s="3230">
        <v>11</v>
      </c>
      <c r="AC101" s="3230">
        <v>13</v>
      </c>
      <c r="AD101" s="3230">
        <v>23</v>
      </c>
      <c r="AE101" s="729">
        <v>6</v>
      </c>
      <c r="AF101" s="729"/>
      <c r="AG101" s="729">
        <v>80</v>
      </c>
      <c r="AH101" s="4681">
        <f>+(AG96+AG99-AE99+AG100)/AG101</f>
        <v>0.1875</v>
      </c>
      <c r="AJ101" s="161"/>
      <c r="AK101" s="161"/>
      <c r="AL101" s="73"/>
      <c r="AM101" s="738" t="s">
        <v>15</v>
      </c>
      <c r="AN101" s="2601"/>
      <c r="AO101" s="2601"/>
      <c r="AP101" s="2601">
        <v>1</v>
      </c>
      <c r="AQ101" s="2601"/>
      <c r="AR101" s="2601"/>
      <c r="AS101" s="2601"/>
      <c r="AT101" s="2601">
        <v>3</v>
      </c>
      <c r="AU101" s="2601">
        <v>8</v>
      </c>
      <c r="AV101" s="2601">
        <v>10</v>
      </c>
      <c r="AW101" s="151">
        <v>5</v>
      </c>
      <c r="AX101" s="151"/>
      <c r="AY101" s="151">
        <v>27</v>
      </c>
      <c r="AZ101" s="912">
        <f>+(AY98+AY100)/AY101</f>
        <v>0.1111111111111111</v>
      </c>
      <c r="BB101" s="2191"/>
      <c r="BC101" s="2191"/>
      <c r="BD101" s="2192"/>
      <c r="BE101" s="2193" t="s">
        <v>1289</v>
      </c>
      <c r="BF101" s="2195">
        <v>0</v>
      </c>
      <c r="BG101" s="2194"/>
      <c r="BH101" s="2195">
        <v>1</v>
      </c>
      <c r="BI101" s="2194"/>
      <c r="BJ101" s="2194"/>
      <c r="BK101" s="2194"/>
      <c r="BL101" s="2195">
        <v>0</v>
      </c>
      <c r="BM101" s="2195">
        <v>0</v>
      </c>
      <c r="BN101" s="964">
        <v>0</v>
      </c>
      <c r="BO101" s="964">
        <v>0</v>
      </c>
      <c r="BP101" s="964">
        <v>1</v>
      </c>
      <c r="BQ101" s="73"/>
      <c r="BS101" s="879"/>
      <c r="BT101" s="879"/>
      <c r="BU101" s="880" t="s">
        <v>125</v>
      </c>
      <c r="BV101" s="881" t="s">
        <v>1283</v>
      </c>
      <c r="BW101" s="883">
        <v>0</v>
      </c>
      <c r="BX101" s="882"/>
      <c r="BY101" s="882"/>
      <c r="BZ101" s="883">
        <v>0</v>
      </c>
      <c r="CA101" s="882"/>
      <c r="CB101" s="883">
        <v>0</v>
      </c>
      <c r="CC101" s="882"/>
      <c r="CD101" s="883">
        <v>1</v>
      </c>
      <c r="CE101" s="884">
        <v>0</v>
      </c>
      <c r="CF101" s="879"/>
      <c r="CG101" s="884">
        <v>1</v>
      </c>
      <c r="CH101" s="161"/>
      <c r="CJ101" s="885"/>
      <c r="CK101" s="885"/>
      <c r="CL101" s="885"/>
      <c r="CM101" s="897" t="s">
        <v>15</v>
      </c>
      <c r="CN101" s="898"/>
      <c r="CO101" s="899">
        <v>3</v>
      </c>
      <c r="CP101" s="898"/>
      <c r="CQ101" s="899">
        <v>1</v>
      </c>
      <c r="CR101" s="898"/>
      <c r="CS101" s="898"/>
      <c r="CT101" s="898"/>
      <c r="CU101" s="899">
        <v>3</v>
      </c>
      <c r="CV101" s="899">
        <v>8</v>
      </c>
      <c r="CW101" s="901">
        <v>3</v>
      </c>
      <c r="CX101" s="901">
        <v>2</v>
      </c>
      <c r="CY101" s="901">
        <v>20</v>
      </c>
      <c r="CZ101" s="891">
        <f>+(CY100+CY98-CW98)/CY101</f>
        <v>0.25</v>
      </c>
      <c r="DB101" s="892"/>
      <c r="DC101" s="892"/>
      <c r="DD101" s="892"/>
      <c r="DE101" s="893" t="s">
        <v>1292</v>
      </c>
      <c r="DF101" s="894"/>
      <c r="DG101" s="894"/>
      <c r="DH101" s="894"/>
      <c r="DI101" s="894"/>
      <c r="DJ101" s="894"/>
      <c r="DK101" s="895">
        <v>0</v>
      </c>
      <c r="DL101" s="895">
        <v>0</v>
      </c>
      <c r="DM101" s="895">
        <v>2</v>
      </c>
      <c r="DN101" s="894"/>
      <c r="DO101" s="894"/>
      <c r="DP101" s="895">
        <v>2</v>
      </c>
      <c r="DQ101" s="792"/>
      <c r="DS101" s="121"/>
      <c r="DT101" s="121"/>
      <c r="DU101" s="74"/>
      <c r="DV101" s="761" t="s">
        <v>15</v>
      </c>
      <c r="DW101" s="729"/>
      <c r="DX101" s="729"/>
      <c r="DY101" s="729"/>
      <c r="DZ101" s="729"/>
      <c r="EA101" s="729"/>
      <c r="EB101" s="729">
        <v>1</v>
      </c>
      <c r="EC101" s="729">
        <v>13</v>
      </c>
      <c r="ED101" s="729">
        <v>9</v>
      </c>
      <c r="EE101" s="729"/>
      <c r="EF101" s="729"/>
      <c r="EG101" s="729">
        <v>23</v>
      </c>
      <c r="EH101" s="813">
        <f>+(EG98+EG100)/EG101</f>
        <v>0.56521739130434778</v>
      </c>
      <c r="EI101" s="74"/>
      <c r="EJ101" s="793"/>
      <c r="EK101" s="793"/>
      <c r="EL101" s="793"/>
      <c r="EM101" s="793" t="s">
        <v>1398</v>
      </c>
      <c r="EN101" s="793">
        <v>0</v>
      </c>
      <c r="EO101" s="793">
        <v>0</v>
      </c>
      <c r="EP101" s="793">
        <v>0</v>
      </c>
      <c r="EQ101" s="793">
        <v>0</v>
      </c>
      <c r="ER101" s="793">
        <v>0</v>
      </c>
      <c r="ES101" s="793">
        <v>0</v>
      </c>
      <c r="ET101" s="793">
        <v>0</v>
      </c>
      <c r="EU101" s="793">
        <v>4</v>
      </c>
      <c r="EV101" s="793">
        <v>0</v>
      </c>
      <c r="EW101" s="793">
        <v>0</v>
      </c>
      <c r="EX101" s="793">
        <v>0</v>
      </c>
      <c r="EY101" s="794">
        <v>4</v>
      </c>
      <c r="EZ101" s="896"/>
      <c r="FA101" s="795"/>
    </row>
    <row r="102" spans="1:157">
      <c r="A102" s="73"/>
      <c r="B102" s="73"/>
      <c r="C102" s="73"/>
      <c r="D102" s="73" t="s">
        <v>1289</v>
      </c>
      <c r="E102" s="3261">
        <v>0</v>
      </c>
      <c r="F102" s="3261"/>
      <c r="G102" s="3261">
        <v>1</v>
      </c>
      <c r="H102" s="3261">
        <v>1</v>
      </c>
      <c r="I102" s="3261"/>
      <c r="J102" s="3261">
        <v>1</v>
      </c>
      <c r="K102" s="3261">
        <v>0</v>
      </c>
      <c r="L102" s="3261">
        <v>0</v>
      </c>
      <c r="M102" s="161">
        <v>0</v>
      </c>
      <c r="N102" s="161"/>
      <c r="O102" s="161">
        <v>3</v>
      </c>
      <c r="P102" s="73"/>
      <c r="R102" s="74"/>
      <c r="S102" s="74"/>
      <c r="T102" s="74" t="s">
        <v>107</v>
      </c>
      <c r="U102" s="74" t="s">
        <v>1283</v>
      </c>
      <c r="V102" s="3229">
        <v>0</v>
      </c>
      <c r="W102" s="3229">
        <v>0</v>
      </c>
      <c r="X102" s="3229">
        <v>0</v>
      </c>
      <c r="Y102" s="3229">
        <v>0</v>
      </c>
      <c r="Z102" s="3229">
        <v>0</v>
      </c>
      <c r="AA102" s="3229">
        <v>0</v>
      </c>
      <c r="AB102" s="3229">
        <v>0</v>
      </c>
      <c r="AC102" s="3229">
        <v>2</v>
      </c>
      <c r="AD102" s="3229">
        <v>7</v>
      </c>
      <c r="AE102" s="121">
        <v>0</v>
      </c>
      <c r="AF102" s="121">
        <v>1</v>
      </c>
      <c r="AG102" s="121">
        <v>10</v>
      </c>
      <c r="AJ102" s="161"/>
      <c r="AK102" s="161"/>
      <c r="AL102" s="73" t="s">
        <v>123</v>
      </c>
      <c r="AM102" s="73" t="s">
        <v>1283</v>
      </c>
      <c r="AN102" s="2600"/>
      <c r="AO102" s="2600">
        <v>0</v>
      </c>
      <c r="AP102" s="2600"/>
      <c r="AQ102" s="2600"/>
      <c r="AR102" s="2600"/>
      <c r="AS102" s="2600"/>
      <c r="AT102" s="2600"/>
      <c r="AU102" s="2600">
        <v>1</v>
      </c>
      <c r="AV102" s="2600">
        <v>4</v>
      </c>
      <c r="AW102" s="161"/>
      <c r="AX102" s="161">
        <v>1</v>
      </c>
      <c r="AY102" s="161">
        <v>6</v>
      </c>
      <c r="AZ102" s="161"/>
      <c r="BB102" s="2191"/>
      <c r="BC102" s="2191"/>
      <c r="BD102" s="2192"/>
      <c r="BE102" s="2193" t="s">
        <v>1292</v>
      </c>
      <c r="BF102" s="2195">
        <v>0</v>
      </c>
      <c r="BG102" s="2194"/>
      <c r="BH102" s="2195">
        <v>0</v>
      </c>
      <c r="BI102" s="2194"/>
      <c r="BJ102" s="2194"/>
      <c r="BK102" s="2194"/>
      <c r="BL102" s="2195">
        <v>0</v>
      </c>
      <c r="BM102" s="2195">
        <v>2</v>
      </c>
      <c r="BN102" s="964">
        <v>1</v>
      </c>
      <c r="BO102" s="964">
        <v>1</v>
      </c>
      <c r="BP102" s="964">
        <v>4</v>
      </c>
      <c r="BQ102" s="73"/>
      <c r="BS102" s="879"/>
      <c r="BT102" s="879"/>
      <c r="BU102" s="880"/>
      <c r="BV102" s="881" t="s">
        <v>1284</v>
      </c>
      <c r="BW102" s="883">
        <v>1</v>
      </c>
      <c r="BX102" s="882"/>
      <c r="BY102" s="882"/>
      <c r="BZ102" s="883">
        <v>0</v>
      </c>
      <c r="CA102" s="882"/>
      <c r="CB102" s="883">
        <v>0</v>
      </c>
      <c r="CC102" s="882"/>
      <c r="CD102" s="883">
        <v>1</v>
      </c>
      <c r="CE102" s="884">
        <v>0</v>
      </c>
      <c r="CF102" s="879"/>
      <c r="CG102" s="884">
        <v>2</v>
      </c>
      <c r="CH102" s="161"/>
      <c r="CJ102" s="885"/>
      <c r="CK102" s="885"/>
      <c r="CL102" s="885" t="s">
        <v>424</v>
      </c>
      <c r="CM102" s="886" t="s">
        <v>1283</v>
      </c>
      <c r="CN102" s="887"/>
      <c r="CO102" s="887"/>
      <c r="CP102" s="887"/>
      <c r="CQ102" s="887"/>
      <c r="CR102" s="887"/>
      <c r="CS102" s="887"/>
      <c r="CT102" s="888">
        <v>0</v>
      </c>
      <c r="CU102" s="888">
        <v>1</v>
      </c>
      <c r="CV102" s="888">
        <v>2</v>
      </c>
      <c r="CW102" s="890">
        <v>1</v>
      </c>
      <c r="CX102" s="889"/>
      <c r="CY102" s="890">
        <v>4</v>
      </c>
      <c r="CZ102" s="891"/>
      <c r="DB102" s="892"/>
      <c r="DC102" s="892"/>
      <c r="DD102" s="892"/>
      <c r="DE102" s="893" t="s">
        <v>1398</v>
      </c>
      <c r="DF102" s="894"/>
      <c r="DG102" s="894"/>
      <c r="DH102" s="894"/>
      <c r="DI102" s="894"/>
      <c r="DJ102" s="894"/>
      <c r="DK102" s="895">
        <v>0</v>
      </c>
      <c r="DL102" s="895">
        <v>3</v>
      </c>
      <c r="DM102" s="895">
        <v>0</v>
      </c>
      <c r="DN102" s="894"/>
      <c r="DO102" s="894"/>
      <c r="DP102" s="895">
        <v>3</v>
      </c>
      <c r="DQ102" s="792"/>
      <c r="DS102" s="121"/>
      <c r="DT102" s="121"/>
      <c r="DU102" s="74" t="s">
        <v>132</v>
      </c>
      <c r="DV102" s="74" t="s">
        <v>1284</v>
      </c>
      <c r="DW102" s="121"/>
      <c r="DX102" s="121"/>
      <c r="DY102" s="121"/>
      <c r="DZ102" s="121"/>
      <c r="EA102" s="121"/>
      <c r="EB102" s="121"/>
      <c r="EC102" s="121">
        <v>2</v>
      </c>
      <c r="ED102" s="121">
        <v>0</v>
      </c>
      <c r="EE102" s="121"/>
      <c r="EF102" s="121"/>
      <c r="EG102" s="121">
        <v>2</v>
      </c>
      <c r="EH102" s="74"/>
      <c r="EI102" s="74"/>
      <c r="EJ102" s="793"/>
      <c r="EK102" s="793"/>
      <c r="EL102" s="793"/>
      <c r="EM102" s="796" t="s">
        <v>15</v>
      </c>
      <c r="EN102" s="796">
        <v>0</v>
      </c>
      <c r="EO102" s="796">
        <v>0</v>
      </c>
      <c r="EP102" s="796">
        <v>1</v>
      </c>
      <c r="EQ102" s="796">
        <v>0</v>
      </c>
      <c r="ER102" s="796">
        <v>0</v>
      </c>
      <c r="ES102" s="796">
        <v>0</v>
      </c>
      <c r="ET102" s="796">
        <v>0</v>
      </c>
      <c r="EU102" s="796">
        <v>7</v>
      </c>
      <c r="EV102" s="796">
        <v>0</v>
      </c>
      <c r="EW102" s="796">
        <v>0</v>
      </c>
      <c r="EX102" s="796">
        <v>1</v>
      </c>
      <c r="EY102" s="856">
        <v>9</v>
      </c>
      <c r="EZ102" s="906">
        <f>+(EY101+EY100)/EY102</f>
        <v>0.77777777777777779</v>
      </c>
      <c r="FA102" s="795">
        <f>+EY100+EY101</f>
        <v>7</v>
      </c>
    </row>
    <row r="103" spans="1:157">
      <c r="A103" s="73"/>
      <c r="B103" s="73"/>
      <c r="C103" s="73"/>
      <c r="D103" s="73" t="s">
        <v>1292</v>
      </c>
      <c r="E103" s="3261">
        <v>0</v>
      </c>
      <c r="F103" s="3261"/>
      <c r="G103" s="3261">
        <v>0</v>
      </c>
      <c r="H103" s="3261">
        <v>0</v>
      </c>
      <c r="I103" s="3261"/>
      <c r="J103" s="3261">
        <v>0</v>
      </c>
      <c r="K103" s="3261">
        <v>0</v>
      </c>
      <c r="L103" s="3261">
        <v>7</v>
      </c>
      <c r="M103" s="161">
        <v>4</v>
      </c>
      <c r="N103" s="161"/>
      <c r="O103" s="161">
        <v>11</v>
      </c>
      <c r="P103" s="73"/>
      <c r="R103" s="74"/>
      <c r="S103" s="74"/>
      <c r="T103" s="74"/>
      <c r="U103" s="74" t="s">
        <v>1284</v>
      </c>
      <c r="V103" s="3229">
        <v>2</v>
      </c>
      <c r="W103" s="3229">
        <v>9</v>
      </c>
      <c r="X103" s="3229">
        <v>2</v>
      </c>
      <c r="Y103" s="3229">
        <v>2</v>
      </c>
      <c r="Z103" s="3229">
        <v>5</v>
      </c>
      <c r="AA103" s="3229">
        <v>7</v>
      </c>
      <c r="AB103" s="3229">
        <v>23</v>
      </c>
      <c r="AC103" s="3229">
        <v>21</v>
      </c>
      <c r="AD103" s="3229">
        <v>1</v>
      </c>
      <c r="AE103" s="121">
        <v>0</v>
      </c>
      <c r="AF103" s="121">
        <v>0</v>
      </c>
      <c r="AG103" s="121">
        <v>72</v>
      </c>
      <c r="AJ103" s="161"/>
      <c r="AK103" s="161"/>
      <c r="AL103" s="73"/>
      <c r="AM103" s="73" t="s">
        <v>1284</v>
      </c>
      <c r="AN103" s="2600"/>
      <c r="AO103" s="2600">
        <v>1</v>
      </c>
      <c r="AP103" s="2600"/>
      <c r="AQ103" s="2600"/>
      <c r="AR103" s="2600"/>
      <c r="AS103" s="2600"/>
      <c r="AT103" s="2600"/>
      <c r="AU103" s="2600">
        <v>0</v>
      </c>
      <c r="AV103" s="2600">
        <v>1</v>
      </c>
      <c r="AW103" s="161"/>
      <c r="AX103" s="161">
        <v>0</v>
      </c>
      <c r="AY103" s="161">
        <v>2</v>
      </c>
      <c r="AZ103" s="161"/>
      <c r="BB103" s="2191"/>
      <c r="BC103" s="2191"/>
      <c r="BD103" s="2192"/>
      <c r="BE103" s="760" t="s">
        <v>15</v>
      </c>
      <c r="BF103" s="2197">
        <v>1</v>
      </c>
      <c r="BG103" s="2196"/>
      <c r="BH103" s="2197">
        <v>2</v>
      </c>
      <c r="BI103" s="2196"/>
      <c r="BJ103" s="2196"/>
      <c r="BK103" s="2196"/>
      <c r="BL103" s="2197">
        <v>1</v>
      </c>
      <c r="BM103" s="2197">
        <v>2</v>
      </c>
      <c r="BN103" s="973">
        <v>1</v>
      </c>
      <c r="BO103" s="973">
        <v>1</v>
      </c>
      <c r="BP103" s="973">
        <v>8</v>
      </c>
      <c r="BQ103" s="2154">
        <f>+BP100/BP103</f>
        <v>0.125</v>
      </c>
      <c r="BS103" s="879"/>
      <c r="BT103" s="879"/>
      <c r="BU103" s="880"/>
      <c r="BV103" s="881" t="s">
        <v>1288</v>
      </c>
      <c r="BW103" s="883">
        <v>0</v>
      </c>
      <c r="BX103" s="882"/>
      <c r="BY103" s="882"/>
      <c r="BZ103" s="883">
        <v>0</v>
      </c>
      <c r="CA103" s="882"/>
      <c r="CB103" s="883">
        <v>1</v>
      </c>
      <c r="CC103" s="882"/>
      <c r="CD103" s="883">
        <v>2</v>
      </c>
      <c r="CE103" s="884">
        <v>0</v>
      </c>
      <c r="CF103" s="879"/>
      <c r="CG103" s="884">
        <v>3</v>
      </c>
      <c r="CH103" s="161"/>
      <c r="CJ103" s="885"/>
      <c r="CK103" s="885"/>
      <c r="CL103" s="885"/>
      <c r="CM103" s="886" t="s">
        <v>1284</v>
      </c>
      <c r="CN103" s="887"/>
      <c r="CO103" s="887"/>
      <c r="CP103" s="887"/>
      <c r="CQ103" s="887"/>
      <c r="CR103" s="887"/>
      <c r="CS103" s="887"/>
      <c r="CT103" s="888">
        <v>3</v>
      </c>
      <c r="CU103" s="888">
        <v>3</v>
      </c>
      <c r="CV103" s="888">
        <v>0</v>
      </c>
      <c r="CW103" s="890">
        <v>2</v>
      </c>
      <c r="CX103" s="889"/>
      <c r="CY103" s="890">
        <v>8</v>
      </c>
      <c r="CZ103" s="891"/>
      <c r="DB103" s="892"/>
      <c r="DC103" s="892"/>
      <c r="DD103" s="892"/>
      <c r="DE103" s="902" t="s">
        <v>15</v>
      </c>
      <c r="DF103" s="903"/>
      <c r="DG103" s="903"/>
      <c r="DH103" s="903"/>
      <c r="DI103" s="903"/>
      <c r="DJ103" s="903"/>
      <c r="DK103" s="904">
        <v>1</v>
      </c>
      <c r="DL103" s="904">
        <v>10</v>
      </c>
      <c r="DM103" s="904">
        <v>2</v>
      </c>
      <c r="DN103" s="903"/>
      <c r="DO103" s="903"/>
      <c r="DP103" s="904">
        <v>13</v>
      </c>
      <c r="DQ103" s="905">
        <f>+(DP102+DP100)/DP103</f>
        <v>0.69230769230769229</v>
      </c>
      <c r="DS103" s="121"/>
      <c r="DT103" s="121"/>
      <c r="DU103" s="74"/>
      <c r="DV103" s="74" t="s">
        <v>1288</v>
      </c>
      <c r="DW103" s="121"/>
      <c r="DX103" s="121"/>
      <c r="DY103" s="121"/>
      <c r="DZ103" s="121"/>
      <c r="EA103" s="121"/>
      <c r="EB103" s="121"/>
      <c r="EC103" s="121">
        <v>3</v>
      </c>
      <c r="ED103" s="121">
        <v>0</v>
      </c>
      <c r="EE103" s="121"/>
      <c r="EF103" s="121"/>
      <c r="EG103" s="121">
        <v>3</v>
      </c>
      <c r="EH103" s="74"/>
      <c r="EI103" s="74"/>
      <c r="EJ103" s="793"/>
      <c r="EK103" s="793" t="s">
        <v>41</v>
      </c>
      <c r="EL103" s="793" t="s">
        <v>130</v>
      </c>
      <c r="EM103" s="793" t="s">
        <v>1283</v>
      </c>
      <c r="EN103" s="793">
        <v>0</v>
      </c>
      <c r="EO103" s="793">
        <v>0</v>
      </c>
      <c r="EP103" s="793">
        <v>0</v>
      </c>
      <c r="EQ103" s="793">
        <v>0</v>
      </c>
      <c r="ER103" s="793">
        <v>0</v>
      </c>
      <c r="ES103" s="793">
        <v>0</v>
      </c>
      <c r="ET103" s="793">
        <v>0</v>
      </c>
      <c r="EU103" s="793">
        <v>0</v>
      </c>
      <c r="EV103" s="793">
        <v>1</v>
      </c>
      <c r="EW103" s="793">
        <v>0</v>
      </c>
      <c r="EX103" s="793">
        <v>0</v>
      </c>
      <c r="EY103" s="794">
        <v>1</v>
      </c>
      <c r="EZ103" s="896"/>
      <c r="FA103" s="795"/>
    </row>
    <row r="104" spans="1:157">
      <c r="A104" s="73"/>
      <c r="B104" s="73"/>
      <c r="C104" s="73"/>
      <c r="D104" s="73" t="s">
        <v>1398</v>
      </c>
      <c r="E104" s="3261">
        <v>0</v>
      </c>
      <c r="F104" s="3261"/>
      <c r="G104" s="3261">
        <v>0</v>
      </c>
      <c r="H104" s="3261">
        <v>0</v>
      </c>
      <c r="I104" s="3261"/>
      <c r="J104" s="3261">
        <v>0</v>
      </c>
      <c r="K104" s="3261">
        <v>1</v>
      </c>
      <c r="L104" s="3261">
        <v>1</v>
      </c>
      <c r="M104" s="161">
        <v>0</v>
      </c>
      <c r="N104" s="161"/>
      <c r="O104" s="161">
        <v>2</v>
      </c>
      <c r="P104" s="73"/>
      <c r="R104" s="74"/>
      <c r="S104" s="74"/>
      <c r="T104" s="74"/>
      <c r="U104" s="74" t="s">
        <v>1286</v>
      </c>
      <c r="V104" s="3229">
        <v>1</v>
      </c>
      <c r="W104" s="3229">
        <v>0</v>
      </c>
      <c r="X104" s="3229">
        <v>1</v>
      </c>
      <c r="Y104" s="3229">
        <v>0</v>
      </c>
      <c r="Z104" s="3229">
        <v>0</v>
      </c>
      <c r="AA104" s="3229">
        <v>0</v>
      </c>
      <c r="AB104" s="3229">
        <v>0</v>
      </c>
      <c r="AC104" s="3229">
        <v>0</v>
      </c>
      <c r="AD104" s="3229">
        <v>0</v>
      </c>
      <c r="AE104" s="121">
        <v>0</v>
      </c>
      <c r="AF104" s="121">
        <v>0</v>
      </c>
      <c r="AG104" s="121">
        <v>2</v>
      </c>
      <c r="AJ104" s="161"/>
      <c r="AK104" s="161"/>
      <c r="AL104" s="73"/>
      <c r="AM104" s="73" t="s">
        <v>1288</v>
      </c>
      <c r="AN104" s="2600"/>
      <c r="AO104" s="2600">
        <v>0</v>
      </c>
      <c r="AP104" s="2600"/>
      <c r="AQ104" s="2600"/>
      <c r="AR104" s="2600"/>
      <c r="AS104" s="2600"/>
      <c r="AT104" s="2600"/>
      <c r="AU104" s="2600">
        <v>1</v>
      </c>
      <c r="AV104" s="2600">
        <v>1</v>
      </c>
      <c r="AW104" s="161"/>
      <c r="AX104" s="161">
        <v>0</v>
      </c>
      <c r="AY104" s="161">
        <v>2</v>
      </c>
      <c r="AZ104" s="161"/>
      <c r="BB104" s="2191"/>
      <c r="BC104" s="2191"/>
      <c r="BD104" s="2192" t="s">
        <v>122</v>
      </c>
      <c r="BE104" s="2193" t="s">
        <v>1283</v>
      </c>
      <c r="BF104" s="2195">
        <v>0</v>
      </c>
      <c r="BG104" s="2194"/>
      <c r="BH104" s="2195">
        <v>0</v>
      </c>
      <c r="BI104" s="2194"/>
      <c r="BJ104" s="2194"/>
      <c r="BK104" s="2195">
        <v>0</v>
      </c>
      <c r="BL104" s="2195">
        <v>0</v>
      </c>
      <c r="BM104" s="2195">
        <v>0</v>
      </c>
      <c r="BN104" s="964">
        <v>0</v>
      </c>
      <c r="BO104" s="964">
        <v>2</v>
      </c>
      <c r="BP104" s="964">
        <v>2</v>
      </c>
      <c r="BQ104" s="73"/>
      <c r="BS104" s="879"/>
      <c r="BT104" s="879"/>
      <c r="BU104" s="880"/>
      <c r="BV104" s="881" t="s">
        <v>1289</v>
      </c>
      <c r="BW104" s="883">
        <v>0</v>
      </c>
      <c r="BX104" s="882"/>
      <c r="BY104" s="882"/>
      <c r="BZ104" s="883">
        <v>1</v>
      </c>
      <c r="CA104" s="882"/>
      <c r="CB104" s="883">
        <v>0</v>
      </c>
      <c r="CC104" s="882"/>
      <c r="CD104" s="883">
        <v>0</v>
      </c>
      <c r="CE104" s="884">
        <v>0</v>
      </c>
      <c r="CF104" s="879"/>
      <c r="CG104" s="884">
        <v>1</v>
      </c>
      <c r="CH104" s="161"/>
      <c r="CJ104" s="885"/>
      <c r="CK104" s="885"/>
      <c r="CL104" s="885"/>
      <c r="CM104" s="886" t="s">
        <v>1288</v>
      </c>
      <c r="CN104" s="887"/>
      <c r="CO104" s="887"/>
      <c r="CP104" s="887"/>
      <c r="CQ104" s="887"/>
      <c r="CR104" s="887"/>
      <c r="CS104" s="887"/>
      <c r="CT104" s="888">
        <v>0</v>
      </c>
      <c r="CU104" s="888">
        <v>3</v>
      </c>
      <c r="CV104" s="888">
        <v>0</v>
      </c>
      <c r="CW104" s="890">
        <v>0</v>
      </c>
      <c r="CX104" s="889"/>
      <c r="CY104" s="890">
        <v>3</v>
      </c>
      <c r="CZ104" s="891"/>
      <c r="DB104" s="892"/>
      <c r="DC104" s="892"/>
      <c r="DD104" s="892" t="s">
        <v>131</v>
      </c>
      <c r="DE104" s="893" t="s">
        <v>1284</v>
      </c>
      <c r="DF104" s="894"/>
      <c r="DG104" s="894"/>
      <c r="DH104" s="894"/>
      <c r="DI104" s="894"/>
      <c r="DJ104" s="894"/>
      <c r="DK104" s="895">
        <v>1</v>
      </c>
      <c r="DL104" s="895">
        <v>0</v>
      </c>
      <c r="DM104" s="895">
        <v>0</v>
      </c>
      <c r="DN104" s="894"/>
      <c r="DO104" s="894"/>
      <c r="DP104" s="895">
        <v>1</v>
      </c>
      <c r="DQ104" s="792"/>
      <c r="DS104" s="121"/>
      <c r="DT104" s="121"/>
      <c r="DU104" s="74"/>
      <c r="DV104" s="74" t="s">
        <v>1292</v>
      </c>
      <c r="DW104" s="121"/>
      <c r="DX104" s="121"/>
      <c r="DY104" s="121"/>
      <c r="DZ104" s="121"/>
      <c r="EA104" s="121"/>
      <c r="EB104" s="121"/>
      <c r="EC104" s="121">
        <v>1</v>
      </c>
      <c r="ED104" s="121">
        <v>6</v>
      </c>
      <c r="EE104" s="121"/>
      <c r="EF104" s="121"/>
      <c r="EG104" s="121">
        <v>7</v>
      </c>
      <c r="EH104" s="74"/>
      <c r="EI104" s="74"/>
      <c r="EJ104" s="793"/>
      <c r="EK104" s="793"/>
      <c r="EL104" s="793"/>
      <c r="EM104" s="793" t="s">
        <v>1288</v>
      </c>
      <c r="EN104" s="793">
        <v>0</v>
      </c>
      <c r="EO104" s="793">
        <v>0</v>
      </c>
      <c r="EP104" s="793">
        <v>0</v>
      </c>
      <c r="EQ104" s="793">
        <v>0</v>
      </c>
      <c r="ER104" s="793">
        <v>0</v>
      </c>
      <c r="ES104" s="793">
        <v>0</v>
      </c>
      <c r="ET104" s="793">
        <v>5</v>
      </c>
      <c r="EU104" s="793">
        <v>3</v>
      </c>
      <c r="EV104" s="793">
        <v>0</v>
      </c>
      <c r="EW104" s="793">
        <v>0</v>
      </c>
      <c r="EX104" s="793">
        <v>0</v>
      </c>
      <c r="EY104" s="794">
        <v>8</v>
      </c>
      <c r="EZ104" s="896"/>
      <c r="FA104" s="795"/>
    </row>
    <row r="105" spans="1:157">
      <c r="A105" s="73"/>
      <c r="B105" s="73"/>
      <c r="C105" s="73"/>
      <c r="D105" s="738" t="s">
        <v>15</v>
      </c>
      <c r="E105" s="3262">
        <v>1</v>
      </c>
      <c r="F105" s="3262"/>
      <c r="G105" s="3262">
        <v>1</v>
      </c>
      <c r="H105" s="3262">
        <v>1</v>
      </c>
      <c r="I105" s="3262"/>
      <c r="J105" s="3262">
        <v>1</v>
      </c>
      <c r="K105" s="3262">
        <v>2</v>
      </c>
      <c r="L105" s="3262">
        <v>9</v>
      </c>
      <c r="M105" s="4674">
        <v>6</v>
      </c>
      <c r="N105" s="4674"/>
      <c r="O105" s="4674">
        <v>21</v>
      </c>
      <c r="P105" s="912">
        <f>+(O104+O101-M101)/O105</f>
        <v>0.19047619047619047</v>
      </c>
      <c r="Q105" s="3197"/>
      <c r="R105" s="74"/>
      <c r="S105" s="74"/>
      <c r="T105" s="74"/>
      <c r="U105" s="74" t="s">
        <v>1288</v>
      </c>
      <c r="V105" s="3229">
        <v>0</v>
      </c>
      <c r="W105" s="3229">
        <v>0</v>
      </c>
      <c r="X105" s="3229">
        <v>0</v>
      </c>
      <c r="Y105" s="3229">
        <v>0</v>
      </c>
      <c r="Z105" s="3229">
        <v>3</v>
      </c>
      <c r="AA105" s="3229">
        <v>2</v>
      </c>
      <c r="AB105" s="3229">
        <v>7</v>
      </c>
      <c r="AC105" s="3229">
        <v>0</v>
      </c>
      <c r="AD105" s="3229">
        <v>1</v>
      </c>
      <c r="AE105" s="121">
        <v>0</v>
      </c>
      <c r="AF105" s="121">
        <v>0</v>
      </c>
      <c r="AG105" s="121">
        <v>13</v>
      </c>
      <c r="AJ105" s="161"/>
      <c r="AK105" s="161"/>
      <c r="AL105" s="73"/>
      <c r="AM105" s="73" t="s">
        <v>1292</v>
      </c>
      <c r="AN105" s="2600"/>
      <c r="AO105" s="2600">
        <v>0</v>
      </c>
      <c r="AP105" s="2600"/>
      <c r="AQ105" s="2600"/>
      <c r="AR105" s="2600"/>
      <c r="AS105" s="2600"/>
      <c r="AT105" s="2600"/>
      <c r="AU105" s="2600">
        <v>0</v>
      </c>
      <c r="AV105" s="2600">
        <v>2</v>
      </c>
      <c r="AW105" s="161"/>
      <c r="AX105" s="161">
        <v>0</v>
      </c>
      <c r="AY105" s="161">
        <v>2</v>
      </c>
      <c r="AZ105" s="161"/>
      <c r="BB105" s="2191"/>
      <c r="BC105" s="2191"/>
      <c r="BD105" s="2192"/>
      <c r="BE105" s="2193" t="s">
        <v>1284</v>
      </c>
      <c r="BF105" s="2195">
        <v>0</v>
      </c>
      <c r="BG105" s="2194"/>
      <c r="BH105" s="2195">
        <v>2</v>
      </c>
      <c r="BI105" s="2194"/>
      <c r="BJ105" s="2194"/>
      <c r="BK105" s="2195">
        <v>1</v>
      </c>
      <c r="BL105" s="2195">
        <v>3</v>
      </c>
      <c r="BM105" s="2195">
        <v>1</v>
      </c>
      <c r="BN105" s="964">
        <v>0</v>
      </c>
      <c r="BO105" s="964">
        <v>0</v>
      </c>
      <c r="BP105" s="964">
        <v>7</v>
      </c>
      <c r="BQ105" s="73"/>
      <c r="BS105" s="879"/>
      <c r="BT105" s="879"/>
      <c r="BU105" s="880"/>
      <c r="BV105" s="881" t="s">
        <v>1292</v>
      </c>
      <c r="BW105" s="883">
        <v>0</v>
      </c>
      <c r="BX105" s="882"/>
      <c r="BY105" s="882"/>
      <c r="BZ105" s="883">
        <v>0</v>
      </c>
      <c r="CA105" s="882"/>
      <c r="CB105" s="883">
        <v>0</v>
      </c>
      <c r="CC105" s="882"/>
      <c r="CD105" s="883">
        <v>5</v>
      </c>
      <c r="CE105" s="884">
        <v>1</v>
      </c>
      <c r="CF105" s="879"/>
      <c r="CG105" s="884">
        <v>6</v>
      </c>
      <c r="CH105" s="161"/>
      <c r="CJ105" s="885"/>
      <c r="CK105" s="885"/>
      <c r="CL105" s="885"/>
      <c r="CM105" s="886" t="s">
        <v>1292</v>
      </c>
      <c r="CN105" s="887"/>
      <c r="CO105" s="887"/>
      <c r="CP105" s="887"/>
      <c r="CQ105" s="887"/>
      <c r="CR105" s="887"/>
      <c r="CS105" s="887"/>
      <c r="CT105" s="888">
        <v>0</v>
      </c>
      <c r="CU105" s="888">
        <v>0</v>
      </c>
      <c r="CV105" s="888">
        <v>7</v>
      </c>
      <c r="CW105" s="890">
        <v>0</v>
      </c>
      <c r="CX105" s="889"/>
      <c r="CY105" s="890">
        <v>7</v>
      </c>
      <c r="CZ105" s="891"/>
      <c r="DB105" s="892"/>
      <c r="DC105" s="892"/>
      <c r="DD105" s="892"/>
      <c r="DE105" s="893" t="s">
        <v>1288</v>
      </c>
      <c r="DF105" s="894"/>
      <c r="DG105" s="894"/>
      <c r="DH105" s="894"/>
      <c r="DI105" s="894"/>
      <c r="DJ105" s="894"/>
      <c r="DK105" s="895">
        <v>0</v>
      </c>
      <c r="DL105" s="895">
        <v>12</v>
      </c>
      <c r="DM105" s="895">
        <v>0</v>
      </c>
      <c r="DN105" s="894"/>
      <c r="DO105" s="894"/>
      <c r="DP105" s="895">
        <v>12</v>
      </c>
      <c r="DQ105" s="792"/>
      <c r="DS105" s="121"/>
      <c r="DT105" s="121"/>
      <c r="DU105" s="74"/>
      <c r="DV105" s="761" t="s">
        <v>15</v>
      </c>
      <c r="DW105" s="729"/>
      <c r="DX105" s="729"/>
      <c r="DY105" s="729"/>
      <c r="DZ105" s="729"/>
      <c r="EA105" s="729"/>
      <c r="EB105" s="729"/>
      <c r="EC105" s="729">
        <v>6</v>
      </c>
      <c r="ED105" s="729">
        <v>6</v>
      </c>
      <c r="EE105" s="729"/>
      <c r="EF105" s="729"/>
      <c r="EG105" s="729">
        <v>12</v>
      </c>
      <c r="EH105" s="813">
        <f>+EG103/EG105</f>
        <v>0.25</v>
      </c>
      <c r="EI105" s="74"/>
      <c r="EJ105" s="793"/>
      <c r="EK105" s="793"/>
      <c r="EL105" s="793"/>
      <c r="EM105" s="793" t="s">
        <v>1292</v>
      </c>
      <c r="EN105" s="793">
        <v>0</v>
      </c>
      <c r="EO105" s="793">
        <v>0</v>
      </c>
      <c r="EP105" s="793">
        <v>0</v>
      </c>
      <c r="EQ105" s="793">
        <v>0</v>
      </c>
      <c r="ER105" s="793">
        <v>0</v>
      </c>
      <c r="ES105" s="793">
        <v>0</v>
      </c>
      <c r="ET105" s="793">
        <v>0</v>
      </c>
      <c r="EU105" s="793">
        <v>1</v>
      </c>
      <c r="EV105" s="793">
        <v>4</v>
      </c>
      <c r="EW105" s="793">
        <v>0</v>
      </c>
      <c r="EX105" s="793">
        <v>0</v>
      </c>
      <c r="EY105" s="794">
        <v>5</v>
      </c>
      <c r="EZ105" s="896"/>
      <c r="FA105" s="795"/>
    </row>
    <row r="106" spans="1:157">
      <c r="A106" s="73"/>
      <c r="B106" s="73"/>
      <c r="C106" s="73" t="s">
        <v>122</v>
      </c>
      <c r="D106" s="73" t="s">
        <v>1284</v>
      </c>
      <c r="E106" s="3261"/>
      <c r="F106" s="3261">
        <v>1</v>
      </c>
      <c r="G106" s="3261"/>
      <c r="H106" s="3261">
        <v>1</v>
      </c>
      <c r="I106" s="3261"/>
      <c r="J106" s="3261"/>
      <c r="K106" s="3261">
        <v>1</v>
      </c>
      <c r="L106" s="3261">
        <v>0</v>
      </c>
      <c r="M106" s="161">
        <v>0</v>
      </c>
      <c r="N106" s="161">
        <v>0</v>
      </c>
      <c r="O106" s="161">
        <v>3</v>
      </c>
      <c r="P106" s="73"/>
      <c r="R106" s="74"/>
      <c r="S106" s="74"/>
      <c r="T106" s="74"/>
      <c r="U106" s="74" t="s">
        <v>1289</v>
      </c>
      <c r="V106" s="3229">
        <v>0</v>
      </c>
      <c r="W106" s="3229">
        <v>0</v>
      </c>
      <c r="X106" s="3229">
        <v>0</v>
      </c>
      <c r="Y106" s="3229">
        <v>0</v>
      </c>
      <c r="Z106" s="3229">
        <v>1</v>
      </c>
      <c r="AA106" s="3229">
        <v>1</v>
      </c>
      <c r="AB106" s="3229">
        <v>0</v>
      </c>
      <c r="AC106" s="3229">
        <v>0</v>
      </c>
      <c r="AD106" s="3229">
        <v>0</v>
      </c>
      <c r="AE106" s="121">
        <v>0</v>
      </c>
      <c r="AF106" s="121">
        <v>0</v>
      </c>
      <c r="AG106" s="121">
        <v>2</v>
      </c>
      <c r="AJ106" s="161"/>
      <c r="AK106" s="161"/>
      <c r="AL106" s="73"/>
      <c r="AM106" s="73" t="s">
        <v>1398</v>
      </c>
      <c r="AN106" s="2600"/>
      <c r="AO106" s="2600">
        <v>0</v>
      </c>
      <c r="AP106" s="2600"/>
      <c r="AQ106" s="2600"/>
      <c r="AR106" s="2600"/>
      <c r="AS106" s="2600"/>
      <c r="AT106" s="2600"/>
      <c r="AU106" s="2600">
        <v>1</v>
      </c>
      <c r="AV106" s="2600">
        <v>0</v>
      </c>
      <c r="AW106" s="161"/>
      <c r="AX106" s="161">
        <v>0</v>
      </c>
      <c r="AY106" s="161">
        <v>1</v>
      </c>
      <c r="AZ106" s="161"/>
      <c r="BB106" s="2191"/>
      <c r="BC106" s="2191"/>
      <c r="BD106" s="2192"/>
      <c r="BE106" s="2193" t="s">
        <v>1286</v>
      </c>
      <c r="BF106" s="2195">
        <v>1</v>
      </c>
      <c r="BG106" s="2194"/>
      <c r="BH106" s="2195">
        <v>0</v>
      </c>
      <c r="BI106" s="2194"/>
      <c r="BJ106" s="2194"/>
      <c r="BK106" s="2195">
        <v>0</v>
      </c>
      <c r="BL106" s="2195">
        <v>0</v>
      </c>
      <c r="BM106" s="2195">
        <v>0</v>
      </c>
      <c r="BN106" s="964">
        <v>0</v>
      </c>
      <c r="BO106" s="964">
        <v>0</v>
      </c>
      <c r="BP106" s="964">
        <v>1</v>
      </c>
      <c r="BQ106" s="73"/>
      <c r="BS106" s="879"/>
      <c r="BT106" s="879"/>
      <c r="BU106" s="880"/>
      <c r="BV106" s="881" t="s">
        <v>1398</v>
      </c>
      <c r="BW106" s="883">
        <v>0</v>
      </c>
      <c r="BX106" s="882"/>
      <c r="BY106" s="882"/>
      <c r="BZ106" s="883">
        <v>0</v>
      </c>
      <c r="CA106" s="882"/>
      <c r="CB106" s="883">
        <v>0</v>
      </c>
      <c r="CC106" s="882"/>
      <c r="CD106" s="883">
        <v>2</v>
      </c>
      <c r="CE106" s="884">
        <v>0</v>
      </c>
      <c r="CF106" s="879"/>
      <c r="CG106" s="884">
        <v>2</v>
      </c>
      <c r="CH106" s="161"/>
      <c r="CJ106" s="885"/>
      <c r="CK106" s="885"/>
      <c r="CL106" s="885"/>
      <c r="CM106" s="886" t="s">
        <v>1398</v>
      </c>
      <c r="CN106" s="887"/>
      <c r="CO106" s="887"/>
      <c r="CP106" s="887"/>
      <c r="CQ106" s="887"/>
      <c r="CR106" s="887"/>
      <c r="CS106" s="887"/>
      <c r="CT106" s="888">
        <v>0</v>
      </c>
      <c r="CU106" s="888">
        <v>1</v>
      </c>
      <c r="CV106" s="888">
        <v>0</v>
      </c>
      <c r="CW106" s="890">
        <v>0</v>
      </c>
      <c r="CX106" s="889"/>
      <c r="CY106" s="890">
        <v>1</v>
      </c>
      <c r="CZ106" s="891"/>
      <c r="DB106" s="892"/>
      <c r="DC106" s="892"/>
      <c r="DD106" s="892"/>
      <c r="DE106" s="893" t="s">
        <v>1292</v>
      </c>
      <c r="DF106" s="894"/>
      <c r="DG106" s="894"/>
      <c r="DH106" s="894"/>
      <c r="DI106" s="894"/>
      <c r="DJ106" s="894"/>
      <c r="DK106" s="895">
        <v>0</v>
      </c>
      <c r="DL106" s="895">
        <v>0</v>
      </c>
      <c r="DM106" s="895">
        <v>6</v>
      </c>
      <c r="DN106" s="894"/>
      <c r="DO106" s="894"/>
      <c r="DP106" s="895">
        <v>6</v>
      </c>
      <c r="DQ106" s="792"/>
      <c r="DS106" s="121" t="s">
        <v>48</v>
      </c>
      <c r="DT106" s="121" t="s">
        <v>16</v>
      </c>
      <c r="DU106" s="74" t="s">
        <v>135</v>
      </c>
      <c r="DV106" s="74" t="s">
        <v>1288</v>
      </c>
      <c r="DW106" s="121"/>
      <c r="DX106" s="121"/>
      <c r="DY106" s="121">
        <v>1</v>
      </c>
      <c r="DZ106" s="121">
        <v>0</v>
      </c>
      <c r="EA106" s="121"/>
      <c r="EB106" s="121"/>
      <c r="EC106" s="121"/>
      <c r="ED106" s="121"/>
      <c r="EE106" s="121"/>
      <c r="EF106" s="121"/>
      <c r="EG106" s="121">
        <v>1</v>
      </c>
      <c r="EH106" s="74"/>
      <c r="EI106" s="74"/>
      <c r="EJ106" s="793"/>
      <c r="EK106" s="793"/>
      <c r="EL106" s="793"/>
      <c r="EM106" s="793" t="s">
        <v>1398</v>
      </c>
      <c r="EN106" s="793">
        <v>0</v>
      </c>
      <c r="EO106" s="793">
        <v>0</v>
      </c>
      <c r="EP106" s="793">
        <v>0</v>
      </c>
      <c r="EQ106" s="793">
        <v>0</v>
      </c>
      <c r="ER106" s="793">
        <v>0</v>
      </c>
      <c r="ES106" s="793">
        <v>0</v>
      </c>
      <c r="ET106" s="793">
        <v>2</v>
      </c>
      <c r="EU106" s="793">
        <v>0</v>
      </c>
      <c r="EV106" s="793">
        <v>0</v>
      </c>
      <c r="EW106" s="793">
        <v>0</v>
      </c>
      <c r="EX106" s="793">
        <v>0</v>
      </c>
      <c r="EY106" s="794">
        <v>2</v>
      </c>
      <c r="EZ106" s="896"/>
      <c r="FA106" s="795"/>
    </row>
    <row r="107" spans="1:157">
      <c r="A107" s="73"/>
      <c r="B107" s="73"/>
      <c r="C107" s="73"/>
      <c r="D107" s="73" t="s">
        <v>1292</v>
      </c>
      <c r="E107" s="3261"/>
      <c r="F107" s="3261">
        <v>0</v>
      </c>
      <c r="G107" s="3261"/>
      <c r="H107" s="3261">
        <v>0</v>
      </c>
      <c r="I107" s="3261"/>
      <c r="J107" s="3261"/>
      <c r="K107" s="3261">
        <v>0</v>
      </c>
      <c r="L107" s="3261">
        <v>9</v>
      </c>
      <c r="M107" s="161">
        <v>2</v>
      </c>
      <c r="N107" s="161">
        <v>0</v>
      </c>
      <c r="O107" s="161">
        <v>11</v>
      </c>
      <c r="P107" s="73"/>
      <c r="R107" s="74"/>
      <c r="S107" s="74"/>
      <c r="T107" s="74"/>
      <c r="U107" s="74" t="s">
        <v>1292</v>
      </c>
      <c r="V107" s="3229">
        <v>0</v>
      </c>
      <c r="W107" s="3229">
        <v>0</v>
      </c>
      <c r="X107" s="3229">
        <v>0</v>
      </c>
      <c r="Y107" s="3229">
        <v>0</v>
      </c>
      <c r="Z107" s="3229">
        <v>0</v>
      </c>
      <c r="AA107" s="3229">
        <v>0</v>
      </c>
      <c r="AB107" s="3229">
        <v>0</v>
      </c>
      <c r="AC107" s="3229">
        <v>1</v>
      </c>
      <c r="AD107" s="3229">
        <v>38</v>
      </c>
      <c r="AE107" s="121">
        <v>5</v>
      </c>
      <c r="AF107" s="121">
        <v>3</v>
      </c>
      <c r="AG107" s="121">
        <v>47</v>
      </c>
      <c r="AJ107" s="161"/>
      <c r="AK107" s="161"/>
      <c r="AL107" s="73"/>
      <c r="AM107" s="738" t="s">
        <v>15</v>
      </c>
      <c r="AN107" s="2601"/>
      <c r="AO107" s="2601">
        <v>1</v>
      </c>
      <c r="AP107" s="2601"/>
      <c r="AQ107" s="2601"/>
      <c r="AR107" s="2601"/>
      <c r="AS107" s="2601"/>
      <c r="AT107" s="2601"/>
      <c r="AU107" s="2601">
        <v>3</v>
      </c>
      <c r="AV107" s="2601">
        <v>8</v>
      </c>
      <c r="AW107" s="151"/>
      <c r="AX107" s="151">
        <v>1</v>
      </c>
      <c r="AY107" s="151">
        <v>13</v>
      </c>
      <c r="AZ107" s="912">
        <f>+(AY104+AY106)/AY107</f>
        <v>0.23076923076923078</v>
      </c>
      <c r="BB107" s="2191"/>
      <c r="BC107" s="2191"/>
      <c r="BD107" s="2192"/>
      <c r="BE107" s="2193" t="s">
        <v>1288</v>
      </c>
      <c r="BF107" s="2195">
        <v>0</v>
      </c>
      <c r="BG107" s="2194"/>
      <c r="BH107" s="2195">
        <v>0</v>
      </c>
      <c r="BI107" s="2194"/>
      <c r="BJ107" s="2194"/>
      <c r="BK107" s="2195">
        <v>0</v>
      </c>
      <c r="BL107" s="2195">
        <v>1</v>
      </c>
      <c r="BM107" s="2195">
        <v>0</v>
      </c>
      <c r="BN107" s="964">
        <v>0</v>
      </c>
      <c r="BO107" s="964">
        <v>0</v>
      </c>
      <c r="BP107" s="964">
        <v>1</v>
      </c>
      <c r="BQ107" s="73"/>
      <c r="BS107" s="879"/>
      <c r="BT107" s="879"/>
      <c r="BU107" s="880"/>
      <c r="BV107" s="907" t="s">
        <v>15</v>
      </c>
      <c r="BW107" s="909">
        <v>1</v>
      </c>
      <c r="BX107" s="908"/>
      <c r="BY107" s="908"/>
      <c r="BZ107" s="909">
        <v>1</v>
      </c>
      <c r="CA107" s="908"/>
      <c r="CB107" s="909">
        <v>1</v>
      </c>
      <c r="CC107" s="908"/>
      <c r="CD107" s="909">
        <v>11</v>
      </c>
      <c r="CE107" s="911">
        <v>1</v>
      </c>
      <c r="CF107" s="910"/>
      <c r="CG107" s="911">
        <v>15</v>
      </c>
      <c r="CH107" s="912">
        <f>+(CG103+CG106)/CG107</f>
        <v>0.33333333333333331</v>
      </c>
      <c r="CJ107" s="885"/>
      <c r="CK107" s="885"/>
      <c r="CL107" s="885"/>
      <c r="CM107" s="897" t="s">
        <v>15</v>
      </c>
      <c r="CN107" s="898"/>
      <c r="CO107" s="898"/>
      <c r="CP107" s="898"/>
      <c r="CQ107" s="898"/>
      <c r="CR107" s="898"/>
      <c r="CS107" s="898"/>
      <c r="CT107" s="899">
        <v>3</v>
      </c>
      <c r="CU107" s="899">
        <v>8</v>
      </c>
      <c r="CV107" s="899">
        <v>9</v>
      </c>
      <c r="CW107" s="901">
        <v>3</v>
      </c>
      <c r="CX107" s="900"/>
      <c r="CY107" s="901">
        <v>23</v>
      </c>
      <c r="CZ107" s="891">
        <f>+(CY106+CY104)/CY107</f>
        <v>0.17391304347826086</v>
      </c>
      <c r="DB107" s="892"/>
      <c r="DC107" s="892"/>
      <c r="DD107" s="892"/>
      <c r="DE107" s="902" t="s">
        <v>15</v>
      </c>
      <c r="DF107" s="903"/>
      <c r="DG107" s="903"/>
      <c r="DH107" s="903"/>
      <c r="DI107" s="903"/>
      <c r="DJ107" s="903"/>
      <c r="DK107" s="904">
        <v>1</v>
      </c>
      <c r="DL107" s="904">
        <v>12</v>
      </c>
      <c r="DM107" s="904">
        <v>6</v>
      </c>
      <c r="DN107" s="903"/>
      <c r="DO107" s="903"/>
      <c r="DP107" s="904">
        <v>19</v>
      </c>
      <c r="DQ107" s="905">
        <f>+DP105/DP107</f>
        <v>0.63157894736842102</v>
      </c>
      <c r="DS107" s="121"/>
      <c r="DT107" s="121"/>
      <c r="DU107" s="74"/>
      <c r="DV107" s="74" t="s">
        <v>1289</v>
      </c>
      <c r="DW107" s="121"/>
      <c r="DX107" s="121"/>
      <c r="DY107" s="121">
        <v>2</v>
      </c>
      <c r="DZ107" s="121">
        <v>0</v>
      </c>
      <c r="EA107" s="121"/>
      <c r="EB107" s="121"/>
      <c r="EC107" s="121"/>
      <c r="ED107" s="121"/>
      <c r="EE107" s="121"/>
      <c r="EF107" s="121"/>
      <c r="EG107" s="121">
        <v>2</v>
      </c>
      <c r="EH107" s="74"/>
      <c r="EI107" s="74"/>
      <c r="EJ107" s="793"/>
      <c r="EK107" s="793"/>
      <c r="EL107" s="793"/>
      <c r="EM107" s="796" t="s">
        <v>15</v>
      </c>
      <c r="EN107" s="796">
        <v>0</v>
      </c>
      <c r="EO107" s="796">
        <v>0</v>
      </c>
      <c r="EP107" s="796">
        <v>0</v>
      </c>
      <c r="EQ107" s="796">
        <v>0</v>
      </c>
      <c r="ER107" s="796">
        <v>0</v>
      </c>
      <c r="ES107" s="796">
        <v>0</v>
      </c>
      <c r="ET107" s="796">
        <v>7</v>
      </c>
      <c r="EU107" s="796">
        <v>4</v>
      </c>
      <c r="EV107" s="796">
        <v>5</v>
      </c>
      <c r="EW107" s="796">
        <v>0</v>
      </c>
      <c r="EX107" s="796">
        <v>0</v>
      </c>
      <c r="EY107" s="856">
        <v>16</v>
      </c>
      <c r="EZ107" s="906">
        <f>+(EY106+EY104)/EY107</f>
        <v>0.625</v>
      </c>
      <c r="FA107" s="795">
        <f>+EY104+EY106</f>
        <v>10</v>
      </c>
    </row>
    <row r="108" spans="1:157">
      <c r="A108" s="73"/>
      <c r="B108" s="73"/>
      <c r="C108" s="73"/>
      <c r="D108" s="73" t="s">
        <v>3964</v>
      </c>
      <c r="E108" s="3261"/>
      <c r="F108" s="3261">
        <v>0</v>
      </c>
      <c r="G108" s="3261"/>
      <c r="H108" s="3261">
        <v>0</v>
      </c>
      <c r="I108" s="3261"/>
      <c r="J108" s="3261"/>
      <c r="K108" s="3261">
        <v>0</v>
      </c>
      <c r="L108" s="3261">
        <v>0</v>
      </c>
      <c r="M108" s="161">
        <v>2</v>
      </c>
      <c r="N108" s="161">
        <v>1</v>
      </c>
      <c r="O108" s="161">
        <v>3</v>
      </c>
      <c r="P108" s="73"/>
      <c r="R108" s="74"/>
      <c r="S108" s="74"/>
      <c r="T108" s="74"/>
      <c r="U108" s="74" t="s">
        <v>1293</v>
      </c>
      <c r="V108" s="3229">
        <v>0</v>
      </c>
      <c r="W108" s="3229">
        <v>0</v>
      </c>
      <c r="X108" s="3229">
        <v>0</v>
      </c>
      <c r="Y108" s="3229">
        <v>0</v>
      </c>
      <c r="Z108" s="3229">
        <v>1</v>
      </c>
      <c r="AA108" s="3229">
        <v>2</v>
      </c>
      <c r="AB108" s="3229">
        <v>13</v>
      </c>
      <c r="AC108" s="3229">
        <v>8</v>
      </c>
      <c r="AD108" s="3229">
        <v>6</v>
      </c>
      <c r="AE108" s="121">
        <v>1</v>
      </c>
      <c r="AF108" s="121">
        <v>0</v>
      </c>
      <c r="AG108" s="121">
        <v>31</v>
      </c>
      <c r="AJ108" s="161"/>
      <c r="AK108" s="161"/>
      <c r="AL108" s="73" t="s">
        <v>124</v>
      </c>
      <c r="AM108" s="73" t="s">
        <v>1284</v>
      </c>
      <c r="AN108" s="2600"/>
      <c r="AO108" s="2600">
        <v>1</v>
      </c>
      <c r="AP108" s="2600"/>
      <c r="AQ108" s="2600"/>
      <c r="AR108" s="2600"/>
      <c r="AS108" s="2600"/>
      <c r="AT108" s="2600"/>
      <c r="AU108" s="2600">
        <v>0</v>
      </c>
      <c r="AV108" s="2600">
        <v>0</v>
      </c>
      <c r="AW108" s="161"/>
      <c r="AX108" s="161"/>
      <c r="AY108" s="161">
        <v>1</v>
      </c>
      <c r="AZ108" s="161"/>
      <c r="BB108" s="2191"/>
      <c r="BC108" s="2191"/>
      <c r="BD108" s="2192"/>
      <c r="BE108" s="2193" t="s">
        <v>1292</v>
      </c>
      <c r="BF108" s="2195">
        <v>0</v>
      </c>
      <c r="BG108" s="2194"/>
      <c r="BH108" s="2195">
        <v>0</v>
      </c>
      <c r="BI108" s="2194"/>
      <c r="BJ108" s="2194"/>
      <c r="BK108" s="2195">
        <v>0</v>
      </c>
      <c r="BL108" s="2195">
        <v>0</v>
      </c>
      <c r="BM108" s="2195">
        <v>13</v>
      </c>
      <c r="BN108" s="964">
        <v>1</v>
      </c>
      <c r="BO108" s="964">
        <v>0</v>
      </c>
      <c r="BP108" s="964">
        <v>14</v>
      </c>
      <c r="BQ108" s="73"/>
      <c r="BS108" s="879"/>
      <c r="BT108" s="879"/>
      <c r="BU108" s="880" t="s">
        <v>424</v>
      </c>
      <c r="BV108" s="881" t="s">
        <v>1283</v>
      </c>
      <c r="BW108" s="883">
        <v>0</v>
      </c>
      <c r="BX108" s="883">
        <v>0</v>
      </c>
      <c r="BY108" s="882"/>
      <c r="BZ108" s="882"/>
      <c r="CA108" s="882"/>
      <c r="CB108" s="883">
        <v>0</v>
      </c>
      <c r="CC108" s="883">
        <v>1</v>
      </c>
      <c r="CD108" s="883">
        <v>1</v>
      </c>
      <c r="CE108" s="884">
        <v>2</v>
      </c>
      <c r="CF108" s="884">
        <v>1</v>
      </c>
      <c r="CG108" s="884">
        <v>5</v>
      </c>
      <c r="CH108" s="161"/>
      <c r="CJ108" s="885"/>
      <c r="CK108" s="885"/>
      <c r="CL108" s="897" t="s">
        <v>572</v>
      </c>
      <c r="CM108" s="886" t="s">
        <v>1283</v>
      </c>
      <c r="CN108" s="888">
        <v>0</v>
      </c>
      <c r="CO108" s="888">
        <v>0</v>
      </c>
      <c r="CP108" s="888">
        <v>0</v>
      </c>
      <c r="CQ108" s="888">
        <v>0</v>
      </c>
      <c r="CR108" s="887"/>
      <c r="CS108" s="888">
        <v>0</v>
      </c>
      <c r="CT108" s="888">
        <v>0</v>
      </c>
      <c r="CU108" s="888">
        <v>1</v>
      </c>
      <c r="CV108" s="888">
        <v>14</v>
      </c>
      <c r="CW108" s="890">
        <v>1</v>
      </c>
      <c r="CX108" s="890">
        <v>7</v>
      </c>
      <c r="CY108" s="890">
        <v>23</v>
      </c>
      <c r="CZ108" s="891"/>
      <c r="DB108" s="892"/>
      <c r="DC108" s="892"/>
      <c r="DD108" s="892" t="s">
        <v>132</v>
      </c>
      <c r="DE108" s="893" t="s">
        <v>1283</v>
      </c>
      <c r="DF108" s="894"/>
      <c r="DG108" s="894"/>
      <c r="DH108" s="894"/>
      <c r="DI108" s="894"/>
      <c r="DJ108" s="894"/>
      <c r="DK108" s="894"/>
      <c r="DL108" s="895">
        <v>0</v>
      </c>
      <c r="DM108" s="895">
        <v>1</v>
      </c>
      <c r="DN108" s="894"/>
      <c r="DO108" s="894"/>
      <c r="DP108" s="895">
        <v>1</v>
      </c>
      <c r="DQ108" s="792"/>
      <c r="DS108" s="121"/>
      <c r="DT108" s="121"/>
      <c r="DU108" s="74"/>
      <c r="DV108" s="74" t="s">
        <v>1293</v>
      </c>
      <c r="DW108" s="121"/>
      <c r="DX108" s="121"/>
      <c r="DY108" s="121">
        <v>2</v>
      </c>
      <c r="DZ108" s="121">
        <v>1</v>
      </c>
      <c r="EA108" s="121"/>
      <c r="EB108" s="121"/>
      <c r="EC108" s="121"/>
      <c r="ED108" s="121"/>
      <c r="EE108" s="121"/>
      <c r="EF108" s="121"/>
      <c r="EG108" s="121">
        <v>3</v>
      </c>
      <c r="EH108" s="74"/>
      <c r="EI108" s="74"/>
      <c r="EJ108" s="793"/>
      <c r="EK108" s="793"/>
      <c r="EL108" s="793" t="s">
        <v>131</v>
      </c>
      <c r="EM108" s="793" t="s">
        <v>1283</v>
      </c>
      <c r="EN108" s="793">
        <v>0</v>
      </c>
      <c r="EO108" s="793">
        <v>0</v>
      </c>
      <c r="EP108" s="793">
        <v>0</v>
      </c>
      <c r="EQ108" s="793">
        <v>0</v>
      </c>
      <c r="ER108" s="793">
        <v>0</v>
      </c>
      <c r="ES108" s="793">
        <v>0</v>
      </c>
      <c r="ET108" s="793">
        <v>0</v>
      </c>
      <c r="EU108" s="793">
        <v>0</v>
      </c>
      <c r="EV108" s="793">
        <v>1</v>
      </c>
      <c r="EW108" s="793">
        <v>0</v>
      </c>
      <c r="EX108" s="793">
        <v>0</v>
      </c>
      <c r="EY108" s="794">
        <v>1</v>
      </c>
      <c r="EZ108" s="896"/>
      <c r="FA108" s="795"/>
    </row>
    <row r="109" spans="1:157">
      <c r="A109" s="73"/>
      <c r="B109" s="73"/>
      <c r="C109" s="73"/>
      <c r="D109" s="738" t="s">
        <v>15</v>
      </c>
      <c r="E109" s="3262"/>
      <c r="F109" s="3262">
        <v>1</v>
      </c>
      <c r="G109" s="3262"/>
      <c r="H109" s="3262">
        <v>1</v>
      </c>
      <c r="I109" s="3262"/>
      <c r="J109" s="3262"/>
      <c r="K109" s="3262">
        <v>1</v>
      </c>
      <c r="L109" s="3262">
        <v>9</v>
      </c>
      <c r="M109" s="4674">
        <v>4</v>
      </c>
      <c r="N109" s="4674">
        <v>1</v>
      </c>
      <c r="O109" s="4674">
        <v>17</v>
      </c>
      <c r="P109" s="912">
        <v>0</v>
      </c>
      <c r="Q109" s="3197"/>
      <c r="R109" s="74"/>
      <c r="S109" s="74"/>
      <c r="T109" s="74"/>
      <c r="U109" s="74" t="s">
        <v>1398</v>
      </c>
      <c r="V109" s="3229">
        <v>0</v>
      </c>
      <c r="W109" s="3229">
        <v>0</v>
      </c>
      <c r="X109" s="3229">
        <v>0</v>
      </c>
      <c r="Y109" s="3229">
        <v>0</v>
      </c>
      <c r="Z109" s="3229">
        <v>0</v>
      </c>
      <c r="AA109" s="3229">
        <v>3</v>
      </c>
      <c r="AB109" s="3229">
        <v>0</v>
      </c>
      <c r="AC109" s="3229">
        <v>2</v>
      </c>
      <c r="AD109" s="3229">
        <v>0</v>
      </c>
      <c r="AE109" s="121">
        <v>0</v>
      </c>
      <c r="AF109" s="121">
        <v>0</v>
      </c>
      <c r="AG109" s="121">
        <v>5</v>
      </c>
      <c r="AJ109" s="161"/>
      <c r="AK109" s="161"/>
      <c r="AL109" s="73"/>
      <c r="AM109" s="73" t="s">
        <v>1288</v>
      </c>
      <c r="AN109" s="2600"/>
      <c r="AO109" s="2600">
        <v>0</v>
      </c>
      <c r="AP109" s="2600"/>
      <c r="AQ109" s="2600"/>
      <c r="AR109" s="2600"/>
      <c r="AS109" s="2600"/>
      <c r="AT109" s="2600"/>
      <c r="AU109" s="2600">
        <v>4</v>
      </c>
      <c r="AV109" s="2600">
        <v>0</v>
      </c>
      <c r="AW109" s="161"/>
      <c r="AX109" s="161"/>
      <c r="AY109" s="161">
        <v>4</v>
      </c>
      <c r="AZ109" s="161"/>
      <c r="BB109" s="2191"/>
      <c r="BC109" s="2191"/>
      <c r="BD109" s="2192"/>
      <c r="BE109" s="760" t="s">
        <v>15</v>
      </c>
      <c r="BF109" s="2197">
        <v>1</v>
      </c>
      <c r="BG109" s="2196"/>
      <c r="BH109" s="2197">
        <v>2</v>
      </c>
      <c r="BI109" s="2196"/>
      <c r="BJ109" s="2196"/>
      <c r="BK109" s="2197">
        <v>1</v>
      </c>
      <c r="BL109" s="2197">
        <v>4</v>
      </c>
      <c r="BM109" s="2197">
        <v>14</v>
      </c>
      <c r="BN109" s="973">
        <v>1</v>
      </c>
      <c r="BO109" s="973">
        <v>2</v>
      </c>
      <c r="BP109" s="973">
        <v>25</v>
      </c>
      <c r="BQ109" s="2154">
        <f>+BP107/BP109</f>
        <v>0.04</v>
      </c>
      <c r="BS109" s="879"/>
      <c r="BT109" s="879"/>
      <c r="BU109" s="880"/>
      <c r="BV109" s="881" t="s">
        <v>1284</v>
      </c>
      <c r="BW109" s="883">
        <v>0</v>
      </c>
      <c r="BX109" s="883">
        <v>0</v>
      </c>
      <c r="BY109" s="882"/>
      <c r="BZ109" s="882"/>
      <c r="CA109" s="882"/>
      <c r="CB109" s="883">
        <v>2</v>
      </c>
      <c r="CC109" s="883">
        <v>0</v>
      </c>
      <c r="CD109" s="883">
        <v>0</v>
      </c>
      <c r="CE109" s="884">
        <v>4</v>
      </c>
      <c r="CF109" s="884">
        <v>0</v>
      </c>
      <c r="CG109" s="884">
        <v>6</v>
      </c>
      <c r="CH109" s="161"/>
      <c r="CJ109" s="885"/>
      <c r="CK109" s="885"/>
      <c r="CL109" s="885"/>
      <c r="CM109" s="886" t="s">
        <v>1284</v>
      </c>
      <c r="CN109" s="888">
        <v>1</v>
      </c>
      <c r="CO109" s="888">
        <v>3</v>
      </c>
      <c r="CP109" s="888">
        <v>2</v>
      </c>
      <c r="CQ109" s="888">
        <v>1</v>
      </c>
      <c r="CR109" s="887"/>
      <c r="CS109" s="888">
        <v>0</v>
      </c>
      <c r="CT109" s="888">
        <v>4</v>
      </c>
      <c r="CU109" s="888">
        <v>6</v>
      </c>
      <c r="CV109" s="888">
        <v>3</v>
      </c>
      <c r="CW109" s="890">
        <v>2</v>
      </c>
      <c r="CX109" s="890">
        <v>0</v>
      </c>
      <c r="CY109" s="890">
        <v>22</v>
      </c>
      <c r="CZ109" s="891"/>
      <c r="DB109" s="892"/>
      <c r="DC109" s="892"/>
      <c r="DD109" s="892"/>
      <c r="DE109" s="893" t="s">
        <v>1284</v>
      </c>
      <c r="DF109" s="894"/>
      <c r="DG109" s="894"/>
      <c r="DH109" s="894"/>
      <c r="DI109" s="894"/>
      <c r="DJ109" s="894"/>
      <c r="DK109" s="894"/>
      <c r="DL109" s="895">
        <v>1</v>
      </c>
      <c r="DM109" s="895">
        <v>0</v>
      </c>
      <c r="DN109" s="894"/>
      <c r="DO109" s="894"/>
      <c r="DP109" s="895">
        <v>1</v>
      </c>
      <c r="DQ109" s="792"/>
      <c r="DS109" s="121"/>
      <c r="DT109" s="121"/>
      <c r="DU109" s="74"/>
      <c r="DV109" s="74" t="s">
        <v>1398</v>
      </c>
      <c r="DW109" s="121"/>
      <c r="DX109" s="121"/>
      <c r="DY109" s="121">
        <v>9</v>
      </c>
      <c r="DZ109" s="121">
        <v>1</v>
      </c>
      <c r="EA109" s="121"/>
      <c r="EB109" s="121"/>
      <c r="EC109" s="121"/>
      <c r="ED109" s="121"/>
      <c r="EE109" s="121"/>
      <c r="EF109" s="121"/>
      <c r="EG109" s="121">
        <v>10</v>
      </c>
      <c r="EH109" s="74"/>
      <c r="EI109" s="74"/>
      <c r="EJ109" s="793"/>
      <c r="EK109" s="793"/>
      <c r="EL109" s="793"/>
      <c r="EM109" s="793" t="s">
        <v>1288</v>
      </c>
      <c r="EN109" s="793">
        <v>0</v>
      </c>
      <c r="EO109" s="793">
        <v>0</v>
      </c>
      <c r="EP109" s="793">
        <v>0</v>
      </c>
      <c r="EQ109" s="793">
        <v>0</v>
      </c>
      <c r="ER109" s="793">
        <v>0</v>
      </c>
      <c r="ES109" s="793">
        <v>0</v>
      </c>
      <c r="ET109" s="793">
        <v>1</v>
      </c>
      <c r="EU109" s="793">
        <v>1</v>
      </c>
      <c r="EV109" s="793">
        <v>0</v>
      </c>
      <c r="EW109" s="793">
        <v>0</v>
      </c>
      <c r="EX109" s="793">
        <v>0</v>
      </c>
      <c r="EY109" s="794">
        <v>2</v>
      </c>
      <c r="EZ109" s="896"/>
      <c r="FA109" s="795"/>
    </row>
    <row r="110" spans="1:157">
      <c r="A110" s="73"/>
      <c r="B110" s="73"/>
      <c r="C110" s="73" t="s">
        <v>123</v>
      </c>
      <c r="D110" s="73" t="s">
        <v>1283</v>
      </c>
      <c r="E110" s="3261"/>
      <c r="F110" s="3261"/>
      <c r="G110" s="3261"/>
      <c r="H110" s="3261"/>
      <c r="I110" s="3261"/>
      <c r="J110" s="3261">
        <v>0</v>
      </c>
      <c r="K110" s="3261">
        <v>0</v>
      </c>
      <c r="L110" s="3261">
        <v>1</v>
      </c>
      <c r="M110" s="161"/>
      <c r="N110" s="161"/>
      <c r="O110" s="161">
        <v>1</v>
      </c>
      <c r="P110" s="73"/>
      <c r="R110" s="74"/>
      <c r="S110" s="74"/>
      <c r="T110" s="74"/>
      <c r="U110" s="761" t="s">
        <v>107</v>
      </c>
      <c r="V110" s="3230">
        <v>3</v>
      </c>
      <c r="W110" s="3230">
        <v>9</v>
      </c>
      <c r="X110" s="3230">
        <v>3</v>
      </c>
      <c r="Y110" s="3230">
        <v>2</v>
      </c>
      <c r="Z110" s="3230">
        <v>10</v>
      </c>
      <c r="AA110" s="3230">
        <v>15</v>
      </c>
      <c r="AB110" s="3230">
        <v>43</v>
      </c>
      <c r="AC110" s="3230">
        <v>34</v>
      </c>
      <c r="AD110" s="3230">
        <v>53</v>
      </c>
      <c r="AE110" s="729">
        <v>6</v>
      </c>
      <c r="AF110" s="729">
        <v>4</v>
      </c>
      <c r="AG110" s="729">
        <v>182</v>
      </c>
      <c r="AH110" s="4681">
        <f>+(AG105+AG108-AE108+AG109)/AG110</f>
        <v>0.26373626373626374</v>
      </c>
      <c r="AJ110" s="161"/>
      <c r="AK110" s="161"/>
      <c r="AL110" s="73"/>
      <c r="AM110" s="73" t="s">
        <v>1292</v>
      </c>
      <c r="AN110" s="2600"/>
      <c r="AO110" s="2600">
        <v>0</v>
      </c>
      <c r="AP110" s="2600"/>
      <c r="AQ110" s="2600"/>
      <c r="AR110" s="2600"/>
      <c r="AS110" s="2600"/>
      <c r="AT110" s="2600"/>
      <c r="AU110" s="2600">
        <v>0</v>
      </c>
      <c r="AV110" s="2600">
        <v>4</v>
      </c>
      <c r="AW110" s="161"/>
      <c r="AX110" s="161"/>
      <c r="AY110" s="161">
        <v>4</v>
      </c>
      <c r="AZ110" s="161"/>
      <c r="BB110" s="2191"/>
      <c r="BC110" s="2191"/>
      <c r="BD110" s="2192" t="s">
        <v>123</v>
      </c>
      <c r="BE110" s="2193" t="s">
        <v>1283</v>
      </c>
      <c r="BF110" s="2195">
        <v>0</v>
      </c>
      <c r="BG110" s="2195">
        <v>0</v>
      </c>
      <c r="BH110" s="2194"/>
      <c r="BI110" s="2194"/>
      <c r="BJ110" s="2194"/>
      <c r="BK110" s="2195">
        <v>0</v>
      </c>
      <c r="BL110" s="2195">
        <v>0</v>
      </c>
      <c r="BM110" s="2195">
        <v>1</v>
      </c>
      <c r="BN110" s="964">
        <v>1</v>
      </c>
      <c r="BO110" s="964">
        <v>8</v>
      </c>
      <c r="BP110" s="964">
        <v>10</v>
      </c>
      <c r="BQ110" s="73"/>
      <c r="BS110" s="879"/>
      <c r="BT110" s="879"/>
      <c r="BU110" s="880"/>
      <c r="BV110" s="881" t="s">
        <v>1286</v>
      </c>
      <c r="BW110" s="883">
        <v>1</v>
      </c>
      <c r="BX110" s="883">
        <v>1</v>
      </c>
      <c r="BY110" s="882"/>
      <c r="BZ110" s="882"/>
      <c r="CA110" s="882"/>
      <c r="CB110" s="883">
        <v>0</v>
      </c>
      <c r="CC110" s="883">
        <v>0</v>
      </c>
      <c r="CD110" s="883">
        <v>0</v>
      </c>
      <c r="CE110" s="884">
        <v>0</v>
      </c>
      <c r="CF110" s="884">
        <v>0</v>
      </c>
      <c r="CG110" s="884">
        <v>2</v>
      </c>
      <c r="CH110" s="161"/>
      <c r="CJ110" s="885"/>
      <c r="CK110" s="885"/>
      <c r="CL110" s="885"/>
      <c r="CM110" s="886" t="s">
        <v>1286</v>
      </c>
      <c r="CN110" s="888">
        <v>0</v>
      </c>
      <c r="CO110" s="888">
        <v>0</v>
      </c>
      <c r="CP110" s="888">
        <v>1</v>
      </c>
      <c r="CQ110" s="888">
        <v>1</v>
      </c>
      <c r="CR110" s="887"/>
      <c r="CS110" s="888">
        <v>0</v>
      </c>
      <c r="CT110" s="888">
        <v>0</v>
      </c>
      <c r="CU110" s="888">
        <v>0</v>
      </c>
      <c r="CV110" s="888">
        <v>0</v>
      </c>
      <c r="CW110" s="890">
        <v>0</v>
      </c>
      <c r="CX110" s="890">
        <v>0</v>
      </c>
      <c r="CY110" s="890">
        <v>2</v>
      </c>
      <c r="CZ110" s="891"/>
      <c r="DB110" s="892"/>
      <c r="DC110" s="892"/>
      <c r="DD110" s="892"/>
      <c r="DE110" s="893" t="s">
        <v>1292</v>
      </c>
      <c r="DF110" s="894"/>
      <c r="DG110" s="894"/>
      <c r="DH110" s="894"/>
      <c r="DI110" s="894"/>
      <c r="DJ110" s="894"/>
      <c r="DK110" s="894"/>
      <c r="DL110" s="895">
        <v>0</v>
      </c>
      <c r="DM110" s="895">
        <v>10</v>
      </c>
      <c r="DN110" s="894"/>
      <c r="DO110" s="894"/>
      <c r="DP110" s="895">
        <v>10</v>
      </c>
      <c r="DQ110" s="792"/>
      <c r="DS110" s="121"/>
      <c r="DT110" s="121"/>
      <c r="DU110" s="74"/>
      <c r="DV110" s="761" t="s">
        <v>15</v>
      </c>
      <c r="DW110" s="729"/>
      <c r="DX110" s="729"/>
      <c r="DY110" s="729">
        <v>14</v>
      </c>
      <c r="DZ110" s="729">
        <v>2</v>
      </c>
      <c r="EA110" s="729"/>
      <c r="EB110" s="729"/>
      <c r="EC110" s="729"/>
      <c r="ED110" s="729"/>
      <c r="EE110" s="729"/>
      <c r="EF110" s="729"/>
      <c r="EG110" s="729">
        <v>16</v>
      </c>
      <c r="EH110" s="813">
        <f>+(EG106+EG108+EG109)/EG110</f>
        <v>0.875</v>
      </c>
      <c r="EI110" s="74"/>
      <c r="EJ110" s="793"/>
      <c r="EK110" s="793"/>
      <c r="EL110" s="793"/>
      <c r="EM110" s="793" t="s">
        <v>1292</v>
      </c>
      <c r="EN110" s="793">
        <v>0</v>
      </c>
      <c r="EO110" s="793">
        <v>0</v>
      </c>
      <c r="EP110" s="793">
        <v>0</v>
      </c>
      <c r="EQ110" s="793">
        <v>0</v>
      </c>
      <c r="ER110" s="793">
        <v>0</v>
      </c>
      <c r="ES110" s="793">
        <v>0</v>
      </c>
      <c r="ET110" s="793">
        <v>0</v>
      </c>
      <c r="EU110" s="793">
        <v>0</v>
      </c>
      <c r="EV110" s="793">
        <v>11</v>
      </c>
      <c r="EW110" s="793">
        <v>0</v>
      </c>
      <c r="EX110" s="793">
        <v>0</v>
      </c>
      <c r="EY110" s="794">
        <v>11</v>
      </c>
      <c r="EZ110" s="896"/>
      <c r="FA110" s="795"/>
    </row>
    <row r="111" spans="1:157">
      <c r="A111" s="73"/>
      <c r="B111" s="73"/>
      <c r="C111" s="73"/>
      <c r="D111" s="73" t="s">
        <v>1284</v>
      </c>
      <c r="E111" s="3261"/>
      <c r="F111" s="3261"/>
      <c r="G111" s="3261"/>
      <c r="H111" s="3261"/>
      <c r="I111" s="3261"/>
      <c r="J111" s="3261">
        <v>1</v>
      </c>
      <c r="K111" s="3261">
        <v>0</v>
      </c>
      <c r="L111" s="3261">
        <v>0</v>
      </c>
      <c r="M111" s="161"/>
      <c r="N111" s="161"/>
      <c r="O111" s="161">
        <v>1</v>
      </c>
      <c r="P111" s="73"/>
      <c r="R111" s="74" t="s">
        <v>25</v>
      </c>
      <c r="S111" s="74" t="s">
        <v>4</v>
      </c>
      <c r="T111" s="74" t="s">
        <v>121</v>
      </c>
      <c r="U111" s="74" t="s">
        <v>1283</v>
      </c>
      <c r="V111" s="3229"/>
      <c r="W111" s="3229"/>
      <c r="X111" s="3229"/>
      <c r="Y111" s="3229">
        <v>0</v>
      </c>
      <c r="Z111" s="3229">
        <v>0</v>
      </c>
      <c r="AA111" s="3229"/>
      <c r="AB111" s="3229"/>
      <c r="AC111" s="3229">
        <v>0</v>
      </c>
      <c r="AD111" s="3229">
        <v>1</v>
      </c>
      <c r="AE111" s="121">
        <v>1</v>
      </c>
      <c r="AF111" s="121">
        <v>1</v>
      </c>
      <c r="AG111" s="121">
        <v>3</v>
      </c>
      <c r="AJ111" s="161"/>
      <c r="AK111" s="161"/>
      <c r="AL111" s="73"/>
      <c r="AM111" s="738" t="s">
        <v>15</v>
      </c>
      <c r="AN111" s="2601"/>
      <c r="AO111" s="2601">
        <v>1</v>
      </c>
      <c r="AP111" s="2601"/>
      <c r="AQ111" s="2601"/>
      <c r="AR111" s="2601"/>
      <c r="AS111" s="2601"/>
      <c r="AT111" s="2601"/>
      <c r="AU111" s="2601">
        <v>4</v>
      </c>
      <c r="AV111" s="2601">
        <v>4</v>
      </c>
      <c r="AW111" s="151"/>
      <c r="AX111" s="151"/>
      <c r="AY111" s="151">
        <v>9</v>
      </c>
      <c r="AZ111" s="912">
        <f>+AY109/AY111</f>
        <v>0.44444444444444442</v>
      </c>
      <c r="BB111" s="2191"/>
      <c r="BC111" s="2191"/>
      <c r="BD111" s="2192"/>
      <c r="BE111" s="2193" t="s">
        <v>1284</v>
      </c>
      <c r="BF111" s="2195">
        <v>1</v>
      </c>
      <c r="BG111" s="2195">
        <v>0</v>
      </c>
      <c r="BH111" s="2194"/>
      <c r="BI111" s="2194"/>
      <c r="BJ111" s="2194"/>
      <c r="BK111" s="2195">
        <v>0</v>
      </c>
      <c r="BL111" s="2195">
        <v>0</v>
      </c>
      <c r="BM111" s="2195">
        <v>0</v>
      </c>
      <c r="BN111" s="964">
        <v>0</v>
      </c>
      <c r="BO111" s="964">
        <v>0</v>
      </c>
      <c r="BP111" s="964">
        <v>1</v>
      </c>
      <c r="BQ111" s="73"/>
      <c r="BS111" s="879"/>
      <c r="BT111" s="879"/>
      <c r="BU111" s="880"/>
      <c r="BV111" s="881" t="s">
        <v>1288</v>
      </c>
      <c r="BW111" s="883">
        <v>0</v>
      </c>
      <c r="BX111" s="883">
        <v>0</v>
      </c>
      <c r="BY111" s="882"/>
      <c r="BZ111" s="882"/>
      <c r="CA111" s="882"/>
      <c r="CB111" s="883">
        <v>0</v>
      </c>
      <c r="CC111" s="883">
        <v>1</v>
      </c>
      <c r="CD111" s="883">
        <v>0</v>
      </c>
      <c r="CE111" s="884">
        <v>0</v>
      </c>
      <c r="CF111" s="884">
        <v>0</v>
      </c>
      <c r="CG111" s="884">
        <v>1</v>
      </c>
      <c r="CH111" s="161"/>
      <c r="CJ111" s="885"/>
      <c r="CK111" s="885"/>
      <c r="CL111" s="885"/>
      <c r="CM111" s="886" t="s">
        <v>1288</v>
      </c>
      <c r="CN111" s="888">
        <v>0</v>
      </c>
      <c r="CO111" s="888">
        <v>0</v>
      </c>
      <c r="CP111" s="888">
        <v>0</v>
      </c>
      <c r="CQ111" s="888">
        <v>0</v>
      </c>
      <c r="CR111" s="887"/>
      <c r="CS111" s="888">
        <v>0</v>
      </c>
      <c r="CT111" s="888">
        <v>1</v>
      </c>
      <c r="CU111" s="888">
        <v>15</v>
      </c>
      <c r="CV111" s="888">
        <v>2</v>
      </c>
      <c r="CW111" s="890">
        <v>2</v>
      </c>
      <c r="CX111" s="890">
        <v>0</v>
      </c>
      <c r="CY111" s="890">
        <v>20</v>
      </c>
      <c r="CZ111" s="891"/>
      <c r="DB111" s="892"/>
      <c r="DC111" s="892"/>
      <c r="DD111" s="892"/>
      <c r="DE111" s="902" t="s">
        <v>15</v>
      </c>
      <c r="DF111" s="903"/>
      <c r="DG111" s="903"/>
      <c r="DH111" s="903"/>
      <c r="DI111" s="903"/>
      <c r="DJ111" s="903"/>
      <c r="DK111" s="903"/>
      <c r="DL111" s="904">
        <v>1</v>
      </c>
      <c r="DM111" s="904">
        <v>11</v>
      </c>
      <c r="DN111" s="903"/>
      <c r="DO111" s="903"/>
      <c r="DP111" s="904">
        <v>12</v>
      </c>
      <c r="DQ111" s="905">
        <v>0</v>
      </c>
      <c r="DS111" s="121"/>
      <c r="DT111" s="121" t="s">
        <v>41</v>
      </c>
      <c r="DU111" s="74" t="s">
        <v>139</v>
      </c>
      <c r="DV111" s="74" t="s">
        <v>1284</v>
      </c>
      <c r="DW111" s="121"/>
      <c r="DX111" s="121"/>
      <c r="DY111" s="121"/>
      <c r="DZ111" s="121"/>
      <c r="EA111" s="121"/>
      <c r="EB111" s="121">
        <v>9</v>
      </c>
      <c r="EC111" s="121">
        <v>1</v>
      </c>
      <c r="ED111" s="121">
        <v>0</v>
      </c>
      <c r="EE111" s="121"/>
      <c r="EF111" s="121"/>
      <c r="EG111" s="121">
        <v>10</v>
      </c>
      <c r="EH111" s="74"/>
      <c r="EI111" s="74"/>
      <c r="EJ111" s="793"/>
      <c r="EK111" s="793"/>
      <c r="EL111" s="793"/>
      <c r="EM111" s="796" t="s">
        <v>15</v>
      </c>
      <c r="EN111" s="796">
        <v>0</v>
      </c>
      <c r="EO111" s="796">
        <v>0</v>
      </c>
      <c r="EP111" s="796">
        <v>0</v>
      </c>
      <c r="EQ111" s="796">
        <v>0</v>
      </c>
      <c r="ER111" s="796">
        <v>0</v>
      </c>
      <c r="ES111" s="796">
        <v>0</v>
      </c>
      <c r="ET111" s="796">
        <v>1</v>
      </c>
      <c r="EU111" s="796">
        <v>1</v>
      </c>
      <c r="EV111" s="796">
        <v>12</v>
      </c>
      <c r="EW111" s="796">
        <v>0</v>
      </c>
      <c r="EX111" s="796">
        <v>0</v>
      </c>
      <c r="EY111" s="856">
        <v>14</v>
      </c>
      <c r="EZ111" s="906">
        <f>+EY109/EY111</f>
        <v>0.14285714285714285</v>
      </c>
      <c r="FA111" s="795">
        <f>+EY109</f>
        <v>2</v>
      </c>
    </row>
    <row r="112" spans="1:157">
      <c r="A112" s="73"/>
      <c r="B112" s="73"/>
      <c r="C112" s="73"/>
      <c r="D112" s="73" t="s">
        <v>1288</v>
      </c>
      <c r="E112" s="3261"/>
      <c r="F112" s="3261"/>
      <c r="G112" s="3261"/>
      <c r="H112" s="3261"/>
      <c r="I112" s="3261"/>
      <c r="J112" s="3261">
        <v>1</v>
      </c>
      <c r="K112" s="3261">
        <v>2</v>
      </c>
      <c r="L112" s="3261">
        <v>1</v>
      </c>
      <c r="M112" s="161"/>
      <c r="N112" s="161"/>
      <c r="O112" s="161">
        <v>4</v>
      </c>
      <c r="P112" s="73"/>
      <c r="R112" s="74"/>
      <c r="S112" s="74"/>
      <c r="T112" s="74"/>
      <c r="U112" s="74" t="s">
        <v>1284</v>
      </c>
      <c r="V112" s="3229"/>
      <c r="W112" s="3229"/>
      <c r="X112" s="3229"/>
      <c r="Y112" s="3229">
        <v>0</v>
      </c>
      <c r="Z112" s="3229">
        <v>1</v>
      </c>
      <c r="AA112" s="3229"/>
      <c r="AB112" s="3229"/>
      <c r="AC112" s="3229">
        <v>0</v>
      </c>
      <c r="AD112" s="3229">
        <v>1</v>
      </c>
      <c r="AE112" s="121">
        <v>1</v>
      </c>
      <c r="AF112" s="121">
        <v>0</v>
      </c>
      <c r="AG112" s="121">
        <v>3</v>
      </c>
      <c r="AJ112" s="161"/>
      <c r="AK112" s="161"/>
      <c r="AL112" s="73" t="s">
        <v>125</v>
      </c>
      <c r="AM112" s="73" t="s">
        <v>1284</v>
      </c>
      <c r="AN112" s="2600"/>
      <c r="AO112" s="2600"/>
      <c r="AP112" s="2600"/>
      <c r="AQ112" s="2600"/>
      <c r="AR112" s="2600"/>
      <c r="AS112" s="2600"/>
      <c r="AT112" s="2600">
        <v>0</v>
      </c>
      <c r="AU112" s="2600">
        <v>2</v>
      </c>
      <c r="AV112" s="2600">
        <v>0</v>
      </c>
      <c r="AW112" s="161"/>
      <c r="AX112" s="161">
        <v>0</v>
      </c>
      <c r="AY112" s="161">
        <v>2</v>
      </c>
      <c r="AZ112" s="161"/>
      <c r="BB112" s="2191"/>
      <c r="BC112" s="2191"/>
      <c r="BD112" s="2192"/>
      <c r="BE112" s="2193" t="s">
        <v>1288</v>
      </c>
      <c r="BF112" s="2195">
        <v>0</v>
      </c>
      <c r="BG112" s="2195">
        <v>0</v>
      </c>
      <c r="BH112" s="2194"/>
      <c r="BI112" s="2194"/>
      <c r="BJ112" s="2194"/>
      <c r="BK112" s="2195">
        <v>0</v>
      </c>
      <c r="BL112" s="2195">
        <v>2</v>
      </c>
      <c r="BM112" s="2195">
        <v>0</v>
      </c>
      <c r="BN112" s="964">
        <v>0</v>
      </c>
      <c r="BO112" s="964">
        <v>0</v>
      </c>
      <c r="BP112" s="964">
        <v>2</v>
      </c>
      <c r="BQ112" s="73"/>
      <c r="BS112" s="879"/>
      <c r="BT112" s="879"/>
      <c r="BU112" s="880"/>
      <c r="BV112" s="881" t="s">
        <v>1292</v>
      </c>
      <c r="BW112" s="883">
        <v>0</v>
      </c>
      <c r="BX112" s="883">
        <v>0</v>
      </c>
      <c r="BY112" s="882"/>
      <c r="BZ112" s="882"/>
      <c r="CA112" s="882"/>
      <c r="CB112" s="883">
        <v>0</v>
      </c>
      <c r="CC112" s="883">
        <v>0</v>
      </c>
      <c r="CD112" s="883">
        <v>6</v>
      </c>
      <c r="CE112" s="884">
        <v>0</v>
      </c>
      <c r="CF112" s="884">
        <v>0</v>
      </c>
      <c r="CG112" s="884">
        <v>6</v>
      </c>
      <c r="CH112" s="161"/>
      <c r="CJ112" s="885"/>
      <c r="CK112" s="885"/>
      <c r="CL112" s="885"/>
      <c r="CM112" s="886" t="s">
        <v>1289</v>
      </c>
      <c r="CN112" s="888">
        <v>0</v>
      </c>
      <c r="CO112" s="888">
        <v>0</v>
      </c>
      <c r="CP112" s="888">
        <v>0</v>
      </c>
      <c r="CQ112" s="888">
        <v>1</v>
      </c>
      <c r="CR112" s="887"/>
      <c r="CS112" s="888">
        <v>0</v>
      </c>
      <c r="CT112" s="888">
        <v>0</v>
      </c>
      <c r="CU112" s="888">
        <v>0</v>
      </c>
      <c r="CV112" s="888">
        <v>0</v>
      </c>
      <c r="CW112" s="890">
        <v>0</v>
      </c>
      <c r="CX112" s="890">
        <v>0</v>
      </c>
      <c r="CY112" s="890">
        <v>1</v>
      </c>
      <c r="CZ112" s="891"/>
      <c r="DB112" s="892" t="s">
        <v>48</v>
      </c>
      <c r="DC112" s="892" t="s">
        <v>16</v>
      </c>
      <c r="DD112" s="892" t="s">
        <v>133</v>
      </c>
      <c r="DE112" s="893" t="s">
        <v>1284</v>
      </c>
      <c r="DF112" s="894"/>
      <c r="DG112" s="895">
        <v>1</v>
      </c>
      <c r="DH112" s="894"/>
      <c r="DI112" s="894"/>
      <c r="DJ112" s="894"/>
      <c r="DK112" s="895">
        <v>9</v>
      </c>
      <c r="DL112" s="895">
        <v>4</v>
      </c>
      <c r="DM112" s="895">
        <v>0</v>
      </c>
      <c r="DN112" s="894"/>
      <c r="DO112" s="894"/>
      <c r="DP112" s="895">
        <v>14</v>
      </c>
      <c r="DQ112" s="792"/>
      <c r="DS112" s="121"/>
      <c r="DT112" s="121"/>
      <c r="DU112" s="74"/>
      <c r="DV112" s="74" t="s">
        <v>1292</v>
      </c>
      <c r="DW112" s="121"/>
      <c r="DX112" s="121"/>
      <c r="DY112" s="121"/>
      <c r="DZ112" s="121"/>
      <c r="EA112" s="121"/>
      <c r="EB112" s="121">
        <v>0</v>
      </c>
      <c r="EC112" s="121">
        <v>0</v>
      </c>
      <c r="ED112" s="121">
        <v>2</v>
      </c>
      <c r="EE112" s="121"/>
      <c r="EF112" s="121"/>
      <c r="EG112" s="121">
        <v>2</v>
      </c>
      <c r="EH112" s="74"/>
      <c r="EI112" s="74"/>
      <c r="EJ112" s="793"/>
      <c r="EK112" s="793"/>
      <c r="EL112" s="793" t="s">
        <v>132</v>
      </c>
      <c r="EM112" s="793" t="s">
        <v>1288</v>
      </c>
      <c r="EN112" s="793">
        <v>0</v>
      </c>
      <c r="EO112" s="793">
        <v>0</v>
      </c>
      <c r="EP112" s="793">
        <v>0</v>
      </c>
      <c r="EQ112" s="793">
        <v>0</v>
      </c>
      <c r="ER112" s="793">
        <v>0</v>
      </c>
      <c r="ES112" s="793">
        <v>0</v>
      </c>
      <c r="ET112" s="793">
        <v>0</v>
      </c>
      <c r="EU112" s="793">
        <v>2</v>
      </c>
      <c r="EV112" s="793">
        <v>0</v>
      </c>
      <c r="EW112" s="793">
        <v>0</v>
      </c>
      <c r="EX112" s="793">
        <v>0</v>
      </c>
      <c r="EY112" s="794">
        <v>2</v>
      </c>
      <c r="EZ112" s="896"/>
      <c r="FA112" s="795"/>
    </row>
    <row r="113" spans="1:157">
      <c r="A113" s="73"/>
      <c r="B113" s="73"/>
      <c r="C113" s="73"/>
      <c r="D113" s="73" t="s">
        <v>1292</v>
      </c>
      <c r="E113" s="3261"/>
      <c r="F113" s="3261"/>
      <c r="G113" s="3261"/>
      <c r="H113" s="3261"/>
      <c r="I113" s="3261"/>
      <c r="J113" s="3261">
        <v>0</v>
      </c>
      <c r="K113" s="3261">
        <v>0</v>
      </c>
      <c r="L113" s="3261">
        <v>2</v>
      </c>
      <c r="M113" s="161"/>
      <c r="N113" s="161"/>
      <c r="O113" s="161">
        <v>2</v>
      </c>
      <c r="P113" s="73"/>
      <c r="R113" s="74"/>
      <c r="S113" s="74"/>
      <c r="T113" s="74"/>
      <c r="U113" s="74" t="s">
        <v>1288</v>
      </c>
      <c r="V113" s="3229"/>
      <c r="W113" s="3229"/>
      <c r="X113" s="3229"/>
      <c r="Y113" s="3229">
        <v>0</v>
      </c>
      <c r="Z113" s="3229">
        <v>0</v>
      </c>
      <c r="AA113" s="3229"/>
      <c r="AB113" s="3229"/>
      <c r="AC113" s="3229">
        <v>2</v>
      </c>
      <c r="AD113" s="3229">
        <v>1</v>
      </c>
      <c r="AE113" s="121">
        <v>2</v>
      </c>
      <c r="AF113" s="121">
        <v>0</v>
      </c>
      <c r="AG113" s="121">
        <v>5</v>
      </c>
      <c r="AJ113" s="161"/>
      <c r="AK113" s="161"/>
      <c r="AL113" s="73"/>
      <c r="AM113" s="73" t="s">
        <v>1292</v>
      </c>
      <c r="AN113" s="2600"/>
      <c r="AO113" s="2600"/>
      <c r="AP113" s="2600"/>
      <c r="AQ113" s="2600"/>
      <c r="AR113" s="2600"/>
      <c r="AS113" s="2600"/>
      <c r="AT113" s="2600">
        <v>0</v>
      </c>
      <c r="AU113" s="2600">
        <v>0</v>
      </c>
      <c r="AV113" s="2600">
        <v>1</v>
      </c>
      <c r="AW113" s="161"/>
      <c r="AX113" s="161">
        <v>1</v>
      </c>
      <c r="AY113" s="161">
        <v>2</v>
      </c>
      <c r="AZ113" s="161"/>
      <c r="BB113" s="2191"/>
      <c r="BC113" s="2191"/>
      <c r="BD113" s="2192"/>
      <c r="BE113" s="2193" t="s">
        <v>1289</v>
      </c>
      <c r="BF113" s="2195">
        <v>0</v>
      </c>
      <c r="BG113" s="2195">
        <v>1</v>
      </c>
      <c r="BH113" s="2194"/>
      <c r="BI113" s="2194"/>
      <c r="BJ113" s="2194"/>
      <c r="BK113" s="2195">
        <v>0</v>
      </c>
      <c r="BL113" s="2195">
        <v>0</v>
      </c>
      <c r="BM113" s="2195">
        <v>0</v>
      </c>
      <c r="BN113" s="964">
        <v>0</v>
      </c>
      <c r="BO113" s="964">
        <v>0</v>
      </c>
      <c r="BP113" s="964">
        <v>1</v>
      </c>
      <c r="BQ113" s="73"/>
      <c r="BS113" s="879"/>
      <c r="BT113" s="879"/>
      <c r="BU113" s="880"/>
      <c r="BV113" s="881" t="s">
        <v>1398</v>
      </c>
      <c r="BW113" s="883">
        <v>0</v>
      </c>
      <c r="BX113" s="883">
        <v>0</v>
      </c>
      <c r="BY113" s="882"/>
      <c r="BZ113" s="882"/>
      <c r="CA113" s="882"/>
      <c r="CB113" s="883">
        <v>1</v>
      </c>
      <c r="CC113" s="883">
        <v>0</v>
      </c>
      <c r="CD113" s="883">
        <v>0</v>
      </c>
      <c r="CE113" s="884">
        <v>0</v>
      </c>
      <c r="CF113" s="884">
        <v>0</v>
      </c>
      <c r="CG113" s="884">
        <v>1</v>
      </c>
      <c r="CH113" s="161"/>
      <c r="CJ113" s="885"/>
      <c r="CK113" s="885"/>
      <c r="CL113" s="885"/>
      <c r="CM113" s="886" t="s">
        <v>1292</v>
      </c>
      <c r="CN113" s="888">
        <v>0</v>
      </c>
      <c r="CO113" s="888">
        <v>0</v>
      </c>
      <c r="CP113" s="888">
        <v>0</v>
      </c>
      <c r="CQ113" s="888">
        <v>0</v>
      </c>
      <c r="CR113" s="887"/>
      <c r="CS113" s="888">
        <v>0</v>
      </c>
      <c r="CT113" s="888">
        <v>0</v>
      </c>
      <c r="CU113" s="888">
        <v>0</v>
      </c>
      <c r="CV113" s="888">
        <v>26</v>
      </c>
      <c r="CW113" s="890">
        <v>7</v>
      </c>
      <c r="CX113" s="890">
        <v>3</v>
      </c>
      <c r="CY113" s="890">
        <v>36</v>
      </c>
      <c r="CZ113" s="891"/>
      <c r="DB113" s="892"/>
      <c r="DC113" s="892"/>
      <c r="DD113" s="892"/>
      <c r="DE113" s="893" t="s">
        <v>1292</v>
      </c>
      <c r="DF113" s="894"/>
      <c r="DG113" s="895">
        <v>0</v>
      </c>
      <c r="DH113" s="894"/>
      <c r="DI113" s="894"/>
      <c r="DJ113" s="894"/>
      <c r="DK113" s="895">
        <v>0</v>
      </c>
      <c r="DL113" s="895">
        <v>1</v>
      </c>
      <c r="DM113" s="895">
        <v>5</v>
      </c>
      <c r="DN113" s="894"/>
      <c r="DO113" s="894"/>
      <c r="DP113" s="895">
        <v>6</v>
      </c>
      <c r="DQ113" s="792"/>
      <c r="DS113" s="121"/>
      <c r="DT113" s="121"/>
      <c r="DU113" s="74"/>
      <c r="DV113" s="761" t="s">
        <v>15</v>
      </c>
      <c r="DW113" s="729"/>
      <c r="DX113" s="729"/>
      <c r="DY113" s="729"/>
      <c r="DZ113" s="729"/>
      <c r="EA113" s="729"/>
      <c r="EB113" s="729">
        <v>9</v>
      </c>
      <c r="EC113" s="729">
        <v>1</v>
      </c>
      <c r="ED113" s="729">
        <v>2</v>
      </c>
      <c r="EE113" s="729"/>
      <c r="EF113" s="729"/>
      <c r="EG113" s="729">
        <v>12</v>
      </c>
      <c r="EH113" s="815">
        <v>0</v>
      </c>
      <c r="EI113" s="74"/>
      <c r="EJ113" s="793"/>
      <c r="EK113" s="793"/>
      <c r="EL113" s="793"/>
      <c r="EM113" s="793" t="s">
        <v>1292</v>
      </c>
      <c r="EN113" s="793">
        <v>0</v>
      </c>
      <c r="EO113" s="793">
        <v>0</v>
      </c>
      <c r="EP113" s="793">
        <v>0</v>
      </c>
      <c r="EQ113" s="793">
        <v>0</v>
      </c>
      <c r="ER113" s="793">
        <v>0</v>
      </c>
      <c r="ES113" s="793">
        <v>0</v>
      </c>
      <c r="ET113" s="793">
        <v>0</v>
      </c>
      <c r="EU113" s="793">
        <v>1</v>
      </c>
      <c r="EV113" s="793">
        <v>17</v>
      </c>
      <c r="EW113" s="793">
        <v>0</v>
      </c>
      <c r="EX113" s="793">
        <v>0</v>
      </c>
      <c r="EY113" s="794">
        <v>18</v>
      </c>
      <c r="EZ113" s="896"/>
      <c r="FA113" s="795"/>
    </row>
    <row r="114" spans="1:157">
      <c r="A114" s="73"/>
      <c r="B114" s="73"/>
      <c r="C114" s="73"/>
      <c r="D114" s="73" t="s">
        <v>1398</v>
      </c>
      <c r="E114" s="3261"/>
      <c r="F114" s="3261"/>
      <c r="G114" s="3261"/>
      <c r="H114" s="3261"/>
      <c r="I114" s="3261"/>
      <c r="J114" s="3261">
        <v>9</v>
      </c>
      <c r="K114" s="3261">
        <v>1</v>
      </c>
      <c r="L114" s="3261">
        <v>1</v>
      </c>
      <c r="M114" s="161"/>
      <c r="N114" s="161"/>
      <c r="O114" s="161">
        <v>11</v>
      </c>
      <c r="P114" s="73"/>
      <c r="R114" s="74"/>
      <c r="S114" s="74"/>
      <c r="T114" s="74"/>
      <c r="U114" s="74" t="s">
        <v>1289</v>
      </c>
      <c r="V114" s="3229"/>
      <c r="W114" s="3229"/>
      <c r="X114" s="3229"/>
      <c r="Y114" s="3229">
        <v>1</v>
      </c>
      <c r="Z114" s="3229">
        <v>1</v>
      </c>
      <c r="AA114" s="3229"/>
      <c r="AB114" s="3229"/>
      <c r="AC114" s="3229">
        <v>0</v>
      </c>
      <c r="AD114" s="3229">
        <v>0</v>
      </c>
      <c r="AE114" s="121">
        <v>0</v>
      </c>
      <c r="AF114" s="121">
        <v>0</v>
      </c>
      <c r="AG114" s="121">
        <v>2</v>
      </c>
      <c r="AJ114" s="161"/>
      <c r="AK114" s="161"/>
      <c r="AL114" s="73"/>
      <c r="AM114" s="73" t="s">
        <v>1398</v>
      </c>
      <c r="AN114" s="2600"/>
      <c r="AO114" s="2600"/>
      <c r="AP114" s="2600"/>
      <c r="AQ114" s="2600"/>
      <c r="AR114" s="2600"/>
      <c r="AS114" s="2600"/>
      <c r="AT114" s="2600">
        <v>2</v>
      </c>
      <c r="AU114" s="2600">
        <v>0</v>
      </c>
      <c r="AV114" s="2600">
        <v>0</v>
      </c>
      <c r="AW114" s="161"/>
      <c r="AX114" s="161">
        <v>0</v>
      </c>
      <c r="AY114" s="161">
        <v>2</v>
      </c>
      <c r="AZ114" s="161"/>
      <c r="BB114" s="2191"/>
      <c r="BC114" s="2191"/>
      <c r="BD114" s="2192"/>
      <c r="BE114" s="2193" t="s">
        <v>1292</v>
      </c>
      <c r="BF114" s="2195">
        <v>0</v>
      </c>
      <c r="BG114" s="2195">
        <v>0</v>
      </c>
      <c r="BH114" s="2194"/>
      <c r="BI114" s="2194"/>
      <c r="BJ114" s="2194"/>
      <c r="BK114" s="2195">
        <v>0</v>
      </c>
      <c r="BL114" s="2195">
        <v>0</v>
      </c>
      <c r="BM114" s="2195">
        <v>0</v>
      </c>
      <c r="BN114" s="964">
        <v>0</v>
      </c>
      <c r="BO114" s="964">
        <v>3</v>
      </c>
      <c r="BP114" s="964">
        <v>3</v>
      </c>
      <c r="BQ114" s="73"/>
      <c r="BS114" s="879"/>
      <c r="BT114" s="879"/>
      <c r="BU114" s="880"/>
      <c r="BV114" s="907" t="s">
        <v>15</v>
      </c>
      <c r="BW114" s="909">
        <v>1</v>
      </c>
      <c r="BX114" s="909">
        <v>1</v>
      </c>
      <c r="BY114" s="908"/>
      <c r="BZ114" s="908"/>
      <c r="CA114" s="908"/>
      <c r="CB114" s="909">
        <v>3</v>
      </c>
      <c r="CC114" s="909">
        <v>2</v>
      </c>
      <c r="CD114" s="909">
        <v>7</v>
      </c>
      <c r="CE114" s="911">
        <v>6</v>
      </c>
      <c r="CF114" s="911">
        <v>1</v>
      </c>
      <c r="CG114" s="911">
        <v>21</v>
      </c>
      <c r="CH114" s="912">
        <f>+(CG111+CG113)/CG114</f>
        <v>9.5238095238095233E-2</v>
      </c>
      <c r="CJ114" s="885"/>
      <c r="CK114" s="885"/>
      <c r="CL114" s="885"/>
      <c r="CM114" s="886" t="s">
        <v>1398</v>
      </c>
      <c r="CN114" s="888">
        <v>0</v>
      </c>
      <c r="CO114" s="888">
        <v>0</v>
      </c>
      <c r="CP114" s="888">
        <v>0</v>
      </c>
      <c r="CQ114" s="888">
        <v>0</v>
      </c>
      <c r="CR114" s="887"/>
      <c r="CS114" s="888">
        <v>1</v>
      </c>
      <c r="CT114" s="888">
        <v>3</v>
      </c>
      <c r="CU114" s="888">
        <v>4</v>
      </c>
      <c r="CV114" s="888">
        <v>0</v>
      </c>
      <c r="CW114" s="890">
        <v>0</v>
      </c>
      <c r="CX114" s="890">
        <v>0</v>
      </c>
      <c r="CY114" s="890">
        <v>8</v>
      </c>
      <c r="CZ114" s="891"/>
      <c r="DB114" s="892"/>
      <c r="DC114" s="892"/>
      <c r="DD114" s="892"/>
      <c r="DE114" s="893" t="s">
        <v>1293</v>
      </c>
      <c r="DF114" s="894"/>
      <c r="DG114" s="895">
        <v>0</v>
      </c>
      <c r="DH114" s="894"/>
      <c r="DI114" s="894"/>
      <c r="DJ114" s="894"/>
      <c r="DK114" s="895">
        <v>1</v>
      </c>
      <c r="DL114" s="895">
        <v>1</v>
      </c>
      <c r="DM114" s="895">
        <v>0</v>
      </c>
      <c r="DN114" s="894"/>
      <c r="DO114" s="894"/>
      <c r="DP114" s="895">
        <v>2</v>
      </c>
      <c r="DQ114" s="792"/>
      <c r="DS114" s="121"/>
      <c r="DT114" s="121"/>
      <c r="DU114" s="74" t="s">
        <v>140</v>
      </c>
      <c r="DV114" s="74" t="s">
        <v>1283</v>
      </c>
      <c r="DW114" s="121"/>
      <c r="DX114" s="121"/>
      <c r="DY114" s="121">
        <v>0</v>
      </c>
      <c r="DZ114" s="121">
        <v>0</v>
      </c>
      <c r="EA114" s="121"/>
      <c r="EB114" s="121">
        <v>0</v>
      </c>
      <c r="EC114" s="121"/>
      <c r="ED114" s="121">
        <v>1</v>
      </c>
      <c r="EE114" s="121"/>
      <c r="EF114" s="121"/>
      <c r="EG114" s="121">
        <v>1</v>
      </c>
      <c r="EH114" s="74"/>
      <c r="EI114" s="74"/>
      <c r="EJ114" s="793"/>
      <c r="EK114" s="793"/>
      <c r="EL114" s="793"/>
      <c r="EM114" s="793" t="s">
        <v>1398</v>
      </c>
      <c r="EN114" s="793">
        <v>0</v>
      </c>
      <c r="EO114" s="793">
        <v>0</v>
      </c>
      <c r="EP114" s="793">
        <v>0</v>
      </c>
      <c r="EQ114" s="793">
        <v>0</v>
      </c>
      <c r="ER114" s="793">
        <v>0</v>
      </c>
      <c r="ES114" s="793">
        <v>0</v>
      </c>
      <c r="ET114" s="793">
        <v>1</v>
      </c>
      <c r="EU114" s="793">
        <v>1</v>
      </c>
      <c r="EV114" s="793">
        <v>0</v>
      </c>
      <c r="EW114" s="793">
        <v>0</v>
      </c>
      <c r="EX114" s="793">
        <v>0</v>
      </c>
      <c r="EY114" s="794">
        <v>2</v>
      </c>
      <c r="EZ114" s="896"/>
      <c r="FA114" s="795"/>
    </row>
    <row r="115" spans="1:157">
      <c r="A115" s="73"/>
      <c r="B115" s="73"/>
      <c r="C115" s="73"/>
      <c r="D115" s="738" t="s">
        <v>15</v>
      </c>
      <c r="E115" s="3262"/>
      <c r="F115" s="3262"/>
      <c r="G115" s="3262"/>
      <c r="H115" s="3262"/>
      <c r="I115" s="3262"/>
      <c r="J115" s="3262">
        <v>11</v>
      </c>
      <c r="K115" s="3262">
        <v>3</v>
      </c>
      <c r="L115" s="3262">
        <v>5</v>
      </c>
      <c r="M115" s="4674"/>
      <c r="N115" s="4674"/>
      <c r="O115" s="4674">
        <v>19</v>
      </c>
      <c r="P115" s="912">
        <f>+(O114+O112)/O115</f>
        <v>0.78947368421052633</v>
      </c>
      <c r="Q115" s="3197"/>
      <c r="R115" s="74"/>
      <c r="S115" s="74"/>
      <c r="T115" s="74"/>
      <c r="U115" s="74" t="s">
        <v>1292</v>
      </c>
      <c r="V115" s="3229"/>
      <c r="W115" s="3229"/>
      <c r="X115" s="3229"/>
      <c r="Y115" s="3229">
        <v>0</v>
      </c>
      <c r="Z115" s="3229">
        <v>0</v>
      </c>
      <c r="AA115" s="3229"/>
      <c r="AB115" s="3229"/>
      <c r="AC115" s="3229">
        <v>0</v>
      </c>
      <c r="AD115" s="3229">
        <v>2</v>
      </c>
      <c r="AE115" s="121">
        <v>1</v>
      </c>
      <c r="AF115" s="121">
        <v>1</v>
      </c>
      <c r="AG115" s="121">
        <v>4</v>
      </c>
      <c r="AJ115" s="161"/>
      <c r="AK115" s="161"/>
      <c r="AL115" s="73"/>
      <c r="AM115" s="738" t="s">
        <v>15</v>
      </c>
      <c r="AN115" s="2601"/>
      <c r="AO115" s="2601"/>
      <c r="AP115" s="2601"/>
      <c r="AQ115" s="2601"/>
      <c r="AR115" s="2601"/>
      <c r="AS115" s="2601"/>
      <c r="AT115" s="2601">
        <v>2</v>
      </c>
      <c r="AU115" s="2601">
        <v>2</v>
      </c>
      <c r="AV115" s="2601">
        <v>1</v>
      </c>
      <c r="AW115" s="151"/>
      <c r="AX115" s="151">
        <v>1</v>
      </c>
      <c r="AY115" s="151">
        <v>6</v>
      </c>
      <c r="AZ115" s="912">
        <f>+AY114/AY115</f>
        <v>0.33333333333333331</v>
      </c>
      <c r="BB115" s="2191"/>
      <c r="BC115" s="2191"/>
      <c r="BD115" s="2192"/>
      <c r="BE115" s="2193" t="s">
        <v>1398</v>
      </c>
      <c r="BF115" s="2195">
        <v>0</v>
      </c>
      <c r="BG115" s="2195">
        <v>0</v>
      </c>
      <c r="BH115" s="2194"/>
      <c r="BI115" s="2194"/>
      <c r="BJ115" s="2194"/>
      <c r="BK115" s="2195">
        <v>1</v>
      </c>
      <c r="BL115" s="2195">
        <v>1</v>
      </c>
      <c r="BM115" s="2195">
        <v>0</v>
      </c>
      <c r="BN115" s="964">
        <v>0</v>
      </c>
      <c r="BO115" s="964">
        <v>0</v>
      </c>
      <c r="BP115" s="964">
        <v>2</v>
      </c>
      <c r="BQ115" s="73"/>
      <c r="BS115" s="879"/>
      <c r="BT115" s="879"/>
      <c r="BU115" s="880" t="s">
        <v>572</v>
      </c>
      <c r="BV115" s="881" t="s">
        <v>1283</v>
      </c>
      <c r="BW115" s="883">
        <v>0</v>
      </c>
      <c r="BX115" s="883">
        <v>0</v>
      </c>
      <c r="BY115" s="883">
        <v>0</v>
      </c>
      <c r="BZ115" s="883">
        <v>0</v>
      </c>
      <c r="CA115" s="883">
        <v>0</v>
      </c>
      <c r="CB115" s="883">
        <v>0</v>
      </c>
      <c r="CC115" s="883">
        <v>2</v>
      </c>
      <c r="CD115" s="883">
        <v>20</v>
      </c>
      <c r="CE115" s="884">
        <v>3</v>
      </c>
      <c r="CF115" s="884">
        <v>7</v>
      </c>
      <c r="CG115" s="884">
        <v>32</v>
      </c>
      <c r="CH115" s="161"/>
      <c r="CJ115" s="885"/>
      <c r="CK115" s="885"/>
      <c r="CL115" s="885"/>
      <c r="CM115" s="897" t="s">
        <v>572</v>
      </c>
      <c r="CN115" s="899">
        <v>1</v>
      </c>
      <c r="CO115" s="899">
        <v>3</v>
      </c>
      <c r="CP115" s="899">
        <v>3</v>
      </c>
      <c r="CQ115" s="899">
        <v>3</v>
      </c>
      <c r="CR115" s="898"/>
      <c r="CS115" s="899">
        <v>1</v>
      </c>
      <c r="CT115" s="899">
        <v>8</v>
      </c>
      <c r="CU115" s="899">
        <v>26</v>
      </c>
      <c r="CV115" s="899">
        <v>45</v>
      </c>
      <c r="CW115" s="901">
        <v>12</v>
      </c>
      <c r="CX115" s="901">
        <v>10</v>
      </c>
      <c r="CY115" s="901">
        <v>112</v>
      </c>
      <c r="CZ115" s="891">
        <f>+(CY114+CY111-CW111)/CY115</f>
        <v>0.23214285714285715</v>
      </c>
      <c r="DB115" s="892"/>
      <c r="DC115" s="892"/>
      <c r="DD115" s="892"/>
      <c r="DE115" s="902" t="s">
        <v>15</v>
      </c>
      <c r="DF115" s="903"/>
      <c r="DG115" s="904">
        <v>1</v>
      </c>
      <c r="DH115" s="903"/>
      <c r="DI115" s="903"/>
      <c r="DJ115" s="903"/>
      <c r="DK115" s="904">
        <v>10</v>
      </c>
      <c r="DL115" s="904">
        <v>6</v>
      </c>
      <c r="DM115" s="904">
        <v>5</v>
      </c>
      <c r="DN115" s="903"/>
      <c r="DO115" s="903"/>
      <c r="DP115" s="904">
        <v>22</v>
      </c>
      <c r="DQ115" s="905">
        <f>+DP114/DP115</f>
        <v>9.0909090909090912E-2</v>
      </c>
      <c r="DS115" s="121"/>
      <c r="DT115" s="121"/>
      <c r="DU115" s="74"/>
      <c r="DV115" s="74" t="s">
        <v>1284</v>
      </c>
      <c r="DW115" s="121"/>
      <c r="DX115" s="121"/>
      <c r="DY115" s="121">
        <v>1</v>
      </c>
      <c r="DZ115" s="121">
        <v>0</v>
      </c>
      <c r="EA115" s="121"/>
      <c r="EB115" s="121">
        <v>8</v>
      </c>
      <c r="EC115" s="121"/>
      <c r="ED115" s="121">
        <v>0</v>
      </c>
      <c r="EE115" s="121"/>
      <c r="EF115" s="121"/>
      <c r="EG115" s="121">
        <v>9</v>
      </c>
      <c r="EH115" s="74"/>
      <c r="EI115" s="74"/>
      <c r="EJ115" s="793"/>
      <c r="EK115" s="793"/>
      <c r="EL115" s="793"/>
      <c r="EM115" s="796" t="s">
        <v>15</v>
      </c>
      <c r="EN115" s="796">
        <v>0</v>
      </c>
      <c r="EO115" s="796">
        <v>0</v>
      </c>
      <c r="EP115" s="796">
        <v>0</v>
      </c>
      <c r="EQ115" s="796">
        <v>0</v>
      </c>
      <c r="ER115" s="796">
        <v>0</v>
      </c>
      <c r="ES115" s="796">
        <v>0</v>
      </c>
      <c r="ET115" s="796">
        <v>1</v>
      </c>
      <c r="EU115" s="796">
        <v>4</v>
      </c>
      <c r="EV115" s="796">
        <v>17</v>
      </c>
      <c r="EW115" s="796">
        <v>0</v>
      </c>
      <c r="EX115" s="796">
        <v>0</v>
      </c>
      <c r="EY115" s="856">
        <v>22</v>
      </c>
      <c r="EZ115" s="906">
        <f>+(EY114+EY112)/EY115</f>
        <v>0.18181818181818182</v>
      </c>
      <c r="FA115" s="795">
        <f>+EY112+EY114</f>
        <v>4</v>
      </c>
    </row>
    <row r="116" spans="1:157">
      <c r="A116" s="73"/>
      <c r="B116" s="73"/>
      <c r="C116" s="73" t="s">
        <v>124</v>
      </c>
      <c r="D116" s="73" t="s">
        <v>1283</v>
      </c>
      <c r="E116" s="3261"/>
      <c r="F116" s="3261"/>
      <c r="G116" s="3261"/>
      <c r="H116" s="3261"/>
      <c r="I116" s="3261">
        <v>1</v>
      </c>
      <c r="J116" s="3261">
        <v>0</v>
      </c>
      <c r="K116" s="3261">
        <v>0</v>
      </c>
      <c r="L116" s="3261">
        <v>1</v>
      </c>
      <c r="M116" s="161"/>
      <c r="N116" s="161">
        <v>0</v>
      </c>
      <c r="O116" s="161">
        <v>2</v>
      </c>
      <c r="P116" s="73"/>
      <c r="R116" s="74"/>
      <c r="S116" s="74"/>
      <c r="T116" s="74"/>
      <c r="U116" s="74" t="s">
        <v>1398</v>
      </c>
      <c r="V116" s="3229"/>
      <c r="W116" s="3229"/>
      <c r="X116" s="3229"/>
      <c r="Y116" s="3229">
        <v>0</v>
      </c>
      <c r="Z116" s="3229">
        <v>0</v>
      </c>
      <c r="AA116" s="3229"/>
      <c r="AB116" s="3229"/>
      <c r="AC116" s="3229">
        <v>0</v>
      </c>
      <c r="AD116" s="3229">
        <v>2</v>
      </c>
      <c r="AE116" s="121">
        <v>0</v>
      </c>
      <c r="AF116" s="121">
        <v>0</v>
      </c>
      <c r="AG116" s="121">
        <v>2</v>
      </c>
      <c r="AJ116" s="161"/>
      <c r="AK116" s="161"/>
      <c r="AL116" s="73" t="s">
        <v>424</v>
      </c>
      <c r="AM116" s="73" t="s">
        <v>1283</v>
      </c>
      <c r="AN116" s="2600"/>
      <c r="AO116" s="2600">
        <v>0</v>
      </c>
      <c r="AP116" s="2600">
        <v>0</v>
      </c>
      <c r="AQ116" s="2600"/>
      <c r="AR116" s="2600"/>
      <c r="AS116" s="2600">
        <v>0</v>
      </c>
      <c r="AT116" s="2600">
        <v>0</v>
      </c>
      <c r="AU116" s="2600">
        <v>0</v>
      </c>
      <c r="AV116" s="2600">
        <v>3</v>
      </c>
      <c r="AW116" s="161">
        <v>1</v>
      </c>
      <c r="AX116" s="161">
        <v>1</v>
      </c>
      <c r="AY116" s="161">
        <v>5</v>
      </c>
      <c r="AZ116" s="161"/>
      <c r="BB116" s="2191"/>
      <c r="BC116" s="2191"/>
      <c r="BD116" s="2192"/>
      <c r="BE116" s="760" t="s">
        <v>15</v>
      </c>
      <c r="BF116" s="2197">
        <v>1</v>
      </c>
      <c r="BG116" s="2197">
        <v>1</v>
      </c>
      <c r="BH116" s="2196"/>
      <c r="BI116" s="2196"/>
      <c r="BJ116" s="2196"/>
      <c r="BK116" s="2197">
        <v>1</v>
      </c>
      <c r="BL116" s="2197">
        <v>3</v>
      </c>
      <c r="BM116" s="2197">
        <v>1</v>
      </c>
      <c r="BN116" s="973">
        <v>1</v>
      </c>
      <c r="BO116" s="973">
        <v>11</v>
      </c>
      <c r="BP116" s="973">
        <v>19</v>
      </c>
      <c r="BQ116" s="2154">
        <f>+(BP112+BP115)/BP116</f>
        <v>0.21052631578947367</v>
      </c>
      <c r="BS116" s="879"/>
      <c r="BT116" s="879"/>
      <c r="BU116" s="880"/>
      <c r="BV116" s="881" t="s">
        <v>1284</v>
      </c>
      <c r="BW116" s="883">
        <v>2</v>
      </c>
      <c r="BX116" s="883">
        <v>1</v>
      </c>
      <c r="BY116" s="883">
        <v>1</v>
      </c>
      <c r="BZ116" s="883">
        <v>0</v>
      </c>
      <c r="CA116" s="883">
        <v>0</v>
      </c>
      <c r="CB116" s="883">
        <v>2</v>
      </c>
      <c r="CC116" s="883">
        <v>3</v>
      </c>
      <c r="CD116" s="883">
        <v>1</v>
      </c>
      <c r="CE116" s="884">
        <v>5</v>
      </c>
      <c r="CF116" s="884">
        <v>0</v>
      </c>
      <c r="CG116" s="884">
        <v>15</v>
      </c>
      <c r="CH116" s="161"/>
      <c r="CJ116" s="885"/>
      <c r="CK116" s="885" t="s">
        <v>16</v>
      </c>
      <c r="CL116" s="885" t="s">
        <v>126</v>
      </c>
      <c r="CM116" s="886" t="s">
        <v>1283</v>
      </c>
      <c r="CN116" s="887"/>
      <c r="CO116" s="887"/>
      <c r="CP116" s="887"/>
      <c r="CQ116" s="887"/>
      <c r="CR116" s="887"/>
      <c r="CS116" s="887"/>
      <c r="CT116" s="887"/>
      <c r="CU116" s="888">
        <v>0</v>
      </c>
      <c r="CV116" s="888">
        <v>2</v>
      </c>
      <c r="CW116" s="889"/>
      <c r="CX116" s="889"/>
      <c r="CY116" s="890">
        <v>2</v>
      </c>
      <c r="CZ116" s="891"/>
      <c r="DB116" s="892"/>
      <c r="DC116" s="892"/>
      <c r="DD116" s="892" t="s">
        <v>134</v>
      </c>
      <c r="DE116" s="893" t="s">
        <v>1284</v>
      </c>
      <c r="DF116" s="894"/>
      <c r="DG116" s="894"/>
      <c r="DH116" s="895">
        <v>1</v>
      </c>
      <c r="DI116" s="895">
        <v>2</v>
      </c>
      <c r="DJ116" s="894"/>
      <c r="DK116" s="895">
        <v>15</v>
      </c>
      <c r="DL116" s="894"/>
      <c r="DM116" s="894"/>
      <c r="DN116" s="894"/>
      <c r="DO116" s="894"/>
      <c r="DP116" s="895">
        <v>18</v>
      </c>
      <c r="DQ116" s="792"/>
      <c r="DS116" s="121"/>
      <c r="DT116" s="121"/>
      <c r="DU116" s="74"/>
      <c r="DV116" s="74" t="s">
        <v>1286</v>
      </c>
      <c r="DW116" s="121"/>
      <c r="DX116" s="121"/>
      <c r="DY116" s="121">
        <v>1</v>
      </c>
      <c r="DZ116" s="121">
        <v>0</v>
      </c>
      <c r="EA116" s="121"/>
      <c r="EB116" s="121">
        <v>0</v>
      </c>
      <c r="EC116" s="121"/>
      <c r="ED116" s="121">
        <v>0</v>
      </c>
      <c r="EE116" s="121"/>
      <c r="EF116" s="121"/>
      <c r="EG116" s="121">
        <v>1</v>
      </c>
      <c r="EH116" s="74"/>
      <c r="EI116" s="74"/>
      <c r="EJ116" s="793" t="s">
        <v>48</v>
      </c>
      <c r="EK116" s="793" t="s">
        <v>16</v>
      </c>
      <c r="EL116" s="793" t="s">
        <v>133</v>
      </c>
      <c r="EM116" s="793" t="s">
        <v>1283</v>
      </c>
      <c r="EN116" s="793">
        <v>0</v>
      </c>
      <c r="EO116" s="793">
        <v>0</v>
      </c>
      <c r="EP116" s="793">
        <v>0</v>
      </c>
      <c r="EQ116" s="793">
        <v>0</v>
      </c>
      <c r="ER116" s="793">
        <v>0</v>
      </c>
      <c r="ES116" s="793">
        <v>0</v>
      </c>
      <c r="ET116" s="793">
        <v>2</v>
      </c>
      <c r="EU116" s="793">
        <v>0</v>
      </c>
      <c r="EV116" s="793">
        <v>0</v>
      </c>
      <c r="EW116" s="793">
        <v>0</v>
      </c>
      <c r="EX116" s="793">
        <v>0</v>
      </c>
      <c r="EY116" s="794">
        <v>2</v>
      </c>
      <c r="EZ116" s="896"/>
      <c r="FA116" s="795"/>
    </row>
    <row r="117" spans="1:157">
      <c r="A117" s="73"/>
      <c r="B117" s="73"/>
      <c r="C117" s="73"/>
      <c r="D117" s="73" t="s">
        <v>1284</v>
      </c>
      <c r="E117" s="3261"/>
      <c r="F117" s="3261"/>
      <c r="G117" s="3261"/>
      <c r="H117" s="3261"/>
      <c r="I117" s="3261">
        <v>0</v>
      </c>
      <c r="J117" s="3261">
        <v>0</v>
      </c>
      <c r="K117" s="3261">
        <v>1</v>
      </c>
      <c r="L117" s="3261">
        <v>0</v>
      </c>
      <c r="M117" s="161"/>
      <c r="N117" s="161">
        <v>0</v>
      </c>
      <c r="O117" s="161">
        <v>1</v>
      </c>
      <c r="P117" s="73"/>
      <c r="R117" s="74"/>
      <c r="S117" s="74"/>
      <c r="T117" s="74"/>
      <c r="U117" s="761" t="s">
        <v>15</v>
      </c>
      <c r="V117" s="3230"/>
      <c r="W117" s="3230"/>
      <c r="X117" s="3230"/>
      <c r="Y117" s="3230">
        <v>1</v>
      </c>
      <c r="Z117" s="3230">
        <v>2</v>
      </c>
      <c r="AA117" s="3230"/>
      <c r="AB117" s="3230"/>
      <c r="AC117" s="3230">
        <v>2</v>
      </c>
      <c r="AD117" s="3230">
        <v>7</v>
      </c>
      <c r="AE117" s="729">
        <v>5</v>
      </c>
      <c r="AF117" s="729">
        <v>2</v>
      </c>
      <c r="AG117" s="729">
        <v>19</v>
      </c>
      <c r="AH117" s="4681">
        <f>+(AG113-AE113+AG116)/AG117</f>
        <v>0.26315789473684209</v>
      </c>
      <c r="AJ117" s="161"/>
      <c r="AK117" s="161"/>
      <c r="AL117" s="73"/>
      <c r="AM117" s="73" t="s">
        <v>1284</v>
      </c>
      <c r="AN117" s="2600"/>
      <c r="AO117" s="2600">
        <v>1</v>
      </c>
      <c r="AP117" s="2600">
        <v>1</v>
      </c>
      <c r="AQ117" s="2600"/>
      <c r="AR117" s="2600"/>
      <c r="AS117" s="2600">
        <v>0</v>
      </c>
      <c r="AT117" s="2600">
        <v>1</v>
      </c>
      <c r="AU117" s="2600">
        <v>1</v>
      </c>
      <c r="AV117" s="2600">
        <v>0</v>
      </c>
      <c r="AW117" s="161">
        <v>0</v>
      </c>
      <c r="AX117" s="161">
        <v>0</v>
      </c>
      <c r="AY117" s="161">
        <v>4</v>
      </c>
      <c r="AZ117" s="161"/>
      <c r="BB117" s="2191"/>
      <c r="BC117" s="2191"/>
      <c r="BD117" s="2192" t="s">
        <v>124</v>
      </c>
      <c r="BE117" s="2193" t="s">
        <v>1283</v>
      </c>
      <c r="BF117" s="2195">
        <v>0</v>
      </c>
      <c r="BG117" s="2194"/>
      <c r="BH117" s="2194"/>
      <c r="BI117" s="2194"/>
      <c r="BJ117" s="2194"/>
      <c r="BK117" s="2195">
        <v>0</v>
      </c>
      <c r="BL117" s="2195">
        <v>0</v>
      </c>
      <c r="BM117" s="2195">
        <v>1</v>
      </c>
      <c r="BN117" s="963"/>
      <c r="BO117" s="963"/>
      <c r="BP117" s="964">
        <v>1</v>
      </c>
      <c r="BQ117" s="73"/>
      <c r="BS117" s="879"/>
      <c r="BT117" s="879"/>
      <c r="BU117" s="880"/>
      <c r="BV117" s="881" t="s">
        <v>1286</v>
      </c>
      <c r="BW117" s="883">
        <v>5</v>
      </c>
      <c r="BX117" s="883">
        <v>1</v>
      </c>
      <c r="BY117" s="883">
        <v>0</v>
      </c>
      <c r="BZ117" s="883">
        <v>0</v>
      </c>
      <c r="CA117" s="883">
        <v>0</v>
      </c>
      <c r="CB117" s="883">
        <v>0</v>
      </c>
      <c r="CC117" s="883">
        <v>0</v>
      </c>
      <c r="CD117" s="883">
        <v>0</v>
      </c>
      <c r="CE117" s="884">
        <v>0</v>
      </c>
      <c r="CF117" s="884">
        <v>0</v>
      </c>
      <c r="CG117" s="884">
        <v>6</v>
      </c>
      <c r="CH117" s="161"/>
      <c r="CJ117" s="885"/>
      <c r="CK117" s="885"/>
      <c r="CL117" s="885"/>
      <c r="CM117" s="886" t="s">
        <v>1288</v>
      </c>
      <c r="CN117" s="887"/>
      <c r="CO117" s="887"/>
      <c r="CP117" s="887"/>
      <c r="CQ117" s="887"/>
      <c r="CR117" s="887"/>
      <c r="CS117" s="887"/>
      <c r="CT117" s="887"/>
      <c r="CU117" s="888">
        <v>1</v>
      </c>
      <c r="CV117" s="888">
        <v>2</v>
      </c>
      <c r="CW117" s="889"/>
      <c r="CX117" s="889"/>
      <c r="CY117" s="890">
        <v>3</v>
      </c>
      <c r="CZ117" s="891"/>
      <c r="DB117" s="892"/>
      <c r="DC117" s="892"/>
      <c r="DD117" s="892"/>
      <c r="DE117" s="893" t="s">
        <v>1288</v>
      </c>
      <c r="DF117" s="894"/>
      <c r="DG117" s="894"/>
      <c r="DH117" s="895">
        <v>0</v>
      </c>
      <c r="DI117" s="895">
        <v>0</v>
      </c>
      <c r="DJ117" s="894"/>
      <c r="DK117" s="895">
        <v>1</v>
      </c>
      <c r="DL117" s="894"/>
      <c r="DM117" s="894"/>
      <c r="DN117" s="894"/>
      <c r="DO117" s="894"/>
      <c r="DP117" s="895">
        <v>1</v>
      </c>
      <c r="DQ117" s="792"/>
      <c r="DS117" s="121"/>
      <c r="DT117" s="121"/>
      <c r="DU117" s="74"/>
      <c r="DV117" s="74" t="s">
        <v>1288</v>
      </c>
      <c r="DW117" s="121"/>
      <c r="DX117" s="121"/>
      <c r="DY117" s="121">
        <v>0</v>
      </c>
      <c r="DZ117" s="121">
        <v>0</v>
      </c>
      <c r="EA117" s="121"/>
      <c r="EB117" s="121">
        <v>1</v>
      </c>
      <c r="EC117" s="121"/>
      <c r="ED117" s="121">
        <v>0</v>
      </c>
      <c r="EE117" s="121"/>
      <c r="EF117" s="121"/>
      <c r="EG117" s="121">
        <v>1</v>
      </c>
      <c r="EH117" s="74"/>
      <c r="EI117" s="74"/>
      <c r="EJ117" s="793"/>
      <c r="EK117" s="793"/>
      <c r="EL117" s="793"/>
      <c r="EM117" s="793" t="s">
        <v>1284</v>
      </c>
      <c r="EN117" s="793">
        <v>0</v>
      </c>
      <c r="EO117" s="793">
        <v>0</v>
      </c>
      <c r="EP117" s="793">
        <v>0</v>
      </c>
      <c r="EQ117" s="793">
        <v>0</v>
      </c>
      <c r="ER117" s="793">
        <v>0</v>
      </c>
      <c r="ES117" s="793">
        <v>1</v>
      </c>
      <c r="ET117" s="793">
        <v>7</v>
      </c>
      <c r="EU117" s="793">
        <v>0</v>
      </c>
      <c r="EV117" s="793">
        <v>0</v>
      </c>
      <c r="EW117" s="793">
        <v>0</v>
      </c>
      <c r="EX117" s="793">
        <v>0</v>
      </c>
      <c r="EY117" s="794">
        <v>8</v>
      </c>
      <c r="EZ117" s="896"/>
      <c r="FA117" s="795"/>
    </row>
    <row r="118" spans="1:157">
      <c r="A118" s="73"/>
      <c r="B118" s="73"/>
      <c r="C118" s="73"/>
      <c r="D118" s="73" t="s">
        <v>1288</v>
      </c>
      <c r="E118" s="3261"/>
      <c r="F118" s="3261"/>
      <c r="G118" s="3261"/>
      <c r="H118" s="3261"/>
      <c r="I118" s="3261">
        <v>0</v>
      </c>
      <c r="J118" s="3261">
        <v>0</v>
      </c>
      <c r="K118" s="3261">
        <v>3</v>
      </c>
      <c r="L118" s="3261">
        <v>0</v>
      </c>
      <c r="M118" s="161"/>
      <c r="N118" s="161">
        <v>0</v>
      </c>
      <c r="O118" s="161">
        <v>3</v>
      </c>
      <c r="P118" s="73"/>
      <c r="R118" s="74"/>
      <c r="S118" s="74"/>
      <c r="T118" s="74" t="s">
        <v>122</v>
      </c>
      <c r="U118" s="74" t="s">
        <v>1283</v>
      </c>
      <c r="V118" s="3229"/>
      <c r="W118" s="3229">
        <v>0</v>
      </c>
      <c r="X118" s="3229">
        <v>0</v>
      </c>
      <c r="Y118" s="3229"/>
      <c r="Z118" s="3229">
        <v>0</v>
      </c>
      <c r="AA118" s="3229"/>
      <c r="AB118" s="3229"/>
      <c r="AC118" s="3229">
        <v>1</v>
      </c>
      <c r="AD118" s="3229">
        <v>2</v>
      </c>
      <c r="AE118" s="121">
        <v>1</v>
      </c>
      <c r="AF118" s="121">
        <v>1</v>
      </c>
      <c r="AG118" s="121">
        <v>5</v>
      </c>
      <c r="AJ118" s="161"/>
      <c r="AK118" s="161"/>
      <c r="AL118" s="73"/>
      <c r="AM118" s="73" t="s">
        <v>1288</v>
      </c>
      <c r="AN118" s="2600"/>
      <c r="AO118" s="2600">
        <v>0</v>
      </c>
      <c r="AP118" s="2600">
        <v>0</v>
      </c>
      <c r="AQ118" s="2600"/>
      <c r="AR118" s="2600"/>
      <c r="AS118" s="2600">
        <v>0</v>
      </c>
      <c r="AT118" s="2600">
        <v>0</v>
      </c>
      <c r="AU118" s="2600">
        <v>1</v>
      </c>
      <c r="AV118" s="2600">
        <v>0</v>
      </c>
      <c r="AW118" s="161">
        <v>0</v>
      </c>
      <c r="AX118" s="161">
        <v>0</v>
      </c>
      <c r="AY118" s="161">
        <v>1</v>
      </c>
      <c r="AZ118" s="161"/>
      <c r="BB118" s="2191"/>
      <c r="BC118" s="2191"/>
      <c r="BD118" s="2192"/>
      <c r="BE118" s="2193" t="s">
        <v>1284</v>
      </c>
      <c r="BF118" s="2195">
        <v>1</v>
      </c>
      <c r="BG118" s="2194"/>
      <c r="BH118" s="2194"/>
      <c r="BI118" s="2194"/>
      <c r="BJ118" s="2194"/>
      <c r="BK118" s="2195">
        <v>1</v>
      </c>
      <c r="BL118" s="2195">
        <v>0</v>
      </c>
      <c r="BM118" s="2195">
        <v>0</v>
      </c>
      <c r="BN118" s="963"/>
      <c r="BO118" s="963"/>
      <c r="BP118" s="964">
        <v>2</v>
      </c>
      <c r="BQ118" s="73"/>
      <c r="BS118" s="879"/>
      <c r="BT118" s="879"/>
      <c r="BU118" s="880"/>
      <c r="BV118" s="881" t="s">
        <v>1288</v>
      </c>
      <c r="BW118" s="883">
        <v>0</v>
      </c>
      <c r="BX118" s="883">
        <v>0</v>
      </c>
      <c r="BY118" s="883">
        <v>0</v>
      </c>
      <c r="BZ118" s="883">
        <v>0</v>
      </c>
      <c r="CA118" s="883">
        <v>0</v>
      </c>
      <c r="CB118" s="883">
        <v>2</v>
      </c>
      <c r="CC118" s="883">
        <v>7</v>
      </c>
      <c r="CD118" s="883">
        <v>6</v>
      </c>
      <c r="CE118" s="884">
        <v>1</v>
      </c>
      <c r="CF118" s="884">
        <v>0</v>
      </c>
      <c r="CG118" s="884">
        <v>16</v>
      </c>
      <c r="CH118" s="161"/>
      <c r="CJ118" s="885"/>
      <c r="CK118" s="885"/>
      <c r="CL118" s="885"/>
      <c r="CM118" s="886" t="s">
        <v>1292</v>
      </c>
      <c r="CN118" s="887"/>
      <c r="CO118" s="887"/>
      <c r="CP118" s="887"/>
      <c r="CQ118" s="887"/>
      <c r="CR118" s="887"/>
      <c r="CS118" s="887"/>
      <c r="CT118" s="887"/>
      <c r="CU118" s="888">
        <v>0</v>
      </c>
      <c r="CV118" s="888">
        <v>13</v>
      </c>
      <c r="CW118" s="889"/>
      <c r="CX118" s="889"/>
      <c r="CY118" s="890">
        <v>13</v>
      </c>
      <c r="CZ118" s="891"/>
      <c r="DB118" s="892"/>
      <c r="DC118" s="892"/>
      <c r="DD118" s="892"/>
      <c r="DE118" s="893" t="s">
        <v>1293</v>
      </c>
      <c r="DF118" s="894"/>
      <c r="DG118" s="894"/>
      <c r="DH118" s="895">
        <v>0</v>
      </c>
      <c r="DI118" s="895">
        <v>0</v>
      </c>
      <c r="DJ118" s="894"/>
      <c r="DK118" s="895">
        <v>1</v>
      </c>
      <c r="DL118" s="894"/>
      <c r="DM118" s="894"/>
      <c r="DN118" s="894"/>
      <c r="DO118" s="894"/>
      <c r="DP118" s="895">
        <v>1</v>
      </c>
      <c r="DQ118" s="792"/>
      <c r="DS118" s="121"/>
      <c r="DT118" s="121"/>
      <c r="DU118" s="74"/>
      <c r="DV118" s="74" t="s">
        <v>1289</v>
      </c>
      <c r="DW118" s="121"/>
      <c r="DX118" s="121"/>
      <c r="DY118" s="121">
        <v>1</v>
      </c>
      <c r="DZ118" s="121">
        <v>1</v>
      </c>
      <c r="EA118" s="121"/>
      <c r="EB118" s="121">
        <v>0</v>
      </c>
      <c r="EC118" s="121"/>
      <c r="ED118" s="121">
        <v>0</v>
      </c>
      <c r="EE118" s="121"/>
      <c r="EF118" s="121"/>
      <c r="EG118" s="121">
        <v>2</v>
      </c>
      <c r="EH118" s="74"/>
      <c r="EI118" s="74"/>
      <c r="EJ118" s="793"/>
      <c r="EK118" s="793"/>
      <c r="EL118" s="793"/>
      <c r="EM118" s="793" t="s">
        <v>1288</v>
      </c>
      <c r="EN118" s="793">
        <v>0</v>
      </c>
      <c r="EO118" s="793">
        <v>0</v>
      </c>
      <c r="EP118" s="793">
        <v>0</v>
      </c>
      <c r="EQ118" s="793">
        <v>0</v>
      </c>
      <c r="ER118" s="793">
        <v>0</v>
      </c>
      <c r="ES118" s="793">
        <v>0</v>
      </c>
      <c r="ET118" s="793">
        <v>0</v>
      </c>
      <c r="EU118" s="793">
        <v>1</v>
      </c>
      <c r="EV118" s="793">
        <v>0</v>
      </c>
      <c r="EW118" s="793">
        <v>0</v>
      </c>
      <c r="EX118" s="793">
        <v>0</v>
      </c>
      <c r="EY118" s="794">
        <v>1</v>
      </c>
      <c r="EZ118" s="896"/>
      <c r="FA118" s="795"/>
    </row>
    <row r="119" spans="1:157">
      <c r="A119" s="73"/>
      <c r="B119" s="73"/>
      <c r="C119" s="73"/>
      <c r="D119" s="73" t="s">
        <v>1292</v>
      </c>
      <c r="E119" s="3261"/>
      <c r="F119" s="3261"/>
      <c r="G119" s="3261"/>
      <c r="H119" s="3261"/>
      <c r="I119" s="3261">
        <v>0</v>
      </c>
      <c r="J119" s="3261">
        <v>0</v>
      </c>
      <c r="K119" s="3261">
        <v>0</v>
      </c>
      <c r="L119" s="3261">
        <v>1</v>
      </c>
      <c r="M119" s="161"/>
      <c r="N119" s="161">
        <v>0</v>
      </c>
      <c r="O119" s="161">
        <v>1</v>
      </c>
      <c r="P119" s="73"/>
      <c r="R119" s="74"/>
      <c r="S119" s="74"/>
      <c r="T119" s="74"/>
      <c r="U119" s="74" t="s">
        <v>1284</v>
      </c>
      <c r="V119" s="3229"/>
      <c r="W119" s="3229">
        <v>1</v>
      </c>
      <c r="X119" s="3229">
        <v>0</v>
      </c>
      <c r="Y119" s="3229"/>
      <c r="Z119" s="3229">
        <v>0</v>
      </c>
      <c r="AA119" s="3229"/>
      <c r="AB119" s="3229"/>
      <c r="AC119" s="3229">
        <v>4</v>
      </c>
      <c r="AD119" s="3229">
        <v>0</v>
      </c>
      <c r="AE119" s="121">
        <v>0</v>
      </c>
      <c r="AF119" s="121">
        <v>0</v>
      </c>
      <c r="AG119" s="121">
        <v>5</v>
      </c>
      <c r="AJ119" s="161"/>
      <c r="AK119" s="161"/>
      <c r="AL119" s="73"/>
      <c r="AM119" s="73" t="s">
        <v>1289</v>
      </c>
      <c r="AN119" s="2600"/>
      <c r="AO119" s="2600">
        <v>0</v>
      </c>
      <c r="AP119" s="2600">
        <v>0</v>
      </c>
      <c r="AQ119" s="2600"/>
      <c r="AR119" s="2600"/>
      <c r="AS119" s="2600">
        <v>1</v>
      </c>
      <c r="AT119" s="2600">
        <v>0</v>
      </c>
      <c r="AU119" s="2600">
        <v>1</v>
      </c>
      <c r="AV119" s="2600">
        <v>0</v>
      </c>
      <c r="AW119" s="161">
        <v>0</v>
      </c>
      <c r="AX119" s="161">
        <v>0</v>
      </c>
      <c r="AY119" s="161">
        <v>2</v>
      </c>
      <c r="AZ119" s="161"/>
      <c r="BB119" s="2191"/>
      <c r="BC119" s="2191"/>
      <c r="BD119" s="2192"/>
      <c r="BE119" s="2193" t="s">
        <v>1286</v>
      </c>
      <c r="BF119" s="2195">
        <v>2</v>
      </c>
      <c r="BG119" s="2194"/>
      <c r="BH119" s="2194"/>
      <c r="BI119" s="2194"/>
      <c r="BJ119" s="2194"/>
      <c r="BK119" s="2195">
        <v>0</v>
      </c>
      <c r="BL119" s="2195">
        <v>0</v>
      </c>
      <c r="BM119" s="2195">
        <v>0</v>
      </c>
      <c r="BN119" s="963"/>
      <c r="BO119" s="963"/>
      <c r="BP119" s="964">
        <v>2</v>
      </c>
      <c r="BQ119" s="73"/>
      <c r="BS119" s="879"/>
      <c r="BT119" s="879"/>
      <c r="BU119" s="880"/>
      <c r="BV119" s="881" t="s">
        <v>1289</v>
      </c>
      <c r="BW119" s="883">
        <v>0</v>
      </c>
      <c r="BX119" s="883">
        <v>0</v>
      </c>
      <c r="BY119" s="883">
        <v>0</v>
      </c>
      <c r="BZ119" s="883">
        <v>1</v>
      </c>
      <c r="CA119" s="883">
        <v>1</v>
      </c>
      <c r="CB119" s="883">
        <v>0</v>
      </c>
      <c r="CC119" s="883">
        <v>0</v>
      </c>
      <c r="CD119" s="883">
        <v>0</v>
      </c>
      <c r="CE119" s="884">
        <v>0</v>
      </c>
      <c r="CF119" s="884">
        <v>0</v>
      </c>
      <c r="CG119" s="884">
        <v>2</v>
      </c>
      <c r="CH119" s="161"/>
      <c r="CJ119" s="885"/>
      <c r="CK119" s="885"/>
      <c r="CL119" s="885"/>
      <c r="CM119" s="897" t="s">
        <v>15</v>
      </c>
      <c r="CN119" s="898"/>
      <c r="CO119" s="898"/>
      <c r="CP119" s="898"/>
      <c r="CQ119" s="898"/>
      <c r="CR119" s="898"/>
      <c r="CS119" s="898"/>
      <c r="CT119" s="898"/>
      <c r="CU119" s="899">
        <v>1</v>
      </c>
      <c r="CV119" s="899">
        <v>17</v>
      </c>
      <c r="CW119" s="900"/>
      <c r="CX119" s="900"/>
      <c r="CY119" s="901">
        <v>18</v>
      </c>
      <c r="CZ119" s="891">
        <f>+CY117/CY119</f>
        <v>0.16666666666666666</v>
      </c>
      <c r="DB119" s="892"/>
      <c r="DC119" s="892"/>
      <c r="DD119" s="892"/>
      <c r="DE119" s="893" t="s">
        <v>1398</v>
      </c>
      <c r="DF119" s="894"/>
      <c r="DG119" s="894"/>
      <c r="DH119" s="895">
        <v>0</v>
      </c>
      <c r="DI119" s="895">
        <v>0</v>
      </c>
      <c r="DJ119" s="894"/>
      <c r="DK119" s="895">
        <v>6</v>
      </c>
      <c r="DL119" s="894"/>
      <c r="DM119" s="894"/>
      <c r="DN119" s="894"/>
      <c r="DO119" s="894"/>
      <c r="DP119" s="895">
        <v>6</v>
      </c>
      <c r="DQ119" s="792"/>
      <c r="DS119" s="121"/>
      <c r="DT119" s="121"/>
      <c r="DU119" s="74"/>
      <c r="DV119" s="74" t="s">
        <v>1293</v>
      </c>
      <c r="DW119" s="121"/>
      <c r="DX119" s="121"/>
      <c r="DY119" s="121">
        <v>0</v>
      </c>
      <c r="DZ119" s="121">
        <v>0</v>
      </c>
      <c r="EA119" s="121"/>
      <c r="EB119" s="121">
        <v>1</v>
      </c>
      <c r="EC119" s="121"/>
      <c r="ED119" s="121">
        <v>0</v>
      </c>
      <c r="EE119" s="121"/>
      <c r="EF119" s="121"/>
      <c r="EG119" s="121">
        <v>1</v>
      </c>
      <c r="EH119" s="74"/>
      <c r="EI119" s="74"/>
      <c r="EJ119" s="793"/>
      <c r="EK119" s="793"/>
      <c r="EL119" s="793"/>
      <c r="EM119" s="793" t="s">
        <v>1292</v>
      </c>
      <c r="EN119" s="793">
        <v>0</v>
      </c>
      <c r="EO119" s="793">
        <v>0</v>
      </c>
      <c r="EP119" s="793">
        <v>0</v>
      </c>
      <c r="EQ119" s="793">
        <v>0</v>
      </c>
      <c r="ER119" s="793">
        <v>0</v>
      </c>
      <c r="ES119" s="793">
        <v>0</v>
      </c>
      <c r="ET119" s="793">
        <v>0</v>
      </c>
      <c r="EU119" s="793">
        <v>4</v>
      </c>
      <c r="EV119" s="793">
        <v>7</v>
      </c>
      <c r="EW119" s="793">
        <v>0</v>
      </c>
      <c r="EX119" s="793">
        <v>0</v>
      </c>
      <c r="EY119" s="794">
        <v>11</v>
      </c>
      <c r="EZ119" s="896"/>
      <c r="FA119" s="795"/>
    </row>
    <row r="120" spans="1:157">
      <c r="A120" s="73"/>
      <c r="B120" s="73"/>
      <c r="C120" s="73"/>
      <c r="D120" s="73" t="s">
        <v>1398</v>
      </c>
      <c r="E120" s="3261"/>
      <c r="F120" s="3261"/>
      <c r="G120" s="3261"/>
      <c r="H120" s="3261"/>
      <c r="I120" s="3261">
        <v>0</v>
      </c>
      <c r="J120" s="3261">
        <v>1</v>
      </c>
      <c r="K120" s="3261">
        <v>0</v>
      </c>
      <c r="L120" s="3261">
        <v>0</v>
      </c>
      <c r="M120" s="161"/>
      <c r="N120" s="161">
        <v>0</v>
      </c>
      <c r="O120" s="161">
        <v>1</v>
      </c>
      <c r="P120" s="73"/>
      <c r="R120" s="74"/>
      <c r="S120" s="74"/>
      <c r="T120" s="74"/>
      <c r="U120" s="74" t="s">
        <v>1286</v>
      </c>
      <c r="V120" s="3229"/>
      <c r="W120" s="3229">
        <v>1</v>
      </c>
      <c r="X120" s="3229">
        <v>1</v>
      </c>
      <c r="Y120" s="3229"/>
      <c r="Z120" s="3229">
        <v>0</v>
      </c>
      <c r="AA120" s="3229"/>
      <c r="AB120" s="3229"/>
      <c r="AC120" s="3229">
        <v>0</v>
      </c>
      <c r="AD120" s="3229">
        <v>0</v>
      </c>
      <c r="AE120" s="121">
        <v>0</v>
      </c>
      <c r="AF120" s="121">
        <v>0</v>
      </c>
      <c r="AG120" s="121">
        <v>2</v>
      </c>
      <c r="AJ120" s="161"/>
      <c r="AK120" s="161"/>
      <c r="AL120" s="73"/>
      <c r="AM120" s="73" t="s">
        <v>1292</v>
      </c>
      <c r="AN120" s="2600"/>
      <c r="AO120" s="2600">
        <v>0</v>
      </c>
      <c r="AP120" s="2600">
        <v>0</v>
      </c>
      <c r="AQ120" s="2600"/>
      <c r="AR120" s="2600"/>
      <c r="AS120" s="2600">
        <v>0</v>
      </c>
      <c r="AT120" s="2600">
        <v>0</v>
      </c>
      <c r="AU120" s="2600">
        <v>1</v>
      </c>
      <c r="AV120" s="2600">
        <v>4</v>
      </c>
      <c r="AW120" s="161">
        <v>0</v>
      </c>
      <c r="AX120" s="161">
        <v>0</v>
      </c>
      <c r="AY120" s="161">
        <v>5</v>
      </c>
      <c r="AZ120" s="161"/>
      <c r="BB120" s="2191"/>
      <c r="BC120" s="2191"/>
      <c r="BD120" s="2192"/>
      <c r="BE120" s="2193" t="s">
        <v>1288</v>
      </c>
      <c r="BF120" s="2195">
        <v>0</v>
      </c>
      <c r="BG120" s="2194"/>
      <c r="BH120" s="2194"/>
      <c r="BI120" s="2194"/>
      <c r="BJ120" s="2194"/>
      <c r="BK120" s="2195">
        <v>1</v>
      </c>
      <c r="BL120" s="2195">
        <v>2</v>
      </c>
      <c r="BM120" s="2195">
        <v>0</v>
      </c>
      <c r="BN120" s="963"/>
      <c r="BO120" s="963"/>
      <c r="BP120" s="964">
        <v>3</v>
      </c>
      <c r="BQ120" s="73"/>
      <c r="BS120" s="879"/>
      <c r="BT120" s="879"/>
      <c r="BU120" s="880"/>
      <c r="BV120" s="881" t="s">
        <v>1292</v>
      </c>
      <c r="BW120" s="883">
        <v>0</v>
      </c>
      <c r="BX120" s="883">
        <v>0</v>
      </c>
      <c r="BY120" s="883">
        <v>0</v>
      </c>
      <c r="BZ120" s="883">
        <v>0</v>
      </c>
      <c r="CA120" s="883">
        <v>0</v>
      </c>
      <c r="CB120" s="883">
        <v>0</v>
      </c>
      <c r="CC120" s="883">
        <v>0</v>
      </c>
      <c r="CD120" s="883">
        <v>30</v>
      </c>
      <c r="CE120" s="884">
        <v>2</v>
      </c>
      <c r="CF120" s="884">
        <v>3</v>
      </c>
      <c r="CG120" s="884">
        <v>35</v>
      </c>
      <c r="CH120" s="161"/>
      <c r="CJ120" s="885"/>
      <c r="CK120" s="885"/>
      <c r="CL120" s="885" t="s">
        <v>129</v>
      </c>
      <c r="CM120" s="886" t="s">
        <v>1283</v>
      </c>
      <c r="CN120" s="887"/>
      <c r="CO120" s="887"/>
      <c r="CP120" s="888">
        <v>0</v>
      </c>
      <c r="CQ120" s="888">
        <v>0</v>
      </c>
      <c r="CR120" s="887"/>
      <c r="CS120" s="887"/>
      <c r="CT120" s="887"/>
      <c r="CU120" s="888">
        <v>0</v>
      </c>
      <c r="CV120" s="888">
        <v>0</v>
      </c>
      <c r="CW120" s="890">
        <v>0</v>
      </c>
      <c r="CX120" s="890">
        <v>1</v>
      </c>
      <c r="CY120" s="890">
        <v>1</v>
      </c>
      <c r="CZ120" s="891"/>
      <c r="DB120" s="892"/>
      <c r="DC120" s="892"/>
      <c r="DD120" s="892"/>
      <c r="DE120" s="902" t="s">
        <v>15</v>
      </c>
      <c r="DF120" s="903"/>
      <c r="DG120" s="903"/>
      <c r="DH120" s="904">
        <v>1</v>
      </c>
      <c r="DI120" s="904">
        <v>2</v>
      </c>
      <c r="DJ120" s="903"/>
      <c r="DK120" s="904">
        <v>23</v>
      </c>
      <c r="DL120" s="903"/>
      <c r="DM120" s="903"/>
      <c r="DN120" s="903"/>
      <c r="DO120" s="903"/>
      <c r="DP120" s="904">
        <v>26</v>
      </c>
      <c r="DQ120" s="905">
        <f>+(DP119+DP118+DP117)/DP120</f>
        <v>0.30769230769230771</v>
      </c>
      <c r="DS120" s="121"/>
      <c r="DT120" s="121"/>
      <c r="DU120" s="74"/>
      <c r="DV120" s="74" t="s">
        <v>1398</v>
      </c>
      <c r="DW120" s="121"/>
      <c r="DX120" s="121"/>
      <c r="DY120" s="121">
        <v>0</v>
      </c>
      <c r="DZ120" s="121">
        <v>0</v>
      </c>
      <c r="EA120" s="121"/>
      <c r="EB120" s="121">
        <v>1</v>
      </c>
      <c r="EC120" s="121"/>
      <c r="ED120" s="121">
        <v>0</v>
      </c>
      <c r="EE120" s="121"/>
      <c r="EF120" s="121"/>
      <c r="EG120" s="121">
        <v>1</v>
      </c>
      <c r="EH120" s="74"/>
      <c r="EI120" s="74"/>
      <c r="EJ120" s="793"/>
      <c r="EK120" s="793"/>
      <c r="EL120" s="793"/>
      <c r="EM120" s="793" t="s">
        <v>1293</v>
      </c>
      <c r="EN120" s="793">
        <v>0</v>
      </c>
      <c r="EO120" s="793">
        <v>0</v>
      </c>
      <c r="EP120" s="793">
        <v>0</v>
      </c>
      <c r="EQ120" s="793">
        <v>0</v>
      </c>
      <c r="ER120" s="793">
        <v>0</v>
      </c>
      <c r="ES120" s="793">
        <v>0</v>
      </c>
      <c r="ET120" s="793">
        <v>1</v>
      </c>
      <c r="EU120" s="793">
        <v>0</v>
      </c>
      <c r="EV120" s="793">
        <v>0</v>
      </c>
      <c r="EW120" s="793">
        <v>0</v>
      </c>
      <c r="EX120" s="793">
        <v>0</v>
      </c>
      <c r="EY120" s="794">
        <v>1</v>
      </c>
      <c r="EZ120" s="896"/>
      <c r="FA120" s="795"/>
    </row>
    <row r="121" spans="1:157">
      <c r="A121" s="73"/>
      <c r="B121" s="73"/>
      <c r="C121" s="73"/>
      <c r="D121" s="73" t="s">
        <v>3964</v>
      </c>
      <c r="E121" s="3261"/>
      <c r="F121" s="3261"/>
      <c r="G121" s="3261"/>
      <c r="H121" s="3261"/>
      <c r="I121" s="3261">
        <v>0</v>
      </c>
      <c r="J121" s="3261">
        <v>0</v>
      </c>
      <c r="K121" s="3261">
        <v>0</v>
      </c>
      <c r="L121" s="3261">
        <v>0</v>
      </c>
      <c r="M121" s="161"/>
      <c r="N121" s="161">
        <v>1</v>
      </c>
      <c r="O121" s="161">
        <v>1</v>
      </c>
      <c r="P121" s="73"/>
      <c r="R121" s="74"/>
      <c r="S121" s="74"/>
      <c r="T121" s="74"/>
      <c r="U121" s="74" t="s">
        <v>1288</v>
      </c>
      <c r="V121" s="3229"/>
      <c r="W121" s="3229">
        <v>0</v>
      </c>
      <c r="X121" s="3229">
        <v>0</v>
      </c>
      <c r="Y121" s="3229"/>
      <c r="Z121" s="3229">
        <v>0</v>
      </c>
      <c r="AA121" s="3229"/>
      <c r="AB121" s="3229"/>
      <c r="AC121" s="3229">
        <v>2</v>
      </c>
      <c r="AD121" s="3229">
        <v>0</v>
      </c>
      <c r="AE121" s="121">
        <v>0</v>
      </c>
      <c r="AF121" s="121">
        <v>0</v>
      </c>
      <c r="AG121" s="121">
        <v>2</v>
      </c>
      <c r="AJ121" s="161"/>
      <c r="AK121" s="161"/>
      <c r="AL121" s="73"/>
      <c r="AM121" s="738" t="s">
        <v>15</v>
      </c>
      <c r="AN121" s="2601"/>
      <c r="AO121" s="2601">
        <v>1</v>
      </c>
      <c r="AP121" s="2601">
        <v>1</v>
      </c>
      <c r="AQ121" s="2601"/>
      <c r="AR121" s="2601"/>
      <c r="AS121" s="2601">
        <v>1</v>
      </c>
      <c r="AT121" s="2601">
        <v>1</v>
      </c>
      <c r="AU121" s="2601">
        <v>4</v>
      </c>
      <c r="AV121" s="2601">
        <v>7</v>
      </c>
      <c r="AW121" s="151">
        <v>1</v>
      </c>
      <c r="AX121" s="151">
        <v>1</v>
      </c>
      <c r="AY121" s="151">
        <v>17</v>
      </c>
      <c r="AZ121" s="912">
        <f>+AY118/AY121</f>
        <v>5.8823529411764705E-2</v>
      </c>
      <c r="BB121" s="2191"/>
      <c r="BC121" s="2191"/>
      <c r="BD121" s="2192"/>
      <c r="BE121" s="2193" t="s">
        <v>1292</v>
      </c>
      <c r="BF121" s="2195">
        <v>0</v>
      </c>
      <c r="BG121" s="2194"/>
      <c r="BH121" s="2194"/>
      <c r="BI121" s="2194"/>
      <c r="BJ121" s="2194"/>
      <c r="BK121" s="2195">
        <v>0</v>
      </c>
      <c r="BL121" s="2195">
        <v>1</v>
      </c>
      <c r="BM121" s="2195">
        <v>4</v>
      </c>
      <c r="BN121" s="963"/>
      <c r="BO121" s="963"/>
      <c r="BP121" s="964">
        <v>5</v>
      </c>
      <c r="BQ121" s="73"/>
      <c r="BS121" s="879"/>
      <c r="BT121" s="879"/>
      <c r="BU121" s="880"/>
      <c r="BV121" s="881" t="s">
        <v>1398</v>
      </c>
      <c r="BW121" s="883">
        <v>0</v>
      </c>
      <c r="BX121" s="883">
        <v>0</v>
      </c>
      <c r="BY121" s="883">
        <v>0</v>
      </c>
      <c r="BZ121" s="883">
        <v>0</v>
      </c>
      <c r="CA121" s="883">
        <v>0</v>
      </c>
      <c r="CB121" s="883">
        <v>2</v>
      </c>
      <c r="CC121" s="883">
        <v>2</v>
      </c>
      <c r="CD121" s="883">
        <v>3</v>
      </c>
      <c r="CE121" s="884">
        <v>0</v>
      </c>
      <c r="CF121" s="884">
        <v>0</v>
      </c>
      <c r="CG121" s="884">
        <v>7</v>
      </c>
      <c r="CH121" s="161"/>
      <c r="CJ121" s="885"/>
      <c r="CK121" s="885"/>
      <c r="CL121" s="885"/>
      <c r="CM121" s="886" t="s">
        <v>1284</v>
      </c>
      <c r="CN121" s="887"/>
      <c r="CO121" s="887"/>
      <c r="CP121" s="888">
        <v>1</v>
      </c>
      <c r="CQ121" s="888">
        <v>0</v>
      </c>
      <c r="CR121" s="887"/>
      <c r="CS121" s="887"/>
      <c r="CT121" s="887"/>
      <c r="CU121" s="888">
        <v>1</v>
      </c>
      <c r="CV121" s="888">
        <v>0</v>
      </c>
      <c r="CW121" s="890">
        <v>0</v>
      </c>
      <c r="CX121" s="890">
        <v>0</v>
      </c>
      <c r="CY121" s="890">
        <v>2</v>
      </c>
      <c r="CZ121" s="891"/>
      <c r="DB121" s="892"/>
      <c r="DC121" s="892"/>
      <c r="DD121" s="892" t="s">
        <v>136</v>
      </c>
      <c r="DE121" s="893" t="s">
        <v>1284</v>
      </c>
      <c r="DF121" s="894"/>
      <c r="DG121" s="894"/>
      <c r="DH121" s="894"/>
      <c r="DI121" s="895">
        <v>0</v>
      </c>
      <c r="DJ121" s="894"/>
      <c r="DK121" s="895">
        <v>4</v>
      </c>
      <c r="DL121" s="895">
        <v>2</v>
      </c>
      <c r="DM121" s="895">
        <v>0</v>
      </c>
      <c r="DN121" s="894"/>
      <c r="DO121" s="894"/>
      <c r="DP121" s="895">
        <v>6</v>
      </c>
      <c r="DQ121" s="792"/>
      <c r="DS121" s="121"/>
      <c r="DT121" s="121"/>
      <c r="DU121" s="74"/>
      <c r="DV121" s="761" t="s">
        <v>15</v>
      </c>
      <c r="DW121" s="729"/>
      <c r="DX121" s="729"/>
      <c r="DY121" s="729">
        <v>3</v>
      </c>
      <c r="DZ121" s="729">
        <v>1</v>
      </c>
      <c r="EA121" s="729"/>
      <c r="EB121" s="729">
        <v>11</v>
      </c>
      <c r="EC121" s="729"/>
      <c r="ED121" s="729">
        <v>1</v>
      </c>
      <c r="EE121" s="729"/>
      <c r="EF121" s="729"/>
      <c r="EG121" s="729">
        <v>16</v>
      </c>
      <c r="EH121" s="813">
        <f>+(EG117+EG119+EG120)/EG121</f>
        <v>0.1875</v>
      </c>
      <c r="EI121" s="74"/>
      <c r="EJ121" s="793"/>
      <c r="EK121" s="793"/>
      <c r="EL121" s="793"/>
      <c r="EM121" s="793" t="s">
        <v>1398</v>
      </c>
      <c r="EN121" s="793">
        <v>0</v>
      </c>
      <c r="EO121" s="793">
        <v>0</v>
      </c>
      <c r="EP121" s="793">
        <v>0</v>
      </c>
      <c r="EQ121" s="793">
        <v>0</v>
      </c>
      <c r="ER121" s="793">
        <v>0</v>
      </c>
      <c r="ES121" s="793">
        <v>0</v>
      </c>
      <c r="ET121" s="793">
        <v>0</v>
      </c>
      <c r="EU121" s="793">
        <v>1</v>
      </c>
      <c r="EV121" s="793">
        <v>0</v>
      </c>
      <c r="EW121" s="793">
        <v>0</v>
      </c>
      <c r="EX121" s="793">
        <v>0</v>
      </c>
      <c r="EY121" s="794">
        <v>1</v>
      </c>
      <c r="EZ121" s="896"/>
      <c r="FA121" s="795"/>
    </row>
    <row r="122" spans="1:157">
      <c r="A122" s="73"/>
      <c r="B122" s="73"/>
      <c r="C122" s="73"/>
      <c r="D122" s="738" t="s">
        <v>15</v>
      </c>
      <c r="E122" s="3262"/>
      <c r="F122" s="3262"/>
      <c r="G122" s="3262"/>
      <c r="H122" s="3262"/>
      <c r="I122" s="3262">
        <v>1</v>
      </c>
      <c r="J122" s="3262">
        <v>1</v>
      </c>
      <c r="K122" s="3262">
        <v>4</v>
      </c>
      <c r="L122" s="3262">
        <v>2</v>
      </c>
      <c r="M122" s="4674"/>
      <c r="N122" s="4674">
        <v>1</v>
      </c>
      <c r="O122" s="4674">
        <v>9</v>
      </c>
      <c r="P122" s="912">
        <f>+(O121+O118-N121)/O122</f>
        <v>0.33333333333333331</v>
      </c>
      <c r="Q122" s="3197"/>
      <c r="R122" s="74"/>
      <c r="S122" s="74"/>
      <c r="T122" s="74"/>
      <c r="U122" s="74" t="s">
        <v>1289</v>
      </c>
      <c r="V122" s="3229"/>
      <c r="W122" s="3229">
        <v>0</v>
      </c>
      <c r="X122" s="3229">
        <v>0</v>
      </c>
      <c r="Y122" s="3229"/>
      <c r="Z122" s="3229">
        <v>1</v>
      </c>
      <c r="AA122" s="3229"/>
      <c r="AB122" s="3229"/>
      <c r="AC122" s="3229">
        <v>0</v>
      </c>
      <c r="AD122" s="3229">
        <v>0</v>
      </c>
      <c r="AE122" s="121">
        <v>0</v>
      </c>
      <c r="AF122" s="121">
        <v>0</v>
      </c>
      <c r="AG122" s="121">
        <v>1</v>
      </c>
      <c r="AJ122" s="161"/>
      <c r="AK122" s="161"/>
      <c r="AL122" s="73" t="s">
        <v>834</v>
      </c>
      <c r="AM122" s="73" t="s">
        <v>1283</v>
      </c>
      <c r="AN122" s="2600"/>
      <c r="AO122" s="2600">
        <v>0</v>
      </c>
      <c r="AP122" s="2600"/>
      <c r="AQ122" s="2600"/>
      <c r="AR122" s="2600"/>
      <c r="AS122" s="2600"/>
      <c r="AT122" s="2600"/>
      <c r="AU122" s="2600">
        <v>0</v>
      </c>
      <c r="AV122" s="2600">
        <v>1</v>
      </c>
      <c r="AW122" s="161">
        <v>0</v>
      </c>
      <c r="AX122" s="161">
        <v>0</v>
      </c>
      <c r="AY122" s="161">
        <v>1</v>
      </c>
      <c r="AZ122" s="161"/>
      <c r="BB122" s="2191"/>
      <c r="BC122" s="2191"/>
      <c r="BD122" s="2192"/>
      <c r="BE122" s="2193" t="s">
        <v>1398</v>
      </c>
      <c r="BF122" s="2195">
        <v>0</v>
      </c>
      <c r="BG122" s="2194"/>
      <c r="BH122" s="2194"/>
      <c r="BI122" s="2194"/>
      <c r="BJ122" s="2194"/>
      <c r="BK122" s="2195">
        <v>0</v>
      </c>
      <c r="BL122" s="2195">
        <v>1</v>
      </c>
      <c r="BM122" s="2195">
        <v>0</v>
      </c>
      <c r="BN122" s="963"/>
      <c r="BO122" s="963"/>
      <c r="BP122" s="964">
        <v>1</v>
      </c>
      <c r="BQ122" s="73"/>
      <c r="BS122" s="879"/>
      <c r="BT122" s="879"/>
      <c r="BU122" s="880"/>
      <c r="BV122" s="907" t="s">
        <v>572</v>
      </c>
      <c r="BW122" s="909">
        <v>7</v>
      </c>
      <c r="BX122" s="909">
        <v>2</v>
      </c>
      <c r="BY122" s="909">
        <v>1</v>
      </c>
      <c r="BZ122" s="909">
        <v>1</v>
      </c>
      <c r="CA122" s="909">
        <v>1</v>
      </c>
      <c r="CB122" s="909">
        <v>6</v>
      </c>
      <c r="CC122" s="909">
        <v>14</v>
      </c>
      <c r="CD122" s="909">
        <v>60</v>
      </c>
      <c r="CE122" s="911">
        <v>11</v>
      </c>
      <c r="CF122" s="911">
        <v>10</v>
      </c>
      <c r="CG122" s="911">
        <v>113</v>
      </c>
      <c r="CH122" s="912">
        <f>+(CG118-CE118+CG121)/CG122</f>
        <v>0.19469026548672566</v>
      </c>
      <c r="CJ122" s="885"/>
      <c r="CK122" s="885"/>
      <c r="CL122" s="885"/>
      <c r="CM122" s="886" t="s">
        <v>1288</v>
      </c>
      <c r="CN122" s="887"/>
      <c r="CO122" s="887"/>
      <c r="CP122" s="888">
        <v>0</v>
      </c>
      <c r="CQ122" s="888">
        <v>0</v>
      </c>
      <c r="CR122" s="887"/>
      <c r="CS122" s="887"/>
      <c r="CT122" s="887"/>
      <c r="CU122" s="888">
        <v>1</v>
      </c>
      <c r="CV122" s="888">
        <v>2</v>
      </c>
      <c r="CW122" s="890">
        <v>1</v>
      </c>
      <c r="CX122" s="890">
        <v>1</v>
      </c>
      <c r="CY122" s="890">
        <v>5</v>
      </c>
      <c r="CZ122" s="891"/>
      <c r="DB122" s="892"/>
      <c r="DC122" s="892"/>
      <c r="DD122" s="892"/>
      <c r="DE122" s="893" t="s">
        <v>1286</v>
      </c>
      <c r="DF122" s="894"/>
      <c r="DG122" s="894"/>
      <c r="DH122" s="894"/>
      <c r="DI122" s="895">
        <v>1</v>
      </c>
      <c r="DJ122" s="894"/>
      <c r="DK122" s="895">
        <v>0</v>
      </c>
      <c r="DL122" s="895">
        <v>0</v>
      </c>
      <c r="DM122" s="895">
        <v>0</v>
      </c>
      <c r="DN122" s="894"/>
      <c r="DO122" s="894"/>
      <c r="DP122" s="895">
        <v>1</v>
      </c>
      <c r="DQ122" s="792"/>
      <c r="DS122" s="121"/>
      <c r="DT122" s="121"/>
      <c r="DU122" s="74" t="s">
        <v>142</v>
      </c>
      <c r="DV122" s="74" t="s">
        <v>1283</v>
      </c>
      <c r="DW122" s="121"/>
      <c r="DX122" s="121"/>
      <c r="DY122" s="121"/>
      <c r="DZ122" s="121"/>
      <c r="EA122" s="121"/>
      <c r="EB122" s="121">
        <v>0</v>
      </c>
      <c r="EC122" s="121">
        <v>0</v>
      </c>
      <c r="ED122" s="121">
        <v>1</v>
      </c>
      <c r="EE122" s="121"/>
      <c r="EF122" s="121">
        <v>0</v>
      </c>
      <c r="EG122" s="121">
        <v>1</v>
      </c>
      <c r="EH122" s="74"/>
      <c r="EI122" s="74"/>
      <c r="EJ122" s="793"/>
      <c r="EK122" s="793"/>
      <c r="EL122" s="793"/>
      <c r="EM122" s="796" t="s">
        <v>15</v>
      </c>
      <c r="EN122" s="796">
        <v>0</v>
      </c>
      <c r="EO122" s="796">
        <v>0</v>
      </c>
      <c r="EP122" s="796">
        <v>0</v>
      </c>
      <c r="EQ122" s="796">
        <v>0</v>
      </c>
      <c r="ER122" s="796">
        <v>0</v>
      </c>
      <c r="ES122" s="796">
        <v>1</v>
      </c>
      <c r="ET122" s="796">
        <v>10</v>
      </c>
      <c r="EU122" s="796">
        <v>6</v>
      </c>
      <c r="EV122" s="796">
        <v>7</v>
      </c>
      <c r="EW122" s="796">
        <v>0</v>
      </c>
      <c r="EX122" s="796">
        <v>0</v>
      </c>
      <c r="EY122" s="856">
        <v>24</v>
      </c>
      <c r="EZ122" s="906">
        <f>+(EY121+EY120+EY118)/EY122</f>
        <v>0.125</v>
      </c>
      <c r="FA122" s="795">
        <f>+EY118+EY120+EY121</f>
        <v>3</v>
      </c>
    </row>
    <row r="123" spans="1:157">
      <c r="A123" s="73"/>
      <c r="B123" s="73"/>
      <c r="C123" s="73" t="s">
        <v>125</v>
      </c>
      <c r="D123" s="73" t="s">
        <v>1283</v>
      </c>
      <c r="E123" s="3261"/>
      <c r="F123" s="3261"/>
      <c r="G123" s="3261"/>
      <c r="H123" s="3261"/>
      <c r="I123" s="3261"/>
      <c r="J123" s="3261">
        <v>0</v>
      </c>
      <c r="K123" s="3261"/>
      <c r="L123" s="3261">
        <v>1</v>
      </c>
      <c r="M123" s="161">
        <v>0</v>
      </c>
      <c r="N123" s="161">
        <v>0</v>
      </c>
      <c r="O123" s="161">
        <v>1</v>
      </c>
      <c r="P123" s="73"/>
      <c r="R123" s="74"/>
      <c r="S123" s="74"/>
      <c r="T123" s="74"/>
      <c r="U123" s="74" t="s">
        <v>1292</v>
      </c>
      <c r="V123" s="3229"/>
      <c r="W123" s="3229">
        <v>0</v>
      </c>
      <c r="X123" s="3229">
        <v>0</v>
      </c>
      <c r="Y123" s="3229"/>
      <c r="Z123" s="3229">
        <v>0</v>
      </c>
      <c r="AA123" s="3229"/>
      <c r="AB123" s="3229"/>
      <c r="AC123" s="3229">
        <v>0</v>
      </c>
      <c r="AD123" s="3229">
        <v>8</v>
      </c>
      <c r="AE123" s="121">
        <v>2</v>
      </c>
      <c r="AF123" s="121">
        <v>0</v>
      </c>
      <c r="AG123" s="121">
        <v>10</v>
      </c>
      <c r="AJ123" s="161"/>
      <c r="AK123" s="161"/>
      <c r="AL123" s="73"/>
      <c r="AM123" s="73" t="s">
        <v>1284</v>
      </c>
      <c r="AN123" s="2600"/>
      <c r="AO123" s="2600">
        <v>1</v>
      </c>
      <c r="AP123" s="2600"/>
      <c r="AQ123" s="2600"/>
      <c r="AR123" s="2600"/>
      <c r="AS123" s="2600"/>
      <c r="AT123" s="2600"/>
      <c r="AU123" s="2600">
        <v>1</v>
      </c>
      <c r="AV123" s="2600">
        <v>0</v>
      </c>
      <c r="AW123" s="161">
        <v>0</v>
      </c>
      <c r="AX123" s="161">
        <v>0</v>
      </c>
      <c r="AY123" s="161">
        <v>2</v>
      </c>
      <c r="AZ123" s="161"/>
      <c r="BB123" s="2191"/>
      <c r="BC123" s="2191"/>
      <c r="BD123" s="2192"/>
      <c r="BE123" s="760" t="s">
        <v>15</v>
      </c>
      <c r="BF123" s="2197">
        <v>3</v>
      </c>
      <c r="BG123" s="2196"/>
      <c r="BH123" s="2196"/>
      <c r="BI123" s="2196"/>
      <c r="BJ123" s="2196"/>
      <c r="BK123" s="2197">
        <v>2</v>
      </c>
      <c r="BL123" s="2197">
        <v>4</v>
      </c>
      <c r="BM123" s="2197">
        <v>5</v>
      </c>
      <c r="BN123" s="972"/>
      <c r="BO123" s="972"/>
      <c r="BP123" s="973">
        <v>14</v>
      </c>
      <c r="BQ123" s="2154">
        <f>+(BP120+BP122)/BP123</f>
        <v>0.2857142857142857</v>
      </c>
      <c r="BS123" s="879"/>
      <c r="BT123" s="879" t="s">
        <v>16</v>
      </c>
      <c r="BU123" s="880" t="s">
        <v>127</v>
      </c>
      <c r="BV123" s="881" t="s">
        <v>1284</v>
      </c>
      <c r="BW123" s="882"/>
      <c r="BX123" s="883">
        <v>1</v>
      </c>
      <c r="BY123" s="883">
        <v>0</v>
      </c>
      <c r="BZ123" s="882"/>
      <c r="CA123" s="882"/>
      <c r="CB123" s="883">
        <v>1</v>
      </c>
      <c r="CC123" s="883">
        <v>4</v>
      </c>
      <c r="CD123" s="883">
        <v>0</v>
      </c>
      <c r="CE123" s="879"/>
      <c r="CF123" s="879"/>
      <c r="CG123" s="884">
        <v>6</v>
      </c>
      <c r="CH123" s="161"/>
      <c r="CJ123" s="885"/>
      <c r="CK123" s="885"/>
      <c r="CL123" s="885"/>
      <c r="CM123" s="886" t="s">
        <v>1289</v>
      </c>
      <c r="CN123" s="887"/>
      <c r="CO123" s="887"/>
      <c r="CP123" s="888">
        <v>1</v>
      </c>
      <c r="CQ123" s="888">
        <v>1</v>
      </c>
      <c r="CR123" s="887"/>
      <c r="CS123" s="887"/>
      <c r="CT123" s="887"/>
      <c r="CU123" s="888">
        <v>0</v>
      </c>
      <c r="CV123" s="888">
        <v>0</v>
      </c>
      <c r="CW123" s="890">
        <v>0</v>
      </c>
      <c r="CX123" s="890">
        <v>0</v>
      </c>
      <c r="CY123" s="890">
        <v>2</v>
      </c>
      <c r="CZ123" s="891"/>
      <c r="DB123" s="892"/>
      <c r="DC123" s="892"/>
      <c r="DD123" s="892"/>
      <c r="DE123" s="893" t="s">
        <v>1292</v>
      </c>
      <c r="DF123" s="894"/>
      <c r="DG123" s="894"/>
      <c r="DH123" s="894"/>
      <c r="DI123" s="895">
        <v>0</v>
      </c>
      <c r="DJ123" s="894"/>
      <c r="DK123" s="895">
        <v>0</v>
      </c>
      <c r="DL123" s="895">
        <v>0</v>
      </c>
      <c r="DM123" s="895">
        <v>6</v>
      </c>
      <c r="DN123" s="894"/>
      <c r="DO123" s="894"/>
      <c r="DP123" s="895">
        <v>6</v>
      </c>
      <c r="DQ123" s="792"/>
      <c r="DS123" s="121"/>
      <c r="DT123" s="121"/>
      <c r="DU123" s="74"/>
      <c r="DV123" s="74" t="s">
        <v>1284</v>
      </c>
      <c r="DW123" s="121"/>
      <c r="DX123" s="121"/>
      <c r="DY123" s="121"/>
      <c r="DZ123" s="121"/>
      <c r="EA123" s="121"/>
      <c r="EB123" s="121">
        <v>5</v>
      </c>
      <c r="EC123" s="121">
        <v>0</v>
      </c>
      <c r="ED123" s="121">
        <v>1</v>
      </c>
      <c r="EE123" s="121"/>
      <c r="EF123" s="121">
        <v>0</v>
      </c>
      <c r="EG123" s="121">
        <v>6</v>
      </c>
      <c r="EH123" s="74"/>
      <c r="EI123" s="74"/>
      <c r="EJ123" s="793"/>
      <c r="EK123" s="793"/>
      <c r="EL123" s="793" t="s">
        <v>134</v>
      </c>
      <c r="EM123" s="793" t="s">
        <v>1284</v>
      </c>
      <c r="EN123" s="793">
        <v>0</v>
      </c>
      <c r="EO123" s="793">
        <v>0</v>
      </c>
      <c r="EP123" s="793">
        <v>0</v>
      </c>
      <c r="EQ123" s="793">
        <v>1</v>
      </c>
      <c r="ER123" s="793">
        <v>0</v>
      </c>
      <c r="ES123" s="793">
        <v>0</v>
      </c>
      <c r="ET123" s="793">
        <v>7</v>
      </c>
      <c r="EU123" s="793">
        <v>0</v>
      </c>
      <c r="EV123" s="793">
        <v>0</v>
      </c>
      <c r="EW123" s="793">
        <v>0</v>
      </c>
      <c r="EX123" s="793">
        <v>0</v>
      </c>
      <c r="EY123" s="794">
        <v>8</v>
      </c>
      <c r="EZ123" s="896"/>
      <c r="FA123" s="795"/>
    </row>
    <row r="124" spans="1:157">
      <c r="A124" s="73"/>
      <c r="B124" s="73"/>
      <c r="C124" s="73"/>
      <c r="D124" s="73" t="s">
        <v>1288</v>
      </c>
      <c r="E124" s="3261"/>
      <c r="F124" s="3261"/>
      <c r="G124" s="3261"/>
      <c r="H124" s="3261"/>
      <c r="I124" s="3261"/>
      <c r="J124" s="3261">
        <v>0</v>
      </c>
      <c r="K124" s="3261"/>
      <c r="L124" s="3261">
        <v>1</v>
      </c>
      <c r="M124" s="161">
        <v>0</v>
      </c>
      <c r="N124" s="161">
        <v>0</v>
      </c>
      <c r="O124" s="161">
        <v>1</v>
      </c>
      <c r="P124" s="73"/>
      <c r="R124" s="74"/>
      <c r="S124" s="74"/>
      <c r="T124" s="74"/>
      <c r="U124" s="761" t="s">
        <v>15</v>
      </c>
      <c r="V124" s="3230"/>
      <c r="W124" s="3230">
        <v>2</v>
      </c>
      <c r="X124" s="3230">
        <v>1</v>
      </c>
      <c r="Y124" s="3230"/>
      <c r="Z124" s="3230">
        <v>1</v>
      </c>
      <c r="AA124" s="3230"/>
      <c r="AB124" s="3230"/>
      <c r="AC124" s="3230">
        <v>7</v>
      </c>
      <c r="AD124" s="3230">
        <v>10</v>
      </c>
      <c r="AE124" s="729">
        <v>3</v>
      </c>
      <c r="AF124" s="729">
        <v>1</v>
      </c>
      <c r="AG124" s="729">
        <v>25</v>
      </c>
      <c r="AH124" s="4681">
        <f>+AG121/AG124</f>
        <v>0.08</v>
      </c>
      <c r="AJ124" s="161"/>
      <c r="AK124" s="161"/>
      <c r="AL124" s="73"/>
      <c r="AM124" s="73" t="s">
        <v>1288</v>
      </c>
      <c r="AN124" s="2600"/>
      <c r="AO124" s="2600">
        <v>0</v>
      </c>
      <c r="AP124" s="2600"/>
      <c r="AQ124" s="2600"/>
      <c r="AR124" s="2600"/>
      <c r="AS124" s="2600"/>
      <c r="AT124" s="2600"/>
      <c r="AU124" s="2600">
        <v>0</v>
      </c>
      <c r="AV124" s="2600">
        <v>0</v>
      </c>
      <c r="AW124" s="161">
        <v>2</v>
      </c>
      <c r="AX124" s="161">
        <v>0</v>
      </c>
      <c r="AY124" s="161">
        <v>2</v>
      </c>
      <c r="AZ124" s="161"/>
      <c r="BB124" s="2191"/>
      <c r="BC124" s="2191"/>
      <c r="BD124" s="2192" t="s">
        <v>125</v>
      </c>
      <c r="BE124" s="2193" t="s">
        <v>1283</v>
      </c>
      <c r="BF124" s="2194"/>
      <c r="BG124" s="2194"/>
      <c r="BH124" s="2195">
        <v>0</v>
      </c>
      <c r="BI124" s="2195">
        <v>0</v>
      </c>
      <c r="BJ124" s="2194"/>
      <c r="BK124" s="2195">
        <v>0</v>
      </c>
      <c r="BL124" s="2195">
        <v>0</v>
      </c>
      <c r="BM124" s="2195">
        <v>1</v>
      </c>
      <c r="BN124" s="964">
        <v>0</v>
      </c>
      <c r="BO124" s="963"/>
      <c r="BP124" s="964">
        <v>1</v>
      </c>
      <c r="BQ124" s="73"/>
      <c r="BS124" s="879"/>
      <c r="BT124" s="879"/>
      <c r="BU124" s="880"/>
      <c r="BV124" s="881" t="s">
        <v>1288</v>
      </c>
      <c r="BW124" s="882"/>
      <c r="BX124" s="883">
        <v>0</v>
      </c>
      <c r="BY124" s="883">
        <v>0</v>
      </c>
      <c r="BZ124" s="882"/>
      <c r="CA124" s="882"/>
      <c r="CB124" s="883">
        <v>0</v>
      </c>
      <c r="CC124" s="883">
        <v>30</v>
      </c>
      <c r="CD124" s="883">
        <v>0</v>
      </c>
      <c r="CE124" s="879"/>
      <c r="CF124" s="879"/>
      <c r="CG124" s="884">
        <v>30</v>
      </c>
      <c r="CH124" s="161"/>
      <c r="CJ124" s="885"/>
      <c r="CK124" s="885"/>
      <c r="CL124" s="885"/>
      <c r="CM124" s="886" t="s">
        <v>1293</v>
      </c>
      <c r="CN124" s="887"/>
      <c r="CO124" s="887"/>
      <c r="CP124" s="888">
        <v>0</v>
      </c>
      <c r="CQ124" s="888">
        <v>0</v>
      </c>
      <c r="CR124" s="887"/>
      <c r="CS124" s="887"/>
      <c r="CT124" s="887"/>
      <c r="CU124" s="888">
        <v>0</v>
      </c>
      <c r="CV124" s="888">
        <v>2</v>
      </c>
      <c r="CW124" s="890">
        <v>1</v>
      </c>
      <c r="CX124" s="890">
        <v>1</v>
      </c>
      <c r="CY124" s="890">
        <v>4</v>
      </c>
      <c r="CZ124" s="891"/>
      <c r="DB124" s="892"/>
      <c r="DC124" s="892"/>
      <c r="DD124" s="892"/>
      <c r="DE124" s="893" t="s">
        <v>1398</v>
      </c>
      <c r="DF124" s="894"/>
      <c r="DG124" s="894"/>
      <c r="DH124" s="894"/>
      <c r="DI124" s="895">
        <v>0</v>
      </c>
      <c r="DJ124" s="894"/>
      <c r="DK124" s="895">
        <v>0</v>
      </c>
      <c r="DL124" s="895">
        <v>3</v>
      </c>
      <c r="DM124" s="895">
        <v>0</v>
      </c>
      <c r="DN124" s="894"/>
      <c r="DO124" s="894"/>
      <c r="DP124" s="895">
        <v>3</v>
      </c>
      <c r="DQ124" s="792"/>
      <c r="DS124" s="121"/>
      <c r="DT124" s="121"/>
      <c r="DU124" s="74"/>
      <c r="DV124" s="74" t="s">
        <v>1288</v>
      </c>
      <c r="DW124" s="121"/>
      <c r="DX124" s="121"/>
      <c r="DY124" s="121"/>
      <c r="DZ124" s="121"/>
      <c r="EA124" s="121"/>
      <c r="EB124" s="121">
        <v>0</v>
      </c>
      <c r="EC124" s="121">
        <v>1</v>
      </c>
      <c r="ED124" s="121">
        <v>0</v>
      </c>
      <c r="EE124" s="121"/>
      <c r="EF124" s="121">
        <v>0</v>
      </c>
      <c r="EG124" s="121">
        <v>1</v>
      </c>
      <c r="EH124" s="74"/>
      <c r="EI124" s="74"/>
      <c r="EJ124" s="793"/>
      <c r="EK124" s="793"/>
      <c r="EL124" s="793"/>
      <c r="EM124" s="793" t="s">
        <v>1288</v>
      </c>
      <c r="EN124" s="793">
        <v>0</v>
      </c>
      <c r="EO124" s="793">
        <v>0</v>
      </c>
      <c r="EP124" s="793">
        <v>0</v>
      </c>
      <c r="EQ124" s="793">
        <v>0</v>
      </c>
      <c r="ER124" s="793">
        <v>0</v>
      </c>
      <c r="ES124" s="793">
        <v>0</v>
      </c>
      <c r="ET124" s="793">
        <v>1</v>
      </c>
      <c r="EU124" s="793">
        <v>0</v>
      </c>
      <c r="EV124" s="793">
        <v>0</v>
      </c>
      <c r="EW124" s="793">
        <v>0</v>
      </c>
      <c r="EX124" s="793">
        <v>0</v>
      </c>
      <c r="EY124" s="794">
        <v>1</v>
      </c>
      <c r="EZ124" s="896"/>
      <c r="FA124" s="795"/>
    </row>
    <row r="125" spans="1:157">
      <c r="A125" s="73"/>
      <c r="B125" s="73"/>
      <c r="C125" s="73"/>
      <c r="D125" s="73" t="s">
        <v>1292</v>
      </c>
      <c r="E125" s="3261"/>
      <c r="F125" s="3261"/>
      <c r="G125" s="3261"/>
      <c r="H125" s="3261"/>
      <c r="I125" s="3261"/>
      <c r="J125" s="3261">
        <v>0</v>
      </c>
      <c r="K125" s="3261"/>
      <c r="L125" s="3261">
        <v>4</v>
      </c>
      <c r="M125" s="161">
        <v>1</v>
      </c>
      <c r="N125" s="161">
        <v>2</v>
      </c>
      <c r="O125" s="161">
        <v>7</v>
      </c>
      <c r="P125" s="73"/>
      <c r="R125" s="74"/>
      <c r="S125" s="74"/>
      <c r="T125" s="74" t="s">
        <v>123</v>
      </c>
      <c r="U125" s="74" t="s">
        <v>1284</v>
      </c>
      <c r="V125" s="3229"/>
      <c r="W125" s="3229">
        <v>0</v>
      </c>
      <c r="X125" s="3229"/>
      <c r="Y125" s="3229"/>
      <c r="Z125" s="3229"/>
      <c r="AA125" s="3229"/>
      <c r="AB125" s="3229">
        <v>2</v>
      </c>
      <c r="AC125" s="3229">
        <v>0</v>
      </c>
      <c r="AD125" s="3229">
        <v>0</v>
      </c>
      <c r="AE125" s="121"/>
      <c r="AF125" s="121"/>
      <c r="AG125" s="121">
        <v>2</v>
      </c>
      <c r="AJ125" s="161"/>
      <c r="AK125" s="161"/>
      <c r="AL125" s="73"/>
      <c r="AM125" s="73" t="s">
        <v>1292</v>
      </c>
      <c r="AN125" s="2600"/>
      <c r="AO125" s="2600">
        <v>0</v>
      </c>
      <c r="AP125" s="2600"/>
      <c r="AQ125" s="2600"/>
      <c r="AR125" s="2600"/>
      <c r="AS125" s="2600"/>
      <c r="AT125" s="2600"/>
      <c r="AU125" s="2600">
        <v>0</v>
      </c>
      <c r="AV125" s="2600">
        <v>0</v>
      </c>
      <c r="AW125" s="161">
        <v>0</v>
      </c>
      <c r="AX125" s="161">
        <v>6</v>
      </c>
      <c r="AY125" s="161">
        <v>6</v>
      </c>
      <c r="AZ125" s="161"/>
      <c r="BB125" s="2191"/>
      <c r="BC125" s="2191"/>
      <c r="BD125" s="2192"/>
      <c r="BE125" s="2193" t="s">
        <v>1284</v>
      </c>
      <c r="BF125" s="2194"/>
      <c r="BG125" s="2194"/>
      <c r="BH125" s="2195">
        <v>0</v>
      </c>
      <c r="BI125" s="2195">
        <v>0</v>
      </c>
      <c r="BJ125" s="2194"/>
      <c r="BK125" s="2195">
        <v>0</v>
      </c>
      <c r="BL125" s="2195">
        <v>0</v>
      </c>
      <c r="BM125" s="2195">
        <v>0</v>
      </c>
      <c r="BN125" s="964">
        <v>1</v>
      </c>
      <c r="BO125" s="963"/>
      <c r="BP125" s="964">
        <v>1</v>
      </c>
      <c r="BQ125" s="73"/>
      <c r="BS125" s="879"/>
      <c r="BT125" s="879"/>
      <c r="BU125" s="880"/>
      <c r="BV125" s="881" t="s">
        <v>1289</v>
      </c>
      <c r="BW125" s="882"/>
      <c r="BX125" s="883">
        <v>0</v>
      </c>
      <c r="BY125" s="883">
        <v>1</v>
      </c>
      <c r="BZ125" s="882"/>
      <c r="CA125" s="882"/>
      <c r="CB125" s="883">
        <v>0</v>
      </c>
      <c r="CC125" s="883">
        <v>0</v>
      </c>
      <c r="CD125" s="883">
        <v>0</v>
      </c>
      <c r="CE125" s="879"/>
      <c r="CF125" s="879"/>
      <c r="CG125" s="884">
        <v>1</v>
      </c>
      <c r="CH125" s="161"/>
      <c r="CJ125" s="885"/>
      <c r="CK125" s="885"/>
      <c r="CL125" s="885"/>
      <c r="CM125" s="897" t="s">
        <v>15</v>
      </c>
      <c r="CN125" s="898"/>
      <c r="CO125" s="898"/>
      <c r="CP125" s="899">
        <v>2</v>
      </c>
      <c r="CQ125" s="899">
        <v>1</v>
      </c>
      <c r="CR125" s="898"/>
      <c r="CS125" s="898"/>
      <c r="CT125" s="898"/>
      <c r="CU125" s="899">
        <v>2</v>
      </c>
      <c r="CV125" s="899">
        <v>4</v>
      </c>
      <c r="CW125" s="901">
        <v>2</v>
      </c>
      <c r="CX125" s="901">
        <v>3</v>
      </c>
      <c r="CY125" s="901">
        <v>14</v>
      </c>
      <c r="CZ125" s="891">
        <f>+(CY124+CY122-CW124-CX124-CW122-CX122)/CY125</f>
        <v>0.35714285714285715</v>
      </c>
      <c r="DB125" s="892"/>
      <c r="DC125" s="892"/>
      <c r="DD125" s="892"/>
      <c r="DE125" s="902" t="s">
        <v>15</v>
      </c>
      <c r="DF125" s="903"/>
      <c r="DG125" s="903"/>
      <c r="DH125" s="903"/>
      <c r="DI125" s="904">
        <v>1</v>
      </c>
      <c r="DJ125" s="903"/>
      <c r="DK125" s="904">
        <v>4</v>
      </c>
      <c r="DL125" s="904">
        <v>5</v>
      </c>
      <c r="DM125" s="904">
        <v>6</v>
      </c>
      <c r="DN125" s="903"/>
      <c r="DO125" s="903"/>
      <c r="DP125" s="904">
        <v>16</v>
      </c>
      <c r="DQ125" s="905">
        <f>+DP124/DP125</f>
        <v>0.1875</v>
      </c>
      <c r="DS125" s="121"/>
      <c r="DT125" s="121"/>
      <c r="DU125" s="74"/>
      <c r="DV125" s="74" t="s">
        <v>1292</v>
      </c>
      <c r="DW125" s="121"/>
      <c r="DX125" s="121"/>
      <c r="DY125" s="121"/>
      <c r="DZ125" s="121"/>
      <c r="EA125" s="121"/>
      <c r="EB125" s="121">
        <v>0</v>
      </c>
      <c r="EC125" s="121">
        <v>0</v>
      </c>
      <c r="ED125" s="121">
        <v>1</v>
      </c>
      <c r="EE125" s="121"/>
      <c r="EF125" s="121">
        <v>2</v>
      </c>
      <c r="EG125" s="121">
        <v>3</v>
      </c>
      <c r="EH125" s="74"/>
      <c r="EI125" s="74"/>
      <c r="EJ125" s="793"/>
      <c r="EK125" s="793"/>
      <c r="EL125" s="793"/>
      <c r="EM125" s="793" t="s">
        <v>1292</v>
      </c>
      <c r="EN125" s="793">
        <v>0</v>
      </c>
      <c r="EO125" s="793">
        <v>0</v>
      </c>
      <c r="EP125" s="793">
        <v>0</v>
      </c>
      <c r="EQ125" s="793">
        <v>0</v>
      </c>
      <c r="ER125" s="793">
        <v>0</v>
      </c>
      <c r="ES125" s="793">
        <v>0</v>
      </c>
      <c r="ET125" s="793">
        <v>0</v>
      </c>
      <c r="EU125" s="793">
        <v>1</v>
      </c>
      <c r="EV125" s="793">
        <v>0</v>
      </c>
      <c r="EW125" s="793">
        <v>0</v>
      </c>
      <c r="EX125" s="793">
        <v>0</v>
      </c>
      <c r="EY125" s="794">
        <v>1</v>
      </c>
      <c r="EZ125" s="896"/>
      <c r="FA125" s="795"/>
    </row>
    <row r="126" spans="1:157">
      <c r="A126" s="73"/>
      <c r="B126" s="73"/>
      <c r="C126" s="73"/>
      <c r="D126" s="73" t="s">
        <v>1398</v>
      </c>
      <c r="E126" s="3261"/>
      <c r="F126" s="3261"/>
      <c r="G126" s="3261"/>
      <c r="H126" s="3261"/>
      <c r="I126" s="3261"/>
      <c r="J126" s="3261">
        <v>2</v>
      </c>
      <c r="K126" s="3261"/>
      <c r="L126" s="3261">
        <v>0</v>
      </c>
      <c r="M126" s="161">
        <v>0</v>
      </c>
      <c r="N126" s="161">
        <v>0</v>
      </c>
      <c r="O126" s="161">
        <v>2</v>
      </c>
      <c r="P126" s="73"/>
      <c r="R126" s="74"/>
      <c r="S126" s="74"/>
      <c r="T126" s="74"/>
      <c r="U126" s="74" t="s">
        <v>1286</v>
      </c>
      <c r="V126" s="3229"/>
      <c r="W126" s="3229">
        <v>1</v>
      </c>
      <c r="X126" s="3229"/>
      <c r="Y126" s="3229"/>
      <c r="Z126" s="3229"/>
      <c r="AA126" s="3229"/>
      <c r="AB126" s="3229">
        <v>0</v>
      </c>
      <c r="AC126" s="3229">
        <v>0</v>
      </c>
      <c r="AD126" s="3229">
        <v>0</v>
      </c>
      <c r="AE126" s="121"/>
      <c r="AF126" s="121"/>
      <c r="AG126" s="121">
        <v>1</v>
      </c>
      <c r="AJ126" s="161"/>
      <c r="AK126" s="161"/>
      <c r="AL126" s="73"/>
      <c r="AM126" s="73" t="s">
        <v>1398</v>
      </c>
      <c r="AN126" s="2600"/>
      <c r="AO126" s="2600">
        <v>0</v>
      </c>
      <c r="AP126" s="2600"/>
      <c r="AQ126" s="2600"/>
      <c r="AR126" s="2600"/>
      <c r="AS126" s="2600"/>
      <c r="AT126" s="2600"/>
      <c r="AU126" s="2600">
        <v>1</v>
      </c>
      <c r="AV126" s="2600">
        <v>1</v>
      </c>
      <c r="AW126" s="161">
        <v>0</v>
      </c>
      <c r="AX126" s="161">
        <v>0</v>
      </c>
      <c r="AY126" s="161">
        <v>2</v>
      </c>
      <c r="AZ126" s="161"/>
      <c r="BB126" s="2191"/>
      <c r="BC126" s="2191"/>
      <c r="BD126" s="2192"/>
      <c r="BE126" s="2193" t="s">
        <v>1288</v>
      </c>
      <c r="BF126" s="2194"/>
      <c r="BG126" s="2194"/>
      <c r="BH126" s="2195">
        <v>0</v>
      </c>
      <c r="BI126" s="2195">
        <v>0</v>
      </c>
      <c r="BJ126" s="2194"/>
      <c r="BK126" s="2195">
        <v>0</v>
      </c>
      <c r="BL126" s="2195">
        <v>1</v>
      </c>
      <c r="BM126" s="2195">
        <v>0</v>
      </c>
      <c r="BN126" s="964">
        <v>0</v>
      </c>
      <c r="BO126" s="963"/>
      <c r="BP126" s="964">
        <v>1</v>
      </c>
      <c r="BQ126" s="73"/>
      <c r="BS126" s="879"/>
      <c r="BT126" s="879"/>
      <c r="BU126" s="880"/>
      <c r="BV126" s="881" t="s">
        <v>1292</v>
      </c>
      <c r="BW126" s="882"/>
      <c r="BX126" s="883">
        <v>0</v>
      </c>
      <c r="BY126" s="883">
        <v>0</v>
      </c>
      <c r="BZ126" s="882"/>
      <c r="CA126" s="882"/>
      <c r="CB126" s="883">
        <v>0</v>
      </c>
      <c r="CC126" s="883">
        <v>1</v>
      </c>
      <c r="CD126" s="883">
        <v>21</v>
      </c>
      <c r="CE126" s="879"/>
      <c r="CF126" s="879"/>
      <c r="CG126" s="884">
        <v>22</v>
      </c>
      <c r="CH126" s="161"/>
      <c r="CJ126" s="885"/>
      <c r="CK126" s="885"/>
      <c r="CL126" s="897" t="s">
        <v>573</v>
      </c>
      <c r="CM126" s="886" t="s">
        <v>1283</v>
      </c>
      <c r="CN126" s="887"/>
      <c r="CO126" s="887"/>
      <c r="CP126" s="888">
        <v>0</v>
      </c>
      <c r="CQ126" s="888">
        <v>0</v>
      </c>
      <c r="CR126" s="887"/>
      <c r="CS126" s="887"/>
      <c r="CT126" s="887"/>
      <c r="CU126" s="888">
        <v>0</v>
      </c>
      <c r="CV126" s="888">
        <v>2</v>
      </c>
      <c r="CW126" s="890">
        <v>0</v>
      </c>
      <c r="CX126" s="890">
        <v>1</v>
      </c>
      <c r="CY126" s="890">
        <v>3</v>
      </c>
      <c r="CZ126" s="891"/>
      <c r="DB126" s="892"/>
      <c r="DC126" s="892"/>
      <c r="DD126" s="892" t="s">
        <v>137</v>
      </c>
      <c r="DE126" s="893" t="s">
        <v>1284</v>
      </c>
      <c r="DF126" s="894"/>
      <c r="DG126" s="894"/>
      <c r="DH126" s="894"/>
      <c r="DI126" s="894"/>
      <c r="DJ126" s="894"/>
      <c r="DK126" s="895">
        <v>11</v>
      </c>
      <c r="DL126" s="895">
        <v>1</v>
      </c>
      <c r="DM126" s="895">
        <v>0</v>
      </c>
      <c r="DN126" s="894"/>
      <c r="DO126" s="894"/>
      <c r="DP126" s="895">
        <v>12</v>
      </c>
      <c r="DQ126" s="792"/>
      <c r="DS126" s="121"/>
      <c r="DT126" s="121"/>
      <c r="DU126" s="74"/>
      <c r="DV126" s="74" t="s">
        <v>1293</v>
      </c>
      <c r="DW126" s="121"/>
      <c r="DX126" s="121"/>
      <c r="DY126" s="121"/>
      <c r="DZ126" s="121"/>
      <c r="EA126" s="121"/>
      <c r="EB126" s="121">
        <v>3</v>
      </c>
      <c r="EC126" s="121">
        <v>0</v>
      </c>
      <c r="ED126" s="121">
        <v>0</v>
      </c>
      <c r="EE126" s="121"/>
      <c r="EF126" s="121">
        <v>0</v>
      </c>
      <c r="EG126" s="121">
        <v>3</v>
      </c>
      <c r="EH126" s="74"/>
      <c r="EI126" s="74"/>
      <c r="EJ126" s="793"/>
      <c r="EK126" s="793"/>
      <c r="EL126" s="793"/>
      <c r="EM126" s="793" t="s">
        <v>1293</v>
      </c>
      <c r="EN126" s="793">
        <v>0</v>
      </c>
      <c r="EO126" s="793">
        <v>0</v>
      </c>
      <c r="EP126" s="793">
        <v>0</v>
      </c>
      <c r="EQ126" s="793">
        <v>0</v>
      </c>
      <c r="ER126" s="793">
        <v>0</v>
      </c>
      <c r="ES126" s="793">
        <v>0</v>
      </c>
      <c r="ET126" s="793">
        <v>6</v>
      </c>
      <c r="EU126" s="793">
        <v>3</v>
      </c>
      <c r="EV126" s="793">
        <v>0</v>
      </c>
      <c r="EW126" s="793">
        <v>0</v>
      </c>
      <c r="EX126" s="793">
        <v>0</v>
      </c>
      <c r="EY126" s="794">
        <v>9</v>
      </c>
      <c r="EZ126" s="896"/>
      <c r="FA126" s="795"/>
    </row>
    <row r="127" spans="1:157">
      <c r="A127" s="73"/>
      <c r="B127" s="73"/>
      <c r="C127" s="73"/>
      <c r="D127" s="738" t="s">
        <v>15</v>
      </c>
      <c r="E127" s="3262"/>
      <c r="F127" s="3262"/>
      <c r="G127" s="3262"/>
      <c r="H127" s="3262"/>
      <c r="I127" s="3262"/>
      <c r="J127" s="3262">
        <v>2</v>
      </c>
      <c r="K127" s="3262"/>
      <c r="L127" s="3262">
        <v>6</v>
      </c>
      <c r="M127" s="4674">
        <v>1</v>
      </c>
      <c r="N127" s="4674">
        <v>2</v>
      </c>
      <c r="O127" s="4674">
        <v>11</v>
      </c>
      <c r="P127" s="912">
        <f>+(O126+O124)/O127</f>
        <v>0.27272727272727271</v>
      </c>
      <c r="Q127" s="3197"/>
      <c r="R127" s="74"/>
      <c r="S127" s="74"/>
      <c r="T127" s="74"/>
      <c r="U127" s="74" t="s">
        <v>1288</v>
      </c>
      <c r="V127" s="3229"/>
      <c r="W127" s="3229">
        <v>0</v>
      </c>
      <c r="X127" s="3229"/>
      <c r="Y127" s="3229"/>
      <c r="Z127" s="3229"/>
      <c r="AA127" s="3229"/>
      <c r="AB127" s="3229">
        <v>2</v>
      </c>
      <c r="AC127" s="3229">
        <v>0</v>
      </c>
      <c r="AD127" s="3229">
        <v>1</v>
      </c>
      <c r="AE127" s="121"/>
      <c r="AF127" s="121"/>
      <c r="AG127" s="121">
        <v>3</v>
      </c>
      <c r="AJ127" s="161"/>
      <c r="AK127" s="161"/>
      <c r="AL127" s="73"/>
      <c r="AM127" s="738" t="s">
        <v>15</v>
      </c>
      <c r="AN127" s="2601"/>
      <c r="AO127" s="2601">
        <v>1</v>
      </c>
      <c r="AP127" s="2601"/>
      <c r="AQ127" s="2601"/>
      <c r="AR127" s="2601"/>
      <c r="AS127" s="2601"/>
      <c r="AT127" s="2601"/>
      <c r="AU127" s="2601">
        <v>2</v>
      </c>
      <c r="AV127" s="2601">
        <v>2</v>
      </c>
      <c r="AW127" s="151">
        <v>2</v>
      </c>
      <c r="AX127" s="151">
        <v>6</v>
      </c>
      <c r="AY127" s="151">
        <v>13</v>
      </c>
      <c r="AZ127" s="912">
        <f>+(AY124+AY126-AW124)/AY127</f>
        <v>0.15384615384615385</v>
      </c>
      <c r="BB127" s="2191"/>
      <c r="BC127" s="2191"/>
      <c r="BD127" s="2192"/>
      <c r="BE127" s="2193" t="s">
        <v>1289</v>
      </c>
      <c r="BF127" s="2194"/>
      <c r="BG127" s="2194"/>
      <c r="BH127" s="2195">
        <v>1</v>
      </c>
      <c r="BI127" s="2195">
        <v>1</v>
      </c>
      <c r="BJ127" s="2194"/>
      <c r="BK127" s="2195">
        <v>0</v>
      </c>
      <c r="BL127" s="2195">
        <v>0</v>
      </c>
      <c r="BM127" s="2195">
        <v>0</v>
      </c>
      <c r="BN127" s="964">
        <v>0</v>
      </c>
      <c r="BO127" s="963"/>
      <c r="BP127" s="964">
        <v>2</v>
      </c>
      <c r="BQ127" s="73"/>
      <c r="BS127" s="879"/>
      <c r="BT127" s="879"/>
      <c r="BU127" s="880"/>
      <c r="BV127" s="881" t="s">
        <v>1398</v>
      </c>
      <c r="BW127" s="882"/>
      <c r="BX127" s="883">
        <v>0</v>
      </c>
      <c r="BY127" s="883">
        <v>0</v>
      </c>
      <c r="BZ127" s="882"/>
      <c r="CA127" s="882"/>
      <c r="CB127" s="883">
        <v>2</v>
      </c>
      <c r="CC127" s="883">
        <v>3</v>
      </c>
      <c r="CD127" s="883">
        <v>0</v>
      </c>
      <c r="CE127" s="879"/>
      <c r="CF127" s="879"/>
      <c r="CG127" s="884">
        <v>5</v>
      </c>
      <c r="CH127" s="161"/>
      <c r="CJ127" s="885"/>
      <c r="CK127" s="885"/>
      <c r="CL127" s="885"/>
      <c r="CM127" s="886" t="s">
        <v>1284</v>
      </c>
      <c r="CN127" s="887"/>
      <c r="CO127" s="887"/>
      <c r="CP127" s="888">
        <v>1</v>
      </c>
      <c r="CQ127" s="888">
        <v>0</v>
      </c>
      <c r="CR127" s="887"/>
      <c r="CS127" s="887"/>
      <c r="CT127" s="887"/>
      <c r="CU127" s="888">
        <v>1</v>
      </c>
      <c r="CV127" s="888">
        <v>0</v>
      </c>
      <c r="CW127" s="890">
        <v>0</v>
      </c>
      <c r="CX127" s="890">
        <v>0</v>
      </c>
      <c r="CY127" s="890">
        <v>2</v>
      </c>
      <c r="CZ127" s="891"/>
      <c r="DB127" s="892"/>
      <c r="DC127" s="892"/>
      <c r="DD127" s="892"/>
      <c r="DE127" s="893" t="s">
        <v>1288</v>
      </c>
      <c r="DF127" s="894"/>
      <c r="DG127" s="894"/>
      <c r="DH127" s="894"/>
      <c r="DI127" s="894"/>
      <c r="DJ127" s="894"/>
      <c r="DK127" s="895">
        <v>3</v>
      </c>
      <c r="DL127" s="895">
        <v>0</v>
      </c>
      <c r="DM127" s="895">
        <v>0</v>
      </c>
      <c r="DN127" s="894"/>
      <c r="DO127" s="894"/>
      <c r="DP127" s="895">
        <v>3</v>
      </c>
      <c r="DQ127" s="792"/>
      <c r="DS127" s="121"/>
      <c r="DT127" s="121"/>
      <c r="DU127" s="74"/>
      <c r="DV127" s="74" t="s">
        <v>1398</v>
      </c>
      <c r="DW127" s="121"/>
      <c r="DX127" s="121"/>
      <c r="DY127" s="121"/>
      <c r="DZ127" s="121"/>
      <c r="EA127" s="121"/>
      <c r="EB127" s="121">
        <v>4</v>
      </c>
      <c r="EC127" s="121">
        <v>0</v>
      </c>
      <c r="ED127" s="121">
        <v>0</v>
      </c>
      <c r="EE127" s="121"/>
      <c r="EF127" s="121">
        <v>0</v>
      </c>
      <c r="EG127" s="121">
        <v>4</v>
      </c>
      <c r="EH127" s="74"/>
      <c r="EI127" s="74"/>
      <c r="EJ127" s="793"/>
      <c r="EK127" s="793"/>
      <c r="EL127" s="793"/>
      <c r="EM127" s="793" t="s">
        <v>1398</v>
      </c>
      <c r="EN127" s="793">
        <v>0</v>
      </c>
      <c r="EO127" s="793">
        <v>0</v>
      </c>
      <c r="EP127" s="793">
        <v>0</v>
      </c>
      <c r="EQ127" s="793">
        <v>0</v>
      </c>
      <c r="ER127" s="793">
        <v>0</v>
      </c>
      <c r="ES127" s="793">
        <v>0</v>
      </c>
      <c r="ET127" s="793">
        <v>2</v>
      </c>
      <c r="EU127" s="793">
        <v>1</v>
      </c>
      <c r="EV127" s="793">
        <v>0</v>
      </c>
      <c r="EW127" s="793">
        <v>0</v>
      </c>
      <c r="EX127" s="793">
        <v>0</v>
      </c>
      <c r="EY127" s="794">
        <v>3</v>
      </c>
      <c r="EZ127" s="896"/>
      <c r="FA127" s="795"/>
    </row>
    <row r="128" spans="1:157">
      <c r="A128" s="73"/>
      <c r="B128" s="73"/>
      <c r="C128" s="73" t="s">
        <v>424</v>
      </c>
      <c r="D128" s="73" t="s">
        <v>1284</v>
      </c>
      <c r="E128" s="3261"/>
      <c r="F128" s="3261"/>
      <c r="G128" s="3261"/>
      <c r="H128" s="3261"/>
      <c r="I128" s="3261"/>
      <c r="J128" s="3261"/>
      <c r="K128" s="3261">
        <v>1</v>
      </c>
      <c r="L128" s="3261">
        <v>0</v>
      </c>
      <c r="M128" s="161">
        <v>0</v>
      </c>
      <c r="N128" s="161">
        <v>0</v>
      </c>
      <c r="O128" s="161">
        <v>1</v>
      </c>
      <c r="P128" s="73"/>
      <c r="R128" s="74"/>
      <c r="S128" s="74"/>
      <c r="T128" s="74"/>
      <c r="U128" s="74" t="s">
        <v>1292</v>
      </c>
      <c r="V128" s="3229"/>
      <c r="W128" s="3229">
        <v>0</v>
      </c>
      <c r="X128" s="3229"/>
      <c r="Y128" s="3229"/>
      <c r="Z128" s="3229"/>
      <c r="AA128" s="3229"/>
      <c r="AB128" s="3229">
        <v>0</v>
      </c>
      <c r="AC128" s="3229">
        <v>0</v>
      </c>
      <c r="AD128" s="3229">
        <v>1</v>
      </c>
      <c r="AE128" s="121"/>
      <c r="AF128" s="121"/>
      <c r="AG128" s="121">
        <v>1</v>
      </c>
      <c r="AJ128" s="161"/>
      <c r="AK128" s="161"/>
      <c r="AL128" s="73" t="s">
        <v>572</v>
      </c>
      <c r="AM128" s="73" t="s">
        <v>1283</v>
      </c>
      <c r="AN128" s="2600"/>
      <c r="AO128" s="2600">
        <v>0</v>
      </c>
      <c r="AP128" s="2600">
        <v>0</v>
      </c>
      <c r="AQ128" s="2600">
        <v>0</v>
      </c>
      <c r="AR128" s="2600">
        <v>0</v>
      </c>
      <c r="AS128" s="2600">
        <v>0</v>
      </c>
      <c r="AT128" s="2600">
        <v>0</v>
      </c>
      <c r="AU128" s="2600">
        <v>1</v>
      </c>
      <c r="AV128" s="2600">
        <v>10</v>
      </c>
      <c r="AW128" s="161">
        <v>4</v>
      </c>
      <c r="AX128" s="161">
        <v>2</v>
      </c>
      <c r="AY128" s="161">
        <v>17</v>
      </c>
      <c r="AZ128" s="161"/>
      <c r="BB128" s="2191"/>
      <c r="BC128" s="2191"/>
      <c r="BD128" s="2192"/>
      <c r="BE128" s="2193" t="s">
        <v>1292</v>
      </c>
      <c r="BF128" s="2194"/>
      <c r="BG128" s="2194"/>
      <c r="BH128" s="2195">
        <v>0</v>
      </c>
      <c r="BI128" s="2195">
        <v>0</v>
      </c>
      <c r="BJ128" s="2194"/>
      <c r="BK128" s="2195">
        <v>0</v>
      </c>
      <c r="BL128" s="2195">
        <v>0</v>
      </c>
      <c r="BM128" s="2195">
        <v>2</v>
      </c>
      <c r="BN128" s="964">
        <v>1</v>
      </c>
      <c r="BO128" s="963"/>
      <c r="BP128" s="964">
        <v>3</v>
      </c>
      <c r="BQ128" s="73"/>
      <c r="BS128" s="879"/>
      <c r="BT128" s="879"/>
      <c r="BU128" s="880"/>
      <c r="BV128" s="907" t="s">
        <v>15</v>
      </c>
      <c r="BW128" s="908"/>
      <c r="BX128" s="909">
        <v>1</v>
      </c>
      <c r="BY128" s="909">
        <v>1</v>
      </c>
      <c r="BZ128" s="908"/>
      <c r="CA128" s="908"/>
      <c r="CB128" s="909">
        <v>3</v>
      </c>
      <c r="CC128" s="909">
        <v>38</v>
      </c>
      <c r="CD128" s="909">
        <v>21</v>
      </c>
      <c r="CE128" s="910"/>
      <c r="CF128" s="910"/>
      <c r="CG128" s="911">
        <v>64</v>
      </c>
      <c r="CH128" s="912">
        <f>+(CG124+CG127)/CG128</f>
        <v>0.546875</v>
      </c>
      <c r="CJ128" s="885"/>
      <c r="CK128" s="885"/>
      <c r="CL128" s="885"/>
      <c r="CM128" s="886" t="s">
        <v>1288</v>
      </c>
      <c r="CN128" s="887"/>
      <c r="CO128" s="887"/>
      <c r="CP128" s="888">
        <v>0</v>
      </c>
      <c r="CQ128" s="888">
        <v>0</v>
      </c>
      <c r="CR128" s="887"/>
      <c r="CS128" s="887"/>
      <c r="CT128" s="887"/>
      <c r="CU128" s="888">
        <v>2</v>
      </c>
      <c r="CV128" s="888">
        <v>4</v>
      </c>
      <c r="CW128" s="890">
        <v>1</v>
      </c>
      <c r="CX128" s="890">
        <v>1</v>
      </c>
      <c r="CY128" s="890">
        <v>8</v>
      </c>
      <c r="CZ128" s="891"/>
      <c r="DB128" s="892"/>
      <c r="DC128" s="892"/>
      <c r="DD128" s="892"/>
      <c r="DE128" s="893" t="s">
        <v>1292</v>
      </c>
      <c r="DF128" s="894"/>
      <c r="DG128" s="894"/>
      <c r="DH128" s="894"/>
      <c r="DI128" s="894"/>
      <c r="DJ128" s="894"/>
      <c r="DK128" s="895">
        <v>0</v>
      </c>
      <c r="DL128" s="895">
        <v>0</v>
      </c>
      <c r="DM128" s="895">
        <v>2</v>
      </c>
      <c r="DN128" s="894"/>
      <c r="DO128" s="894"/>
      <c r="DP128" s="895">
        <v>2</v>
      </c>
      <c r="DQ128" s="792"/>
      <c r="DS128" s="121"/>
      <c r="DT128" s="121"/>
      <c r="DU128" s="74"/>
      <c r="DV128" s="761" t="s">
        <v>15</v>
      </c>
      <c r="DW128" s="729"/>
      <c r="DX128" s="729"/>
      <c r="DY128" s="729"/>
      <c r="DZ128" s="729"/>
      <c r="EA128" s="729"/>
      <c r="EB128" s="729">
        <v>12</v>
      </c>
      <c r="EC128" s="729">
        <v>1</v>
      </c>
      <c r="ED128" s="729">
        <v>3</v>
      </c>
      <c r="EE128" s="729"/>
      <c r="EF128" s="729">
        <v>2</v>
      </c>
      <c r="EG128" s="729">
        <v>18</v>
      </c>
      <c r="EH128" s="813">
        <f>+(EG124+EG126+EG127)/EG128</f>
        <v>0.44444444444444442</v>
      </c>
      <c r="EI128" s="74"/>
      <c r="EJ128" s="793"/>
      <c r="EK128" s="793"/>
      <c r="EL128" s="793"/>
      <c r="EM128" s="796" t="s">
        <v>15</v>
      </c>
      <c r="EN128" s="796">
        <v>0</v>
      </c>
      <c r="EO128" s="796">
        <v>0</v>
      </c>
      <c r="EP128" s="796">
        <v>0</v>
      </c>
      <c r="EQ128" s="796">
        <v>1</v>
      </c>
      <c r="ER128" s="796">
        <v>0</v>
      </c>
      <c r="ES128" s="796">
        <v>0</v>
      </c>
      <c r="ET128" s="796">
        <v>16</v>
      </c>
      <c r="EU128" s="796">
        <v>5</v>
      </c>
      <c r="EV128" s="796">
        <v>0</v>
      </c>
      <c r="EW128" s="796">
        <v>0</v>
      </c>
      <c r="EX128" s="796">
        <v>0</v>
      </c>
      <c r="EY128" s="856">
        <v>22</v>
      </c>
      <c r="EZ128" s="906">
        <f>+(EY127+EY126+EY124)/EY128</f>
        <v>0.59090909090909094</v>
      </c>
      <c r="FA128" s="795">
        <f>+EY124+EY126+EY127</f>
        <v>13</v>
      </c>
    </row>
    <row r="129" spans="1:157">
      <c r="A129" s="73"/>
      <c r="B129" s="73"/>
      <c r="C129" s="73"/>
      <c r="D129" s="73" t="s">
        <v>1288</v>
      </c>
      <c r="E129" s="3261"/>
      <c r="F129" s="3261"/>
      <c r="G129" s="3261"/>
      <c r="H129" s="3261"/>
      <c r="I129" s="3261"/>
      <c r="J129" s="3261"/>
      <c r="K129" s="3261">
        <v>2</v>
      </c>
      <c r="L129" s="3261">
        <v>0</v>
      </c>
      <c r="M129" s="161">
        <v>0</v>
      </c>
      <c r="N129" s="161">
        <v>0</v>
      </c>
      <c r="O129" s="161">
        <v>2</v>
      </c>
      <c r="P129" s="73"/>
      <c r="R129" s="74"/>
      <c r="S129" s="74"/>
      <c r="T129" s="74"/>
      <c r="U129" s="74" t="s">
        <v>1398</v>
      </c>
      <c r="V129" s="3229"/>
      <c r="W129" s="3229">
        <v>0</v>
      </c>
      <c r="X129" s="3229"/>
      <c r="Y129" s="3229"/>
      <c r="Z129" s="3229"/>
      <c r="AA129" s="3229"/>
      <c r="AB129" s="3229">
        <v>2</v>
      </c>
      <c r="AC129" s="3229">
        <v>1</v>
      </c>
      <c r="AD129" s="3229">
        <v>0</v>
      </c>
      <c r="AE129" s="121"/>
      <c r="AF129" s="121"/>
      <c r="AG129" s="121">
        <v>3</v>
      </c>
      <c r="AJ129" s="161"/>
      <c r="AK129" s="161"/>
      <c r="AL129" s="73"/>
      <c r="AM129" s="73" t="s">
        <v>1284</v>
      </c>
      <c r="AN129" s="2600"/>
      <c r="AO129" s="2600">
        <v>4</v>
      </c>
      <c r="AP129" s="2600">
        <v>1</v>
      </c>
      <c r="AQ129" s="2600">
        <v>1</v>
      </c>
      <c r="AR129" s="2600">
        <v>0</v>
      </c>
      <c r="AS129" s="2600">
        <v>0</v>
      </c>
      <c r="AT129" s="2600">
        <v>3</v>
      </c>
      <c r="AU129" s="2600">
        <v>11</v>
      </c>
      <c r="AV129" s="2600">
        <v>1</v>
      </c>
      <c r="AW129" s="161">
        <v>0</v>
      </c>
      <c r="AX129" s="161">
        <v>0</v>
      </c>
      <c r="AY129" s="161">
        <v>21</v>
      </c>
      <c r="AZ129" s="161"/>
      <c r="BB129" s="2191"/>
      <c r="BC129" s="2191"/>
      <c r="BD129" s="2192"/>
      <c r="BE129" s="2193" t="s">
        <v>1398</v>
      </c>
      <c r="BF129" s="2194"/>
      <c r="BG129" s="2194"/>
      <c r="BH129" s="2195">
        <v>0</v>
      </c>
      <c r="BI129" s="2195">
        <v>0</v>
      </c>
      <c r="BJ129" s="2194"/>
      <c r="BK129" s="2195">
        <v>2</v>
      </c>
      <c r="BL129" s="2195">
        <v>0</v>
      </c>
      <c r="BM129" s="2195">
        <v>0</v>
      </c>
      <c r="BN129" s="964">
        <v>0</v>
      </c>
      <c r="BO129" s="963"/>
      <c r="BP129" s="964">
        <v>2</v>
      </c>
      <c r="BQ129" s="73"/>
      <c r="BS129" s="879"/>
      <c r="BT129" s="879"/>
      <c r="BU129" s="880" t="s">
        <v>128</v>
      </c>
      <c r="BV129" s="881" t="s">
        <v>1284</v>
      </c>
      <c r="BW129" s="883">
        <v>0</v>
      </c>
      <c r="BX129" s="883">
        <v>1</v>
      </c>
      <c r="BY129" s="882"/>
      <c r="BZ129" s="882"/>
      <c r="CA129" s="882"/>
      <c r="CB129" s="883">
        <v>1</v>
      </c>
      <c r="CC129" s="883">
        <v>1</v>
      </c>
      <c r="CD129" s="883">
        <v>0</v>
      </c>
      <c r="CE129" s="879"/>
      <c r="CF129" s="879"/>
      <c r="CG129" s="884">
        <v>3</v>
      </c>
      <c r="CH129" s="161"/>
      <c r="CJ129" s="885"/>
      <c r="CK129" s="885"/>
      <c r="CL129" s="885"/>
      <c r="CM129" s="886" t="s">
        <v>1289</v>
      </c>
      <c r="CN129" s="887"/>
      <c r="CO129" s="887"/>
      <c r="CP129" s="888">
        <v>1</v>
      </c>
      <c r="CQ129" s="888">
        <v>1</v>
      </c>
      <c r="CR129" s="887"/>
      <c r="CS129" s="887"/>
      <c r="CT129" s="887"/>
      <c r="CU129" s="888">
        <v>0</v>
      </c>
      <c r="CV129" s="888">
        <v>0</v>
      </c>
      <c r="CW129" s="890">
        <v>0</v>
      </c>
      <c r="CX129" s="890">
        <v>0</v>
      </c>
      <c r="CY129" s="890">
        <v>2</v>
      </c>
      <c r="CZ129" s="891"/>
      <c r="DB129" s="892"/>
      <c r="DC129" s="892"/>
      <c r="DD129" s="892"/>
      <c r="DE129" s="893" t="s">
        <v>1293</v>
      </c>
      <c r="DF129" s="894"/>
      <c r="DG129" s="894"/>
      <c r="DH129" s="894"/>
      <c r="DI129" s="894"/>
      <c r="DJ129" s="894"/>
      <c r="DK129" s="895">
        <v>1</v>
      </c>
      <c r="DL129" s="895">
        <v>0</v>
      </c>
      <c r="DM129" s="895">
        <v>0</v>
      </c>
      <c r="DN129" s="894"/>
      <c r="DO129" s="894"/>
      <c r="DP129" s="895">
        <v>1</v>
      </c>
      <c r="DQ129" s="792"/>
      <c r="DS129" s="121"/>
      <c r="DT129" s="121"/>
      <c r="DU129" s="74" t="s">
        <v>143</v>
      </c>
      <c r="DV129" s="74" t="s">
        <v>1284</v>
      </c>
      <c r="DW129" s="121"/>
      <c r="DX129" s="121"/>
      <c r="DY129" s="121"/>
      <c r="DZ129" s="121"/>
      <c r="EA129" s="121">
        <v>1</v>
      </c>
      <c r="EB129" s="121">
        <v>7</v>
      </c>
      <c r="EC129" s="121">
        <v>2</v>
      </c>
      <c r="ED129" s="121">
        <v>0</v>
      </c>
      <c r="EE129" s="121"/>
      <c r="EF129" s="121"/>
      <c r="EG129" s="121">
        <v>10</v>
      </c>
      <c r="EH129" s="74"/>
      <c r="EI129" s="74"/>
      <c r="EJ129" s="793"/>
      <c r="EK129" s="793"/>
      <c r="EL129" s="793" t="s">
        <v>135</v>
      </c>
      <c r="EM129" s="793" t="s">
        <v>1288</v>
      </c>
      <c r="EN129" s="793">
        <v>0</v>
      </c>
      <c r="EO129" s="793">
        <v>0</v>
      </c>
      <c r="EP129" s="793">
        <v>0</v>
      </c>
      <c r="EQ129" s="793">
        <v>2</v>
      </c>
      <c r="ER129" s="793">
        <v>0</v>
      </c>
      <c r="ES129" s="793">
        <v>0</v>
      </c>
      <c r="ET129" s="793">
        <v>0</v>
      </c>
      <c r="EU129" s="793">
        <v>0</v>
      </c>
      <c r="EV129" s="793">
        <v>0</v>
      </c>
      <c r="EW129" s="793">
        <v>0</v>
      </c>
      <c r="EX129" s="793">
        <v>0</v>
      </c>
      <c r="EY129" s="794">
        <v>2</v>
      </c>
      <c r="EZ129" s="896"/>
      <c r="FA129" s="795"/>
    </row>
    <row r="130" spans="1:157">
      <c r="A130" s="73"/>
      <c r="B130" s="73"/>
      <c r="C130" s="73"/>
      <c r="D130" s="73" t="s">
        <v>1292</v>
      </c>
      <c r="E130" s="3261"/>
      <c r="F130" s="3261"/>
      <c r="G130" s="3261"/>
      <c r="H130" s="3261"/>
      <c r="I130" s="3261"/>
      <c r="J130" s="3261"/>
      <c r="K130" s="3261">
        <v>0</v>
      </c>
      <c r="L130" s="3261">
        <v>3</v>
      </c>
      <c r="M130" s="161">
        <v>0</v>
      </c>
      <c r="N130" s="161">
        <v>0</v>
      </c>
      <c r="O130" s="161">
        <v>3</v>
      </c>
      <c r="P130" s="73"/>
      <c r="R130" s="74"/>
      <c r="S130" s="74"/>
      <c r="T130" s="74"/>
      <c r="U130" s="761" t="s">
        <v>15</v>
      </c>
      <c r="V130" s="3230"/>
      <c r="W130" s="3230">
        <v>1</v>
      </c>
      <c r="X130" s="3230"/>
      <c r="Y130" s="3230"/>
      <c r="Z130" s="3230"/>
      <c r="AA130" s="3230"/>
      <c r="AB130" s="3230">
        <v>6</v>
      </c>
      <c r="AC130" s="3230">
        <v>1</v>
      </c>
      <c r="AD130" s="3230">
        <v>2</v>
      </c>
      <c r="AE130" s="729"/>
      <c r="AF130" s="729"/>
      <c r="AG130" s="729">
        <v>10</v>
      </c>
      <c r="AH130" s="4681">
        <f>+(AG127+AG129)/AG130</f>
        <v>0.6</v>
      </c>
      <c r="AJ130" s="161"/>
      <c r="AK130" s="161"/>
      <c r="AL130" s="73"/>
      <c r="AM130" s="73" t="s">
        <v>1286</v>
      </c>
      <c r="AN130" s="2600"/>
      <c r="AO130" s="2600">
        <v>0</v>
      </c>
      <c r="AP130" s="2600">
        <v>1</v>
      </c>
      <c r="AQ130" s="2600">
        <v>0</v>
      </c>
      <c r="AR130" s="2600">
        <v>0</v>
      </c>
      <c r="AS130" s="2600">
        <v>0</v>
      </c>
      <c r="AT130" s="2600">
        <v>0</v>
      </c>
      <c r="AU130" s="2600">
        <v>0</v>
      </c>
      <c r="AV130" s="2600">
        <v>0</v>
      </c>
      <c r="AW130" s="161">
        <v>0</v>
      </c>
      <c r="AX130" s="161">
        <v>0</v>
      </c>
      <c r="AY130" s="161">
        <v>1</v>
      </c>
      <c r="AZ130" s="161"/>
      <c r="BB130" s="2191"/>
      <c r="BC130" s="2191"/>
      <c r="BD130" s="2192"/>
      <c r="BE130" s="760" t="s">
        <v>15</v>
      </c>
      <c r="BF130" s="2196"/>
      <c r="BG130" s="2196"/>
      <c r="BH130" s="2197">
        <v>1</v>
      </c>
      <c r="BI130" s="2197">
        <v>1</v>
      </c>
      <c r="BJ130" s="2196"/>
      <c r="BK130" s="2197">
        <v>2</v>
      </c>
      <c r="BL130" s="2197">
        <v>1</v>
      </c>
      <c r="BM130" s="2197">
        <v>3</v>
      </c>
      <c r="BN130" s="973">
        <v>2</v>
      </c>
      <c r="BO130" s="972"/>
      <c r="BP130" s="973">
        <v>10</v>
      </c>
      <c r="BQ130" s="2154">
        <f>+(BP126+BP129)/BP130</f>
        <v>0.3</v>
      </c>
      <c r="BS130" s="879"/>
      <c r="BT130" s="879"/>
      <c r="BU130" s="880"/>
      <c r="BV130" s="881" t="s">
        <v>1288</v>
      </c>
      <c r="BW130" s="883">
        <v>0</v>
      </c>
      <c r="BX130" s="883">
        <v>0</v>
      </c>
      <c r="BY130" s="882"/>
      <c r="BZ130" s="882"/>
      <c r="CA130" s="882"/>
      <c r="CB130" s="883">
        <v>4</v>
      </c>
      <c r="CC130" s="883">
        <v>3</v>
      </c>
      <c r="CD130" s="883">
        <v>0</v>
      </c>
      <c r="CE130" s="879"/>
      <c r="CF130" s="879"/>
      <c r="CG130" s="884">
        <v>7</v>
      </c>
      <c r="CH130" s="161"/>
      <c r="CJ130" s="885"/>
      <c r="CK130" s="885"/>
      <c r="CL130" s="885"/>
      <c r="CM130" s="886" t="s">
        <v>1292</v>
      </c>
      <c r="CN130" s="887"/>
      <c r="CO130" s="887"/>
      <c r="CP130" s="888">
        <v>0</v>
      </c>
      <c r="CQ130" s="888">
        <v>0</v>
      </c>
      <c r="CR130" s="887"/>
      <c r="CS130" s="887"/>
      <c r="CT130" s="887"/>
      <c r="CU130" s="888">
        <v>0</v>
      </c>
      <c r="CV130" s="888">
        <v>13</v>
      </c>
      <c r="CW130" s="890">
        <v>0</v>
      </c>
      <c r="CX130" s="890">
        <v>0</v>
      </c>
      <c r="CY130" s="890">
        <v>13</v>
      </c>
      <c r="CZ130" s="891"/>
      <c r="DB130" s="892"/>
      <c r="DC130" s="892"/>
      <c r="DD130" s="892"/>
      <c r="DE130" s="893" t="s">
        <v>1398</v>
      </c>
      <c r="DF130" s="894"/>
      <c r="DG130" s="894"/>
      <c r="DH130" s="894"/>
      <c r="DI130" s="894"/>
      <c r="DJ130" s="894"/>
      <c r="DK130" s="895">
        <v>1</v>
      </c>
      <c r="DL130" s="895">
        <v>0</v>
      </c>
      <c r="DM130" s="895">
        <v>0</v>
      </c>
      <c r="DN130" s="894"/>
      <c r="DO130" s="894"/>
      <c r="DP130" s="895">
        <v>1</v>
      </c>
      <c r="DQ130" s="792"/>
      <c r="DS130" s="121"/>
      <c r="DT130" s="121"/>
      <c r="DU130" s="74"/>
      <c r="DV130" s="74" t="s">
        <v>1288</v>
      </c>
      <c r="DW130" s="121"/>
      <c r="DX130" s="121"/>
      <c r="DY130" s="121"/>
      <c r="DZ130" s="121"/>
      <c r="EA130" s="121">
        <v>0</v>
      </c>
      <c r="EB130" s="121">
        <v>1</v>
      </c>
      <c r="EC130" s="121">
        <v>1</v>
      </c>
      <c r="ED130" s="121">
        <v>0</v>
      </c>
      <c r="EE130" s="121"/>
      <c r="EF130" s="121"/>
      <c r="EG130" s="121">
        <v>2</v>
      </c>
      <c r="EH130" s="74"/>
      <c r="EI130" s="74"/>
      <c r="EJ130" s="793"/>
      <c r="EK130" s="793"/>
      <c r="EL130" s="793"/>
      <c r="EM130" s="793" t="s">
        <v>1289</v>
      </c>
      <c r="EN130" s="793">
        <v>0</v>
      </c>
      <c r="EO130" s="793">
        <v>0</v>
      </c>
      <c r="EP130" s="793">
        <v>1</v>
      </c>
      <c r="EQ130" s="793">
        <v>0</v>
      </c>
      <c r="ER130" s="793">
        <v>0</v>
      </c>
      <c r="ES130" s="793">
        <v>0</v>
      </c>
      <c r="ET130" s="793">
        <v>1</v>
      </c>
      <c r="EU130" s="793">
        <v>0</v>
      </c>
      <c r="EV130" s="793">
        <v>0</v>
      </c>
      <c r="EW130" s="793">
        <v>0</v>
      </c>
      <c r="EX130" s="793">
        <v>0</v>
      </c>
      <c r="EY130" s="794">
        <v>2</v>
      </c>
      <c r="EZ130" s="896"/>
      <c r="FA130" s="795"/>
    </row>
    <row r="131" spans="1:157">
      <c r="A131" s="73"/>
      <c r="B131" s="73"/>
      <c r="C131" s="73"/>
      <c r="D131" s="73" t="s">
        <v>3964</v>
      </c>
      <c r="E131" s="3261"/>
      <c r="F131" s="3261"/>
      <c r="G131" s="3261"/>
      <c r="H131" s="3261"/>
      <c r="I131" s="3261"/>
      <c r="J131" s="3261"/>
      <c r="K131" s="3261">
        <v>0</v>
      </c>
      <c r="L131" s="3261">
        <v>0</v>
      </c>
      <c r="M131" s="161">
        <v>1</v>
      </c>
      <c r="N131" s="161">
        <v>2</v>
      </c>
      <c r="O131" s="161">
        <v>3</v>
      </c>
      <c r="P131" s="73"/>
      <c r="R131" s="74"/>
      <c r="S131" s="74"/>
      <c r="T131" s="74" t="s">
        <v>124</v>
      </c>
      <c r="U131" s="74" t="s">
        <v>1283</v>
      </c>
      <c r="V131" s="3229"/>
      <c r="W131" s="3229"/>
      <c r="X131" s="3229"/>
      <c r="Y131" s="3229"/>
      <c r="Z131" s="3229"/>
      <c r="AA131" s="3229"/>
      <c r="AB131" s="3229">
        <v>0</v>
      </c>
      <c r="AC131" s="3229">
        <v>0</v>
      </c>
      <c r="AD131" s="3229">
        <v>0</v>
      </c>
      <c r="AE131" s="121">
        <v>1</v>
      </c>
      <c r="AF131" s="121"/>
      <c r="AG131" s="121">
        <v>1</v>
      </c>
      <c r="AJ131" s="161"/>
      <c r="AK131" s="161"/>
      <c r="AL131" s="73"/>
      <c r="AM131" s="73" t="s">
        <v>1288</v>
      </c>
      <c r="AN131" s="2600"/>
      <c r="AO131" s="2600">
        <v>0</v>
      </c>
      <c r="AP131" s="2600">
        <v>0</v>
      </c>
      <c r="AQ131" s="2600">
        <v>0</v>
      </c>
      <c r="AR131" s="2600">
        <v>0</v>
      </c>
      <c r="AS131" s="2600">
        <v>0</v>
      </c>
      <c r="AT131" s="2600">
        <v>1</v>
      </c>
      <c r="AU131" s="2600">
        <v>6</v>
      </c>
      <c r="AV131" s="2600">
        <v>1</v>
      </c>
      <c r="AW131" s="161">
        <v>2</v>
      </c>
      <c r="AX131" s="161">
        <v>0</v>
      </c>
      <c r="AY131" s="161">
        <v>10</v>
      </c>
      <c r="AZ131" s="161"/>
      <c r="BB131" s="2191"/>
      <c r="BC131" s="2191"/>
      <c r="BD131" s="2192" t="s">
        <v>424</v>
      </c>
      <c r="BE131" s="2193" t="s">
        <v>1283</v>
      </c>
      <c r="BF131" s="2194"/>
      <c r="BG131" s="2195">
        <v>0</v>
      </c>
      <c r="BH131" s="2194"/>
      <c r="BI131" s="2194"/>
      <c r="BJ131" s="2195">
        <v>0</v>
      </c>
      <c r="BK131" s="2195">
        <v>0</v>
      </c>
      <c r="BL131" s="2195">
        <v>0</v>
      </c>
      <c r="BM131" s="2195">
        <v>2</v>
      </c>
      <c r="BN131" s="964">
        <v>1</v>
      </c>
      <c r="BO131" s="963"/>
      <c r="BP131" s="964">
        <v>3</v>
      </c>
      <c r="BQ131" s="73"/>
      <c r="BS131" s="879"/>
      <c r="BT131" s="879"/>
      <c r="BU131" s="880"/>
      <c r="BV131" s="881" t="s">
        <v>1289</v>
      </c>
      <c r="BW131" s="883">
        <v>1</v>
      </c>
      <c r="BX131" s="883">
        <v>1</v>
      </c>
      <c r="BY131" s="882"/>
      <c r="BZ131" s="882"/>
      <c r="CA131" s="882"/>
      <c r="CB131" s="883">
        <v>0</v>
      </c>
      <c r="CC131" s="883">
        <v>0</v>
      </c>
      <c r="CD131" s="883">
        <v>0</v>
      </c>
      <c r="CE131" s="879"/>
      <c r="CF131" s="879"/>
      <c r="CG131" s="884">
        <v>2</v>
      </c>
      <c r="CH131" s="161"/>
      <c r="CJ131" s="885"/>
      <c r="CK131" s="885"/>
      <c r="CL131" s="885"/>
      <c r="CM131" s="886" t="s">
        <v>1293</v>
      </c>
      <c r="CN131" s="887"/>
      <c r="CO131" s="887"/>
      <c r="CP131" s="888">
        <v>0</v>
      </c>
      <c r="CQ131" s="888">
        <v>0</v>
      </c>
      <c r="CR131" s="887"/>
      <c r="CS131" s="887"/>
      <c r="CT131" s="887"/>
      <c r="CU131" s="888">
        <v>0</v>
      </c>
      <c r="CV131" s="888">
        <v>2</v>
      </c>
      <c r="CW131" s="890">
        <v>1</v>
      </c>
      <c r="CX131" s="890">
        <v>1</v>
      </c>
      <c r="CY131" s="890">
        <v>4</v>
      </c>
      <c r="CZ131" s="891"/>
      <c r="DB131" s="892"/>
      <c r="DC131" s="892"/>
      <c r="DD131" s="892"/>
      <c r="DE131" s="902" t="s">
        <v>15</v>
      </c>
      <c r="DF131" s="903"/>
      <c r="DG131" s="903"/>
      <c r="DH131" s="903"/>
      <c r="DI131" s="903"/>
      <c r="DJ131" s="903"/>
      <c r="DK131" s="904">
        <v>16</v>
      </c>
      <c r="DL131" s="904">
        <v>1</v>
      </c>
      <c r="DM131" s="904">
        <v>2</v>
      </c>
      <c r="DN131" s="903"/>
      <c r="DO131" s="903"/>
      <c r="DP131" s="904">
        <v>19</v>
      </c>
      <c r="DQ131" s="905">
        <f>+(DP130+DP129+DP127)/DP131</f>
        <v>0.26315789473684209</v>
      </c>
      <c r="DS131" s="121"/>
      <c r="DT131" s="121"/>
      <c r="DU131" s="74"/>
      <c r="DV131" s="74" t="s">
        <v>1292</v>
      </c>
      <c r="DW131" s="121"/>
      <c r="DX131" s="121"/>
      <c r="DY131" s="121"/>
      <c r="DZ131" s="121"/>
      <c r="EA131" s="121">
        <v>0</v>
      </c>
      <c r="EB131" s="121">
        <v>0</v>
      </c>
      <c r="EC131" s="121">
        <v>0</v>
      </c>
      <c r="ED131" s="121">
        <v>1</v>
      </c>
      <c r="EE131" s="121"/>
      <c r="EF131" s="121"/>
      <c r="EG131" s="121">
        <v>1</v>
      </c>
      <c r="EH131" s="74"/>
      <c r="EI131" s="74"/>
      <c r="EJ131" s="793"/>
      <c r="EK131" s="793"/>
      <c r="EL131" s="793"/>
      <c r="EM131" s="793" t="s">
        <v>1293</v>
      </c>
      <c r="EN131" s="793">
        <v>0</v>
      </c>
      <c r="EO131" s="793">
        <v>0</v>
      </c>
      <c r="EP131" s="793">
        <v>0</v>
      </c>
      <c r="EQ131" s="793">
        <v>3</v>
      </c>
      <c r="ER131" s="793">
        <v>0</v>
      </c>
      <c r="ES131" s="793">
        <v>0</v>
      </c>
      <c r="ET131" s="793">
        <v>0</v>
      </c>
      <c r="EU131" s="793">
        <v>0</v>
      </c>
      <c r="EV131" s="793">
        <v>0</v>
      </c>
      <c r="EW131" s="793">
        <v>0</v>
      </c>
      <c r="EX131" s="793">
        <v>0</v>
      </c>
      <c r="EY131" s="794">
        <v>3</v>
      </c>
      <c r="EZ131" s="896"/>
      <c r="FA131" s="795"/>
    </row>
    <row r="132" spans="1:157">
      <c r="A132" s="73"/>
      <c r="B132" s="73"/>
      <c r="C132" s="73"/>
      <c r="D132" s="738" t="s">
        <v>15</v>
      </c>
      <c r="E132" s="3262"/>
      <c r="F132" s="3262"/>
      <c r="G132" s="3262"/>
      <c r="H132" s="3262"/>
      <c r="I132" s="3262"/>
      <c r="J132" s="3262"/>
      <c r="K132" s="3262">
        <v>3</v>
      </c>
      <c r="L132" s="3262">
        <v>3</v>
      </c>
      <c r="M132" s="4674">
        <v>1</v>
      </c>
      <c r="N132" s="4674">
        <v>2</v>
      </c>
      <c r="O132" s="4674">
        <v>9</v>
      </c>
      <c r="P132" s="912">
        <f>+O129/O132</f>
        <v>0.22222222222222221</v>
      </c>
      <c r="Q132" s="3197"/>
      <c r="R132" s="74"/>
      <c r="S132" s="74"/>
      <c r="T132" s="74"/>
      <c r="U132" s="74" t="s">
        <v>1288</v>
      </c>
      <c r="V132" s="3229"/>
      <c r="W132" s="3229"/>
      <c r="X132" s="3229"/>
      <c r="Y132" s="3229"/>
      <c r="Z132" s="3229"/>
      <c r="AA132" s="3229"/>
      <c r="AB132" s="3229">
        <v>1</v>
      </c>
      <c r="AC132" s="3229">
        <v>2</v>
      </c>
      <c r="AD132" s="3229">
        <v>0</v>
      </c>
      <c r="AE132" s="121">
        <v>0</v>
      </c>
      <c r="AF132" s="121"/>
      <c r="AG132" s="121">
        <v>3</v>
      </c>
      <c r="AJ132" s="161"/>
      <c r="AK132" s="161"/>
      <c r="AL132" s="73"/>
      <c r="AM132" s="73" t="s">
        <v>1289</v>
      </c>
      <c r="AN132" s="2600"/>
      <c r="AO132" s="2600">
        <v>0</v>
      </c>
      <c r="AP132" s="2600">
        <v>0</v>
      </c>
      <c r="AQ132" s="2600">
        <v>0</v>
      </c>
      <c r="AR132" s="2600">
        <v>2</v>
      </c>
      <c r="AS132" s="2600">
        <v>1</v>
      </c>
      <c r="AT132" s="2600">
        <v>0</v>
      </c>
      <c r="AU132" s="2600">
        <v>1</v>
      </c>
      <c r="AV132" s="2600">
        <v>0</v>
      </c>
      <c r="AW132" s="161">
        <v>0</v>
      </c>
      <c r="AX132" s="161">
        <v>0</v>
      </c>
      <c r="AY132" s="161">
        <v>4</v>
      </c>
      <c r="AZ132" s="161"/>
      <c r="BB132" s="2191"/>
      <c r="BC132" s="2191"/>
      <c r="BD132" s="2192"/>
      <c r="BE132" s="2193" t="s">
        <v>1284</v>
      </c>
      <c r="BF132" s="2194"/>
      <c r="BG132" s="2195">
        <v>2</v>
      </c>
      <c r="BH132" s="2194"/>
      <c r="BI132" s="2194"/>
      <c r="BJ132" s="2195">
        <v>0</v>
      </c>
      <c r="BK132" s="2195">
        <v>0</v>
      </c>
      <c r="BL132" s="2195">
        <v>0</v>
      </c>
      <c r="BM132" s="2195">
        <v>0</v>
      </c>
      <c r="BN132" s="964">
        <v>0</v>
      </c>
      <c r="BO132" s="963"/>
      <c r="BP132" s="964">
        <v>2</v>
      </c>
      <c r="BQ132" s="73"/>
      <c r="BS132" s="879"/>
      <c r="BT132" s="879"/>
      <c r="BU132" s="880"/>
      <c r="BV132" s="881" t="s">
        <v>1292</v>
      </c>
      <c r="BW132" s="883">
        <v>0</v>
      </c>
      <c r="BX132" s="883">
        <v>0</v>
      </c>
      <c r="BY132" s="882"/>
      <c r="BZ132" s="882"/>
      <c r="CA132" s="882"/>
      <c r="CB132" s="883">
        <v>0</v>
      </c>
      <c r="CC132" s="883">
        <v>0</v>
      </c>
      <c r="CD132" s="883">
        <v>1</v>
      </c>
      <c r="CE132" s="879"/>
      <c r="CF132" s="879"/>
      <c r="CG132" s="884">
        <v>1</v>
      </c>
      <c r="CH132" s="161"/>
      <c r="CJ132" s="885"/>
      <c r="CK132" s="885"/>
      <c r="CL132" s="885"/>
      <c r="CM132" s="897" t="s">
        <v>573</v>
      </c>
      <c r="CN132" s="898"/>
      <c r="CO132" s="898"/>
      <c r="CP132" s="899">
        <v>2</v>
      </c>
      <c r="CQ132" s="899">
        <v>1</v>
      </c>
      <c r="CR132" s="898"/>
      <c r="CS132" s="898"/>
      <c r="CT132" s="898"/>
      <c r="CU132" s="899">
        <v>3</v>
      </c>
      <c r="CV132" s="899">
        <v>21</v>
      </c>
      <c r="CW132" s="901">
        <v>2</v>
      </c>
      <c r="CX132" s="901">
        <v>3</v>
      </c>
      <c r="CY132" s="901">
        <v>32</v>
      </c>
      <c r="CZ132" s="891">
        <f>+(CY131+CY128+CW131-CX131-CW128-CX128)/CY132</f>
        <v>0.3125</v>
      </c>
      <c r="DB132" s="892"/>
      <c r="DC132" s="892"/>
      <c r="DD132" s="892" t="s">
        <v>138</v>
      </c>
      <c r="DE132" s="893" t="s">
        <v>1284</v>
      </c>
      <c r="DF132" s="894"/>
      <c r="DG132" s="894"/>
      <c r="DH132" s="894"/>
      <c r="DI132" s="895">
        <v>2</v>
      </c>
      <c r="DJ132" s="894"/>
      <c r="DK132" s="894"/>
      <c r="DL132" s="895">
        <v>1</v>
      </c>
      <c r="DM132" s="895">
        <v>0</v>
      </c>
      <c r="DN132" s="894"/>
      <c r="DO132" s="894"/>
      <c r="DP132" s="895">
        <v>3</v>
      </c>
      <c r="DQ132" s="792"/>
      <c r="DS132" s="121"/>
      <c r="DT132" s="121"/>
      <c r="DU132" s="74"/>
      <c r="DV132" s="74" t="s">
        <v>1293</v>
      </c>
      <c r="DW132" s="121"/>
      <c r="DX132" s="121"/>
      <c r="DY132" s="121"/>
      <c r="DZ132" s="121"/>
      <c r="EA132" s="121">
        <v>0</v>
      </c>
      <c r="EB132" s="121">
        <v>3</v>
      </c>
      <c r="EC132" s="121">
        <v>0</v>
      </c>
      <c r="ED132" s="121">
        <v>0</v>
      </c>
      <c r="EE132" s="121"/>
      <c r="EF132" s="121"/>
      <c r="EG132" s="121">
        <v>3</v>
      </c>
      <c r="EH132" s="74"/>
      <c r="EI132" s="74"/>
      <c r="EJ132" s="793"/>
      <c r="EK132" s="793"/>
      <c r="EL132" s="793"/>
      <c r="EM132" s="793" t="s">
        <v>1398</v>
      </c>
      <c r="EN132" s="793">
        <v>0</v>
      </c>
      <c r="EO132" s="793">
        <v>0</v>
      </c>
      <c r="EP132" s="793">
        <v>0</v>
      </c>
      <c r="EQ132" s="793">
        <v>3</v>
      </c>
      <c r="ER132" s="793">
        <v>0</v>
      </c>
      <c r="ES132" s="793">
        <v>0</v>
      </c>
      <c r="ET132" s="793">
        <v>1</v>
      </c>
      <c r="EU132" s="793">
        <v>0</v>
      </c>
      <c r="EV132" s="793">
        <v>0</v>
      </c>
      <c r="EW132" s="793">
        <v>0</v>
      </c>
      <c r="EX132" s="793">
        <v>0</v>
      </c>
      <c r="EY132" s="794">
        <v>4</v>
      </c>
      <c r="EZ132" s="896"/>
      <c r="FA132" s="795"/>
    </row>
    <row r="133" spans="1:157">
      <c r="A133" s="73"/>
      <c r="B133" s="73"/>
      <c r="C133" s="73" t="s">
        <v>834</v>
      </c>
      <c r="D133" s="73" t="s">
        <v>1284</v>
      </c>
      <c r="E133" s="3261"/>
      <c r="F133" s="3261"/>
      <c r="G133" s="3261"/>
      <c r="H133" s="3261"/>
      <c r="I133" s="3261"/>
      <c r="J133" s="3261"/>
      <c r="K133" s="3261">
        <v>0</v>
      </c>
      <c r="L133" s="3261">
        <v>1</v>
      </c>
      <c r="M133" s="161"/>
      <c r="N133" s="161">
        <v>0</v>
      </c>
      <c r="O133" s="161">
        <v>1</v>
      </c>
      <c r="P133" s="73"/>
      <c r="R133" s="74"/>
      <c r="S133" s="74"/>
      <c r="T133" s="74"/>
      <c r="U133" s="74" t="s">
        <v>1292</v>
      </c>
      <c r="V133" s="3229"/>
      <c r="W133" s="3229"/>
      <c r="X133" s="3229"/>
      <c r="Y133" s="3229"/>
      <c r="Z133" s="3229"/>
      <c r="AA133" s="3229"/>
      <c r="AB133" s="3229">
        <v>0</v>
      </c>
      <c r="AC133" s="3229">
        <v>0</v>
      </c>
      <c r="AD133" s="3229">
        <v>9</v>
      </c>
      <c r="AE133" s="121">
        <v>0</v>
      </c>
      <c r="AF133" s="121"/>
      <c r="AG133" s="121">
        <v>9</v>
      </c>
      <c r="AJ133" s="161"/>
      <c r="AK133" s="161"/>
      <c r="AL133" s="73"/>
      <c r="AM133" s="73" t="s">
        <v>1292</v>
      </c>
      <c r="AN133" s="2600"/>
      <c r="AO133" s="2600">
        <v>0</v>
      </c>
      <c r="AP133" s="2600">
        <v>0</v>
      </c>
      <c r="AQ133" s="2600">
        <v>0</v>
      </c>
      <c r="AR133" s="2600">
        <v>0</v>
      </c>
      <c r="AS133" s="2600">
        <v>0</v>
      </c>
      <c r="AT133" s="2600">
        <v>0</v>
      </c>
      <c r="AU133" s="2600">
        <v>1</v>
      </c>
      <c r="AV133" s="2600">
        <v>23</v>
      </c>
      <c r="AW133" s="161">
        <v>3</v>
      </c>
      <c r="AX133" s="161">
        <v>8</v>
      </c>
      <c r="AY133" s="161">
        <v>35</v>
      </c>
      <c r="AZ133" s="161"/>
      <c r="BB133" s="2191"/>
      <c r="BC133" s="2191"/>
      <c r="BD133" s="2192"/>
      <c r="BE133" s="2193" t="s">
        <v>1288</v>
      </c>
      <c r="BF133" s="2194"/>
      <c r="BG133" s="2195">
        <v>0</v>
      </c>
      <c r="BH133" s="2194"/>
      <c r="BI133" s="2194"/>
      <c r="BJ133" s="2195">
        <v>0</v>
      </c>
      <c r="BK133" s="2195">
        <v>0</v>
      </c>
      <c r="BL133" s="2195">
        <v>1</v>
      </c>
      <c r="BM133" s="2195">
        <v>0</v>
      </c>
      <c r="BN133" s="964">
        <v>0</v>
      </c>
      <c r="BO133" s="963"/>
      <c r="BP133" s="964">
        <v>1</v>
      </c>
      <c r="BQ133" s="73"/>
      <c r="BS133" s="879"/>
      <c r="BT133" s="879"/>
      <c r="BU133" s="880"/>
      <c r="BV133" s="881" t="s">
        <v>1398</v>
      </c>
      <c r="BW133" s="883">
        <v>0</v>
      </c>
      <c r="BX133" s="883">
        <v>0</v>
      </c>
      <c r="BY133" s="882"/>
      <c r="BZ133" s="882"/>
      <c r="CA133" s="882"/>
      <c r="CB133" s="883">
        <v>14</v>
      </c>
      <c r="CC133" s="883">
        <v>1</v>
      </c>
      <c r="CD133" s="883">
        <v>0</v>
      </c>
      <c r="CE133" s="879"/>
      <c r="CF133" s="879"/>
      <c r="CG133" s="884">
        <v>15</v>
      </c>
      <c r="CH133" s="161"/>
      <c r="CJ133" s="885"/>
      <c r="CK133" s="885" t="s">
        <v>41</v>
      </c>
      <c r="CL133" s="885" t="s">
        <v>130</v>
      </c>
      <c r="CM133" s="886" t="s">
        <v>1283</v>
      </c>
      <c r="CN133" s="887"/>
      <c r="CO133" s="887"/>
      <c r="CP133" s="887"/>
      <c r="CQ133" s="888">
        <v>0</v>
      </c>
      <c r="CR133" s="887"/>
      <c r="CS133" s="887"/>
      <c r="CT133" s="888">
        <v>0</v>
      </c>
      <c r="CU133" s="888">
        <v>0</v>
      </c>
      <c r="CV133" s="888">
        <v>1</v>
      </c>
      <c r="CW133" s="889"/>
      <c r="CX133" s="889"/>
      <c r="CY133" s="890">
        <v>1</v>
      </c>
      <c r="CZ133" s="891"/>
      <c r="DB133" s="892"/>
      <c r="DC133" s="892"/>
      <c r="DD133" s="892"/>
      <c r="DE133" s="893" t="s">
        <v>1288</v>
      </c>
      <c r="DF133" s="894"/>
      <c r="DG133" s="894"/>
      <c r="DH133" s="894"/>
      <c r="DI133" s="895">
        <v>0</v>
      </c>
      <c r="DJ133" s="894"/>
      <c r="DK133" s="894"/>
      <c r="DL133" s="895">
        <v>1</v>
      </c>
      <c r="DM133" s="895">
        <v>0</v>
      </c>
      <c r="DN133" s="894"/>
      <c r="DO133" s="894"/>
      <c r="DP133" s="895">
        <v>1</v>
      </c>
      <c r="DQ133" s="792"/>
      <c r="DS133" s="121"/>
      <c r="DT133" s="121"/>
      <c r="DU133" s="74"/>
      <c r="DV133" s="74" t="s">
        <v>1398</v>
      </c>
      <c r="DW133" s="121"/>
      <c r="DX133" s="121"/>
      <c r="DY133" s="121"/>
      <c r="DZ133" s="121"/>
      <c r="EA133" s="121">
        <v>0</v>
      </c>
      <c r="EB133" s="121">
        <v>1</v>
      </c>
      <c r="EC133" s="121">
        <v>0</v>
      </c>
      <c r="ED133" s="121">
        <v>0</v>
      </c>
      <c r="EE133" s="121"/>
      <c r="EF133" s="121"/>
      <c r="EG133" s="121">
        <v>1</v>
      </c>
      <c r="EH133" s="74"/>
      <c r="EI133" s="74"/>
      <c r="EJ133" s="793"/>
      <c r="EK133" s="793"/>
      <c r="EL133" s="793"/>
      <c r="EM133" s="796" t="s">
        <v>15</v>
      </c>
      <c r="EN133" s="796">
        <v>0</v>
      </c>
      <c r="EO133" s="796">
        <v>0</v>
      </c>
      <c r="EP133" s="796">
        <v>1</v>
      </c>
      <c r="EQ133" s="796">
        <v>8</v>
      </c>
      <c r="ER133" s="796">
        <v>0</v>
      </c>
      <c r="ES133" s="796">
        <v>0</v>
      </c>
      <c r="ET133" s="796">
        <v>2</v>
      </c>
      <c r="EU133" s="796">
        <v>0</v>
      </c>
      <c r="EV133" s="796">
        <v>0</v>
      </c>
      <c r="EW133" s="796">
        <v>0</v>
      </c>
      <c r="EX133" s="796">
        <v>0</v>
      </c>
      <c r="EY133" s="856">
        <v>11</v>
      </c>
      <c r="EZ133" s="906">
        <f>+(EY132+EY131+EY129)/EY133</f>
        <v>0.81818181818181823</v>
      </c>
      <c r="FA133" s="795">
        <f>+EY129+EY131+EY132</f>
        <v>9</v>
      </c>
    </row>
    <row r="134" spans="1:157">
      <c r="A134" s="73"/>
      <c r="B134" s="73"/>
      <c r="C134" s="73"/>
      <c r="D134" s="73" t="s">
        <v>1288</v>
      </c>
      <c r="E134" s="3261"/>
      <c r="F134" s="3261"/>
      <c r="G134" s="3261"/>
      <c r="H134" s="3261"/>
      <c r="I134" s="3261"/>
      <c r="J134" s="3261"/>
      <c r="K134" s="3261">
        <v>0</v>
      </c>
      <c r="L134" s="3261">
        <v>2</v>
      </c>
      <c r="M134" s="161"/>
      <c r="N134" s="161">
        <v>0</v>
      </c>
      <c r="O134" s="161">
        <v>2</v>
      </c>
      <c r="P134" s="73"/>
      <c r="R134" s="74"/>
      <c r="S134" s="74"/>
      <c r="T134" s="74"/>
      <c r="U134" s="74" t="s">
        <v>1398</v>
      </c>
      <c r="V134" s="3229"/>
      <c r="W134" s="3229"/>
      <c r="X134" s="3229"/>
      <c r="Y134" s="3229"/>
      <c r="Z134" s="3229"/>
      <c r="AA134" s="3229"/>
      <c r="AB134" s="3229">
        <v>1</v>
      </c>
      <c r="AC134" s="3229">
        <v>1</v>
      </c>
      <c r="AD134" s="3229">
        <v>0</v>
      </c>
      <c r="AE134" s="121">
        <v>0</v>
      </c>
      <c r="AF134" s="121"/>
      <c r="AG134" s="121">
        <v>2</v>
      </c>
      <c r="AJ134" s="161"/>
      <c r="AK134" s="161"/>
      <c r="AL134" s="73"/>
      <c r="AM134" s="73" t="s">
        <v>1398</v>
      </c>
      <c r="AN134" s="2600"/>
      <c r="AO134" s="2600">
        <v>0</v>
      </c>
      <c r="AP134" s="2600">
        <v>0</v>
      </c>
      <c r="AQ134" s="2600">
        <v>0</v>
      </c>
      <c r="AR134" s="2600">
        <v>0</v>
      </c>
      <c r="AS134" s="2600">
        <v>0</v>
      </c>
      <c r="AT134" s="2600">
        <v>2</v>
      </c>
      <c r="AU134" s="2600">
        <v>4</v>
      </c>
      <c r="AV134" s="2600">
        <v>3</v>
      </c>
      <c r="AW134" s="161">
        <v>0</v>
      </c>
      <c r="AX134" s="161">
        <v>0</v>
      </c>
      <c r="AY134" s="161">
        <v>9</v>
      </c>
      <c r="AZ134" s="161"/>
      <c r="BB134" s="2191"/>
      <c r="BC134" s="2191"/>
      <c r="BD134" s="2192"/>
      <c r="BE134" s="2193" t="s">
        <v>1289</v>
      </c>
      <c r="BF134" s="2194"/>
      <c r="BG134" s="2195">
        <v>0</v>
      </c>
      <c r="BH134" s="2194"/>
      <c r="BI134" s="2194"/>
      <c r="BJ134" s="2195">
        <v>1</v>
      </c>
      <c r="BK134" s="2195">
        <v>0</v>
      </c>
      <c r="BL134" s="2195">
        <v>0</v>
      </c>
      <c r="BM134" s="2195">
        <v>0</v>
      </c>
      <c r="BN134" s="964">
        <v>0</v>
      </c>
      <c r="BO134" s="963"/>
      <c r="BP134" s="964">
        <v>1</v>
      </c>
      <c r="BQ134" s="73"/>
      <c r="BS134" s="879"/>
      <c r="BT134" s="879"/>
      <c r="BU134" s="880"/>
      <c r="BV134" s="907" t="s">
        <v>15</v>
      </c>
      <c r="BW134" s="909">
        <v>1</v>
      </c>
      <c r="BX134" s="909">
        <v>2</v>
      </c>
      <c r="BY134" s="908"/>
      <c r="BZ134" s="908"/>
      <c r="CA134" s="908"/>
      <c r="CB134" s="909">
        <v>19</v>
      </c>
      <c r="CC134" s="909">
        <v>5</v>
      </c>
      <c r="CD134" s="909">
        <v>1</v>
      </c>
      <c r="CE134" s="910"/>
      <c r="CF134" s="910"/>
      <c r="CG134" s="911">
        <v>28</v>
      </c>
      <c r="CH134" s="912">
        <f>+(CG130+CG133)/CG134</f>
        <v>0.7857142857142857</v>
      </c>
      <c r="CJ134" s="885"/>
      <c r="CK134" s="885"/>
      <c r="CL134" s="885"/>
      <c r="CM134" s="886" t="s">
        <v>1284</v>
      </c>
      <c r="CN134" s="887"/>
      <c r="CO134" s="887"/>
      <c r="CP134" s="887"/>
      <c r="CQ134" s="888">
        <v>1</v>
      </c>
      <c r="CR134" s="887"/>
      <c r="CS134" s="887"/>
      <c r="CT134" s="888">
        <v>0</v>
      </c>
      <c r="CU134" s="888">
        <v>1</v>
      </c>
      <c r="CV134" s="888">
        <v>0</v>
      </c>
      <c r="CW134" s="889"/>
      <c r="CX134" s="889"/>
      <c r="CY134" s="890">
        <v>2</v>
      </c>
      <c r="CZ134" s="891"/>
      <c r="DB134" s="892"/>
      <c r="DC134" s="892"/>
      <c r="DD134" s="892"/>
      <c r="DE134" s="893" t="s">
        <v>1292</v>
      </c>
      <c r="DF134" s="894"/>
      <c r="DG134" s="894"/>
      <c r="DH134" s="894"/>
      <c r="DI134" s="895">
        <v>0</v>
      </c>
      <c r="DJ134" s="894"/>
      <c r="DK134" s="894"/>
      <c r="DL134" s="895">
        <v>0</v>
      </c>
      <c r="DM134" s="895">
        <v>6</v>
      </c>
      <c r="DN134" s="894"/>
      <c r="DO134" s="894"/>
      <c r="DP134" s="895">
        <v>6</v>
      </c>
      <c r="DQ134" s="792"/>
      <c r="DS134" s="121"/>
      <c r="DT134" s="121"/>
      <c r="DU134" s="74"/>
      <c r="DV134" s="761" t="s">
        <v>15</v>
      </c>
      <c r="DW134" s="729"/>
      <c r="DX134" s="729"/>
      <c r="DY134" s="729"/>
      <c r="DZ134" s="729"/>
      <c r="EA134" s="729">
        <v>1</v>
      </c>
      <c r="EB134" s="729">
        <v>12</v>
      </c>
      <c r="EC134" s="729">
        <v>3</v>
      </c>
      <c r="ED134" s="729">
        <v>1</v>
      </c>
      <c r="EE134" s="729"/>
      <c r="EF134" s="729"/>
      <c r="EG134" s="729">
        <v>17</v>
      </c>
      <c r="EH134" s="813">
        <f>+(EG130+EG132+EG133)/EG134</f>
        <v>0.35294117647058826</v>
      </c>
      <c r="EI134" s="74"/>
      <c r="EJ134" s="793"/>
      <c r="EK134" s="793"/>
      <c r="EL134" s="793" t="s">
        <v>136</v>
      </c>
      <c r="EM134" s="793" t="s">
        <v>1284</v>
      </c>
      <c r="EN134" s="793">
        <v>0</v>
      </c>
      <c r="EO134" s="793">
        <v>0</v>
      </c>
      <c r="EP134" s="793">
        <v>2</v>
      </c>
      <c r="EQ134" s="793">
        <v>0</v>
      </c>
      <c r="ER134" s="793">
        <v>2</v>
      </c>
      <c r="ES134" s="793">
        <v>0</v>
      </c>
      <c r="ET134" s="793">
        <v>18</v>
      </c>
      <c r="EU134" s="793">
        <v>0</v>
      </c>
      <c r="EV134" s="793">
        <v>0</v>
      </c>
      <c r="EW134" s="793">
        <v>0</v>
      </c>
      <c r="EX134" s="793">
        <v>0</v>
      </c>
      <c r="EY134" s="794">
        <v>22</v>
      </c>
      <c r="EZ134" s="896"/>
      <c r="FA134" s="795"/>
    </row>
    <row r="135" spans="1:157">
      <c r="A135" s="73"/>
      <c r="B135" s="73"/>
      <c r="C135" s="73"/>
      <c r="D135" s="73" t="s">
        <v>1292</v>
      </c>
      <c r="E135" s="3261"/>
      <c r="F135" s="3261"/>
      <c r="G135" s="3261"/>
      <c r="H135" s="3261"/>
      <c r="I135" s="3261"/>
      <c r="J135" s="3261"/>
      <c r="K135" s="3261">
        <v>0</v>
      </c>
      <c r="L135" s="3261">
        <v>1</v>
      </c>
      <c r="M135" s="161"/>
      <c r="N135" s="161">
        <v>3</v>
      </c>
      <c r="O135" s="161">
        <v>4</v>
      </c>
      <c r="P135" s="73"/>
      <c r="R135" s="74"/>
      <c r="S135" s="74"/>
      <c r="T135" s="74"/>
      <c r="U135" s="761" t="s">
        <v>15</v>
      </c>
      <c r="V135" s="3230"/>
      <c r="W135" s="3230"/>
      <c r="X135" s="3230"/>
      <c r="Y135" s="3230"/>
      <c r="Z135" s="3230"/>
      <c r="AA135" s="3230"/>
      <c r="AB135" s="3230">
        <v>2</v>
      </c>
      <c r="AC135" s="3230">
        <v>3</v>
      </c>
      <c r="AD135" s="3230">
        <v>9</v>
      </c>
      <c r="AE135" s="729">
        <v>1</v>
      </c>
      <c r="AF135" s="729"/>
      <c r="AG135" s="729">
        <v>15</v>
      </c>
      <c r="AH135" s="4681">
        <f>+(AG132+AG134)/AG135</f>
        <v>0.33333333333333331</v>
      </c>
      <c r="AJ135" s="161"/>
      <c r="AK135" s="161"/>
      <c r="AL135" s="73"/>
      <c r="AM135" s="738" t="s">
        <v>572</v>
      </c>
      <c r="AN135" s="2601"/>
      <c r="AO135" s="2601">
        <v>4</v>
      </c>
      <c r="AP135" s="2601">
        <v>2</v>
      </c>
      <c r="AQ135" s="2601">
        <v>1</v>
      </c>
      <c r="AR135" s="2601">
        <v>2</v>
      </c>
      <c r="AS135" s="2601">
        <v>1</v>
      </c>
      <c r="AT135" s="2601">
        <v>6</v>
      </c>
      <c r="AU135" s="2601">
        <v>24</v>
      </c>
      <c r="AV135" s="2601">
        <v>38</v>
      </c>
      <c r="AW135" s="151">
        <v>9</v>
      </c>
      <c r="AX135" s="151">
        <v>10</v>
      </c>
      <c r="AY135" s="151">
        <v>97</v>
      </c>
      <c r="AZ135" s="912">
        <f>+(AY131+AY134-AW131)/AY135</f>
        <v>0.17525773195876287</v>
      </c>
      <c r="BB135" s="2191"/>
      <c r="BC135" s="2191"/>
      <c r="BD135" s="2192"/>
      <c r="BE135" s="2193" t="s">
        <v>1292</v>
      </c>
      <c r="BF135" s="2194"/>
      <c r="BG135" s="2195">
        <v>0</v>
      </c>
      <c r="BH135" s="2194"/>
      <c r="BI135" s="2194"/>
      <c r="BJ135" s="2195">
        <v>0</v>
      </c>
      <c r="BK135" s="2195">
        <v>0</v>
      </c>
      <c r="BL135" s="2195">
        <v>0</v>
      </c>
      <c r="BM135" s="2195">
        <v>6</v>
      </c>
      <c r="BN135" s="964">
        <v>0</v>
      </c>
      <c r="BO135" s="963"/>
      <c r="BP135" s="964">
        <v>6</v>
      </c>
      <c r="BQ135" s="73"/>
      <c r="BS135" s="879"/>
      <c r="BT135" s="879"/>
      <c r="BU135" s="880" t="s">
        <v>129</v>
      </c>
      <c r="BV135" s="881" t="s">
        <v>1284</v>
      </c>
      <c r="BW135" s="883">
        <v>1</v>
      </c>
      <c r="BX135" s="883">
        <v>1</v>
      </c>
      <c r="BY135" s="882"/>
      <c r="BZ135" s="882"/>
      <c r="CA135" s="882"/>
      <c r="CB135" s="882"/>
      <c r="CC135" s="883">
        <v>0</v>
      </c>
      <c r="CD135" s="882"/>
      <c r="CE135" s="879"/>
      <c r="CF135" s="879"/>
      <c r="CG135" s="884">
        <v>2</v>
      </c>
      <c r="CH135" s="161"/>
      <c r="CJ135" s="885"/>
      <c r="CK135" s="885"/>
      <c r="CL135" s="885"/>
      <c r="CM135" s="886" t="s">
        <v>1286</v>
      </c>
      <c r="CN135" s="887"/>
      <c r="CO135" s="887"/>
      <c r="CP135" s="887"/>
      <c r="CQ135" s="888">
        <v>1</v>
      </c>
      <c r="CR135" s="887"/>
      <c r="CS135" s="887"/>
      <c r="CT135" s="888">
        <v>0</v>
      </c>
      <c r="CU135" s="888">
        <v>0</v>
      </c>
      <c r="CV135" s="888">
        <v>0</v>
      </c>
      <c r="CW135" s="889"/>
      <c r="CX135" s="889"/>
      <c r="CY135" s="890">
        <v>1</v>
      </c>
      <c r="CZ135" s="891"/>
      <c r="DB135" s="892"/>
      <c r="DC135" s="892"/>
      <c r="DD135" s="892"/>
      <c r="DE135" s="893" t="s">
        <v>1293</v>
      </c>
      <c r="DF135" s="894"/>
      <c r="DG135" s="894"/>
      <c r="DH135" s="894"/>
      <c r="DI135" s="895">
        <v>0</v>
      </c>
      <c r="DJ135" s="894"/>
      <c r="DK135" s="894"/>
      <c r="DL135" s="895">
        <v>1</v>
      </c>
      <c r="DM135" s="895">
        <v>0</v>
      </c>
      <c r="DN135" s="894"/>
      <c r="DO135" s="894"/>
      <c r="DP135" s="895">
        <v>1</v>
      </c>
      <c r="DQ135" s="792"/>
      <c r="DS135" s="121"/>
      <c r="DT135" s="121" t="s">
        <v>105</v>
      </c>
      <c r="DU135" s="74" t="s">
        <v>144</v>
      </c>
      <c r="DV135" s="74" t="s">
        <v>1284</v>
      </c>
      <c r="DW135" s="121"/>
      <c r="DX135" s="121">
        <v>1</v>
      </c>
      <c r="DY135" s="121"/>
      <c r="DZ135" s="121"/>
      <c r="EA135" s="121">
        <v>2</v>
      </c>
      <c r="EB135" s="121">
        <v>1</v>
      </c>
      <c r="EC135" s="121">
        <v>0</v>
      </c>
      <c r="ED135" s="121"/>
      <c r="EE135" s="121"/>
      <c r="EF135" s="121"/>
      <c r="EG135" s="121">
        <v>4</v>
      </c>
      <c r="EH135" s="74"/>
      <c r="EI135" s="74"/>
      <c r="EJ135" s="793"/>
      <c r="EK135" s="793"/>
      <c r="EL135" s="793"/>
      <c r="EM135" s="793" t="s">
        <v>1292</v>
      </c>
      <c r="EN135" s="793">
        <v>0</v>
      </c>
      <c r="EO135" s="793">
        <v>0</v>
      </c>
      <c r="EP135" s="793">
        <v>0</v>
      </c>
      <c r="EQ135" s="793">
        <v>0</v>
      </c>
      <c r="ER135" s="793">
        <v>0</v>
      </c>
      <c r="ES135" s="793">
        <v>0</v>
      </c>
      <c r="ET135" s="793">
        <v>0</v>
      </c>
      <c r="EU135" s="793">
        <v>1</v>
      </c>
      <c r="EV135" s="793">
        <v>2</v>
      </c>
      <c r="EW135" s="793">
        <v>0</v>
      </c>
      <c r="EX135" s="793">
        <v>0</v>
      </c>
      <c r="EY135" s="794">
        <v>3</v>
      </c>
      <c r="EZ135" s="896"/>
      <c r="FA135" s="795"/>
    </row>
    <row r="136" spans="1:157">
      <c r="A136" s="73"/>
      <c r="B136" s="73"/>
      <c r="C136" s="73"/>
      <c r="D136" s="73" t="s">
        <v>1398</v>
      </c>
      <c r="E136" s="3261"/>
      <c r="F136" s="3261"/>
      <c r="G136" s="3261"/>
      <c r="H136" s="3261"/>
      <c r="I136" s="3261"/>
      <c r="J136" s="3261"/>
      <c r="K136" s="3261">
        <v>7</v>
      </c>
      <c r="L136" s="3261">
        <v>14</v>
      </c>
      <c r="M136" s="161"/>
      <c r="N136" s="161">
        <v>0</v>
      </c>
      <c r="O136" s="161">
        <v>21</v>
      </c>
      <c r="P136" s="73"/>
      <c r="R136" s="74"/>
      <c r="S136" s="74"/>
      <c r="T136" s="74" t="s">
        <v>125</v>
      </c>
      <c r="U136" s="74" t="s">
        <v>1283</v>
      </c>
      <c r="V136" s="3229"/>
      <c r="W136" s="3229"/>
      <c r="X136" s="3229"/>
      <c r="Y136" s="3229"/>
      <c r="Z136" s="3229"/>
      <c r="AA136" s="3229">
        <v>0</v>
      </c>
      <c r="AB136" s="3229">
        <v>0</v>
      </c>
      <c r="AC136" s="3229">
        <v>1</v>
      </c>
      <c r="AD136" s="3229">
        <v>1</v>
      </c>
      <c r="AE136" s="121">
        <v>0</v>
      </c>
      <c r="AF136" s="121">
        <v>1</v>
      </c>
      <c r="AG136" s="121">
        <v>3</v>
      </c>
      <c r="AJ136" s="161"/>
      <c r="AK136" s="161" t="s">
        <v>16</v>
      </c>
      <c r="AL136" s="73" t="s">
        <v>126</v>
      </c>
      <c r="AM136" s="73" t="s">
        <v>1284</v>
      </c>
      <c r="AN136" s="2600"/>
      <c r="AO136" s="2600">
        <v>0</v>
      </c>
      <c r="AP136" s="2600">
        <v>0</v>
      </c>
      <c r="AQ136" s="2600"/>
      <c r="AR136" s="2600"/>
      <c r="AS136" s="2600"/>
      <c r="AT136" s="2600">
        <v>5</v>
      </c>
      <c r="AU136" s="2600"/>
      <c r="AV136" s="2600"/>
      <c r="AW136" s="161"/>
      <c r="AX136" s="161"/>
      <c r="AY136" s="161">
        <v>5</v>
      </c>
      <c r="AZ136" s="161"/>
      <c r="BB136" s="2191"/>
      <c r="BC136" s="2191"/>
      <c r="BD136" s="2192"/>
      <c r="BE136" s="2193" t="s">
        <v>1398</v>
      </c>
      <c r="BF136" s="2194"/>
      <c r="BG136" s="2195">
        <v>0</v>
      </c>
      <c r="BH136" s="2194"/>
      <c r="BI136" s="2194"/>
      <c r="BJ136" s="2195">
        <v>0</v>
      </c>
      <c r="BK136" s="2195">
        <v>2</v>
      </c>
      <c r="BL136" s="2195">
        <v>0</v>
      </c>
      <c r="BM136" s="2195">
        <v>0</v>
      </c>
      <c r="BN136" s="964">
        <v>0</v>
      </c>
      <c r="BO136" s="963"/>
      <c r="BP136" s="964">
        <v>2</v>
      </c>
      <c r="BQ136" s="73"/>
      <c r="BS136" s="879"/>
      <c r="BT136" s="879"/>
      <c r="BU136" s="880"/>
      <c r="BV136" s="881" t="s">
        <v>1288</v>
      </c>
      <c r="BW136" s="883">
        <v>0</v>
      </c>
      <c r="BX136" s="883">
        <v>0</v>
      </c>
      <c r="BY136" s="882"/>
      <c r="BZ136" s="882"/>
      <c r="CA136" s="882"/>
      <c r="CB136" s="882"/>
      <c r="CC136" s="883">
        <v>5</v>
      </c>
      <c r="CD136" s="882"/>
      <c r="CE136" s="879"/>
      <c r="CF136" s="879"/>
      <c r="CG136" s="884">
        <v>5</v>
      </c>
      <c r="CH136" s="161"/>
      <c r="CJ136" s="885"/>
      <c r="CK136" s="885"/>
      <c r="CL136" s="885"/>
      <c r="CM136" s="886" t="s">
        <v>1288</v>
      </c>
      <c r="CN136" s="887"/>
      <c r="CO136" s="887"/>
      <c r="CP136" s="887"/>
      <c r="CQ136" s="888">
        <v>0</v>
      </c>
      <c r="CR136" s="887"/>
      <c r="CS136" s="887"/>
      <c r="CT136" s="888">
        <v>6</v>
      </c>
      <c r="CU136" s="888">
        <v>3</v>
      </c>
      <c r="CV136" s="888">
        <v>0</v>
      </c>
      <c r="CW136" s="889"/>
      <c r="CX136" s="889"/>
      <c r="CY136" s="890">
        <v>9</v>
      </c>
      <c r="CZ136" s="891"/>
      <c r="DB136" s="892"/>
      <c r="DC136" s="892"/>
      <c r="DD136" s="892"/>
      <c r="DE136" s="893" t="s">
        <v>1398</v>
      </c>
      <c r="DF136" s="894"/>
      <c r="DG136" s="894"/>
      <c r="DH136" s="894"/>
      <c r="DI136" s="895">
        <v>0</v>
      </c>
      <c r="DJ136" s="894"/>
      <c r="DK136" s="894"/>
      <c r="DL136" s="895">
        <v>3</v>
      </c>
      <c r="DM136" s="895">
        <v>0</v>
      </c>
      <c r="DN136" s="894"/>
      <c r="DO136" s="894"/>
      <c r="DP136" s="895">
        <v>3</v>
      </c>
      <c r="DQ136" s="792"/>
      <c r="DS136" s="121"/>
      <c r="DT136" s="121"/>
      <c r="DU136" s="74"/>
      <c r="DV136" s="74" t="s">
        <v>1288</v>
      </c>
      <c r="DW136" s="121"/>
      <c r="DX136" s="121">
        <v>0</v>
      </c>
      <c r="DY136" s="121"/>
      <c r="DZ136" s="121"/>
      <c r="EA136" s="121">
        <v>0</v>
      </c>
      <c r="EB136" s="121">
        <v>4</v>
      </c>
      <c r="EC136" s="121">
        <v>1</v>
      </c>
      <c r="ED136" s="121"/>
      <c r="EE136" s="121"/>
      <c r="EF136" s="121"/>
      <c r="EG136" s="121">
        <v>5</v>
      </c>
      <c r="EH136" s="74"/>
      <c r="EI136" s="74"/>
      <c r="EJ136" s="793"/>
      <c r="EK136" s="793"/>
      <c r="EL136" s="793"/>
      <c r="EM136" s="793" t="s">
        <v>1398</v>
      </c>
      <c r="EN136" s="793">
        <v>0</v>
      </c>
      <c r="EO136" s="793">
        <v>0</v>
      </c>
      <c r="EP136" s="793">
        <v>0</v>
      </c>
      <c r="EQ136" s="793">
        <v>0</v>
      </c>
      <c r="ER136" s="793">
        <v>0</v>
      </c>
      <c r="ES136" s="793">
        <v>0</v>
      </c>
      <c r="ET136" s="793">
        <v>1</v>
      </c>
      <c r="EU136" s="793">
        <v>0</v>
      </c>
      <c r="EV136" s="793">
        <v>0</v>
      </c>
      <c r="EW136" s="793">
        <v>0</v>
      </c>
      <c r="EX136" s="793">
        <v>0</v>
      </c>
      <c r="EY136" s="794">
        <v>1</v>
      </c>
      <c r="EZ136" s="896"/>
      <c r="FA136" s="795"/>
    </row>
    <row r="137" spans="1:157">
      <c r="A137" s="73"/>
      <c r="B137" s="73"/>
      <c r="C137" s="73"/>
      <c r="D137" s="738" t="s">
        <v>15</v>
      </c>
      <c r="E137" s="3262"/>
      <c r="F137" s="3262"/>
      <c r="G137" s="3262"/>
      <c r="H137" s="3262"/>
      <c r="I137" s="3262"/>
      <c r="J137" s="3262"/>
      <c r="K137" s="3262">
        <v>7</v>
      </c>
      <c r="L137" s="3262">
        <v>18</v>
      </c>
      <c r="M137" s="4674"/>
      <c r="N137" s="4674">
        <v>3</v>
      </c>
      <c r="O137" s="4674">
        <v>28</v>
      </c>
      <c r="P137" s="912">
        <f>+(O136+O134)/O137</f>
        <v>0.8214285714285714</v>
      </c>
      <c r="Q137" s="3197"/>
      <c r="R137" s="74"/>
      <c r="S137" s="74"/>
      <c r="T137" s="74"/>
      <c r="U137" s="74" t="s">
        <v>1284</v>
      </c>
      <c r="V137" s="3229"/>
      <c r="W137" s="3229"/>
      <c r="X137" s="3229"/>
      <c r="Y137" s="3229"/>
      <c r="Z137" s="3229"/>
      <c r="AA137" s="3229">
        <v>1</v>
      </c>
      <c r="AB137" s="3229">
        <v>2</v>
      </c>
      <c r="AC137" s="3229">
        <v>1</v>
      </c>
      <c r="AD137" s="3229">
        <v>0</v>
      </c>
      <c r="AE137" s="121">
        <v>0</v>
      </c>
      <c r="AF137" s="121">
        <v>0</v>
      </c>
      <c r="AG137" s="121">
        <v>4</v>
      </c>
      <c r="AJ137" s="161"/>
      <c r="AK137" s="161"/>
      <c r="AL137" s="73"/>
      <c r="AM137" s="73" t="s">
        <v>1288</v>
      </c>
      <c r="AN137" s="2600"/>
      <c r="AO137" s="2600">
        <v>0</v>
      </c>
      <c r="AP137" s="2600">
        <v>0</v>
      </c>
      <c r="AQ137" s="2600"/>
      <c r="AR137" s="2600"/>
      <c r="AS137" s="2600"/>
      <c r="AT137" s="2600">
        <v>3</v>
      </c>
      <c r="AU137" s="2600"/>
      <c r="AV137" s="2600"/>
      <c r="AW137" s="161"/>
      <c r="AX137" s="161"/>
      <c r="AY137" s="161">
        <v>3</v>
      </c>
      <c r="AZ137" s="161"/>
      <c r="BB137" s="2191"/>
      <c r="BC137" s="2191"/>
      <c r="BD137" s="2192"/>
      <c r="BE137" s="760" t="s">
        <v>15</v>
      </c>
      <c r="BF137" s="2196"/>
      <c r="BG137" s="2197">
        <v>2</v>
      </c>
      <c r="BH137" s="2196"/>
      <c r="BI137" s="2196"/>
      <c r="BJ137" s="2197">
        <v>1</v>
      </c>
      <c r="BK137" s="2197">
        <v>2</v>
      </c>
      <c r="BL137" s="2197">
        <v>1</v>
      </c>
      <c r="BM137" s="2197">
        <v>8</v>
      </c>
      <c r="BN137" s="973">
        <v>1</v>
      </c>
      <c r="BO137" s="972"/>
      <c r="BP137" s="973">
        <v>15</v>
      </c>
      <c r="BQ137" s="2154">
        <f>+(BP133+BP136)/BP137</f>
        <v>0.2</v>
      </c>
      <c r="BS137" s="879"/>
      <c r="BT137" s="879"/>
      <c r="BU137" s="880"/>
      <c r="BV137" s="881" t="s">
        <v>1398</v>
      </c>
      <c r="BW137" s="883">
        <v>0</v>
      </c>
      <c r="BX137" s="883">
        <v>0</v>
      </c>
      <c r="BY137" s="882"/>
      <c r="BZ137" s="882"/>
      <c r="CA137" s="882"/>
      <c r="CB137" s="882"/>
      <c r="CC137" s="883">
        <v>7</v>
      </c>
      <c r="CD137" s="882"/>
      <c r="CE137" s="879"/>
      <c r="CF137" s="879"/>
      <c r="CG137" s="884">
        <v>7</v>
      </c>
      <c r="CH137" s="161"/>
      <c r="CJ137" s="885"/>
      <c r="CK137" s="885"/>
      <c r="CL137" s="885"/>
      <c r="CM137" s="886" t="s">
        <v>1292</v>
      </c>
      <c r="CN137" s="887"/>
      <c r="CO137" s="887"/>
      <c r="CP137" s="887"/>
      <c r="CQ137" s="888">
        <v>0</v>
      </c>
      <c r="CR137" s="887"/>
      <c r="CS137" s="887"/>
      <c r="CT137" s="888">
        <v>0</v>
      </c>
      <c r="CU137" s="888">
        <v>0</v>
      </c>
      <c r="CV137" s="888">
        <v>5</v>
      </c>
      <c r="CW137" s="889"/>
      <c r="CX137" s="889"/>
      <c r="CY137" s="890">
        <v>5</v>
      </c>
      <c r="CZ137" s="891"/>
      <c r="DB137" s="892"/>
      <c r="DC137" s="892"/>
      <c r="DD137" s="892"/>
      <c r="DE137" s="902" t="s">
        <v>15</v>
      </c>
      <c r="DF137" s="903"/>
      <c r="DG137" s="903"/>
      <c r="DH137" s="903"/>
      <c r="DI137" s="904">
        <v>2</v>
      </c>
      <c r="DJ137" s="903"/>
      <c r="DK137" s="903"/>
      <c r="DL137" s="904">
        <v>6</v>
      </c>
      <c r="DM137" s="904">
        <v>6</v>
      </c>
      <c r="DN137" s="903"/>
      <c r="DO137" s="903"/>
      <c r="DP137" s="904">
        <v>14</v>
      </c>
      <c r="DQ137" s="905">
        <f>+(DP136+DP135+DP133)/DP137</f>
        <v>0.35714285714285715</v>
      </c>
      <c r="DS137" s="121"/>
      <c r="DT137" s="121"/>
      <c r="DU137" s="74"/>
      <c r="DV137" s="74" t="s">
        <v>1293</v>
      </c>
      <c r="DW137" s="121"/>
      <c r="DX137" s="121">
        <v>0</v>
      </c>
      <c r="DY137" s="121"/>
      <c r="DZ137" s="121"/>
      <c r="EA137" s="121">
        <v>0</v>
      </c>
      <c r="EB137" s="121">
        <v>5</v>
      </c>
      <c r="EC137" s="121">
        <v>0</v>
      </c>
      <c r="ED137" s="121"/>
      <c r="EE137" s="121"/>
      <c r="EF137" s="121"/>
      <c r="EG137" s="121">
        <v>5</v>
      </c>
      <c r="EH137" s="74"/>
      <c r="EI137" s="74"/>
      <c r="EJ137" s="793"/>
      <c r="EK137" s="793"/>
      <c r="EL137" s="793"/>
      <c r="EM137" s="796" t="s">
        <v>15</v>
      </c>
      <c r="EN137" s="796">
        <v>0</v>
      </c>
      <c r="EO137" s="796">
        <v>0</v>
      </c>
      <c r="EP137" s="796">
        <v>2</v>
      </c>
      <c r="EQ137" s="796">
        <v>0</v>
      </c>
      <c r="ER137" s="796">
        <v>2</v>
      </c>
      <c r="ES137" s="796">
        <v>0</v>
      </c>
      <c r="ET137" s="796">
        <v>19</v>
      </c>
      <c r="EU137" s="796">
        <v>1</v>
      </c>
      <c r="EV137" s="796">
        <v>2</v>
      </c>
      <c r="EW137" s="796">
        <v>0</v>
      </c>
      <c r="EX137" s="796">
        <v>0</v>
      </c>
      <c r="EY137" s="856">
        <v>26</v>
      </c>
      <c r="EZ137" s="906">
        <f>+EY136/EY137</f>
        <v>3.8461538461538464E-2</v>
      </c>
      <c r="FA137" s="795">
        <f>+EY136</f>
        <v>1</v>
      </c>
    </row>
    <row r="138" spans="1:157">
      <c r="A138" s="73"/>
      <c r="B138" s="73"/>
      <c r="C138" s="738" t="s">
        <v>572</v>
      </c>
      <c r="D138" s="738" t="s">
        <v>1283</v>
      </c>
      <c r="E138" s="3262">
        <v>0</v>
      </c>
      <c r="F138" s="3262">
        <v>0</v>
      </c>
      <c r="G138" s="3262">
        <v>0</v>
      </c>
      <c r="H138" s="3262">
        <v>0</v>
      </c>
      <c r="I138" s="3262">
        <v>1</v>
      </c>
      <c r="J138" s="3262">
        <v>0</v>
      </c>
      <c r="K138" s="3262">
        <v>0</v>
      </c>
      <c r="L138" s="3262">
        <v>3</v>
      </c>
      <c r="M138" s="4674">
        <v>0</v>
      </c>
      <c r="N138" s="4674">
        <v>0</v>
      </c>
      <c r="O138" s="4674">
        <v>4</v>
      </c>
      <c r="P138" s="73"/>
      <c r="R138" s="74"/>
      <c r="S138" s="74"/>
      <c r="T138" s="74"/>
      <c r="U138" s="74" t="s">
        <v>1292</v>
      </c>
      <c r="V138" s="3229"/>
      <c r="W138" s="3229"/>
      <c r="X138" s="3229"/>
      <c r="Y138" s="3229"/>
      <c r="Z138" s="3229"/>
      <c r="AA138" s="3229">
        <v>0</v>
      </c>
      <c r="AB138" s="3229">
        <v>0</v>
      </c>
      <c r="AC138" s="3229">
        <v>0</v>
      </c>
      <c r="AD138" s="3229">
        <v>0</v>
      </c>
      <c r="AE138" s="121">
        <v>3</v>
      </c>
      <c r="AF138" s="121">
        <v>1</v>
      </c>
      <c r="AG138" s="121">
        <v>4</v>
      </c>
      <c r="AJ138" s="161"/>
      <c r="AK138" s="161"/>
      <c r="AL138" s="73"/>
      <c r="AM138" s="73" t="s">
        <v>1289</v>
      </c>
      <c r="AN138" s="2600"/>
      <c r="AO138" s="2600">
        <v>1</v>
      </c>
      <c r="AP138" s="2600">
        <v>1</v>
      </c>
      <c r="AQ138" s="2600"/>
      <c r="AR138" s="2600"/>
      <c r="AS138" s="2600"/>
      <c r="AT138" s="2600">
        <v>0</v>
      </c>
      <c r="AU138" s="2600"/>
      <c r="AV138" s="2600"/>
      <c r="AW138" s="161"/>
      <c r="AX138" s="161"/>
      <c r="AY138" s="161">
        <v>2</v>
      </c>
      <c r="AZ138" s="161"/>
      <c r="BB138" s="2191"/>
      <c r="BC138" s="2191"/>
      <c r="BD138" s="2192" t="s">
        <v>834</v>
      </c>
      <c r="BE138" s="2193" t="s">
        <v>1283</v>
      </c>
      <c r="BF138" s="2195">
        <v>0</v>
      </c>
      <c r="BG138" s="2195">
        <v>0</v>
      </c>
      <c r="BH138" s="2194"/>
      <c r="BI138" s="2194"/>
      <c r="BJ138" s="2195">
        <v>0</v>
      </c>
      <c r="BK138" s="2194"/>
      <c r="BL138" s="2195">
        <v>0</v>
      </c>
      <c r="BM138" s="2195">
        <v>1</v>
      </c>
      <c r="BN138" s="964">
        <v>0</v>
      </c>
      <c r="BO138" s="964">
        <v>1</v>
      </c>
      <c r="BP138" s="964">
        <v>2</v>
      </c>
      <c r="BQ138" s="73"/>
      <c r="BS138" s="879"/>
      <c r="BT138" s="879"/>
      <c r="BU138" s="880"/>
      <c r="BV138" s="907" t="s">
        <v>15</v>
      </c>
      <c r="BW138" s="909">
        <v>1</v>
      </c>
      <c r="BX138" s="909">
        <v>1</v>
      </c>
      <c r="BY138" s="908"/>
      <c r="BZ138" s="908"/>
      <c r="CA138" s="908"/>
      <c r="CB138" s="908"/>
      <c r="CC138" s="909">
        <v>12</v>
      </c>
      <c r="CD138" s="908"/>
      <c r="CE138" s="910"/>
      <c r="CF138" s="910"/>
      <c r="CG138" s="911">
        <v>14</v>
      </c>
      <c r="CH138" s="912">
        <f>+(CG136+CG137)/CG138</f>
        <v>0.8571428571428571</v>
      </c>
      <c r="CJ138" s="885"/>
      <c r="CK138" s="885"/>
      <c r="CL138" s="885"/>
      <c r="CM138" s="886" t="s">
        <v>1398</v>
      </c>
      <c r="CN138" s="887"/>
      <c r="CO138" s="887"/>
      <c r="CP138" s="887"/>
      <c r="CQ138" s="888">
        <v>0</v>
      </c>
      <c r="CR138" s="887"/>
      <c r="CS138" s="887"/>
      <c r="CT138" s="888">
        <v>6</v>
      </c>
      <c r="CU138" s="888">
        <v>0</v>
      </c>
      <c r="CV138" s="888">
        <v>0</v>
      </c>
      <c r="CW138" s="889"/>
      <c r="CX138" s="889"/>
      <c r="CY138" s="890">
        <v>6</v>
      </c>
      <c r="CZ138" s="891"/>
      <c r="DB138" s="892"/>
      <c r="DC138" s="892"/>
      <c r="DD138" s="892" t="s">
        <v>112</v>
      </c>
      <c r="DE138" s="893" t="s">
        <v>1284</v>
      </c>
      <c r="DF138" s="894"/>
      <c r="DG138" s="894"/>
      <c r="DH138" s="895">
        <v>18</v>
      </c>
      <c r="DI138" s="895">
        <v>0</v>
      </c>
      <c r="DJ138" s="894"/>
      <c r="DK138" s="894"/>
      <c r="DL138" s="894"/>
      <c r="DM138" s="894"/>
      <c r="DN138" s="894"/>
      <c r="DO138" s="894"/>
      <c r="DP138" s="895">
        <v>18</v>
      </c>
      <c r="DQ138" s="792"/>
      <c r="DS138" s="121"/>
      <c r="DT138" s="121"/>
      <c r="DU138" s="74"/>
      <c r="DV138" s="74" t="s">
        <v>1398</v>
      </c>
      <c r="DW138" s="121"/>
      <c r="DX138" s="121">
        <v>0</v>
      </c>
      <c r="DY138" s="121"/>
      <c r="DZ138" s="121"/>
      <c r="EA138" s="121">
        <v>0</v>
      </c>
      <c r="EB138" s="121">
        <v>7</v>
      </c>
      <c r="EC138" s="121">
        <v>0</v>
      </c>
      <c r="ED138" s="121"/>
      <c r="EE138" s="121"/>
      <c r="EF138" s="121"/>
      <c r="EG138" s="121">
        <v>7</v>
      </c>
      <c r="EH138" s="74"/>
      <c r="EI138" s="74"/>
      <c r="EJ138" s="793"/>
      <c r="EK138" s="793"/>
      <c r="EL138" s="793" t="s">
        <v>137</v>
      </c>
      <c r="EM138" s="793" t="s">
        <v>1284</v>
      </c>
      <c r="EN138" s="793">
        <v>0</v>
      </c>
      <c r="EO138" s="793">
        <v>0</v>
      </c>
      <c r="EP138" s="793">
        <v>0</v>
      </c>
      <c r="EQ138" s="793">
        <v>0</v>
      </c>
      <c r="ER138" s="793">
        <v>1</v>
      </c>
      <c r="ES138" s="793">
        <v>0</v>
      </c>
      <c r="ET138" s="793">
        <v>8</v>
      </c>
      <c r="EU138" s="793">
        <v>0</v>
      </c>
      <c r="EV138" s="793">
        <v>0</v>
      </c>
      <c r="EW138" s="793">
        <v>0</v>
      </c>
      <c r="EX138" s="793">
        <v>0</v>
      </c>
      <c r="EY138" s="794">
        <v>9</v>
      </c>
      <c r="EZ138" s="896"/>
      <c r="FA138" s="795"/>
    </row>
    <row r="139" spans="1:157">
      <c r="A139" s="73"/>
      <c r="B139" s="73"/>
      <c r="C139" s="738"/>
      <c r="D139" s="738" t="s">
        <v>1284</v>
      </c>
      <c r="E139" s="3262">
        <v>1</v>
      </c>
      <c r="F139" s="3262">
        <v>1</v>
      </c>
      <c r="G139" s="3262">
        <v>0</v>
      </c>
      <c r="H139" s="3262">
        <v>1</v>
      </c>
      <c r="I139" s="3262">
        <v>0</v>
      </c>
      <c r="J139" s="3262">
        <v>1</v>
      </c>
      <c r="K139" s="3262">
        <v>3</v>
      </c>
      <c r="L139" s="3262">
        <v>1</v>
      </c>
      <c r="M139" s="4674">
        <v>0</v>
      </c>
      <c r="N139" s="4674">
        <v>0</v>
      </c>
      <c r="O139" s="4674">
        <v>8</v>
      </c>
      <c r="P139" s="73"/>
      <c r="R139" s="74"/>
      <c r="S139" s="74"/>
      <c r="T139" s="74"/>
      <c r="U139" s="761" t="s">
        <v>15</v>
      </c>
      <c r="V139" s="3230"/>
      <c r="W139" s="3230"/>
      <c r="X139" s="3230"/>
      <c r="Y139" s="3230"/>
      <c r="Z139" s="3230"/>
      <c r="AA139" s="3230">
        <v>1</v>
      </c>
      <c r="AB139" s="3230">
        <v>2</v>
      </c>
      <c r="AC139" s="3230">
        <v>2</v>
      </c>
      <c r="AD139" s="3230">
        <v>1</v>
      </c>
      <c r="AE139" s="729">
        <v>3</v>
      </c>
      <c r="AF139" s="729">
        <v>2</v>
      </c>
      <c r="AG139" s="729">
        <v>11</v>
      </c>
      <c r="AH139" s="4681">
        <v>0</v>
      </c>
      <c r="AJ139" s="161"/>
      <c r="AK139" s="161"/>
      <c r="AL139" s="73"/>
      <c r="AM139" s="73" t="s">
        <v>1398</v>
      </c>
      <c r="AN139" s="2600"/>
      <c r="AO139" s="2600">
        <v>0</v>
      </c>
      <c r="AP139" s="2600">
        <v>0</v>
      </c>
      <c r="AQ139" s="2600"/>
      <c r="AR139" s="2600"/>
      <c r="AS139" s="2600"/>
      <c r="AT139" s="2600">
        <v>5</v>
      </c>
      <c r="AU139" s="2600"/>
      <c r="AV139" s="2600"/>
      <c r="AW139" s="161"/>
      <c r="AX139" s="161"/>
      <c r="AY139" s="161">
        <v>5</v>
      </c>
      <c r="AZ139" s="161"/>
      <c r="BB139" s="2191"/>
      <c r="BC139" s="2191"/>
      <c r="BD139" s="2192"/>
      <c r="BE139" s="2193" t="s">
        <v>1284</v>
      </c>
      <c r="BF139" s="2195">
        <v>0</v>
      </c>
      <c r="BG139" s="2195">
        <v>0</v>
      </c>
      <c r="BH139" s="2194"/>
      <c r="BI139" s="2194"/>
      <c r="BJ139" s="2195">
        <v>0</v>
      </c>
      <c r="BK139" s="2194"/>
      <c r="BL139" s="2195">
        <v>1</v>
      </c>
      <c r="BM139" s="2195">
        <v>0</v>
      </c>
      <c r="BN139" s="964">
        <v>2</v>
      </c>
      <c r="BO139" s="964">
        <v>0</v>
      </c>
      <c r="BP139" s="964">
        <v>3</v>
      </c>
      <c r="BQ139" s="73"/>
      <c r="BS139" s="879"/>
      <c r="BT139" s="879"/>
      <c r="BU139" s="880" t="s">
        <v>573</v>
      </c>
      <c r="BV139" s="881" t="s">
        <v>1284</v>
      </c>
      <c r="BW139" s="883">
        <v>1</v>
      </c>
      <c r="BX139" s="883">
        <v>3</v>
      </c>
      <c r="BY139" s="883">
        <v>0</v>
      </c>
      <c r="BZ139" s="882"/>
      <c r="CA139" s="882"/>
      <c r="CB139" s="883">
        <v>2</v>
      </c>
      <c r="CC139" s="883">
        <v>5</v>
      </c>
      <c r="CD139" s="883">
        <v>0</v>
      </c>
      <c r="CE139" s="879"/>
      <c r="CF139" s="879"/>
      <c r="CG139" s="884">
        <v>11</v>
      </c>
      <c r="CH139" s="161"/>
      <c r="CJ139" s="885"/>
      <c r="CK139" s="885"/>
      <c r="CL139" s="885"/>
      <c r="CM139" s="897" t="s">
        <v>15</v>
      </c>
      <c r="CN139" s="898"/>
      <c r="CO139" s="898"/>
      <c r="CP139" s="898"/>
      <c r="CQ139" s="899">
        <v>2</v>
      </c>
      <c r="CR139" s="898"/>
      <c r="CS139" s="898"/>
      <c r="CT139" s="899">
        <v>12</v>
      </c>
      <c r="CU139" s="899">
        <v>4</v>
      </c>
      <c r="CV139" s="899">
        <v>6</v>
      </c>
      <c r="CW139" s="900"/>
      <c r="CX139" s="900"/>
      <c r="CY139" s="901">
        <v>24</v>
      </c>
      <c r="CZ139" s="891">
        <f>+(CY138+CY136)/CY139</f>
        <v>0.625</v>
      </c>
      <c r="DB139" s="892"/>
      <c r="DC139" s="892"/>
      <c r="DD139" s="892"/>
      <c r="DE139" s="893" t="s">
        <v>1288</v>
      </c>
      <c r="DF139" s="894"/>
      <c r="DG139" s="894"/>
      <c r="DH139" s="895">
        <v>3</v>
      </c>
      <c r="DI139" s="895">
        <v>1</v>
      </c>
      <c r="DJ139" s="894"/>
      <c r="DK139" s="894"/>
      <c r="DL139" s="894"/>
      <c r="DM139" s="894"/>
      <c r="DN139" s="894"/>
      <c r="DO139" s="894"/>
      <c r="DP139" s="895">
        <v>4</v>
      </c>
      <c r="DQ139" s="792"/>
      <c r="DS139" s="121"/>
      <c r="DT139" s="121"/>
      <c r="DU139" s="74"/>
      <c r="DV139" s="761" t="s">
        <v>15</v>
      </c>
      <c r="DW139" s="729"/>
      <c r="DX139" s="729">
        <v>1</v>
      </c>
      <c r="DY139" s="729"/>
      <c r="DZ139" s="729"/>
      <c r="EA139" s="729">
        <v>2</v>
      </c>
      <c r="EB139" s="729">
        <v>17</v>
      </c>
      <c r="EC139" s="729">
        <v>1</v>
      </c>
      <c r="ED139" s="729"/>
      <c r="EE139" s="729"/>
      <c r="EF139" s="729"/>
      <c r="EG139" s="729">
        <v>21</v>
      </c>
      <c r="EH139" s="813">
        <f>+(EG136+EG137+EG138)/EG139</f>
        <v>0.80952380952380953</v>
      </c>
      <c r="EI139" s="74"/>
      <c r="EJ139" s="793"/>
      <c r="EK139" s="793"/>
      <c r="EL139" s="793"/>
      <c r="EM139" s="793" t="s">
        <v>1288</v>
      </c>
      <c r="EN139" s="793">
        <v>0</v>
      </c>
      <c r="EO139" s="793">
        <v>0</v>
      </c>
      <c r="EP139" s="793">
        <v>0</v>
      </c>
      <c r="EQ139" s="793">
        <v>0</v>
      </c>
      <c r="ER139" s="793">
        <v>0</v>
      </c>
      <c r="ES139" s="793">
        <v>0</v>
      </c>
      <c r="ET139" s="793">
        <v>3</v>
      </c>
      <c r="EU139" s="793">
        <v>0</v>
      </c>
      <c r="EV139" s="793">
        <v>0</v>
      </c>
      <c r="EW139" s="793">
        <v>0</v>
      </c>
      <c r="EX139" s="793">
        <v>0</v>
      </c>
      <c r="EY139" s="794">
        <v>3</v>
      </c>
      <c r="EZ139" s="896"/>
      <c r="FA139" s="795"/>
    </row>
    <row r="140" spans="1:157">
      <c r="A140" s="73"/>
      <c r="B140" s="73"/>
      <c r="C140" s="738"/>
      <c r="D140" s="738" t="s">
        <v>1288</v>
      </c>
      <c r="E140" s="3262">
        <v>0</v>
      </c>
      <c r="F140" s="3262">
        <v>0</v>
      </c>
      <c r="G140" s="3262">
        <v>0</v>
      </c>
      <c r="H140" s="3262">
        <v>0</v>
      </c>
      <c r="I140" s="3262">
        <v>0</v>
      </c>
      <c r="J140" s="3262">
        <v>1</v>
      </c>
      <c r="K140" s="3262">
        <v>8</v>
      </c>
      <c r="L140" s="3262">
        <v>5</v>
      </c>
      <c r="M140" s="4674">
        <v>2</v>
      </c>
      <c r="N140" s="4674">
        <v>0</v>
      </c>
      <c r="O140" s="4674">
        <v>16</v>
      </c>
      <c r="P140" s="73"/>
      <c r="R140" s="74"/>
      <c r="S140" s="74"/>
      <c r="T140" s="74" t="s">
        <v>424</v>
      </c>
      <c r="U140" s="74" t="s">
        <v>1283</v>
      </c>
      <c r="V140" s="3229"/>
      <c r="W140" s="3229">
        <v>0</v>
      </c>
      <c r="X140" s="3229"/>
      <c r="Y140" s="3229"/>
      <c r="Z140" s="3229"/>
      <c r="AA140" s="3229">
        <v>0</v>
      </c>
      <c r="AB140" s="3229">
        <v>0</v>
      </c>
      <c r="AC140" s="3229">
        <v>0</v>
      </c>
      <c r="AD140" s="3229">
        <v>0</v>
      </c>
      <c r="AE140" s="121">
        <v>1</v>
      </c>
      <c r="AF140" s="121"/>
      <c r="AG140" s="121">
        <v>1</v>
      </c>
      <c r="AJ140" s="161"/>
      <c r="AK140" s="161"/>
      <c r="AL140" s="73"/>
      <c r="AM140" s="738" t="s">
        <v>15</v>
      </c>
      <c r="AN140" s="2601"/>
      <c r="AO140" s="2601">
        <v>1</v>
      </c>
      <c r="AP140" s="2601">
        <v>1</v>
      </c>
      <c r="AQ140" s="2601"/>
      <c r="AR140" s="2601"/>
      <c r="AS140" s="2601"/>
      <c r="AT140" s="2601">
        <v>13</v>
      </c>
      <c r="AU140" s="2601"/>
      <c r="AV140" s="2601"/>
      <c r="AW140" s="151"/>
      <c r="AX140" s="151"/>
      <c r="AY140" s="151">
        <v>15</v>
      </c>
      <c r="AZ140" s="912">
        <f>+(AY137+AY139)/AY140</f>
        <v>0.53333333333333333</v>
      </c>
      <c r="BB140" s="2191"/>
      <c r="BC140" s="2191"/>
      <c r="BD140" s="2192"/>
      <c r="BE140" s="2193" t="s">
        <v>1286</v>
      </c>
      <c r="BF140" s="2195">
        <v>3</v>
      </c>
      <c r="BG140" s="2195">
        <v>1</v>
      </c>
      <c r="BH140" s="2194"/>
      <c r="BI140" s="2194"/>
      <c r="BJ140" s="2195">
        <v>1</v>
      </c>
      <c r="BK140" s="2194"/>
      <c r="BL140" s="2195">
        <v>0</v>
      </c>
      <c r="BM140" s="2195">
        <v>0</v>
      </c>
      <c r="BN140" s="964">
        <v>0</v>
      </c>
      <c r="BO140" s="964">
        <v>0</v>
      </c>
      <c r="BP140" s="964">
        <v>5</v>
      </c>
      <c r="BQ140" s="73"/>
      <c r="BS140" s="879"/>
      <c r="BT140" s="879"/>
      <c r="BU140" s="880"/>
      <c r="BV140" s="881" t="s">
        <v>1288</v>
      </c>
      <c r="BW140" s="883">
        <v>0</v>
      </c>
      <c r="BX140" s="883">
        <v>0</v>
      </c>
      <c r="BY140" s="883">
        <v>0</v>
      </c>
      <c r="BZ140" s="882"/>
      <c r="CA140" s="882"/>
      <c r="CB140" s="883">
        <v>4</v>
      </c>
      <c r="CC140" s="883">
        <v>38</v>
      </c>
      <c r="CD140" s="883">
        <v>0</v>
      </c>
      <c r="CE140" s="879"/>
      <c r="CF140" s="879"/>
      <c r="CG140" s="884">
        <v>42</v>
      </c>
      <c r="CH140" s="161"/>
      <c r="CJ140" s="885"/>
      <c r="CK140" s="885"/>
      <c r="CL140" s="885" t="s">
        <v>131</v>
      </c>
      <c r="CM140" s="886" t="s">
        <v>1284</v>
      </c>
      <c r="CN140" s="887"/>
      <c r="CO140" s="887"/>
      <c r="CP140" s="887"/>
      <c r="CQ140" s="887"/>
      <c r="CR140" s="887"/>
      <c r="CS140" s="887"/>
      <c r="CT140" s="887"/>
      <c r="CU140" s="888">
        <v>2</v>
      </c>
      <c r="CV140" s="888">
        <v>0</v>
      </c>
      <c r="CW140" s="889"/>
      <c r="CX140" s="889"/>
      <c r="CY140" s="890">
        <v>2</v>
      </c>
      <c r="CZ140" s="891"/>
      <c r="DB140" s="892"/>
      <c r="DC140" s="892"/>
      <c r="DD140" s="892"/>
      <c r="DE140" s="893" t="s">
        <v>1293</v>
      </c>
      <c r="DF140" s="894"/>
      <c r="DG140" s="894"/>
      <c r="DH140" s="895">
        <v>5</v>
      </c>
      <c r="DI140" s="895">
        <v>4</v>
      </c>
      <c r="DJ140" s="894"/>
      <c r="DK140" s="894"/>
      <c r="DL140" s="894"/>
      <c r="DM140" s="894"/>
      <c r="DN140" s="894"/>
      <c r="DO140" s="894"/>
      <c r="DP140" s="895">
        <v>9</v>
      </c>
      <c r="DQ140" s="792"/>
      <c r="DS140" s="121"/>
      <c r="DT140" s="121"/>
      <c r="DU140" s="74" t="s">
        <v>425</v>
      </c>
      <c r="DV140" s="74" t="s">
        <v>1284</v>
      </c>
      <c r="DW140" s="121"/>
      <c r="DX140" s="121"/>
      <c r="DY140" s="121"/>
      <c r="DZ140" s="121"/>
      <c r="EA140" s="121"/>
      <c r="EB140" s="121">
        <v>3</v>
      </c>
      <c r="EC140" s="121">
        <v>1</v>
      </c>
      <c r="ED140" s="121"/>
      <c r="EE140" s="121"/>
      <c r="EF140" s="121"/>
      <c r="EG140" s="121">
        <v>4</v>
      </c>
      <c r="EH140" s="74"/>
      <c r="EI140" s="74"/>
      <c r="EJ140" s="793"/>
      <c r="EK140" s="793"/>
      <c r="EL140" s="793"/>
      <c r="EM140" s="793" t="s">
        <v>1293</v>
      </c>
      <c r="EN140" s="793">
        <v>0</v>
      </c>
      <c r="EO140" s="793">
        <v>0</v>
      </c>
      <c r="EP140" s="793">
        <v>0</v>
      </c>
      <c r="EQ140" s="793">
        <v>0</v>
      </c>
      <c r="ER140" s="793">
        <v>0</v>
      </c>
      <c r="ES140" s="793">
        <v>0</v>
      </c>
      <c r="ET140" s="793">
        <v>1</v>
      </c>
      <c r="EU140" s="793">
        <v>0</v>
      </c>
      <c r="EV140" s="793">
        <v>0</v>
      </c>
      <c r="EW140" s="793">
        <v>0</v>
      </c>
      <c r="EX140" s="793">
        <v>0</v>
      </c>
      <c r="EY140" s="794">
        <v>1</v>
      </c>
      <c r="EZ140" s="896"/>
      <c r="FA140" s="795"/>
    </row>
    <row r="141" spans="1:157">
      <c r="A141" s="73"/>
      <c r="B141" s="73"/>
      <c r="C141" s="738"/>
      <c r="D141" s="738" t="s">
        <v>1289</v>
      </c>
      <c r="E141" s="3262">
        <v>0</v>
      </c>
      <c r="F141" s="3262">
        <v>0</v>
      </c>
      <c r="G141" s="3262">
        <v>1</v>
      </c>
      <c r="H141" s="3262">
        <v>1</v>
      </c>
      <c r="I141" s="3262">
        <v>0</v>
      </c>
      <c r="J141" s="3262">
        <v>1</v>
      </c>
      <c r="K141" s="3262">
        <v>0</v>
      </c>
      <c r="L141" s="3262">
        <v>0</v>
      </c>
      <c r="M141" s="4674">
        <v>0</v>
      </c>
      <c r="N141" s="4674">
        <v>0</v>
      </c>
      <c r="O141" s="4674">
        <v>3</v>
      </c>
      <c r="P141" s="73"/>
      <c r="R141" s="74"/>
      <c r="S141" s="74"/>
      <c r="T141" s="74"/>
      <c r="U141" s="74" t="s">
        <v>1284</v>
      </c>
      <c r="V141" s="3229"/>
      <c r="W141" s="3229">
        <v>1</v>
      </c>
      <c r="X141" s="3229"/>
      <c r="Y141" s="3229"/>
      <c r="Z141" s="3229"/>
      <c r="AA141" s="3229">
        <v>0</v>
      </c>
      <c r="AB141" s="3229">
        <v>0</v>
      </c>
      <c r="AC141" s="3229">
        <v>2</v>
      </c>
      <c r="AD141" s="3229">
        <v>0</v>
      </c>
      <c r="AE141" s="121">
        <v>0</v>
      </c>
      <c r="AF141" s="121"/>
      <c r="AG141" s="121">
        <v>3</v>
      </c>
      <c r="AJ141" s="161"/>
      <c r="AK141" s="161"/>
      <c r="AL141" s="73" t="s">
        <v>127</v>
      </c>
      <c r="AM141" s="73" t="s">
        <v>1284</v>
      </c>
      <c r="AN141" s="2600"/>
      <c r="AO141" s="2600"/>
      <c r="AP141" s="2600"/>
      <c r="AQ141" s="2600"/>
      <c r="AR141" s="2600"/>
      <c r="AS141" s="2600">
        <v>0</v>
      </c>
      <c r="AT141" s="2600">
        <v>9</v>
      </c>
      <c r="AU141" s="2600">
        <v>7</v>
      </c>
      <c r="AV141" s="2600">
        <v>0</v>
      </c>
      <c r="AW141" s="161"/>
      <c r="AX141" s="161"/>
      <c r="AY141" s="161">
        <v>16</v>
      </c>
      <c r="AZ141" s="161"/>
      <c r="BB141" s="2191"/>
      <c r="BC141" s="2191"/>
      <c r="BD141" s="2192"/>
      <c r="BE141" s="2193" t="s">
        <v>1288</v>
      </c>
      <c r="BF141" s="2195">
        <v>0</v>
      </c>
      <c r="BG141" s="2195">
        <v>0</v>
      </c>
      <c r="BH141" s="2194"/>
      <c r="BI141" s="2194"/>
      <c r="BJ141" s="2195">
        <v>0</v>
      </c>
      <c r="BK141" s="2194"/>
      <c r="BL141" s="2195">
        <v>0</v>
      </c>
      <c r="BM141" s="2195">
        <v>1</v>
      </c>
      <c r="BN141" s="964">
        <v>0</v>
      </c>
      <c r="BO141" s="964">
        <v>0</v>
      </c>
      <c r="BP141" s="964">
        <v>1</v>
      </c>
      <c r="BQ141" s="73"/>
      <c r="BS141" s="879"/>
      <c r="BT141" s="879"/>
      <c r="BU141" s="880"/>
      <c r="BV141" s="881" t="s">
        <v>1289</v>
      </c>
      <c r="BW141" s="883">
        <v>1</v>
      </c>
      <c r="BX141" s="883">
        <v>1</v>
      </c>
      <c r="BY141" s="883">
        <v>1</v>
      </c>
      <c r="BZ141" s="882"/>
      <c r="CA141" s="882"/>
      <c r="CB141" s="883">
        <v>0</v>
      </c>
      <c r="CC141" s="883">
        <v>0</v>
      </c>
      <c r="CD141" s="883">
        <v>0</v>
      </c>
      <c r="CE141" s="879"/>
      <c r="CF141" s="879"/>
      <c r="CG141" s="884">
        <v>3</v>
      </c>
      <c r="CH141" s="161"/>
      <c r="CJ141" s="885"/>
      <c r="CK141" s="885"/>
      <c r="CL141" s="885"/>
      <c r="CM141" s="886" t="s">
        <v>1288</v>
      </c>
      <c r="CN141" s="887"/>
      <c r="CO141" s="887"/>
      <c r="CP141" s="887"/>
      <c r="CQ141" s="887"/>
      <c r="CR141" s="887"/>
      <c r="CS141" s="887"/>
      <c r="CT141" s="887"/>
      <c r="CU141" s="888">
        <v>10</v>
      </c>
      <c r="CV141" s="888">
        <v>0</v>
      </c>
      <c r="CW141" s="889"/>
      <c r="CX141" s="889"/>
      <c r="CY141" s="890">
        <v>10</v>
      </c>
      <c r="CZ141" s="891"/>
      <c r="DB141" s="892"/>
      <c r="DC141" s="892"/>
      <c r="DD141" s="892"/>
      <c r="DE141" s="893" t="s">
        <v>1398</v>
      </c>
      <c r="DF141" s="894"/>
      <c r="DG141" s="894"/>
      <c r="DH141" s="895">
        <v>8</v>
      </c>
      <c r="DI141" s="895">
        <v>0</v>
      </c>
      <c r="DJ141" s="894"/>
      <c r="DK141" s="894"/>
      <c r="DL141" s="894"/>
      <c r="DM141" s="894"/>
      <c r="DN141" s="894"/>
      <c r="DO141" s="894"/>
      <c r="DP141" s="895">
        <v>8</v>
      </c>
      <c r="DQ141" s="792"/>
      <c r="DS141" s="121"/>
      <c r="DT141" s="121"/>
      <c r="DU141" s="74"/>
      <c r="DV141" s="74" t="s">
        <v>1288</v>
      </c>
      <c r="DW141" s="121"/>
      <c r="DX141" s="121"/>
      <c r="DY141" s="121"/>
      <c r="DZ141" s="121"/>
      <c r="EA141" s="121"/>
      <c r="EB141" s="121">
        <v>2</v>
      </c>
      <c r="EC141" s="121">
        <v>1</v>
      </c>
      <c r="ED141" s="121"/>
      <c r="EE141" s="121"/>
      <c r="EF141" s="121"/>
      <c r="EG141" s="121">
        <v>3</v>
      </c>
      <c r="EH141" s="74"/>
      <c r="EI141" s="74"/>
      <c r="EJ141" s="793"/>
      <c r="EK141" s="793"/>
      <c r="EL141" s="793"/>
      <c r="EM141" s="793" t="s">
        <v>1398</v>
      </c>
      <c r="EN141" s="793">
        <v>0</v>
      </c>
      <c r="EO141" s="793">
        <v>0</v>
      </c>
      <c r="EP141" s="793">
        <v>0</v>
      </c>
      <c r="EQ141" s="793">
        <v>0</v>
      </c>
      <c r="ER141" s="793">
        <v>0</v>
      </c>
      <c r="ES141" s="793">
        <v>0</v>
      </c>
      <c r="ET141" s="793">
        <v>5</v>
      </c>
      <c r="EU141" s="793">
        <v>0</v>
      </c>
      <c r="EV141" s="793">
        <v>0</v>
      </c>
      <c r="EW141" s="793">
        <v>0</v>
      </c>
      <c r="EX141" s="793">
        <v>0</v>
      </c>
      <c r="EY141" s="794">
        <v>5</v>
      </c>
      <c r="EZ141" s="896"/>
      <c r="FA141" s="795"/>
    </row>
    <row r="142" spans="1:157">
      <c r="A142" s="73"/>
      <c r="B142" s="73"/>
      <c r="C142" s="738"/>
      <c r="D142" s="738" t="s">
        <v>1292</v>
      </c>
      <c r="E142" s="3262">
        <v>0</v>
      </c>
      <c r="F142" s="3262">
        <v>0</v>
      </c>
      <c r="G142" s="3262">
        <v>0</v>
      </c>
      <c r="H142" s="3262">
        <v>0</v>
      </c>
      <c r="I142" s="3262">
        <v>0</v>
      </c>
      <c r="J142" s="3262">
        <v>0</v>
      </c>
      <c r="K142" s="3262">
        <v>0</v>
      </c>
      <c r="L142" s="3262">
        <v>27</v>
      </c>
      <c r="M142" s="4674">
        <v>7</v>
      </c>
      <c r="N142" s="4674">
        <v>5</v>
      </c>
      <c r="O142" s="4674">
        <v>39</v>
      </c>
      <c r="P142" s="73"/>
      <c r="R142" s="74"/>
      <c r="S142" s="74"/>
      <c r="T142" s="74"/>
      <c r="U142" s="74" t="s">
        <v>1288</v>
      </c>
      <c r="V142" s="3229"/>
      <c r="W142" s="3229">
        <v>0</v>
      </c>
      <c r="X142" s="3229"/>
      <c r="Y142" s="3229"/>
      <c r="Z142" s="3229"/>
      <c r="AA142" s="3229">
        <v>0</v>
      </c>
      <c r="AB142" s="3229">
        <v>1</v>
      </c>
      <c r="AC142" s="3229">
        <v>3</v>
      </c>
      <c r="AD142" s="3229">
        <v>0</v>
      </c>
      <c r="AE142" s="121">
        <v>0</v>
      </c>
      <c r="AF142" s="121"/>
      <c r="AG142" s="121">
        <v>4</v>
      </c>
      <c r="AJ142" s="161"/>
      <c r="AK142" s="161"/>
      <c r="AL142" s="73"/>
      <c r="AM142" s="73" t="s">
        <v>1288</v>
      </c>
      <c r="AN142" s="2600"/>
      <c r="AO142" s="2600"/>
      <c r="AP142" s="2600"/>
      <c r="AQ142" s="2600"/>
      <c r="AR142" s="2600"/>
      <c r="AS142" s="2600">
        <v>0</v>
      </c>
      <c r="AT142" s="2600">
        <v>7</v>
      </c>
      <c r="AU142" s="2600">
        <v>16</v>
      </c>
      <c r="AV142" s="2600">
        <v>0</v>
      </c>
      <c r="AW142" s="161"/>
      <c r="AX142" s="161"/>
      <c r="AY142" s="161">
        <v>23</v>
      </c>
      <c r="AZ142" s="161"/>
      <c r="BB142" s="2191"/>
      <c r="BC142" s="2191"/>
      <c r="BD142" s="2192"/>
      <c r="BE142" s="2193" t="s">
        <v>1292</v>
      </c>
      <c r="BF142" s="2195">
        <v>0</v>
      </c>
      <c r="BG142" s="2195">
        <v>0</v>
      </c>
      <c r="BH142" s="2194"/>
      <c r="BI142" s="2194"/>
      <c r="BJ142" s="2195">
        <v>0</v>
      </c>
      <c r="BK142" s="2194"/>
      <c r="BL142" s="2195">
        <v>0</v>
      </c>
      <c r="BM142" s="2195">
        <v>0</v>
      </c>
      <c r="BN142" s="964">
        <v>0</v>
      </c>
      <c r="BO142" s="964">
        <v>9</v>
      </c>
      <c r="BP142" s="964">
        <v>9</v>
      </c>
      <c r="BQ142" s="73"/>
      <c r="BS142" s="879"/>
      <c r="BT142" s="879"/>
      <c r="BU142" s="880"/>
      <c r="BV142" s="881" t="s">
        <v>1292</v>
      </c>
      <c r="BW142" s="883">
        <v>0</v>
      </c>
      <c r="BX142" s="883">
        <v>0</v>
      </c>
      <c r="BY142" s="883">
        <v>0</v>
      </c>
      <c r="BZ142" s="882"/>
      <c r="CA142" s="882"/>
      <c r="CB142" s="883">
        <v>0</v>
      </c>
      <c r="CC142" s="883">
        <v>1</v>
      </c>
      <c r="CD142" s="883">
        <v>22</v>
      </c>
      <c r="CE142" s="879"/>
      <c r="CF142" s="879"/>
      <c r="CG142" s="884">
        <v>23</v>
      </c>
      <c r="CH142" s="161"/>
      <c r="CJ142" s="885"/>
      <c r="CK142" s="885"/>
      <c r="CL142" s="885"/>
      <c r="CM142" s="886" t="s">
        <v>1292</v>
      </c>
      <c r="CN142" s="887"/>
      <c r="CO142" s="887"/>
      <c r="CP142" s="887"/>
      <c r="CQ142" s="887"/>
      <c r="CR142" s="887"/>
      <c r="CS142" s="887"/>
      <c r="CT142" s="887"/>
      <c r="CU142" s="888">
        <v>0</v>
      </c>
      <c r="CV142" s="888">
        <v>6</v>
      </c>
      <c r="CW142" s="889"/>
      <c r="CX142" s="889"/>
      <c r="CY142" s="890">
        <v>6</v>
      </c>
      <c r="CZ142" s="891"/>
      <c r="DB142" s="892"/>
      <c r="DC142" s="892"/>
      <c r="DD142" s="892"/>
      <c r="DE142" s="902" t="s">
        <v>15</v>
      </c>
      <c r="DF142" s="903"/>
      <c r="DG142" s="903"/>
      <c r="DH142" s="904">
        <v>34</v>
      </c>
      <c r="DI142" s="904">
        <v>5</v>
      </c>
      <c r="DJ142" s="903"/>
      <c r="DK142" s="903"/>
      <c r="DL142" s="903"/>
      <c r="DM142" s="903"/>
      <c r="DN142" s="903"/>
      <c r="DO142" s="903"/>
      <c r="DP142" s="904">
        <v>39</v>
      </c>
      <c r="DQ142" s="905">
        <f>+(DP141+DP140+DP139)/DP142</f>
        <v>0.53846153846153844</v>
      </c>
      <c r="DS142" s="121"/>
      <c r="DT142" s="121"/>
      <c r="DU142" s="74"/>
      <c r="DV142" s="74" t="s">
        <v>1293</v>
      </c>
      <c r="DW142" s="121"/>
      <c r="DX142" s="121"/>
      <c r="DY142" s="121"/>
      <c r="DZ142" s="121"/>
      <c r="EA142" s="121"/>
      <c r="EB142" s="121">
        <v>2</v>
      </c>
      <c r="EC142" s="121">
        <v>2</v>
      </c>
      <c r="ED142" s="121"/>
      <c r="EE142" s="121"/>
      <c r="EF142" s="121"/>
      <c r="EG142" s="121">
        <v>4</v>
      </c>
      <c r="EH142" s="74"/>
      <c r="EI142" s="74"/>
      <c r="EJ142" s="793"/>
      <c r="EK142" s="793"/>
      <c r="EL142" s="793"/>
      <c r="EM142" s="796" t="s">
        <v>15</v>
      </c>
      <c r="EN142" s="796">
        <v>0</v>
      </c>
      <c r="EO142" s="796">
        <v>0</v>
      </c>
      <c r="EP142" s="796">
        <v>0</v>
      </c>
      <c r="EQ142" s="796">
        <v>0</v>
      </c>
      <c r="ER142" s="796">
        <v>1</v>
      </c>
      <c r="ES142" s="796">
        <v>0</v>
      </c>
      <c r="ET142" s="796">
        <v>17</v>
      </c>
      <c r="EU142" s="796">
        <v>0</v>
      </c>
      <c r="EV142" s="796">
        <v>0</v>
      </c>
      <c r="EW142" s="796">
        <v>0</v>
      </c>
      <c r="EX142" s="796">
        <v>0</v>
      </c>
      <c r="EY142" s="856">
        <v>18</v>
      </c>
      <c r="EZ142" s="906">
        <f>+(EY141+EY140+EY139)/EY142</f>
        <v>0.5</v>
      </c>
      <c r="FA142" s="795">
        <f>+EY139+EY140+EY141</f>
        <v>9</v>
      </c>
    </row>
    <row r="143" spans="1:157">
      <c r="A143" s="73"/>
      <c r="B143" s="73"/>
      <c r="C143" s="738"/>
      <c r="D143" s="738" t="s">
        <v>1398</v>
      </c>
      <c r="E143" s="3262">
        <v>0</v>
      </c>
      <c r="F143" s="3262">
        <v>0</v>
      </c>
      <c r="G143" s="3262">
        <v>0</v>
      </c>
      <c r="H143" s="3262">
        <v>0</v>
      </c>
      <c r="I143" s="3262">
        <v>0</v>
      </c>
      <c r="J143" s="3262">
        <v>12</v>
      </c>
      <c r="K143" s="3262">
        <v>9</v>
      </c>
      <c r="L143" s="3262">
        <v>16</v>
      </c>
      <c r="M143" s="4674">
        <v>0</v>
      </c>
      <c r="N143" s="4674">
        <v>0</v>
      </c>
      <c r="O143" s="4674">
        <v>37</v>
      </c>
      <c r="P143" s="73"/>
      <c r="R143" s="74"/>
      <c r="S143" s="74"/>
      <c r="T143" s="74"/>
      <c r="U143" s="74" t="s">
        <v>1292</v>
      </c>
      <c r="V143" s="3229"/>
      <c r="W143" s="3229">
        <v>0</v>
      </c>
      <c r="X143" s="3229"/>
      <c r="Y143" s="3229"/>
      <c r="Z143" s="3229"/>
      <c r="AA143" s="3229">
        <v>1</v>
      </c>
      <c r="AB143" s="3229">
        <v>0</v>
      </c>
      <c r="AC143" s="3229">
        <v>0</v>
      </c>
      <c r="AD143" s="3229">
        <v>6</v>
      </c>
      <c r="AE143" s="121">
        <v>0</v>
      </c>
      <c r="AF143" s="121"/>
      <c r="AG143" s="121">
        <v>7</v>
      </c>
      <c r="AJ143" s="161"/>
      <c r="AK143" s="161"/>
      <c r="AL143" s="73"/>
      <c r="AM143" s="73" t="s">
        <v>1289</v>
      </c>
      <c r="AN143" s="2600"/>
      <c r="AO143" s="2600"/>
      <c r="AP143" s="2600"/>
      <c r="AQ143" s="2600"/>
      <c r="AR143" s="2600"/>
      <c r="AS143" s="2600">
        <v>2</v>
      </c>
      <c r="AT143" s="2600">
        <v>0</v>
      </c>
      <c r="AU143" s="2600">
        <v>0</v>
      </c>
      <c r="AV143" s="2600">
        <v>0</v>
      </c>
      <c r="AW143" s="161"/>
      <c r="AX143" s="161"/>
      <c r="AY143" s="161">
        <v>2</v>
      </c>
      <c r="AZ143" s="161"/>
      <c r="BB143" s="2191"/>
      <c r="BC143" s="2191"/>
      <c r="BD143" s="2192"/>
      <c r="BE143" s="2193" t="s">
        <v>1398</v>
      </c>
      <c r="BF143" s="2195">
        <v>0</v>
      </c>
      <c r="BG143" s="2195">
        <v>0</v>
      </c>
      <c r="BH143" s="2194"/>
      <c r="BI143" s="2194"/>
      <c r="BJ143" s="2195">
        <v>0</v>
      </c>
      <c r="BK143" s="2194"/>
      <c r="BL143" s="2195">
        <v>0</v>
      </c>
      <c r="BM143" s="2195">
        <v>6</v>
      </c>
      <c r="BN143" s="964">
        <v>0</v>
      </c>
      <c r="BO143" s="964">
        <v>0</v>
      </c>
      <c r="BP143" s="964">
        <v>6</v>
      </c>
      <c r="BQ143" s="73"/>
      <c r="BS143" s="879"/>
      <c r="BT143" s="879"/>
      <c r="BU143" s="880"/>
      <c r="BV143" s="881" t="s">
        <v>1398</v>
      </c>
      <c r="BW143" s="883">
        <v>0</v>
      </c>
      <c r="BX143" s="883">
        <v>0</v>
      </c>
      <c r="BY143" s="883">
        <v>0</v>
      </c>
      <c r="BZ143" s="882"/>
      <c r="CA143" s="882"/>
      <c r="CB143" s="883">
        <v>16</v>
      </c>
      <c r="CC143" s="883">
        <v>11</v>
      </c>
      <c r="CD143" s="883">
        <v>0</v>
      </c>
      <c r="CE143" s="879"/>
      <c r="CF143" s="879"/>
      <c r="CG143" s="884">
        <v>27</v>
      </c>
      <c r="CH143" s="161"/>
      <c r="CJ143" s="885"/>
      <c r="CK143" s="885"/>
      <c r="CL143" s="885"/>
      <c r="CM143" s="897" t="s">
        <v>15</v>
      </c>
      <c r="CN143" s="898"/>
      <c r="CO143" s="898"/>
      <c r="CP143" s="898"/>
      <c r="CQ143" s="898"/>
      <c r="CR143" s="898"/>
      <c r="CS143" s="898"/>
      <c r="CT143" s="898"/>
      <c r="CU143" s="899">
        <v>12</v>
      </c>
      <c r="CV143" s="899">
        <v>6</v>
      </c>
      <c r="CW143" s="900"/>
      <c r="CX143" s="900"/>
      <c r="CY143" s="901">
        <v>18</v>
      </c>
      <c r="CZ143" s="891">
        <f>+CY141/CY143</f>
        <v>0.55555555555555558</v>
      </c>
      <c r="DB143" s="892"/>
      <c r="DC143" s="892" t="s">
        <v>41</v>
      </c>
      <c r="DD143" s="892" t="s">
        <v>139</v>
      </c>
      <c r="DE143" s="893" t="s">
        <v>1284</v>
      </c>
      <c r="DF143" s="894"/>
      <c r="DG143" s="894"/>
      <c r="DH143" s="895">
        <v>1</v>
      </c>
      <c r="DI143" s="894"/>
      <c r="DJ143" s="894"/>
      <c r="DK143" s="894"/>
      <c r="DL143" s="894"/>
      <c r="DM143" s="894"/>
      <c r="DN143" s="894"/>
      <c r="DO143" s="894"/>
      <c r="DP143" s="895">
        <v>1</v>
      </c>
      <c r="DQ143" s="792"/>
      <c r="DS143" s="121"/>
      <c r="DT143" s="121"/>
      <c r="DU143" s="74"/>
      <c r="DV143" s="74" t="s">
        <v>1398</v>
      </c>
      <c r="DW143" s="121"/>
      <c r="DX143" s="121"/>
      <c r="DY143" s="121"/>
      <c r="DZ143" s="121"/>
      <c r="EA143" s="121"/>
      <c r="EB143" s="121">
        <v>2</v>
      </c>
      <c r="EC143" s="121">
        <v>4</v>
      </c>
      <c r="ED143" s="121"/>
      <c r="EE143" s="121"/>
      <c r="EF143" s="121"/>
      <c r="EG143" s="121">
        <v>6</v>
      </c>
      <c r="EH143" s="74"/>
      <c r="EI143" s="74"/>
      <c r="EJ143" s="793"/>
      <c r="EK143" s="793"/>
      <c r="EL143" s="793" t="s">
        <v>138</v>
      </c>
      <c r="EM143" s="793" t="s">
        <v>1284</v>
      </c>
      <c r="EN143" s="793">
        <v>0</v>
      </c>
      <c r="EO143" s="793">
        <v>1</v>
      </c>
      <c r="EP143" s="793">
        <v>1</v>
      </c>
      <c r="EQ143" s="793">
        <v>1</v>
      </c>
      <c r="ER143" s="793">
        <v>0</v>
      </c>
      <c r="ES143" s="793">
        <v>0</v>
      </c>
      <c r="ET143" s="793">
        <v>9</v>
      </c>
      <c r="EU143" s="793">
        <v>0</v>
      </c>
      <c r="EV143" s="793">
        <v>0</v>
      </c>
      <c r="EW143" s="793">
        <v>0</v>
      </c>
      <c r="EX143" s="793">
        <v>0</v>
      </c>
      <c r="EY143" s="794">
        <v>12</v>
      </c>
      <c r="EZ143" s="896"/>
      <c r="FA143" s="795"/>
    </row>
    <row r="144" spans="1:157">
      <c r="A144" s="73"/>
      <c r="B144" s="73"/>
      <c r="C144" s="738"/>
      <c r="D144" s="738" t="s">
        <v>3964</v>
      </c>
      <c r="E144" s="3262">
        <v>0</v>
      </c>
      <c r="F144" s="3262">
        <v>0</v>
      </c>
      <c r="G144" s="3262">
        <v>0</v>
      </c>
      <c r="H144" s="3262">
        <v>0</v>
      </c>
      <c r="I144" s="3262">
        <v>0</v>
      </c>
      <c r="J144" s="3262">
        <v>0</v>
      </c>
      <c r="K144" s="3262">
        <v>0</v>
      </c>
      <c r="L144" s="3262">
        <v>0</v>
      </c>
      <c r="M144" s="4674">
        <v>3</v>
      </c>
      <c r="N144" s="4674">
        <v>4</v>
      </c>
      <c r="O144" s="4674">
        <v>7</v>
      </c>
      <c r="P144" s="73"/>
      <c r="R144" s="74"/>
      <c r="S144" s="74"/>
      <c r="T144" s="74"/>
      <c r="U144" s="761" t="s">
        <v>15</v>
      </c>
      <c r="V144" s="3230"/>
      <c r="W144" s="3230">
        <v>1</v>
      </c>
      <c r="X144" s="3230"/>
      <c r="Y144" s="3230"/>
      <c r="Z144" s="3230"/>
      <c r="AA144" s="3230">
        <v>1</v>
      </c>
      <c r="AB144" s="3230">
        <v>1</v>
      </c>
      <c r="AC144" s="3230">
        <v>5</v>
      </c>
      <c r="AD144" s="3230">
        <v>6</v>
      </c>
      <c r="AE144" s="729">
        <v>1</v>
      </c>
      <c r="AF144" s="729"/>
      <c r="AG144" s="729">
        <v>15</v>
      </c>
      <c r="AH144" s="4681">
        <f>+AG142/AG144</f>
        <v>0.26666666666666666</v>
      </c>
      <c r="AJ144" s="161"/>
      <c r="AK144" s="161"/>
      <c r="AL144" s="73"/>
      <c r="AM144" s="73" t="s">
        <v>1292</v>
      </c>
      <c r="AN144" s="2600"/>
      <c r="AO144" s="2600"/>
      <c r="AP144" s="2600"/>
      <c r="AQ144" s="2600"/>
      <c r="AR144" s="2600"/>
      <c r="AS144" s="2600">
        <v>0</v>
      </c>
      <c r="AT144" s="2600">
        <v>0</v>
      </c>
      <c r="AU144" s="2600">
        <v>0</v>
      </c>
      <c r="AV144" s="2600">
        <v>6</v>
      </c>
      <c r="AW144" s="161"/>
      <c r="AX144" s="161"/>
      <c r="AY144" s="161">
        <v>6</v>
      </c>
      <c r="AZ144" s="161"/>
      <c r="BB144" s="2191"/>
      <c r="BC144" s="2191"/>
      <c r="BD144" s="2192"/>
      <c r="BE144" s="760" t="s">
        <v>15</v>
      </c>
      <c r="BF144" s="2197">
        <v>3</v>
      </c>
      <c r="BG144" s="2197">
        <v>1</v>
      </c>
      <c r="BH144" s="2196"/>
      <c r="BI144" s="2196"/>
      <c r="BJ144" s="2197">
        <v>1</v>
      </c>
      <c r="BK144" s="2196"/>
      <c r="BL144" s="2197">
        <v>1</v>
      </c>
      <c r="BM144" s="2197">
        <v>8</v>
      </c>
      <c r="BN144" s="973">
        <v>2</v>
      </c>
      <c r="BO144" s="973">
        <v>10</v>
      </c>
      <c r="BP144" s="973">
        <v>26</v>
      </c>
      <c r="BQ144" s="2154">
        <f>+(BP141+BP143)/BP144</f>
        <v>0.26923076923076922</v>
      </c>
      <c r="BS144" s="879"/>
      <c r="BT144" s="879"/>
      <c r="BU144" s="880"/>
      <c r="BV144" s="907" t="s">
        <v>573</v>
      </c>
      <c r="BW144" s="909">
        <v>2</v>
      </c>
      <c r="BX144" s="909">
        <v>4</v>
      </c>
      <c r="BY144" s="909">
        <v>1</v>
      </c>
      <c r="BZ144" s="908"/>
      <c r="CA144" s="908"/>
      <c r="CB144" s="909">
        <v>22</v>
      </c>
      <c r="CC144" s="909">
        <v>55</v>
      </c>
      <c r="CD144" s="909">
        <v>22</v>
      </c>
      <c r="CE144" s="910"/>
      <c r="CF144" s="910"/>
      <c r="CG144" s="911">
        <v>106</v>
      </c>
      <c r="CH144" s="912">
        <f>+(CG140+CG143)/CG144</f>
        <v>0.65094339622641506</v>
      </c>
      <c r="CJ144" s="885"/>
      <c r="CK144" s="885"/>
      <c r="CL144" s="885" t="s">
        <v>132</v>
      </c>
      <c r="CM144" s="886" t="s">
        <v>1284</v>
      </c>
      <c r="CN144" s="887"/>
      <c r="CO144" s="887"/>
      <c r="CP144" s="887"/>
      <c r="CQ144" s="887"/>
      <c r="CR144" s="887"/>
      <c r="CS144" s="887"/>
      <c r="CT144" s="888">
        <v>0</v>
      </c>
      <c r="CU144" s="888">
        <v>3</v>
      </c>
      <c r="CV144" s="888">
        <v>0</v>
      </c>
      <c r="CW144" s="889"/>
      <c r="CX144" s="889"/>
      <c r="CY144" s="890">
        <v>3</v>
      </c>
      <c r="CZ144" s="891"/>
      <c r="DB144" s="892"/>
      <c r="DC144" s="892"/>
      <c r="DD144" s="892"/>
      <c r="DE144" s="902" t="s">
        <v>15</v>
      </c>
      <c r="DF144" s="903"/>
      <c r="DG144" s="903"/>
      <c r="DH144" s="904">
        <v>1</v>
      </c>
      <c r="DI144" s="903"/>
      <c r="DJ144" s="903"/>
      <c r="DK144" s="903"/>
      <c r="DL144" s="903"/>
      <c r="DM144" s="903"/>
      <c r="DN144" s="903"/>
      <c r="DO144" s="903"/>
      <c r="DP144" s="904">
        <v>1</v>
      </c>
      <c r="DQ144" s="905">
        <v>0</v>
      </c>
      <c r="DS144" s="121"/>
      <c r="DT144" s="121"/>
      <c r="DU144" s="74"/>
      <c r="DV144" s="761" t="s">
        <v>15</v>
      </c>
      <c r="DW144" s="729"/>
      <c r="DX144" s="729"/>
      <c r="DY144" s="729"/>
      <c r="DZ144" s="729"/>
      <c r="EA144" s="729"/>
      <c r="EB144" s="729">
        <v>9</v>
      </c>
      <c r="EC144" s="729">
        <v>8</v>
      </c>
      <c r="ED144" s="729"/>
      <c r="EE144" s="729"/>
      <c r="EF144" s="729"/>
      <c r="EG144" s="729">
        <v>17</v>
      </c>
      <c r="EH144" s="813">
        <f>+(EG141+EG142+EG143)/EG144</f>
        <v>0.76470588235294112</v>
      </c>
      <c r="EI144" s="74"/>
      <c r="EJ144" s="793"/>
      <c r="EK144" s="793"/>
      <c r="EL144" s="793"/>
      <c r="EM144" s="793" t="s">
        <v>1292</v>
      </c>
      <c r="EN144" s="793">
        <v>0</v>
      </c>
      <c r="EO144" s="793">
        <v>0</v>
      </c>
      <c r="EP144" s="793">
        <v>0</v>
      </c>
      <c r="EQ144" s="793">
        <v>0</v>
      </c>
      <c r="ER144" s="793">
        <v>0</v>
      </c>
      <c r="ES144" s="793">
        <v>0</v>
      </c>
      <c r="ET144" s="793">
        <v>0</v>
      </c>
      <c r="EU144" s="793">
        <v>1</v>
      </c>
      <c r="EV144" s="793">
        <v>1</v>
      </c>
      <c r="EW144" s="793">
        <v>0</v>
      </c>
      <c r="EX144" s="793">
        <v>0</v>
      </c>
      <c r="EY144" s="794">
        <v>2</v>
      </c>
      <c r="EZ144" s="896"/>
      <c r="FA144" s="795"/>
    </row>
    <row r="145" spans="1:157">
      <c r="A145" s="73"/>
      <c r="B145" s="73"/>
      <c r="C145" s="738"/>
      <c r="D145" s="738" t="s">
        <v>572</v>
      </c>
      <c r="E145" s="3262">
        <v>1</v>
      </c>
      <c r="F145" s="3262">
        <v>1</v>
      </c>
      <c r="G145" s="3262">
        <v>1</v>
      </c>
      <c r="H145" s="3262">
        <v>2</v>
      </c>
      <c r="I145" s="3262">
        <v>1</v>
      </c>
      <c r="J145" s="3262">
        <v>15</v>
      </c>
      <c r="K145" s="3262">
        <v>20</v>
      </c>
      <c r="L145" s="3262">
        <v>52</v>
      </c>
      <c r="M145" s="4674">
        <v>12</v>
      </c>
      <c r="N145" s="4674">
        <v>9</v>
      </c>
      <c r="O145" s="4674">
        <v>114</v>
      </c>
      <c r="P145" s="912">
        <f>+(O143+O140-M140)/O145</f>
        <v>0.44736842105263158</v>
      </c>
      <c r="Q145" s="3197"/>
      <c r="R145" s="74"/>
      <c r="S145" s="74"/>
      <c r="T145" s="74" t="s">
        <v>834</v>
      </c>
      <c r="U145" s="74" t="s">
        <v>1284</v>
      </c>
      <c r="V145" s="3229"/>
      <c r="W145" s="3229">
        <v>0</v>
      </c>
      <c r="X145" s="3229"/>
      <c r="Y145" s="3229"/>
      <c r="Z145" s="3229"/>
      <c r="AA145" s="3229"/>
      <c r="AB145" s="3229"/>
      <c r="AC145" s="3229">
        <v>1</v>
      </c>
      <c r="AD145" s="3229">
        <v>2</v>
      </c>
      <c r="AE145" s="121"/>
      <c r="AF145" s="121">
        <v>0</v>
      </c>
      <c r="AG145" s="121">
        <v>3</v>
      </c>
      <c r="AJ145" s="161"/>
      <c r="AK145" s="161"/>
      <c r="AL145" s="73"/>
      <c r="AM145" s="73" t="s">
        <v>1398</v>
      </c>
      <c r="AN145" s="2600"/>
      <c r="AO145" s="2600"/>
      <c r="AP145" s="2600"/>
      <c r="AQ145" s="2600"/>
      <c r="AR145" s="2600"/>
      <c r="AS145" s="2600">
        <v>0</v>
      </c>
      <c r="AT145" s="2600">
        <v>7</v>
      </c>
      <c r="AU145" s="2600">
        <v>4</v>
      </c>
      <c r="AV145" s="2600">
        <v>0</v>
      </c>
      <c r="AW145" s="161"/>
      <c r="AX145" s="161"/>
      <c r="AY145" s="161">
        <v>11</v>
      </c>
      <c r="AZ145" s="161"/>
      <c r="BB145" s="2191"/>
      <c r="BC145" s="2191"/>
      <c r="BD145" s="2192" t="s">
        <v>572</v>
      </c>
      <c r="BE145" s="2193" t="s">
        <v>1283</v>
      </c>
      <c r="BF145" s="2195">
        <v>0</v>
      </c>
      <c r="BG145" s="2195">
        <v>0</v>
      </c>
      <c r="BH145" s="2195">
        <v>0</v>
      </c>
      <c r="BI145" s="2195">
        <v>0</v>
      </c>
      <c r="BJ145" s="2195">
        <v>0</v>
      </c>
      <c r="BK145" s="2195">
        <v>0</v>
      </c>
      <c r="BL145" s="2195">
        <v>0</v>
      </c>
      <c r="BM145" s="2195">
        <v>6</v>
      </c>
      <c r="BN145" s="964">
        <v>2</v>
      </c>
      <c r="BO145" s="964">
        <v>11</v>
      </c>
      <c r="BP145" s="964">
        <v>19</v>
      </c>
      <c r="BQ145" s="73"/>
      <c r="BS145" s="879"/>
      <c r="BT145" s="879" t="s">
        <v>41</v>
      </c>
      <c r="BU145" s="880" t="s">
        <v>462</v>
      </c>
      <c r="BV145" s="881" t="s">
        <v>1284</v>
      </c>
      <c r="BW145" s="882"/>
      <c r="BX145" s="882"/>
      <c r="BY145" s="882"/>
      <c r="BZ145" s="882"/>
      <c r="CA145" s="882"/>
      <c r="CB145" s="882"/>
      <c r="CC145" s="883">
        <v>0</v>
      </c>
      <c r="CD145" s="883">
        <v>0</v>
      </c>
      <c r="CE145" s="884">
        <v>1</v>
      </c>
      <c r="CF145" s="879"/>
      <c r="CG145" s="884">
        <v>1</v>
      </c>
      <c r="CH145" s="161"/>
      <c r="CJ145" s="885"/>
      <c r="CK145" s="885"/>
      <c r="CL145" s="885"/>
      <c r="CM145" s="886" t="s">
        <v>1288</v>
      </c>
      <c r="CN145" s="887"/>
      <c r="CO145" s="887"/>
      <c r="CP145" s="887"/>
      <c r="CQ145" s="887"/>
      <c r="CR145" s="887"/>
      <c r="CS145" s="887"/>
      <c r="CT145" s="888">
        <v>0</v>
      </c>
      <c r="CU145" s="888">
        <v>3</v>
      </c>
      <c r="CV145" s="888">
        <v>0</v>
      </c>
      <c r="CW145" s="889"/>
      <c r="CX145" s="889"/>
      <c r="CY145" s="890">
        <v>3</v>
      </c>
      <c r="CZ145" s="891"/>
      <c r="DB145" s="892"/>
      <c r="DC145" s="892"/>
      <c r="DD145" s="892" t="s">
        <v>140</v>
      </c>
      <c r="DE145" s="893" t="s">
        <v>1284</v>
      </c>
      <c r="DF145" s="894"/>
      <c r="DG145" s="895">
        <v>0</v>
      </c>
      <c r="DH145" s="895">
        <v>1</v>
      </c>
      <c r="DI145" s="894"/>
      <c r="DJ145" s="894"/>
      <c r="DK145" s="895">
        <v>1</v>
      </c>
      <c r="DL145" s="895">
        <v>2</v>
      </c>
      <c r="DM145" s="895">
        <v>0</v>
      </c>
      <c r="DN145" s="894"/>
      <c r="DO145" s="894"/>
      <c r="DP145" s="895">
        <v>4</v>
      </c>
      <c r="DQ145" s="792"/>
      <c r="DS145" s="121"/>
      <c r="DT145" s="121"/>
      <c r="DU145" s="74" t="s">
        <v>426</v>
      </c>
      <c r="DV145" s="74" t="s">
        <v>1283</v>
      </c>
      <c r="DW145" s="121"/>
      <c r="DX145" s="121"/>
      <c r="DY145" s="121"/>
      <c r="DZ145" s="121"/>
      <c r="EA145" s="121"/>
      <c r="EB145" s="121">
        <v>0</v>
      </c>
      <c r="EC145" s="121">
        <v>1</v>
      </c>
      <c r="ED145" s="121"/>
      <c r="EE145" s="121"/>
      <c r="EF145" s="121"/>
      <c r="EG145" s="121">
        <v>1</v>
      </c>
      <c r="EH145" s="74"/>
      <c r="EI145" s="74"/>
      <c r="EJ145" s="793"/>
      <c r="EK145" s="793"/>
      <c r="EL145" s="793"/>
      <c r="EM145" s="793" t="s">
        <v>1398</v>
      </c>
      <c r="EN145" s="793">
        <v>0</v>
      </c>
      <c r="EO145" s="793">
        <v>0</v>
      </c>
      <c r="EP145" s="793">
        <v>0</v>
      </c>
      <c r="EQ145" s="793">
        <v>0</v>
      </c>
      <c r="ER145" s="793">
        <v>0</v>
      </c>
      <c r="ES145" s="793">
        <v>0</v>
      </c>
      <c r="ET145" s="793">
        <v>2</v>
      </c>
      <c r="EU145" s="793">
        <v>1</v>
      </c>
      <c r="EV145" s="793">
        <v>0</v>
      </c>
      <c r="EW145" s="793">
        <v>0</v>
      </c>
      <c r="EX145" s="793">
        <v>0</v>
      </c>
      <c r="EY145" s="794">
        <v>3</v>
      </c>
      <c r="EZ145" s="896"/>
      <c r="FA145" s="795"/>
    </row>
    <row r="146" spans="1:157">
      <c r="A146" s="73"/>
      <c r="B146" s="73" t="s">
        <v>16</v>
      </c>
      <c r="C146" s="73" t="s">
        <v>127</v>
      </c>
      <c r="D146" s="73" t="s">
        <v>1283</v>
      </c>
      <c r="E146" s="3261">
        <v>0</v>
      </c>
      <c r="F146" s="3261"/>
      <c r="G146" s="3261"/>
      <c r="H146" s="3261">
        <v>0</v>
      </c>
      <c r="I146" s="3261">
        <v>0</v>
      </c>
      <c r="J146" s="3261">
        <v>0</v>
      </c>
      <c r="K146" s="3261">
        <v>0</v>
      </c>
      <c r="L146" s="3261">
        <v>6</v>
      </c>
      <c r="M146" s="161"/>
      <c r="N146" s="161"/>
      <c r="O146" s="161">
        <v>6</v>
      </c>
      <c r="P146" s="73"/>
      <c r="R146" s="74"/>
      <c r="S146" s="74"/>
      <c r="T146" s="74"/>
      <c r="U146" s="74" t="s">
        <v>1286</v>
      </c>
      <c r="V146" s="3229"/>
      <c r="W146" s="3229">
        <v>1</v>
      </c>
      <c r="X146" s="3229"/>
      <c r="Y146" s="3229"/>
      <c r="Z146" s="3229"/>
      <c r="AA146" s="3229"/>
      <c r="AB146" s="3229"/>
      <c r="AC146" s="3229">
        <v>0</v>
      </c>
      <c r="AD146" s="3229">
        <v>0</v>
      </c>
      <c r="AE146" s="121"/>
      <c r="AF146" s="121">
        <v>0</v>
      </c>
      <c r="AG146" s="121">
        <v>1</v>
      </c>
      <c r="AJ146" s="161"/>
      <c r="AK146" s="161"/>
      <c r="AL146" s="73"/>
      <c r="AM146" s="738" t="s">
        <v>15</v>
      </c>
      <c r="AN146" s="2601"/>
      <c r="AO146" s="2601"/>
      <c r="AP146" s="2601"/>
      <c r="AQ146" s="2601"/>
      <c r="AR146" s="2601"/>
      <c r="AS146" s="2601">
        <v>2</v>
      </c>
      <c r="AT146" s="2601">
        <v>23</v>
      </c>
      <c r="AU146" s="2601">
        <v>27</v>
      </c>
      <c r="AV146" s="2601">
        <v>6</v>
      </c>
      <c r="AW146" s="151"/>
      <c r="AX146" s="151"/>
      <c r="AY146" s="151">
        <v>58</v>
      </c>
      <c r="AZ146" s="912">
        <f>+(AY142+AY145)/AY146</f>
        <v>0.58620689655172409</v>
      </c>
      <c r="BB146" s="2191"/>
      <c r="BC146" s="2191"/>
      <c r="BD146" s="2192"/>
      <c r="BE146" s="2193" t="s">
        <v>1284</v>
      </c>
      <c r="BF146" s="2195">
        <v>2</v>
      </c>
      <c r="BG146" s="2195">
        <v>2</v>
      </c>
      <c r="BH146" s="2195">
        <v>2</v>
      </c>
      <c r="BI146" s="2195">
        <v>0</v>
      </c>
      <c r="BJ146" s="2195">
        <v>0</v>
      </c>
      <c r="BK146" s="2195">
        <v>2</v>
      </c>
      <c r="BL146" s="2195">
        <v>4</v>
      </c>
      <c r="BM146" s="2195">
        <v>1</v>
      </c>
      <c r="BN146" s="964">
        <v>3</v>
      </c>
      <c r="BO146" s="964">
        <v>0</v>
      </c>
      <c r="BP146" s="964">
        <v>16</v>
      </c>
      <c r="BQ146" s="73"/>
      <c r="BS146" s="879"/>
      <c r="BT146" s="879"/>
      <c r="BU146" s="880"/>
      <c r="BV146" s="881" t="s">
        <v>1288</v>
      </c>
      <c r="BW146" s="882"/>
      <c r="BX146" s="882"/>
      <c r="BY146" s="882"/>
      <c r="BZ146" s="882"/>
      <c r="CA146" s="882"/>
      <c r="CB146" s="882"/>
      <c r="CC146" s="883">
        <v>4</v>
      </c>
      <c r="CD146" s="883">
        <v>3</v>
      </c>
      <c r="CE146" s="884">
        <v>1</v>
      </c>
      <c r="CF146" s="879"/>
      <c r="CG146" s="884">
        <v>8</v>
      </c>
      <c r="CH146" s="161"/>
      <c r="CJ146" s="885"/>
      <c r="CK146" s="885"/>
      <c r="CL146" s="885"/>
      <c r="CM146" s="886" t="s">
        <v>1292</v>
      </c>
      <c r="CN146" s="887"/>
      <c r="CO146" s="887"/>
      <c r="CP146" s="887"/>
      <c r="CQ146" s="887"/>
      <c r="CR146" s="887"/>
      <c r="CS146" s="887"/>
      <c r="CT146" s="888">
        <v>0</v>
      </c>
      <c r="CU146" s="888">
        <v>0</v>
      </c>
      <c r="CV146" s="888">
        <v>20</v>
      </c>
      <c r="CW146" s="889"/>
      <c r="CX146" s="889"/>
      <c r="CY146" s="890">
        <v>20</v>
      </c>
      <c r="CZ146" s="891"/>
      <c r="DB146" s="892"/>
      <c r="DC146" s="892"/>
      <c r="DD146" s="892"/>
      <c r="DE146" s="893" t="s">
        <v>1286</v>
      </c>
      <c r="DF146" s="894"/>
      <c r="DG146" s="895">
        <v>1</v>
      </c>
      <c r="DH146" s="895">
        <v>0</v>
      </c>
      <c r="DI146" s="894"/>
      <c r="DJ146" s="894"/>
      <c r="DK146" s="895">
        <v>0</v>
      </c>
      <c r="DL146" s="895">
        <v>0</v>
      </c>
      <c r="DM146" s="895">
        <v>0</v>
      </c>
      <c r="DN146" s="894"/>
      <c r="DO146" s="894"/>
      <c r="DP146" s="895">
        <v>1</v>
      </c>
      <c r="DQ146" s="792"/>
      <c r="DS146" s="121"/>
      <c r="DT146" s="121"/>
      <c r="DU146" s="74"/>
      <c r="DV146" s="74" t="s">
        <v>1284</v>
      </c>
      <c r="DW146" s="121"/>
      <c r="DX146" s="121"/>
      <c r="DY146" s="121"/>
      <c r="DZ146" s="121"/>
      <c r="EA146" s="121"/>
      <c r="EB146" s="121">
        <v>31</v>
      </c>
      <c r="EC146" s="121">
        <v>0</v>
      </c>
      <c r="ED146" s="121"/>
      <c r="EE146" s="121"/>
      <c r="EF146" s="121"/>
      <c r="EG146" s="121">
        <v>31</v>
      </c>
      <c r="EH146" s="74"/>
      <c r="EI146" s="74"/>
      <c r="EJ146" s="793"/>
      <c r="EK146" s="793"/>
      <c r="EL146" s="793"/>
      <c r="EM146" s="796" t="s">
        <v>15</v>
      </c>
      <c r="EN146" s="796">
        <v>0</v>
      </c>
      <c r="EO146" s="796">
        <v>1</v>
      </c>
      <c r="EP146" s="796">
        <v>1</v>
      </c>
      <c r="EQ146" s="796">
        <v>1</v>
      </c>
      <c r="ER146" s="796">
        <v>0</v>
      </c>
      <c r="ES146" s="796">
        <v>0</v>
      </c>
      <c r="ET146" s="796">
        <v>11</v>
      </c>
      <c r="EU146" s="796">
        <v>2</v>
      </c>
      <c r="EV146" s="796">
        <v>1</v>
      </c>
      <c r="EW146" s="796">
        <v>0</v>
      </c>
      <c r="EX146" s="796">
        <v>0</v>
      </c>
      <c r="EY146" s="856">
        <v>17</v>
      </c>
      <c r="EZ146" s="906">
        <f>+EY145/EY146</f>
        <v>0.17647058823529413</v>
      </c>
      <c r="FA146" s="795">
        <f>+EY145</f>
        <v>3</v>
      </c>
    </row>
    <row r="147" spans="1:157">
      <c r="A147" s="73"/>
      <c r="B147" s="73"/>
      <c r="C147" s="73"/>
      <c r="D147" s="73" t="s">
        <v>1284</v>
      </c>
      <c r="E147" s="3261">
        <v>1</v>
      </c>
      <c r="F147" s="3261"/>
      <c r="G147" s="3261"/>
      <c r="H147" s="3261">
        <v>0</v>
      </c>
      <c r="I147" s="3261">
        <v>0</v>
      </c>
      <c r="J147" s="3261">
        <v>1</v>
      </c>
      <c r="K147" s="3261">
        <v>11</v>
      </c>
      <c r="L147" s="3261">
        <v>0</v>
      </c>
      <c r="M147" s="161"/>
      <c r="N147" s="161"/>
      <c r="O147" s="161">
        <v>13</v>
      </c>
      <c r="P147" s="73"/>
      <c r="R147" s="74"/>
      <c r="S147" s="74"/>
      <c r="T147" s="74"/>
      <c r="U147" s="74" t="s">
        <v>1288</v>
      </c>
      <c r="V147" s="3229"/>
      <c r="W147" s="3229">
        <v>0</v>
      </c>
      <c r="X147" s="3229"/>
      <c r="Y147" s="3229"/>
      <c r="Z147" s="3229"/>
      <c r="AA147" s="3229"/>
      <c r="AB147" s="3229"/>
      <c r="AC147" s="3229">
        <v>1</v>
      </c>
      <c r="AD147" s="3229">
        <v>5</v>
      </c>
      <c r="AE147" s="121"/>
      <c r="AF147" s="121">
        <v>0</v>
      </c>
      <c r="AG147" s="121">
        <v>6</v>
      </c>
      <c r="AJ147" s="161"/>
      <c r="AK147" s="161"/>
      <c r="AL147" s="73" t="s">
        <v>128</v>
      </c>
      <c r="AM147" s="73" t="s">
        <v>1284</v>
      </c>
      <c r="AN147" s="2600"/>
      <c r="AO147" s="2600">
        <v>0</v>
      </c>
      <c r="AP147" s="2600"/>
      <c r="AQ147" s="2600">
        <v>0</v>
      </c>
      <c r="AR147" s="2600"/>
      <c r="AS147" s="2600"/>
      <c r="AT147" s="2600">
        <v>3</v>
      </c>
      <c r="AU147" s="2600">
        <v>3</v>
      </c>
      <c r="AV147" s="2600"/>
      <c r="AW147" s="161"/>
      <c r="AX147" s="161"/>
      <c r="AY147" s="161">
        <v>6</v>
      </c>
      <c r="AZ147" s="161"/>
      <c r="BB147" s="2191"/>
      <c r="BC147" s="2191"/>
      <c r="BD147" s="2192"/>
      <c r="BE147" s="2193" t="s">
        <v>1286</v>
      </c>
      <c r="BF147" s="2195">
        <v>7</v>
      </c>
      <c r="BG147" s="2195">
        <v>1</v>
      </c>
      <c r="BH147" s="2195">
        <v>1</v>
      </c>
      <c r="BI147" s="2195">
        <v>0</v>
      </c>
      <c r="BJ147" s="2195">
        <v>1</v>
      </c>
      <c r="BK147" s="2195">
        <v>0</v>
      </c>
      <c r="BL147" s="2195">
        <v>0</v>
      </c>
      <c r="BM147" s="2195">
        <v>0</v>
      </c>
      <c r="BN147" s="964">
        <v>0</v>
      </c>
      <c r="BO147" s="964">
        <v>0</v>
      </c>
      <c r="BP147" s="964">
        <v>10</v>
      </c>
      <c r="BQ147" s="73"/>
      <c r="BS147" s="879"/>
      <c r="BT147" s="879"/>
      <c r="BU147" s="880"/>
      <c r="BV147" s="881" t="s">
        <v>1292</v>
      </c>
      <c r="BW147" s="882"/>
      <c r="BX147" s="882"/>
      <c r="BY147" s="882"/>
      <c r="BZ147" s="882"/>
      <c r="CA147" s="882"/>
      <c r="CB147" s="882"/>
      <c r="CC147" s="883">
        <v>0</v>
      </c>
      <c r="CD147" s="883">
        <v>3</v>
      </c>
      <c r="CE147" s="884">
        <v>0</v>
      </c>
      <c r="CF147" s="879"/>
      <c r="CG147" s="884">
        <v>3</v>
      </c>
      <c r="CH147" s="161"/>
      <c r="CJ147" s="885"/>
      <c r="CK147" s="885"/>
      <c r="CL147" s="885"/>
      <c r="CM147" s="886" t="s">
        <v>1398</v>
      </c>
      <c r="CN147" s="887"/>
      <c r="CO147" s="887"/>
      <c r="CP147" s="887"/>
      <c r="CQ147" s="887"/>
      <c r="CR147" s="887"/>
      <c r="CS147" s="887"/>
      <c r="CT147" s="888">
        <v>1</v>
      </c>
      <c r="CU147" s="888">
        <v>0</v>
      </c>
      <c r="CV147" s="888">
        <v>0</v>
      </c>
      <c r="CW147" s="889"/>
      <c r="CX147" s="889"/>
      <c r="CY147" s="890">
        <v>1</v>
      </c>
      <c r="CZ147" s="891"/>
      <c r="DB147" s="892"/>
      <c r="DC147" s="892"/>
      <c r="DD147" s="892"/>
      <c r="DE147" s="893" t="s">
        <v>1288</v>
      </c>
      <c r="DF147" s="894"/>
      <c r="DG147" s="895">
        <v>0</v>
      </c>
      <c r="DH147" s="895">
        <v>0</v>
      </c>
      <c r="DI147" s="894"/>
      <c r="DJ147" s="894"/>
      <c r="DK147" s="895">
        <v>2</v>
      </c>
      <c r="DL147" s="895">
        <v>0</v>
      </c>
      <c r="DM147" s="895">
        <v>0</v>
      </c>
      <c r="DN147" s="894"/>
      <c r="DO147" s="894"/>
      <c r="DP147" s="895">
        <v>2</v>
      </c>
      <c r="DQ147" s="792"/>
      <c r="DS147" s="121"/>
      <c r="DT147" s="121"/>
      <c r="DU147" s="74"/>
      <c r="DV147" s="74" t="s">
        <v>1292</v>
      </c>
      <c r="DW147" s="121"/>
      <c r="DX147" s="121"/>
      <c r="DY147" s="121"/>
      <c r="DZ147" s="121"/>
      <c r="EA147" s="121"/>
      <c r="EB147" s="121">
        <v>0</v>
      </c>
      <c r="EC147" s="121">
        <v>1</v>
      </c>
      <c r="ED147" s="121"/>
      <c r="EE147" s="121"/>
      <c r="EF147" s="121"/>
      <c r="EG147" s="121">
        <v>1</v>
      </c>
      <c r="EH147" s="74"/>
      <c r="EI147" s="74"/>
      <c r="EJ147" s="793"/>
      <c r="EK147" s="793"/>
      <c r="EL147" s="793" t="s">
        <v>112</v>
      </c>
      <c r="EM147" s="793" t="s">
        <v>1283</v>
      </c>
      <c r="EN147" s="793">
        <v>0</v>
      </c>
      <c r="EO147" s="793">
        <v>0</v>
      </c>
      <c r="EP147" s="793">
        <v>0</v>
      </c>
      <c r="EQ147" s="793">
        <v>1</v>
      </c>
      <c r="ER147" s="793">
        <v>0</v>
      </c>
      <c r="ES147" s="793">
        <v>0</v>
      </c>
      <c r="ET147" s="793">
        <v>0</v>
      </c>
      <c r="EU147" s="793">
        <v>0</v>
      </c>
      <c r="EV147" s="793">
        <v>0</v>
      </c>
      <c r="EW147" s="793">
        <v>0</v>
      </c>
      <c r="EX147" s="793">
        <v>0</v>
      </c>
      <c r="EY147" s="794">
        <v>1</v>
      </c>
      <c r="EZ147" s="896"/>
      <c r="FA147" s="795"/>
    </row>
    <row r="148" spans="1:157" ht="15.75" thickBot="1">
      <c r="A148" s="73"/>
      <c r="B148" s="73"/>
      <c r="C148" s="73"/>
      <c r="D148" s="73" t="s">
        <v>1288</v>
      </c>
      <c r="E148" s="3261">
        <v>0</v>
      </c>
      <c r="F148" s="3261"/>
      <c r="G148" s="3261"/>
      <c r="H148" s="3261">
        <v>0</v>
      </c>
      <c r="I148" s="3261">
        <v>0</v>
      </c>
      <c r="J148" s="3261">
        <v>1</v>
      </c>
      <c r="K148" s="3261">
        <v>7</v>
      </c>
      <c r="L148" s="3261">
        <v>0</v>
      </c>
      <c r="M148" s="161"/>
      <c r="N148" s="161"/>
      <c r="O148" s="161">
        <v>8</v>
      </c>
      <c r="P148" s="73"/>
      <c r="R148" s="74"/>
      <c r="S148" s="74"/>
      <c r="T148" s="74"/>
      <c r="U148" s="74" t="s">
        <v>1292</v>
      </c>
      <c r="V148" s="3229"/>
      <c r="W148" s="3229">
        <v>0</v>
      </c>
      <c r="X148" s="3229"/>
      <c r="Y148" s="3229"/>
      <c r="Z148" s="3229"/>
      <c r="AA148" s="3229"/>
      <c r="AB148" s="3229"/>
      <c r="AC148" s="3229">
        <v>0</v>
      </c>
      <c r="AD148" s="3229">
        <v>0</v>
      </c>
      <c r="AE148" s="121"/>
      <c r="AF148" s="121">
        <v>3</v>
      </c>
      <c r="AG148" s="121">
        <v>3</v>
      </c>
      <c r="AJ148" s="161"/>
      <c r="AK148" s="161"/>
      <c r="AL148" s="73"/>
      <c r="AM148" s="73" t="s">
        <v>1286</v>
      </c>
      <c r="AN148" s="2600"/>
      <c r="AO148" s="2600">
        <v>2</v>
      </c>
      <c r="AP148" s="2600"/>
      <c r="AQ148" s="2600">
        <v>0</v>
      </c>
      <c r="AR148" s="2600"/>
      <c r="AS148" s="2600"/>
      <c r="AT148" s="2600">
        <v>0</v>
      </c>
      <c r="AU148" s="2600">
        <v>0</v>
      </c>
      <c r="AV148" s="2600"/>
      <c r="AW148" s="161"/>
      <c r="AX148" s="161"/>
      <c r="AY148" s="161">
        <v>2</v>
      </c>
      <c r="AZ148" s="161"/>
      <c r="BB148" s="2191"/>
      <c r="BC148" s="2191"/>
      <c r="BD148" s="2192"/>
      <c r="BE148" s="2193" t="s">
        <v>1288</v>
      </c>
      <c r="BF148" s="2195">
        <v>0</v>
      </c>
      <c r="BG148" s="2195">
        <v>0</v>
      </c>
      <c r="BH148" s="2195">
        <v>0</v>
      </c>
      <c r="BI148" s="2195">
        <v>0</v>
      </c>
      <c r="BJ148" s="2195">
        <v>0</v>
      </c>
      <c r="BK148" s="2195">
        <v>1</v>
      </c>
      <c r="BL148" s="2195">
        <v>8</v>
      </c>
      <c r="BM148" s="2195">
        <v>1</v>
      </c>
      <c r="BN148" s="964">
        <v>0</v>
      </c>
      <c r="BO148" s="964">
        <v>0</v>
      </c>
      <c r="BP148" s="964">
        <v>10</v>
      </c>
      <c r="BQ148" s="73"/>
      <c r="BS148" s="879"/>
      <c r="BT148" s="879"/>
      <c r="BU148" s="880"/>
      <c r="BV148" s="881" t="s">
        <v>1398</v>
      </c>
      <c r="BW148" s="882"/>
      <c r="BX148" s="882"/>
      <c r="BY148" s="882"/>
      <c r="BZ148" s="882"/>
      <c r="CA148" s="882"/>
      <c r="CB148" s="882"/>
      <c r="CC148" s="883">
        <v>3</v>
      </c>
      <c r="CD148" s="883">
        <v>1</v>
      </c>
      <c r="CE148" s="884">
        <v>0</v>
      </c>
      <c r="CF148" s="879"/>
      <c r="CG148" s="884">
        <v>4</v>
      </c>
      <c r="CH148" s="161"/>
      <c r="CJ148" s="885"/>
      <c r="CK148" s="885"/>
      <c r="CL148" s="885"/>
      <c r="CM148" s="897" t="s">
        <v>15</v>
      </c>
      <c r="CN148" s="898"/>
      <c r="CO148" s="898"/>
      <c r="CP148" s="898"/>
      <c r="CQ148" s="898"/>
      <c r="CR148" s="898"/>
      <c r="CS148" s="898"/>
      <c r="CT148" s="899">
        <v>1</v>
      </c>
      <c r="CU148" s="899">
        <v>6</v>
      </c>
      <c r="CV148" s="899">
        <v>20</v>
      </c>
      <c r="CW148" s="900"/>
      <c r="CX148" s="900"/>
      <c r="CY148" s="901">
        <v>27</v>
      </c>
      <c r="CZ148" s="891">
        <f>+(CY147+CY145)/CY148</f>
        <v>0.14814814814814814</v>
      </c>
      <c r="DB148" s="892"/>
      <c r="DC148" s="892"/>
      <c r="DD148" s="892"/>
      <c r="DE148" s="893" t="s">
        <v>1292</v>
      </c>
      <c r="DF148" s="894"/>
      <c r="DG148" s="895">
        <v>0</v>
      </c>
      <c r="DH148" s="895">
        <v>0</v>
      </c>
      <c r="DI148" s="894"/>
      <c r="DJ148" s="894"/>
      <c r="DK148" s="895">
        <v>0</v>
      </c>
      <c r="DL148" s="895">
        <v>1</v>
      </c>
      <c r="DM148" s="895">
        <v>5</v>
      </c>
      <c r="DN148" s="894"/>
      <c r="DO148" s="894"/>
      <c r="DP148" s="895">
        <v>6</v>
      </c>
      <c r="DQ148" s="792"/>
      <c r="DS148" s="819"/>
      <c r="DT148" s="819"/>
      <c r="DU148" s="820"/>
      <c r="DV148" s="821" t="s">
        <v>15</v>
      </c>
      <c r="DW148" s="768"/>
      <c r="DX148" s="768"/>
      <c r="DY148" s="768"/>
      <c r="DZ148" s="768"/>
      <c r="EA148" s="768"/>
      <c r="EB148" s="768">
        <v>31</v>
      </c>
      <c r="EC148" s="768">
        <v>2</v>
      </c>
      <c r="ED148" s="768"/>
      <c r="EE148" s="768"/>
      <c r="EF148" s="768"/>
      <c r="EG148" s="768">
        <v>33</v>
      </c>
      <c r="EH148" s="822">
        <v>0</v>
      </c>
      <c r="EI148" s="74"/>
      <c r="EJ148" s="793"/>
      <c r="EK148" s="793"/>
      <c r="EL148" s="793"/>
      <c r="EM148" s="793" t="s">
        <v>1284</v>
      </c>
      <c r="EN148" s="793">
        <v>0</v>
      </c>
      <c r="EO148" s="793">
        <v>0</v>
      </c>
      <c r="EP148" s="793">
        <v>0</v>
      </c>
      <c r="EQ148" s="793">
        <v>0</v>
      </c>
      <c r="ER148" s="793">
        <v>1</v>
      </c>
      <c r="ES148" s="793">
        <v>0</v>
      </c>
      <c r="ET148" s="793">
        <v>0</v>
      </c>
      <c r="EU148" s="793">
        <v>0</v>
      </c>
      <c r="EV148" s="793">
        <v>0</v>
      </c>
      <c r="EW148" s="793">
        <v>0</v>
      </c>
      <c r="EX148" s="793">
        <v>0</v>
      </c>
      <c r="EY148" s="794">
        <v>1</v>
      </c>
      <c r="EZ148" s="896"/>
      <c r="FA148" s="795"/>
    </row>
    <row r="149" spans="1:157">
      <c r="A149" s="73"/>
      <c r="B149" s="73"/>
      <c r="C149" s="73"/>
      <c r="D149" s="73" t="s">
        <v>1289</v>
      </c>
      <c r="E149" s="3261">
        <v>0</v>
      </c>
      <c r="F149" s="3261"/>
      <c r="G149" s="3261"/>
      <c r="H149" s="3261">
        <v>2</v>
      </c>
      <c r="I149" s="3261">
        <v>1</v>
      </c>
      <c r="J149" s="3261">
        <v>0</v>
      </c>
      <c r="K149" s="3261">
        <v>0</v>
      </c>
      <c r="L149" s="3261">
        <v>0</v>
      </c>
      <c r="M149" s="161"/>
      <c r="N149" s="161"/>
      <c r="O149" s="161">
        <v>3</v>
      </c>
      <c r="P149" s="73"/>
      <c r="R149" s="74"/>
      <c r="S149" s="74"/>
      <c r="T149" s="74"/>
      <c r="U149" s="74" t="s">
        <v>1398</v>
      </c>
      <c r="V149" s="3229"/>
      <c r="W149" s="3229">
        <v>0</v>
      </c>
      <c r="X149" s="3229"/>
      <c r="Y149" s="3229"/>
      <c r="Z149" s="3229"/>
      <c r="AA149" s="3229"/>
      <c r="AB149" s="3229"/>
      <c r="AC149" s="3229">
        <v>1</v>
      </c>
      <c r="AD149" s="3229">
        <v>1</v>
      </c>
      <c r="AE149" s="121"/>
      <c r="AF149" s="121">
        <v>0</v>
      </c>
      <c r="AG149" s="121">
        <v>2</v>
      </c>
      <c r="AJ149" s="161"/>
      <c r="AK149" s="161"/>
      <c r="AL149" s="73"/>
      <c r="AM149" s="73" t="s">
        <v>1288</v>
      </c>
      <c r="AN149" s="2600"/>
      <c r="AO149" s="2600">
        <v>0</v>
      </c>
      <c r="AP149" s="2600"/>
      <c r="AQ149" s="2600">
        <v>0</v>
      </c>
      <c r="AR149" s="2600"/>
      <c r="AS149" s="2600"/>
      <c r="AT149" s="2600">
        <v>1</v>
      </c>
      <c r="AU149" s="2600">
        <v>3</v>
      </c>
      <c r="AV149" s="2600"/>
      <c r="AW149" s="161"/>
      <c r="AX149" s="161"/>
      <c r="AY149" s="161">
        <v>4</v>
      </c>
      <c r="AZ149" s="161"/>
      <c r="BB149" s="2191"/>
      <c r="BC149" s="2191"/>
      <c r="BD149" s="2192"/>
      <c r="BE149" s="2193" t="s">
        <v>1289</v>
      </c>
      <c r="BF149" s="2195">
        <v>0</v>
      </c>
      <c r="BG149" s="2195">
        <v>1</v>
      </c>
      <c r="BH149" s="2195">
        <v>2</v>
      </c>
      <c r="BI149" s="2195">
        <v>1</v>
      </c>
      <c r="BJ149" s="2195">
        <v>1</v>
      </c>
      <c r="BK149" s="2195">
        <v>0</v>
      </c>
      <c r="BL149" s="2195">
        <v>0</v>
      </c>
      <c r="BM149" s="2195">
        <v>0</v>
      </c>
      <c r="BN149" s="964">
        <v>0</v>
      </c>
      <c r="BO149" s="964">
        <v>0</v>
      </c>
      <c r="BP149" s="964">
        <v>5</v>
      </c>
      <c r="BQ149" s="73"/>
      <c r="BS149" s="879"/>
      <c r="BT149" s="879"/>
      <c r="BU149" s="880"/>
      <c r="BV149" s="907" t="s">
        <v>15</v>
      </c>
      <c r="BW149" s="908"/>
      <c r="BX149" s="908"/>
      <c r="BY149" s="908"/>
      <c r="BZ149" s="908"/>
      <c r="CA149" s="908"/>
      <c r="CB149" s="908"/>
      <c r="CC149" s="909">
        <v>7</v>
      </c>
      <c r="CD149" s="909">
        <v>7</v>
      </c>
      <c r="CE149" s="911">
        <v>2</v>
      </c>
      <c r="CF149" s="910"/>
      <c r="CG149" s="911">
        <v>16</v>
      </c>
      <c r="CH149" s="912">
        <f>+(CG146-CE146+CG148)/CG149</f>
        <v>0.6875</v>
      </c>
      <c r="CJ149" s="885"/>
      <c r="CK149" s="885"/>
      <c r="CL149" s="897" t="s">
        <v>575</v>
      </c>
      <c r="CM149" s="886" t="s">
        <v>1283</v>
      </c>
      <c r="CN149" s="887"/>
      <c r="CO149" s="887"/>
      <c r="CP149" s="887"/>
      <c r="CQ149" s="888">
        <v>0</v>
      </c>
      <c r="CR149" s="887"/>
      <c r="CS149" s="887"/>
      <c r="CT149" s="888">
        <v>0</v>
      </c>
      <c r="CU149" s="888">
        <v>0</v>
      </c>
      <c r="CV149" s="888">
        <v>1</v>
      </c>
      <c r="CW149" s="889"/>
      <c r="CX149" s="889"/>
      <c r="CY149" s="890">
        <v>1</v>
      </c>
      <c r="CZ149" s="891"/>
      <c r="DB149" s="892"/>
      <c r="DC149" s="892"/>
      <c r="DD149" s="892"/>
      <c r="DE149" s="893" t="s">
        <v>1293</v>
      </c>
      <c r="DF149" s="894"/>
      <c r="DG149" s="895">
        <v>0</v>
      </c>
      <c r="DH149" s="895">
        <v>0</v>
      </c>
      <c r="DI149" s="894"/>
      <c r="DJ149" s="894"/>
      <c r="DK149" s="895">
        <v>0</v>
      </c>
      <c r="DL149" s="895">
        <v>1</v>
      </c>
      <c r="DM149" s="895">
        <v>0</v>
      </c>
      <c r="DN149" s="894"/>
      <c r="DO149" s="894"/>
      <c r="DP149" s="895">
        <v>1</v>
      </c>
      <c r="DQ149" s="792"/>
      <c r="DS149" s="121"/>
      <c r="DT149" s="121"/>
      <c r="DU149" s="74"/>
      <c r="DV149" s="74"/>
      <c r="DW149" s="74"/>
      <c r="DX149" s="74"/>
      <c r="DY149" s="74"/>
      <c r="DZ149" s="74"/>
      <c r="EA149" s="74"/>
      <c r="EB149" s="74"/>
      <c r="EC149" s="74"/>
      <c r="ED149" s="74"/>
      <c r="EE149" s="74"/>
      <c r="EF149" s="74"/>
      <c r="EG149" s="74"/>
      <c r="EH149" s="74"/>
      <c r="EI149" s="74"/>
      <c r="EJ149" s="793"/>
      <c r="EK149" s="793"/>
      <c r="EL149" s="793"/>
      <c r="EM149" s="796" t="s">
        <v>15</v>
      </c>
      <c r="EN149" s="796">
        <v>0</v>
      </c>
      <c r="EO149" s="796">
        <v>0</v>
      </c>
      <c r="EP149" s="796">
        <v>0</v>
      </c>
      <c r="EQ149" s="796">
        <v>1</v>
      </c>
      <c r="ER149" s="796">
        <v>1</v>
      </c>
      <c r="ES149" s="796">
        <v>0</v>
      </c>
      <c r="ET149" s="796">
        <v>0</v>
      </c>
      <c r="EU149" s="796">
        <v>0</v>
      </c>
      <c r="EV149" s="796">
        <v>0</v>
      </c>
      <c r="EW149" s="796">
        <v>0</v>
      </c>
      <c r="EX149" s="796">
        <v>0</v>
      </c>
      <c r="EY149" s="856">
        <v>2</v>
      </c>
      <c r="EZ149" s="906">
        <f>0/EY149</f>
        <v>0</v>
      </c>
      <c r="FA149" s="795">
        <v>0</v>
      </c>
    </row>
    <row r="150" spans="1:157">
      <c r="A150" s="73"/>
      <c r="B150" s="73"/>
      <c r="C150" s="73"/>
      <c r="D150" s="73" t="s">
        <v>1292</v>
      </c>
      <c r="E150" s="3261">
        <v>0</v>
      </c>
      <c r="F150" s="3261"/>
      <c r="G150" s="3261"/>
      <c r="H150" s="3261">
        <v>0</v>
      </c>
      <c r="I150" s="3261">
        <v>0</v>
      </c>
      <c r="J150" s="3261">
        <v>0</v>
      </c>
      <c r="K150" s="3261">
        <v>0</v>
      </c>
      <c r="L150" s="3261">
        <v>18</v>
      </c>
      <c r="M150" s="161"/>
      <c r="N150" s="161"/>
      <c r="O150" s="161">
        <v>18</v>
      </c>
      <c r="P150" s="73"/>
      <c r="R150" s="74"/>
      <c r="S150" s="74"/>
      <c r="T150" s="74"/>
      <c r="U150" s="761" t="s">
        <v>15</v>
      </c>
      <c r="V150" s="3230"/>
      <c r="W150" s="3230">
        <v>1</v>
      </c>
      <c r="X150" s="3230"/>
      <c r="Y150" s="3230"/>
      <c r="Z150" s="3230"/>
      <c r="AA150" s="3230"/>
      <c r="AB150" s="3230"/>
      <c r="AC150" s="3230">
        <v>3</v>
      </c>
      <c r="AD150" s="3230">
        <v>8</v>
      </c>
      <c r="AE150" s="729"/>
      <c r="AF150" s="729">
        <v>3</v>
      </c>
      <c r="AG150" s="729">
        <v>15</v>
      </c>
      <c r="AH150" s="4681">
        <f>+(AG147+AG149)/AG150</f>
        <v>0.53333333333333333</v>
      </c>
      <c r="AJ150" s="161"/>
      <c r="AK150" s="161"/>
      <c r="AL150" s="73"/>
      <c r="AM150" s="73" t="s">
        <v>1289</v>
      </c>
      <c r="AN150" s="2600"/>
      <c r="AO150" s="2600">
        <v>2</v>
      </c>
      <c r="AP150" s="2600"/>
      <c r="AQ150" s="2600">
        <v>2</v>
      </c>
      <c r="AR150" s="2600"/>
      <c r="AS150" s="2600"/>
      <c r="AT150" s="2600">
        <v>0</v>
      </c>
      <c r="AU150" s="2600">
        <v>0</v>
      </c>
      <c r="AV150" s="2600"/>
      <c r="AW150" s="161"/>
      <c r="AX150" s="161"/>
      <c r="AY150" s="161">
        <v>4</v>
      </c>
      <c r="AZ150" s="161"/>
      <c r="BB150" s="2191"/>
      <c r="BC150" s="2191"/>
      <c r="BD150" s="2192"/>
      <c r="BE150" s="2193" t="s">
        <v>1292</v>
      </c>
      <c r="BF150" s="2195">
        <v>0</v>
      </c>
      <c r="BG150" s="2195">
        <v>0</v>
      </c>
      <c r="BH150" s="2195">
        <v>0</v>
      </c>
      <c r="BI150" s="2195">
        <v>0</v>
      </c>
      <c r="BJ150" s="2195">
        <v>0</v>
      </c>
      <c r="BK150" s="2195">
        <v>0</v>
      </c>
      <c r="BL150" s="2195">
        <v>1</v>
      </c>
      <c r="BM150" s="2195">
        <v>27</v>
      </c>
      <c r="BN150" s="964">
        <v>3</v>
      </c>
      <c r="BO150" s="964">
        <v>13</v>
      </c>
      <c r="BP150" s="964">
        <v>44</v>
      </c>
      <c r="BQ150" s="73"/>
      <c r="BS150" s="879"/>
      <c r="BT150" s="879"/>
      <c r="BU150" s="880" t="s">
        <v>130</v>
      </c>
      <c r="BV150" s="881" t="s">
        <v>1284</v>
      </c>
      <c r="BW150" s="882"/>
      <c r="BX150" s="882"/>
      <c r="BY150" s="882"/>
      <c r="BZ150" s="882"/>
      <c r="CA150" s="882"/>
      <c r="CB150" s="883">
        <v>1</v>
      </c>
      <c r="CC150" s="883">
        <v>1</v>
      </c>
      <c r="CD150" s="883">
        <v>0</v>
      </c>
      <c r="CE150" s="879"/>
      <c r="CF150" s="879"/>
      <c r="CG150" s="884">
        <v>2</v>
      </c>
      <c r="CH150" s="161"/>
      <c r="CJ150" s="885"/>
      <c r="CK150" s="885"/>
      <c r="CL150" s="885"/>
      <c r="CM150" s="886" t="s">
        <v>1284</v>
      </c>
      <c r="CN150" s="887"/>
      <c r="CO150" s="887"/>
      <c r="CP150" s="887"/>
      <c r="CQ150" s="888">
        <v>1</v>
      </c>
      <c r="CR150" s="887"/>
      <c r="CS150" s="887"/>
      <c r="CT150" s="888">
        <v>0</v>
      </c>
      <c r="CU150" s="888">
        <v>6</v>
      </c>
      <c r="CV150" s="888">
        <v>0</v>
      </c>
      <c r="CW150" s="889"/>
      <c r="CX150" s="889"/>
      <c r="CY150" s="890">
        <v>7</v>
      </c>
      <c r="CZ150" s="891"/>
      <c r="DB150" s="892"/>
      <c r="DC150" s="892"/>
      <c r="DD150" s="892"/>
      <c r="DE150" s="893" t="s">
        <v>1398</v>
      </c>
      <c r="DF150" s="894"/>
      <c r="DG150" s="895">
        <v>0</v>
      </c>
      <c r="DH150" s="895">
        <v>0</v>
      </c>
      <c r="DI150" s="894"/>
      <c r="DJ150" s="894"/>
      <c r="DK150" s="895">
        <v>0</v>
      </c>
      <c r="DL150" s="895">
        <v>1</v>
      </c>
      <c r="DM150" s="895">
        <v>0</v>
      </c>
      <c r="DN150" s="894"/>
      <c r="DO150" s="894"/>
      <c r="DP150" s="895">
        <v>1</v>
      </c>
      <c r="DQ150" s="792"/>
      <c r="DS150" s="121"/>
      <c r="DT150" s="121"/>
      <c r="DU150" s="74"/>
      <c r="DV150" s="74"/>
      <c r="DW150" s="74"/>
      <c r="DX150" s="74"/>
      <c r="DY150" s="74"/>
      <c r="DZ150" s="74"/>
      <c r="EA150" s="74"/>
      <c r="EB150" s="74"/>
      <c r="EC150" s="74"/>
      <c r="ED150" s="74"/>
      <c r="EE150" s="74"/>
      <c r="EF150" s="74"/>
      <c r="EG150" s="74"/>
      <c r="EH150" s="74"/>
      <c r="EI150" s="74"/>
      <c r="EJ150" s="793"/>
      <c r="EK150" s="793" t="s">
        <v>41</v>
      </c>
      <c r="EL150" s="793" t="s">
        <v>140</v>
      </c>
      <c r="EM150" s="793" t="s">
        <v>1283</v>
      </c>
      <c r="EN150" s="793">
        <v>0</v>
      </c>
      <c r="EO150" s="793">
        <v>0</v>
      </c>
      <c r="EP150" s="793">
        <v>0</v>
      </c>
      <c r="EQ150" s="793">
        <v>0</v>
      </c>
      <c r="ER150" s="793">
        <v>0</v>
      </c>
      <c r="ES150" s="793">
        <v>0</v>
      </c>
      <c r="ET150" s="793">
        <v>0</v>
      </c>
      <c r="EU150" s="793">
        <v>0</v>
      </c>
      <c r="EV150" s="793">
        <v>1</v>
      </c>
      <c r="EW150" s="793">
        <v>0</v>
      </c>
      <c r="EX150" s="793">
        <v>0</v>
      </c>
      <c r="EY150" s="794">
        <v>1</v>
      </c>
      <c r="EZ150" s="896"/>
      <c r="FA150" s="795"/>
    </row>
    <row r="151" spans="1:157">
      <c r="A151" s="73"/>
      <c r="B151" s="73"/>
      <c r="C151" s="73"/>
      <c r="D151" s="73" t="s">
        <v>1398</v>
      </c>
      <c r="E151" s="3261">
        <v>0</v>
      </c>
      <c r="F151" s="3261"/>
      <c r="G151" s="3261"/>
      <c r="H151" s="3261">
        <v>0</v>
      </c>
      <c r="I151" s="3261">
        <v>0</v>
      </c>
      <c r="J151" s="3261">
        <v>3</v>
      </c>
      <c r="K151" s="3261">
        <v>0</v>
      </c>
      <c r="L151" s="3261">
        <v>0</v>
      </c>
      <c r="M151" s="161"/>
      <c r="N151" s="161"/>
      <c r="O151" s="161">
        <v>3</v>
      </c>
      <c r="P151" s="73"/>
      <c r="R151" s="74"/>
      <c r="S151" s="74"/>
      <c r="T151" s="74" t="s">
        <v>572</v>
      </c>
      <c r="U151" s="74" t="s">
        <v>1283</v>
      </c>
      <c r="V151" s="3229"/>
      <c r="W151" s="3229">
        <v>0</v>
      </c>
      <c r="X151" s="3229">
        <v>0</v>
      </c>
      <c r="Y151" s="3229">
        <v>0</v>
      </c>
      <c r="Z151" s="3229">
        <v>0</v>
      </c>
      <c r="AA151" s="3229">
        <v>0</v>
      </c>
      <c r="AB151" s="3229">
        <v>0</v>
      </c>
      <c r="AC151" s="3229">
        <v>2</v>
      </c>
      <c r="AD151" s="3229">
        <v>4</v>
      </c>
      <c r="AE151" s="121">
        <v>4</v>
      </c>
      <c r="AF151" s="121">
        <v>3</v>
      </c>
      <c r="AG151" s="121">
        <v>13</v>
      </c>
      <c r="AJ151" s="161"/>
      <c r="AK151" s="161"/>
      <c r="AL151" s="73"/>
      <c r="AM151" s="73" t="s">
        <v>1398</v>
      </c>
      <c r="AN151" s="2600"/>
      <c r="AO151" s="2600">
        <v>0</v>
      </c>
      <c r="AP151" s="2600"/>
      <c r="AQ151" s="2600">
        <v>0</v>
      </c>
      <c r="AR151" s="2600"/>
      <c r="AS151" s="2600"/>
      <c r="AT151" s="2600">
        <v>12</v>
      </c>
      <c r="AU151" s="2600">
        <v>0</v>
      </c>
      <c r="AV151" s="2600"/>
      <c r="AW151" s="161"/>
      <c r="AX151" s="161"/>
      <c r="AY151" s="161">
        <v>12</v>
      </c>
      <c r="AZ151" s="161"/>
      <c r="BB151" s="2191"/>
      <c r="BC151" s="2191"/>
      <c r="BD151" s="2192"/>
      <c r="BE151" s="2193" t="s">
        <v>1398</v>
      </c>
      <c r="BF151" s="2195">
        <v>0</v>
      </c>
      <c r="BG151" s="2195">
        <v>0</v>
      </c>
      <c r="BH151" s="2195">
        <v>0</v>
      </c>
      <c r="BI151" s="2195">
        <v>0</v>
      </c>
      <c r="BJ151" s="2195">
        <v>0</v>
      </c>
      <c r="BK151" s="2195">
        <v>5</v>
      </c>
      <c r="BL151" s="2195">
        <v>2</v>
      </c>
      <c r="BM151" s="2195">
        <v>6</v>
      </c>
      <c r="BN151" s="964">
        <v>0</v>
      </c>
      <c r="BO151" s="964">
        <v>0</v>
      </c>
      <c r="BP151" s="964">
        <v>13</v>
      </c>
      <c r="BQ151" s="73"/>
      <c r="BS151" s="879"/>
      <c r="BT151" s="879"/>
      <c r="BU151" s="880"/>
      <c r="BV151" s="881" t="s">
        <v>1288</v>
      </c>
      <c r="BW151" s="882"/>
      <c r="BX151" s="882"/>
      <c r="BY151" s="882"/>
      <c r="BZ151" s="882"/>
      <c r="CA151" s="882"/>
      <c r="CB151" s="883">
        <v>2</v>
      </c>
      <c r="CC151" s="883">
        <v>2</v>
      </c>
      <c r="CD151" s="883">
        <v>0</v>
      </c>
      <c r="CE151" s="879"/>
      <c r="CF151" s="879"/>
      <c r="CG151" s="884">
        <v>4</v>
      </c>
      <c r="CH151" s="161"/>
      <c r="CJ151" s="885"/>
      <c r="CK151" s="885"/>
      <c r="CL151" s="885"/>
      <c r="CM151" s="886" t="s">
        <v>1286</v>
      </c>
      <c r="CN151" s="887"/>
      <c r="CO151" s="887"/>
      <c r="CP151" s="887"/>
      <c r="CQ151" s="888">
        <v>1</v>
      </c>
      <c r="CR151" s="887"/>
      <c r="CS151" s="887"/>
      <c r="CT151" s="888">
        <v>0</v>
      </c>
      <c r="CU151" s="888">
        <v>0</v>
      </c>
      <c r="CV151" s="888">
        <v>0</v>
      </c>
      <c r="CW151" s="889"/>
      <c r="CX151" s="889"/>
      <c r="CY151" s="890">
        <v>1</v>
      </c>
      <c r="CZ151" s="891"/>
      <c r="DB151" s="892"/>
      <c r="DC151" s="892"/>
      <c r="DD151" s="892"/>
      <c r="DE151" s="902" t="s">
        <v>15</v>
      </c>
      <c r="DF151" s="903"/>
      <c r="DG151" s="904">
        <v>1</v>
      </c>
      <c r="DH151" s="904">
        <v>1</v>
      </c>
      <c r="DI151" s="903"/>
      <c r="DJ151" s="903"/>
      <c r="DK151" s="904">
        <v>3</v>
      </c>
      <c r="DL151" s="904">
        <v>5</v>
      </c>
      <c r="DM151" s="904">
        <v>5</v>
      </c>
      <c r="DN151" s="903"/>
      <c r="DO151" s="903"/>
      <c r="DP151" s="904">
        <v>15</v>
      </c>
      <c r="DQ151" s="905">
        <f>+(DP150+DP149+DP147)/DP151</f>
        <v>0.26666666666666666</v>
      </c>
      <c r="DS151" s="121"/>
      <c r="DT151" s="121"/>
      <c r="DU151" s="74"/>
      <c r="DV151" s="74"/>
      <c r="DW151" s="74"/>
      <c r="DX151" s="74"/>
      <c r="DY151" s="74"/>
      <c r="DZ151" s="74"/>
      <c r="EA151" s="74"/>
      <c r="EB151" s="74"/>
      <c r="EC151" s="74"/>
      <c r="ED151" s="74"/>
      <c r="EE151" s="74"/>
      <c r="EF151" s="74"/>
      <c r="EG151" s="74"/>
      <c r="EH151" s="74"/>
      <c r="EI151" s="74"/>
      <c r="EJ151" s="793"/>
      <c r="EK151" s="793"/>
      <c r="EL151" s="793"/>
      <c r="EM151" s="793" t="s">
        <v>1284</v>
      </c>
      <c r="EN151" s="793">
        <v>0</v>
      </c>
      <c r="EO151" s="793">
        <v>0</v>
      </c>
      <c r="EP151" s="793">
        <v>0</v>
      </c>
      <c r="EQ151" s="793">
        <v>0</v>
      </c>
      <c r="ER151" s="793">
        <v>0</v>
      </c>
      <c r="ES151" s="793">
        <v>0</v>
      </c>
      <c r="ET151" s="793">
        <v>6</v>
      </c>
      <c r="EU151" s="793">
        <v>1</v>
      </c>
      <c r="EV151" s="793">
        <v>0</v>
      </c>
      <c r="EW151" s="793">
        <v>0</v>
      </c>
      <c r="EX151" s="793">
        <v>0</v>
      </c>
      <c r="EY151" s="794">
        <v>7</v>
      </c>
      <c r="EZ151" s="896"/>
      <c r="FA151" s="795"/>
    </row>
    <row r="152" spans="1:157">
      <c r="A152" s="73"/>
      <c r="B152" s="73"/>
      <c r="C152" s="73"/>
      <c r="D152" s="738" t="s">
        <v>15</v>
      </c>
      <c r="E152" s="3262">
        <v>1</v>
      </c>
      <c r="F152" s="3262"/>
      <c r="G152" s="3262"/>
      <c r="H152" s="3262">
        <v>2</v>
      </c>
      <c r="I152" s="3262">
        <v>1</v>
      </c>
      <c r="J152" s="3262">
        <v>5</v>
      </c>
      <c r="K152" s="3262">
        <v>18</v>
      </c>
      <c r="L152" s="3262">
        <v>24</v>
      </c>
      <c r="M152" s="4674"/>
      <c r="N152" s="4674"/>
      <c r="O152" s="4674">
        <v>51</v>
      </c>
      <c r="P152" s="912">
        <f>+(O151+O148)/O152</f>
        <v>0.21568627450980393</v>
      </c>
      <c r="Q152" s="3197"/>
      <c r="R152" s="74"/>
      <c r="S152" s="74"/>
      <c r="T152" s="74"/>
      <c r="U152" s="74" t="s">
        <v>1284</v>
      </c>
      <c r="V152" s="3229"/>
      <c r="W152" s="3229">
        <v>2</v>
      </c>
      <c r="X152" s="3229">
        <v>0</v>
      </c>
      <c r="Y152" s="3229">
        <v>0</v>
      </c>
      <c r="Z152" s="3229">
        <v>1</v>
      </c>
      <c r="AA152" s="3229">
        <v>1</v>
      </c>
      <c r="AB152" s="3229">
        <v>4</v>
      </c>
      <c r="AC152" s="3229">
        <v>8</v>
      </c>
      <c r="AD152" s="3229">
        <v>3</v>
      </c>
      <c r="AE152" s="121">
        <v>1</v>
      </c>
      <c r="AF152" s="121">
        <v>0</v>
      </c>
      <c r="AG152" s="121">
        <v>20</v>
      </c>
      <c r="AJ152" s="161"/>
      <c r="AK152" s="161"/>
      <c r="AL152" s="73"/>
      <c r="AM152" s="738" t="s">
        <v>15</v>
      </c>
      <c r="AN152" s="2601"/>
      <c r="AO152" s="2601">
        <v>4</v>
      </c>
      <c r="AP152" s="2601"/>
      <c r="AQ152" s="2601">
        <v>2</v>
      </c>
      <c r="AR152" s="2601"/>
      <c r="AS152" s="2601"/>
      <c r="AT152" s="2601">
        <v>16</v>
      </c>
      <c r="AU152" s="2601">
        <v>6</v>
      </c>
      <c r="AV152" s="2601"/>
      <c r="AW152" s="151"/>
      <c r="AX152" s="151"/>
      <c r="AY152" s="151">
        <v>28</v>
      </c>
      <c r="AZ152" s="912">
        <f>+(AY149+AY151)/AY152</f>
        <v>0.5714285714285714</v>
      </c>
      <c r="BB152" s="2191"/>
      <c r="BC152" s="2191"/>
      <c r="BD152" s="2192"/>
      <c r="BE152" s="760" t="s">
        <v>572</v>
      </c>
      <c r="BF152" s="2197">
        <v>9</v>
      </c>
      <c r="BG152" s="2197">
        <v>4</v>
      </c>
      <c r="BH152" s="2197">
        <v>5</v>
      </c>
      <c r="BI152" s="2197">
        <v>1</v>
      </c>
      <c r="BJ152" s="2197">
        <v>2</v>
      </c>
      <c r="BK152" s="2197">
        <v>8</v>
      </c>
      <c r="BL152" s="2197">
        <v>15</v>
      </c>
      <c r="BM152" s="2197">
        <v>41</v>
      </c>
      <c r="BN152" s="973">
        <v>8</v>
      </c>
      <c r="BO152" s="973">
        <v>24</v>
      </c>
      <c r="BP152" s="973">
        <v>117</v>
      </c>
      <c r="BQ152" s="2154">
        <f>+(BP148+BP151)/BP152</f>
        <v>0.19658119658119658</v>
      </c>
      <c r="BS152" s="879"/>
      <c r="BT152" s="879"/>
      <c r="BU152" s="880"/>
      <c r="BV152" s="881" t="s">
        <v>1292</v>
      </c>
      <c r="BW152" s="882"/>
      <c r="BX152" s="882"/>
      <c r="BY152" s="882"/>
      <c r="BZ152" s="882"/>
      <c r="CA152" s="882"/>
      <c r="CB152" s="883">
        <v>0</v>
      </c>
      <c r="CC152" s="883">
        <v>0</v>
      </c>
      <c r="CD152" s="883">
        <v>4</v>
      </c>
      <c r="CE152" s="879"/>
      <c r="CF152" s="879"/>
      <c r="CG152" s="884">
        <v>4</v>
      </c>
      <c r="CH152" s="161"/>
      <c r="CJ152" s="885"/>
      <c r="CK152" s="885"/>
      <c r="CL152" s="885"/>
      <c r="CM152" s="886" t="s">
        <v>1288</v>
      </c>
      <c r="CN152" s="887"/>
      <c r="CO152" s="887"/>
      <c r="CP152" s="887"/>
      <c r="CQ152" s="888">
        <v>0</v>
      </c>
      <c r="CR152" s="887"/>
      <c r="CS152" s="887"/>
      <c r="CT152" s="888">
        <v>6</v>
      </c>
      <c r="CU152" s="888">
        <v>16</v>
      </c>
      <c r="CV152" s="888">
        <v>0</v>
      </c>
      <c r="CW152" s="889"/>
      <c r="CX152" s="889"/>
      <c r="CY152" s="890">
        <v>22</v>
      </c>
      <c r="CZ152" s="891"/>
      <c r="DB152" s="892"/>
      <c r="DC152" s="892"/>
      <c r="DD152" s="892" t="s">
        <v>141</v>
      </c>
      <c r="DE152" s="893" t="s">
        <v>1284</v>
      </c>
      <c r="DF152" s="894"/>
      <c r="DG152" s="894"/>
      <c r="DH152" s="894"/>
      <c r="DI152" s="895">
        <v>1</v>
      </c>
      <c r="DJ152" s="895">
        <v>0</v>
      </c>
      <c r="DK152" s="895">
        <v>1</v>
      </c>
      <c r="DL152" s="894"/>
      <c r="DM152" s="894"/>
      <c r="DN152" s="894"/>
      <c r="DO152" s="894"/>
      <c r="DP152" s="895">
        <v>2</v>
      </c>
      <c r="DQ152" s="792"/>
      <c r="DS152" s="121"/>
      <c r="DT152" s="121"/>
      <c r="DU152" s="74"/>
      <c r="DV152" s="74"/>
      <c r="DW152" s="74"/>
      <c r="DX152" s="74"/>
      <c r="DY152" s="74"/>
      <c r="DZ152" s="74"/>
      <c r="EA152" s="74"/>
      <c r="EB152" s="74"/>
      <c r="EC152" s="74"/>
      <c r="ED152" s="74"/>
      <c r="EE152" s="74"/>
      <c r="EF152" s="74"/>
      <c r="EG152" s="74"/>
      <c r="EH152" s="74"/>
      <c r="EI152" s="74"/>
      <c r="EJ152" s="793"/>
      <c r="EK152" s="793"/>
      <c r="EL152" s="793"/>
      <c r="EM152" s="793" t="s">
        <v>1288</v>
      </c>
      <c r="EN152" s="793">
        <v>0</v>
      </c>
      <c r="EO152" s="793">
        <v>0</v>
      </c>
      <c r="EP152" s="793">
        <v>0</v>
      </c>
      <c r="EQ152" s="793">
        <v>0</v>
      </c>
      <c r="ER152" s="793">
        <v>0</v>
      </c>
      <c r="ES152" s="793">
        <v>0</v>
      </c>
      <c r="ET152" s="793">
        <v>1</v>
      </c>
      <c r="EU152" s="793">
        <v>0</v>
      </c>
      <c r="EV152" s="793">
        <v>0</v>
      </c>
      <c r="EW152" s="793">
        <v>0</v>
      </c>
      <c r="EX152" s="793">
        <v>0</v>
      </c>
      <c r="EY152" s="794">
        <v>1</v>
      </c>
      <c r="EZ152" s="896"/>
      <c r="FA152" s="795"/>
    </row>
    <row r="153" spans="1:157">
      <c r="A153" s="73"/>
      <c r="B153" s="73"/>
      <c r="C153" s="73" t="s">
        <v>128</v>
      </c>
      <c r="D153" s="73" t="s">
        <v>1284</v>
      </c>
      <c r="E153" s="3261">
        <v>0</v>
      </c>
      <c r="F153" s="3261"/>
      <c r="G153" s="3261"/>
      <c r="H153" s="3261"/>
      <c r="I153" s="3261"/>
      <c r="J153" s="3261">
        <v>2</v>
      </c>
      <c r="K153" s="3261">
        <v>0</v>
      </c>
      <c r="L153" s="3261">
        <v>0</v>
      </c>
      <c r="M153" s="161"/>
      <c r="N153" s="161"/>
      <c r="O153" s="161">
        <v>2</v>
      </c>
      <c r="P153" s="73"/>
      <c r="R153" s="74"/>
      <c r="S153" s="74"/>
      <c r="T153" s="74"/>
      <c r="U153" s="74" t="s">
        <v>1286</v>
      </c>
      <c r="V153" s="3229"/>
      <c r="W153" s="3229">
        <v>3</v>
      </c>
      <c r="X153" s="3229">
        <v>1</v>
      </c>
      <c r="Y153" s="3229">
        <v>0</v>
      </c>
      <c r="Z153" s="3229">
        <v>0</v>
      </c>
      <c r="AA153" s="3229">
        <v>0</v>
      </c>
      <c r="AB153" s="3229">
        <v>0</v>
      </c>
      <c r="AC153" s="3229">
        <v>0</v>
      </c>
      <c r="AD153" s="3229">
        <v>0</v>
      </c>
      <c r="AE153" s="121">
        <v>0</v>
      </c>
      <c r="AF153" s="121">
        <v>0</v>
      </c>
      <c r="AG153" s="121">
        <v>4</v>
      </c>
      <c r="AJ153" s="161"/>
      <c r="AK153" s="161"/>
      <c r="AL153" s="73" t="s">
        <v>129</v>
      </c>
      <c r="AM153" s="73" t="s">
        <v>1284</v>
      </c>
      <c r="AN153" s="2600"/>
      <c r="AO153" s="2600"/>
      <c r="AP153" s="2600"/>
      <c r="AQ153" s="2600">
        <v>0</v>
      </c>
      <c r="AR153" s="2600"/>
      <c r="AS153" s="2600"/>
      <c r="AT153" s="2600">
        <v>1</v>
      </c>
      <c r="AU153" s="2600">
        <v>0</v>
      </c>
      <c r="AV153" s="2600">
        <v>0</v>
      </c>
      <c r="AW153" s="161"/>
      <c r="AX153" s="161"/>
      <c r="AY153" s="161">
        <v>1</v>
      </c>
      <c r="AZ153" s="161"/>
      <c r="BB153" s="2191"/>
      <c r="BC153" s="2191" t="s">
        <v>16</v>
      </c>
      <c r="BD153" s="2192" t="s">
        <v>108</v>
      </c>
      <c r="BE153" s="2193" t="s">
        <v>1288</v>
      </c>
      <c r="BF153" s="2194"/>
      <c r="BG153" s="2194"/>
      <c r="BH153" s="2195">
        <v>8</v>
      </c>
      <c r="BI153" s="2195">
        <v>0</v>
      </c>
      <c r="BJ153" s="2194"/>
      <c r="BK153" s="2194"/>
      <c r="BL153" s="2194"/>
      <c r="BM153" s="2194"/>
      <c r="BN153" s="963"/>
      <c r="BO153" s="963"/>
      <c r="BP153" s="964">
        <v>8</v>
      </c>
      <c r="BQ153" s="73"/>
      <c r="BS153" s="879"/>
      <c r="BT153" s="879"/>
      <c r="BU153" s="880"/>
      <c r="BV153" s="881" t="s">
        <v>1398</v>
      </c>
      <c r="BW153" s="882"/>
      <c r="BX153" s="882"/>
      <c r="BY153" s="882"/>
      <c r="BZ153" s="882"/>
      <c r="CA153" s="882"/>
      <c r="CB153" s="883">
        <v>4</v>
      </c>
      <c r="CC153" s="883">
        <v>2</v>
      </c>
      <c r="CD153" s="883">
        <v>0</v>
      </c>
      <c r="CE153" s="879"/>
      <c r="CF153" s="879"/>
      <c r="CG153" s="884">
        <v>6</v>
      </c>
      <c r="CH153" s="161"/>
      <c r="CJ153" s="885"/>
      <c r="CK153" s="885"/>
      <c r="CL153" s="885"/>
      <c r="CM153" s="886" t="s">
        <v>1292</v>
      </c>
      <c r="CN153" s="887"/>
      <c r="CO153" s="887"/>
      <c r="CP153" s="887"/>
      <c r="CQ153" s="888">
        <v>0</v>
      </c>
      <c r="CR153" s="887"/>
      <c r="CS153" s="887"/>
      <c r="CT153" s="888">
        <v>0</v>
      </c>
      <c r="CU153" s="888">
        <v>0</v>
      </c>
      <c r="CV153" s="888">
        <v>31</v>
      </c>
      <c r="CW153" s="889"/>
      <c r="CX153" s="889"/>
      <c r="CY153" s="890">
        <v>31</v>
      </c>
      <c r="CZ153" s="891"/>
      <c r="DB153" s="892"/>
      <c r="DC153" s="892"/>
      <c r="DD153" s="892"/>
      <c r="DE153" s="893" t="s">
        <v>1288</v>
      </c>
      <c r="DF153" s="894"/>
      <c r="DG153" s="894"/>
      <c r="DH153" s="894"/>
      <c r="DI153" s="895">
        <v>0</v>
      </c>
      <c r="DJ153" s="895">
        <v>0</v>
      </c>
      <c r="DK153" s="895">
        <v>1</v>
      </c>
      <c r="DL153" s="894"/>
      <c r="DM153" s="894"/>
      <c r="DN153" s="894"/>
      <c r="DO153" s="894"/>
      <c r="DP153" s="895">
        <v>1</v>
      </c>
      <c r="DQ153" s="792"/>
      <c r="DS153" s="121"/>
      <c r="DT153" s="121"/>
      <c r="DU153" s="74" t="s">
        <v>332</v>
      </c>
      <c r="DV153" s="74" t="s">
        <v>332</v>
      </c>
      <c r="EG153" s="761"/>
      <c r="EH153" s="761"/>
      <c r="EI153" s="74"/>
      <c r="EJ153" s="793"/>
      <c r="EK153" s="793"/>
      <c r="EL153" s="793"/>
      <c r="EM153" s="793" t="s">
        <v>1292</v>
      </c>
      <c r="EN153" s="793">
        <v>0</v>
      </c>
      <c r="EO153" s="793">
        <v>0</v>
      </c>
      <c r="EP153" s="793">
        <v>0</v>
      </c>
      <c r="EQ153" s="793">
        <v>0</v>
      </c>
      <c r="ER153" s="793">
        <v>0</v>
      </c>
      <c r="ES153" s="793">
        <v>0</v>
      </c>
      <c r="ET153" s="793">
        <v>1</v>
      </c>
      <c r="EU153" s="793">
        <v>0</v>
      </c>
      <c r="EV153" s="793">
        <v>0</v>
      </c>
      <c r="EW153" s="793">
        <v>0</v>
      </c>
      <c r="EX153" s="793">
        <v>0</v>
      </c>
      <c r="EY153" s="794">
        <v>1</v>
      </c>
      <c r="EZ153" s="896"/>
      <c r="FA153" s="795"/>
    </row>
    <row r="154" spans="1:157">
      <c r="A154" s="73"/>
      <c r="B154" s="73"/>
      <c r="C154" s="73"/>
      <c r="D154" s="73" t="s">
        <v>1286</v>
      </c>
      <c r="E154" s="3261">
        <v>1</v>
      </c>
      <c r="F154" s="3261"/>
      <c r="G154" s="3261"/>
      <c r="H154" s="3261"/>
      <c r="I154" s="3261"/>
      <c r="J154" s="3261">
        <v>0</v>
      </c>
      <c r="K154" s="3261">
        <v>0</v>
      </c>
      <c r="L154" s="3261">
        <v>0</v>
      </c>
      <c r="M154" s="161"/>
      <c r="N154" s="161"/>
      <c r="O154" s="161">
        <v>1</v>
      </c>
      <c r="P154" s="73"/>
      <c r="R154" s="74"/>
      <c r="S154" s="74"/>
      <c r="T154" s="74"/>
      <c r="U154" s="74" t="s">
        <v>1288</v>
      </c>
      <c r="V154" s="3229"/>
      <c r="W154" s="3229">
        <v>0</v>
      </c>
      <c r="X154" s="3229">
        <v>0</v>
      </c>
      <c r="Y154" s="3229">
        <v>0</v>
      </c>
      <c r="Z154" s="3229">
        <v>0</v>
      </c>
      <c r="AA154" s="3229">
        <v>0</v>
      </c>
      <c r="AB154" s="3229">
        <v>4</v>
      </c>
      <c r="AC154" s="3229">
        <v>10</v>
      </c>
      <c r="AD154" s="3229">
        <v>7</v>
      </c>
      <c r="AE154" s="121">
        <v>2</v>
      </c>
      <c r="AF154" s="121">
        <v>0</v>
      </c>
      <c r="AG154" s="121">
        <v>23</v>
      </c>
      <c r="AJ154" s="161"/>
      <c r="AK154" s="161"/>
      <c r="AL154" s="73"/>
      <c r="AM154" s="73" t="s">
        <v>1286</v>
      </c>
      <c r="AN154" s="2600"/>
      <c r="AO154" s="2600"/>
      <c r="AP154" s="2600"/>
      <c r="AQ154" s="2600">
        <v>1</v>
      </c>
      <c r="AR154" s="2600"/>
      <c r="AS154" s="2600"/>
      <c r="AT154" s="2600">
        <v>0</v>
      </c>
      <c r="AU154" s="2600">
        <v>0</v>
      </c>
      <c r="AV154" s="2600">
        <v>0</v>
      </c>
      <c r="AW154" s="161"/>
      <c r="AX154" s="161"/>
      <c r="AY154" s="161">
        <v>1</v>
      </c>
      <c r="AZ154" s="161"/>
      <c r="BB154" s="2191"/>
      <c r="BC154" s="2191"/>
      <c r="BD154" s="2192"/>
      <c r="BE154" s="2193" t="s">
        <v>1289</v>
      </c>
      <c r="BF154" s="2194"/>
      <c r="BG154" s="2194"/>
      <c r="BH154" s="2195">
        <v>0</v>
      </c>
      <c r="BI154" s="2195">
        <v>1</v>
      </c>
      <c r="BJ154" s="2194"/>
      <c r="BK154" s="2194"/>
      <c r="BL154" s="2194"/>
      <c r="BM154" s="2194"/>
      <c r="BN154" s="963"/>
      <c r="BO154" s="963"/>
      <c r="BP154" s="964">
        <v>1</v>
      </c>
      <c r="BQ154" s="73"/>
      <c r="BS154" s="879"/>
      <c r="BT154" s="879"/>
      <c r="BU154" s="880"/>
      <c r="BV154" s="907" t="s">
        <v>15</v>
      </c>
      <c r="BW154" s="908"/>
      <c r="BX154" s="908"/>
      <c r="BY154" s="908"/>
      <c r="BZ154" s="908"/>
      <c r="CA154" s="908"/>
      <c r="CB154" s="909">
        <v>7</v>
      </c>
      <c r="CC154" s="909">
        <v>5</v>
      </c>
      <c r="CD154" s="909">
        <v>4</v>
      </c>
      <c r="CE154" s="910"/>
      <c r="CF154" s="910"/>
      <c r="CG154" s="911">
        <v>16</v>
      </c>
      <c r="CH154" s="912">
        <f>+(CG151+CG153)/CG154</f>
        <v>0.625</v>
      </c>
      <c r="CJ154" s="885"/>
      <c r="CK154" s="885"/>
      <c r="CL154" s="885"/>
      <c r="CM154" s="886" t="s">
        <v>1398</v>
      </c>
      <c r="CN154" s="887"/>
      <c r="CO154" s="887"/>
      <c r="CP154" s="887"/>
      <c r="CQ154" s="888">
        <v>0</v>
      </c>
      <c r="CR154" s="887"/>
      <c r="CS154" s="887"/>
      <c r="CT154" s="888">
        <v>7</v>
      </c>
      <c r="CU154" s="888">
        <v>0</v>
      </c>
      <c r="CV154" s="888">
        <v>0</v>
      </c>
      <c r="CW154" s="889"/>
      <c r="CX154" s="889"/>
      <c r="CY154" s="890">
        <v>7</v>
      </c>
      <c r="CZ154" s="891"/>
      <c r="DB154" s="892"/>
      <c r="DC154" s="892"/>
      <c r="DD154" s="892"/>
      <c r="DE154" s="893" t="s">
        <v>1289</v>
      </c>
      <c r="DF154" s="894"/>
      <c r="DG154" s="894"/>
      <c r="DH154" s="894"/>
      <c r="DI154" s="895">
        <v>0</v>
      </c>
      <c r="DJ154" s="895">
        <v>0</v>
      </c>
      <c r="DK154" s="895">
        <v>1</v>
      </c>
      <c r="DL154" s="894"/>
      <c r="DM154" s="894"/>
      <c r="DN154" s="894"/>
      <c r="DO154" s="894"/>
      <c r="DP154" s="895">
        <v>1</v>
      </c>
      <c r="DQ154" s="792"/>
      <c r="DS154" s="121"/>
      <c r="EI154" s="74"/>
      <c r="EJ154" s="793"/>
      <c r="EK154" s="793"/>
      <c r="EL154" s="793"/>
      <c r="EM154" s="793" t="s">
        <v>1293</v>
      </c>
      <c r="EN154" s="793">
        <v>0</v>
      </c>
      <c r="EO154" s="793">
        <v>0</v>
      </c>
      <c r="EP154" s="793">
        <v>0</v>
      </c>
      <c r="EQ154" s="793">
        <v>0</v>
      </c>
      <c r="ER154" s="793">
        <v>0</v>
      </c>
      <c r="ES154" s="793">
        <v>0</v>
      </c>
      <c r="ET154" s="793">
        <v>4</v>
      </c>
      <c r="EU154" s="793">
        <v>0</v>
      </c>
      <c r="EV154" s="793">
        <v>0</v>
      </c>
      <c r="EW154" s="793">
        <v>0</v>
      </c>
      <c r="EX154" s="793">
        <v>0</v>
      </c>
      <c r="EY154" s="794">
        <v>4</v>
      </c>
      <c r="EZ154" s="896"/>
      <c r="FA154" s="795"/>
    </row>
    <row r="155" spans="1:157">
      <c r="A155" s="73"/>
      <c r="B155" s="73"/>
      <c r="C155" s="73"/>
      <c r="D155" s="73" t="s">
        <v>1288</v>
      </c>
      <c r="E155" s="3261">
        <v>0</v>
      </c>
      <c r="F155" s="3261"/>
      <c r="G155" s="3261"/>
      <c r="H155" s="3261"/>
      <c r="I155" s="3261"/>
      <c r="J155" s="3261">
        <v>0</v>
      </c>
      <c r="K155" s="3261">
        <v>2</v>
      </c>
      <c r="L155" s="3261">
        <v>0</v>
      </c>
      <c r="M155" s="161"/>
      <c r="N155" s="161"/>
      <c r="O155" s="161">
        <v>2</v>
      </c>
      <c r="P155" s="73"/>
      <c r="R155" s="74"/>
      <c r="S155" s="74"/>
      <c r="T155" s="74"/>
      <c r="U155" s="74" t="s">
        <v>1289</v>
      </c>
      <c r="V155" s="3229"/>
      <c r="W155" s="3229">
        <v>0</v>
      </c>
      <c r="X155" s="3229">
        <v>0</v>
      </c>
      <c r="Y155" s="3229">
        <v>1</v>
      </c>
      <c r="Z155" s="3229">
        <v>2</v>
      </c>
      <c r="AA155" s="3229">
        <v>0</v>
      </c>
      <c r="AB155" s="3229">
        <v>0</v>
      </c>
      <c r="AC155" s="3229">
        <v>0</v>
      </c>
      <c r="AD155" s="3229">
        <v>0</v>
      </c>
      <c r="AE155" s="121">
        <v>0</v>
      </c>
      <c r="AF155" s="121">
        <v>0</v>
      </c>
      <c r="AG155" s="121">
        <v>3</v>
      </c>
      <c r="AJ155" s="161"/>
      <c r="AK155" s="161"/>
      <c r="AL155" s="73"/>
      <c r="AM155" s="73" t="s">
        <v>1398</v>
      </c>
      <c r="AN155" s="2600"/>
      <c r="AO155" s="2600"/>
      <c r="AP155" s="2600"/>
      <c r="AQ155" s="2600">
        <v>0</v>
      </c>
      <c r="AR155" s="2600"/>
      <c r="AS155" s="2600"/>
      <c r="AT155" s="2600">
        <v>5</v>
      </c>
      <c r="AU155" s="2600">
        <v>4</v>
      </c>
      <c r="AV155" s="2600">
        <v>1</v>
      </c>
      <c r="AW155" s="161"/>
      <c r="AX155" s="161"/>
      <c r="AY155" s="161">
        <v>10</v>
      </c>
      <c r="AZ155" s="161"/>
      <c r="BB155" s="2191"/>
      <c r="BC155" s="2191"/>
      <c r="BD155" s="2192"/>
      <c r="BE155" s="2193" t="s">
        <v>1398</v>
      </c>
      <c r="BF155" s="2194"/>
      <c r="BG155" s="2194"/>
      <c r="BH155" s="2195">
        <v>6</v>
      </c>
      <c r="BI155" s="2195">
        <v>0</v>
      </c>
      <c r="BJ155" s="2194"/>
      <c r="BK155" s="2194"/>
      <c r="BL155" s="2194"/>
      <c r="BM155" s="2194"/>
      <c r="BN155" s="963"/>
      <c r="BO155" s="963"/>
      <c r="BP155" s="964">
        <v>6</v>
      </c>
      <c r="BQ155" s="73"/>
      <c r="BS155" s="879"/>
      <c r="BT155" s="879"/>
      <c r="BU155" s="880" t="s">
        <v>131</v>
      </c>
      <c r="BV155" s="881" t="s">
        <v>1284</v>
      </c>
      <c r="BW155" s="883">
        <v>1</v>
      </c>
      <c r="BX155" s="882"/>
      <c r="BY155" s="882"/>
      <c r="BZ155" s="882"/>
      <c r="CA155" s="882"/>
      <c r="CB155" s="883">
        <v>0</v>
      </c>
      <c r="CC155" s="883">
        <v>4</v>
      </c>
      <c r="CD155" s="883">
        <v>0</v>
      </c>
      <c r="CE155" s="879"/>
      <c r="CF155" s="879"/>
      <c r="CG155" s="884">
        <v>5</v>
      </c>
      <c r="CH155" s="161"/>
      <c r="CJ155" s="885"/>
      <c r="CK155" s="885"/>
      <c r="CL155" s="885"/>
      <c r="CM155" s="897" t="s">
        <v>575</v>
      </c>
      <c r="CN155" s="898"/>
      <c r="CO155" s="898"/>
      <c r="CP155" s="898"/>
      <c r="CQ155" s="899">
        <v>2</v>
      </c>
      <c r="CR155" s="898"/>
      <c r="CS155" s="898"/>
      <c r="CT155" s="899">
        <v>13</v>
      </c>
      <c r="CU155" s="899">
        <v>22</v>
      </c>
      <c r="CV155" s="899">
        <v>32</v>
      </c>
      <c r="CW155" s="900"/>
      <c r="CX155" s="900"/>
      <c r="CY155" s="901">
        <v>69</v>
      </c>
      <c r="CZ155" s="891">
        <f>+(CY154+CY152)/CY155</f>
        <v>0.42028985507246375</v>
      </c>
      <c r="DB155" s="892"/>
      <c r="DC155" s="892"/>
      <c r="DD155" s="892"/>
      <c r="DE155" s="893" t="s">
        <v>1293</v>
      </c>
      <c r="DF155" s="894"/>
      <c r="DG155" s="894"/>
      <c r="DH155" s="894"/>
      <c r="DI155" s="895">
        <v>0</v>
      </c>
      <c r="DJ155" s="895">
        <v>2</v>
      </c>
      <c r="DK155" s="895">
        <v>2</v>
      </c>
      <c r="DL155" s="894"/>
      <c r="DM155" s="894"/>
      <c r="DN155" s="894"/>
      <c r="DO155" s="894"/>
      <c r="DP155" s="895">
        <v>4</v>
      </c>
      <c r="DQ155" s="792"/>
      <c r="DS155" s="121"/>
      <c r="EI155" s="74"/>
      <c r="EJ155" s="793"/>
      <c r="EK155" s="793"/>
      <c r="EL155" s="793"/>
      <c r="EM155" s="796" t="s">
        <v>15</v>
      </c>
      <c r="EN155" s="796">
        <v>0</v>
      </c>
      <c r="EO155" s="796">
        <v>0</v>
      </c>
      <c r="EP155" s="796">
        <v>0</v>
      </c>
      <c r="EQ155" s="796">
        <v>0</v>
      </c>
      <c r="ER155" s="796">
        <v>0</v>
      </c>
      <c r="ES155" s="796">
        <v>0</v>
      </c>
      <c r="ET155" s="796">
        <v>12</v>
      </c>
      <c r="EU155" s="796">
        <v>1</v>
      </c>
      <c r="EV155" s="796">
        <v>1</v>
      </c>
      <c r="EW155" s="796">
        <v>0</v>
      </c>
      <c r="EX155" s="796">
        <v>0</v>
      </c>
      <c r="EY155" s="856">
        <v>14</v>
      </c>
      <c r="EZ155" s="906">
        <f>+(EY154+EY152)/EY155</f>
        <v>0.35714285714285715</v>
      </c>
      <c r="FA155" s="795">
        <f>+EY152+EY154</f>
        <v>5</v>
      </c>
    </row>
    <row r="156" spans="1:157">
      <c r="A156" s="73"/>
      <c r="B156" s="73"/>
      <c r="C156" s="73"/>
      <c r="D156" s="73" t="s">
        <v>1292</v>
      </c>
      <c r="E156" s="3261">
        <v>0</v>
      </c>
      <c r="F156" s="3261"/>
      <c r="G156" s="3261"/>
      <c r="H156" s="3261"/>
      <c r="I156" s="3261"/>
      <c r="J156" s="3261">
        <v>0</v>
      </c>
      <c r="K156" s="3261">
        <v>0</v>
      </c>
      <c r="L156" s="3261">
        <v>1</v>
      </c>
      <c r="M156" s="161"/>
      <c r="N156" s="161"/>
      <c r="O156" s="161">
        <v>1</v>
      </c>
      <c r="P156" s="73"/>
      <c r="R156" s="74"/>
      <c r="S156" s="74"/>
      <c r="T156" s="74"/>
      <c r="U156" s="74" t="s">
        <v>1292</v>
      </c>
      <c r="V156" s="3229"/>
      <c r="W156" s="3229">
        <v>0</v>
      </c>
      <c r="X156" s="3229">
        <v>0</v>
      </c>
      <c r="Y156" s="3229">
        <v>0</v>
      </c>
      <c r="Z156" s="3229">
        <v>0</v>
      </c>
      <c r="AA156" s="3229">
        <v>1</v>
      </c>
      <c r="AB156" s="3229">
        <v>0</v>
      </c>
      <c r="AC156" s="3229">
        <v>0</v>
      </c>
      <c r="AD156" s="3229">
        <v>26</v>
      </c>
      <c r="AE156" s="121">
        <v>6</v>
      </c>
      <c r="AF156" s="121">
        <v>5</v>
      </c>
      <c r="AG156" s="121">
        <v>38</v>
      </c>
      <c r="AJ156" s="161"/>
      <c r="AK156" s="161"/>
      <c r="AL156" s="73"/>
      <c r="AM156" s="738" t="s">
        <v>15</v>
      </c>
      <c r="AN156" s="2601"/>
      <c r="AO156" s="2601"/>
      <c r="AP156" s="2601"/>
      <c r="AQ156" s="2601">
        <v>1</v>
      </c>
      <c r="AR156" s="2601"/>
      <c r="AS156" s="2601"/>
      <c r="AT156" s="2601">
        <v>6</v>
      </c>
      <c r="AU156" s="2601">
        <v>4</v>
      </c>
      <c r="AV156" s="2601">
        <v>1</v>
      </c>
      <c r="AW156" s="151"/>
      <c r="AX156" s="151"/>
      <c r="AY156" s="151">
        <v>12</v>
      </c>
      <c r="AZ156" s="912">
        <f>+AY155/AY156</f>
        <v>0.83333333333333337</v>
      </c>
      <c r="BB156" s="2191"/>
      <c r="BC156" s="2191"/>
      <c r="BD156" s="2192"/>
      <c r="BE156" s="760" t="s">
        <v>15</v>
      </c>
      <c r="BF156" s="2196"/>
      <c r="BG156" s="2196"/>
      <c r="BH156" s="2197">
        <v>14</v>
      </c>
      <c r="BI156" s="2197">
        <v>1</v>
      </c>
      <c r="BJ156" s="2196"/>
      <c r="BK156" s="2196"/>
      <c r="BL156" s="2196"/>
      <c r="BM156" s="2196"/>
      <c r="BN156" s="972"/>
      <c r="BO156" s="972"/>
      <c r="BP156" s="973">
        <v>15</v>
      </c>
      <c r="BQ156" s="2154">
        <f>+(BP153+BP155)/BP156</f>
        <v>0.93333333333333335</v>
      </c>
      <c r="BS156" s="879"/>
      <c r="BT156" s="879"/>
      <c r="BU156" s="880"/>
      <c r="BV156" s="881" t="s">
        <v>1288</v>
      </c>
      <c r="BW156" s="883">
        <v>0</v>
      </c>
      <c r="BX156" s="882"/>
      <c r="BY156" s="882"/>
      <c r="BZ156" s="882"/>
      <c r="CA156" s="882"/>
      <c r="CB156" s="883">
        <v>1</v>
      </c>
      <c r="CC156" s="883">
        <v>6</v>
      </c>
      <c r="CD156" s="883">
        <v>0</v>
      </c>
      <c r="CE156" s="879"/>
      <c r="CF156" s="879"/>
      <c r="CG156" s="884">
        <v>7</v>
      </c>
      <c r="CH156" s="161"/>
      <c r="CJ156" s="885"/>
      <c r="CK156" s="885"/>
      <c r="CL156" s="897" t="s">
        <v>111</v>
      </c>
      <c r="CM156" s="886" t="s">
        <v>1283</v>
      </c>
      <c r="CN156" s="888">
        <v>0</v>
      </c>
      <c r="CO156" s="888">
        <v>0</v>
      </c>
      <c r="CP156" s="888">
        <v>0</v>
      </c>
      <c r="CQ156" s="888">
        <v>0</v>
      </c>
      <c r="CR156" s="887"/>
      <c r="CS156" s="888">
        <v>0</v>
      </c>
      <c r="CT156" s="888">
        <v>0</v>
      </c>
      <c r="CU156" s="888">
        <v>1</v>
      </c>
      <c r="CV156" s="888">
        <v>17</v>
      </c>
      <c r="CW156" s="890">
        <v>1</v>
      </c>
      <c r="CX156" s="890">
        <v>8</v>
      </c>
      <c r="CY156" s="890">
        <v>27</v>
      </c>
      <c r="CZ156" s="891"/>
      <c r="DB156" s="892"/>
      <c r="DC156" s="892"/>
      <c r="DD156" s="892"/>
      <c r="DE156" s="893" t="s">
        <v>1398</v>
      </c>
      <c r="DF156" s="894"/>
      <c r="DG156" s="894"/>
      <c r="DH156" s="894"/>
      <c r="DI156" s="895">
        <v>0</v>
      </c>
      <c r="DJ156" s="895">
        <v>2</v>
      </c>
      <c r="DK156" s="895">
        <v>0</v>
      </c>
      <c r="DL156" s="894"/>
      <c r="DM156" s="894"/>
      <c r="DN156" s="894"/>
      <c r="DO156" s="894"/>
      <c r="DP156" s="895">
        <v>2</v>
      </c>
      <c r="DQ156" s="792"/>
      <c r="DS156" s="121"/>
      <c r="EI156" s="74"/>
      <c r="EJ156" s="793"/>
      <c r="EK156" s="793"/>
      <c r="EL156" s="793" t="s">
        <v>141</v>
      </c>
      <c r="EM156" s="793" t="s">
        <v>1283</v>
      </c>
      <c r="EN156" s="793">
        <v>0</v>
      </c>
      <c r="EO156" s="793">
        <v>0</v>
      </c>
      <c r="EP156" s="793">
        <v>0</v>
      </c>
      <c r="EQ156" s="793">
        <v>0</v>
      </c>
      <c r="ER156" s="793">
        <v>0</v>
      </c>
      <c r="ES156" s="793">
        <v>0</v>
      </c>
      <c r="ET156" s="793">
        <v>1</v>
      </c>
      <c r="EU156" s="793">
        <v>0</v>
      </c>
      <c r="EV156" s="793">
        <v>0</v>
      </c>
      <c r="EW156" s="793">
        <v>0</v>
      </c>
      <c r="EX156" s="793">
        <v>0</v>
      </c>
      <c r="EY156" s="794">
        <v>1</v>
      </c>
      <c r="EZ156" s="896"/>
      <c r="FA156" s="795"/>
    </row>
    <row r="157" spans="1:157">
      <c r="A157" s="73"/>
      <c r="B157" s="73"/>
      <c r="C157" s="73"/>
      <c r="D157" s="73" t="s">
        <v>1398</v>
      </c>
      <c r="E157" s="3261">
        <v>0</v>
      </c>
      <c r="F157" s="3261"/>
      <c r="G157" s="3261"/>
      <c r="H157" s="3261"/>
      <c r="I157" s="3261"/>
      <c r="J157" s="3261">
        <v>13</v>
      </c>
      <c r="K157" s="3261">
        <v>1</v>
      </c>
      <c r="L157" s="3261">
        <v>0</v>
      </c>
      <c r="M157" s="161"/>
      <c r="N157" s="161"/>
      <c r="O157" s="161">
        <v>14</v>
      </c>
      <c r="P157" s="73"/>
      <c r="R157" s="74"/>
      <c r="S157" s="74"/>
      <c r="T157" s="74"/>
      <c r="U157" s="74" t="s">
        <v>1398</v>
      </c>
      <c r="V157" s="3229"/>
      <c r="W157" s="3229">
        <v>0</v>
      </c>
      <c r="X157" s="3229">
        <v>0</v>
      </c>
      <c r="Y157" s="3229">
        <v>0</v>
      </c>
      <c r="Z157" s="3229">
        <v>0</v>
      </c>
      <c r="AA157" s="3229">
        <v>0</v>
      </c>
      <c r="AB157" s="3229">
        <v>3</v>
      </c>
      <c r="AC157" s="3229">
        <v>3</v>
      </c>
      <c r="AD157" s="3229">
        <v>3</v>
      </c>
      <c r="AE157" s="121">
        <v>0</v>
      </c>
      <c r="AF157" s="121">
        <v>0</v>
      </c>
      <c r="AG157" s="121">
        <v>9</v>
      </c>
      <c r="AJ157" s="161"/>
      <c r="AK157" s="161"/>
      <c r="AL157" s="73" t="s">
        <v>573</v>
      </c>
      <c r="AM157" s="73" t="s">
        <v>1284</v>
      </c>
      <c r="AN157" s="2600"/>
      <c r="AO157" s="2600">
        <v>0</v>
      </c>
      <c r="AP157" s="2600">
        <v>0</v>
      </c>
      <c r="AQ157" s="2600">
        <v>0</v>
      </c>
      <c r="AR157" s="2600"/>
      <c r="AS157" s="2600">
        <v>0</v>
      </c>
      <c r="AT157" s="2600">
        <v>18</v>
      </c>
      <c r="AU157" s="2600">
        <v>10</v>
      </c>
      <c r="AV157" s="2600">
        <v>0</v>
      </c>
      <c r="AW157" s="161"/>
      <c r="AX157" s="161"/>
      <c r="AY157" s="161">
        <v>28</v>
      </c>
      <c r="AZ157" s="161"/>
      <c r="BB157" s="2191"/>
      <c r="BC157" s="2191"/>
      <c r="BD157" s="2192" t="s">
        <v>129</v>
      </c>
      <c r="BE157" s="2193" t="s">
        <v>1284</v>
      </c>
      <c r="BF157" s="2195">
        <v>0</v>
      </c>
      <c r="BG157" s="2195">
        <v>1</v>
      </c>
      <c r="BH157" s="2195">
        <v>0</v>
      </c>
      <c r="BI157" s="2195">
        <v>0</v>
      </c>
      <c r="BJ157" s="2194"/>
      <c r="BK157" s="2195">
        <v>0</v>
      </c>
      <c r="BL157" s="2195">
        <v>0</v>
      </c>
      <c r="BM157" s="2194"/>
      <c r="BN157" s="963"/>
      <c r="BO157" s="964">
        <v>0</v>
      </c>
      <c r="BP157" s="964">
        <v>1</v>
      </c>
      <c r="BQ157" s="73"/>
      <c r="BS157" s="879"/>
      <c r="BT157" s="879"/>
      <c r="BU157" s="880"/>
      <c r="BV157" s="881" t="s">
        <v>1292</v>
      </c>
      <c r="BW157" s="883">
        <v>0</v>
      </c>
      <c r="BX157" s="882"/>
      <c r="BY157" s="882"/>
      <c r="BZ157" s="882"/>
      <c r="CA157" s="882"/>
      <c r="CB157" s="883">
        <v>0</v>
      </c>
      <c r="CC157" s="883">
        <v>0</v>
      </c>
      <c r="CD157" s="883">
        <v>3</v>
      </c>
      <c r="CE157" s="879"/>
      <c r="CF157" s="879"/>
      <c r="CG157" s="884">
        <v>3</v>
      </c>
      <c r="CH157" s="161"/>
      <c r="CJ157" s="885"/>
      <c r="CK157" s="885"/>
      <c r="CL157" s="885"/>
      <c r="CM157" s="886" t="s">
        <v>1284</v>
      </c>
      <c r="CN157" s="888">
        <v>1</v>
      </c>
      <c r="CO157" s="888">
        <v>3</v>
      </c>
      <c r="CP157" s="888">
        <v>3</v>
      </c>
      <c r="CQ157" s="888">
        <v>2</v>
      </c>
      <c r="CR157" s="887"/>
      <c r="CS157" s="888">
        <v>0</v>
      </c>
      <c r="CT157" s="888">
        <v>4</v>
      </c>
      <c r="CU157" s="888">
        <v>13</v>
      </c>
      <c r="CV157" s="888">
        <v>3</v>
      </c>
      <c r="CW157" s="890">
        <v>2</v>
      </c>
      <c r="CX157" s="890">
        <v>0</v>
      </c>
      <c r="CY157" s="890">
        <v>31</v>
      </c>
      <c r="CZ157" s="891"/>
      <c r="DB157" s="892"/>
      <c r="DC157" s="892"/>
      <c r="DD157" s="892"/>
      <c r="DE157" s="902" t="s">
        <v>15</v>
      </c>
      <c r="DF157" s="903"/>
      <c r="DG157" s="903"/>
      <c r="DH157" s="903"/>
      <c r="DI157" s="904">
        <v>1</v>
      </c>
      <c r="DJ157" s="904">
        <v>4</v>
      </c>
      <c r="DK157" s="904">
        <v>5</v>
      </c>
      <c r="DL157" s="903"/>
      <c r="DM157" s="903"/>
      <c r="DN157" s="903"/>
      <c r="DO157" s="903"/>
      <c r="DP157" s="904">
        <v>10</v>
      </c>
      <c r="DQ157" s="905">
        <f>+(DP156+DP155+DP153)/DP157</f>
        <v>0.7</v>
      </c>
      <c r="DS157" s="121"/>
      <c r="EI157" s="74"/>
      <c r="EJ157" s="793"/>
      <c r="EK157" s="793"/>
      <c r="EL157" s="793"/>
      <c r="EM157" s="793" t="s">
        <v>1284</v>
      </c>
      <c r="EN157" s="793">
        <v>0</v>
      </c>
      <c r="EO157" s="793">
        <v>0</v>
      </c>
      <c r="EP157" s="793">
        <v>0</v>
      </c>
      <c r="EQ157" s="793">
        <v>0</v>
      </c>
      <c r="ER157" s="793">
        <v>0</v>
      </c>
      <c r="ES157" s="793">
        <v>0</v>
      </c>
      <c r="ET157" s="793">
        <v>2</v>
      </c>
      <c r="EU157" s="793">
        <v>0</v>
      </c>
      <c r="EV157" s="793">
        <v>0</v>
      </c>
      <c r="EW157" s="793">
        <v>0</v>
      </c>
      <c r="EX157" s="793">
        <v>0</v>
      </c>
      <c r="EY157" s="794">
        <v>2</v>
      </c>
      <c r="EZ157" s="896"/>
      <c r="FA157" s="795"/>
    </row>
    <row r="158" spans="1:157">
      <c r="A158" s="73"/>
      <c r="B158" s="73"/>
      <c r="C158" s="73"/>
      <c r="D158" s="738" t="s">
        <v>15</v>
      </c>
      <c r="E158" s="3262">
        <v>1</v>
      </c>
      <c r="F158" s="3262"/>
      <c r="G158" s="3262"/>
      <c r="H158" s="3262"/>
      <c r="I158" s="3262"/>
      <c r="J158" s="3262">
        <v>15</v>
      </c>
      <c r="K158" s="3262">
        <v>3</v>
      </c>
      <c r="L158" s="3262">
        <v>1</v>
      </c>
      <c r="M158" s="4674"/>
      <c r="N158" s="4674"/>
      <c r="O158" s="4674">
        <v>20</v>
      </c>
      <c r="P158" s="912">
        <f>+(O157+O155)/O158</f>
        <v>0.8</v>
      </c>
      <c r="Q158" s="3197"/>
      <c r="R158" s="74"/>
      <c r="S158" s="74"/>
      <c r="T158" s="74"/>
      <c r="U158" s="761" t="s">
        <v>572</v>
      </c>
      <c r="V158" s="3230"/>
      <c r="W158" s="3230">
        <v>5</v>
      </c>
      <c r="X158" s="3230">
        <v>1</v>
      </c>
      <c r="Y158" s="3230">
        <v>1</v>
      </c>
      <c r="Z158" s="3230">
        <v>3</v>
      </c>
      <c r="AA158" s="3230">
        <v>2</v>
      </c>
      <c r="AB158" s="3230">
        <v>11</v>
      </c>
      <c r="AC158" s="3230">
        <v>23</v>
      </c>
      <c r="AD158" s="3230">
        <v>43</v>
      </c>
      <c r="AE158" s="729">
        <v>13</v>
      </c>
      <c r="AF158" s="729">
        <v>8</v>
      </c>
      <c r="AG158" s="729">
        <v>110</v>
      </c>
      <c r="AH158" s="4681">
        <f>+(AG154-AE154+AG157)/AG158</f>
        <v>0.27272727272727271</v>
      </c>
      <c r="AJ158" s="161"/>
      <c r="AK158" s="161"/>
      <c r="AL158" s="73"/>
      <c r="AM158" s="73" t="s">
        <v>1286</v>
      </c>
      <c r="AN158" s="2600"/>
      <c r="AO158" s="2600">
        <v>2</v>
      </c>
      <c r="AP158" s="2600">
        <v>0</v>
      </c>
      <c r="AQ158" s="2600">
        <v>1</v>
      </c>
      <c r="AR158" s="2600"/>
      <c r="AS158" s="2600">
        <v>0</v>
      </c>
      <c r="AT158" s="2600">
        <v>0</v>
      </c>
      <c r="AU158" s="2600">
        <v>0</v>
      </c>
      <c r="AV158" s="2600">
        <v>0</v>
      </c>
      <c r="AW158" s="161"/>
      <c r="AX158" s="161"/>
      <c r="AY158" s="161">
        <v>3</v>
      </c>
      <c r="AZ158" s="161"/>
      <c r="BB158" s="2191"/>
      <c r="BC158" s="2191"/>
      <c r="BD158" s="2192"/>
      <c r="BE158" s="2193" t="s">
        <v>1286</v>
      </c>
      <c r="BF158" s="2195">
        <v>1</v>
      </c>
      <c r="BG158" s="2195">
        <v>4</v>
      </c>
      <c r="BH158" s="2195">
        <v>0</v>
      </c>
      <c r="BI158" s="2195">
        <v>1</v>
      </c>
      <c r="BJ158" s="2194"/>
      <c r="BK158" s="2195">
        <v>0</v>
      </c>
      <c r="BL158" s="2195">
        <v>0</v>
      </c>
      <c r="BM158" s="2194"/>
      <c r="BN158" s="963"/>
      <c r="BO158" s="964">
        <v>0</v>
      </c>
      <c r="BP158" s="964">
        <v>6</v>
      </c>
      <c r="BQ158" s="73"/>
      <c r="BS158" s="879"/>
      <c r="BT158" s="879"/>
      <c r="BU158" s="880"/>
      <c r="BV158" s="881" t="s">
        <v>1398</v>
      </c>
      <c r="BW158" s="883">
        <v>0</v>
      </c>
      <c r="BX158" s="882"/>
      <c r="BY158" s="882"/>
      <c r="BZ158" s="882"/>
      <c r="CA158" s="882"/>
      <c r="CB158" s="883">
        <v>2</v>
      </c>
      <c r="CC158" s="883">
        <v>2</v>
      </c>
      <c r="CD158" s="883">
        <v>0</v>
      </c>
      <c r="CE158" s="879"/>
      <c r="CF158" s="879"/>
      <c r="CG158" s="884">
        <v>4</v>
      </c>
      <c r="CH158" s="161"/>
      <c r="CJ158" s="885"/>
      <c r="CK158" s="885"/>
      <c r="CL158" s="885"/>
      <c r="CM158" s="886" t="s">
        <v>1286</v>
      </c>
      <c r="CN158" s="888">
        <v>0</v>
      </c>
      <c r="CO158" s="888">
        <v>0</v>
      </c>
      <c r="CP158" s="888">
        <v>1</v>
      </c>
      <c r="CQ158" s="888">
        <v>2</v>
      </c>
      <c r="CR158" s="887"/>
      <c r="CS158" s="888">
        <v>0</v>
      </c>
      <c r="CT158" s="888">
        <v>0</v>
      </c>
      <c r="CU158" s="888">
        <v>0</v>
      </c>
      <c r="CV158" s="888">
        <v>0</v>
      </c>
      <c r="CW158" s="890">
        <v>0</v>
      </c>
      <c r="CX158" s="890">
        <v>0</v>
      </c>
      <c r="CY158" s="890">
        <v>3</v>
      </c>
      <c r="CZ158" s="891"/>
      <c r="DB158" s="892"/>
      <c r="DC158" s="892"/>
      <c r="DD158" s="892" t="s">
        <v>463</v>
      </c>
      <c r="DE158" s="893" t="s">
        <v>1284</v>
      </c>
      <c r="DF158" s="894"/>
      <c r="DG158" s="894"/>
      <c r="DH158" s="895">
        <v>1</v>
      </c>
      <c r="DI158" s="894"/>
      <c r="DJ158" s="894"/>
      <c r="DK158" s="895">
        <v>5</v>
      </c>
      <c r="DL158" s="894"/>
      <c r="DM158" s="894"/>
      <c r="DN158" s="894"/>
      <c r="DO158" s="894"/>
      <c r="DP158" s="895">
        <v>6</v>
      </c>
      <c r="DQ158" s="792"/>
      <c r="DS158" s="121"/>
      <c r="EI158" s="74"/>
      <c r="EJ158" s="793"/>
      <c r="EK158" s="793"/>
      <c r="EL158" s="793"/>
      <c r="EM158" s="793" t="s">
        <v>1293</v>
      </c>
      <c r="EN158" s="793">
        <v>0</v>
      </c>
      <c r="EO158" s="793">
        <v>0</v>
      </c>
      <c r="EP158" s="793">
        <v>0</v>
      </c>
      <c r="EQ158" s="793">
        <v>0</v>
      </c>
      <c r="ER158" s="793">
        <v>0</v>
      </c>
      <c r="ES158" s="793">
        <v>1</v>
      </c>
      <c r="ET158" s="793">
        <v>3</v>
      </c>
      <c r="EU158" s="793">
        <v>0</v>
      </c>
      <c r="EV158" s="793">
        <v>0</v>
      </c>
      <c r="EW158" s="793">
        <v>0</v>
      </c>
      <c r="EX158" s="793">
        <v>0</v>
      </c>
      <c r="EY158" s="794">
        <v>4</v>
      </c>
      <c r="EZ158" s="896"/>
      <c r="FA158" s="795"/>
    </row>
    <row r="159" spans="1:157">
      <c r="A159" s="73"/>
      <c r="B159" s="73"/>
      <c r="C159" s="73" t="s">
        <v>129</v>
      </c>
      <c r="D159" s="73" t="s">
        <v>1284</v>
      </c>
      <c r="E159" s="3261">
        <v>0</v>
      </c>
      <c r="F159" s="3261"/>
      <c r="G159" s="3261">
        <v>0</v>
      </c>
      <c r="H159" s="3261"/>
      <c r="I159" s="3261"/>
      <c r="J159" s="3261">
        <v>1</v>
      </c>
      <c r="K159" s="3261"/>
      <c r="L159" s="3261"/>
      <c r="M159" s="161"/>
      <c r="N159" s="161"/>
      <c r="O159" s="161">
        <v>1</v>
      </c>
      <c r="P159" s="73"/>
      <c r="R159" s="74"/>
      <c r="S159" s="74" t="s">
        <v>16</v>
      </c>
      <c r="T159" s="74" t="s">
        <v>108</v>
      </c>
      <c r="U159" s="74" t="s">
        <v>1288</v>
      </c>
      <c r="V159" s="3229"/>
      <c r="W159" s="3229"/>
      <c r="X159" s="3229"/>
      <c r="Y159" s="3229">
        <v>0</v>
      </c>
      <c r="Z159" s="3229">
        <v>2</v>
      </c>
      <c r="AA159" s="3229"/>
      <c r="AB159" s="3229"/>
      <c r="AC159" s="3229"/>
      <c r="AD159" s="3229"/>
      <c r="AE159" s="121"/>
      <c r="AF159" s="121"/>
      <c r="AG159" s="121">
        <v>2</v>
      </c>
      <c r="AJ159" s="161"/>
      <c r="AK159" s="161"/>
      <c r="AL159" s="73"/>
      <c r="AM159" s="73" t="s">
        <v>1288</v>
      </c>
      <c r="AN159" s="2600"/>
      <c r="AO159" s="2600">
        <v>0</v>
      </c>
      <c r="AP159" s="2600">
        <v>0</v>
      </c>
      <c r="AQ159" s="2600">
        <v>0</v>
      </c>
      <c r="AR159" s="2600"/>
      <c r="AS159" s="2600">
        <v>0</v>
      </c>
      <c r="AT159" s="2600">
        <v>11</v>
      </c>
      <c r="AU159" s="2600">
        <v>19</v>
      </c>
      <c r="AV159" s="2600">
        <v>0</v>
      </c>
      <c r="AW159" s="161"/>
      <c r="AX159" s="161"/>
      <c r="AY159" s="161">
        <v>30</v>
      </c>
      <c r="AZ159" s="161"/>
      <c r="BB159" s="2191"/>
      <c r="BC159" s="2191"/>
      <c r="BD159" s="2192"/>
      <c r="BE159" s="2193" t="s">
        <v>1288</v>
      </c>
      <c r="BF159" s="2195">
        <v>0</v>
      </c>
      <c r="BG159" s="2195">
        <v>0</v>
      </c>
      <c r="BH159" s="2195">
        <v>0</v>
      </c>
      <c r="BI159" s="2195">
        <v>0</v>
      </c>
      <c r="BJ159" s="2194"/>
      <c r="BK159" s="2195">
        <v>3</v>
      </c>
      <c r="BL159" s="2195">
        <v>0</v>
      </c>
      <c r="BM159" s="2194"/>
      <c r="BN159" s="963"/>
      <c r="BO159" s="964">
        <v>0</v>
      </c>
      <c r="BP159" s="964">
        <v>3</v>
      </c>
      <c r="BQ159" s="73"/>
      <c r="BS159" s="879"/>
      <c r="BT159" s="879"/>
      <c r="BU159" s="880"/>
      <c r="BV159" s="907" t="s">
        <v>15</v>
      </c>
      <c r="BW159" s="909">
        <v>1</v>
      </c>
      <c r="BX159" s="908"/>
      <c r="BY159" s="908"/>
      <c r="BZ159" s="908"/>
      <c r="CA159" s="908"/>
      <c r="CB159" s="909">
        <v>3</v>
      </c>
      <c r="CC159" s="909">
        <v>12</v>
      </c>
      <c r="CD159" s="909">
        <v>3</v>
      </c>
      <c r="CE159" s="910"/>
      <c r="CF159" s="910"/>
      <c r="CG159" s="911">
        <v>19</v>
      </c>
      <c r="CH159" s="912">
        <f>+(CG156+CG158)/CG159</f>
        <v>0.57894736842105265</v>
      </c>
      <c r="CJ159" s="885"/>
      <c r="CK159" s="885"/>
      <c r="CL159" s="885"/>
      <c r="CM159" s="886" t="s">
        <v>1288</v>
      </c>
      <c r="CN159" s="888">
        <v>0</v>
      </c>
      <c r="CO159" s="888">
        <v>0</v>
      </c>
      <c r="CP159" s="888">
        <v>0</v>
      </c>
      <c r="CQ159" s="888">
        <v>0</v>
      </c>
      <c r="CR159" s="887"/>
      <c r="CS159" s="888">
        <v>0</v>
      </c>
      <c r="CT159" s="888">
        <v>7</v>
      </c>
      <c r="CU159" s="888">
        <v>33</v>
      </c>
      <c r="CV159" s="888">
        <v>6</v>
      </c>
      <c r="CW159" s="890">
        <v>3</v>
      </c>
      <c r="CX159" s="890">
        <v>1</v>
      </c>
      <c r="CY159" s="890">
        <v>50</v>
      </c>
      <c r="CZ159" s="891"/>
      <c r="DB159" s="892"/>
      <c r="DC159" s="892"/>
      <c r="DD159" s="892"/>
      <c r="DE159" s="902" t="s">
        <v>15</v>
      </c>
      <c r="DF159" s="903"/>
      <c r="DG159" s="903"/>
      <c r="DH159" s="904">
        <v>1</v>
      </c>
      <c r="DI159" s="903"/>
      <c r="DJ159" s="903"/>
      <c r="DK159" s="904">
        <v>5</v>
      </c>
      <c r="DL159" s="903"/>
      <c r="DM159" s="903"/>
      <c r="DN159" s="903"/>
      <c r="DO159" s="903"/>
      <c r="DP159" s="904">
        <v>6</v>
      </c>
      <c r="DQ159" s="905">
        <v>0</v>
      </c>
      <c r="DS159" s="121"/>
      <c r="EI159" s="74"/>
      <c r="EJ159" s="793"/>
      <c r="EK159" s="793"/>
      <c r="EL159" s="793"/>
      <c r="EM159" s="793" t="s">
        <v>1398</v>
      </c>
      <c r="EN159" s="793">
        <v>0</v>
      </c>
      <c r="EO159" s="793">
        <v>0</v>
      </c>
      <c r="EP159" s="793">
        <v>0</v>
      </c>
      <c r="EQ159" s="793">
        <v>0</v>
      </c>
      <c r="ER159" s="793">
        <v>0</v>
      </c>
      <c r="ES159" s="793">
        <v>3</v>
      </c>
      <c r="ET159" s="793">
        <v>0</v>
      </c>
      <c r="EU159" s="793">
        <v>0</v>
      </c>
      <c r="EV159" s="793">
        <v>0</v>
      </c>
      <c r="EW159" s="793">
        <v>0</v>
      </c>
      <c r="EX159" s="793">
        <v>0</v>
      </c>
      <c r="EY159" s="794">
        <v>3</v>
      </c>
      <c r="EZ159" s="896"/>
      <c r="FA159" s="795"/>
    </row>
    <row r="160" spans="1:157">
      <c r="A160" s="73"/>
      <c r="B160" s="73"/>
      <c r="C160" s="73"/>
      <c r="D160" s="73" t="s">
        <v>1289</v>
      </c>
      <c r="E160" s="3261">
        <v>1</v>
      </c>
      <c r="F160" s="3261"/>
      <c r="G160" s="3261">
        <v>1</v>
      </c>
      <c r="H160" s="3261"/>
      <c r="I160" s="3261"/>
      <c r="J160" s="3261">
        <v>0</v>
      </c>
      <c r="K160" s="3261"/>
      <c r="L160" s="3261"/>
      <c r="M160" s="161"/>
      <c r="N160" s="161"/>
      <c r="O160" s="161">
        <v>2</v>
      </c>
      <c r="P160" s="73"/>
      <c r="R160" s="74"/>
      <c r="S160" s="74"/>
      <c r="T160" s="74"/>
      <c r="U160" s="74" t="s">
        <v>1289</v>
      </c>
      <c r="V160" s="3229"/>
      <c r="W160" s="3229"/>
      <c r="X160" s="3229"/>
      <c r="Y160" s="3229">
        <v>0</v>
      </c>
      <c r="Z160" s="3229">
        <v>1</v>
      </c>
      <c r="AA160" s="3229"/>
      <c r="AB160" s="3229"/>
      <c r="AC160" s="3229"/>
      <c r="AD160" s="3229"/>
      <c r="AE160" s="121"/>
      <c r="AF160" s="121"/>
      <c r="AG160" s="121">
        <v>1</v>
      </c>
      <c r="AJ160" s="161"/>
      <c r="AK160" s="161"/>
      <c r="AL160" s="73"/>
      <c r="AM160" s="73" t="s">
        <v>1289</v>
      </c>
      <c r="AN160" s="2600"/>
      <c r="AO160" s="2600">
        <v>3</v>
      </c>
      <c r="AP160" s="2600">
        <v>1</v>
      </c>
      <c r="AQ160" s="2600">
        <v>2</v>
      </c>
      <c r="AR160" s="2600"/>
      <c r="AS160" s="2600">
        <v>2</v>
      </c>
      <c r="AT160" s="2600">
        <v>0</v>
      </c>
      <c r="AU160" s="2600">
        <v>0</v>
      </c>
      <c r="AV160" s="2600">
        <v>0</v>
      </c>
      <c r="AW160" s="161"/>
      <c r="AX160" s="161"/>
      <c r="AY160" s="161">
        <v>8</v>
      </c>
      <c r="AZ160" s="161"/>
      <c r="BB160" s="2191"/>
      <c r="BC160" s="2191"/>
      <c r="BD160" s="2192"/>
      <c r="BE160" s="2193" t="s">
        <v>1289</v>
      </c>
      <c r="BF160" s="2195">
        <v>0</v>
      </c>
      <c r="BG160" s="2195">
        <v>0</v>
      </c>
      <c r="BH160" s="2195">
        <v>1</v>
      </c>
      <c r="BI160" s="2195">
        <v>0</v>
      </c>
      <c r="BJ160" s="2194"/>
      <c r="BK160" s="2195">
        <v>0</v>
      </c>
      <c r="BL160" s="2195">
        <v>1</v>
      </c>
      <c r="BM160" s="2194"/>
      <c r="BN160" s="963"/>
      <c r="BO160" s="964">
        <v>0</v>
      </c>
      <c r="BP160" s="964">
        <v>2</v>
      </c>
      <c r="BQ160" s="73"/>
      <c r="BS160" s="879"/>
      <c r="BT160" s="879"/>
      <c r="BU160" s="880" t="s">
        <v>132</v>
      </c>
      <c r="BV160" s="881" t="s">
        <v>1284</v>
      </c>
      <c r="BW160" s="882"/>
      <c r="BX160" s="882"/>
      <c r="BY160" s="882"/>
      <c r="BZ160" s="882"/>
      <c r="CA160" s="882"/>
      <c r="CB160" s="883">
        <v>3</v>
      </c>
      <c r="CC160" s="883">
        <v>1</v>
      </c>
      <c r="CD160" s="883">
        <v>0</v>
      </c>
      <c r="CE160" s="879"/>
      <c r="CF160" s="879"/>
      <c r="CG160" s="884">
        <v>4</v>
      </c>
      <c r="CH160" s="161"/>
      <c r="CJ160" s="885"/>
      <c r="CK160" s="885"/>
      <c r="CL160" s="885"/>
      <c r="CM160" s="886" t="s">
        <v>1289</v>
      </c>
      <c r="CN160" s="888">
        <v>0</v>
      </c>
      <c r="CO160" s="888">
        <v>0</v>
      </c>
      <c r="CP160" s="888">
        <v>1</v>
      </c>
      <c r="CQ160" s="888">
        <v>2</v>
      </c>
      <c r="CR160" s="887"/>
      <c r="CS160" s="888">
        <v>0</v>
      </c>
      <c r="CT160" s="888">
        <v>0</v>
      </c>
      <c r="CU160" s="888">
        <v>0</v>
      </c>
      <c r="CV160" s="888">
        <v>0</v>
      </c>
      <c r="CW160" s="890">
        <v>0</v>
      </c>
      <c r="CX160" s="890">
        <v>0</v>
      </c>
      <c r="CY160" s="890">
        <v>3</v>
      </c>
      <c r="CZ160" s="891"/>
      <c r="DB160" s="892"/>
      <c r="DC160" s="892"/>
      <c r="DD160" s="892" t="s">
        <v>142</v>
      </c>
      <c r="DE160" s="893" t="s">
        <v>1284</v>
      </c>
      <c r="DF160" s="894"/>
      <c r="DG160" s="894"/>
      <c r="DH160" s="894"/>
      <c r="DI160" s="894"/>
      <c r="DJ160" s="894"/>
      <c r="DK160" s="895">
        <v>3</v>
      </c>
      <c r="DL160" s="895">
        <v>0</v>
      </c>
      <c r="DM160" s="895">
        <v>1</v>
      </c>
      <c r="DN160" s="894"/>
      <c r="DO160" s="895">
        <v>0</v>
      </c>
      <c r="DP160" s="895">
        <v>4</v>
      </c>
      <c r="DQ160" s="792"/>
      <c r="DS160" s="121"/>
      <c r="EI160" s="74"/>
      <c r="EJ160" s="793"/>
      <c r="EK160" s="793"/>
      <c r="EL160" s="793"/>
      <c r="EM160" s="796" t="s">
        <v>15</v>
      </c>
      <c r="EN160" s="796">
        <v>0</v>
      </c>
      <c r="EO160" s="796">
        <v>0</v>
      </c>
      <c r="EP160" s="796">
        <v>0</v>
      </c>
      <c r="EQ160" s="796">
        <v>0</v>
      </c>
      <c r="ER160" s="796">
        <v>0</v>
      </c>
      <c r="ES160" s="796">
        <v>4</v>
      </c>
      <c r="ET160" s="796">
        <v>6</v>
      </c>
      <c r="EU160" s="796">
        <v>0</v>
      </c>
      <c r="EV160" s="796">
        <v>0</v>
      </c>
      <c r="EW160" s="796">
        <v>0</v>
      </c>
      <c r="EX160" s="796">
        <v>0</v>
      </c>
      <c r="EY160" s="856">
        <v>10</v>
      </c>
      <c r="EZ160" s="906">
        <f>+(EY159+EY158)/EY160</f>
        <v>0.7</v>
      </c>
      <c r="FA160" s="795">
        <f>+EY158+EY159</f>
        <v>7</v>
      </c>
    </row>
    <row r="161" spans="1:157">
      <c r="A161" s="73"/>
      <c r="B161" s="73"/>
      <c r="C161" s="73"/>
      <c r="D161" s="73" t="s">
        <v>1398</v>
      </c>
      <c r="E161" s="3261">
        <v>0</v>
      </c>
      <c r="F161" s="3261"/>
      <c r="G161" s="3261">
        <v>0</v>
      </c>
      <c r="H161" s="3261"/>
      <c r="I161" s="3261"/>
      <c r="J161" s="3261">
        <v>1</v>
      </c>
      <c r="K161" s="3261"/>
      <c r="L161" s="3261"/>
      <c r="M161" s="161"/>
      <c r="N161" s="161"/>
      <c r="O161" s="161">
        <v>1</v>
      </c>
      <c r="P161" s="73"/>
      <c r="R161" s="74"/>
      <c r="S161" s="74"/>
      <c r="T161" s="74"/>
      <c r="U161" s="74" t="s">
        <v>1398</v>
      </c>
      <c r="V161" s="3229"/>
      <c r="W161" s="3229"/>
      <c r="X161" s="3229"/>
      <c r="Y161" s="3229">
        <v>10</v>
      </c>
      <c r="Z161" s="3229">
        <v>2</v>
      </c>
      <c r="AA161" s="3229"/>
      <c r="AB161" s="3229"/>
      <c r="AC161" s="3229"/>
      <c r="AD161" s="3229"/>
      <c r="AE161" s="121"/>
      <c r="AF161" s="121"/>
      <c r="AG161" s="121">
        <v>12</v>
      </c>
      <c r="AJ161" s="161"/>
      <c r="AK161" s="161"/>
      <c r="AL161" s="73"/>
      <c r="AM161" s="73" t="s">
        <v>1292</v>
      </c>
      <c r="AN161" s="2600"/>
      <c r="AO161" s="2600">
        <v>0</v>
      </c>
      <c r="AP161" s="2600">
        <v>0</v>
      </c>
      <c r="AQ161" s="2600">
        <v>0</v>
      </c>
      <c r="AR161" s="2600"/>
      <c r="AS161" s="2600">
        <v>0</v>
      </c>
      <c r="AT161" s="2600">
        <v>0</v>
      </c>
      <c r="AU161" s="2600">
        <v>0</v>
      </c>
      <c r="AV161" s="2600">
        <v>6</v>
      </c>
      <c r="AW161" s="161"/>
      <c r="AX161" s="161"/>
      <c r="AY161" s="161">
        <v>6</v>
      </c>
      <c r="AZ161" s="161"/>
      <c r="BB161" s="2191"/>
      <c r="BC161" s="2191"/>
      <c r="BD161" s="2192"/>
      <c r="BE161" s="2193" t="s">
        <v>1293</v>
      </c>
      <c r="BF161" s="2195">
        <v>0</v>
      </c>
      <c r="BG161" s="2195">
        <v>0</v>
      </c>
      <c r="BH161" s="2195">
        <v>0</v>
      </c>
      <c r="BI161" s="2195">
        <v>0</v>
      </c>
      <c r="BJ161" s="2194"/>
      <c r="BK161" s="2195">
        <v>11</v>
      </c>
      <c r="BL161" s="2195">
        <v>0</v>
      </c>
      <c r="BM161" s="2194"/>
      <c r="BN161" s="963"/>
      <c r="BO161" s="964">
        <v>1</v>
      </c>
      <c r="BP161" s="964">
        <v>12</v>
      </c>
      <c r="BQ161" s="73"/>
      <c r="BS161" s="879"/>
      <c r="BT161" s="879"/>
      <c r="BU161" s="880"/>
      <c r="BV161" s="881" t="s">
        <v>1292</v>
      </c>
      <c r="BW161" s="882"/>
      <c r="BX161" s="882"/>
      <c r="BY161" s="882"/>
      <c r="BZ161" s="882"/>
      <c r="CA161" s="882"/>
      <c r="CB161" s="883">
        <v>0</v>
      </c>
      <c r="CC161" s="883">
        <v>0</v>
      </c>
      <c r="CD161" s="883">
        <v>7</v>
      </c>
      <c r="CE161" s="879"/>
      <c r="CF161" s="879"/>
      <c r="CG161" s="884">
        <v>7</v>
      </c>
      <c r="CH161" s="161"/>
      <c r="CJ161" s="885"/>
      <c r="CK161" s="885"/>
      <c r="CL161" s="885"/>
      <c r="CM161" s="886" t="s">
        <v>1292</v>
      </c>
      <c r="CN161" s="888">
        <v>0</v>
      </c>
      <c r="CO161" s="888">
        <v>0</v>
      </c>
      <c r="CP161" s="888">
        <v>0</v>
      </c>
      <c r="CQ161" s="888">
        <v>0</v>
      </c>
      <c r="CR161" s="887"/>
      <c r="CS161" s="888">
        <v>0</v>
      </c>
      <c r="CT161" s="888">
        <v>0</v>
      </c>
      <c r="CU161" s="888">
        <v>0</v>
      </c>
      <c r="CV161" s="888">
        <v>70</v>
      </c>
      <c r="CW161" s="890">
        <v>7</v>
      </c>
      <c r="CX161" s="890">
        <v>3</v>
      </c>
      <c r="CY161" s="890">
        <v>80</v>
      </c>
      <c r="CZ161" s="891"/>
      <c r="DB161" s="892"/>
      <c r="DC161" s="892"/>
      <c r="DD161" s="892"/>
      <c r="DE161" s="893" t="s">
        <v>1288</v>
      </c>
      <c r="DF161" s="894"/>
      <c r="DG161" s="894"/>
      <c r="DH161" s="894"/>
      <c r="DI161" s="894"/>
      <c r="DJ161" s="894"/>
      <c r="DK161" s="895">
        <v>0</v>
      </c>
      <c r="DL161" s="895">
        <v>0</v>
      </c>
      <c r="DM161" s="895">
        <v>1</v>
      </c>
      <c r="DN161" s="894"/>
      <c r="DO161" s="895">
        <v>0</v>
      </c>
      <c r="DP161" s="895">
        <v>1</v>
      </c>
      <c r="DQ161" s="792"/>
      <c r="DS161" s="121"/>
      <c r="EI161" s="74"/>
      <c r="EJ161" s="793"/>
      <c r="EK161" s="793"/>
      <c r="EL161" s="793" t="s">
        <v>142</v>
      </c>
      <c r="EM161" s="793" t="s">
        <v>1283</v>
      </c>
      <c r="EN161" s="793">
        <v>0</v>
      </c>
      <c r="EO161" s="793">
        <v>0</v>
      </c>
      <c r="EP161" s="793">
        <v>0</v>
      </c>
      <c r="EQ161" s="793">
        <v>0</v>
      </c>
      <c r="ER161" s="793">
        <v>0</v>
      </c>
      <c r="ES161" s="793">
        <v>0</v>
      </c>
      <c r="ET161" s="793">
        <v>0</v>
      </c>
      <c r="EU161" s="793">
        <v>1</v>
      </c>
      <c r="EV161" s="793">
        <v>0</v>
      </c>
      <c r="EW161" s="793">
        <v>0</v>
      </c>
      <c r="EX161" s="793">
        <v>0</v>
      </c>
      <c r="EY161" s="794">
        <v>1</v>
      </c>
      <c r="EZ161" s="896"/>
      <c r="FA161" s="795"/>
    </row>
    <row r="162" spans="1:157">
      <c r="A162" s="73"/>
      <c r="B162" s="73"/>
      <c r="C162" s="73"/>
      <c r="D162" s="738" t="s">
        <v>15</v>
      </c>
      <c r="E162" s="3262">
        <v>1</v>
      </c>
      <c r="F162" s="3262"/>
      <c r="G162" s="3262">
        <v>1</v>
      </c>
      <c r="H162" s="3262"/>
      <c r="I162" s="3262"/>
      <c r="J162" s="3262">
        <v>2</v>
      </c>
      <c r="K162" s="3262"/>
      <c r="L162" s="3262"/>
      <c r="M162" s="4674"/>
      <c r="N162" s="4674"/>
      <c r="O162" s="4674">
        <v>4</v>
      </c>
      <c r="P162" s="912">
        <f>+O161/O162</f>
        <v>0.25</v>
      </c>
      <c r="Q162" s="3197"/>
      <c r="R162" s="74"/>
      <c r="S162" s="74"/>
      <c r="T162" s="74"/>
      <c r="U162" s="761" t="s">
        <v>15</v>
      </c>
      <c r="V162" s="3230"/>
      <c r="W162" s="3230"/>
      <c r="X162" s="3230"/>
      <c r="Y162" s="3230">
        <v>10</v>
      </c>
      <c r="Z162" s="3230">
        <v>5</v>
      </c>
      <c r="AA162" s="3230"/>
      <c r="AB162" s="3230"/>
      <c r="AC162" s="3230"/>
      <c r="AD162" s="3230"/>
      <c r="AE162" s="729"/>
      <c r="AF162" s="729"/>
      <c r="AG162" s="729">
        <v>15</v>
      </c>
      <c r="AH162" s="4681">
        <f>+(AG159+AG161)/AG162</f>
        <v>0.93333333333333335</v>
      </c>
      <c r="AJ162" s="161"/>
      <c r="AK162" s="161"/>
      <c r="AL162" s="73"/>
      <c r="AM162" s="73" t="s">
        <v>1398</v>
      </c>
      <c r="AN162" s="2600"/>
      <c r="AO162" s="2600">
        <v>0</v>
      </c>
      <c r="AP162" s="2600">
        <v>0</v>
      </c>
      <c r="AQ162" s="2600">
        <v>0</v>
      </c>
      <c r="AR162" s="2600"/>
      <c r="AS162" s="2600">
        <v>0</v>
      </c>
      <c r="AT162" s="2600">
        <v>29</v>
      </c>
      <c r="AU162" s="2600">
        <v>8</v>
      </c>
      <c r="AV162" s="2600">
        <v>1</v>
      </c>
      <c r="AW162" s="161"/>
      <c r="AX162" s="161"/>
      <c r="AY162" s="161">
        <v>38</v>
      </c>
      <c r="AZ162" s="161"/>
      <c r="BB162" s="2191"/>
      <c r="BC162" s="2191"/>
      <c r="BD162" s="2192"/>
      <c r="BE162" s="2193" t="s">
        <v>1398</v>
      </c>
      <c r="BF162" s="2195">
        <v>0</v>
      </c>
      <c r="BG162" s="2195">
        <v>0</v>
      </c>
      <c r="BH162" s="2195">
        <v>0</v>
      </c>
      <c r="BI162" s="2195">
        <v>0</v>
      </c>
      <c r="BJ162" s="2194"/>
      <c r="BK162" s="2195">
        <v>2</v>
      </c>
      <c r="BL162" s="2195">
        <v>0</v>
      </c>
      <c r="BM162" s="2194"/>
      <c r="BN162" s="963"/>
      <c r="BO162" s="964">
        <v>0</v>
      </c>
      <c r="BP162" s="964">
        <v>2</v>
      </c>
      <c r="BQ162" s="73"/>
      <c r="BS162" s="879"/>
      <c r="BT162" s="879"/>
      <c r="BU162" s="880"/>
      <c r="BV162" s="907" t="s">
        <v>15</v>
      </c>
      <c r="BW162" s="908"/>
      <c r="BX162" s="908"/>
      <c r="BY162" s="908"/>
      <c r="BZ162" s="908"/>
      <c r="CA162" s="908"/>
      <c r="CB162" s="909">
        <v>3</v>
      </c>
      <c r="CC162" s="909">
        <v>1</v>
      </c>
      <c r="CD162" s="909">
        <v>7</v>
      </c>
      <c r="CE162" s="910"/>
      <c r="CF162" s="910"/>
      <c r="CG162" s="911">
        <v>11</v>
      </c>
      <c r="CH162" s="912">
        <v>0</v>
      </c>
      <c r="CJ162" s="885"/>
      <c r="CK162" s="885"/>
      <c r="CL162" s="885"/>
      <c r="CM162" s="886" t="s">
        <v>1293</v>
      </c>
      <c r="CN162" s="888">
        <v>0</v>
      </c>
      <c r="CO162" s="888">
        <v>0</v>
      </c>
      <c r="CP162" s="888">
        <v>0</v>
      </c>
      <c r="CQ162" s="888">
        <v>0</v>
      </c>
      <c r="CR162" s="887"/>
      <c r="CS162" s="888">
        <v>0</v>
      </c>
      <c r="CT162" s="888">
        <v>0</v>
      </c>
      <c r="CU162" s="888">
        <v>0</v>
      </c>
      <c r="CV162" s="888">
        <v>2</v>
      </c>
      <c r="CW162" s="890">
        <v>1</v>
      </c>
      <c r="CX162" s="890">
        <v>1</v>
      </c>
      <c r="CY162" s="890">
        <v>4</v>
      </c>
      <c r="CZ162" s="891"/>
      <c r="DB162" s="892"/>
      <c r="DC162" s="892"/>
      <c r="DD162" s="892"/>
      <c r="DE162" s="893" t="s">
        <v>1292</v>
      </c>
      <c r="DF162" s="894"/>
      <c r="DG162" s="894"/>
      <c r="DH162" s="894"/>
      <c r="DI162" s="894"/>
      <c r="DJ162" s="894"/>
      <c r="DK162" s="895">
        <v>0</v>
      </c>
      <c r="DL162" s="895">
        <v>0</v>
      </c>
      <c r="DM162" s="895">
        <v>1</v>
      </c>
      <c r="DN162" s="894"/>
      <c r="DO162" s="895">
        <v>1</v>
      </c>
      <c r="DP162" s="895">
        <v>2</v>
      </c>
      <c r="DQ162" s="792"/>
      <c r="DS162" s="121"/>
      <c r="EI162" s="74"/>
      <c r="EJ162" s="793"/>
      <c r="EK162" s="793"/>
      <c r="EL162" s="793"/>
      <c r="EM162" s="793" t="s">
        <v>1284</v>
      </c>
      <c r="EN162" s="793">
        <v>0</v>
      </c>
      <c r="EO162" s="793">
        <v>0</v>
      </c>
      <c r="EP162" s="793">
        <v>0</v>
      </c>
      <c r="EQ162" s="793">
        <v>0</v>
      </c>
      <c r="ER162" s="793">
        <v>0</v>
      </c>
      <c r="ES162" s="793">
        <v>0</v>
      </c>
      <c r="ET162" s="793">
        <v>4</v>
      </c>
      <c r="EU162" s="793">
        <v>3</v>
      </c>
      <c r="EV162" s="793">
        <v>0</v>
      </c>
      <c r="EW162" s="793">
        <v>0</v>
      </c>
      <c r="EX162" s="793">
        <v>0</v>
      </c>
      <c r="EY162" s="794">
        <v>7</v>
      </c>
      <c r="EZ162" s="896"/>
      <c r="FA162" s="795"/>
    </row>
    <row r="163" spans="1:157">
      <c r="A163" s="73"/>
      <c r="B163" s="73"/>
      <c r="C163" s="738" t="s">
        <v>573</v>
      </c>
      <c r="D163" s="738" t="s">
        <v>1283</v>
      </c>
      <c r="E163" s="3262">
        <v>0</v>
      </c>
      <c r="F163" s="3262"/>
      <c r="G163" s="3262">
        <v>0</v>
      </c>
      <c r="H163" s="3262">
        <v>0</v>
      </c>
      <c r="I163" s="3262">
        <v>0</v>
      </c>
      <c r="J163" s="3262">
        <v>0</v>
      </c>
      <c r="K163" s="3262">
        <v>0</v>
      </c>
      <c r="L163" s="3262">
        <v>6</v>
      </c>
      <c r="M163" s="4674"/>
      <c r="N163" s="4674"/>
      <c r="O163" s="4674">
        <v>6</v>
      </c>
      <c r="P163" s="73"/>
      <c r="R163" s="74"/>
      <c r="S163" s="74"/>
      <c r="T163" s="74" t="s">
        <v>126</v>
      </c>
      <c r="U163" s="74" t="s">
        <v>1284</v>
      </c>
      <c r="V163" s="3229"/>
      <c r="W163" s="3229">
        <v>0</v>
      </c>
      <c r="X163" s="3229">
        <v>0</v>
      </c>
      <c r="Y163" s="3229"/>
      <c r="Z163" s="3229"/>
      <c r="AA163" s="3229"/>
      <c r="AB163" s="3229">
        <v>1</v>
      </c>
      <c r="AC163" s="3229">
        <v>1</v>
      </c>
      <c r="AD163" s="3229">
        <v>0</v>
      </c>
      <c r="AE163" s="121"/>
      <c r="AF163" s="121"/>
      <c r="AG163" s="121">
        <v>2</v>
      </c>
      <c r="AJ163" s="161"/>
      <c r="AK163" s="161"/>
      <c r="AL163" s="73"/>
      <c r="AM163" s="738" t="s">
        <v>573</v>
      </c>
      <c r="AN163" s="2601"/>
      <c r="AO163" s="2601">
        <v>5</v>
      </c>
      <c r="AP163" s="2601">
        <v>1</v>
      </c>
      <c r="AQ163" s="2601">
        <v>3</v>
      </c>
      <c r="AR163" s="2601"/>
      <c r="AS163" s="2601">
        <v>2</v>
      </c>
      <c r="AT163" s="2601">
        <v>58</v>
      </c>
      <c r="AU163" s="2601">
        <v>37</v>
      </c>
      <c r="AV163" s="2601">
        <v>7</v>
      </c>
      <c r="AW163" s="151"/>
      <c r="AX163" s="151"/>
      <c r="AY163" s="151">
        <v>113</v>
      </c>
      <c r="AZ163" s="912">
        <f>+(AY159+AY162)/AY163</f>
        <v>0.60176991150442483</v>
      </c>
      <c r="BB163" s="2191"/>
      <c r="BC163" s="2191"/>
      <c r="BD163" s="2192"/>
      <c r="BE163" s="760" t="s">
        <v>15</v>
      </c>
      <c r="BF163" s="2197">
        <v>1</v>
      </c>
      <c r="BG163" s="2197">
        <v>5</v>
      </c>
      <c r="BH163" s="2197">
        <v>1</v>
      </c>
      <c r="BI163" s="2197">
        <v>1</v>
      </c>
      <c r="BJ163" s="2196"/>
      <c r="BK163" s="2197">
        <v>16</v>
      </c>
      <c r="BL163" s="2197">
        <v>1</v>
      </c>
      <c r="BM163" s="2196"/>
      <c r="BN163" s="972"/>
      <c r="BO163" s="973">
        <v>1</v>
      </c>
      <c r="BP163" s="973">
        <v>26</v>
      </c>
      <c r="BQ163" s="2154">
        <f>+(BP159+BP161-BO161+BP162)/BP163</f>
        <v>0.61538461538461542</v>
      </c>
      <c r="BS163" s="879"/>
      <c r="BT163" s="879"/>
      <c r="BU163" s="880" t="s">
        <v>575</v>
      </c>
      <c r="BV163" s="881" t="s">
        <v>1284</v>
      </c>
      <c r="BW163" s="883">
        <v>1</v>
      </c>
      <c r="BX163" s="882"/>
      <c r="BY163" s="882"/>
      <c r="BZ163" s="882"/>
      <c r="CA163" s="882"/>
      <c r="CB163" s="883">
        <v>4</v>
      </c>
      <c r="CC163" s="883">
        <v>6</v>
      </c>
      <c r="CD163" s="883">
        <v>0</v>
      </c>
      <c r="CE163" s="884">
        <v>1</v>
      </c>
      <c r="CF163" s="879"/>
      <c r="CG163" s="884">
        <v>12</v>
      </c>
      <c r="CH163" s="161"/>
      <c r="CJ163" s="885"/>
      <c r="CK163" s="885"/>
      <c r="CL163" s="885"/>
      <c r="CM163" s="886" t="s">
        <v>1398</v>
      </c>
      <c r="CN163" s="888">
        <v>0</v>
      </c>
      <c r="CO163" s="888">
        <v>0</v>
      </c>
      <c r="CP163" s="888">
        <v>0</v>
      </c>
      <c r="CQ163" s="888">
        <v>0</v>
      </c>
      <c r="CR163" s="887"/>
      <c r="CS163" s="888">
        <v>1</v>
      </c>
      <c r="CT163" s="888">
        <v>10</v>
      </c>
      <c r="CU163" s="888">
        <v>4</v>
      </c>
      <c r="CV163" s="888">
        <v>0</v>
      </c>
      <c r="CW163" s="890">
        <v>0</v>
      </c>
      <c r="CX163" s="890">
        <v>0</v>
      </c>
      <c r="CY163" s="890">
        <v>15</v>
      </c>
      <c r="CZ163" s="891"/>
      <c r="DB163" s="892"/>
      <c r="DC163" s="892"/>
      <c r="DD163" s="892"/>
      <c r="DE163" s="893" t="s">
        <v>1398</v>
      </c>
      <c r="DF163" s="894"/>
      <c r="DG163" s="894"/>
      <c r="DH163" s="894"/>
      <c r="DI163" s="894"/>
      <c r="DJ163" s="894"/>
      <c r="DK163" s="895">
        <v>0</v>
      </c>
      <c r="DL163" s="895">
        <v>2</v>
      </c>
      <c r="DM163" s="895">
        <v>0</v>
      </c>
      <c r="DN163" s="894"/>
      <c r="DO163" s="895">
        <v>0</v>
      </c>
      <c r="DP163" s="895">
        <v>2</v>
      </c>
      <c r="DQ163" s="792"/>
      <c r="DS163" s="121"/>
      <c r="EI163" s="74"/>
      <c r="EJ163" s="793"/>
      <c r="EK163" s="793"/>
      <c r="EL163" s="793"/>
      <c r="EM163" s="793" t="s">
        <v>1288</v>
      </c>
      <c r="EN163" s="793">
        <v>0</v>
      </c>
      <c r="EO163" s="793">
        <v>0</v>
      </c>
      <c r="EP163" s="793">
        <v>0</v>
      </c>
      <c r="EQ163" s="793">
        <v>0</v>
      </c>
      <c r="ER163" s="793">
        <v>0</v>
      </c>
      <c r="ES163" s="793">
        <v>0</v>
      </c>
      <c r="ET163" s="793">
        <v>0</v>
      </c>
      <c r="EU163" s="793">
        <v>1</v>
      </c>
      <c r="EV163" s="793">
        <v>1</v>
      </c>
      <c r="EW163" s="793">
        <v>0</v>
      </c>
      <c r="EX163" s="793">
        <v>0</v>
      </c>
      <c r="EY163" s="794">
        <v>2</v>
      </c>
      <c r="EZ163" s="896"/>
      <c r="FA163" s="795"/>
    </row>
    <row r="164" spans="1:157">
      <c r="A164" s="73"/>
      <c r="B164" s="73"/>
      <c r="C164" s="738"/>
      <c r="D164" s="738" t="s">
        <v>1284</v>
      </c>
      <c r="E164" s="3262">
        <v>1</v>
      </c>
      <c r="F164" s="3262"/>
      <c r="G164" s="3262">
        <v>0</v>
      </c>
      <c r="H164" s="3262">
        <v>0</v>
      </c>
      <c r="I164" s="3262">
        <v>0</v>
      </c>
      <c r="J164" s="3262">
        <v>4</v>
      </c>
      <c r="K164" s="3262">
        <v>11</v>
      </c>
      <c r="L164" s="3262">
        <v>0</v>
      </c>
      <c r="M164" s="4674"/>
      <c r="N164" s="4674"/>
      <c r="O164" s="4674">
        <v>16</v>
      </c>
      <c r="P164" s="73"/>
      <c r="R164" s="74"/>
      <c r="S164" s="74"/>
      <c r="T164" s="74"/>
      <c r="U164" s="74" t="s">
        <v>1288</v>
      </c>
      <c r="V164" s="3229"/>
      <c r="W164" s="3229">
        <v>0</v>
      </c>
      <c r="X164" s="3229">
        <v>0</v>
      </c>
      <c r="Y164" s="3229"/>
      <c r="Z164" s="3229"/>
      <c r="AA164" s="3229"/>
      <c r="AB164" s="3229">
        <v>18</v>
      </c>
      <c r="AC164" s="3229">
        <v>5</v>
      </c>
      <c r="AD164" s="3229">
        <v>0</v>
      </c>
      <c r="AE164" s="121"/>
      <c r="AF164" s="121"/>
      <c r="AG164" s="121">
        <v>23</v>
      </c>
      <c r="AJ164" s="161"/>
      <c r="AK164" s="161" t="s">
        <v>41</v>
      </c>
      <c r="AL164" s="73" t="s">
        <v>462</v>
      </c>
      <c r="AM164" s="73" t="s">
        <v>1283</v>
      </c>
      <c r="AN164" s="2600"/>
      <c r="AO164" s="2600">
        <v>0</v>
      </c>
      <c r="AP164" s="2600"/>
      <c r="AQ164" s="2600"/>
      <c r="AR164" s="2600"/>
      <c r="AS164" s="2600"/>
      <c r="AT164" s="2600">
        <v>0</v>
      </c>
      <c r="AU164" s="2600">
        <v>0</v>
      </c>
      <c r="AV164" s="2600">
        <v>1</v>
      </c>
      <c r="AW164" s="161"/>
      <c r="AX164" s="161"/>
      <c r="AY164" s="161">
        <v>1</v>
      </c>
      <c r="AZ164" s="161"/>
      <c r="BB164" s="2191"/>
      <c r="BC164" s="2191"/>
      <c r="BD164" s="2192" t="s">
        <v>573</v>
      </c>
      <c r="BE164" s="2193" t="s">
        <v>1284</v>
      </c>
      <c r="BF164" s="2195">
        <v>0</v>
      </c>
      <c r="BG164" s="2195">
        <v>1</v>
      </c>
      <c r="BH164" s="2195">
        <v>0</v>
      </c>
      <c r="BI164" s="2195">
        <v>0</v>
      </c>
      <c r="BJ164" s="2194"/>
      <c r="BK164" s="2195">
        <v>0</v>
      </c>
      <c r="BL164" s="2195">
        <v>0</v>
      </c>
      <c r="BM164" s="2194"/>
      <c r="BN164" s="963"/>
      <c r="BO164" s="964">
        <v>0</v>
      </c>
      <c r="BP164" s="964">
        <v>1</v>
      </c>
      <c r="BQ164" s="73"/>
      <c r="BS164" s="879"/>
      <c r="BT164" s="879"/>
      <c r="BU164" s="880"/>
      <c r="BV164" s="881" t="s">
        <v>1288</v>
      </c>
      <c r="BW164" s="883">
        <v>0</v>
      </c>
      <c r="BX164" s="882"/>
      <c r="BY164" s="882"/>
      <c r="BZ164" s="882"/>
      <c r="CA164" s="882"/>
      <c r="CB164" s="883">
        <v>3</v>
      </c>
      <c r="CC164" s="883">
        <v>12</v>
      </c>
      <c r="CD164" s="883">
        <v>3</v>
      </c>
      <c r="CE164" s="884">
        <v>1</v>
      </c>
      <c r="CF164" s="879"/>
      <c r="CG164" s="884">
        <v>19</v>
      </c>
      <c r="CH164" s="161"/>
      <c r="CJ164" s="885"/>
      <c r="CK164" s="885"/>
      <c r="CL164" s="885"/>
      <c r="CM164" s="897" t="s">
        <v>111</v>
      </c>
      <c r="CN164" s="899">
        <v>1</v>
      </c>
      <c r="CO164" s="899">
        <v>3</v>
      </c>
      <c r="CP164" s="899">
        <v>5</v>
      </c>
      <c r="CQ164" s="899">
        <v>6</v>
      </c>
      <c r="CR164" s="898"/>
      <c r="CS164" s="899">
        <v>1</v>
      </c>
      <c r="CT164" s="899">
        <v>21</v>
      </c>
      <c r="CU164" s="899">
        <v>51</v>
      </c>
      <c r="CV164" s="899">
        <v>98</v>
      </c>
      <c r="CW164" s="901">
        <v>14</v>
      </c>
      <c r="CX164" s="901">
        <v>13</v>
      </c>
      <c r="CY164" s="901">
        <v>213</v>
      </c>
      <c r="CZ164" s="891">
        <f>+(CY163+CY162+CY159-CW162-CX162-CW159-CX159)/CY164</f>
        <v>0.29577464788732394</v>
      </c>
      <c r="DB164" s="892"/>
      <c r="DC164" s="892"/>
      <c r="DD164" s="892"/>
      <c r="DE164" s="902" t="s">
        <v>15</v>
      </c>
      <c r="DF164" s="903"/>
      <c r="DG164" s="903"/>
      <c r="DH164" s="903"/>
      <c r="DI164" s="903"/>
      <c r="DJ164" s="903"/>
      <c r="DK164" s="904">
        <v>3</v>
      </c>
      <c r="DL164" s="904">
        <v>2</v>
      </c>
      <c r="DM164" s="904">
        <v>3</v>
      </c>
      <c r="DN164" s="903"/>
      <c r="DO164" s="904">
        <v>1</v>
      </c>
      <c r="DP164" s="904">
        <v>9</v>
      </c>
      <c r="DQ164" s="905">
        <f>+(DP163+DP161)/DP164</f>
        <v>0.33333333333333331</v>
      </c>
      <c r="DS164" s="121"/>
      <c r="EI164" s="74"/>
      <c r="EJ164" s="793"/>
      <c r="EK164" s="793"/>
      <c r="EL164" s="793"/>
      <c r="EM164" s="793" t="s">
        <v>1292</v>
      </c>
      <c r="EN164" s="793">
        <v>0</v>
      </c>
      <c r="EO164" s="793">
        <v>0</v>
      </c>
      <c r="EP164" s="793">
        <v>0</v>
      </c>
      <c r="EQ164" s="793">
        <v>0</v>
      </c>
      <c r="ER164" s="793">
        <v>0</v>
      </c>
      <c r="ES164" s="793">
        <v>0</v>
      </c>
      <c r="ET164" s="793">
        <v>0</v>
      </c>
      <c r="EU164" s="793">
        <v>1</v>
      </c>
      <c r="EV164" s="793">
        <v>4</v>
      </c>
      <c r="EW164" s="793">
        <v>1</v>
      </c>
      <c r="EX164" s="793">
        <v>1</v>
      </c>
      <c r="EY164" s="794">
        <v>7</v>
      </c>
      <c r="EZ164" s="896"/>
      <c r="FA164" s="795"/>
    </row>
    <row r="165" spans="1:157">
      <c r="A165" s="73"/>
      <c r="B165" s="73"/>
      <c r="C165" s="738"/>
      <c r="D165" s="738" t="s">
        <v>1286</v>
      </c>
      <c r="E165" s="3262">
        <v>1</v>
      </c>
      <c r="F165" s="3262"/>
      <c r="G165" s="3262">
        <v>0</v>
      </c>
      <c r="H165" s="3262">
        <v>0</v>
      </c>
      <c r="I165" s="3262">
        <v>0</v>
      </c>
      <c r="J165" s="3262">
        <v>0</v>
      </c>
      <c r="K165" s="3262">
        <v>0</v>
      </c>
      <c r="L165" s="3262">
        <v>0</v>
      </c>
      <c r="M165" s="4674"/>
      <c r="N165" s="4674"/>
      <c r="O165" s="4674">
        <v>1</v>
      </c>
      <c r="P165" s="73"/>
      <c r="R165" s="74"/>
      <c r="S165" s="74"/>
      <c r="T165" s="74"/>
      <c r="U165" s="74" t="s">
        <v>1289</v>
      </c>
      <c r="V165" s="3229"/>
      <c r="W165" s="3229">
        <v>1</v>
      </c>
      <c r="X165" s="3229">
        <v>2</v>
      </c>
      <c r="Y165" s="3229"/>
      <c r="Z165" s="3229"/>
      <c r="AA165" s="3229"/>
      <c r="AB165" s="3229">
        <v>0</v>
      </c>
      <c r="AC165" s="3229">
        <v>0</v>
      </c>
      <c r="AD165" s="3229">
        <v>0</v>
      </c>
      <c r="AE165" s="121"/>
      <c r="AF165" s="121"/>
      <c r="AG165" s="121">
        <v>3</v>
      </c>
      <c r="AJ165" s="161"/>
      <c r="AK165" s="161"/>
      <c r="AL165" s="73"/>
      <c r="AM165" s="73" t="s">
        <v>1284</v>
      </c>
      <c r="AN165" s="2600"/>
      <c r="AO165" s="2600">
        <v>0</v>
      </c>
      <c r="AP165" s="2600"/>
      <c r="AQ165" s="2600"/>
      <c r="AR165" s="2600"/>
      <c r="AS165" s="2600"/>
      <c r="AT165" s="2600">
        <v>0</v>
      </c>
      <c r="AU165" s="2600">
        <v>1</v>
      </c>
      <c r="AV165" s="2600">
        <v>0</v>
      </c>
      <c r="AW165" s="161"/>
      <c r="AX165" s="161"/>
      <c r="AY165" s="161">
        <v>1</v>
      </c>
      <c r="AZ165" s="161"/>
      <c r="BB165" s="2191"/>
      <c r="BC165" s="2191"/>
      <c r="BD165" s="2192"/>
      <c r="BE165" s="2193" t="s">
        <v>1286</v>
      </c>
      <c r="BF165" s="2195">
        <v>1</v>
      </c>
      <c r="BG165" s="2195">
        <v>4</v>
      </c>
      <c r="BH165" s="2195">
        <v>0</v>
      </c>
      <c r="BI165" s="2195">
        <v>1</v>
      </c>
      <c r="BJ165" s="2194"/>
      <c r="BK165" s="2195">
        <v>0</v>
      </c>
      <c r="BL165" s="2195">
        <v>0</v>
      </c>
      <c r="BM165" s="2194"/>
      <c r="BN165" s="963"/>
      <c r="BO165" s="964">
        <v>0</v>
      </c>
      <c r="BP165" s="964">
        <v>6</v>
      </c>
      <c r="BQ165" s="73"/>
      <c r="BS165" s="879"/>
      <c r="BT165" s="879"/>
      <c r="BU165" s="880"/>
      <c r="BV165" s="881" t="s">
        <v>1292</v>
      </c>
      <c r="BW165" s="883">
        <v>0</v>
      </c>
      <c r="BX165" s="882"/>
      <c r="BY165" s="882"/>
      <c r="BZ165" s="882"/>
      <c r="CA165" s="882"/>
      <c r="CB165" s="883">
        <v>0</v>
      </c>
      <c r="CC165" s="883">
        <v>0</v>
      </c>
      <c r="CD165" s="883">
        <v>17</v>
      </c>
      <c r="CE165" s="884">
        <v>0</v>
      </c>
      <c r="CF165" s="879"/>
      <c r="CG165" s="884">
        <v>17</v>
      </c>
      <c r="CH165" s="161"/>
      <c r="CJ165" s="885" t="s">
        <v>48</v>
      </c>
      <c r="CK165" s="885" t="s">
        <v>16</v>
      </c>
      <c r="CL165" s="885" t="s">
        <v>1400</v>
      </c>
      <c r="CM165" s="886" t="s">
        <v>1398</v>
      </c>
      <c r="CN165" s="888">
        <v>1</v>
      </c>
      <c r="CO165" s="887"/>
      <c r="CP165" s="887"/>
      <c r="CQ165" s="887"/>
      <c r="CR165" s="887"/>
      <c r="CS165" s="887"/>
      <c r="CT165" s="887"/>
      <c r="CU165" s="887"/>
      <c r="CV165" s="887"/>
      <c r="CW165" s="889"/>
      <c r="CX165" s="889"/>
      <c r="CY165" s="890">
        <v>1</v>
      </c>
      <c r="CZ165" s="891"/>
      <c r="DB165" s="892"/>
      <c r="DC165" s="892"/>
      <c r="DD165" s="892" t="s">
        <v>143</v>
      </c>
      <c r="DE165" s="893" t="s">
        <v>1284</v>
      </c>
      <c r="DF165" s="894"/>
      <c r="DG165" s="894"/>
      <c r="DH165" s="895">
        <v>0</v>
      </c>
      <c r="DI165" s="894"/>
      <c r="DJ165" s="894"/>
      <c r="DK165" s="895">
        <v>7</v>
      </c>
      <c r="DL165" s="895">
        <v>3</v>
      </c>
      <c r="DM165" s="895">
        <v>0</v>
      </c>
      <c r="DN165" s="894"/>
      <c r="DO165" s="894"/>
      <c r="DP165" s="895">
        <v>10</v>
      </c>
      <c r="DQ165" s="792"/>
      <c r="DS165" s="121"/>
      <c r="EI165" s="74"/>
      <c r="EJ165" s="793"/>
      <c r="EK165" s="793"/>
      <c r="EL165" s="793"/>
      <c r="EM165" s="793" t="s">
        <v>1398</v>
      </c>
      <c r="EN165" s="793">
        <v>0</v>
      </c>
      <c r="EO165" s="793">
        <v>0</v>
      </c>
      <c r="EP165" s="793">
        <v>0</v>
      </c>
      <c r="EQ165" s="793">
        <v>0</v>
      </c>
      <c r="ER165" s="793">
        <v>0</v>
      </c>
      <c r="ES165" s="793">
        <v>0</v>
      </c>
      <c r="ET165" s="793">
        <v>1</v>
      </c>
      <c r="EU165" s="793">
        <v>0</v>
      </c>
      <c r="EV165" s="793">
        <v>1</v>
      </c>
      <c r="EW165" s="793">
        <v>0</v>
      </c>
      <c r="EX165" s="793">
        <v>0</v>
      </c>
      <c r="EY165" s="794">
        <v>2</v>
      </c>
      <c r="EZ165" s="896"/>
      <c r="FA165" s="795"/>
    </row>
    <row r="166" spans="1:157">
      <c r="A166" s="73"/>
      <c r="B166" s="73"/>
      <c r="C166" s="738"/>
      <c r="D166" s="738" t="s">
        <v>1288</v>
      </c>
      <c r="E166" s="3262">
        <v>0</v>
      </c>
      <c r="F166" s="3262"/>
      <c r="G166" s="3262">
        <v>0</v>
      </c>
      <c r="H166" s="3262">
        <v>0</v>
      </c>
      <c r="I166" s="3262">
        <v>0</v>
      </c>
      <c r="J166" s="3262">
        <v>1</v>
      </c>
      <c r="K166" s="3262">
        <v>9</v>
      </c>
      <c r="L166" s="3262">
        <v>0</v>
      </c>
      <c r="M166" s="4674"/>
      <c r="N166" s="4674"/>
      <c r="O166" s="4674">
        <v>10</v>
      </c>
      <c r="P166" s="73"/>
      <c r="R166" s="74"/>
      <c r="S166" s="74"/>
      <c r="T166" s="74"/>
      <c r="U166" s="74" t="s">
        <v>1292</v>
      </c>
      <c r="V166" s="3229"/>
      <c r="W166" s="3229">
        <v>0</v>
      </c>
      <c r="X166" s="3229">
        <v>0</v>
      </c>
      <c r="Y166" s="3229"/>
      <c r="Z166" s="3229"/>
      <c r="AA166" s="3229"/>
      <c r="AB166" s="3229">
        <v>0</v>
      </c>
      <c r="AC166" s="3229">
        <v>0</v>
      </c>
      <c r="AD166" s="3229">
        <v>2</v>
      </c>
      <c r="AE166" s="121"/>
      <c r="AF166" s="121"/>
      <c r="AG166" s="121">
        <v>2</v>
      </c>
      <c r="AJ166" s="161"/>
      <c r="AK166" s="161"/>
      <c r="AL166" s="73"/>
      <c r="AM166" s="73" t="s">
        <v>1286</v>
      </c>
      <c r="AN166" s="2600"/>
      <c r="AO166" s="2600">
        <v>1</v>
      </c>
      <c r="AP166" s="2600"/>
      <c r="AQ166" s="2600"/>
      <c r="AR166" s="2600"/>
      <c r="AS166" s="2600"/>
      <c r="AT166" s="2600">
        <v>0</v>
      </c>
      <c r="AU166" s="2600">
        <v>0</v>
      </c>
      <c r="AV166" s="2600">
        <v>0</v>
      </c>
      <c r="AW166" s="161"/>
      <c r="AX166" s="161"/>
      <c r="AY166" s="161">
        <v>1</v>
      </c>
      <c r="AZ166" s="161"/>
      <c r="BB166" s="2191"/>
      <c r="BC166" s="2191"/>
      <c r="BD166" s="2192"/>
      <c r="BE166" s="2193" t="s">
        <v>1288</v>
      </c>
      <c r="BF166" s="2195">
        <v>0</v>
      </c>
      <c r="BG166" s="2195">
        <v>0</v>
      </c>
      <c r="BH166" s="2195">
        <v>8</v>
      </c>
      <c r="BI166" s="2195">
        <v>0</v>
      </c>
      <c r="BJ166" s="2194"/>
      <c r="BK166" s="2195">
        <v>3</v>
      </c>
      <c r="BL166" s="2195">
        <v>0</v>
      </c>
      <c r="BM166" s="2194"/>
      <c r="BN166" s="963"/>
      <c r="BO166" s="964">
        <v>0</v>
      </c>
      <c r="BP166" s="964">
        <v>11</v>
      </c>
      <c r="BQ166" s="73"/>
      <c r="BS166" s="879"/>
      <c r="BT166" s="879"/>
      <c r="BU166" s="880"/>
      <c r="BV166" s="881" t="s">
        <v>1398</v>
      </c>
      <c r="BW166" s="883">
        <v>0</v>
      </c>
      <c r="BX166" s="882"/>
      <c r="BY166" s="882"/>
      <c r="BZ166" s="882"/>
      <c r="CA166" s="882"/>
      <c r="CB166" s="883">
        <v>6</v>
      </c>
      <c r="CC166" s="883">
        <v>7</v>
      </c>
      <c r="CD166" s="883">
        <v>1</v>
      </c>
      <c r="CE166" s="884">
        <v>0</v>
      </c>
      <c r="CF166" s="879"/>
      <c r="CG166" s="884">
        <v>14</v>
      </c>
      <c r="CH166" s="161"/>
      <c r="CJ166" s="885"/>
      <c r="CK166" s="885"/>
      <c r="CL166" s="885"/>
      <c r="CM166" s="897" t="s">
        <v>15</v>
      </c>
      <c r="CN166" s="899">
        <v>1</v>
      </c>
      <c r="CO166" s="898"/>
      <c r="CP166" s="898"/>
      <c r="CQ166" s="898"/>
      <c r="CR166" s="898"/>
      <c r="CS166" s="898"/>
      <c r="CT166" s="898"/>
      <c r="CU166" s="898"/>
      <c r="CV166" s="898"/>
      <c r="CW166" s="900"/>
      <c r="CX166" s="900"/>
      <c r="CY166" s="901">
        <v>1</v>
      </c>
      <c r="CZ166" s="891">
        <f>+CY165/CY166</f>
        <v>1</v>
      </c>
      <c r="DB166" s="892"/>
      <c r="DC166" s="892"/>
      <c r="DD166" s="892"/>
      <c r="DE166" s="893" t="s">
        <v>1289</v>
      </c>
      <c r="DF166" s="894"/>
      <c r="DG166" s="894"/>
      <c r="DH166" s="895">
        <v>1</v>
      </c>
      <c r="DI166" s="894"/>
      <c r="DJ166" s="894"/>
      <c r="DK166" s="895">
        <v>0</v>
      </c>
      <c r="DL166" s="895">
        <v>0</v>
      </c>
      <c r="DM166" s="895">
        <v>0</v>
      </c>
      <c r="DN166" s="894"/>
      <c r="DO166" s="894"/>
      <c r="DP166" s="895">
        <v>1</v>
      </c>
      <c r="DQ166" s="792"/>
      <c r="DS166" s="121"/>
      <c r="EI166" s="74"/>
      <c r="EJ166" s="793"/>
      <c r="EK166" s="793"/>
      <c r="EL166" s="793"/>
      <c r="EM166" s="796" t="s">
        <v>15</v>
      </c>
      <c r="EN166" s="796">
        <v>0</v>
      </c>
      <c r="EO166" s="796">
        <v>0</v>
      </c>
      <c r="EP166" s="796">
        <v>0</v>
      </c>
      <c r="EQ166" s="796">
        <v>0</v>
      </c>
      <c r="ER166" s="796">
        <v>0</v>
      </c>
      <c r="ES166" s="796">
        <v>0</v>
      </c>
      <c r="ET166" s="796">
        <v>5</v>
      </c>
      <c r="EU166" s="796">
        <v>6</v>
      </c>
      <c r="EV166" s="796">
        <v>6</v>
      </c>
      <c r="EW166" s="796">
        <v>1</v>
      </c>
      <c r="EX166" s="796">
        <v>1</v>
      </c>
      <c r="EY166" s="856">
        <v>19</v>
      </c>
      <c r="EZ166" s="906">
        <f>+(EY165+EY163)/EY166</f>
        <v>0.21052631578947367</v>
      </c>
      <c r="FA166" s="795">
        <f>+EY163+EY165</f>
        <v>4</v>
      </c>
    </row>
    <row r="167" spans="1:157">
      <c r="A167" s="73"/>
      <c r="B167" s="73"/>
      <c r="C167" s="738"/>
      <c r="D167" s="738" t="s">
        <v>1289</v>
      </c>
      <c r="E167" s="3262">
        <v>1</v>
      </c>
      <c r="F167" s="3262"/>
      <c r="G167" s="3262">
        <v>1</v>
      </c>
      <c r="H167" s="3262">
        <v>2</v>
      </c>
      <c r="I167" s="3262">
        <v>1</v>
      </c>
      <c r="J167" s="3262">
        <v>0</v>
      </c>
      <c r="K167" s="3262">
        <v>0</v>
      </c>
      <c r="L167" s="3262">
        <v>0</v>
      </c>
      <c r="M167" s="4674"/>
      <c r="N167" s="4674"/>
      <c r="O167" s="4674">
        <v>5</v>
      </c>
      <c r="P167" s="73"/>
      <c r="R167" s="74"/>
      <c r="S167" s="74"/>
      <c r="T167" s="74"/>
      <c r="U167" s="74" t="s">
        <v>1398</v>
      </c>
      <c r="V167" s="3229"/>
      <c r="W167" s="3229">
        <v>0</v>
      </c>
      <c r="X167" s="3229">
        <v>0</v>
      </c>
      <c r="Y167" s="3229"/>
      <c r="Z167" s="3229"/>
      <c r="AA167" s="3229"/>
      <c r="AB167" s="3229">
        <v>1</v>
      </c>
      <c r="AC167" s="3229">
        <v>0</v>
      </c>
      <c r="AD167" s="3229">
        <v>0</v>
      </c>
      <c r="AE167" s="121"/>
      <c r="AF167" s="121"/>
      <c r="AG167" s="121">
        <v>1</v>
      </c>
      <c r="AJ167" s="161"/>
      <c r="AK167" s="161"/>
      <c r="AL167" s="73"/>
      <c r="AM167" s="73" t="s">
        <v>1288</v>
      </c>
      <c r="AN167" s="2600"/>
      <c r="AO167" s="2600">
        <v>0</v>
      </c>
      <c r="AP167" s="2600"/>
      <c r="AQ167" s="2600"/>
      <c r="AR167" s="2600"/>
      <c r="AS167" s="2600"/>
      <c r="AT167" s="2600">
        <v>1</v>
      </c>
      <c r="AU167" s="2600">
        <v>4</v>
      </c>
      <c r="AV167" s="2600">
        <v>0</v>
      </c>
      <c r="AW167" s="161"/>
      <c r="AX167" s="161"/>
      <c r="AY167" s="161">
        <v>5</v>
      </c>
      <c r="AZ167" s="161"/>
      <c r="BB167" s="2191"/>
      <c r="BC167" s="2191"/>
      <c r="BD167" s="2192"/>
      <c r="BE167" s="2193" t="s">
        <v>1289</v>
      </c>
      <c r="BF167" s="2195">
        <v>0</v>
      </c>
      <c r="BG167" s="2195">
        <v>0</v>
      </c>
      <c r="BH167" s="2195">
        <v>1</v>
      </c>
      <c r="BI167" s="2195">
        <v>1</v>
      </c>
      <c r="BJ167" s="2194"/>
      <c r="BK167" s="2195">
        <v>0</v>
      </c>
      <c r="BL167" s="2195">
        <v>1</v>
      </c>
      <c r="BM167" s="2194"/>
      <c r="BN167" s="963"/>
      <c r="BO167" s="964">
        <v>0</v>
      </c>
      <c r="BP167" s="964">
        <v>3</v>
      </c>
      <c r="BQ167" s="73"/>
      <c r="BS167" s="879"/>
      <c r="BT167" s="879"/>
      <c r="BU167" s="880"/>
      <c r="BV167" s="907" t="s">
        <v>575</v>
      </c>
      <c r="BW167" s="909">
        <v>1</v>
      </c>
      <c r="BX167" s="908"/>
      <c r="BY167" s="908"/>
      <c r="BZ167" s="908"/>
      <c r="CA167" s="908"/>
      <c r="CB167" s="909">
        <v>13</v>
      </c>
      <c r="CC167" s="909">
        <v>25</v>
      </c>
      <c r="CD167" s="909">
        <v>21</v>
      </c>
      <c r="CE167" s="911">
        <v>2</v>
      </c>
      <c r="CF167" s="910"/>
      <c r="CG167" s="911">
        <v>62</v>
      </c>
      <c r="CH167" s="912">
        <f>+(CG164+CG166)/CG167</f>
        <v>0.532258064516129</v>
      </c>
      <c r="CJ167" s="885"/>
      <c r="CK167" s="885"/>
      <c r="CL167" s="885" t="s">
        <v>135</v>
      </c>
      <c r="CM167" s="886" t="s">
        <v>1288</v>
      </c>
      <c r="CN167" s="887"/>
      <c r="CO167" s="887"/>
      <c r="CP167" s="887"/>
      <c r="CQ167" s="888">
        <v>3</v>
      </c>
      <c r="CR167" s="887"/>
      <c r="CS167" s="887"/>
      <c r="CT167" s="887"/>
      <c r="CU167" s="887"/>
      <c r="CV167" s="887"/>
      <c r="CW167" s="889"/>
      <c r="CX167" s="889"/>
      <c r="CY167" s="890">
        <v>3</v>
      </c>
      <c r="CZ167" s="891"/>
      <c r="DB167" s="892"/>
      <c r="DC167" s="892"/>
      <c r="DD167" s="892"/>
      <c r="DE167" s="893" t="s">
        <v>1292</v>
      </c>
      <c r="DF167" s="894"/>
      <c r="DG167" s="894"/>
      <c r="DH167" s="895">
        <v>0</v>
      </c>
      <c r="DI167" s="894"/>
      <c r="DJ167" s="894"/>
      <c r="DK167" s="895">
        <v>0</v>
      </c>
      <c r="DL167" s="895">
        <v>0</v>
      </c>
      <c r="DM167" s="895">
        <v>8</v>
      </c>
      <c r="DN167" s="894"/>
      <c r="DO167" s="894"/>
      <c r="DP167" s="895">
        <v>8</v>
      </c>
      <c r="DQ167" s="792"/>
      <c r="DS167" s="121"/>
      <c r="EI167" s="74"/>
      <c r="EJ167" s="793"/>
      <c r="EK167" s="793"/>
      <c r="EL167" s="793" t="s">
        <v>143</v>
      </c>
      <c r="EM167" s="793" t="s">
        <v>1284</v>
      </c>
      <c r="EN167" s="793">
        <v>0</v>
      </c>
      <c r="EO167" s="793">
        <v>0</v>
      </c>
      <c r="EP167" s="793">
        <v>1</v>
      </c>
      <c r="EQ167" s="793">
        <v>0</v>
      </c>
      <c r="ER167" s="793">
        <v>0</v>
      </c>
      <c r="ES167" s="793">
        <v>0</v>
      </c>
      <c r="ET167" s="793">
        <v>11</v>
      </c>
      <c r="EU167" s="793">
        <v>0</v>
      </c>
      <c r="EV167" s="793">
        <v>0</v>
      </c>
      <c r="EW167" s="793">
        <v>0</v>
      </c>
      <c r="EX167" s="793">
        <v>0</v>
      </c>
      <c r="EY167" s="794">
        <v>12</v>
      </c>
      <c r="EZ167" s="896"/>
      <c r="FA167" s="795"/>
    </row>
    <row r="168" spans="1:157">
      <c r="A168" s="73"/>
      <c r="B168" s="73"/>
      <c r="C168" s="738"/>
      <c r="D168" s="738" t="s">
        <v>1292</v>
      </c>
      <c r="E168" s="3262">
        <v>0</v>
      </c>
      <c r="F168" s="3262"/>
      <c r="G168" s="3262">
        <v>0</v>
      </c>
      <c r="H168" s="3262">
        <v>0</v>
      </c>
      <c r="I168" s="3262">
        <v>0</v>
      </c>
      <c r="J168" s="3262">
        <v>0</v>
      </c>
      <c r="K168" s="3262">
        <v>0</v>
      </c>
      <c r="L168" s="3262">
        <v>19</v>
      </c>
      <c r="M168" s="4674"/>
      <c r="N168" s="4674"/>
      <c r="O168" s="4674">
        <v>19</v>
      </c>
      <c r="P168" s="73"/>
      <c r="R168" s="74"/>
      <c r="S168" s="74"/>
      <c r="T168" s="74"/>
      <c r="U168" s="761" t="s">
        <v>15</v>
      </c>
      <c r="V168" s="3230"/>
      <c r="W168" s="3230">
        <v>1</v>
      </c>
      <c r="X168" s="3230">
        <v>2</v>
      </c>
      <c r="Y168" s="3230"/>
      <c r="Z168" s="3230"/>
      <c r="AA168" s="3230"/>
      <c r="AB168" s="3230">
        <v>20</v>
      </c>
      <c r="AC168" s="3230">
        <v>6</v>
      </c>
      <c r="AD168" s="3230">
        <v>2</v>
      </c>
      <c r="AE168" s="729"/>
      <c r="AF168" s="729"/>
      <c r="AG168" s="729">
        <v>31</v>
      </c>
      <c r="AH168" s="4681">
        <f>+(AG164+AG167)/AG168</f>
        <v>0.77419354838709675</v>
      </c>
      <c r="AJ168" s="161"/>
      <c r="AK168" s="161"/>
      <c r="AL168" s="73"/>
      <c r="AM168" s="73" t="s">
        <v>1292</v>
      </c>
      <c r="AN168" s="2600"/>
      <c r="AO168" s="2600">
        <v>0</v>
      </c>
      <c r="AP168" s="2600"/>
      <c r="AQ168" s="2600"/>
      <c r="AR168" s="2600"/>
      <c r="AS168" s="2600"/>
      <c r="AT168" s="2600">
        <v>0</v>
      </c>
      <c r="AU168" s="2600">
        <v>0</v>
      </c>
      <c r="AV168" s="2600">
        <v>5</v>
      </c>
      <c r="AW168" s="161"/>
      <c r="AX168" s="161"/>
      <c r="AY168" s="161">
        <v>5</v>
      </c>
      <c r="AZ168" s="161"/>
      <c r="BB168" s="2191"/>
      <c r="BC168" s="2191"/>
      <c r="BD168" s="2192"/>
      <c r="BE168" s="2193" t="s">
        <v>1293</v>
      </c>
      <c r="BF168" s="2195">
        <v>0</v>
      </c>
      <c r="BG168" s="2195">
        <v>0</v>
      </c>
      <c r="BH168" s="2195">
        <v>0</v>
      </c>
      <c r="BI168" s="2195">
        <v>0</v>
      </c>
      <c r="BJ168" s="2194"/>
      <c r="BK168" s="2195">
        <v>11</v>
      </c>
      <c r="BL168" s="2195">
        <v>0</v>
      </c>
      <c r="BM168" s="2194"/>
      <c r="BN168" s="963"/>
      <c r="BO168" s="964">
        <v>1</v>
      </c>
      <c r="BP168" s="964">
        <v>12</v>
      </c>
      <c r="BQ168" s="73"/>
      <c r="BS168" s="879"/>
      <c r="BT168" s="879"/>
      <c r="BU168" s="907" t="s">
        <v>111</v>
      </c>
      <c r="BV168" s="881" t="s">
        <v>1283</v>
      </c>
      <c r="BW168" s="883">
        <v>0</v>
      </c>
      <c r="BX168" s="883">
        <v>0</v>
      </c>
      <c r="BY168" s="883">
        <v>0</v>
      </c>
      <c r="BZ168" s="883">
        <v>0</v>
      </c>
      <c r="CA168" s="883">
        <v>0</v>
      </c>
      <c r="CB168" s="883">
        <v>0</v>
      </c>
      <c r="CC168" s="883">
        <v>2</v>
      </c>
      <c r="CD168" s="883">
        <v>20</v>
      </c>
      <c r="CE168" s="884">
        <v>3</v>
      </c>
      <c r="CF168" s="884">
        <v>7</v>
      </c>
      <c r="CG168" s="884">
        <v>32</v>
      </c>
      <c r="CH168" s="161"/>
      <c r="CJ168" s="885"/>
      <c r="CK168" s="885"/>
      <c r="CL168" s="885"/>
      <c r="CM168" s="897" t="s">
        <v>15</v>
      </c>
      <c r="CN168" s="898"/>
      <c r="CO168" s="898"/>
      <c r="CP168" s="898"/>
      <c r="CQ168" s="899">
        <v>3</v>
      </c>
      <c r="CR168" s="898"/>
      <c r="CS168" s="898"/>
      <c r="CT168" s="898"/>
      <c r="CU168" s="898"/>
      <c r="CV168" s="898"/>
      <c r="CW168" s="900"/>
      <c r="CX168" s="900"/>
      <c r="CY168" s="901">
        <v>3</v>
      </c>
      <c r="CZ168" s="891">
        <f>+CY167/CY168</f>
        <v>1</v>
      </c>
      <c r="DB168" s="892"/>
      <c r="DC168" s="892"/>
      <c r="DD168" s="892"/>
      <c r="DE168" s="893" t="s">
        <v>1398</v>
      </c>
      <c r="DF168" s="894"/>
      <c r="DG168" s="894"/>
      <c r="DH168" s="895">
        <v>0</v>
      </c>
      <c r="DI168" s="894"/>
      <c r="DJ168" s="894"/>
      <c r="DK168" s="895">
        <v>1</v>
      </c>
      <c r="DL168" s="895">
        <v>0</v>
      </c>
      <c r="DM168" s="895">
        <v>0</v>
      </c>
      <c r="DN168" s="894"/>
      <c r="DO168" s="894"/>
      <c r="DP168" s="895">
        <v>1</v>
      </c>
      <c r="DQ168" s="792"/>
      <c r="DS168" s="121"/>
      <c r="EI168" s="74"/>
      <c r="EJ168" s="793"/>
      <c r="EK168" s="793"/>
      <c r="EL168" s="793"/>
      <c r="EM168" s="793" t="s">
        <v>1288</v>
      </c>
      <c r="EN168" s="793">
        <v>0</v>
      </c>
      <c r="EO168" s="793">
        <v>0</v>
      </c>
      <c r="EP168" s="793">
        <v>0</v>
      </c>
      <c r="EQ168" s="793">
        <v>0</v>
      </c>
      <c r="ER168" s="793">
        <v>0</v>
      </c>
      <c r="ES168" s="793">
        <v>0</v>
      </c>
      <c r="ET168" s="793">
        <v>3</v>
      </c>
      <c r="EU168" s="793">
        <v>0</v>
      </c>
      <c r="EV168" s="793">
        <v>0</v>
      </c>
      <c r="EW168" s="793">
        <v>0</v>
      </c>
      <c r="EX168" s="793">
        <v>0</v>
      </c>
      <c r="EY168" s="794">
        <v>3</v>
      </c>
      <c r="EZ168" s="896"/>
      <c r="FA168" s="795"/>
    </row>
    <row r="169" spans="1:157">
      <c r="A169" s="73"/>
      <c r="B169" s="73"/>
      <c r="C169" s="738"/>
      <c r="D169" s="738" t="s">
        <v>1398</v>
      </c>
      <c r="E169" s="3262">
        <v>0</v>
      </c>
      <c r="F169" s="3262"/>
      <c r="G169" s="3262">
        <v>0</v>
      </c>
      <c r="H169" s="3262">
        <v>0</v>
      </c>
      <c r="I169" s="3262">
        <v>0</v>
      </c>
      <c r="J169" s="3262">
        <v>17</v>
      </c>
      <c r="K169" s="3262">
        <v>1</v>
      </c>
      <c r="L169" s="3262">
        <v>0</v>
      </c>
      <c r="M169" s="4674"/>
      <c r="N169" s="4674"/>
      <c r="O169" s="4674">
        <v>18</v>
      </c>
      <c r="P169" s="73"/>
      <c r="R169" s="74"/>
      <c r="S169" s="74"/>
      <c r="T169" s="74" t="s">
        <v>129</v>
      </c>
      <c r="U169" s="74" t="s">
        <v>1284</v>
      </c>
      <c r="V169" s="3229"/>
      <c r="W169" s="3229"/>
      <c r="X169" s="3229">
        <v>0</v>
      </c>
      <c r="Y169" s="3229"/>
      <c r="Z169" s="3229"/>
      <c r="AA169" s="3229">
        <v>0</v>
      </c>
      <c r="AB169" s="3229">
        <v>0</v>
      </c>
      <c r="AC169" s="3229">
        <v>1</v>
      </c>
      <c r="AD169" s="3229"/>
      <c r="AE169" s="121"/>
      <c r="AF169" s="121"/>
      <c r="AG169" s="121">
        <v>1</v>
      </c>
      <c r="AJ169" s="161"/>
      <c r="AK169" s="161"/>
      <c r="AL169" s="73"/>
      <c r="AM169" s="73" t="s">
        <v>1398</v>
      </c>
      <c r="AN169" s="2600"/>
      <c r="AO169" s="2600">
        <v>0</v>
      </c>
      <c r="AP169" s="2600"/>
      <c r="AQ169" s="2600"/>
      <c r="AR169" s="2600"/>
      <c r="AS169" s="2600"/>
      <c r="AT169" s="2600">
        <v>1</v>
      </c>
      <c r="AU169" s="2600">
        <v>1</v>
      </c>
      <c r="AV169" s="2600">
        <v>0</v>
      </c>
      <c r="AW169" s="161"/>
      <c r="AX169" s="161"/>
      <c r="AY169" s="161">
        <v>2</v>
      </c>
      <c r="AZ169" s="161"/>
      <c r="BB169" s="2191"/>
      <c r="BC169" s="2191"/>
      <c r="BD169" s="2192"/>
      <c r="BE169" s="2193" t="s">
        <v>1398</v>
      </c>
      <c r="BF169" s="2195">
        <v>0</v>
      </c>
      <c r="BG169" s="2195">
        <v>0</v>
      </c>
      <c r="BH169" s="2195">
        <v>6</v>
      </c>
      <c r="BI169" s="2195">
        <v>0</v>
      </c>
      <c r="BJ169" s="2194"/>
      <c r="BK169" s="2195">
        <v>2</v>
      </c>
      <c r="BL169" s="2195">
        <v>0</v>
      </c>
      <c r="BM169" s="2194"/>
      <c r="BN169" s="963"/>
      <c r="BO169" s="964">
        <v>0</v>
      </c>
      <c r="BP169" s="964">
        <v>8</v>
      </c>
      <c r="BQ169" s="73"/>
      <c r="BS169" s="879"/>
      <c r="BT169" s="879"/>
      <c r="BU169" s="880"/>
      <c r="BV169" s="881" t="s">
        <v>1284</v>
      </c>
      <c r="BW169" s="883">
        <v>4</v>
      </c>
      <c r="BX169" s="883">
        <v>4</v>
      </c>
      <c r="BY169" s="883">
        <v>1</v>
      </c>
      <c r="BZ169" s="883">
        <v>0</v>
      </c>
      <c r="CA169" s="883">
        <v>0</v>
      </c>
      <c r="CB169" s="883">
        <v>8</v>
      </c>
      <c r="CC169" s="883">
        <v>14</v>
      </c>
      <c r="CD169" s="883">
        <v>1</v>
      </c>
      <c r="CE169" s="884">
        <v>6</v>
      </c>
      <c r="CF169" s="884">
        <v>0</v>
      </c>
      <c r="CG169" s="884">
        <v>38</v>
      </c>
      <c r="CH169" s="161"/>
      <c r="CJ169" s="885"/>
      <c r="CK169" s="885"/>
      <c r="CL169" s="885" t="s">
        <v>621</v>
      </c>
      <c r="CM169" s="886" t="s">
        <v>1284</v>
      </c>
      <c r="CN169" s="888">
        <v>1</v>
      </c>
      <c r="CO169" s="888">
        <v>1</v>
      </c>
      <c r="CP169" s="887"/>
      <c r="CQ169" s="888">
        <v>4</v>
      </c>
      <c r="CR169" s="887"/>
      <c r="CS169" s="887"/>
      <c r="CT169" s="887"/>
      <c r="CU169" s="887"/>
      <c r="CV169" s="887"/>
      <c r="CW169" s="889"/>
      <c r="CX169" s="889"/>
      <c r="CY169" s="890">
        <v>6</v>
      </c>
      <c r="CZ169" s="891"/>
      <c r="DB169" s="892"/>
      <c r="DC169" s="892"/>
      <c r="DD169" s="892"/>
      <c r="DE169" s="902" t="s">
        <v>15</v>
      </c>
      <c r="DF169" s="903"/>
      <c r="DG169" s="903"/>
      <c r="DH169" s="904">
        <v>1</v>
      </c>
      <c r="DI169" s="903"/>
      <c r="DJ169" s="903"/>
      <c r="DK169" s="904">
        <v>8</v>
      </c>
      <c r="DL169" s="904">
        <v>3</v>
      </c>
      <c r="DM169" s="904">
        <v>8</v>
      </c>
      <c r="DN169" s="903"/>
      <c r="DO169" s="903"/>
      <c r="DP169" s="904">
        <v>20</v>
      </c>
      <c r="DQ169" s="905">
        <f>+DP168/DP169</f>
        <v>0.05</v>
      </c>
      <c r="DS169" s="121"/>
      <c r="EI169" s="74"/>
      <c r="EJ169" s="793"/>
      <c r="EK169" s="793"/>
      <c r="EL169" s="793"/>
      <c r="EM169" s="793" t="s">
        <v>1292</v>
      </c>
      <c r="EN169" s="793">
        <v>0</v>
      </c>
      <c r="EO169" s="793">
        <v>0</v>
      </c>
      <c r="EP169" s="793">
        <v>0</v>
      </c>
      <c r="EQ169" s="793">
        <v>0</v>
      </c>
      <c r="ER169" s="793">
        <v>0</v>
      </c>
      <c r="ES169" s="793">
        <v>0</v>
      </c>
      <c r="ET169" s="793">
        <v>0</v>
      </c>
      <c r="EU169" s="793">
        <v>1</v>
      </c>
      <c r="EV169" s="793">
        <v>1</v>
      </c>
      <c r="EW169" s="793">
        <v>0</v>
      </c>
      <c r="EX169" s="793">
        <v>0</v>
      </c>
      <c r="EY169" s="794">
        <v>2</v>
      </c>
      <c r="EZ169" s="896"/>
      <c r="FA169" s="795"/>
    </row>
    <row r="170" spans="1:157">
      <c r="A170" s="73"/>
      <c r="B170" s="73"/>
      <c r="C170" s="738"/>
      <c r="D170" s="738" t="s">
        <v>573</v>
      </c>
      <c r="E170" s="3262">
        <v>3</v>
      </c>
      <c r="F170" s="3262"/>
      <c r="G170" s="3262">
        <v>1</v>
      </c>
      <c r="H170" s="3262">
        <v>2</v>
      </c>
      <c r="I170" s="3262">
        <v>1</v>
      </c>
      <c r="J170" s="3262">
        <v>22</v>
      </c>
      <c r="K170" s="3262">
        <v>21</v>
      </c>
      <c r="L170" s="3262">
        <v>25</v>
      </c>
      <c r="M170" s="4674"/>
      <c r="N170" s="4674"/>
      <c r="O170" s="4674">
        <v>75</v>
      </c>
      <c r="P170" s="912">
        <f>+(O169+O166)/O170</f>
        <v>0.37333333333333335</v>
      </c>
      <c r="Q170" s="3197"/>
      <c r="R170" s="74"/>
      <c r="S170" s="74"/>
      <c r="T170" s="74"/>
      <c r="U170" s="74" t="s">
        <v>1289</v>
      </c>
      <c r="V170" s="3229"/>
      <c r="W170" s="3229"/>
      <c r="X170" s="3229">
        <v>1</v>
      </c>
      <c r="Y170" s="3229"/>
      <c r="Z170" s="3229"/>
      <c r="AA170" s="3229">
        <v>1</v>
      </c>
      <c r="AB170" s="3229">
        <v>0</v>
      </c>
      <c r="AC170" s="3229">
        <v>0</v>
      </c>
      <c r="AD170" s="3229"/>
      <c r="AE170" s="121"/>
      <c r="AF170" s="121"/>
      <c r="AG170" s="121">
        <v>2</v>
      </c>
      <c r="AJ170" s="161"/>
      <c r="AK170" s="161"/>
      <c r="AL170" s="73"/>
      <c r="AM170" s="738" t="s">
        <v>15</v>
      </c>
      <c r="AN170" s="2601"/>
      <c r="AO170" s="2601">
        <v>1</v>
      </c>
      <c r="AP170" s="2601"/>
      <c r="AQ170" s="2601"/>
      <c r="AR170" s="2601"/>
      <c r="AS170" s="2601"/>
      <c r="AT170" s="2601">
        <v>2</v>
      </c>
      <c r="AU170" s="2601">
        <v>6</v>
      </c>
      <c r="AV170" s="2601">
        <v>6</v>
      </c>
      <c r="AW170" s="151"/>
      <c r="AX170" s="151"/>
      <c r="AY170" s="151">
        <v>15</v>
      </c>
      <c r="AZ170" s="912">
        <f>+(AY167+AY169)/AY170</f>
        <v>0.46666666666666667</v>
      </c>
      <c r="BB170" s="2191"/>
      <c r="BC170" s="2191"/>
      <c r="BD170" s="2192"/>
      <c r="BE170" s="760" t="s">
        <v>573</v>
      </c>
      <c r="BF170" s="2197">
        <v>1</v>
      </c>
      <c r="BG170" s="2197">
        <v>5</v>
      </c>
      <c r="BH170" s="2197">
        <v>15</v>
      </c>
      <c r="BI170" s="2197">
        <v>2</v>
      </c>
      <c r="BJ170" s="2196"/>
      <c r="BK170" s="2197">
        <v>16</v>
      </c>
      <c r="BL170" s="2197">
        <v>1</v>
      </c>
      <c r="BM170" s="2196"/>
      <c r="BN170" s="972"/>
      <c r="BO170" s="973">
        <v>1</v>
      </c>
      <c r="BP170" s="973">
        <v>41</v>
      </c>
      <c r="BQ170" s="2154">
        <f>+(BP166+BP168-BO168+BP169)/BP170</f>
        <v>0.73170731707317072</v>
      </c>
      <c r="BS170" s="879"/>
      <c r="BT170" s="879"/>
      <c r="BU170" s="880"/>
      <c r="BV170" s="881" t="s">
        <v>1286</v>
      </c>
      <c r="BW170" s="883">
        <v>5</v>
      </c>
      <c r="BX170" s="883">
        <v>1</v>
      </c>
      <c r="BY170" s="883">
        <v>0</v>
      </c>
      <c r="BZ170" s="883">
        <v>0</v>
      </c>
      <c r="CA170" s="883">
        <v>0</v>
      </c>
      <c r="CB170" s="883">
        <v>0</v>
      </c>
      <c r="CC170" s="883">
        <v>0</v>
      </c>
      <c r="CD170" s="883">
        <v>0</v>
      </c>
      <c r="CE170" s="884">
        <v>0</v>
      </c>
      <c r="CF170" s="884">
        <v>0</v>
      </c>
      <c r="CG170" s="884">
        <v>6</v>
      </c>
      <c r="CH170" s="161"/>
      <c r="CJ170" s="885"/>
      <c r="CK170" s="885"/>
      <c r="CL170" s="885"/>
      <c r="CM170" s="886" t="s">
        <v>1288</v>
      </c>
      <c r="CN170" s="888">
        <v>0</v>
      </c>
      <c r="CO170" s="888">
        <v>0</v>
      </c>
      <c r="CP170" s="887"/>
      <c r="CQ170" s="888">
        <v>1</v>
      </c>
      <c r="CR170" s="887"/>
      <c r="CS170" s="887"/>
      <c r="CT170" s="887"/>
      <c r="CU170" s="887"/>
      <c r="CV170" s="887"/>
      <c r="CW170" s="889"/>
      <c r="CX170" s="889"/>
      <c r="CY170" s="890">
        <v>1</v>
      </c>
      <c r="CZ170" s="891"/>
      <c r="DB170" s="892"/>
      <c r="DC170" s="892"/>
      <c r="DD170" s="892" t="s">
        <v>113</v>
      </c>
      <c r="DE170" s="893" t="s">
        <v>1284</v>
      </c>
      <c r="DF170" s="894"/>
      <c r="DG170" s="894"/>
      <c r="DH170" s="895">
        <v>1</v>
      </c>
      <c r="DI170" s="894"/>
      <c r="DJ170" s="895">
        <v>0</v>
      </c>
      <c r="DK170" s="894"/>
      <c r="DL170" s="894"/>
      <c r="DM170" s="894"/>
      <c r="DN170" s="894"/>
      <c r="DO170" s="894"/>
      <c r="DP170" s="895">
        <v>1</v>
      </c>
      <c r="DQ170" s="792"/>
      <c r="DS170" s="121"/>
      <c r="EI170" s="74"/>
      <c r="EJ170" s="793"/>
      <c r="EK170" s="793"/>
      <c r="EL170" s="793"/>
      <c r="EM170" s="793" t="s">
        <v>1398</v>
      </c>
      <c r="EN170" s="793">
        <v>0</v>
      </c>
      <c r="EO170" s="793">
        <v>0</v>
      </c>
      <c r="EP170" s="793">
        <v>0</v>
      </c>
      <c r="EQ170" s="793">
        <v>0</v>
      </c>
      <c r="ER170" s="793">
        <v>0</v>
      </c>
      <c r="ES170" s="793">
        <v>0</v>
      </c>
      <c r="ET170" s="793">
        <v>1</v>
      </c>
      <c r="EU170" s="793">
        <v>0</v>
      </c>
      <c r="EV170" s="793">
        <v>0</v>
      </c>
      <c r="EW170" s="793">
        <v>0</v>
      </c>
      <c r="EX170" s="793">
        <v>0</v>
      </c>
      <c r="EY170" s="794">
        <v>1</v>
      </c>
      <c r="EZ170" s="896"/>
      <c r="FA170" s="795"/>
    </row>
    <row r="171" spans="1:157">
      <c r="A171" s="73"/>
      <c r="B171" s="73" t="s">
        <v>41</v>
      </c>
      <c r="C171" s="73" t="s">
        <v>462</v>
      </c>
      <c r="D171" s="73" t="s">
        <v>1284</v>
      </c>
      <c r="E171" s="3261"/>
      <c r="F171" s="3261">
        <v>1</v>
      </c>
      <c r="G171" s="3261"/>
      <c r="H171" s="3261"/>
      <c r="I171" s="3261"/>
      <c r="J171" s="3261"/>
      <c r="K171" s="3261">
        <v>0</v>
      </c>
      <c r="L171" s="3261">
        <v>0</v>
      </c>
      <c r="M171" s="161"/>
      <c r="N171" s="161"/>
      <c r="O171" s="161">
        <v>1</v>
      </c>
      <c r="P171" s="73"/>
      <c r="R171" s="74"/>
      <c r="S171" s="74"/>
      <c r="T171" s="74"/>
      <c r="U171" s="74" t="s">
        <v>1398</v>
      </c>
      <c r="V171" s="3229"/>
      <c r="W171" s="3229"/>
      <c r="X171" s="3229">
        <v>0</v>
      </c>
      <c r="Y171" s="3229"/>
      <c r="Z171" s="3229"/>
      <c r="AA171" s="3229">
        <v>0</v>
      </c>
      <c r="AB171" s="3229">
        <v>4</v>
      </c>
      <c r="AC171" s="3229">
        <v>0</v>
      </c>
      <c r="AD171" s="3229"/>
      <c r="AE171" s="121"/>
      <c r="AF171" s="121"/>
      <c r="AG171" s="121">
        <v>4</v>
      </c>
      <c r="AJ171" s="161"/>
      <c r="AK171" s="161"/>
      <c r="AL171" s="73" t="s">
        <v>130</v>
      </c>
      <c r="AM171" s="73" t="s">
        <v>1284</v>
      </c>
      <c r="AN171" s="2600"/>
      <c r="AO171" s="2600">
        <v>0</v>
      </c>
      <c r="AP171" s="2600"/>
      <c r="AQ171" s="2600"/>
      <c r="AR171" s="2600"/>
      <c r="AS171" s="2600"/>
      <c r="AT171" s="2600">
        <v>1</v>
      </c>
      <c r="AU171" s="2600">
        <v>1</v>
      </c>
      <c r="AV171" s="2600">
        <v>0</v>
      </c>
      <c r="AW171" s="161"/>
      <c r="AX171" s="161"/>
      <c r="AY171" s="161">
        <v>2</v>
      </c>
      <c r="AZ171" s="161"/>
      <c r="BB171" s="2191"/>
      <c r="BC171" s="2191" t="s">
        <v>41</v>
      </c>
      <c r="BD171" s="2192" t="s">
        <v>462</v>
      </c>
      <c r="BE171" s="2193" t="s">
        <v>1284</v>
      </c>
      <c r="BF171" s="2194"/>
      <c r="BG171" s="2194"/>
      <c r="BH171" s="2194"/>
      <c r="BI171" s="2194"/>
      <c r="BJ171" s="2194"/>
      <c r="BK171" s="2194"/>
      <c r="BL171" s="2195">
        <v>2</v>
      </c>
      <c r="BM171" s="2195">
        <v>0</v>
      </c>
      <c r="BN171" s="963"/>
      <c r="BO171" s="963"/>
      <c r="BP171" s="964">
        <v>2</v>
      </c>
      <c r="BQ171" s="73"/>
      <c r="BS171" s="879"/>
      <c r="BT171" s="879"/>
      <c r="BU171" s="880"/>
      <c r="BV171" s="881" t="s">
        <v>1288</v>
      </c>
      <c r="BW171" s="883">
        <v>0</v>
      </c>
      <c r="BX171" s="883">
        <v>0</v>
      </c>
      <c r="BY171" s="883">
        <v>0</v>
      </c>
      <c r="BZ171" s="883">
        <v>0</v>
      </c>
      <c r="CA171" s="883">
        <v>0</v>
      </c>
      <c r="CB171" s="883">
        <v>9</v>
      </c>
      <c r="CC171" s="883">
        <v>57</v>
      </c>
      <c r="CD171" s="883">
        <v>9</v>
      </c>
      <c r="CE171" s="884">
        <v>2</v>
      </c>
      <c r="CF171" s="884">
        <v>0</v>
      </c>
      <c r="CG171" s="884">
        <v>77</v>
      </c>
      <c r="CH171" s="161"/>
      <c r="CJ171" s="885"/>
      <c r="CK171" s="885"/>
      <c r="CL171" s="885"/>
      <c r="CM171" s="886" t="s">
        <v>1293</v>
      </c>
      <c r="CN171" s="888">
        <v>0</v>
      </c>
      <c r="CO171" s="888">
        <v>0</v>
      </c>
      <c r="CP171" s="887"/>
      <c r="CQ171" s="888">
        <v>5</v>
      </c>
      <c r="CR171" s="887"/>
      <c r="CS171" s="887"/>
      <c r="CT171" s="887"/>
      <c r="CU171" s="887"/>
      <c r="CV171" s="887"/>
      <c r="CW171" s="889"/>
      <c r="CX171" s="889"/>
      <c r="CY171" s="890">
        <v>5</v>
      </c>
      <c r="CZ171" s="891"/>
      <c r="DB171" s="892"/>
      <c r="DC171" s="892"/>
      <c r="DD171" s="892"/>
      <c r="DE171" s="893" t="s">
        <v>1289</v>
      </c>
      <c r="DF171" s="894"/>
      <c r="DG171" s="894"/>
      <c r="DH171" s="895">
        <v>1</v>
      </c>
      <c r="DI171" s="894"/>
      <c r="DJ171" s="895">
        <v>0</v>
      </c>
      <c r="DK171" s="894"/>
      <c r="DL171" s="894"/>
      <c r="DM171" s="894"/>
      <c r="DN171" s="894"/>
      <c r="DO171" s="894"/>
      <c r="DP171" s="895">
        <v>1</v>
      </c>
      <c r="DQ171" s="792"/>
      <c r="DS171" s="121"/>
      <c r="EI171" s="74"/>
      <c r="EJ171" s="793"/>
      <c r="EK171" s="793"/>
      <c r="EL171" s="793"/>
      <c r="EM171" s="796" t="s">
        <v>15</v>
      </c>
      <c r="EN171" s="796">
        <v>0</v>
      </c>
      <c r="EO171" s="796">
        <v>0</v>
      </c>
      <c r="EP171" s="796">
        <v>1</v>
      </c>
      <c r="EQ171" s="796">
        <v>0</v>
      </c>
      <c r="ER171" s="796">
        <v>0</v>
      </c>
      <c r="ES171" s="796">
        <v>0</v>
      </c>
      <c r="ET171" s="796">
        <v>15</v>
      </c>
      <c r="EU171" s="796">
        <v>1</v>
      </c>
      <c r="EV171" s="796">
        <v>1</v>
      </c>
      <c r="EW171" s="796">
        <v>0</v>
      </c>
      <c r="EX171" s="796">
        <v>0</v>
      </c>
      <c r="EY171" s="856">
        <v>18</v>
      </c>
      <c r="EZ171" s="906">
        <f>+(EY170+EY168)/EY171</f>
        <v>0.22222222222222221</v>
      </c>
      <c r="FA171" s="795">
        <f>+EY168+EY170</f>
        <v>4</v>
      </c>
    </row>
    <row r="172" spans="1:157">
      <c r="A172" s="73"/>
      <c r="B172" s="73"/>
      <c r="C172" s="73"/>
      <c r="D172" s="73" t="s">
        <v>1288</v>
      </c>
      <c r="E172" s="3261"/>
      <c r="F172" s="3261">
        <v>0</v>
      </c>
      <c r="G172" s="3261"/>
      <c r="H172" s="3261"/>
      <c r="I172" s="3261"/>
      <c r="J172" s="3261"/>
      <c r="K172" s="3261">
        <v>5</v>
      </c>
      <c r="L172" s="3261">
        <v>0</v>
      </c>
      <c r="M172" s="161"/>
      <c r="N172" s="161"/>
      <c r="O172" s="161">
        <v>5</v>
      </c>
      <c r="P172" s="73"/>
      <c r="R172" s="74"/>
      <c r="S172" s="74"/>
      <c r="T172" s="74"/>
      <c r="U172" s="761" t="s">
        <v>15</v>
      </c>
      <c r="V172" s="3230"/>
      <c r="W172" s="3230"/>
      <c r="X172" s="3230">
        <v>1</v>
      </c>
      <c r="Y172" s="3230"/>
      <c r="Z172" s="3230"/>
      <c r="AA172" s="3230">
        <v>1</v>
      </c>
      <c r="AB172" s="3230">
        <v>4</v>
      </c>
      <c r="AC172" s="3230">
        <v>1</v>
      </c>
      <c r="AD172" s="3230"/>
      <c r="AE172" s="729"/>
      <c r="AF172" s="729"/>
      <c r="AG172" s="729">
        <v>7</v>
      </c>
      <c r="AH172" s="4681">
        <f>+AG171/AG172</f>
        <v>0.5714285714285714</v>
      </c>
      <c r="AJ172" s="161"/>
      <c r="AK172" s="161"/>
      <c r="AL172" s="73"/>
      <c r="AM172" s="73" t="s">
        <v>1286</v>
      </c>
      <c r="AN172" s="2600"/>
      <c r="AO172" s="2600">
        <v>1</v>
      </c>
      <c r="AP172" s="2600"/>
      <c r="AQ172" s="2600"/>
      <c r="AR172" s="2600"/>
      <c r="AS172" s="2600"/>
      <c r="AT172" s="2600">
        <v>0</v>
      </c>
      <c r="AU172" s="2600">
        <v>0</v>
      </c>
      <c r="AV172" s="2600">
        <v>0</v>
      </c>
      <c r="AW172" s="161"/>
      <c r="AX172" s="161"/>
      <c r="AY172" s="161">
        <v>1</v>
      </c>
      <c r="AZ172" s="161"/>
      <c r="BB172" s="2191"/>
      <c r="BC172" s="2191"/>
      <c r="BD172" s="2192"/>
      <c r="BE172" s="2193" t="s">
        <v>1288</v>
      </c>
      <c r="BF172" s="2194"/>
      <c r="BG172" s="2194"/>
      <c r="BH172" s="2194"/>
      <c r="BI172" s="2194"/>
      <c r="BJ172" s="2194"/>
      <c r="BK172" s="2194"/>
      <c r="BL172" s="2195">
        <v>2</v>
      </c>
      <c r="BM172" s="2195">
        <v>0</v>
      </c>
      <c r="BN172" s="963"/>
      <c r="BO172" s="963"/>
      <c r="BP172" s="964">
        <v>2</v>
      </c>
      <c r="BQ172" s="73"/>
      <c r="BS172" s="879"/>
      <c r="BT172" s="879"/>
      <c r="BU172" s="880"/>
      <c r="BV172" s="881" t="s">
        <v>1289</v>
      </c>
      <c r="BW172" s="883">
        <v>1</v>
      </c>
      <c r="BX172" s="883">
        <v>1</v>
      </c>
      <c r="BY172" s="883">
        <v>1</v>
      </c>
      <c r="BZ172" s="883">
        <v>1</v>
      </c>
      <c r="CA172" s="883">
        <v>1</v>
      </c>
      <c r="CB172" s="883">
        <v>0</v>
      </c>
      <c r="CC172" s="883">
        <v>0</v>
      </c>
      <c r="CD172" s="883">
        <v>0</v>
      </c>
      <c r="CE172" s="884">
        <v>0</v>
      </c>
      <c r="CF172" s="884">
        <v>0</v>
      </c>
      <c r="CG172" s="884">
        <v>5</v>
      </c>
      <c r="CH172" s="161"/>
      <c r="CJ172" s="885"/>
      <c r="CK172" s="885"/>
      <c r="CL172" s="885"/>
      <c r="CM172" s="886" t="s">
        <v>1398</v>
      </c>
      <c r="CN172" s="888">
        <v>0</v>
      </c>
      <c r="CO172" s="888">
        <v>0</v>
      </c>
      <c r="CP172" s="887"/>
      <c r="CQ172" s="888">
        <v>4</v>
      </c>
      <c r="CR172" s="887"/>
      <c r="CS172" s="887"/>
      <c r="CT172" s="887"/>
      <c r="CU172" s="887"/>
      <c r="CV172" s="887"/>
      <c r="CW172" s="889"/>
      <c r="CX172" s="889"/>
      <c r="CY172" s="890">
        <v>4</v>
      </c>
      <c r="CZ172" s="891"/>
      <c r="DB172" s="892"/>
      <c r="DC172" s="892"/>
      <c r="DD172" s="892"/>
      <c r="DE172" s="893" t="s">
        <v>1398</v>
      </c>
      <c r="DF172" s="894"/>
      <c r="DG172" s="894"/>
      <c r="DH172" s="895">
        <v>3</v>
      </c>
      <c r="DI172" s="894"/>
      <c r="DJ172" s="895">
        <v>1</v>
      </c>
      <c r="DK172" s="894"/>
      <c r="DL172" s="894"/>
      <c r="DM172" s="894"/>
      <c r="DN172" s="894"/>
      <c r="DO172" s="894"/>
      <c r="DP172" s="895">
        <v>4</v>
      </c>
      <c r="DQ172" s="792"/>
      <c r="DS172" s="121"/>
      <c r="EI172" s="74"/>
      <c r="EJ172" s="793"/>
      <c r="EK172" s="793" t="s">
        <v>105</v>
      </c>
      <c r="EL172" s="793" t="s">
        <v>144</v>
      </c>
      <c r="EM172" s="793" t="s">
        <v>1284</v>
      </c>
      <c r="EN172" s="793">
        <v>0</v>
      </c>
      <c r="EO172" s="793">
        <v>0</v>
      </c>
      <c r="EP172" s="793">
        <v>0</v>
      </c>
      <c r="EQ172" s="793">
        <v>0</v>
      </c>
      <c r="ER172" s="793">
        <v>0</v>
      </c>
      <c r="ES172" s="793">
        <v>0</v>
      </c>
      <c r="ET172" s="793">
        <v>3</v>
      </c>
      <c r="EU172" s="793">
        <v>0</v>
      </c>
      <c r="EV172" s="793">
        <v>0</v>
      </c>
      <c r="EW172" s="793">
        <v>0</v>
      </c>
      <c r="EX172" s="793">
        <v>0</v>
      </c>
      <c r="EY172" s="794">
        <v>3</v>
      </c>
      <c r="EZ172" s="896"/>
      <c r="FA172" s="795"/>
    </row>
    <row r="173" spans="1:157">
      <c r="A173" s="73"/>
      <c r="B173" s="73"/>
      <c r="C173" s="73"/>
      <c r="D173" s="73" t="s">
        <v>1292</v>
      </c>
      <c r="E173" s="3261"/>
      <c r="F173" s="3261">
        <v>0</v>
      </c>
      <c r="G173" s="3261"/>
      <c r="H173" s="3261"/>
      <c r="I173" s="3261"/>
      <c r="J173" s="3261"/>
      <c r="K173" s="3261">
        <v>0</v>
      </c>
      <c r="L173" s="3261">
        <v>7</v>
      </c>
      <c r="M173" s="161"/>
      <c r="N173" s="161"/>
      <c r="O173" s="161">
        <v>7</v>
      </c>
      <c r="P173" s="73"/>
      <c r="R173" s="74"/>
      <c r="S173" s="74"/>
      <c r="T173" s="74" t="s">
        <v>573</v>
      </c>
      <c r="U173" s="74" t="s">
        <v>1284</v>
      </c>
      <c r="V173" s="3229"/>
      <c r="W173" s="3229">
        <v>0</v>
      </c>
      <c r="X173" s="3229">
        <v>0</v>
      </c>
      <c r="Y173" s="3229">
        <v>0</v>
      </c>
      <c r="Z173" s="3229">
        <v>0</v>
      </c>
      <c r="AA173" s="3229">
        <v>0</v>
      </c>
      <c r="AB173" s="3229">
        <v>1</v>
      </c>
      <c r="AC173" s="3229">
        <v>2</v>
      </c>
      <c r="AD173" s="3229">
        <v>0</v>
      </c>
      <c r="AE173" s="121"/>
      <c r="AF173" s="121"/>
      <c r="AG173" s="121">
        <v>3</v>
      </c>
      <c r="AJ173" s="161"/>
      <c r="AK173" s="161"/>
      <c r="AL173" s="73"/>
      <c r="AM173" s="73" t="s">
        <v>1288</v>
      </c>
      <c r="AN173" s="2600"/>
      <c r="AO173" s="2600">
        <v>0</v>
      </c>
      <c r="AP173" s="2600"/>
      <c r="AQ173" s="2600"/>
      <c r="AR173" s="2600"/>
      <c r="AS173" s="2600"/>
      <c r="AT173" s="2600">
        <v>0</v>
      </c>
      <c r="AU173" s="2600">
        <v>1</v>
      </c>
      <c r="AV173" s="2600">
        <v>0</v>
      </c>
      <c r="AW173" s="161"/>
      <c r="AX173" s="161"/>
      <c r="AY173" s="161">
        <v>1</v>
      </c>
      <c r="AZ173" s="161"/>
      <c r="BB173" s="2191"/>
      <c r="BC173" s="2191"/>
      <c r="BD173" s="2192"/>
      <c r="BE173" s="2193" t="s">
        <v>1292</v>
      </c>
      <c r="BF173" s="2194"/>
      <c r="BG173" s="2194"/>
      <c r="BH173" s="2194"/>
      <c r="BI173" s="2194"/>
      <c r="BJ173" s="2194"/>
      <c r="BK173" s="2194"/>
      <c r="BL173" s="2195">
        <v>0</v>
      </c>
      <c r="BM173" s="2195">
        <v>6</v>
      </c>
      <c r="BN173" s="963"/>
      <c r="BO173" s="963"/>
      <c r="BP173" s="964">
        <v>6</v>
      </c>
      <c r="BQ173" s="73"/>
      <c r="BS173" s="879"/>
      <c r="BT173" s="879"/>
      <c r="BU173" s="880"/>
      <c r="BV173" s="881" t="s">
        <v>1292</v>
      </c>
      <c r="BW173" s="883">
        <v>0</v>
      </c>
      <c r="BX173" s="883">
        <v>0</v>
      </c>
      <c r="BY173" s="883">
        <v>0</v>
      </c>
      <c r="BZ173" s="883">
        <v>0</v>
      </c>
      <c r="CA173" s="883">
        <v>0</v>
      </c>
      <c r="CB173" s="883">
        <v>0</v>
      </c>
      <c r="CC173" s="883">
        <v>1</v>
      </c>
      <c r="CD173" s="883">
        <v>69</v>
      </c>
      <c r="CE173" s="884">
        <v>2</v>
      </c>
      <c r="CF173" s="884">
        <v>3</v>
      </c>
      <c r="CG173" s="884">
        <v>75</v>
      </c>
      <c r="CH173" s="161"/>
      <c r="CJ173" s="885"/>
      <c r="CK173" s="885"/>
      <c r="CL173" s="885"/>
      <c r="CM173" s="897" t="s">
        <v>15</v>
      </c>
      <c r="CN173" s="899">
        <v>1</v>
      </c>
      <c r="CO173" s="899">
        <v>1</v>
      </c>
      <c r="CP173" s="898"/>
      <c r="CQ173" s="899">
        <v>14</v>
      </c>
      <c r="CR173" s="898"/>
      <c r="CS173" s="898"/>
      <c r="CT173" s="898"/>
      <c r="CU173" s="898"/>
      <c r="CV173" s="898"/>
      <c r="CW173" s="900"/>
      <c r="CX173" s="900"/>
      <c r="CY173" s="901">
        <v>16</v>
      </c>
      <c r="CZ173" s="891">
        <f>+(CY172+CY171+CY170)/CY173</f>
        <v>0.625</v>
      </c>
      <c r="DB173" s="892"/>
      <c r="DC173" s="892"/>
      <c r="DD173" s="892"/>
      <c r="DE173" s="902" t="s">
        <v>15</v>
      </c>
      <c r="DF173" s="903"/>
      <c r="DG173" s="903"/>
      <c r="DH173" s="904">
        <v>5</v>
      </c>
      <c r="DI173" s="903"/>
      <c r="DJ173" s="904">
        <v>1</v>
      </c>
      <c r="DK173" s="903"/>
      <c r="DL173" s="903"/>
      <c r="DM173" s="903"/>
      <c r="DN173" s="903"/>
      <c r="DO173" s="903"/>
      <c r="DP173" s="904">
        <v>6</v>
      </c>
      <c r="DQ173" s="905">
        <f>+DP172/DP173</f>
        <v>0.66666666666666663</v>
      </c>
      <c r="DS173" s="121"/>
      <c r="EI173" s="74"/>
      <c r="EJ173" s="793"/>
      <c r="EK173" s="793"/>
      <c r="EL173" s="793"/>
      <c r="EM173" s="793" t="s">
        <v>1288</v>
      </c>
      <c r="EN173" s="793">
        <v>0</v>
      </c>
      <c r="EO173" s="793">
        <v>0</v>
      </c>
      <c r="EP173" s="793">
        <v>0</v>
      </c>
      <c r="EQ173" s="793">
        <v>0</v>
      </c>
      <c r="ER173" s="793">
        <v>0</v>
      </c>
      <c r="ES173" s="793">
        <v>0</v>
      </c>
      <c r="ET173" s="793">
        <v>4</v>
      </c>
      <c r="EU173" s="793">
        <v>0</v>
      </c>
      <c r="EV173" s="793">
        <v>0</v>
      </c>
      <c r="EW173" s="793">
        <v>0</v>
      </c>
      <c r="EX173" s="793">
        <v>0</v>
      </c>
      <c r="EY173" s="794">
        <v>4</v>
      </c>
      <c r="EZ173" s="896"/>
      <c r="FA173" s="795"/>
    </row>
    <row r="174" spans="1:157">
      <c r="A174" s="73"/>
      <c r="B174" s="73"/>
      <c r="C174" s="73"/>
      <c r="D174" s="73" t="s">
        <v>1398</v>
      </c>
      <c r="E174" s="3261"/>
      <c r="F174" s="3261">
        <v>0</v>
      </c>
      <c r="G174" s="3261"/>
      <c r="H174" s="3261"/>
      <c r="I174" s="3261"/>
      <c r="J174" s="3261"/>
      <c r="K174" s="3261">
        <v>2</v>
      </c>
      <c r="L174" s="3261">
        <v>0</v>
      </c>
      <c r="M174" s="161"/>
      <c r="N174" s="161"/>
      <c r="O174" s="161">
        <v>2</v>
      </c>
      <c r="P174" s="73"/>
      <c r="R174" s="74"/>
      <c r="S174" s="74"/>
      <c r="T174" s="74"/>
      <c r="U174" s="74" t="s">
        <v>1288</v>
      </c>
      <c r="V174" s="3229"/>
      <c r="W174" s="3229">
        <v>0</v>
      </c>
      <c r="X174" s="3229">
        <v>0</v>
      </c>
      <c r="Y174" s="3229">
        <v>0</v>
      </c>
      <c r="Z174" s="3229">
        <v>2</v>
      </c>
      <c r="AA174" s="3229">
        <v>0</v>
      </c>
      <c r="AB174" s="3229">
        <v>18</v>
      </c>
      <c r="AC174" s="3229">
        <v>5</v>
      </c>
      <c r="AD174" s="3229">
        <v>0</v>
      </c>
      <c r="AE174" s="121"/>
      <c r="AF174" s="121"/>
      <c r="AG174" s="121">
        <v>25</v>
      </c>
      <c r="AJ174" s="161"/>
      <c r="AK174" s="161"/>
      <c r="AL174" s="73"/>
      <c r="AM174" s="73" t="s">
        <v>1292</v>
      </c>
      <c r="AN174" s="2600"/>
      <c r="AO174" s="2600">
        <v>0</v>
      </c>
      <c r="AP174" s="2600"/>
      <c r="AQ174" s="2600"/>
      <c r="AR174" s="2600"/>
      <c r="AS174" s="2600"/>
      <c r="AT174" s="2600">
        <v>0</v>
      </c>
      <c r="AU174" s="2600">
        <v>0</v>
      </c>
      <c r="AV174" s="2600">
        <v>5</v>
      </c>
      <c r="AW174" s="161"/>
      <c r="AX174" s="161"/>
      <c r="AY174" s="161">
        <v>5</v>
      </c>
      <c r="AZ174" s="161"/>
      <c r="BB174" s="2191"/>
      <c r="BC174" s="2191"/>
      <c r="BD174" s="2192"/>
      <c r="BE174" s="760" t="s">
        <v>15</v>
      </c>
      <c r="BF174" s="2196"/>
      <c r="BG174" s="2196"/>
      <c r="BH174" s="2196"/>
      <c r="BI174" s="2196"/>
      <c r="BJ174" s="2196"/>
      <c r="BK174" s="2196"/>
      <c r="BL174" s="2197">
        <v>4</v>
      </c>
      <c r="BM174" s="2197">
        <v>6</v>
      </c>
      <c r="BN174" s="972"/>
      <c r="BO174" s="972"/>
      <c r="BP174" s="973">
        <v>10</v>
      </c>
      <c r="BQ174" s="2154">
        <f>+BP172/BP174</f>
        <v>0.2</v>
      </c>
      <c r="BS174" s="879"/>
      <c r="BT174" s="879"/>
      <c r="BU174" s="880"/>
      <c r="BV174" s="881" t="s">
        <v>1398</v>
      </c>
      <c r="BW174" s="883">
        <v>0</v>
      </c>
      <c r="BX174" s="883">
        <v>0</v>
      </c>
      <c r="BY174" s="883">
        <v>0</v>
      </c>
      <c r="BZ174" s="883">
        <v>0</v>
      </c>
      <c r="CA174" s="883">
        <v>0</v>
      </c>
      <c r="CB174" s="883">
        <v>24</v>
      </c>
      <c r="CC174" s="883">
        <v>20</v>
      </c>
      <c r="CD174" s="883">
        <v>4</v>
      </c>
      <c r="CE174" s="884">
        <v>0</v>
      </c>
      <c r="CF174" s="884">
        <v>0</v>
      </c>
      <c r="CG174" s="884">
        <v>48</v>
      </c>
      <c r="CH174" s="161"/>
      <c r="CJ174" s="885"/>
      <c r="CK174" s="885"/>
      <c r="CL174" s="897" t="s">
        <v>573</v>
      </c>
      <c r="CM174" s="886" t="s">
        <v>1284</v>
      </c>
      <c r="CN174" s="888">
        <v>1</v>
      </c>
      <c r="CO174" s="888">
        <v>1</v>
      </c>
      <c r="CP174" s="887"/>
      <c r="CQ174" s="888">
        <v>4</v>
      </c>
      <c r="CR174" s="887"/>
      <c r="CS174" s="887"/>
      <c r="CT174" s="887"/>
      <c r="CU174" s="887"/>
      <c r="CV174" s="887"/>
      <c r="CW174" s="889"/>
      <c r="CX174" s="889"/>
      <c r="CY174" s="890">
        <v>6</v>
      </c>
      <c r="CZ174" s="891"/>
      <c r="DB174" s="892"/>
      <c r="DC174" s="892" t="s">
        <v>105</v>
      </c>
      <c r="DD174" s="892" t="s">
        <v>144</v>
      </c>
      <c r="DE174" s="893" t="s">
        <v>1284</v>
      </c>
      <c r="DF174" s="894"/>
      <c r="DG174" s="894"/>
      <c r="DH174" s="894"/>
      <c r="DI174" s="894"/>
      <c r="DJ174" s="895">
        <v>2</v>
      </c>
      <c r="DK174" s="895">
        <v>1</v>
      </c>
      <c r="DL174" s="894"/>
      <c r="DM174" s="894"/>
      <c r="DN174" s="894"/>
      <c r="DO174" s="894"/>
      <c r="DP174" s="895">
        <v>3</v>
      </c>
      <c r="DQ174" s="792"/>
      <c r="DS174" s="121"/>
      <c r="EI174" s="74"/>
      <c r="EJ174" s="793"/>
      <c r="EK174" s="793"/>
      <c r="EL174" s="793"/>
      <c r="EM174" s="793" t="s">
        <v>1292</v>
      </c>
      <c r="EN174" s="793">
        <v>0</v>
      </c>
      <c r="EO174" s="793">
        <v>0</v>
      </c>
      <c r="EP174" s="793">
        <v>0</v>
      </c>
      <c r="EQ174" s="793">
        <v>0</v>
      </c>
      <c r="ER174" s="793">
        <v>0</v>
      </c>
      <c r="ES174" s="793">
        <v>1</v>
      </c>
      <c r="ET174" s="793">
        <v>0</v>
      </c>
      <c r="EU174" s="793">
        <v>0</v>
      </c>
      <c r="EV174" s="793">
        <v>0</v>
      </c>
      <c r="EW174" s="793">
        <v>0</v>
      </c>
      <c r="EX174" s="793">
        <v>0</v>
      </c>
      <c r="EY174" s="794">
        <v>1</v>
      </c>
      <c r="EZ174" s="896"/>
      <c r="FA174" s="795"/>
    </row>
    <row r="175" spans="1:157">
      <c r="A175" s="73"/>
      <c r="B175" s="73"/>
      <c r="C175" s="73"/>
      <c r="D175" s="738" t="s">
        <v>15</v>
      </c>
      <c r="E175" s="3262"/>
      <c r="F175" s="3262">
        <v>1</v>
      </c>
      <c r="G175" s="3262"/>
      <c r="H175" s="3262"/>
      <c r="I175" s="3262"/>
      <c r="J175" s="3262"/>
      <c r="K175" s="3262">
        <v>7</v>
      </c>
      <c r="L175" s="3262">
        <v>7</v>
      </c>
      <c r="M175" s="4674"/>
      <c r="N175" s="4674"/>
      <c r="O175" s="4674">
        <v>15</v>
      </c>
      <c r="P175" s="912">
        <f>+(O174+O172)/O175</f>
        <v>0.46666666666666667</v>
      </c>
      <c r="Q175" s="3197"/>
      <c r="R175" s="74"/>
      <c r="S175" s="74"/>
      <c r="T175" s="74"/>
      <c r="U175" s="74" t="s">
        <v>1289</v>
      </c>
      <c r="V175" s="3229"/>
      <c r="W175" s="3229">
        <v>1</v>
      </c>
      <c r="X175" s="3229">
        <v>3</v>
      </c>
      <c r="Y175" s="3229">
        <v>0</v>
      </c>
      <c r="Z175" s="3229">
        <v>1</v>
      </c>
      <c r="AA175" s="3229">
        <v>1</v>
      </c>
      <c r="AB175" s="3229">
        <v>0</v>
      </c>
      <c r="AC175" s="3229">
        <v>0</v>
      </c>
      <c r="AD175" s="3229">
        <v>0</v>
      </c>
      <c r="AE175" s="121"/>
      <c r="AF175" s="121"/>
      <c r="AG175" s="121">
        <v>6</v>
      </c>
      <c r="AJ175" s="161"/>
      <c r="AK175" s="161"/>
      <c r="AL175" s="73"/>
      <c r="AM175" s="73" t="s">
        <v>1398</v>
      </c>
      <c r="AN175" s="2600"/>
      <c r="AO175" s="2600">
        <v>0</v>
      </c>
      <c r="AP175" s="2600"/>
      <c r="AQ175" s="2600"/>
      <c r="AR175" s="2600"/>
      <c r="AS175" s="2600"/>
      <c r="AT175" s="2600">
        <v>8</v>
      </c>
      <c r="AU175" s="2600">
        <v>2</v>
      </c>
      <c r="AV175" s="2600">
        <v>0</v>
      </c>
      <c r="AW175" s="161"/>
      <c r="AX175" s="161"/>
      <c r="AY175" s="161">
        <v>10</v>
      </c>
      <c r="AZ175" s="161"/>
      <c r="BB175" s="2191"/>
      <c r="BC175" s="2191"/>
      <c r="BD175" s="2192" t="s">
        <v>130</v>
      </c>
      <c r="BE175" s="2193" t="s">
        <v>1283</v>
      </c>
      <c r="BF175" s="2195">
        <v>0</v>
      </c>
      <c r="BG175" s="2194"/>
      <c r="BH175" s="2194"/>
      <c r="BI175" s="2194"/>
      <c r="BJ175" s="2194"/>
      <c r="BK175" s="2195">
        <v>0</v>
      </c>
      <c r="BL175" s="2195">
        <v>1</v>
      </c>
      <c r="BM175" s="2195">
        <v>1</v>
      </c>
      <c r="BN175" s="963"/>
      <c r="BO175" s="963"/>
      <c r="BP175" s="964">
        <v>2</v>
      </c>
      <c r="BQ175" s="73"/>
      <c r="BS175" s="879"/>
      <c r="BT175" s="879"/>
      <c r="BU175" s="880"/>
      <c r="BV175" s="907" t="s">
        <v>111</v>
      </c>
      <c r="BW175" s="909">
        <v>10</v>
      </c>
      <c r="BX175" s="909">
        <v>6</v>
      </c>
      <c r="BY175" s="909">
        <v>2</v>
      </c>
      <c r="BZ175" s="909">
        <v>1</v>
      </c>
      <c r="CA175" s="909">
        <v>1</v>
      </c>
      <c r="CB175" s="909">
        <v>41</v>
      </c>
      <c r="CC175" s="909">
        <v>94</v>
      </c>
      <c r="CD175" s="909">
        <v>103</v>
      </c>
      <c r="CE175" s="911">
        <v>13</v>
      </c>
      <c r="CF175" s="911">
        <v>10</v>
      </c>
      <c r="CG175" s="911">
        <v>281</v>
      </c>
      <c r="CH175" s="912">
        <f>+(CG171+CG174)/CG175</f>
        <v>0.44483985765124556</v>
      </c>
      <c r="CJ175" s="885"/>
      <c r="CK175" s="885"/>
      <c r="CL175" s="885"/>
      <c r="CM175" s="886" t="s">
        <v>1288</v>
      </c>
      <c r="CN175" s="888">
        <v>0</v>
      </c>
      <c r="CO175" s="888">
        <v>0</v>
      </c>
      <c r="CP175" s="887"/>
      <c r="CQ175" s="888">
        <v>4</v>
      </c>
      <c r="CR175" s="887"/>
      <c r="CS175" s="887"/>
      <c r="CT175" s="887"/>
      <c r="CU175" s="887"/>
      <c r="CV175" s="887"/>
      <c r="CW175" s="889"/>
      <c r="CX175" s="889"/>
      <c r="CY175" s="890">
        <v>4</v>
      </c>
      <c r="CZ175" s="891"/>
      <c r="DB175" s="892"/>
      <c r="DC175" s="892"/>
      <c r="DD175" s="892"/>
      <c r="DE175" s="893" t="s">
        <v>1288</v>
      </c>
      <c r="DF175" s="894"/>
      <c r="DG175" s="894"/>
      <c r="DH175" s="894"/>
      <c r="DI175" s="894"/>
      <c r="DJ175" s="895">
        <v>0</v>
      </c>
      <c r="DK175" s="895">
        <v>6</v>
      </c>
      <c r="DL175" s="894"/>
      <c r="DM175" s="894"/>
      <c r="DN175" s="894"/>
      <c r="DO175" s="894"/>
      <c r="DP175" s="895">
        <v>6</v>
      </c>
      <c r="DQ175" s="792"/>
      <c r="DS175" s="121"/>
      <c r="EI175" s="74"/>
      <c r="EJ175" s="793"/>
      <c r="EK175" s="793"/>
      <c r="EL175" s="793"/>
      <c r="EM175" s="793" t="s">
        <v>1293</v>
      </c>
      <c r="EN175" s="793">
        <v>0</v>
      </c>
      <c r="EO175" s="793">
        <v>0</v>
      </c>
      <c r="EP175" s="793">
        <v>0</v>
      </c>
      <c r="EQ175" s="793">
        <v>0</v>
      </c>
      <c r="ER175" s="793">
        <v>0</v>
      </c>
      <c r="ES175" s="793">
        <v>0</v>
      </c>
      <c r="ET175" s="793">
        <v>5</v>
      </c>
      <c r="EU175" s="793">
        <v>0</v>
      </c>
      <c r="EV175" s="793">
        <v>0</v>
      </c>
      <c r="EW175" s="793">
        <v>0</v>
      </c>
      <c r="EX175" s="793">
        <v>0</v>
      </c>
      <c r="EY175" s="794">
        <v>5</v>
      </c>
      <c r="EZ175" s="896"/>
      <c r="FA175" s="795"/>
    </row>
    <row r="176" spans="1:157">
      <c r="A176" s="73"/>
      <c r="B176" s="73"/>
      <c r="C176" s="73" t="s">
        <v>130</v>
      </c>
      <c r="D176" s="73" t="s">
        <v>1283</v>
      </c>
      <c r="E176" s="3261">
        <v>0</v>
      </c>
      <c r="F176" s="3261"/>
      <c r="G176" s="3261">
        <v>0</v>
      </c>
      <c r="H176" s="3261"/>
      <c r="I176" s="3261"/>
      <c r="J176" s="3261">
        <v>0</v>
      </c>
      <c r="K176" s="3261">
        <v>1</v>
      </c>
      <c r="L176" s="3261">
        <v>0</v>
      </c>
      <c r="M176" s="161"/>
      <c r="N176" s="161"/>
      <c r="O176" s="161">
        <v>1</v>
      </c>
      <c r="P176" s="73"/>
      <c r="R176" s="74"/>
      <c r="S176" s="74"/>
      <c r="T176" s="74"/>
      <c r="U176" s="74" t="s">
        <v>1292</v>
      </c>
      <c r="V176" s="3229"/>
      <c r="W176" s="3229">
        <v>0</v>
      </c>
      <c r="X176" s="3229">
        <v>0</v>
      </c>
      <c r="Y176" s="3229">
        <v>0</v>
      </c>
      <c r="Z176" s="3229">
        <v>0</v>
      </c>
      <c r="AA176" s="3229">
        <v>0</v>
      </c>
      <c r="AB176" s="3229">
        <v>0</v>
      </c>
      <c r="AC176" s="3229">
        <v>0</v>
      </c>
      <c r="AD176" s="3229">
        <v>2</v>
      </c>
      <c r="AE176" s="121"/>
      <c r="AF176" s="121"/>
      <c r="AG176" s="121">
        <v>2</v>
      </c>
      <c r="AJ176" s="161"/>
      <c r="AK176" s="161"/>
      <c r="AL176" s="73"/>
      <c r="AM176" s="738" t="s">
        <v>15</v>
      </c>
      <c r="AN176" s="2601"/>
      <c r="AO176" s="2601">
        <v>1</v>
      </c>
      <c r="AP176" s="2601"/>
      <c r="AQ176" s="2601"/>
      <c r="AR176" s="2601"/>
      <c r="AS176" s="2601"/>
      <c r="AT176" s="2601">
        <v>9</v>
      </c>
      <c r="AU176" s="2601">
        <v>4</v>
      </c>
      <c r="AV176" s="2601">
        <v>5</v>
      </c>
      <c r="AW176" s="151"/>
      <c r="AX176" s="151"/>
      <c r="AY176" s="151">
        <v>19</v>
      </c>
      <c r="AZ176" s="912">
        <f>+(AY173+AY175)/AY176</f>
        <v>0.57894736842105265</v>
      </c>
      <c r="BB176" s="2191"/>
      <c r="BC176" s="2191"/>
      <c r="BD176" s="2192"/>
      <c r="BE176" s="2193" t="s">
        <v>1284</v>
      </c>
      <c r="BF176" s="2195">
        <v>1</v>
      </c>
      <c r="BG176" s="2194"/>
      <c r="BH176" s="2194"/>
      <c r="BI176" s="2194"/>
      <c r="BJ176" s="2194"/>
      <c r="BK176" s="2195">
        <v>0</v>
      </c>
      <c r="BL176" s="2195">
        <v>2</v>
      </c>
      <c r="BM176" s="2195">
        <v>0</v>
      </c>
      <c r="BN176" s="963"/>
      <c r="BO176" s="963"/>
      <c r="BP176" s="964">
        <v>3</v>
      </c>
      <c r="BQ176" s="73"/>
      <c r="BS176" s="879" t="s">
        <v>48</v>
      </c>
      <c r="BT176" s="879" t="s">
        <v>16</v>
      </c>
      <c r="BU176" s="880" t="s">
        <v>133</v>
      </c>
      <c r="BV176" s="881" t="s">
        <v>1283</v>
      </c>
      <c r="BW176" s="883">
        <v>0</v>
      </c>
      <c r="BX176" s="883">
        <v>0</v>
      </c>
      <c r="BY176" s="883">
        <v>1</v>
      </c>
      <c r="BZ176" s="883">
        <v>0</v>
      </c>
      <c r="CA176" s="883">
        <v>0</v>
      </c>
      <c r="CB176" s="883">
        <v>0</v>
      </c>
      <c r="CC176" s="883">
        <v>0</v>
      </c>
      <c r="CD176" s="883">
        <v>0</v>
      </c>
      <c r="CE176" s="879"/>
      <c r="CF176" s="879"/>
      <c r="CG176" s="884">
        <v>1</v>
      </c>
      <c r="CH176" s="161"/>
      <c r="CJ176" s="885"/>
      <c r="CK176" s="885"/>
      <c r="CL176" s="885"/>
      <c r="CM176" s="886" t="s">
        <v>1293</v>
      </c>
      <c r="CN176" s="888">
        <v>0</v>
      </c>
      <c r="CO176" s="888">
        <v>0</v>
      </c>
      <c r="CP176" s="887"/>
      <c r="CQ176" s="888">
        <v>5</v>
      </c>
      <c r="CR176" s="887"/>
      <c r="CS176" s="887"/>
      <c r="CT176" s="887"/>
      <c r="CU176" s="887"/>
      <c r="CV176" s="887"/>
      <c r="CW176" s="889"/>
      <c r="CX176" s="889"/>
      <c r="CY176" s="890">
        <v>5</v>
      </c>
      <c r="CZ176" s="891"/>
      <c r="DB176" s="892"/>
      <c r="DC176" s="892"/>
      <c r="DD176" s="892"/>
      <c r="DE176" s="893" t="s">
        <v>1293</v>
      </c>
      <c r="DF176" s="894"/>
      <c r="DG176" s="894"/>
      <c r="DH176" s="894"/>
      <c r="DI176" s="894"/>
      <c r="DJ176" s="895">
        <v>0</v>
      </c>
      <c r="DK176" s="895">
        <v>1</v>
      </c>
      <c r="DL176" s="894"/>
      <c r="DM176" s="894"/>
      <c r="DN176" s="894"/>
      <c r="DO176" s="894"/>
      <c r="DP176" s="895">
        <v>1</v>
      </c>
      <c r="DQ176" s="792"/>
      <c r="DS176" s="121"/>
      <c r="EI176" s="74"/>
      <c r="EJ176" s="793"/>
      <c r="EK176" s="793"/>
      <c r="EL176" s="793"/>
      <c r="EM176" s="793" t="s">
        <v>1398</v>
      </c>
      <c r="EN176" s="793">
        <v>0</v>
      </c>
      <c r="EO176" s="793">
        <v>0</v>
      </c>
      <c r="EP176" s="793">
        <v>0</v>
      </c>
      <c r="EQ176" s="793">
        <v>0</v>
      </c>
      <c r="ER176" s="793">
        <v>0</v>
      </c>
      <c r="ES176" s="793">
        <v>0</v>
      </c>
      <c r="ET176" s="793">
        <v>5</v>
      </c>
      <c r="EU176" s="793">
        <v>0</v>
      </c>
      <c r="EV176" s="793">
        <v>0</v>
      </c>
      <c r="EW176" s="793">
        <v>0</v>
      </c>
      <c r="EX176" s="793">
        <v>0</v>
      </c>
      <c r="EY176" s="794">
        <v>5</v>
      </c>
      <c r="EZ176" s="896"/>
      <c r="FA176" s="795"/>
    </row>
    <row r="177" spans="1:157" ht="15.75" thickBot="1">
      <c r="A177" s="73"/>
      <c r="B177" s="73"/>
      <c r="C177" s="73"/>
      <c r="D177" s="73" t="s">
        <v>1284</v>
      </c>
      <c r="E177" s="3261">
        <v>0</v>
      </c>
      <c r="F177" s="3261"/>
      <c r="G177" s="3261">
        <v>1</v>
      </c>
      <c r="H177" s="3261"/>
      <c r="I177" s="3261"/>
      <c r="J177" s="3261">
        <v>0</v>
      </c>
      <c r="K177" s="3261">
        <v>0</v>
      </c>
      <c r="L177" s="3261">
        <v>0</v>
      </c>
      <c r="M177" s="161"/>
      <c r="N177" s="161"/>
      <c r="O177" s="161">
        <v>1</v>
      </c>
      <c r="P177" s="73"/>
      <c r="R177" s="74"/>
      <c r="S177" s="74"/>
      <c r="T177" s="74"/>
      <c r="U177" s="74" t="s">
        <v>1398</v>
      </c>
      <c r="V177" s="3229"/>
      <c r="W177" s="3229">
        <v>0</v>
      </c>
      <c r="X177" s="3229">
        <v>0</v>
      </c>
      <c r="Y177" s="3229">
        <v>10</v>
      </c>
      <c r="Z177" s="3229">
        <v>2</v>
      </c>
      <c r="AA177" s="3229">
        <v>0</v>
      </c>
      <c r="AB177" s="3229">
        <v>5</v>
      </c>
      <c r="AC177" s="3229">
        <v>0</v>
      </c>
      <c r="AD177" s="3229">
        <v>0</v>
      </c>
      <c r="AE177" s="121"/>
      <c r="AF177" s="121"/>
      <c r="AG177" s="121">
        <v>17</v>
      </c>
      <c r="AJ177" s="161"/>
      <c r="AK177" s="161"/>
      <c r="AL177" s="73" t="s">
        <v>131</v>
      </c>
      <c r="AM177" s="73" t="s">
        <v>1284</v>
      </c>
      <c r="AN177" s="2600"/>
      <c r="AO177" s="2600"/>
      <c r="AP177" s="2600">
        <v>1</v>
      </c>
      <c r="AQ177" s="2600"/>
      <c r="AR177" s="2600"/>
      <c r="AS177" s="2600">
        <v>1</v>
      </c>
      <c r="AT177" s="2600">
        <v>0</v>
      </c>
      <c r="AU177" s="2600">
        <v>1</v>
      </c>
      <c r="AV177" s="2600">
        <v>0</v>
      </c>
      <c r="AW177" s="161"/>
      <c r="AX177" s="161"/>
      <c r="AY177" s="161">
        <v>3</v>
      </c>
      <c r="AZ177" s="161"/>
      <c r="BB177" s="2191"/>
      <c r="BC177" s="2191"/>
      <c r="BD177" s="2192"/>
      <c r="BE177" s="2193" t="s">
        <v>1288</v>
      </c>
      <c r="BF177" s="2195">
        <v>0</v>
      </c>
      <c r="BG177" s="2194"/>
      <c r="BH177" s="2194"/>
      <c r="BI177" s="2194"/>
      <c r="BJ177" s="2194"/>
      <c r="BK177" s="2195">
        <v>1</v>
      </c>
      <c r="BL177" s="2195">
        <v>1</v>
      </c>
      <c r="BM177" s="2195">
        <v>0</v>
      </c>
      <c r="BN177" s="963"/>
      <c r="BO177" s="963"/>
      <c r="BP177" s="964">
        <v>2</v>
      </c>
      <c r="BQ177" s="73"/>
      <c r="BS177" s="879"/>
      <c r="BT177" s="879"/>
      <c r="BU177" s="880"/>
      <c r="BV177" s="881" t="s">
        <v>1284</v>
      </c>
      <c r="BW177" s="883">
        <v>1</v>
      </c>
      <c r="BX177" s="883">
        <v>1</v>
      </c>
      <c r="BY177" s="883">
        <v>0</v>
      </c>
      <c r="BZ177" s="883">
        <v>1</v>
      </c>
      <c r="CA177" s="883">
        <v>2</v>
      </c>
      <c r="CB177" s="883">
        <v>26</v>
      </c>
      <c r="CC177" s="883">
        <v>4</v>
      </c>
      <c r="CD177" s="883">
        <v>0</v>
      </c>
      <c r="CE177" s="879"/>
      <c r="CF177" s="879"/>
      <c r="CG177" s="884">
        <v>35</v>
      </c>
      <c r="CH177" s="161"/>
      <c r="CJ177" s="885"/>
      <c r="CK177" s="885"/>
      <c r="CL177" s="885"/>
      <c r="CM177" s="886" t="s">
        <v>1398</v>
      </c>
      <c r="CN177" s="888">
        <v>1</v>
      </c>
      <c r="CO177" s="888">
        <v>0</v>
      </c>
      <c r="CP177" s="887"/>
      <c r="CQ177" s="888">
        <v>4</v>
      </c>
      <c r="CR177" s="887"/>
      <c r="CS177" s="887"/>
      <c r="CT177" s="887"/>
      <c r="CU177" s="887"/>
      <c r="CV177" s="887"/>
      <c r="CW177" s="889"/>
      <c r="CX177" s="889"/>
      <c r="CY177" s="890">
        <v>5</v>
      </c>
      <c r="CZ177" s="891"/>
      <c r="DB177" s="892"/>
      <c r="DC177" s="892"/>
      <c r="DD177" s="892"/>
      <c r="DE177" s="893" t="s">
        <v>1398</v>
      </c>
      <c r="DF177" s="894"/>
      <c r="DG177" s="894"/>
      <c r="DH177" s="894"/>
      <c r="DI177" s="894"/>
      <c r="DJ177" s="895">
        <v>0</v>
      </c>
      <c r="DK177" s="895">
        <v>5</v>
      </c>
      <c r="DL177" s="894"/>
      <c r="DM177" s="894"/>
      <c r="DN177" s="894"/>
      <c r="DO177" s="894"/>
      <c r="DP177" s="895">
        <v>5</v>
      </c>
      <c r="DQ177" s="792"/>
      <c r="DS177" s="121"/>
      <c r="EI177" s="74"/>
      <c r="EJ177" s="913"/>
      <c r="EK177" s="913"/>
      <c r="EL177" s="913"/>
      <c r="EM177" s="816" t="s">
        <v>15</v>
      </c>
      <c r="EN177" s="816">
        <v>0</v>
      </c>
      <c r="EO177" s="816">
        <v>0</v>
      </c>
      <c r="EP177" s="816">
        <v>0</v>
      </c>
      <c r="EQ177" s="816">
        <v>0</v>
      </c>
      <c r="ER177" s="816">
        <v>0</v>
      </c>
      <c r="ES177" s="816">
        <v>1</v>
      </c>
      <c r="ET177" s="816">
        <v>17</v>
      </c>
      <c r="EU177" s="816">
        <v>0</v>
      </c>
      <c r="EV177" s="816">
        <v>0</v>
      </c>
      <c r="EW177" s="816">
        <v>0</v>
      </c>
      <c r="EX177" s="816">
        <v>0</v>
      </c>
      <c r="EY177" s="817">
        <v>18</v>
      </c>
      <c r="EZ177" s="914">
        <f>+(EY176+EY175+EY173)/EY177</f>
        <v>0.77777777777777779</v>
      </c>
      <c r="FA177" s="770">
        <f>+EY173+EY175+EY176</f>
        <v>14</v>
      </c>
    </row>
    <row r="178" spans="1:157" ht="15.75" thickBot="1">
      <c r="A178" s="73"/>
      <c r="B178" s="73"/>
      <c r="C178" s="73"/>
      <c r="D178" s="73" t="s">
        <v>1286</v>
      </c>
      <c r="E178" s="3261">
        <v>1</v>
      </c>
      <c r="F178" s="3261"/>
      <c r="G178" s="3261">
        <v>0</v>
      </c>
      <c r="H178" s="3261"/>
      <c r="I178" s="3261"/>
      <c r="J178" s="3261">
        <v>0</v>
      </c>
      <c r="K178" s="3261">
        <v>0</v>
      </c>
      <c r="L178" s="3261">
        <v>0</v>
      </c>
      <c r="M178" s="161"/>
      <c r="N178" s="161"/>
      <c r="O178" s="161">
        <v>1</v>
      </c>
      <c r="P178" s="73"/>
      <c r="R178" s="74"/>
      <c r="S178" s="74"/>
      <c r="T178" s="74"/>
      <c r="U178" s="761" t="s">
        <v>573</v>
      </c>
      <c r="V178" s="3230"/>
      <c r="W178" s="3230">
        <v>1</v>
      </c>
      <c r="X178" s="3230">
        <v>3</v>
      </c>
      <c r="Y178" s="3230">
        <v>10</v>
      </c>
      <c r="Z178" s="3230">
        <v>5</v>
      </c>
      <c r="AA178" s="3230">
        <v>1</v>
      </c>
      <c r="AB178" s="3230">
        <v>24</v>
      </c>
      <c r="AC178" s="3230">
        <v>7</v>
      </c>
      <c r="AD178" s="3230">
        <v>2</v>
      </c>
      <c r="AE178" s="729"/>
      <c r="AF178" s="729"/>
      <c r="AG178" s="729">
        <v>53</v>
      </c>
      <c r="AH178" s="4681">
        <f>+(AG174+AG177)/AG178</f>
        <v>0.79245283018867929</v>
      </c>
      <c r="AJ178" s="161"/>
      <c r="AK178" s="161"/>
      <c r="AL178" s="73"/>
      <c r="AM178" s="73" t="s">
        <v>1288</v>
      </c>
      <c r="AN178" s="2600"/>
      <c r="AO178" s="2600"/>
      <c r="AP178" s="2600">
        <v>0</v>
      </c>
      <c r="AQ178" s="2600"/>
      <c r="AR178" s="2600"/>
      <c r="AS178" s="2600">
        <v>0</v>
      </c>
      <c r="AT178" s="2600">
        <v>0</v>
      </c>
      <c r="AU178" s="2600">
        <v>3</v>
      </c>
      <c r="AV178" s="2600">
        <v>0</v>
      </c>
      <c r="AW178" s="161"/>
      <c r="AX178" s="161"/>
      <c r="AY178" s="161">
        <v>3</v>
      </c>
      <c r="AZ178" s="161"/>
      <c r="BB178" s="2191"/>
      <c r="BC178" s="2191"/>
      <c r="BD178" s="2192"/>
      <c r="BE178" s="2193" t="s">
        <v>1292</v>
      </c>
      <c r="BF178" s="2195">
        <v>0</v>
      </c>
      <c r="BG178" s="2194"/>
      <c r="BH178" s="2194"/>
      <c r="BI178" s="2194"/>
      <c r="BJ178" s="2194"/>
      <c r="BK178" s="2195">
        <v>0</v>
      </c>
      <c r="BL178" s="2195">
        <v>0</v>
      </c>
      <c r="BM178" s="2195">
        <v>6</v>
      </c>
      <c r="BN178" s="963"/>
      <c r="BO178" s="963"/>
      <c r="BP178" s="964">
        <v>6</v>
      </c>
      <c r="BQ178" s="73"/>
      <c r="BS178" s="879"/>
      <c r="BT178" s="879"/>
      <c r="BU178" s="880"/>
      <c r="BV178" s="881" t="s">
        <v>1292</v>
      </c>
      <c r="BW178" s="883">
        <v>0</v>
      </c>
      <c r="BX178" s="883">
        <v>0</v>
      </c>
      <c r="BY178" s="883">
        <v>0</v>
      </c>
      <c r="BZ178" s="883">
        <v>0</v>
      </c>
      <c r="CA178" s="883">
        <v>0</v>
      </c>
      <c r="CB178" s="883">
        <v>0</v>
      </c>
      <c r="CC178" s="883">
        <v>1</v>
      </c>
      <c r="CD178" s="883">
        <v>1</v>
      </c>
      <c r="CE178" s="879"/>
      <c r="CF178" s="879"/>
      <c r="CG178" s="884">
        <v>2</v>
      </c>
      <c r="CH178" s="161"/>
      <c r="CJ178" s="885"/>
      <c r="CK178" s="885"/>
      <c r="CL178" s="885"/>
      <c r="CM178" s="897" t="s">
        <v>573</v>
      </c>
      <c r="CN178" s="899">
        <v>2</v>
      </c>
      <c r="CO178" s="899">
        <v>1</v>
      </c>
      <c r="CP178" s="898"/>
      <c r="CQ178" s="899">
        <v>17</v>
      </c>
      <c r="CR178" s="898"/>
      <c r="CS178" s="898"/>
      <c r="CT178" s="898"/>
      <c r="CU178" s="898"/>
      <c r="CV178" s="898"/>
      <c r="CW178" s="900"/>
      <c r="CX178" s="900"/>
      <c r="CY178" s="901">
        <v>20</v>
      </c>
      <c r="CZ178" s="891">
        <f>+(CY177+CY176+CY175)/CY178</f>
        <v>0.7</v>
      </c>
      <c r="DB178" s="915"/>
      <c r="DC178" s="915"/>
      <c r="DD178" s="915"/>
      <c r="DE178" s="916" t="s">
        <v>15</v>
      </c>
      <c r="DF178" s="917"/>
      <c r="DG178" s="917"/>
      <c r="DH178" s="917"/>
      <c r="DI178" s="917"/>
      <c r="DJ178" s="918">
        <v>2</v>
      </c>
      <c r="DK178" s="918">
        <v>13</v>
      </c>
      <c r="DL178" s="917"/>
      <c r="DM178" s="917"/>
      <c r="DN178" s="917"/>
      <c r="DO178" s="917"/>
      <c r="DP178" s="918">
        <v>15</v>
      </c>
      <c r="DQ178" s="919">
        <f>+(DP177+DP176+DP175)/DP178</f>
        <v>0.8</v>
      </c>
      <c r="DS178" s="121"/>
      <c r="EI178" s="74"/>
      <c r="EJ178" s="793"/>
      <c r="EK178" s="793"/>
      <c r="EL178" s="793"/>
      <c r="EM178" s="793"/>
      <c r="EN178" s="793"/>
      <c r="EO178" s="793"/>
      <c r="EP178" s="793"/>
      <c r="EQ178" s="793"/>
      <c r="ER178" s="793"/>
      <c r="ES178" s="793"/>
      <c r="ET178" s="793"/>
      <c r="EU178" s="793"/>
      <c r="EV178" s="793"/>
      <c r="EW178" s="793"/>
      <c r="EX178" s="793"/>
      <c r="EY178" s="794"/>
      <c r="EZ178" s="793"/>
      <c r="FA178" s="795"/>
    </row>
    <row r="179" spans="1:157">
      <c r="A179" s="73"/>
      <c r="B179" s="73"/>
      <c r="C179" s="73"/>
      <c r="D179" s="73" t="s">
        <v>1292</v>
      </c>
      <c r="E179" s="3261">
        <v>0</v>
      </c>
      <c r="F179" s="3261"/>
      <c r="G179" s="3261">
        <v>0</v>
      </c>
      <c r="H179" s="3261"/>
      <c r="I179" s="3261"/>
      <c r="J179" s="3261">
        <v>0</v>
      </c>
      <c r="K179" s="3261">
        <v>0</v>
      </c>
      <c r="L179" s="3261">
        <v>5</v>
      </c>
      <c r="M179" s="161"/>
      <c r="N179" s="161"/>
      <c r="O179" s="161">
        <v>5</v>
      </c>
      <c r="P179" s="73"/>
      <c r="R179" s="74"/>
      <c r="S179" s="74" t="s">
        <v>41</v>
      </c>
      <c r="T179" s="74" t="s">
        <v>462</v>
      </c>
      <c r="U179" s="74" t="s">
        <v>1288</v>
      </c>
      <c r="V179" s="3229"/>
      <c r="W179" s="3229"/>
      <c r="X179" s="3229"/>
      <c r="Y179" s="3229"/>
      <c r="Z179" s="3229"/>
      <c r="AA179" s="3229"/>
      <c r="AB179" s="3229">
        <v>1</v>
      </c>
      <c r="AC179" s="3229">
        <v>4</v>
      </c>
      <c r="AD179" s="3229">
        <v>0</v>
      </c>
      <c r="AE179" s="121"/>
      <c r="AF179" s="121"/>
      <c r="AG179" s="121">
        <v>5</v>
      </c>
      <c r="AJ179" s="161"/>
      <c r="AK179" s="161"/>
      <c r="AL179" s="73"/>
      <c r="AM179" s="73" t="s">
        <v>1292</v>
      </c>
      <c r="AN179" s="2600"/>
      <c r="AO179" s="2600"/>
      <c r="AP179" s="2600">
        <v>0</v>
      </c>
      <c r="AQ179" s="2600"/>
      <c r="AR179" s="2600"/>
      <c r="AS179" s="2600">
        <v>0</v>
      </c>
      <c r="AT179" s="2600">
        <v>0</v>
      </c>
      <c r="AU179" s="2600">
        <v>0</v>
      </c>
      <c r="AV179" s="2600">
        <v>2</v>
      </c>
      <c r="AW179" s="161"/>
      <c r="AX179" s="161"/>
      <c r="AY179" s="161">
        <v>2</v>
      </c>
      <c r="AZ179" s="161"/>
      <c r="BB179" s="2191"/>
      <c r="BC179" s="2191"/>
      <c r="BD179" s="2192"/>
      <c r="BE179" s="2193" t="s">
        <v>1398</v>
      </c>
      <c r="BF179" s="2195">
        <v>0</v>
      </c>
      <c r="BG179" s="2194"/>
      <c r="BH179" s="2194"/>
      <c r="BI179" s="2194"/>
      <c r="BJ179" s="2194"/>
      <c r="BK179" s="2195">
        <v>14</v>
      </c>
      <c r="BL179" s="2195">
        <v>1</v>
      </c>
      <c r="BM179" s="2195">
        <v>0</v>
      </c>
      <c r="BN179" s="963"/>
      <c r="BO179" s="963"/>
      <c r="BP179" s="964">
        <v>15</v>
      </c>
      <c r="BQ179" s="73"/>
      <c r="BS179" s="879"/>
      <c r="BT179" s="879"/>
      <c r="BU179" s="880"/>
      <c r="BV179" s="881" t="s">
        <v>1293</v>
      </c>
      <c r="BW179" s="883">
        <v>0</v>
      </c>
      <c r="BX179" s="883">
        <v>0</v>
      </c>
      <c r="BY179" s="883">
        <v>0</v>
      </c>
      <c r="BZ179" s="883">
        <v>0</v>
      </c>
      <c r="CA179" s="883">
        <v>0</v>
      </c>
      <c r="CB179" s="883">
        <v>1</v>
      </c>
      <c r="CC179" s="883">
        <v>0</v>
      </c>
      <c r="CD179" s="883">
        <v>0</v>
      </c>
      <c r="CE179" s="879"/>
      <c r="CF179" s="879"/>
      <c r="CG179" s="884">
        <v>1</v>
      </c>
      <c r="CH179" s="161"/>
      <c r="CJ179" s="885"/>
      <c r="CK179" s="885" t="s">
        <v>41</v>
      </c>
      <c r="CL179" s="885" t="s">
        <v>140</v>
      </c>
      <c r="CM179" s="886" t="s">
        <v>1284</v>
      </c>
      <c r="CN179" s="887"/>
      <c r="CO179" s="888">
        <v>1</v>
      </c>
      <c r="CP179" s="887"/>
      <c r="CQ179" s="887"/>
      <c r="CR179" s="887"/>
      <c r="CS179" s="887"/>
      <c r="CT179" s="888">
        <v>0</v>
      </c>
      <c r="CU179" s="888">
        <v>2</v>
      </c>
      <c r="CV179" s="887"/>
      <c r="CW179" s="889"/>
      <c r="CX179" s="889"/>
      <c r="CY179" s="890">
        <v>3</v>
      </c>
      <c r="CZ179" s="891"/>
      <c r="DS179" s="121"/>
      <c r="EI179" s="74"/>
      <c r="EJ179" s="793"/>
      <c r="EK179" s="793"/>
      <c r="EL179" s="793"/>
      <c r="EM179" s="793"/>
      <c r="EN179" s="796">
        <f>+EN177+EN171+EN166+EN160+EN155+EN149+EN146+EN142+EN137+EN133+EN128+EN122+EN115+EN111+EN107+EN102+EN97+EN90+EN83+EN78+EN73+EN69+EN66+EN61+EN57+EN51+EN43+EN39+EN33+EN30+EN26+EN21+EN18+EN11</f>
        <v>1</v>
      </c>
      <c r="EO179" s="796">
        <f>+EO177+EO171+EO166+EO160+EO155+EO149+EO146+EO142+EO137+EO133+EO128+EO122+EO115+EO111+EO107+EO102+EO97+EO90+EO83+EO78+EO73+EO69+EO66+EO61+EO57+EO51+EO43+EO39+EO33+EO30+EO26+EO21+EO18+EO11</f>
        <v>3</v>
      </c>
      <c r="EP179" s="796">
        <f>+EP177+EP171+EP166+EP160+EP155+EP149+EP146+EP142+EP137+EP133+EP128+EP122+EP115+EP111+EP107+EP102+EP97+EP90+EP83+EP78+EP73+EP69+EP66+EP61+EP57+EP51+EP43+EP39+EP33+EP30+EP26+EP21+EP18+EP11</f>
        <v>13</v>
      </c>
      <c r="EQ179" s="796">
        <f>+EQ177+EQ171+EQ166+EQ160+EQ155+EQ149+EQ146+EQ142+EQ137+EQ133+EQ128+EQ122+EQ115+EQ111+EQ107+EQ102+EQ97+EQ90+EQ83+EQ78+EQ73+EQ69+EQ66+EQ61+EQ57+EQ51+EQ43+EQ39+EQ33+EQ30+EQ26+EQ21+EQ18+EQ11</f>
        <v>35</v>
      </c>
      <c r="ER179" s="796">
        <f>+ER177+ER171+ER166+ER160+ER155+ER149+ER146+ER142+ER137+ER133+ER128+ER122+ER115+ER111+ER107+ER102+ER97+ER90+ER83+ER78+ER73+ER69+ER66+ER61+ER57+ER51+ER43+ER39+ER33+ER30+ER26+ER21+ER18+ER11</f>
        <v>29</v>
      </c>
      <c r="ES179" s="796"/>
      <c r="ET179" s="796"/>
      <c r="EU179" s="796"/>
      <c r="EV179" s="796"/>
      <c r="EW179" s="796"/>
      <c r="EX179" s="796"/>
      <c r="EY179" s="856"/>
      <c r="EZ179" s="793"/>
      <c r="FA179" s="795"/>
    </row>
    <row r="180" spans="1:157">
      <c r="A180" s="73"/>
      <c r="B180" s="73"/>
      <c r="C180" s="73"/>
      <c r="D180" s="73" t="s">
        <v>1398</v>
      </c>
      <c r="E180" s="3261">
        <v>0</v>
      </c>
      <c r="F180" s="3261"/>
      <c r="G180" s="3261">
        <v>0</v>
      </c>
      <c r="H180" s="3261"/>
      <c r="I180" s="3261"/>
      <c r="J180" s="3261">
        <v>7</v>
      </c>
      <c r="K180" s="3261">
        <v>0</v>
      </c>
      <c r="L180" s="3261">
        <v>0</v>
      </c>
      <c r="M180" s="161"/>
      <c r="N180" s="161"/>
      <c r="O180" s="161">
        <v>7</v>
      </c>
      <c r="P180" s="73"/>
      <c r="R180" s="74"/>
      <c r="S180" s="74"/>
      <c r="T180" s="74"/>
      <c r="U180" s="74" t="s">
        <v>1292</v>
      </c>
      <c r="V180" s="3229"/>
      <c r="W180" s="3229"/>
      <c r="X180" s="3229"/>
      <c r="Y180" s="3229"/>
      <c r="Z180" s="3229"/>
      <c r="AA180" s="3229"/>
      <c r="AB180" s="3229">
        <v>0</v>
      </c>
      <c r="AC180" s="3229">
        <v>0</v>
      </c>
      <c r="AD180" s="3229">
        <v>9</v>
      </c>
      <c r="AE180" s="121"/>
      <c r="AF180" s="121"/>
      <c r="AG180" s="121">
        <v>9</v>
      </c>
      <c r="AJ180" s="161"/>
      <c r="AK180" s="161"/>
      <c r="AL180" s="73"/>
      <c r="AM180" s="73" t="s">
        <v>1398</v>
      </c>
      <c r="AN180" s="2600"/>
      <c r="AO180" s="2600"/>
      <c r="AP180" s="2600">
        <v>0</v>
      </c>
      <c r="AQ180" s="2600"/>
      <c r="AR180" s="2600"/>
      <c r="AS180" s="2600">
        <v>0</v>
      </c>
      <c r="AT180" s="2600">
        <v>3</v>
      </c>
      <c r="AU180" s="2600">
        <v>6</v>
      </c>
      <c r="AV180" s="2600">
        <v>0</v>
      </c>
      <c r="AW180" s="161"/>
      <c r="AX180" s="161"/>
      <c r="AY180" s="161">
        <v>9</v>
      </c>
      <c r="AZ180" s="161"/>
      <c r="BB180" s="2191"/>
      <c r="BC180" s="2191"/>
      <c r="BD180" s="2192"/>
      <c r="BE180" s="760" t="s">
        <v>15</v>
      </c>
      <c r="BF180" s="2197">
        <v>1</v>
      </c>
      <c r="BG180" s="2196"/>
      <c r="BH180" s="2196"/>
      <c r="BI180" s="2196"/>
      <c r="BJ180" s="2196"/>
      <c r="BK180" s="2197">
        <v>15</v>
      </c>
      <c r="BL180" s="2197">
        <v>5</v>
      </c>
      <c r="BM180" s="2197">
        <v>7</v>
      </c>
      <c r="BN180" s="972"/>
      <c r="BO180" s="972"/>
      <c r="BP180" s="973">
        <v>28</v>
      </c>
      <c r="BQ180" s="2154">
        <f>+(BP177+BP179)/BP180</f>
        <v>0.6071428571428571</v>
      </c>
      <c r="BS180" s="879"/>
      <c r="BT180" s="879"/>
      <c r="BU180" s="880"/>
      <c r="BV180" s="907" t="s">
        <v>15</v>
      </c>
      <c r="BW180" s="909">
        <v>1</v>
      </c>
      <c r="BX180" s="909">
        <v>1</v>
      </c>
      <c r="BY180" s="909">
        <v>1</v>
      </c>
      <c r="BZ180" s="909">
        <v>1</v>
      </c>
      <c r="CA180" s="909">
        <v>2</v>
      </c>
      <c r="CB180" s="909">
        <v>27</v>
      </c>
      <c r="CC180" s="909">
        <v>5</v>
      </c>
      <c r="CD180" s="909">
        <v>1</v>
      </c>
      <c r="CE180" s="910"/>
      <c r="CF180" s="910"/>
      <c r="CG180" s="911">
        <v>39</v>
      </c>
      <c r="CH180" s="912">
        <f>+CG179/CG180</f>
        <v>2.564102564102564E-2</v>
      </c>
      <c r="CJ180" s="885"/>
      <c r="CK180" s="885"/>
      <c r="CL180" s="885"/>
      <c r="CM180" s="886" t="s">
        <v>1288</v>
      </c>
      <c r="CN180" s="887"/>
      <c r="CO180" s="888">
        <v>0</v>
      </c>
      <c r="CP180" s="887"/>
      <c r="CQ180" s="887"/>
      <c r="CR180" s="887"/>
      <c r="CS180" s="887"/>
      <c r="CT180" s="888">
        <v>0</v>
      </c>
      <c r="CU180" s="888">
        <v>1</v>
      </c>
      <c r="CV180" s="887"/>
      <c r="CW180" s="889"/>
      <c r="CX180" s="889"/>
      <c r="CY180" s="890">
        <v>1</v>
      </c>
      <c r="CZ180" s="891"/>
      <c r="DS180" s="121"/>
      <c r="EI180" s="74"/>
      <c r="EJ180" s="795"/>
      <c r="EK180" s="795"/>
      <c r="EL180" s="795"/>
      <c r="EM180" s="795"/>
      <c r="EN180" s="795"/>
      <c r="EO180" s="795"/>
      <c r="EP180" s="795"/>
      <c r="EQ180" s="795"/>
      <c r="ER180" s="795"/>
      <c r="ES180" s="795"/>
      <c r="ET180" s="795"/>
      <c r="EU180" s="795"/>
      <c r="EV180" s="795"/>
      <c r="EW180" s="795"/>
      <c r="EX180" s="795"/>
      <c r="EY180" s="856"/>
      <c r="EZ180" s="793"/>
      <c r="FA180" s="793"/>
    </row>
    <row r="181" spans="1:157">
      <c r="A181" s="73"/>
      <c r="B181" s="73"/>
      <c r="C181" s="73"/>
      <c r="D181" s="738" t="s">
        <v>15</v>
      </c>
      <c r="E181" s="3262">
        <v>1</v>
      </c>
      <c r="F181" s="3262"/>
      <c r="G181" s="3262">
        <v>1</v>
      </c>
      <c r="H181" s="3262"/>
      <c r="I181" s="3262"/>
      <c r="J181" s="3262">
        <v>7</v>
      </c>
      <c r="K181" s="3262">
        <v>1</v>
      </c>
      <c r="L181" s="3262">
        <v>5</v>
      </c>
      <c r="M181" s="4674"/>
      <c r="N181" s="4674"/>
      <c r="O181" s="4674">
        <v>15</v>
      </c>
      <c r="P181" s="912">
        <f>+O180/O181</f>
        <v>0.46666666666666667</v>
      </c>
      <c r="Q181" s="3197"/>
      <c r="R181" s="74"/>
      <c r="S181" s="74"/>
      <c r="T181" s="74"/>
      <c r="U181" s="761" t="s">
        <v>15</v>
      </c>
      <c r="V181" s="3230"/>
      <c r="W181" s="3230"/>
      <c r="X181" s="3230"/>
      <c r="Y181" s="3230"/>
      <c r="Z181" s="3230"/>
      <c r="AA181" s="3230"/>
      <c r="AB181" s="3230">
        <v>1</v>
      </c>
      <c r="AC181" s="3230">
        <v>4</v>
      </c>
      <c r="AD181" s="3230">
        <v>9</v>
      </c>
      <c r="AE181" s="729"/>
      <c r="AF181" s="729"/>
      <c r="AG181" s="729">
        <v>14</v>
      </c>
      <c r="AH181" s="4681">
        <f>+AG179/AG181</f>
        <v>0.35714285714285715</v>
      </c>
      <c r="AJ181" s="161"/>
      <c r="AK181" s="161"/>
      <c r="AL181" s="73"/>
      <c r="AM181" s="738" t="s">
        <v>15</v>
      </c>
      <c r="AN181" s="2601"/>
      <c r="AO181" s="2601"/>
      <c r="AP181" s="2601">
        <v>1</v>
      </c>
      <c r="AQ181" s="2601"/>
      <c r="AR181" s="2601"/>
      <c r="AS181" s="2601">
        <v>1</v>
      </c>
      <c r="AT181" s="2601">
        <v>3</v>
      </c>
      <c r="AU181" s="2601">
        <v>10</v>
      </c>
      <c r="AV181" s="2601">
        <v>2</v>
      </c>
      <c r="AW181" s="151"/>
      <c r="AX181" s="151"/>
      <c r="AY181" s="151">
        <v>17</v>
      </c>
      <c r="AZ181" s="912">
        <f>+(AY178+AY180)/AY181</f>
        <v>0.70588235294117652</v>
      </c>
      <c r="BB181" s="2191"/>
      <c r="BC181" s="2191"/>
      <c r="BD181" s="2192" t="s">
        <v>131</v>
      </c>
      <c r="BE181" s="2193" t="s">
        <v>1284</v>
      </c>
      <c r="BF181" s="2194"/>
      <c r="BG181" s="2194"/>
      <c r="BH181" s="2194"/>
      <c r="BI181" s="2194"/>
      <c r="BJ181" s="2194"/>
      <c r="BK181" s="2195">
        <v>1</v>
      </c>
      <c r="BL181" s="2195">
        <v>4</v>
      </c>
      <c r="BM181" s="2195">
        <v>0</v>
      </c>
      <c r="BN181" s="963"/>
      <c r="BO181" s="963"/>
      <c r="BP181" s="964">
        <v>5</v>
      </c>
      <c r="BQ181" s="73"/>
      <c r="BS181" s="879"/>
      <c r="BT181" s="879"/>
      <c r="BU181" s="880" t="s">
        <v>134</v>
      </c>
      <c r="BV181" s="881" t="s">
        <v>1284</v>
      </c>
      <c r="BW181" s="883">
        <v>2</v>
      </c>
      <c r="BX181" s="883">
        <v>1</v>
      </c>
      <c r="BY181" s="883">
        <v>1</v>
      </c>
      <c r="BZ181" s="883">
        <v>1</v>
      </c>
      <c r="CA181" s="882"/>
      <c r="CB181" s="883">
        <v>11</v>
      </c>
      <c r="CC181" s="883">
        <v>4</v>
      </c>
      <c r="CD181" s="883">
        <v>0</v>
      </c>
      <c r="CE181" s="879"/>
      <c r="CF181" s="879"/>
      <c r="CG181" s="884">
        <v>20</v>
      </c>
      <c r="CH181" s="161"/>
      <c r="CJ181" s="885"/>
      <c r="CK181" s="885"/>
      <c r="CL181" s="885"/>
      <c r="CM181" s="886" t="s">
        <v>1293</v>
      </c>
      <c r="CN181" s="887"/>
      <c r="CO181" s="888">
        <v>0</v>
      </c>
      <c r="CP181" s="887"/>
      <c r="CQ181" s="887"/>
      <c r="CR181" s="887"/>
      <c r="CS181" s="887"/>
      <c r="CT181" s="888">
        <v>3</v>
      </c>
      <c r="CU181" s="888">
        <v>2</v>
      </c>
      <c r="CV181" s="887"/>
      <c r="CW181" s="889"/>
      <c r="CX181" s="889"/>
      <c r="CY181" s="890">
        <v>5</v>
      </c>
      <c r="CZ181" s="891"/>
      <c r="DC181" s="191"/>
      <c r="DF181" s="4898" t="s">
        <v>1373</v>
      </c>
      <c r="DG181" s="4898"/>
      <c r="DH181" s="4898"/>
      <c r="DI181" s="4898"/>
      <c r="DJ181" s="4898"/>
      <c r="DK181" s="4898"/>
      <c r="DL181" s="4898"/>
      <c r="DM181" s="4898"/>
      <c r="DN181" s="4898"/>
      <c r="DO181" s="4898"/>
      <c r="DS181" s="121"/>
      <c r="DW181" s="4898" t="s">
        <v>1373</v>
      </c>
      <c r="DX181" s="4898"/>
      <c r="DY181" s="4898"/>
      <c r="DZ181" s="4898"/>
      <c r="EA181" s="4898"/>
      <c r="EB181" s="4898"/>
      <c r="EC181" s="4898"/>
      <c r="ED181" s="4898"/>
      <c r="EE181" s="4898"/>
      <c r="EF181" s="4898"/>
      <c r="EI181" s="74"/>
      <c r="EJ181" s="793"/>
      <c r="EK181" s="793"/>
      <c r="EL181" s="793"/>
      <c r="EM181" s="793"/>
      <c r="EN181" s="4918" t="s">
        <v>1373</v>
      </c>
      <c r="EO181" s="4918"/>
      <c r="EP181" s="4918"/>
      <c r="EQ181" s="4918"/>
      <c r="ER181" s="4918"/>
      <c r="ES181" s="4918"/>
      <c r="ET181" s="4918"/>
      <c r="EU181" s="4918"/>
      <c r="EV181" s="4918"/>
      <c r="EW181" s="4918"/>
      <c r="EX181" s="4918"/>
      <c r="EY181" s="794"/>
      <c r="EZ181" s="793"/>
      <c r="FA181" s="793"/>
    </row>
    <row r="182" spans="1:157" ht="26.25" thickBot="1">
      <c r="A182" s="73"/>
      <c r="B182" s="73"/>
      <c r="C182" s="73" t="s">
        <v>131</v>
      </c>
      <c r="D182" s="73" t="s">
        <v>1284</v>
      </c>
      <c r="E182" s="3261"/>
      <c r="F182" s="3261"/>
      <c r="G182" s="3261"/>
      <c r="H182" s="3261"/>
      <c r="I182" s="3261"/>
      <c r="J182" s="3261">
        <v>2</v>
      </c>
      <c r="K182" s="3261">
        <v>0</v>
      </c>
      <c r="L182" s="3261">
        <v>0</v>
      </c>
      <c r="M182" s="161"/>
      <c r="N182" s="161"/>
      <c r="O182" s="161">
        <v>2</v>
      </c>
      <c r="P182" s="73"/>
      <c r="R182" s="74"/>
      <c r="S182" s="74"/>
      <c r="T182" s="74" t="s">
        <v>130</v>
      </c>
      <c r="U182" s="74" t="s">
        <v>1284</v>
      </c>
      <c r="V182" s="3229"/>
      <c r="W182" s="3229"/>
      <c r="X182" s="3229">
        <v>1</v>
      </c>
      <c r="Y182" s="3229"/>
      <c r="Z182" s="3229"/>
      <c r="AA182" s="3229"/>
      <c r="AB182" s="3229">
        <v>0</v>
      </c>
      <c r="AC182" s="3229">
        <v>1</v>
      </c>
      <c r="AD182" s="3229">
        <v>0</v>
      </c>
      <c r="AE182" s="121"/>
      <c r="AF182" s="121"/>
      <c r="AG182" s="121">
        <v>2</v>
      </c>
      <c r="AJ182" s="161"/>
      <c r="AK182" s="161"/>
      <c r="AL182" s="73" t="s">
        <v>132</v>
      </c>
      <c r="AM182" s="73" t="s">
        <v>1284</v>
      </c>
      <c r="AN182" s="2600"/>
      <c r="AO182" s="2600"/>
      <c r="AP182" s="2600"/>
      <c r="AQ182" s="2600"/>
      <c r="AR182" s="2600"/>
      <c r="AS182" s="2600"/>
      <c r="AT182" s="2600">
        <v>2</v>
      </c>
      <c r="AU182" s="2600">
        <v>2</v>
      </c>
      <c r="AV182" s="2600">
        <v>0</v>
      </c>
      <c r="AW182" s="161"/>
      <c r="AX182" s="161"/>
      <c r="AY182" s="161">
        <v>4</v>
      </c>
      <c r="AZ182" s="161"/>
      <c r="BB182" s="2191"/>
      <c r="BC182" s="2191"/>
      <c r="BD182" s="2192"/>
      <c r="BE182" s="2193" t="s">
        <v>1288</v>
      </c>
      <c r="BF182" s="2194"/>
      <c r="BG182" s="2194"/>
      <c r="BH182" s="2194"/>
      <c r="BI182" s="2194"/>
      <c r="BJ182" s="2194"/>
      <c r="BK182" s="2195">
        <v>1</v>
      </c>
      <c r="BL182" s="2195">
        <v>2</v>
      </c>
      <c r="BM182" s="2195">
        <v>0</v>
      </c>
      <c r="BN182" s="963"/>
      <c r="BO182" s="963"/>
      <c r="BP182" s="964">
        <v>3</v>
      </c>
      <c r="BQ182" s="73"/>
      <c r="BS182" s="879"/>
      <c r="BT182" s="879"/>
      <c r="BU182" s="880"/>
      <c r="BV182" s="881" t="s">
        <v>1286</v>
      </c>
      <c r="BW182" s="883">
        <v>1</v>
      </c>
      <c r="BX182" s="883">
        <v>0</v>
      </c>
      <c r="BY182" s="883">
        <v>0</v>
      </c>
      <c r="BZ182" s="883">
        <v>0</v>
      </c>
      <c r="CA182" s="882"/>
      <c r="CB182" s="883">
        <v>0</v>
      </c>
      <c r="CC182" s="883">
        <v>0</v>
      </c>
      <c r="CD182" s="883">
        <v>0</v>
      </c>
      <c r="CE182" s="879"/>
      <c r="CF182" s="879"/>
      <c r="CG182" s="884">
        <v>1</v>
      </c>
      <c r="CH182" s="161"/>
      <c r="CJ182" s="885"/>
      <c r="CK182" s="885"/>
      <c r="CL182" s="885"/>
      <c r="CM182" s="886" t="s">
        <v>1398</v>
      </c>
      <c r="CN182" s="887"/>
      <c r="CO182" s="888">
        <v>0</v>
      </c>
      <c r="CP182" s="887"/>
      <c r="CQ182" s="887"/>
      <c r="CR182" s="887"/>
      <c r="CS182" s="887"/>
      <c r="CT182" s="888">
        <v>4</v>
      </c>
      <c r="CU182" s="888">
        <v>1</v>
      </c>
      <c r="CV182" s="887"/>
      <c r="CW182" s="889"/>
      <c r="CX182" s="889"/>
      <c r="CY182" s="890">
        <v>5</v>
      </c>
      <c r="CZ182" s="891"/>
      <c r="DB182" s="88" t="s">
        <v>0</v>
      </c>
      <c r="DD182" s="88" t="s">
        <v>1</v>
      </c>
      <c r="DE182" s="88" t="s">
        <v>1282</v>
      </c>
      <c r="DF182" s="88">
        <v>1</v>
      </c>
      <c r="DG182" s="88">
        <v>2</v>
      </c>
      <c r="DH182" s="88">
        <v>3</v>
      </c>
      <c r="DI182" s="88">
        <v>4</v>
      </c>
      <c r="DJ182" s="88">
        <v>5</v>
      </c>
      <c r="DK182" s="88">
        <v>6</v>
      </c>
      <c r="DL182" s="88">
        <v>7</v>
      </c>
      <c r="DM182" s="88">
        <v>8</v>
      </c>
      <c r="DN182" s="88">
        <v>9</v>
      </c>
      <c r="DO182" s="88">
        <v>10</v>
      </c>
      <c r="DP182" s="88" t="s">
        <v>15</v>
      </c>
      <c r="DQ182" s="88" t="s">
        <v>66</v>
      </c>
      <c r="DS182" s="121"/>
      <c r="DT182" s="88" t="s">
        <v>0</v>
      </c>
      <c r="DU182" s="88" t="s">
        <v>1</v>
      </c>
      <c r="DV182" s="88" t="s">
        <v>1282</v>
      </c>
      <c r="DW182" s="88">
        <v>1</v>
      </c>
      <c r="DX182" s="88">
        <v>2</v>
      </c>
      <c r="DY182" s="88">
        <v>3</v>
      </c>
      <c r="DZ182" s="88">
        <v>4</v>
      </c>
      <c r="EA182" s="88">
        <v>5</v>
      </c>
      <c r="EB182" s="88">
        <v>6</v>
      </c>
      <c r="EC182" s="88">
        <v>7</v>
      </c>
      <c r="ED182" s="88">
        <v>8</v>
      </c>
      <c r="EE182" s="88">
        <v>9</v>
      </c>
      <c r="EF182" s="88">
        <v>10</v>
      </c>
      <c r="EG182" s="88" t="s">
        <v>15</v>
      </c>
      <c r="EH182" s="88" t="s">
        <v>66</v>
      </c>
      <c r="EI182" s="74"/>
      <c r="EJ182" s="793"/>
      <c r="EK182" s="817" t="s">
        <v>0</v>
      </c>
      <c r="EL182" s="817" t="s">
        <v>1</v>
      </c>
      <c r="EM182" s="817" t="s">
        <v>1375</v>
      </c>
      <c r="EN182" s="817">
        <v>0</v>
      </c>
      <c r="EO182" s="817">
        <v>1</v>
      </c>
      <c r="EP182" s="817">
        <v>2</v>
      </c>
      <c r="EQ182" s="817">
        <v>3</v>
      </c>
      <c r="ER182" s="817">
        <v>4</v>
      </c>
      <c r="ES182" s="817">
        <v>5</v>
      </c>
      <c r="ET182" s="817">
        <v>6</v>
      </c>
      <c r="EU182" s="817">
        <v>7</v>
      </c>
      <c r="EV182" s="817">
        <v>8</v>
      </c>
      <c r="EW182" s="817">
        <v>9</v>
      </c>
      <c r="EX182" s="817">
        <v>10</v>
      </c>
      <c r="EY182" s="817" t="s">
        <v>15</v>
      </c>
      <c r="EZ182" s="847" t="s">
        <v>66</v>
      </c>
      <c r="FA182" s="846" t="s">
        <v>1376</v>
      </c>
    </row>
    <row r="183" spans="1:157">
      <c r="A183" s="73"/>
      <c r="B183" s="73"/>
      <c r="C183" s="73"/>
      <c r="D183" s="73" t="s">
        <v>1288</v>
      </c>
      <c r="E183" s="3261"/>
      <c r="F183" s="3261"/>
      <c r="G183" s="3261"/>
      <c r="H183" s="3261"/>
      <c r="I183" s="3261"/>
      <c r="J183" s="3261">
        <v>2</v>
      </c>
      <c r="K183" s="3261">
        <v>8</v>
      </c>
      <c r="L183" s="3261">
        <v>0</v>
      </c>
      <c r="M183" s="161"/>
      <c r="N183" s="161"/>
      <c r="O183" s="161">
        <v>10</v>
      </c>
      <c r="P183" s="73"/>
      <c r="R183" s="74"/>
      <c r="S183" s="74"/>
      <c r="T183" s="74"/>
      <c r="U183" s="74" t="s">
        <v>1292</v>
      </c>
      <c r="V183" s="3229"/>
      <c r="W183" s="3229"/>
      <c r="X183" s="3229">
        <v>0</v>
      </c>
      <c r="Y183" s="3229"/>
      <c r="Z183" s="3229"/>
      <c r="AA183" s="3229"/>
      <c r="AB183" s="3229">
        <v>0</v>
      </c>
      <c r="AC183" s="3229">
        <v>1</v>
      </c>
      <c r="AD183" s="3229">
        <v>2</v>
      </c>
      <c r="AE183" s="121"/>
      <c r="AF183" s="121"/>
      <c r="AG183" s="121">
        <v>3</v>
      </c>
      <c r="AJ183" s="161"/>
      <c r="AK183" s="161"/>
      <c r="AL183" s="73"/>
      <c r="AM183" s="73" t="s">
        <v>1288</v>
      </c>
      <c r="AN183" s="2600"/>
      <c r="AO183" s="2600"/>
      <c r="AP183" s="2600"/>
      <c r="AQ183" s="2600"/>
      <c r="AR183" s="2600"/>
      <c r="AS183" s="2600"/>
      <c r="AT183" s="2600">
        <v>0</v>
      </c>
      <c r="AU183" s="2600">
        <v>5</v>
      </c>
      <c r="AV183" s="2600">
        <v>0</v>
      </c>
      <c r="AW183" s="161"/>
      <c r="AX183" s="161"/>
      <c r="AY183" s="161">
        <v>5</v>
      </c>
      <c r="AZ183" s="161"/>
      <c r="BB183" s="2191"/>
      <c r="BC183" s="2191"/>
      <c r="BD183" s="2192"/>
      <c r="BE183" s="2193" t="s">
        <v>1292</v>
      </c>
      <c r="BF183" s="2194"/>
      <c r="BG183" s="2194"/>
      <c r="BH183" s="2194"/>
      <c r="BI183" s="2194"/>
      <c r="BJ183" s="2194"/>
      <c r="BK183" s="2195">
        <v>0</v>
      </c>
      <c r="BL183" s="2195">
        <v>0</v>
      </c>
      <c r="BM183" s="2195">
        <v>4</v>
      </c>
      <c r="BN183" s="963"/>
      <c r="BO183" s="963"/>
      <c r="BP183" s="964">
        <v>4</v>
      </c>
      <c r="BQ183" s="73"/>
      <c r="BS183" s="879"/>
      <c r="BT183" s="879"/>
      <c r="BU183" s="880"/>
      <c r="BV183" s="881" t="s">
        <v>1288</v>
      </c>
      <c r="BW183" s="883">
        <v>0</v>
      </c>
      <c r="BX183" s="883">
        <v>0</v>
      </c>
      <c r="BY183" s="883">
        <v>0</v>
      </c>
      <c r="BZ183" s="883">
        <v>0</v>
      </c>
      <c r="CA183" s="882"/>
      <c r="CB183" s="883">
        <v>1</v>
      </c>
      <c r="CC183" s="883">
        <v>0</v>
      </c>
      <c r="CD183" s="883">
        <v>0</v>
      </c>
      <c r="CE183" s="879"/>
      <c r="CF183" s="879"/>
      <c r="CG183" s="884">
        <v>1</v>
      </c>
      <c r="CH183" s="161"/>
      <c r="CJ183" s="885"/>
      <c r="CK183" s="885"/>
      <c r="CL183" s="885"/>
      <c r="CM183" s="897" t="s">
        <v>15</v>
      </c>
      <c r="CN183" s="898"/>
      <c r="CO183" s="899">
        <v>1</v>
      </c>
      <c r="CP183" s="898"/>
      <c r="CQ183" s="898"/>
      <c r="CR183" s="898"/>
      <c r="CS183" s="898"/>
      <c r="CT183" s="899">
        <v>7</v>
      </c>
      <c r="CU183" s="899">
        <v>6</v>
      </c>
      <c r="CV183" s="898"/>
      <c r="CW183" s="900"/>
      <c r="CX183" s="900"/>
      <c r="CY183" s="901">
        <v>14</v>
      </c>
      <c r="CZ183" s="891">
        <f>+(CY182+CY181+CY180)/CY183</f>
        <v>0.7857142857142857</v>
      </c>
      <c r="DB183" s="892" t="s">
        <v>3</v>
      </c>
      <c r="DD183" s="892" t="s">
        <v>572</v>
      </c>
      <c r="DE183" s="893" t="s">
        <v>1283</v>
      </c>
      <c r="DF183" s="894"/>
      <c r="DG183" s="894"/>
      <c r="DH183" s="895">
        <v>0</v>
      </c>
      <c r="DI183" s="895">
        <v>0</v>
      </c>
      <c r="DJ183" s="895">
        <v>0</v>
      </c>
      <c r="DK183" s="895">
        <v>0</v>
      </c>
      <c r="DL183" s="895">
        <v>1</v>
      </c>
      <c r="DM183" s="895">
        <v>1</v>
      </c>
      <c r="DN183" s="895">
        <v>0</v>
      </c>
      <c r="DO183" s="895">
        <v>2</v>
      </c>
      <c r="DP183" s="895">
        <v>4</v>
      </c>
      <c r="DQ183" s="792"/>
      <c r="DS183" s="121"/>
      <c r="DT183" s="121" t="s">
        <v>3</v>
      </c>
      <c r="DU183" s="121" t="s">
        <v>4</v>
      </c>
      <c r="DV183" s="74" t="s">
        <v>1283</v>
      </c>
      <c r="DW183" s="121"/>
      <c r="DX183" s="121">
        <v>0</v>
      </c>
      <c r="DY183" s="121">
        <v>0</v>
      </c>
      <c r="DZ183" s="121">
        <v>0</v>
      </c>
      <c r="EA183" s="121">
        <v>0</v>
      </c>
      <c r="EB183" s="121">
        <v>1</v>
      </c>
      <c r="EC183" s="121">
        <v>0</v>
      </c>
      <c r="ED183" s="121">
        <v>2</v>
      </c>
      <c r="EE183" s="121"/>
      <c r="EF183" s="121">
        <v>0</v>
      </c>
      <c r="EG183" s="121">
        <v>3</v>
      </c>
      <c r="EH183" s="74"/>
      <c r="EI183" s="74"/>
      <c r="EJ183" s="793"/>
      <c r="EK183" s="793" t="s">
        <v>1379</v>
      </c>
      <c r="EL183" s="793" t="s">
        <v>4</v>
      </c>
      <c r="EM183" s="793" t="s">
        <v>1283</v>
      </c>
      <c r="EN183" s="793">
        <v>0</v>
      </c>
      <c r="EO183" s="793">
        <v>0</v>
      </c>
      <c r="EP183" s="793">
        <v>0</v>
      </c>
      <c r="EQ183" s="793">
        <v>0</v>
      </c>
      <c r="ER183" s="793">
        <v>1</v>
      </c>
      <c r="ES183" s="793">
        <v>0</v>
      </c>
      <c r="ET183" s="793">
        <v>0</v>
      </c>
      <c r="EU183" s="793">
        <v>0</v>
      </c>
      <c r="EV183" s="793">
        <v>2</v>
      </c>
      <c r="EW183" s="793">
        <v>0</v>
      </c>
      <c r="EX183" s="793">
        <v>0</v>
      </c>
      <c r="EY183" s="794">
        <v>3</v>
      </c>
      <c r="EZ183" s="793"/>
      <c r="FA183" s="795"/>
    </row>
    <row r="184" spans="1:157">
      <c r="A184" s="73"/>
      <c r="B184" s="73"/>
      <c r="C184" s="73"/>
      <c r="D184" s="73" t="s">
        <v>1292</v>
      </c>
      <c r="E184" s="3261"/>
      <c r="F184" s="3261"/>
      <c r="G184" s="3261"/>
      <c r="H184" s="3261"/>
      <c r="I184" s="3261"/>
      <c r="J184" s="3261">
        <v>0</v>
      </c>
      <c r="K184" s="3261">
        <v>0</v>
      </c>
      <c r="L184" s="3261">
        <v>2</v>
      </c>
      <c r="M184" s="161"/>
      <c r="N184" s="161"/>
      <c r="O184" s="161">
        <v>2</v>
      </c>
      <c r="P184" s="73"/>
      <c r="R184" s="74"/>
      <c r="S184" s="74"/>
      <c r="T184" s="74"/>
      <c r="U184" s="74" t="s">
        <v>1398</v>
      </c>
      <c r="V184" s="3229"/>
      <c r="W184" s="3229"/>
      <c r="X184" s="3229">
        <v>0</v>
      </c>
      <c r="Y184" s="3229"/>
      <c r="Z184" s="3229"/>
      <c r="AA184" s="3229"/>
      <c r="AB184" s="3229">
        <v>10</v>
      </c>
      <c r="AC184" s="3229">
        <v>0</v>
      </c>
      <c r="AD184" s="3229">
        <v>0</v>
      </c>
      <c r="AE184" s="121"/>
      <c r="AF184" s="121"/>
      <c r="AG184" s="121">
        <v>10</v>
      </c>
      <c r="AJ184" s="161"/>
      <c r="AK184" s="161"/>
      <c r="AL184" s="73"/>
      <c r="AM184" s="73" t="s">
        <v>1292</v>
      </c>
      <c r="AN184" s="2600"/>
      <c r="AO184" s="2600"/>
      <c r="AP184" s="2600"/>
      <c r="AQ184" s="2600"/>
      <c r="AR184" s="2600"/>
      <c r="AS184" s="2600"/>
      <c r="AT184" s="2600">
        <v>0</v>
      </c>
      <c r="AU184" s="2600">
        <v>0</v>
      </c>
      <c r="AV184" s="2600">
        <v>7</v>
      </c>
      <c r="AW184" s="161"/>
      <c r="AX184" s="161"/>
      <c r="AY184" s="161">
        <v>7</v>
      </c>
      <c r="AZ184" s="161"/>
      <c r="BB184" s="2191"/>
      <c r="BC184" s="2191"/>
      <c r="BD184" s="2192"/>
      <c r="BE184" s="2193" t="s">
        <v>1398</v>
      </c>
      <c r="BF184" s="2194"/>
      <c r="BG184" s="2194"/>
      <c r="BH184" s="2194"/>
      <c r="BI184" s="2194"/>
      <c r="BJ184" s="2194"/>
      <c r="BK184" s="2195">
        <v>3</v>
      </c>
      <c r="BL184" s="2195">
        <v>2</v>
      </c>
      <c r="BM184" s="2195">
        <v>0</v>
      </c>
      <c r="BN184" s="963"/>
      <c r="BO184" s="963"/>
      <c r="BP184" s="964">
        <v>5</v>
      </c>
      <c r="BQ184" s="73"/>
      <c r="BS184" s="879"/>
      <c r="BT184" s="879"/>
      <c r="BU184" s="880"/>
      <c r="BV184" s="881" t="s">
        <v>1289</v>
      </c>
      <c r="BW184" s="883">
        <v>0</v>
      </c>
      <c r="BX184" s="883">
        <v>1</v>
      </c>
      <c r="BY184" s="883">
        <v>0</v>
      </c>
      <c r="BZ184" s="883">
        <v>0</v>
      </c>
      <c r="CA184" s="882"/>
      <c r="CB184" s="883">
        <v>0</v>
      </c>
      <c r="CC184" s="883">
        <v>0</v>
      </c>
      <c r="CD184" s="883">
        <v>0</v>
      </c>
      <c r="CE184" s="879"/>
      <c r="CF184" s="879"/>
      <c r="CG184" s="884">
        <v>1</v>
      </c>
      <c r="CH184" s="161"/>
      <c r="CJ184" s="885"/>
      <c r="CK184" s="885"/>
      <c r="CL184" s="885" t="s">
        <v>141</v>
      </c>
      <c r="CM184" s="886" t="s">
        <v>1284</v>
      </c>
      <c r="CN184" s="887"/>
      <c r="CO184" s="887"/>
      <c r="CP184" s="887"/>
      <c r="CQ184" s="888">
        <v>1</v>
      </c>
      <c r="CR184" s="887"/>
      <c r="CS184" s="888">
        <v>1</v>
      </c>
      <c r="CT184" s="888">
        <v>4</v>
      </c>
      <c r="CU184" s="887"/>
      <c r="CV184" s="887"/>
      <c r="CW184" s="889"/>
      <c r="CX184" s="889"/>
      <c r="CY184" s="890">
        <v>6</v>
      </c>
      <c r="CZ184" s="891"/>
      <c r="DD184" s="892"/>
      <c r="DE184" s="893" t="s">
        <v>1284</v>
      </c>
      <c r="DF184" s="894"/>
      <c r="DG184" s="894"/>
      <c r="DH184" s="895">
        <v>0</v>
      </c>
      <c r="DI184" s="895">
        <v>1</v>
      </c>
      <c r="DJ184" s="895">
        <v>0</v>
      </c>
      <c r="DK184" s="895">
        <v>6</v>
      </c>
      <c r="DL184" s="895">
        <v>2</v>
      </c>
      <c r="DM184" s="895">
        <v>1</v>
      </c>
      <c r="DN184" s="895">
        <v>1</v>
      </c>
      <c r="DO184" s="895">
        <v>0</v>
      </c>
      <c r="DP184" s="895">
        <v>11</v>
      </c>
      <c r="DQ184" s="792"/>
      <c r="DS184" s="121"/>
      <c r="DT184" s="121"/>
      <c r="DU184" s="121"/>
      <c r="DV184" s="74" t="s">
        <v>1284</v>
      </c>
      <c r="DW184" s="121"/>
      <c r="DX184" s="121">
        <v>3</v>
      </c>
      <c r="DY184" s="121">
        <v>1</v>
      </c>
      <c r="DZ184" s="121">
        <v>1</v>
      </c>
      <c r="EA184" s="121">
        <v>1</v>
      </c>
      <c r="EB184" s="121">
        <v>4</v>
      </c>
      <c r="EC184" s="121">
        <v>7</v>
      </c>
      <c r="ED184" s="121">
        <v>1</v>
      </c>
      <c r="EE184" s="121"/>
      <c r="EF184" s="121">
        <v>0</v>
      </c>
      <c r="EG184" s="121">
        <v>18</v>
      </c>
      <c r="EH184" s="74"/>
      <c r="EI184" s="74"/>
      <c r="EJ184" s="793"/>
      <c r="EK184" s="793"/>
      <c r="EL184" s="793"/>
      <c r="EM184" s="793" t="s">
        <v>1284</v>
      </c>
      <c r="EN184" s="793">
        <v>0</v>
      </c>
      <c r="EO184" s="793">
        <v>0</v>
      </c>
      <c r="EP184" s="793">
        <v>0</v>
      </c>
      <c r="EQ184" s="793">
        <v>0</v>
      </c>
      <c r="ER184" s="793">
        <v>1</v>
      </c>
      <c r="ES184" s="793">
        <v>0</v>
      </c>
      <c r="ET184" s="793">
        <v>1</v>
      </c>
      <c r="EU184" s="793">
        <v>2</v>
      </c>
      <c r="EV184" s="793">
        <v>0</v>
      </c>
      <c r="EW184" s="793">
        <v>0</v>
      </c>
      <c r="EX184" s="793">
        <v>0</v>
      </c>
      <c r="EY184" s="794">
        <v>4</v>
      </c>
      <c r="EZ184" s="793"/>
      <c r="FA184" s="795"/>
    </row>
    <row r="185" spans="1:157">
      <c r="A185" s="73"/>
      <c r="B185" s="73"/>
      <c r="C185" s="73"/>
      <c r="D185" s="738" t="s">
        <v>15</v>
      </c>
      <c r="E185" s="3262"/>
      <c r="F185" s="3262"/>
      <c r="G185" s="3262"/>
      <c r="H185" s="3262"/>
      <c r="I185" s="3262"/>
      <c r="J185" s="3262">
        <v>4</v>
      </c>
      <c r="K185" s="3262">
        <v>8</v>
      </c>
      <c r="L185" s="3262">
        <v>2</v>
      </c>
      <c r="M185" s="4674"/>
      <c r="N185" s="4674"/>
      <c r="O185" s="4674">
        <v>14</v>
      </c>
      <c r="P185" s="912">
        <f>+O183/O185</f>
        <v>0.7142857142857143</v>
      </c>
      <c r="Q185" s="3197"/>
      <c r="R185" s="74"/>
      <c r="S185" s="74"/>
      <c r="T185" s="74"/>
      <c r="U185" s="761" t="s">
        <v>15</v>
      </c>
      <c r="V185" s="3230"/>
      <c r="W185" s="3230"/>
      <c r="X185" s="3230">
        <v>1</v>
      </c>
      <c r="Y185" s="3230"/>
      <c r="Z185" s="3230"/>
      <c r="AA185" s="3230"/>
      <c r="AB185" s="3230">
        <v>10</v>
      </c>
      <c r="AC185" s="3230">
        <v>2</v>
      </c>
      <c r="AD185" s="3230">
        <v>2</v>
      </c>
      <c r="AE185" s="729"/>
      <c r="AF185" s="729"/>
      <c r="AG185" s="729">
        <v>15</v>
      </c>
      <c r="AH185" s="4681">
        <f>+AG184/AG185</f>
        <v>0.66666666666666663</v>
      </c>
      <c r="AJ185" s="161"/>
      <c r="AK185" s="161"/>
      <c r="AL185" s="73"/>
      <c r="AM185" s="73" t="s">
        <v>1398</v>
      </c>
      <c r="AN185" s="2600"/>
      <c r="AO185" s="2600"/>
      <c r="AP185" s="2600"/>
      <c r="AQ185" s="2600"/>
      <c r="AR185" s="2600"/>
      <c r="AS185" s="2600"/>
      <c r="AT185" s="2600">
        <v>0</v>
      </c>
      <c r="AU185" s="2600">
        <v>2</v>
      </c>
      <c r="AV185" s="2600">
        <v>0</v>
      </c>
      <c r="AW185" s="161"/>
      <c r="AX185" s="161"/>
      <c r="AY185" s="161">
        <v>2</v>
      </c>
      <c r="AZ185" s="161"/>
      <c r="BB185" s="2191"/>
      <c r="BC185" s="2191"/>
      <c r="BD185" s="2192"/>
      <c r="BE185" s="760" t="s">
        <v>15</v>
      </c>
      <c r="BF185" s="2196"/>
      <c r="BG185" s="2196"/>
      <c r="BH185" s="2196"/>
      <c r="BI185" s="2196"/>
      <c r="BJ185" s="2196"/>
      <c r="BK185" s="2197">
        <v>5</v>
      </c>
      <c r="BL185" s="2197">
        <v>8</v>
      </c>
      <c r="BM185" s="2197">
        <v>4</v>
      </c>
      <c r="BN185" s="972"/>
      <c r="BO185" s="972"/>
      <c r="BP185" s="973">
        <v>17</v>
      </c>
      <c r="BQ185" s="2154">
        <f>+(BP182+BP184)/BP185</f>
        <v>0.47058823529411764</v>
      </c>
      <c r="BS185" s="879"/>
      <c r="BT185" s="879"/>
      <c r="BU185" s="880"/>
      <c r="BV185" s="881" t="s">
        <v>1292</v>
      </c>
      <c r="BW185" s="883">
        <v>0</v>
      </c>
      <c r="BX185" s="883">
        <v>0</v>
      </c>
      <c r="BY185" s="883">
        <v>0</v>
      </c>
      <c r="BZ185" s="883">
        <v>0</v>
      </c>
      <c r="CA185" s="882"/>
      <c r="CB185" s="883">
        <v>0</v>
      </c>
      <c r="CC185" s="883">
        <v>0</v>
      </c>
      <c r="CD185" s="883">
        <v>1</v>
      </c>
      <c r="CE185" s="879"/>
      <c r="CF185" s="879"/>
      <c r="CG185" s="884">
        <v>1</v>
      </c>
      <c r="CH185" s="161"/>
      <c r="CJ185" s="885"/>
      <c r="CK185" s="885"/>
      <c r="CL185" s="885"/>
      <c r="CM185" s="886" t="s">
        <v>1288</v>
      </c>
      <c r="CN185" s="887"/>
      <c r="CO185" s="887"/>
      <c r="CP185" s="887"/>
      <c r="CQ185" s="888">
        <v>0</v>
      </c>
      <c r="CR185" s="887"/>
      <c r="CS185" s="888">
        <v>1</v>
      </c>
      <c r="CT185" s="888">
        <v>0</v>
      </c>
      <c r="CU185" s="887"/>
      <c r="CV185" s="887"/>
      <c r="CW185" s="889"/>
      <c r="CX185" s="889"/>
      <c r="CY185" s="890">
        <v>1</v>
      </c>
      <c r="CZ185" s="891"/>
      <c r="DD185" s="892"/>
      <c r="DE185" s="893" t="s">
        <v>1288</v>
      </c>
      <c r="DF185" s="894"/>
      <c r="DG185" s="894"/>
      <c r="DH185" s="895">
        <v>0</v>
      </c>
      <c r="DI185" s="895">
        <v>0</v>
      </c>
      <c r="DJ185" s="895">
        <v>1</v>
      </c>
      <c r="DK185" s="895">
        <v>1</v>
      </c>
      <c r="DL185" s="895">
        <v>0</v>
      </c>
      <c r="DM185" s="895">
        <v>1</v>
      </c>
      <c r="DN185" s="895">
        <v>0</v>
      </c>
      <c r="DO185" s="895">
        <v>0</v>
      </c>
      <c r="DP185" s="895">
        <v>3</v>
      </c>
      <c r="DQ185" s="792"/>
      <c r="DS185" s="121"/>
      <c r="DT185" s="121"/>
      <c r="DU185" s="121"/>
      <c r="DV185" s="74" t="s">
        <v>1288</v>
      </c>
      <c r="DW185" s="121"/>
      <c r="DX185" s="121">
        <v>0</v>
      </c>
      <c r="DY185" s="121">
        <v>0</v>
      </c>
      <c r="DZ185" s="121">
        <v>0</v>
      </c>
      <c r="EA185" s="121">
        <v>0</v>
      </c>
      <c r="EB185" s="121">
        <v>1</v>
      </c>
      <c r="EC185" s="121">
        <v>0</v>
      </c>
      <c r="ED185" s="121">
        <v>0</v>
      </c>
      <c r="EE185" s="121"/>
      <c r="EF185" s="121">
        <v>0</v>
      </c>
      <c r="EG185" s="121">
        <v>1</v>
      </c>
      <c r="EH185" s="74"/>
      <c r="EI185" s="74"/>
      <c r="EJ185" s="793"/>
      <c r="EK185" s="793"/>
      <c r="EL185" s="793"/>
      <c r="EM185" s="793" t="s">
        <v>1288</v>
      </c>
      <c r="EN185" s="793">
        <v>0</v>
      </c>
      <c r="EO185" s="793">
        <v>0</v>
      </c>
      <c r="EP185" s="793">
        <v>0</v>
      </c>
      <c r="EQ185" s="793">
        <v>0</v>
      </c>
      <c r="ER185" s="793">
        <v>0</v>
      </c>
      <c r="ES185" s="793">
        <v>0</v>
      </c>
      <c r="ET185" s="793">
        <v>1</v>
      </c>
      <c r="EU185" s="793">
        <v>2</v>
      </c>
      <c r="EV185" s="793">
        <v>1</v>
      </c>
      <c r="EW185" s="793">
        <v>0</v>
      </c>
      <c r="EX185" s="793">
        <v>0</v>
      </c>
      <c r="EY185" s="794">
        <v>4</v>
      </c>
      <c r="EZ185" s="793"/>
      <c r="FA185" s="795"/>
    </row>
    <row r="186" spans="1:157">
      <c r="A186" s="73"/>
      <c r="B186" s="73"/>
      <c r="C186" s="73" t="s">
        <v>132</v>
      </c>
      <c r="D186" s="73" t="s">
        <v>1284</v>
      </c>
      <c r="E186" s="3261"/>
      <c r="F186" s="3261"/>
      <c r="G186" s="3261"/>
      <c r="H186" s="3261"/>
      <c r="I186" s="3261">
        <v>1</v>
      </c>
      <c r="J186" s="3261"/>
      <c r="K186" s="3261">
        <v>1</v>
      </c>
      <c r="L186" s="3261">
        <v>0</v>
      </c>
      <c r="M186" s="161"/>
      <c r="N186" s="161"/>
      <c r="O186" s="161">
        <v>2</v>
      </c>
      <c r="P186" s="73"/>
      <c r="R186" s="74"/>
      <c r="S186" s="74"/>
      <c r="T186" s="74" t="s">
        <v>131</v>
      </c>
      <c r="U186" s="74" t="s">
        <v>1288</v>
      </c>
      <c r="V186" s="3229"/>
      <c r="W186" s="3229"/>
      <c r="X186" s="3229"/>
      <c r="Y186" s="3229"/>
      <c r="Z186" s="3229"/>
      <c r="AA186" s="3229"/>
      <c r="AB186" s="3229">
        <v>0</v>
      </c>
      <c r="AC186" s="3229">
        <v>5</v>
      </c>
      <c r="AD186" s="3229">
        <v>0</v>
      </c>
      <c r="AE186" s="121"/>
      <c r="AF186" s="121"/>
      <c r="AG186" s="121">
        <v>5</v>
      </c>
      <c r="AJ186" s="161"/>
      <c r="AK186" s="161"/>
      <c r="AL186" s="73"/>
      <c r="AM186" s="738" t="s">
        <v>15</v>
      </c>
      <c r="AN186" s="2601"/>
      <c r="AO186" s="2601"/>
      <c r="AP186" s="2601"/>
      <c r="AQ186" s="2601"/>
      <c r="AR186" s="2601"/>
      <c r="AS186" s="2601"/>
      <c r="AT186" s="2601">
        <v>2</v>
      </c>
      <c r="AU186" s="2601">
        <v>9</v>
      </c>
      <c r="AV186" s="2601">
        <v>7</v>
      </c>
      <c r="AW186" s="151"/>
      <c r="AX186" s="151"/>
      <c r="AY186" s="151">
        <v>18</v>
      </c>
      <c r="AZ186" s="912">
        <f>+(AY183+AY185)/AY186</f>
        <v>0.3888888888888889</v>
      </c>
      <c r="BB186" s="2191"/>
      <c r="BC186" s="2191"/>
      <c r="BD186" s="2192" t="s">
        <v>132</v>
      </c>
      <c r="BE186" s="2193" t="s">
        <v>1284</v>
      </c>
      <c r="BF186" s="2194"/>
      <c r="BG186" s="2194"/>
      <c r="BH186" s="2194"/>
      <c r="BI186" s="2194"/>
      <c r="BJ186" s="2194"/>
      <c r="BK186" s="2195">
        <v>1</v>
      </c>
      <c r="BL186" s="2195">
        <v>0</v>
      </c>
      <c r="BM186" s="2195">
        <v>0</v>
      </c>
      <c r="BN186" s="963"/>
      <c r="BO186" s="963"/>
      <c r="BP186" s="964">
        <v>1</v>
      </c>
      <c r="BQ186" s="73"/>
      <c r="BS186" s="879"/>
      <c r="BT186" s="879"/>
      <c r="BU186" s="880"/>
      <c r="BV186" s="881" t="s">
        <v>1398</v>
      </c>
      <c r="BW186" s="883">
        <v>0</v>
      </c>
      <c r="BX186" s="883">
        <v>0</v>
      </c>
      <c r="BY186" s="883">
        <v>0</v>
      </c>
      <c r="BZ186" s="883">
        <v>0</v>
      </c>
      <c r="CA186" s="882"/>
      <c r="CB186" s="883">
        <v>4</v>
      </c>
      <c r="CC186" s="883">
        <v>0</v>
      </c>
      <c r="CD186" s="883">
        <v>0</v>
      </c>
      <c r="CE186" s="879"/>
      <c r="CF186" s="879"/>
      <c r="CG186" s="884">
        <v>4</v>
      </c>
      <c r="CH186" s="161"/>
      <c r="CJ186" s="885"/>
      <c r="CK186" s="885"/>
      <c r="CL186" s="885"/>
      <c r="CM186" s="886" t="s">
        <v>1293</v>
      </c>
      <c r="CN186" s="887"/>
      <c r="CO186" s="887"/>
      <c r="CP186" s="887"/>
      <c r="CQ186" s="888">
        <v>0</v>
      </c>
      <c r="CR186" s="887"/>
      <c r="CS186" s="888">
        <v>3</v>
      </c>
      <c r="CT186" s="888">
        <v>2</v>
      </c>
      <c r="CU186" s="887"/>
      <c r="CV186" s="887"/>
      <c r="CW186" s="889"/>
      <c r="CX186" s="889"/>
      <c r="CY186" s="890">
        <v>5</v>
      </c>
      <c r="CZ186" s="891"/>
      <c r="DD186" s="892"/>
      <c r="DE186" s="893" t="s">
        <v>1289</v>
      </c>
      <c r="DF186" s="894"/>
      <c r="DG186" s="894"/>
      <c r="DH186" s="895">
        <v>2</v>
      </c>
      <c r="DI186" s="895">
        <v>0</v>
      </c>
      <c r="DJ186" s="895">
        <v>0</v>
      </c>
      <c r="DK186" s="895">
        <v>0</v>
      </c>
      <c r="DL186" s="895">
        <v>0</v>
      </c>
      <c r="DM186" s="895">
        <v>0</v>
      </c>
      <c r="DN186" s="895">
        <v>0</v>
      </c>
      <c r="DO186" s="895">
        <v>0</v>
      </c>
      <c r="DP186" s="895">
        <v>2</v>
      </c>
      <c r="DQ186" s="792"/>
      <c r="DS186" s="121"/>
      <c r="DT186" s="121"/>
      <c r="DU186" s="121"/>
      <c r="DV186" s="74" t="s">
        <v>1289</v>
      </c>
      <c r="DW186" s="121"/>
      <c r="DX186" s="121">
        <v>0</v>
      </c>
      <c r="DY186" s="121">
        <v>1</v>
      </c>
      <c r="DZ186" s="121">
        <v>0</v>
      </c>
      <c r="EA186" s="121">
        <v>0</v>
      </c>
      <c r="EB186" s="121">
        <v>0</v>
      </c>
      <c r="EC186" s="121">
        <v>0</v>
      </c>
      <c r="ED186" s="121">
        <v>0</v>
      </c>
      <c r="EE186" s="121"/>
      <c r="EF186" s="121">
        <v>0</v>
      </c>
      <c r="EG186" s="121">
        <v>1</v>
      </c>
      <c r="EH186" s="74"/>
      <c r="EI186" s="74"/>
      <c r="EJ186" s="793"/>
      <c r="EK186" s="793"/>
      <c r="EL186" s="793"/>
      <c r="EM186" s="793" t="s">
        <v>1289</v>
      </c>
      <c r="EN186" s="793">
        <v>0</v>
      </c>
      <c r="EO186" s="793">
        <v>0</v>
      </c>
      <c r="EP186" s="793">
        <v>2</v>
      </c>
      <c r="EQ186" s="793">
        <v>0</v>
      </c>
      <c r="ER186" s="793">
        <v>2</v>
      </c>
      <c r="ES186" s="793">
        <v>0</v>
      </c>
      <c r="ET186" s="793">
        <v>0</v>
      </c>
      <c r="EU186" s="793">
        <v>0</v>
      </c>
      <c r="EV186" s="793">
        <v>0</v>
      </c>
      <c r="EW186" s="793">
        <v>0</v>
      </c>
      <c r="EX186" s="793">
        <v>0</v>
      </c>
      <c r="EY186" s="794">
        <v>4</v>
      </c>
      <c r="EZ186" s="793"/>
      <c r="FA186" s="795"/>
    </row>
    <row r="187" spans="1:157">
      <c r="A187" s="73"/>
      <c r="B187" s="73"/>
      <c r="C187" s="73"/>
      <c r="D187" s="73" t="s">
        <v>1288</v>
      </c>
      <c r="E187" s="3261"/>
      <c r="F187" s="3261"/>
      <c r="G187" s="3261"/>
      <c r="H187" s="3261"/>
      <c r="I187" s="3261">
        <v>0</v>
      </c>
      <c r="J187" s="3261"/>
      <c r="K187" s="3261">
        <v>3</v>
      </c>
      <c r="L187" s="3261">
        <v>0</v>
      </c>
      <c r="M187" s="161"/>
      <c r="N187" s="161"/>
      <c r="O187" s="161">
        <v>3</v>
      </c>
      <c r="P187" s="73"/>
      <c r="R187" s="74"/>
      <c r="S187" s="74"/>
      <c r="T187" s="74"/>
      <c r="U187" s="74" t="s">
        <v>1292</v>
      </c>
      <c r="V187" s="3229"/>
      <c r="W187" s="3229"/>
      <c r="X187" s="3229"/>
      <c r="Y187" s="3229"/>
      <c r="Z187" s="3229"/>
      <c r="AA187" s="3229"/>
      <c r="AB187" s="3229">
        <v>0</v>
      </c>
      <c r="AC187" s="3229">
        <v>0</v>
      </c>
      <c r="AD187" s="3229">
        <v>7</v>
      </c>
      <c r="AE187" s="121"/>
      <c r="AF187" s="121"/>
      <c r="AG187" s="121">
        <v>7</v>
      </c>
      <c r="AJ187" s="161"/>
      <c r="AK187" s="161"/>
      <c r="AL187" s="73" t="s">
        <v>575</v>
      </c>
      <c r="AM187" s="73" t="s">
        <v>1283</v>
      </c>
      <c r="AN187" s="2600"/>
      <c r="AO187" s="2600">
        <v>0</v>
      </c>
      <c r="AP187" s="2600">
        <v>0</v>
      </c>
      <c r="AQ187" s="2600"/>
      <c r="AR187" s="2600"/>
      <c r="AS187" s="2600">
        <v>0</v>
      </c>
      <c r="AT187" s="2600">
        <v>0</v>
      </c>
      <c r="AU187" s="2600">
        <v>0</v>
      </c>
      <c r="AV187" s="2600">
        <v>1</v>
      </c>
      <c r="AW187" s="161"/>
      <c r="AX187" s="161"/>
      <c r="AY187" s="161">
        <v>1</v>
      </c>
      <c r="AZ187" s="161"/>
      <c r="BB187" s="2191"/>
      <c r="BC187" s="2191"/>
      <c r="BD187" s="2192"/>
      <c r="BE187" s="2193" t="s">
        <v>1288</v>
      </c>
      <c r="BF187" s="2194"/>
      <c r="BG187" s="2194"/>
      <c r="BH187" s="2194"/>
      <c r="BI187" s="2194"/>
      <c r="BJ187" s="2194"/>
      <c r="BK187" s="2195">
        <v>1</v>
      </c>
      <c r="BL187" s="2195">
        <v>0</v>
      </c>
      <c r="BM187" s="2195">
        <v>0</v>
      </c>
      <c r="BN187" s="963"/>
      <c r="BO187" s="963"/>
      <c r="BP187" s="964">
        <v>1</v>
      </c>
      <c r="BQ187" s="73"/>
      <c r="BS187" s="879"/>
      <c r="BT187" s="879"/>
      <c r="BU187" s="880"/>
      <c r="BV187" s="907" t="s">
        <v>15</v>
      </c>
      <c r="BW187" s="909">
        <v>3</v>
      </c>
      <c r="BX187" s="909">
        <v>2</v>
      </c>
      <c r="BY187" s="909">
        <v>1</v>
      </c>
      <c r="BZ187" s="909">
        <v>1</v>
      </c>
      <c r="CA187" s="908"/>
      <c r="CB187" s="909">
        <v>16</v>
      </c>
      <c r="CC187" s="909">
        <v>4</v>
      </c>
      <c r="CD187" s="909">
        <v>1</v>
      </c>
      <c r="CE187" s="910"/>
      <c r="CF187" s="910"/>
      <c r="CG187" s="911">
        <v>28</v>
      </c>
      <c r="CH187" s="912">
        <f>+(CG183+CG186)/CG187</f>
        <v>0.17857142857142858</v>
      </c>
      <c r="CJ187" s="885"/>
      <c r="CK187" s="885"/>
      <c r="CL187" s="885"/>
      <c r="CM187" s="886" t="s">
        <v>1398</v>
      </c>
      <c r="CN187" s="887"/>
      <c r="CO187" s="887"/>
      <c r="CP187" s="887"/>
      <c r="CQ187" s="888">
        <v>0</v>
      </c>
      <c r="CR187" s="887"/>
      <c r="CS187" s="888">
        <v>1</v>
      </c>
      <c r="CT187" s="888">
        <v>0</v>
      </c>
      <c r="CU187" s="887"/>
      <c r="CV187" s="887"/>
      <c r="CW187" s="889"/>
      <c r="CX187" s="889"/>
      <c r="CY187" s="890">
        <v>1</v>
      </c>
      <c r="CZ187" s="891"/>
      <c r="DD187" s="892"/>
      <c r="DE187" s="893" t="s">
        <v>1292</v>
      </c>
      <c r="DF187" s="894"/>
      <c r="DG187" s="894"/>
      <c r="DH187" s="895">
        <v>0</v>
      </c>
      <c r="DI187" s="895">
        <v>0</v>
      </c>
      <c r="DJ187" s="895">
        <v>0</v>
      </c>
      <c r="DK187" s="895">
        <v>0</v>
      </c>
      <c r="DL187" s="895">
        <v>1</v>
      </c>
      <c r="DM187" s="895">
        <v>5</v>
      </c>
      <c r="DN187" s="895">
        <v>0</v>
      </c>
      <c r="DO187" s="895">
        <v>2</v>
      </c>
      <c r="DP187" s="895">
        <v>8</v>
      </c>
      <c r="DQ187" s="792"/>
      <c r="DS187" s="121"/>
      <c r="DT187" s="121"/>
      <c r="DU187" s="121"/>
      <c r="DV187" s="74" t="s">
        <v>1292</v>
      </c>
      <c r="DW187" s="121"/>
      <c r="DX187" s="121">
        <v>0</v>
      </c>
      <c r="DY187" s="121">
        <v>0</v>
      </c>
      <c r="DZ187" s="121">
        <v>0</v>
      </c>
      <c r="EA187" s="121">
        <v>0</v>
      </c>
      <c r="EB187" s="121">
        <v>0</v>
      </c>
      <c r="EC187" s="121">
        <v>0</v>
      </c>
      <c r="ED187" s="121">
        <v>5</v>
      </c>
      <c r="EE187" s="121"/>
      <c r="EF187" s="121">
        <v>3</v>
      </c>
      <c r="EG187" s="121">
        <v>8</v>
      </c>
      <c r="EH187" s="74"/>
      <c r="EI187" s="74"/>
      <c r="EJ187" s="793"/>
      <c r="EK187" s="793"/>
      <c r="EL187" s="793"/>
      <c r="EM187" s="793" t="s">
        <v>1292</v>
      </c>
      <c r="EN187" s="793">
        <v>0</v>
      </c>
      <c r="EO187" s="793">
        <v>0</v>
      </c>
      <c r="EP187" s="793">
        <v>0</v>
      </c>
      <c r="EQ187" s="793">
        <v>0</v>
      </c>
      <c r="ER187" s="793">
        <v>0</v>
      </c>
      <c r="ES187" s="793">
        <v>0</v>
      </c>
      <c r="ET187" s="793">
        <v>2</v>
      </c>
      <c r="EU187" s="793">
        <v>2</v>
      </c>
      <c r="EV187" s="793">
        <v>10</v>
      </c>
      <c r="EW187" s="793">
        <v>0</v>
      </c>
      <c r="EX187" s="793">
        <v>0</v>
      </c>
      <c r="EY187" s="794">
        <v>14</v>
      </c>
      <c r="EZ187" s="793"/>
      <c r="FA187" s="795"/>
    </row>
    <row r="188" spans="1:157">
      <c r="A188" s="73"/>
      <c r="B188" s="73"/>
      <c r="C188" s="73"/>
      <c r="D188" s="73" t="s">
        <v>1292</v>
      </c>
      <c r="E188" s="3261"/>
      <c r="F188" s="3261"/>
      <c r="G188" s="3261"/>
      <c r="H188" s="3261"/>
      <c r="I188" s="3261">
        <v>0</v>
      </c>
      <c r="J188" s="3261"/>
      <c r="K188" s="3261">
        <v>0</v>
      </c>
      <c r="L188" s="3261">
        <v>9</v>
      </c>
      <c r="M188" s="161"/>
      <c r="N188" s="161"/>
      <c r="O188" s="161">
        <v>9</v>
      </c>
      <c r="P188" s="73"/>
      <c r="R188" s="74"/>
      <c r="S188" s="74"/>
      <c r="T188" s="74"/>
      <c r="U188" s="74" t="s">
        <v>1398</v>
      </c>
      <c r="V188" s="3229"/>
      <c r="W188" s="3229"/>
      <c r="X188" s="3229"/>
      <c r="Y188" s="3229"/>
      <c r="Z188" s="3229"/>
      <c r="AA188" s="3229"/>
      <c r="AB188" s="3229">
        <v>2</v>
      </c>
      <c r="AC188" s="3229">
        <v>0</v>
      </c>
      <c r="AD188" s="3229">
        <v>0</v>
      </c>
      <c r="AE188" s="121"/>
      <c r="AF188" s="121"/>
      <c r="AG188" s="121">
        <v>2</v>
      </c>
      <c r="AJ188" s="161"/>
      <c r="AK188" s="161"/>
      <c r="AL188" s="73"/>
      <c r="AM188" s="73" t="s">
        <v>1284</v>
      </c>
      <c r="AN188" s="2600"/>
      <c r="AO188" s="2600">
        <v>0</v>
      </c>
      <c r="AP188" s="2600">
        <v>1</v>
      </c>
      <c r="AQ188" s="2600"/>
      <c r="AR188" s="2600"/>
      <c r="AS188" s="2600">
        <v>1</v>
      </c>
      <c r="AT188" s="2600">
        <v>3</v>
      </c>
      <c r="AU188" s="2600">
        <v>5</v>
      </c>
      <c r="AV188" s="2600">
        <v>0</v>
      </c>
      <c r="AW188" s="161"/>
      <c r="AX188" s="161"/>
      <c r="AY188" s="161">
        <v>10</v>
      </c>
      <c r="AZ188" s="161"/>
      <c r="BB188" s="2191"/>
      <c r="BC188" s="2191"/>
      <c r="BD188" s="2192"/>
      <c r="BE188" s="2193" t="s">
        <v>1292</v>
      </c>
      <c r="BF188" s="2194"/>
      <c r="BG188" s="2194"/>
      <c r="BH188" s="2194"/>
      <c r="BI188" s="2194"/>
      <c r="BJ188" s="2194"/>
      <c r="BK188" s="2195">
        <v>0</v>
      </c>
      <c r="BL188" s="2195">
        <v>1</v>
      </c>
      <c r="BM188" s="2195">
        <v>16</v>
      </c>
      <c r="BN188" s="963"/>
      <c r="BO188" s="963"/>
      <c r="BP188" s="964">
        <v>17</v>
      </c>
      <c r="BQ188" s="73"/>
      <c r="BS188" s="879"/>
      <c r="BT188" s="879"/>
      <c r="BU188" s="880" t="s">
        <v>136</v>
      </c>
      <c r="BV188" s="881" t="s">
        <v>1284</v>
      </c>
      <c r="BW188" s="882"/>
      <c r="BX188" s="882"/>
      <c r="BY188" s="882"/>
      <c r="BZ188" s="882"/>
      <c r="CA188" s="882"/>
      <c r="CB188" s="883">
        <v>14</v>
      </c>
      <c r="CC188" s="883">
        <v>1</v>
      </c>
      <c r="CD188" s="883">
        <v>0</v>
      </c>
      <c r="CE188" s="879"/>
      <c r="CF188" s="879"/>
      <c r="CG188" s="884">
        <v>15</v>
      </c>
      <c r="CH188" s="161"/>
      <c r="CJ188" s="885"/>
      <c r="CK188" s="885"/>
      <c r="CL188" s="885"/>
      <c r="CM188" s="897" t="s">
        <v>15</v>
      </c>
      <c r="CN188" s="898"/>
      <c r="CO188" s="898"/>
      <c r="CP188" s="898"/>
      <c r="CQ188" s="899">
        <v>1</v>
      </c>
      <c r="CR188" s="898"/>
      <c r="CS188" s="899">
        <v>6</v>
      </c>
      <c r="CT188" s="899">
        <v>6</v>
      </c>
      <c r="CU188" s="898"/>
      <c r="CV188" s="898"/>
      <c r="CW188" s="900"/>
      <c r="CX188" s="900"/>
      <c r="CY188" s="901">
        <v>13</v>
      </c>
      <c r="CZ188" s="891">
        <f>+(CY187+CY186+CY185)/CY188</f>
        <v>0.53846153846153844</v>
      </c>
      <c r="DD188" s="892"/>
      <c r="DE188" s="893" t="s">
        <v>1293</v>
      </c>
      <c r="DF188" s="894"/>
      <c r="DG188" s="894"/>
      <c r="DH188" s="895">
        <v>0</v>
      </c>
      <c r="DI188" s="895">
        <v>0</v>
      </c>
      <c r="DJ188" s="895">
        <v>1</v>
      </c>
      <c r="DK188" s="895">
        <v>6</v>
      </c>
      <c r="DL188" s="895">
        <v>1</v>
      </c>
      <c r="DM188" s="895">
        <v>1</v>
      </c>
      <c r="DN188" s="895">
        <v>0</v>
      </c>
      <c r="DO188" s="895">
        <v>0</v>
      </c>
      <c r="DP188" s="895">
        <v>9</v>
      </c>
      <c r="DQ188" s="792"/>
      <c r="DS188" s="121"/>
      <c r="DT188" s="121"/>
      <c r="DU188" s="121"/>
      <c r="DV188" s="74" t="s">
        <v>1293</v>
      </c>
      <c r="DW188" s="121"/>
      <c r="DX188" s="121">
        <v>0</v>
      </c>
      <c r="DY188" s="121">
        <v>0</v>
      </c>
      <c r="DZ188" s="121">
        <v>0</v>
      </c>
      <c r="EA188" s="121">
        <v>0</v>
      </c>
      <c r="EB188" s="121">
        <v>1</v>
      </c>
      <c r="EC188" s="121">
        <v>3</v>
      </c>
      <c r="ED188" s="121">
        <v>0</v>
      </c>
      <c r="EE188" s="121"/>
      <c r="EF188" s="121">
        <v>0</v>
      </c>
      <c r="EG188" s="121">
        <v>4</v>
      </c>
      <c r="EH188" s="74"/>
      <c r="EI188" s="74"/>
      <c r="EJ188" s="793"/>
      <c r="EK188" s="793"/>
      <c r="EL188" s="793"/>
      <c r="EM188" s="793" t="s">
        <v>1293</v>
      </c>
      <c r="EN188" s="793">
        <v>0</v>
      </c>
      <c r="EO188" s="793">
        <v>0</v>
      </c>
      <c r="EP188" s="793">
        <v>0</v>
      </c>
      <c r="EQ188" s="793">
        <v>0</v>
      </c>
      <c r="ER188" s="793">
        <v>0</v>
      </c>
      <c r="ES188" s="793">
        <v>0</v>
      </c>
      <c r="ET188" s="793">
        <v>0</v>
      </c>
      <c r="EU188" s="793">
        <v>2</v>
      </c>
      <c r="EV188" s="793">
        <v>0</v>
      </c>
      <c r="EW188" s="793">
        <v>0</v>
      </c>
      <c r="EX188" s="793">
        <v>0</v>
      </c>
      <c r="EY188" s="794">
        <v>2</v>
      </c>
      <c r="EZ188" s="793"/>
      <c r="FA188" s="795"/>
    </row>
    <row r="189" spans="1:157">
      <c r="A189" s="73"/>
      <c r="B189" s="73"/>
      <c r="C189" s="73"/>
      <c r="D189" s="738" t="s">
        <v>15</v>
      </c>
      <c r="E189" s="3262"/>
      <c r="F189" s="3262"/>
      <c r="G189" s="3262"/>
      <c r="H189" s="3262"/>
      <c r="I189" s="3262">
        <v>1</v>
      </c>
      <c r="J189" s="3262"/>
      <c r="K189" s="3262">
        <v>4</v>
      </c>
      <c r="L189" s="3262">
        <v>9</v>
      </c>
      <c r="M189" s="4674"/>
      <c r="N189" s="4674"/>
      <c r="O189" s="4674">
        <v>14</v>
      </c>
      <c r="P189" s="912">
        <f>+O187/O189</f>
        <v>0.21428571428571427</v>
      </c>
      <c r="Q189" s="3197"/>
      <c r="R189" s="74"/>
      <c r="S189" s="74"/>
      <c r="T189" s="74"/>
      <c r="U189" s="761" t="s">
        <v>15</v>
      </c>
      <c r="V189" s="3230"/>
      <c r="W189" s="3230"/>
      <c r="X189" s="3230"/>
      <c r="Y189" s="3230"/>
      <c r="Z189" s="3230"/>
      <c r="AA189" s="3230"/>
      <c r="AB189" s="3230">
        <v>2</v>
      </c>
      <c r="AC189" s="3230">
        <v>5</v>
      </c>
      <c r="AD189" s="3230">
        <v>7</v>
      </c>
      <c r="AE189" s="729"/>
      <c r="AF189" s="729"/>
      <c r="AG189" s="729">
        <v>14</v>
      </c>
      <c r="AH189" s="4681">
        <f>+(AG186+AG188)/AG189</f>
        <v>0.5</v>
      </c>
      <c r="AJ189" s="161"/>
      <c r="AK189" s="161"/>
      <c r="AL189" s="73"/>
      <c r="AM189" s="73" t="s">
        <v>1286</v>
      </c>
      <c r="AN189" s="2600"/>
      <c r="AO189" s="2600">
        <v>2</v>
      </c>
      <c r="AP189" s="2600">
        <v>0</v>
      </c>
      <c r="AQ189" s="2600"/>
      <c r="AR189" s="2600"/>
      <c r="AS189" s="2600">
        <v>0</v>
      </c>
      <c r="AT189" s="2600">
        <v>0</v>
      </c>
      <c r="AU189" s="2600">
        <v>0</v>
      </c>
      <c r="AV189" s="2600">
        <v>0</v>
      </c>
      <c r="AW189" s="161"/>
      <c r="AX189" s="161"/>
      <c r="AY189" s="161">
        <v>2</v>
      </c>
      <c r="AZ189" s="161"/>
      <c r="BB189" s="2191"/>
      <c r="BC189" s="2191"/>
      <c r="BD189" s="2192"/>
      <c r="BE189" s="2193" t="s">
        <v>1398</v>
      </c>
      <c r="BF189" s="2194"/>
      <c r="BG189" s="2194"/>
      <c r="BH189" s="2194"/>
      <c r="BI189" s="2194"/>
      <c r="BJ189" s="2194"/>
      <c r="BK189" s="2195">
        <v>3</v>
      </c>
      <c r="BL189" s="2195">
        <v>2</v>
      </c>
      <c r="BM189" s="2195">
        <v>0</v>
      </c>
      <c r="BN189" s="963"/>
      <c r="BO189" s="963"/>
      <c r="BP189" s="964">
        <v>5</v>
      </c>
      <c r="BQ189" s="73"/>
      <c r="BS189" s="879"/>
      <c r="BT189" s="879"/>
      <c r="BU189" s="880"/>
      <c r="BV189" s="881" t="s">
        <v>1288</v>
      </c>
      <c r="BW189" s="882"/>
      <c r="BX189" s="882"/>
      <c r="BY189" s="882"/>
      <c r="BZ189" s="882"/>
      <c r="CA189" s="882"/>
      <c r="CB189" s="883">
        <v>1</v>
      </c>
      <c r="CC189" s="883">
        <v>0</v>
      </c>
      <c r="CD189" s="883">
        <v>0</v>
      </c>
      <c r="CE189" s="879"/>
      <c r="CF189" s="879"/>
      <c r="CG189" s="884">
        <v>1</v>
      </c>
      <c r="CH189" s="161"/>
      <c r="CJ189" s="885"/>
      <c r="CK189" s="885"/>
      <c r="CL189" s="885" t="s">
        <v>142</v>
      </c>
      <c r="CM189" s="886" t="s">
        <v>1284</v>
      </c>
      <c r="CN189" s="887"/>
      <c r="CO189" s="887"/>
      <c r="CP189" s="887"/>
      <c r="CQ189" s="888">
        <v>1</v>
      </c>
      <c r="CR189" s="887"/>
      <c r="CS189" s="887"/>
      <c r="CT189" s="888">
        <v>1</v>
      </c>
      <c r="CU189" s="888">
        <v>4</v>
      </c>
      <c r="CV189" s="887"/>
      <c r="CW189" s="889"/>
      <c r="CX189" s="889"/>
      <c r="CY189" s="890">
        <v>6</v>
      </c>
      <c r="CZ189" s="891"/>
      <c r="DD189" s="892"/>
      <c r="DE189" s="893" t="s">
        <v>1398</v>
      </c>
      <c r="DF189" s="894"/>
      <c r="DG189" s="894"/>
      <c r="DH189" s="895">
        <v>0</v>
      </c>
      <c r="DI189" s="895">
        <v>0</v>
      </c>
      <c r="DJ189" s="895">
        <v>0</v>
      </c>
      <c r="DK189" s="895">
        <v>2</v>
      </c>
      <c r="DL189" s="895">
        <v>2</v>
      </c>
      <c r="DM189" s="895">
        <v>0</v>
      </c>
      <c r="DN189" s="895">
        <v>0</v>
      </c>
      <c r="DO189" s="895">
        <v>0</v>
      </c>
      <c r="DP189" s="895">
        <v>4</v>
      </c>
      <c r="DQ189" s="792"/>
      <c r="DS189" s="121"/>
      <c r="DT189" s="121"/>
      <c r="DU189" s="121"/>
      <c r="DV189" s="74" t="s">
        <v>1398</v>
      </c>
      <c r="DW189" s="121"/>
      <c r="DX189" s="121">
        <v>0</v>
      </c>
      <c r="DY189" s="121">
        <v>0</v>
      </c>
      <c r="DZ189" s="121">
        <v>0</v>
      </c>
      <c r="EA189" s="121">
        <v>1</v>
      </c>
      <c r="EB189" s="121">
        <v>1</v>
      </c>
      <c r="EC189" s="121">
        <v>1</v>
      </c>
      <c r="ED189" s="121">
        <v>1</v>
      </c>
      <c r="EE189" s="121"/>
      <c r="EF189" s="121">
        <v>0</v>
      </c>
      <c r="EG189" s="121">
        <v>4</v>
      </c>
      <c r="EH189" s="74"/>
      <c r="EI189" s="74"/>
      <c r="EJ189" s="793"/>
      <c r="EK189" s="793"/>
      <c r="EL189" s="793"/>
      <c r="EM189" s="793" t="s">
        <v>1398</v>
      </c>
      <c r="EN189" s="793">
        <v>0</v>
      </c>
      <c r="EO189" s="793">
        <v>0</v>
      </c>
      <c r="EP189" s="793">
        <v>0</v>
      </c>
      <c r="EQ189" s="793">
        <v>0</v>
      </c>
      <c r="ER189" s="793">
        <v>0</v>
      </c>
      <c r="ES189" s="793">
        <v>0</v>
      </c>
      <c r="ET189" s="793">
        <v>0</v>
      </c>
      <c r="EU189" s="793">
        <v>1</v>
      </c>
      <c r="EV189" s="793">
        <v>0</v>
      </c>
      <c r="EW189" s="793">
        <v>0</v>
      </c>
      <c r="EX189" s="793">
        <v>0</v>
      </c>
      <c r="EY189" s="794">
        <v>1</v>
      </c>
      <c r="EZ189" s="793"/>
      <c r="FA189" s="795"/>
    </row>
    <row r="190" spans="1:157">
      <c r="A190" s="73"/>
      <c r="B190" s="73"/>
      <c r="C190" s="738" t="s">
        <v>575</v>
      </c>
      <c r="D190" s="738" t="s">
        <v>1283</v>
      </c>
      <c r="E190" s="3262">
        <v>0</v>
      </c>
      <c r="F190" s="3262">
        <v>0</v>
      </c>
      <c r="G190" s="3262">
        <v>0</v>
      </c>
      <c r="H190" s="3262"/>
      <c r="I190" s="3262">
        <v>0</v>
      </c>
      <c r="J190" s="3262">
        <v>0</v>
      </c>
      <c r="K190" s="3262">
        <v>1</v>
      </c>
      <c r="L190" s="3262">
        <v>0</v>
      </c>
      <c r="M190" s="4674"/>
      <c r="N190" s="4674"/>
      <c r="O190" s="4674">
        <v>1</v>
      </c>
      <c r="P190" s="73"/>
      <c r="R190" s="74"/>
      <c r="S190" s="74"/>
      <c r="T190" s="74" t="s">
        <v>132</v>
      </c>
      <c r="U190" s="74" t="s">
        <v>1284</v>
      </c>
      <c r="V190" s="3229"/>
      <c r="W190" s="3229"/>
      <c r="X190" s="3229"/>
      <c r="Y190" s="3229"/>
      <c r="Z190" s="3229"/>
      <c r="AA190" s="3229"/>
      <c r="AB190" s="3229">
        <v>0</v>
      </c>
      <c r="AC190" s="3229">
        <v>1</v>
      </c>
      <c r="AD190" s="3229">
        <v>0</v>
      </c>
      <c r="AE190" s="121"/>
      <c r="AF190" s="121"/>
      <c r="AG190" s="121">
        <v>1</v>
      </c>
      <c r="AJ190" s="161"/>
      <c r="AK190" s="161"/>
      <c r="AL190" s="73"/>
      <c r="AM190" s="73" t="s">
        <v>1288</v>
      </c>
      <c r="AN190" s="2600"/>
      <c r="AO190" s="2600">
        <v>0</v>
      </c>
      <c r="AP190" s="2600">
        <v>0</v>
      </c>
      <c r="AQ190" s="2600"/>
      <c r="AR190" s="2600"/>
      <c r="AS190" s="2600">
        <v>0</v>
      </c>
      <c r="AT190" s="2600">
        <v>1</v>
      </c>
      <c r="AU190" s="2600">
        <v>13</v>
      </c>
      <c r="AV190" s="2600">
        <v>0</v>
      </c>
      <c r="AW190" s="161"/>
      <c r="AX190" s="161"/>
      <c r="AY190" s="161">
        <v>14</v>
      </c>
      <c r="AZ190" s="161"/>
      <c r="BB190" s="2191"/>
      <c r="BC190" s="2191"/>
      <c r="BD190" s="2192"/>
      <c r="BE190" s="760" t="s">
        <v>15</v>
      </c>
      <c r="BF190" s="2196"/>
      <c r="BG190" s="2196"/>
      <c r="BH190" s="2196"/>
      <c r="BI190" s="2196"/>
      <c r="BJ190" s="2196"/>
      <c r="BK190" s="2197">
        <v>5</v>
      </c>
      <c r="BL190" s="2197">
        <v>3</v>
      </c>
      <c r="BM190" s="2197">
        <v>16</v>
      </c>
      <c r="BN190" s="972"/>
      <c r="BO190" s="972"/>
      <c r="BP190" s="973">
        <v>24</v>
      </c>
      <c r="BQ190" s="2154">
        <f>+(BP187+BP189)/BP190</f>
        <v>0.25</v>
      </c>
      <c r="BS190" s="879"/>
      <c r="BT190" s="879"/>
      <c r="BU190" s="880"/>
      <c r="BV190" s="881" t="s">
        <v>1292</v>
      </c>
      <c r="BW190" s="882"/>
      <c r="BX190" s="882"/>
      <c r="BY190" s="882"/>
      <c r="BZ190" s="882"/>
      <c r="CA190" s="882"/>
      <c r="CB190" s="883">
        <v>0</v>
      </c>
      <c r="CC190" s="883">
        <v>0</v>
      </c>
      <c r="CD190" s="883">
        <v>1</v>
      </c>
      <c r="CE190" s="879"/>
      <c r="CF190" s="879"/>
      <c r="CG190" s="884">
        <v>1</v>
      </c>
      <c r="CH190" s="161"/>
      <c r="CJ190" s="885"/>
      <c r="CK190" s="885"/>
      <c r="CL190" s="885"/>
      <c r="CM190" s="886" t="s">
        <v>1288</v>
      </c>
      <c r="CN190" s="887"/>
      <c r="CO190" s="887"/>
      <c r="CP190" s="887"/>
      <c r="CQ190" s="888">
        <v>0</v>
      </c>
      <c r="CR190" s="887"/>
      <c r="CS190" s="887"/>
      <c r="CT190" s="888">
        <v>1</v>
      </c>
      <c r="CU190" s="888">
        <v>0</v>
      </c>
      <c r="CV190" s="887"/>
      <c r="CW190" s="889"/>
      <c r="CX190" s="889"/>
      <c r="CY190" s="890">
        <v>1</v>
      </c>
      <c r="CZ190" s="891"/>
      <c r="DD190" s="892"/>
      <c r="DE190" s="902" t="s">
        <v>572</v>
      </c>
      <c r="DF190" s="903"/>
      <c r="DG190" s="903"/>
      <c r="DH190" s="904">
        <v>2</v>
      </c>
      <c r="DI190" s="904">
        <v>1</v>
      </c>
      <c r="DJ190" s="904">
        <v>2</v>
      </c>
      <c r="DK190" s="904">
        <v>15</v>
      </c>
      <c r="DL190" s="904">
        <v>7</v>
      </c>
      <c r="DM190" s="904">
        <v>9</v>
      </c>
      <c r="DN190" s="904">
        <v>1</v>
      </c>
      <c r="DO190" s="904">
        <v>4</v>
      </c>
      <c r="DP190" s="904">
        <v>41</v>
      </c>
      <c r="DQ190" s="905">
        <f>+(DP189+DP188+DP185)/DP190</f>
        <v>0.3902439024390244</v>
      </c>
      <c r="DS190" s="121"/>
      <c r="DT190" s="121"/>
      <c r="DU190" s="121"/>
      <c r="DV190" s="761" t="s">
        <v>15</v>
      </c>
      <c r="DW190" s="729"/>
      <c r="DX190" s="729">
        <v>3</v>
      </c>
      <c r="DY190" s="729">
        <v>2</v>
      </c>
      <c r="DZ190" s="729">
        <v>1</v>
      </c>
      <c r="EA190" s="729">
        <v>2</v>
      </c>
      <c r="EB190" s="729">
        <v>8</v>
      </c>
      <c r="EC190" s="729">
        <v>11</v>
      </c>
      <c r="ED190" s="729">
        <v>9</v>
      </c>
      <c r="EE190" s="729"/>
      <c r="EF190" s="729">
        <v>3</v>
      </c>
      <c r="EG190" s="729">
        <v>39</v>
      </c>
      <c r="EH190" s="813">
        <f>+(EG185+EG188+EG189)/EG190</f>
        <v>0.23076923076923078</v>
      </c>
      <c r="EI190" s="74"/>
      <c r="EJ190" s="793"/>
      <c r="EK190" s="793"/>
      <c r="EL190" s="793"/>
      <c r="EM190" s="796" t="s">
        <v>15</v>
      </c>
      <c r="EN190" s="796">
        <v>0</v>
      </c>
      <c r="EO190" s="796">
        <v>0</v>
      </c>
      <c r="EP190" s="796">
        <v>2</v>
      </c>
      <c r="EQ190" s="796">
        <v>0</v>
      </c>
      <c r="ER190" s="796">
        <v>4</v>
      </c>
      <c r="ES190" s="796">
        <v>0</v>
      </c>
      <c r="ET190" s="796">
        <v>4</v>
      </c>
      <c r="EU190" s="796">
        <v>9</v>
      </c>
      <c r="EV190" s="796">
        <v>13</v>
      </c>
      <c r="EW190" s="796">
        <v>0</v>
      </c>
      <c r="EX190" s="796">
        <v>0</v>
      </c>
      <c r="EY190" s="856">
        <v>32</v>
      </c>
      <c r="EZ190" s="797">
        <f>+(EY189+EY188+EY185)/EY190</f>
        <v>0.21875</v>
      </c>
      <c r="FA190" s="795">
        <f>+EY185+EY188+EY189</f>
        <v>7</v>
      </c>
    </row>
    <row r="191" spans="1:157">
      <c r="A191" s="73"/>
      <c r="B191" s="73"/>
      <c r="C191" s="738"/>
      <c r="D191" s="738" t="s">
        <v>1284</v>
      </c>
      <c r="E191" s="3262">
        <v>0</v>
      </c>
      <c r="F191" s="3262">
        <v>1</v>
      </c>
      <c r="G191" s="3262">
        <v>1</v>
      </c>
      <c r="H191" s="3262"/>
      <c r="I191" s="3262">
        <v>1</v>
      </c>
      <c r="J191" s="3262">
        <v>2</v>
      </c>
      <c r="K191" s="3262">
        <v>1</v>
      </c>
      <c r="L191" s="3262">
        <v>0</v>
      </c>
      <c r="M191" s="4674"/>
      <c r="N191" s="4674"/>
      <c r="O191" s="4674">
        <v>6</v>
      </c>
      <c r="P191" s="73"/>
      <c r="R191" s="74"/>
      <c r="S191" s="74"/>
      <c r="T191" s="74"/>
      <c r="U191" s="74" t="s">
        <v>1288</v>
      </c>
      <c r="V191" s="3229"/>
      <c r="W191" s="3229"/>
      <c r="X191" s="3229"/>
      <c r="Y191" s="3229"/>
      <c r="Z191" s="3229"/>
      <c r="AA191" s="3229"/>
      <c r="AB191" s="3229">
        <v>1</v>
      </c>
      <c r="AC191" s="3229">
        <v>4</v>
      </c>
      <c r="AD191" s="3229">
        <v>0</v>
      </c>
      <c r="AE191" s="121"/>
      <c r="AF191" s="121"/>
      <c r="AG191" s="121">
        <v>5</v>
      </c>
      <c r="AJ191" s="161"/>
      <c r="AK191" s="161"/>
      <c r="AL191" s="73"/>
      <c r="AM191" s="73" t="s">
        <v>1292</v>
      </c>
      <c r="AN191" s="2600"/>
      <c r="AO191" s="2600">
        <v>0</v>
      </c>
      <c r="AP191" s="2600">
        <v>0</v>
      </c>
      <c r="AQ191" s="2600"/>
      <c r="AR191" s="2600"/>
      <c r="AS191" s="2600">
        <v>0</v>
      </c>
      <c r="AT191" s="2600">
        <v>0</v>
      </c>
      <c r="AU191" s="2600">
        <v>0</v>
      </c>
      <c r="AV191" s="2600">
        <v>19</v>
      </c>
      <c r="AW191" s="161"/>
      <c r="AX191" s="161"/>
      <c r="AY191" s="161">
        <v>19</v>
      </c>
      <c r="AZ191" s="161"/>
      <c r="BB191" s="2191"/>
      <c r="BC191" s="2191"/>
      <c r="BD191" s="2192" t="s">
        <v>575</v>
      </c>
      <c r="BE191" s="2193" t="s">
        <v>1283</v>
      </c>
      <c r="BF191" s="2195">
        <v>0</v>
      </c>
      <c r="BG191" s="2194"/>
      <c r="BH191" s="2194"/>
      <c r="BI191" s="2194"/>
      <c r="BJ191" s="2194"/>
      <c r="BK191" s="2195">
        <v>0</v>
      </c>
      <c r="BL191" s="2195">
        <v>1</v>
      </c>
      <c r="BM191" s="2195">
        <v>1</v>
      </c>
      <c r="BN191" s="963"/>
      <c r="BO191" s="963"/>
      <c r="BP191" s="964">
        <v>2</v>
      </c>
      <c r="BQ191" s="73"/>
      <c r="BS191" s="879"/>
      <c r="BT191" s="879"/>
      <c r="BU191" s="880"/>
      <c r="BV191" s="881" t="s">
        <v>1293</v>
      </c>
      <c r="BW191" s="882"/>
      <c r="BX191" s="882"/>
      <c r="BY191" s="882"/>
      <c r="BZ191" s="882"/>
      <c r="CA191" s="882"/>
      <c r="CB191" s="883">
        <v>2</v>
      </c>
      <c r="CC191" s="883">
        <v>0</v>
      </c>
      <c r="CD191" s="883">
        <v>0</v>
      </c>
      <c r="CE191" s="879"/>
      <c r="CF191" s="879"/>
      <c r="CG191" s="884">
        <v>2</v>
      </c>
      <c r="CH191" s="161"/>
      <c r="CJ191" s="885"/>
      <c r="CK191" s="885"/>
      <c r="CL191" s="885"/>
      <c r="CM191" s="886" t="s">
        <v>1293</v>
      </c>
      <c r="CN191" s="887"/>
      <c r="CO191" s="887"/>
      <c r="CP191" s="887"/>
      <c r="CQ191" s="888">
        <v>0</v>
      </c>
      <c r="CR191" s="887"/>
      <c r="CS191" s="887"/>
      <c r="CT191" s="888">
        <v>1</v>
      </c>
      <c r="CU191" s="888">
        <v>0</v>
      </c>
      <c r="CV191" s="887"/>
      <c r="CW191" s="889"/>
      <c r="CX191" s="889"/>
      <c r="CY191" s="890">
        <v>1</v>
      </c>
      <c r="CZ191" s="891"/>
      <c r="DD191" s="892" t="s">
        <v>573</v>
      </c>
      <c r="DE191" s="893" t="s">
        <v>1284</v>
      </c>
      <c r="DF191" s="894"/>
      <c r="DG191" s="894"/>
      <c r="DH191" s="894"/>
      <c r="DI191" s="894"/>
      <c r="DJ191" s="894"/>
      <c r="DK191" s="895">
        <v>3</v>
      </c>
      <c r="DL191" s="895">
        <v>5</v>
      </c>
      <c r="DM191" s="894"/>
      <c r="DN191" s="894"/>
      <c r="DO191" s="894"/>
      <c r="DP191" s="895">
        <v>8</v>
      </c>
      <c r="DQ191" s="792"/>
      <c r="DS191" s="121"/>
      <c r="DT191" s="121"/>
      <c r="DU191" s="121" t="s">
        <v>16</v>
      </c>
      <c r="DV191" s="74" t="s">
        <v>1283</v>
      </c>
      <c r="DW191" s="121">
        <v>0</v>
      </c>
      <c r="DX191" s="121">
        <v>0</v>
      </c>
      <c r="DY191" s="121"/>
      <c r="DZ191" s="121">
        <v>0</v>
      </c>
      <c r="EA191" s="121"/>
      <c r="EB191" s="121">
        <v>0</v>
      </c>
      <c r="EC191" s="121">
        <v>1</v>
      </c>
      <c r="ED191" s="121">
        <v>3</v>
      </c>
      <c r="EE191" s="121"/>
      <c r="EF191" s="121"/>
      <c r="EG191" s="121">
        <v>4</v>
      </c>
      <c r="EH191" s="74"/>
      <c r="EI191" s="74"/>
      <c r="EJ191" s="793"/>
      <c r="EK191" s="793"/>
      <c r="EL191" s="793" t="s">
        <v>16</v>
      </c>
      <c r="EM191" s="793" t="s">
        <v>1283</v>
      </c>
      <c r="EN191" s="793">
        <v>0</v>
      </c>
      <c r="EO191" s="793">
        <v>0</v>
      </c>
      <c r="EP191" s="793">
        <v>0</v>
      </c>
      <c r="EQ191" s="793">
        <v>0</v>
      </c>
      <c r="ER191" s="793">
        <v>0</v>
      </c>
      <c r="ES191" s="793">
        <v>0</v>
      </c>
      <c r="ET191" s="793">
        <v>1</v>
      </c>
      <c r="EU191" s="793">
        <v>0</v>
      </c>
      <c r="EV191" s="793">
        <v>0</v>
      </c>
      <c r="EW191" s="793">
        <v>0</v>
      </c>
      <c r="EX191" s="793">
        <v>0</v>
      </c>
      <c r="EY191" s="794">
        <v>1</v>
      </c>
      <c r="EZ191" s="793"/>
      <c r="FA191" s="795"/>
    </row>
    <row r="192" spans="1:157">
      <c r="A192" s="73"/>
      <c r="B192" s="73"/>
      <c r="C192" s="738"/>
      <c r="D192" s="738" t="s">
        <v>1286</v>
      </c>
      <c r="E192" s="3262">
        <v>1</v>
      </c>
      <c r="F192" s="3262">
        <v>0</v>
      </c>
      <c r="G192" s="3262">
        <v>0</v>
      </c>
      <c r="H192" s="3262"/>
      <c r="I192" s="3262">
        <v>0</v>
      </c>
      <c r="J192" s="3262">
        <v>0</v>
      </c>
      <c r="K192" s="3262">
        <v>0</v>
      </c>
      <c r="L192" s="3262">
        <v>0</v>
      </c>
      <c r="M192" s="4674"/>
      <c r="N192" s="4674"/>
      <c r="O192" s="4674">
        <v>1</v>
      </c>
      <c r="P192" s="73"/>
      <c r="R192" s="74"/>
      <c r="S192" s="74"/>
      <c r="T192" s="74"/>
      <c r="U192" s="74" t="s">
        <v>1292</v>
      </c>
      <c r="V192" s="3229"/>
      <c r="W192" s="3229"/>
      <c r="X192" s="3229"/>
      <c r="Y192" s="3229"/>
      <c r="Z192" s="3229"/>
      <c r="AA192" s="3229"/>
      <c r="AB192" s="3229">
        <v>0</v>
      </c>
      <c r="AC192" s="3229">
        <v>0</v>
      </c>
      <c r="AD192" s="3229">
        <v>17</v>
      </c>
      <c r="AE192" s="121"/>
      <c r="AF192" s="121"/>
      <c r="AG192" s="121">
        <v>17</v>
      </c>
      <c r="AJ192" s="161"/>
      <c r="AK192" s="161"/>
      <c r="AL192" s="73"/>
      <c r="AM192" s="73" t="s">
        <v>1398</v>
      </c>
      <c r="AN192" s="2600"/>
      <c r="AO192" s="2600">
        <v>0</v>
      </c>
      <c r="AP192" s="2600">
        <v>0</v>
      </c>
      <c r="AQ192" s="2600"/>
      <c r="AR192" s="2600"/>
      <c r="AS192" s="2600">
        <v>0</v>
      </c>
      <c r="AT192" s="2600">
        <v>12</v>
      </c>
      <c r="AU192" s="2600">
        <v>11</v>
      </c>
      <c r="AV192" s="2600">
        <v>0</v>
      </c>
      <c r="AW192" s="161"/>
      <c r="AX192" s="161"/>
      <c r="AY192" s="161">
        <v>23</v>
      </c>
      <c r="AZ192" s="161"/>
      <c r="BB192" s="2191"/>
      <c r="BC192" s="2191"/>
      <c r="BD192" s="2192"/>
      <c r="BE192" s="2193" t="s">
        <v>1284</v>
      </c>
      <c r="BF192" s="2195">
        <v>1</v>
      </c>
      <c r="BG192" s="2194"/>
      <c r="BH192" s="2194"/>
      <c r="BI192" s="2194"/>
      <c r="BJ192" s="2194"/>
      <c r="BK192" s="2195">
        <v>2</v>
      </c>
      <c r="BL192" s="2195">
        <v>8</v>
      </c>
      <c r="BM192" s="2195">
        <v>0</v>
      </c>
      <c r="BN192" s="963"/>
      <c r="BO192" s="963"/>
      <c r="BP192" s="964">
        <v>11</v>
      </c>
      <c r="BQ192" s="73"/>
      <c r="BS192" s="879"/>
      <c r="BT192" s="879"/>
      <c r="BU192" s="880"/>
      <c r="BV192" s="881" t="s">
        <v>1398</v>
      </c>
      <c r="BW192" s="882"/>
      <c r="BX192" s="882"/>
      <c r="BY192" s="882"/>
      <c r="BZ192" s="882"/>
      <c r="CA192" s="882"/>
      <c r="CB192" s="883">
        <v>1</v>
      </c>
      <c r="CC192" s="883">
        <v>0</v>
      </c>
      <c r="CD192" s="883">
        <v>0</v>
      </c>
      <c r="CE192" s="879"/>
      <c r="CF192" s="879"/>
      <c r="CG192" s="884">
        <v>1</v>
      </c>
      <c r="CH192" s="161"/>
      <c r="CJ192" s="885"/>
      <c r="CK192" s="885"/>
      <c r="CL192" s="885"/>
      <c r="CM192" s="886" t="s">
        <v>1398</v>
      </c>
      <c r="CN192" s="887"/>
      <c r="CO192" s="887"/>
      <c r="CP192" s="887"/>
      <c r="CQ192" s="888">
        <v>0</v>
      </c>
      <c r="CR192" s="887"/>
      <c r="CS192" s="887"/>
      <c r="CT192" s="888">
        <v>0</v>
      </c>
      <c r="CU192" s="888">
        <v>1</v>
      </c>
      <c r="CV192" s="887"/>
      <c r="CW192" s="889"/>
      <c r="CX192" s="889"/>
      <c r="CY192" s="890">
        <v>1</v>
      </c>
      <c r="CZ192" s="891"/>
      <c r="DD192" s="892"/>
      <c r="DE192" s="902" t="s">
        <v>573</v>
      </c>
      <c r="DF192" s="903"/>
      <c r="DG192" s="903"/>
      <c r="DH192" s="903"/>
      <c r="DI192" s="903"/>
      <c r="DJ192" s="903"/>
      <c r="DK192" s="904">
        <v>3</v>
      </c>
      <c r="DL192" s="904">
        <v>5</v>
      </c>
      <c r="DM192" s="903"/>
      <c r="DN192" s="903"/>
      <c r="DO192" s="903"/>
      <c r="DP192" s="904">
        <v>8</v>
      </c>
      <c r="DQ192" s="905">
        <v>0</v>
      </c>
      <c r="DS192" s="121"/>
      <c r="DT192" s="121"/>
      <c r="DU192" s="121"/>
      <c r="DV192" s="74" t="s">
        <v>1284</v>
      </c>
      <c r="DW192" s="121">
        <v>1</v>
      </c>
      <c r="DX192" s="121">
        <v>2</v>
      </c>
      <c r="DY192" s="121"/>
      <c r="DZ192" s="121">
        <v>1</v>
      </c>
      <c r="EA192" s="121"/>
      <c r="EB192" s="121">
        <v>18</v>
      </c>
      <c r="EC192" s="121">
        <v>13</v>
      </c>
      <c r="ED192" s="121">
        <v>0</v>
      </c>
      <c r="EE192" s="121"/>
      <c r="EF192" s="121"/>
      <c r="EG192" s="121">
        <v>35</v>
      </c>
      <c r="EH192" s="74"/>
      <c r="EI192" s="74"/>
      <c r="EJ192" s="793"/>
      <c r="EK192" s="793"/>
      <c r="EL192" s="793"/>
      <c r="EM192" s="793" t="s">
        <v>1284</v>
      </c>
      <c r="EN192" s="793">
        <v>1</v>
      </c>
      <c r="EO192" s="793">
        <v>0</v>
      </c>
      <c r="EP192" s="793">
        <v>1</v>
      </c>
      <c r="EQ192" s="793">
        <v>0</v>
      </c>
      <c r="ER192" s="793">
        <v>2</v>
      </c>
      <c r="ES192" s="793">
        <v>0</v>
      </c>
      <c r="ET192" s="793">
        <v>3</v>
      </c>
      <c r="EU192" s="793">
        <v>3</v>
      </c>
      <c r="EV192" s="793">
        <v>0</v>
      </c>
      <c r="EW192" s="793">
        <v>0</v>
      </c>
      <c r="EX192" s="793">
        <v>0</v>
      </c>
      <c r="EY192" s="794">
        <v>10</v>
      </c>
      <c r="EZ192" s="793"/>
      <c r="FA192" s="795"/>
    </row>
    <row r="193" spans="1:157">
      <c r="A193" s="73"/>
      <c r="B193" s="73"/>
      <c r="C193" s="738"/>
      <c r="D193" s="738" t="s">
        <v>1288</v>
      </c>
      <c r="E193" s="3262">
        <v>0</v>
      </c>
      <c r="F193" s="3262">
        <v>0</v>
      </c>
      <c r="G193" s="3262">
        <v>0</v>
      </c>
      <c r="H193" s="3262"/>
      <c r="I193" s="3262">
        <v>0</v>
      </c>
      <c r="J193" s="3262">
        <v>2</v>
      </c>
      <c r="K193" s="3262">
        <v>16</v>
      </c>
      <c r="L193" s="3262">
        <v>0</v>
      </c>
      <c r="M193" s="4674"/>
      <c r="N193" s="4674"/>
      <c r="O193" s="4674">
        <v>18</v>
      </c>
      <c r="P193" s="73"/>
      <c r="R193" s="74"/>
      <c r="S193" s="74"/>
      <c r="T193" s="74"/>
      <c r="U193" s="761" t="s">
        <v>15</v>
      </c>
      <c r="V193" s="3230"/>
      <c r="W193" s="3230"/>
      <c r="X193" s="3230"/>
      <c r="Y193" s="3230"/>
      <c r="Z193" s="3230"/>
      <c r="AA193" s="3230"/>
      <c r="AB193" s="3230">
        <v>1</v>
      </c>
      <c r="AC193" s="3230">
        <v>5</v>
      </c>
      <c r="AD193" s="3230">
        <v>17</v>
      </c>
      <c r="AE193" s="729"/>
      <c r="AF193" s="729"/>
      <c r="AG193" s="729">
        <v>23</v>
      </c>
      <c r="AH193" s="4681">
        <f>+AG191/AG193</f>
        <v>0.21739130434782608</v>
      </c>
      <c r="AJ193" s="161"/>
      <c r="AK193" s="161"/>
      <c r="AL193" s="73"/>
      <c r="AM193" s="738" t="s">
        <v>575</v>
      </c>
      <c r="AN193" s="2601"/>
      <c r="AO193" s="2601">
        <v>2</v>
      </c>
      <c r="AP193" s="2601">
        <v>1</v>
      </c>
      <c r="AQ193" s="2601"/>
      <c r="AR193" s="2601"/>
      <c r="AS193" s="2601">
        <v>1</v>
      </c>
      <c r="AT193" s="2601">
        <v>16</v>
      </c>
      <c r="AU193" s="2601">
        <v>29</v>
      </c>
      <c r="AV193" s="2601">
        <v>20</v>
      </c>
      <c r="AW193" s="151"/>
      <c r="AX193" s="151"/>
      <c r="AY193" s="151">
        <v>69</v>
      </c>
      <c r="AZ193" s="912">
        <f>+(AY190+AY192)/AY193</f>
        <v>0.53623188405797106</v>
      </c>
      <c r="BB193" s="2191"/>
      <c r="BC193" s="2191"/>
      <c r="BD193" s="2192"/>
      <c r="BE193" s="2193" t="s">
        <v>1288</v>
      </c>
      <c r="BF193" s="2195">
        <v>0</v>
      </c>
      <c r="BG193" s="2194"/>
      <c r="BH193" s="2194"/>
      <c r="BI193" s="2194"/>
      <c r="BJ193" s="2194"/>
      <c r="BK193" s="2195">
        <v>3</v>
      </c>
      <c r="BL193" s="2195">
        <v>5</v>
      </c>
      <c r="BM193" s="2195">
        <v>0</v>
      </c>
      <c r="BN193" s="963"/>
      <c r="BO193" s="963"/>
      <c r="BP193" s="964">
        <v>8</v>
      </c>
      <c r="BQ193" s="73"/>
      <c r="BS193" s="879"/>
      <c r="BT193" s="879"/>
      <c r="BU193" s="880"/>
      <c r="BV193" s="907" t="s">
        <v>15</v>
      </c>
      <c r="BW193" s="908"/>
      <c r="BX193" s="908"/>
      <c r="BY193" s="908"/>
      <c r="BZ193" s="908"/>
      <c r="CA193" s="908"/>
      <c r="CB193" s="909">
        <v>18</v>
      </c>
      <c r="CC193" s="909">
        <v>1</v>
      </c>
      <c r="CD193" s="909">
        <v>1</v>
      </c>
      <c r="CE193" s="910"/>
      <c r="CF193" s="910"/>
      <c r="CG193" s="911">
        <v>20</v>
      </c>
      <c r="CH193" s="912">
        <f>+(CG189+CG191+CG192)/CG193</f>
        <v>0.2</v>
      </c>
      <c r="CJ193" s="885"/>
      <c r="CK193" s="885"/>
      <c r="CL193" s="885"/>
      <c r="CM193" s="897" t="s">
        <v>15</v>
      </c>
      <c r="CN193" s="898"/>
      <c r="CO193" s="898"/>
      <c r="CP193" s="898"/>
      <c r="CQ193" s="899">
        <v>1</v>
      </c>
      <c r="CR193" s="898"/>
      <c r="CS193" s="898"/>
      <c r="CT193" s="899">
        <v>3</v>
      </c>
      <c r="CU193" s="899">
        <v>5</v>
      </c>
      <c r="CV193" s="898"/>
      <c r="CW193" s="900"/>
      <c r="CX193" s="900"/>
      <c r="CY193" s="901">
        <v>9</v>
      </c>
      <c r="CZ193" s="891">
        <f>+(CY192+CY191+CY190)/CY193</f>
        <v>0.33333333333333331</v>
      </c>
      <c r="DS193" s="121"/>
      <c r="DT193" s="121"/>
      <c r="DU193" s="121"/>
      <c r="DV193" s="74" t="s">
        <v>1288</v>
      </c>
      <c r="DW193" s="121">
        <v>0</v>
      </c>
      <c r="DX193" s="121">
        <v>0</v>
      </c>
      <c r="DY193" s="121"/>
      <c r="DZ193" s="121">
        <v>0</v>
      </c>
      <c r="EA193" s="121"/>
      <c r="EB193" s="121">
        <v>8</v>
      </c>
      <c r="EC193" s="121">
        <v>3</v>
      </c>
      <c r="ED193" s="121">
        <v>0</v>
      </c>
      <c r="EE193" s="121"/>
      <c r="EF193" s="121"/>
      <c r="EG193" s="121">
        <v>11</v>
      </c>
      <c r="EH193" s="74"/>
      <c r="EI193" s="74"/>
      <c r="EJ193" s="793"/>
      <c r="EK193" s="793"/>
      <c r="EL193" s="793"/>
      <c r="EM193" s="793" t="s">
        <v>1288</v>
      </c>
      <c r="EN193" s="793">
        <v>0</v>
      </c>
      <c r="EO193" s="793">
        <v>0</v>
      </c>
      <c r="EP193" s="793">
        <v>0</v>
      </c>
      <c r="EQ193" s="793">
        <v>0</v>
      </c>
      <c r="ER193" s="793">
        <v>0</v>
      </c>
      <c r="ES193" s="793">
        <v>0</v>
      </c>
      <c r="ET193" s="793">
        <v>3</v>
      </c>
      <c r="EU193" s="793">
        <v>0</v>
      </c>
      <c r="EV193" s="793">
        <v>0</v>
      </c>
      <c r="EW193" s="793">
        <v>0</v>
      </c>
      <c r="EX193" s="793">
        <v>0</v>
      </c>
      <c r="EY193" s="794">
        <v>3</v>
      </c>
      <c r="EZ193" s="793"/>
      <c r="FA193" s="795"/>
    </row>
    <row r="194" spans="1:157">
      <c r="A194" s="73"/>
      <c r="B194" s="73"/>
      <c r="C194" s="738"/>
      <c r="D194" s="738" t="s">
        <v>1292</v>
      </c>
      <c r="E194" s="3262">
        <v>0</v>
      </c>
      <c r="F194" s="3262">
        <v>0</v>
      </c>
      <c r="G194" s="3262">
        <v>0</v>
      </c>
      <c r="H194" s="3262"/>
      <c r="I194" s="3262">
        <v>0</v>
      </c>
      <c r="J194" s="3262">
        <v>0</v>
      </c>
      <c r="K194" s="3262">
        <v>0</v>
      </c>
      <c r="L194" s="3262">
        <v>23</v>
      </c>
      <c r="M194" s="4674"/>
      <c r="N194" s="4674"/>
      <c r="O194" s="4674">
        <v>23</v>
      </c>
      <c r="P194" s="73"/>
      <c r="R194" s="74"/>
      <c r="S194" s="74"/>
      <c r="T194" s="74" t="s">
        <v>575</v>
      </c>
      <c r="U194" s="74" t="s">
        <v>1284</v>
      </c>
      <c r="V194" s="3229"/>
      <c r="W194" s="3229"/>
      <c r="X194" s="3229">
        <v>1</v>
      </c>
      <c r="Y194" s="3229"/>
      <c r="Z194" s="3229"/>
      <c r="AA194" s="3229"/>
      <c r="AB194" s="3229">
        <v>0</v>
      </c>
      <c r="AC194" s="3229">
        <v>2</v>
      </c>
      <c r="AD194" s="3229">
        <v>0</v>
      </c>
      <c r="AE194" s="121"/>
      <c r="AF194" s="121"/>
      <c r="AG194" s="121">
        <v>3</v>
      </c>
      <c r="AJ194" s="161"/>
      <c r="AK194" s="161"/>
      <c r="AL194" s="73" t="s">
        <v>2008</v>
      </c>
      <c r="AM194" s="73" t="s">
        <v>1283</v>
      </c>
      <c r="AN194" s="2600"/>
      <c r="AO194" s="2600">
        <v>0</v>
      </c>
      <c r="AP194" s="2600">
        <v>0</v>
      </c>
      <c r="AQ194" s="2600">
        <v>0</v>
      </c>
      <c r="AR194" s="2600">
        <v>0</v>
      </c>
      <c r="AS194" s="2600">
        <v>0</v>
      </c>
      <c r="AT194" s="2600">
        <v>0</v>
      </c>
      <c r="AU194" s="2600">
        <v>1</v>
      </c>
      <c r="AV194" s="2600">
        <v>11</v>
      </c>
      <c r="AW194" s="161">
        <v>4</v>
      </c>
      <c r="AX194" s="161">
        <v>2</v>
      </c>
      <c r="AY194" s="161">
        <v>18</v>
      </c>
      <c r="AZ194" s="161"/>
      <c r="BB194" s="2191"/>
      <c r="BC194" s="2191"/>
      <c r="BD194" s="2192"/>
      <c r="BE194" s="2193" t="s">
        <v>1292</v>
      </c>
      <c r="BF194" s="2195">
        <v>0</v>
      </c>
      <c r="BG194" s="2194"/>
      <c r="BH194" s="2194"/>
      <c r="BI194" s="2194"/>
      <c r="BJ194" s="2194"/>
      <c r="BK194" s="2195">
        <v>0</v>
      </c>
      <c r="BL194" s="2195">
        <v>1</v>
      </c>
      <c r="BM194" s="2195">
        <v>32</v>
      </c>
      <c r="BN194" s="963"/>
      <c r="BO194" s="963"/>
      <c r="BP194" s="964">
        <v>33</v>
      </c>
      <c r="BQ194" s="73"/>
      <c r="BS194" s="879"/>
      <c r="BT194" s="879"/>
      <c r="BU194" s="880" t="s">
        <v>137</v>
      </c>
      <c r="BV194" s="881" t="s">
        <v>1283</v>
      </c>
      <c r="BW194" s="883">
        <v>0</v>
      </c>
      <c r="BX194" s="883">
        <v>0</v>
      </c>
      <c r="BY194" s="882"/>
      <c r="BZ194" s="883">
        <v>1</v>
      </c>
      <c r="CA194" s="882"/>
      <c r="CB194" s="883">
        <v>0</v>
      </c>
      <c r="CC194" s="882"/>
      <c r="CD194" s="882"/>
      <c r="CE194" s="879"/>
      <c r="CF194" s="879"/>
      <c r="CG194" s="884">
        <v>1</v>
      </c>
      <c r="CH194" s="161"/>
      <c r="CJ194" s="885"/>
      <c r="CK194" s="885"/>
      <c r="CL194" s="885" t="s">
        <v>143</v>
      </c>
      <c r="CM194" s="886" t="s">
        <v>1284</v>
      </c>
      <c r="CN194" s="887"/>
      <c r="CO194" s="887"/>
      <c r="CP194" s="887"/>
      <c r="CQ194" s="887"/>
      <c r="CR194" s="887"/>
      <c r="CS194" s="887"/>
      <c r="CT194" s="888">
        <v>14</v>
      </c>
      <c r="CU194" s="888">
        <v>3</v>
      </c>
      <c r="CV194" s="887"/>
      <c r="CW194" s="890">
        <v>0</v>
      </c>
      <c r="CX194" s="889"/>
      <c r="CY194" s="890">
        <v>17</v>
      </c>
      <c r="CZ194" s="891"/>
      <c r="DS194" s="121"/>
      <c r="DT194" s="121"/>
      <c r="DU194" s="121"/>
      <c r="DV194" s="74" t="s">
        <v>1292</v>
      </c>
      <c r="DW194" s="121">
        <v>0</v>
      </c>
      <c r="DX194" s="121">
        <v>0</v>
      </c>
      <c r="DY194" s="121"/>
      <c r="DZ194" s="121">
        <v>0</v>
      </c>
      <c r="EA194" s="121"/>
      <c r="EB194" s="121">
        <v>0</v>
      </c>
      <c r="EC194" s="121">
        <v>0</v>
      </c>
      <c r="ED194" s="121">
        <v>1</v>
      </c>
      <c r="EE194" s="121"/>
      <c r="EF194" s="121"/>
      <c r="EG194" s="121">
        <v>1</v>
      </c>
      <c r="EH194" s="74"/>
      <c r="EI194" s="74"/>
      <c r="EJ194" s="793"/>
      <c r="EK194" s="793"/>
      <c r="EL194" s="793"/>
      <c r="EM194" s="793" t="s">
        <v>1293</v>
      </c>
      <c r="EN194" s="793">
        <v>0</v>
      </c>
      <c r="EO194" s="793">
        <v>0</v>
      </c>
      <c r="EP194" s="793">
        <v>0</v>
      </c>
      <c r="EQ194" s="793">
        <v>0</v>
      </c>
      <c r="ER194" s="793">
        <v>0</v>
      </c>
      <c r="ES194" s="793">
        <v>0</v>
      </c>
      <c r="ET194" s="793">
        <v>0</v>
      </c>
      <c r="EU194" s="793">
        <v>2</v>
      </c>
      <c r="EV194" s="793">
        <v>0</v>
      </c>
      <c r="EW194" s="793">
        <v>0</v>
      </c>
      <c r="EX194" s="793">
        <v>0</v>
      </c>
      <c r="EY194" s="794">
        <v>2</v>
      </c>
      <c r="EZ194" s="793"/>
      <c r="FA194" s="795"/>
    </row>
    <row r="195" spans="1:157">
      <c r="A195" s="73"/>
      <c r="B195" s="73"/>
      <c r="C195" s="738"/>
      <c r="D195" s="738" t="s">
        <v>1398</v>
      </c>
      <c r="E195" s="3262">
        <v>0</v>
      </c>
      <c r="F195" s="3262">
        <v>0</v>
      </c>
      <c r="G195" s="3262">
        <v>0</v>
      </c>
      <c r="H195" s="3262"/>
      <c r="I195" s="3262">
        <v>0</v>
      </c>
      <c r="J195" s="3262">
        <v>7</v>
      </c>
      <c r="K195" s="3262">
        <v>2</v>
      </c>
      <c r="L195" s="3262">
        <v>0</v>
      </c>
      <c r="M195" s="4674"/>
      <c r="N195" s="4674"/>
      <c r="O195" s="4674">
        <v>9</v>
      </c>
      <c r="P195" s="73"/>
      <c r="R195" s="74"/>
      <c r="S195" s="74"/>
      <c r="T195" s="74"/>
      <c r="U195" s="74" t="s">
        <v>1288</v>
      </c>
      <c r="V195" s="3229"/>
      <c r="W195" s="3229"/>
      <c r="X195" s="3229">
        <v>0</v>
      </c>
      <c r="Y195" s="3229"/>
      <c r="Z195" s="3229"/>
      <c r="AA195" s="3229"/>
      <c r="AB195" s="3229">
        <v>2</v>
      </c>
      <c r="AC195" s="3229">
        <v>13</v>
      </c>
      <c r="AD195" s="3229">
        <v>0</v>
      </c>
      <c r="AE195" s="121"/>
      <c r="AF195" s="121"/>
      <c r="AG195" s="121">
        <v>15</v>
      </c>
      <c r="AJ195" s="161"/>
      <c r="AK195" s="161"/>
      <c r="AL195" s="73"/>
      <c r="AM195" s="73" t="s">
        <v>1284</v>
      </c>
      <c r="AN195" s="2600"/>
      <c r="AO195" s="2600">
        <v>4</v>
      </c>
      <c r="AP195" s="2600">
        <v>2</v>
      </c>
      <c r="AQ195" s="2600">
        <v>1</v>
      </c>
      <c r="AR195" s="2600">
        <v>0</v>
      </c>
      <c r="AS195" s="2600">
        <v>1</v>
      </c>
      <c r="AT195" s="2600">
        <v>24</v>
      </c>
      <c r="AU195" s="2600">
        <v>26</v>
      </c>
      <c r="AV195" s="2600">
        <v>1</v>
      </c>
      <c r="AW195" s="161">
        <v>0</v>
      </c>
      <c r="AX195" s="161">
        <v>0</v>
      </c>
      <c r="AY195" s="161">
        <v>59</v>
      </c>
      <c r="AZ195" s="161"/>
      <c r="BB195" s="2191"/>
      <c r="BC195" s="2191"/>
      <c r="BD195" s="2192"/>
      <c r="BE195" s="2193" t="s">
        <v>1398</v>
      </c>
      <c r="BF195" s="2195">
        <v>0</v>
      </c>
      <c r="BG195" s="2194"/>
      <c r="BH195" s="2194"/>
      <c r="BI195" s="2194"/>
      <c r="BJ195" s="2194"/>
      <c r="BK195" s="2195">
        <v>20</v>
      </c>
      <c r="BL195" s="2195">
        <v>5</v>
      </c>
      <c r="BM195" s="2195">
        <v>0</v>
      </c>
      <c r="BN195" s="963"/>
      <c r="BO195" s="963"/>
      <c r="BP195" s="964">
        <v>25</v>
      </c>
      <c r="BQ195" s="73"/>
      <c r="BS195" s="879"/>
      <c r="BT195" s="879"/>
      <c r="BU195" s="880"/>
      <c r="BV195" s="881" t="s">
        <v>1284</v>
      </c>
      <c r="BW195" s="883">
        <v>2</v>
      </c>
      <c r="BX195" s="883">
        <v>1</v>
      </c>
      <c r="BY195" s="882"/>
      <c r="BZ195" s="883">
        <v>0</v>
      </c>
      <c r="CA195" s="882"/>
      <c r="CB195" s="883">
        <v>10</v>
      </c>
      <c r="CC195" s="882"/>
      <c r="CD195" s="882"/>
      <c r="CE195" s="879"/>
      <c r="CF195" s="879"/>
      <c r="CG195" s="884">
        <v>13</v>
      </c>
      <c r="CH195" s="161"/>
      <c r="CJ195" s="885"/>
      <c r="CK195" s="885"/>
      <c r="CL195" s="885"/>
      <c r="CM195" s="886" t="s">
        <v>1288</v>
      </c>
      <c r="CN195" s="887"/>
      <c r="CO195" s="887"/>
      <c r="CP195" s="887"/>
      <c r="CQ195" s="887"/>
      <c r="CR195" s="887"/>
      <c r="CS195" s="887"/>
      <c r="CT195" s="888">
        <v>1</v>
      </c>
      <c r="CU195" s="888">
        <v>0</v>
      </c>
      <c r="CV195" s="887"/>
      <c r="CW195" s="890">
        <v>0</v>
      </c>
      <c r="CX195" s="889"/>
      <c r="CY195" s="890">
        <v>1</v>
      </c>
      <c r="CZ195" s="891"/>
      <c r="DS195" s="121"/>
      <c r="DT195" s="121"/>
      <c r="DU195" s="121"/>
      <c r="DV195" s="74" t="s">
        <v>1293</v>
      </c>
      <c r="DW195" s="121">
        <v>0</v>
      </c>
      <c r="DX195" s="121">
        <v>0</v>
      </c>
      <c r="DY195" s="121"/>
      <c r="DZ195" s="121">
        <v>0</v>
      </c>
      <c r="EA195" s="121"/>
      <c r="EB195" s="121">
        <v>7</v>
      </c>
      <c r="EC195" s="121">
        <v>0</v>
      </c>
      <c r="ED195" s="121">
        <v>1</v>
      </c>
      <c r="EE195" s="121"/>
      <c r="EF195" s="121"/>
      <c r="EG195" s="121">
        <v>8</v>
      </c>
      <c r="EH195" s="74"/>
      <c r="EI195" s="74"/>
      <c r="EJ195" s="793"/>
      <c r="EK195" s="793"/>
      <c r="EL195" s="793"/>
      <c r="EM195" s="793" t="s">
        <v>1398</v>
      </c>
      <c r="EN195" s="793">
        <v>0</v>
      </c>
      <c r="EO195" s="793">
        <v>0</v>
      </c>
      <c r="EP195" s="793">
        <v>0</v>
      </c>
      <c r="EQ195" s="793">
        <v>0</v>
      </c>
      <c r="ER195" s="793">
        <v>0</v>
      </c>
      <c r="ES195" s="793">
        <v>0</v>
      </c>
      <c r="ET195" s="793">
        <v>10</v>
      </c>
      <c r="EU195" s="793">
        <v>1</v>
      </c>
      <c r="EV195" s="793">
        <v>0</v>
      </c>
      <c r="EW195" s="793">
        <v>0</v>
      </c>
      <c r="EX195" s="793">
        <v>0</v>
      </c>
      <c r="EY195" s="794">
        <v>11</v>
      </c>
      <c r="EZ195" s="793"/>
      <c r="FA195" s="795"/>
    </row>
    <row r="196" spans="1:157">
      <c r="A196" s="73"/>
      <c r="B196" s="73"/>
      <c r="C196" s="738"/>
      <c r="D196" s="738" t="s">
        <v>575</v>
      </c>
      <c r="E196" s="3262">
        <v>1</v>
      </c>
      <c r="F196" s="3262">
        <v>1</v>
      </c>
      <c r="G196" s="3262">
        <v>1</v>
      </c>
      <c r="H196" s="3262"/>
      <c r="I196" s="3262">
        <v>1</v>
      </c>
      <c r="J196" s="3262">
        <v>11</v>
      </c>
      <c r="K196" s="3262">
        <v>20</v>
      </c>
      <c r="L196" s="3262">
        <v>23</v>
      </c>
      <c r="M196" s="4674"/>
      <c r="N196" s="4674"/>
      <c r="O196" s="4674">
        <v>58</v>
      </c>
      <c r="P196" s="912">
        <f>+(O195+O193)/O196</f>
        <v>0.46551724137931033</v>
      </c>
      <c r="Q196" s="3197"/>
      <c r="R196" s="74"/>
      <c r="S196" s="74"/>
      <c r="T196" s="74"/>
      <c r="U196" s="74" t="s">
        <v>1292</v>
      </c>
      <c r="V196" s="3229"/>
      <c r="W196" s="3229"/>
      <c r="X196" s="3229">
        <v>0</v>
      </c>
      <c r="Y196" s="3229"/>
      <c r="Z196" s="3229"/>
      <c r="AA196" s="3229"/>
      <c r="AB196" s="3229">
        <v>0</v>
      </c>
      <c r="AC196" s="3229">
        <v>1</v>
      </c>
      <c r="AD196" s="3229">
        <v>35</v>
      </c>
      <c r="AE196" s="121"/>
      <c r="AF196" s="121"/>
      <c r="AG196" s="121">
        <v>36</v>
      </c>
      <c r="AJ196" s="161"/>
      <c r="AK196" s="161"/>
      <c r="AL196" s="73"/>
      <c r="AM196" s="73" t="s">
        <v>1286</v>
      </c>
      <c r="AN196" s="2600"/>
      <c r="AO196" s="2600">
        <v>4</v>
      </c>
      <c r="AP196" s="2600">
        <v>1</v>
      </c>
      <c r="AQ196" s="2600">
        <v>1</v>
      </c>
      <c r="AR196" s="2600">
        <v>0</v>
      </c>
      <c r="AS196" s="2600">
        <v>0</v>
      </c>
      <c r="AT196" s="2600">
        <v>0</v>
      </c>
      <c r="AU196" s="2600">
        <v>0</v>
      </c>
      <c r="AV196" s="2600">
        <v>0</v>
      </c>
      <c r="AW196" s="161">
        <v>0</v>
      </c>
      <c r="AX196" s="161">
        <v>0</v>
      </c>
      <c r="AY196" s="161">
        <v>6</v>
      </c>
      <c r="AZ196" s="161"/>
      <c r="BB196" s="2191"/>
      <c r="BC196" s="2191"/>
      <c r="BD196" s="2192"/>
      <c r="BE196" s="760" t="s">
        <v>575</v>
      </c>
      <c r="BF196" s="2197">
        <v>1</v>
      </c>
      <c r="BG196" s="2196"/>
      <c r="BH196" s="2196"/>
      <c r="BI196" s="2196"/>
      <c r="BJ196" s="2196"/>
      <c r="BK196" s="2197">
        <v>25</v>
      </c>
      <c r="BL196" s="2197">
        <v>20</v>
      </c>
      <c r="BM196" s="2197">
        <v>33</v>
      </c>
      <c r="BN196" s="972"/>
      <c r="BO196" s="972"/>
      <c r="BP196" s="973">
        <v>79</v>
      </c>
      <c r="BQ196" s="2154">
        <f>+(BP193+BP195)/BP196</f>
        <v>0.41772151898734178</v>
      </c>
      <c r="BS196" s="879"/>
      <c r="BT196" s="879"/>
      <c r="BU196" s="880"/>
      <c r="BV196" s="907" t="s">
        <v>15</v>
      </c>
      <c r="BW196" s="909">
        <v>2</v>
      </c>
      <c r="BX196" s="909">
        <v>1</v>
      </c>
      <c r="BY196" s="908"/>
      <c r="BZ196" s="909">
        <v>1</v>
      </c>
      <c r="CA196" s="908"/>
      <c r="CB196" s="909">
        <v>10</v>
      </c>
      <c r="CC196" s="908"/>
      <c r="CD196" s="908"/>
      <c r="CE196" s="910"/>
      <c r="CF196" s="910"/>
      <c r="CG196" s="911">
        <v>14</v>
      </c>
      <c r="CH196" s="912">
        <v>0</v>
      </c>
      <c r="CJ196" s="885"/>
      <c r="CK196" s="885"/>
      <c r="CL196" s="885"/>
      <c r="CM196" s="886" t="s">
        <v>1292</v>
      </c>
      <c r="CN196" s="887"/>
      <c r="CO196" s="887"/>
      <c r="CP196" s="887"/>
      <c r="CQ196" s="887"/>
      <c r="CR196" s="887"/>
      <c r="CS196" s="887"/>
      <c r="CT196" s="888">
        <v>0</v>
      </c>
      <c r="CU196" s="888">
        <v>0</v>
      </c>
      <c r="CV196" s="887"/>
      <c r="CW196" s="890">
        <v>1</v>
      </c>
      <c r="CX196" s="889"/>
      <c r="CY196" s="890">
        <v>1</v>
      </c>
      <c r="CZ196" s="891"/>
      <c r="DD196" s="892" t="s">
        <v>888</v>
      </c>
      <c r="DE196" s="893" t="s">
        <v>1284</v>
      </c>
      <c r="DF196" s="894"/>
      <c r="DG196" s="895">
        <v>0</v>
      </c>
      <c r="DH196" s="895">
        <v>4</v>
      </c>
      <c r="DI196" s="895">
        <v>3</v>
      </c>
      <c r="DJ196" s="895">
        <v>1</v>
      </c>
      <c r="DK196" s="895">
        <v>1</v>
      </c>
      <c r="DL196" s="895">
        <v>0</v>
      </c>
      <c r="DM196" s="895">
        <v>0</v>
      </c>
      <c r="DN196" s="894"/>
      <c r="DO196" s="894"/>
      <c r="DP196" s="895">
        <v>9</v>
      </c>
      <c r="DQ196" s="792"/>
      <c r="DS196" s="121"/>
      <c r="DT196" s="121"/>
      <c r="DU196" s="121"/>
      <c r="DV196" s="761" t="s">
        <v>15</v>
      </c>
      <c r="DW196" s="729">
        <v>1</v>
      </c>
      <c r="DX196" s="729">
        <v>2</v>
      </c>
      <c r="DY196" s="729"/>
      <c r="DZ196" s="729">
        <v>1</v>
      </c>
      <c r="EA196" s="729"/>
      <c r="EB196" s="729">
        <v>33</v>
      </c>
      <c r="EC196" s="729">
        <v>17</v>
      </c>
      <c r="ED196" s="729">
        <v>5</v>
      </c>
      <c r="EE196" s="729"/>
      <c r="EF196" s="729"/>
      <c r="EG196" s="729">
        <v>59</v>
      </c>
      <c r="EH196" s="813">
        <f>+(EG193+EG195)/EG196</f>
        <v>0.32203389830508472</v>
      </c>
      <c r="EI196" s="74"/>
      <c r="EJ196" s="793"/>
      <c r="EK196" s="793"/>
      <c r="EL196" s="793"/>
      <c r="EM196" s="796" t="s">
        <v>15</v>
      </c>
      <c r="EN196" s="796">
        <v>1</v>
      </c>
      <c r="EO196" s="796">
        <v>0</v>
      </c>
      <c r="EP196" s="796">
        <v>1</v>
      </c>
      <c r="EQ196" s="796">
        <v>0</v>
      </c>
      <c r="ER196" s="796">
        <v>2</v>
      </c>
      <c r="ES196" s="796">
        <v>0</v>
      </c>
      <c r="ET196" s="796">
        <v>17</v>
      </c>
      <c r="EU196" s="796">
        <v>6</v>
      </c>
      <c r="EV196" s="796">
        <v>0</v>
      </c>
      <c r="EW196" s="796">
        <v>0</v>
      </c>
      <c r="EX196" s="796">
        <v>0</v>
      </c>
      <c r="EY196" s="856">
        <v>27</v>
      </c>
      <c r="EZ196" s="797">
        <f>+(EY195+EY194+EY193)/EY196</f>
        <v>0.59259259259259256</v>
      </c>
      <c r="FA196" s="795">
        <f>+EY193+EY194+EY195</f>
        <v>16</v>
      </c>
    </row>
    <row r="197" spans="1:157">
      <c r="A197" s="73"/>
      <c r="B197" s="73"/>
      <c r="C197" s="738" t="s">
        <v>111</v>
      </c>
      <c r="D197" s="738" t="s">
        <v>1283</v>
      </c>
      <c r="E197" s="3262">
        <v>0</v>
      </c>
      <c r="F197" s="3262">
        <v>0</v>
      </c>
      <c r="G197" s="3262">
        <v>0</v>
      </c>
      <c r="H197" s="3262">
        <v>0</v>
      </c>
      <c r="I197" s="3262">
        <v>1</v>
      </c>
      <c r="J197" s="3262">
        <v>0</v>
      </c>
      <c r="K197" s="3262">
        <v>1</v>
      </c>
      <c r="L197" s="3262">
        <v>9</v>
      </c>
      <c r="M197" s="4674">
        <v>0</v>
      </c>
      <c r="N197" s="4674">
        <v>0</v>
      </c>
      <c r="O197" s="4674">
        <v>11</v>
      </c>
      <c r="P197" s="73"/>
      <c r="R197" s="74"/>
      <c r="S197" s="74"/>
      <c r="T197" s="74"/>
      <c r="U197" s="74" t="s">
        <v>1398</v>
      </c>
      <c r="V197" s="3229"/>
      <c r="W197" s="3229"/>
      <c r="X197" s="3229">
        <v>0</v>
      </c>
      <c r="Y197" s="3229"/>
      <c r="Z197" s="3229"/>
      <c r="AA197" s="3229"/>
      <c r="AB197" s="3229">
        <v>12</v>
      </c>
      <c r="AC197" s="3229">
        <v>0</v>
      </c>
      <c r="AD197" s="3229">
        <v>0</v>
      </c>
      <c r="AE197" s="121"/>
      <c r="AF197" s="121"/>
      <c r="AG197" s="121">
        <v>12</v>
      </c>
      <c r="AJ197" s="161"/>
      <c r="AK197" s="161"/>
      <c r="AL197" s="73"/>
      <c r="AM197" s="73" t="s">
        <v>1288</v>
      </c>
      <c r="AN197" s="2600"/>
      <c r="AO197" s="2600">
        <v>0</v>
      </c>
      <c r="AP197" s="2600">
        <v>0</v>
      </c>
      <c r="AQ197" s="2600">
        <v>0</v>
      </c>
      <c r="AR197" s="2600">
        <v>0</v>
      </c>
      <c r="AS197" s="2600">
        <v>0</v>
      </c>
      <c r="AT197" s="2600">
        <v>13</v>
      </c>
      <c r="AU197" s="2600">
        <v>38</v>
      </c>
      <c r="AV197" s="2600">
        <v>1</v>
      </c>
      <c r="AW197" s="161">
        <v>2</v>
      </c>
      <c r="AX197" s="161">
        <v>0</v>
      </c>
      <c r="AY197" s="161">
        <v>54</v>
      </c>
      <c r="AZ197" s="161"/>
      <c r="BB197" s="2191"/>
      <c r="BC197" s="2191"/>
      <c r="BD197" s="2192" t="s">
        <v>111</v>
      </c>
      <c r="BE197" s="2193" t="s">
        <v>1283</v>
      </c>
      <c r="BF197" s="2195">
        <v>0</v>
      </c>
      <c r="BG197" s="2195">
        <v>0</v>
      </c>
      <c r="BH197" s="2195">
        <v>0</v>
      </c>
      <c r="BI197" s="2195">
        <v>0</v>
      </c>
      <c r="BJ197" s="2195">
        <v>0</v>
      </c>
      <c r="BK197" s="2195">
        <v>0</v>
      </c>
      <c r="BL197" s="2195">
        <v>1</v>
      </c>
      <c r="BM197" s="2195">
        <v>7</v>
      </c>
      <c r="BN197" s="964">
        <v>2</v>
      </c>
      <c r="BO197" s="964">
        <v>11</v>
      </c>
      <c r="BP197" s="964">
        <v>21</v>
      </c>
      <c r="BQ197" s="73"/>
      <c r="BS197" s="879"/>
      <c r="BT197" s="879"/>
      <c r="BU197" s="880" t="s">
        <v>138</v>
      </c>
      <c r="BV197" s="881" t="s">
        <v>1284</v>
      </c>
      <c r="BW197" s="882"/>
      <c r="BX197" s="882"/>
      <c r="BY197" s="882"/>
      <c r="BZ197" s="882"/>
      <c r="CA197" s="882"/>
      <c r="CB197" s="883">
        <v>1</v>
      </c>
      <c r="CC197" s="883">
        <v>1</v>
      </c>
      <c r="CD197" s="883">
        <v>0</v>
      </c>
      <c r="CE197" s="879"/>
      <c r="CF197" s="879"/>
      <c r="CG197" s="884">
        <v>2</v>
      </c>
      <c r="CH197" s="161"/>
      <c r="CJ197" s="885"/>
      <c r="CK197" s="885"/>
      <c r="CL197" s="885"/>
      <c r="CM197" s="886" t="s">
        <v>1293</v>
      </c>
      <c r="CN197" s="887"/>
      <c r="CO197" s="887"/>
      <c r="CP197" s="887"/>
      <c r="CQ197" s="887"/>
      <c r="CR197" s="887"/>
      <c r="CS197" s="887"/>
      <c r="CT197" s="888">
        <v>1</v>
      </c>
      <c r="CU197" s="888">
        <v>0</v>
      </c>
      <c r="CV197" s="887"/>
      <c r="CW197" s="890">
        <v>0</v>
      </c>
      <c r="CX197" s="889"/>
      <c r="CY197" s="890">
        <v>1</v>
      </c>
      <c r="CZ197" s="891"/>
      <c r="DD197" s="892"/>
      <c r="DE197" s="893" t="s">
        <v>1289</v>
      </c>
      <c r="DF197" s="894"/>
      <c r="DG197" s="895">
        <v>1</v>
      </c>
      <c r="DH197" s="895">
        <v>7</v>
      </c>
      <c r="DI197" s="895">
        <v>1</v>
      </c>
      <c r="DJ197" s="895">
        <v>2</v>
      </c>
      <c r="DK197" s="895">
        <v>0</v>
      </c>
      <c r="DL197" s="895">
        <v>0</v>
      </c>
      <c r="DM197" s="895">
        <v>0</v>
      </c>
      <c r="DN197" s="894"/>
      <c r="DO197" s="894"/>
      <c r="DP197" s="895">
        <v>11</v>
      </c>
      <c r="DQ197" s="792"/>
      <c r="DS197" s="121"/>
      <c r="DT197" s="121"/>
      <c r="DU197" s="121" t="s">
        <v>105</v>
      </c>
      <c r="DV197" s="74" t="s">
        <v>1284</v>
      </c>
      <c r="DW197" s="121"/>
      <c r="DX197" s="121"/>
      <c r="DY197" s="121">
        <v>0</v>
      </c>
      <c r="DZ197" s="121">
        <v>0</v>
      </c>
      <c r="EA197" s="121">
        <v>0</v>
      </c>
      <c r="EB197" s="121">
        <v>1</v>
      </c>
      <c r="EC197" s="121">
        <v>1</v>
      </c>
      <c r="ED197" s="121"/>
      <c r="EE197" s="121"/>
      <c r="EF197" s="121"/>
      <c r="EG197" s="121">
        <v>2</v>
      </c>
      <c r="EH197" s="74"/>
      <c r="EI197" s="74"/>
      <c r="EJ197" s="793"/>
      <c r="EK197" s="793"/>
      <c r="EL197" s="793" t="s">
        <v>105</v>
      </c>
      <c r="EM197" s="793" t="s">
        <v>1283</v>
      </c>
      <c r="EN197" s="793">
        <v>0</v>
      </c>
      <c r="EO197" s="793">
        <v>0</v>
      </c>
      <c r="EP197" s="793">
        <v>0</v>
      </c>
      <c r="EQ197" s="793">
        <v>0</v>
      </c>
      <c r="ER197" s="793">
        <v>0</v>
      </c>
      <c r="ES197" s="793">
        <v>0</v>
      </c>
      <c r="ET197" s="793">
        <v>1</v>
      </c>
      <c r="EU197" s="793">
        <v>0</v>
      </c>
      <c r="EV197" s="793">
        <v>0</v>
      </c>
      <c r="EW197" s="793">
        <v>0</v>
      </c>
      <c r="EX197" s="793">
        <v>0</v>
      </c>
      <c r="EY197" s="794">
        <v>1</v>
      </c>
      <c r="EZ197" s="793"/>
      <c r="FA197" s="795"/>
    </row>
    <row r="198" spans="1:157">
      <c r="A198" s="73"/>
      <c r="B198" s="73"/>
      <c r="C198" s="738"/>
      <c r="D198" s="738" t="s">
        <v>1284</v>
      </c>
      <c r="E198" s="3262">
        <v>2</v>
      </c>
      <c r="F198" s="3262">
        <v>2</v>
      </c>
      <c r="G198" s="3262">
        <v>1</v>
      </c>
      <c r="H198" s="3262">
        <v>1</v>
      </c>
      <c r="I198" s="3262">
        <v>1</v>
      </c>
      <c r="J198" s="3262">
        <v>7</v>
      </c>
      <c r="K198" s="3262">
        <v>15</v>
      </c>
      <c r="L198" s="3262">
        <v>1</v>
      </c>
      <c r="M198" s="4674">
        <v>0</v>
      </c>
      <c r="N198" s="4674">
        <v>0</v>
      </c>
      <c r="O198" s="4674">
        <v>30</v>
      </c>
      <c r="P198" s="73"/>
      <c r="R198" s="74"/>
      <c r="S198" s="74"/>
      <c r="T198" s="74"/>
      <c r="U198" s="761" t="s">
        <v>575</v>
      </c>
      <c r="V198" s="3230"/>
      <c r="W198" s="3230"/>
      <c r="X198" s="3230">
        <v>1</v>
      </c>
      <c r="Y198" s="3230"/>
      <c r="Z198" s="3230"/>
      <c r="AA198" s="3230"/>
      <c r="AB198" s="3230">
        <v>14</v>
      </c>
      <c r="AC198" s="3230">
        <v>16</v>
      </c>
      <c r="AD198" s="3230">
        <v>35</v>
      </c>
      <c r="AE198" s="729"/>
      <c r="AF198" s="729"/>
      <c r="AG198" s="729">
        <v>66</v>
      </c>
      <c r="AH198" s="4681">
        <f>+(AG195+AG197)/AG198</f>
        <v>0.40909090909090912</v>
      </c>
      <c r="AJ198" s="161"/>
      <c r="AK198" s="161"/>
      <c r="AL198" s="73"/>
      <c r="AM198" s="73" t="s">
        <v>1289</v>
      </c>
      <c r="AN198" s="2600"/>
      <c r="AO198" s="2600">
        <v>3</v>
      </c>
      <c r="AP198" s="2600">
        <v>1</v>
      </c>
      <c r="AQ198" s="2600">
        <v>2</v>
      </c>
      <c r="AR198" s="2600">
        <v>2</v>
      </c>
      <c r="AS198" s="2600">
        <v>3</v>
      </c>
      <c r="AT198" s="2600">
        <v>0</v>
      </c>
      <c r="AU198" s="2600">
        <v>1</v>
      </c>
      <c r="AV198" s="2600">
        <v>0</v>
      </c>
      <c r="AW198" s="161">
        <v>0</v>
      </c>
      <c r="AX198" s="161">
        <v>0</v>
      </c>
      <c r="AY198" s="161">
        <v>12</v>
      </c>
      <c r="AZ198" s="161"/>
      <c r="BB198" s="2191"/>
      <c r="BC198" s="2191"/>
      <c r="BD198" s="2192"/>
      <c r="BE198" s="2193" t="s">
        <v>1284</v>
      </c>
      <c r="BF198" s="2195">
        <v>3</v>
      </c>
      <c r="BG198" s="2195">
        <v>3</v>
      </c>
      <c r="BH198" s="2195">
        <v>2</v>
      </c>
      <c r="BI198" s="2195">
        <v>0</v>
      </c>
      <c r="BJ198" s="2195">
        <v>0</v>
      </c>
      <c r="BK198" s="2195">
        <v>4</v>
      </c>
      <c r="BL198" s="2195">
        <v>12</v>
      </c>
      <c r="BM198" s="2195">
        <v>1</v>
      </c>
      <c r="BN198" s="964">
        <v>3</v>
      </c>
      <c r="BO198" s="964">
        <v>0</v>
      </c>
      <c r="BP198" s="964">
        <v>28</v>
      </c>
      <c r="BQ198" s="73"/>
      <c r="BS198" s="879"/>
      <c r="BT198" s="879"/>
      <c r="BU198" s="880"/>
      <c r="BV198" s="881" t="s">
        <v>1288</v>
      </c>
      <c r="BW198" s="882"/>
      <c r="BX198" s="882"/>
      <c r="BY198" s="882"/>
      <c r="BZ198" s="882"/>
      <c r="CA198" s="882"/>
      <c r="CB198" s="883">
        <v>0</v>
      </c>
      <c r="CC198" s="883">
        <v>1</v>
      </c>
      <c r="CD198" s="883">
        <v>0</v>
      </c>
      <c r="CE198" s="879"/>
      <c r="CF198" s="879"/>
      <c r="CG198" s="884">
        <v>1</v>
      </c>
      <c r="CH198" s="161"/>
      <c r="CJ198" s="885"/>
      <c r="CK198" s="885"/>
      <c r="CL198" s="885"/>
      <c r="CM198" s="886" t="s">
        <v>1398</v>
      </c>
      <c r="CN198" s="887"/>
      <c r="CO198" s="887"/>
      <c r="CP198" s="887"/>
      <c r="CQ198" s="887"/>
      <c r="CR198" s="887"/>
      <c r="CS198" s="887"/>
      <c r="CT198" s="888">
        <v>3</v>
      </c>
      <c r="CU198" s="888">
        <v>0</v>
      </c>
      <c r="CV198" s="887"/>
      <c r="CW198" s="890">
        <v>0</v>
      </c>
      <c r="CX198" s="889"/>
      <c r="CY198" s="890">
        <v>3</v>
      </c>
      <c r="CZ198" s="891"/>
      <c r="DD198" s="892"/>
      <c r="DE198" s="893" t="s">
        <v>1292</v>
      </c>
      <c r="DF198" s="894"/>
      <c r="DG198" s="895">
        <v>0</v>
      </c>
      <c r="DH198" s="895">
        <v>0</v>
      </c>
      <c r="DI198" s="895">
        <v>3</v>
      </c>
      <c r="DJ198" s="895">
        <v>0</v>
      </c>
      <c r="DK198" s="895">
        <v>2</v>
      </c>
      <c r="DL198" s="895">
        <v>1</v>
      </c>
      <c r="DM198" s="895">
        <v>4</v>
      </c>
      <c r="DN198" s="894"/>
      <c r="DO198" s="894"/>
      <c r="DP198" s="895">
        <v>10</v>
      </c>
      <c r="DQ198" s="792"/>
      <c r="DS198" s="121"/>
      <c r="DT198" s="121"/>
      <c r="DU198" s="121"/>
      <c r="DV198" s="74" t="s">
        <v>1288</v>
      </c>
      <c r="DW198" s="121"/>
      <c r="DX198" s="121"/>
      <c r="DY198" s="121">
        <v>3</v>
      </c>
      <c r="DZ198" s="121">
        <v>0</v>
      </c>
      <c r="EA198" s="121">
        <v>0</v>
      </c>
      <c r="EB198" s="121">
        <v>0</v>
      </c>
      <c r="EC198" s="121">
        <v>1</v>
      </c>
      <c r="ED198" s="121"/>
      <c r="EE198" s="121"/>
      <c r="EF198" s="121"/>
      <c r="EG198" s="121">
        <v>4</v>
      </c>
      <c r="EH198" s="74"/>
      <c r="EI198" s="74"/>
      <c r="EJ198" s="793"/>
      <c r="EK198" s="793"/>
      <c r="EL198" s="793"/>
      <c r="EM198" s="793" t="s">
        <v>1284</v>
      </c>
      <c r="EN198" s="793">
        <v>0</v>
      </c>
      <c r="EO198" s="793">
        <v>0</v>
      </c>
      <c r="EP198" s="793">
        <v>0</v>
      </c>
      <c r="EQ198" s="793">
        <v>1</v>
      </c>
      <c r="ER198" s="793">
        <v>1</v>
      </c>
      <c r="ES198" s="793">
        <v>0</v>
      </c>
      <c r="ET198" s="793">
        <v>0</v>
      </c>
      <c r="EU198" s="793">
        <v>0</v>
      </c>
      <c r="EV198" s="793">
        <v>0</v>
      </c>
      <c r="EW198" s="793">
        <v>0</v>
      </c>
      <c r="EX198" s="793">
        <v>0</v>
      </c>
      <c r="EY198" s="794">
        <v>2</v>
      </c>
      <c r="EZ198" s="793"/>
      <c r="FA198" s="795"/>
    </row>
    <row r="199" spans="1:157">
      <c r="A199" s="73"/>
      <c r="B199" s="73"/>
      <c r="C199" s="738"/>
      <c r="D199" s="738" t="s">
        <v>1286</v>
      </c>
      <c r="E199" s="3262">
        <v>2</v>
      </c>
      <c r="F199" s="3262">
        <v>0</v>
      </c>
      <c r="G199" s="3262">
        <v>0</v>
      </c>
      <c r="H199" s="3262">
        <v>0</v>
      </c>
      <c r="I199" s="3262">
        <v>0</v>
      </c>
      <c r="J199" s="3262">
        <v>0</v>
      </c>
      <c r="K199" s="3262">
        <v>0</v>
      </c>
      <c r="L199" s="3262">
        <v>0</v>
      </c>
      <c r="M199" s="4674">
        <v>0</v>
      </c>
      <c r="N199" s="4674">
        <v>0</v>
      </c>
      <c r="O199" s="4674">
        <v>2</v>
      </c>
      <c r="P199" s="73"/>
      <c r="R199" s="74"/>
      <c r="S199" s="74"/>
      <c r="T199" s="74" t="s">
        <v>111</v>
      </c>
      <c r="U199" s="74" t="s">
        <v>1283</v>
      </c>
      <c r="V199" s="3229"/>
      <c r="W199" s="3229">
        <v>0</v>
      </c>
      <c r="X199" s="3229">
        <v>0</v>
      </c>
      <c r="Y199" s="3229">
        <v>0</v>
      </c>
      <c r="Z199" s="3229">
        <v>0</v>
      </c>
      <c r="AA199" s="3229">
        <v>0</v>
      </c>
      <c r="AB199" s="3229">
        <v>0</v>
      </c>
      <c r="AC199" s="3229">
        <v>2</v>
      </c>
      <c r="AD199" s="3229">
        <v>4</v>
      </c>
      <c r="AE199" s="121">
        <v>4</v>
      </c>
      <c r="AF199" s="121">
        <v>3</v>
      </c>
      <c r="AG199" s="121">
        <v>13</v>
      </c>
      <c r="AJ199" s="161"/>
      <c r="AK199" s="161"/>
      <c r="AL199" s="73"/>
      <c r="AM199" s="73" t="s">
        <v>1292</v>
      </c>
      <c r="AN199" s="2600"/>
      <c r="AO199" s="2600">
        <v>0</v>
      </c>
      <c r="AP199" s="2600">
        <v>0</v>
      </c>
      <c r="AQ199" s="2600">
        <v>0</v>
      </c>
      <c r="AR199" s="2600">
        <v>0</v>
      </c>
      <c r="AS199" s="2600">
        <v>0</v>
      </c>
      <c r="AT199" s="2600">
        <v>0</v>
      </c>
      <c r="AU199" s="2600">
        <v>1</v>
      </c>
      <c r="AV199" s="2600">
        <v>48</v>
      </c>
      <c r="AW199" s="161">
        <v>3</v>
      </c>
      <c r="AX199" s="161">
        <v>8</v>
      </c>
      <c r="AY199" s="161">
        <v>60</v>
      </c>
      <c r="AZ199" s="161"/>
      <c r="BB199" s="2191"/>
      <c r="BC199" s="2191"/>
      <c r="BD199" s="2192"/>
      <c r="BE199" s="2193" t="s">
        <v>1286</v>
      </c>
      <c r="BF199" s="2195">
        <v>8</v>
      </c>
      <c r="BG199" s="2195">
        <v>5</v>
      </c>
      <c r="BH199" s="2195">
        <v>1</v>
      </c>
      <c r="BI199" s="2195">
        <v>1</v>
      </c>
      <c r="BJ199" s="2195">
        <v>1</v>
      </c>
      <c r="BK199" s="2195">
        <v>0</v>
      </c>
      <c r="BL199" s="2195">
        <v>0</v>
      </c>
      <c r="BM199" s="2195">
        <v>0</v>
      </c>
      <c r="BN199" s="964">
        <v>0</v>
      </c>
      <c r="BO199" s="964">
        <v>0</v>
      </c>
      <c r="BP199" s="964">
        <v>16</v>
      </c>
      <c r="BQ199" s="73"/>
      <c r="BS199" s="879"/>
      <c r="BT199" s="879"/>
      <c r="BU199" s="880"/>
      <c r="BV199" s="881" t="s">
        <v>1292</v>
      </c>
      <c r="BW199" s="882"/>
      <c r="BX199" s="882"/>
      <c r="BY199" s="882"/>
      <c r="BZ199" s="882"/>
      <c r="CA199" s="882"/>
      <c r="CB199" s="883">
        <v>0</v>
      </c>
      <c r="CC199" s="883">
        <v>0</v>
      </c>
      <c r="CD199" s="883">
        <v>8</v>
      </c>
      <c r="CE199" s="879"/>
      <c r="CF199" s="879"/>
      <c r="CG199" s="884">
        <v>8</v>
      </c>
      <c r="CH199" s="161"/>
      <c r="CJ199" s="885"/>
      <c r="CK199" s="885"/>
      <c r="CL199" s="885"/>
      <c r="CM199" s="897" t="s">
        <v>15</v>
      </c>
      <c r="CN199" s="898"/>
      <c r="CO199" s="898"/>
      <c r="CP199" s="898"/>
      <c r="CQ199" s="898"/>
      <c r="CR199" s="898"/>
      <c r="CS199" s="898"/>
      <c r="CT199" s="899">
        <v>19</v>
      </c>
      <c r="CU199" s="899">
        <v>3</v>
      </c>
      <c r="CV199" s="898"/>
      <c r="CW199" s="901">
        <v>1</v>
      </c>
      <c r="CX199" s="900"/>
      <c r="CY199" s="901">
        <v>23</v>
      </c>
      <c r="CZ199" s="891">
        <f>+(CY198+CY197+CY195)/CY199</f>
        <v>0.21739130434782608</v>
      </c>
      <c r="DD199" s="892"/>
      <c r="DE199" s="893" t="s">
        <v>1293</v>
      </c>
      <c r="DF199" s="894"/>
      <c r="DG199" s="895">
        <v>0</v>
      </c>
      <c r="DH199" s="895">
        <v>1</v>
      </c>
      <c r="DI199" s="895">
        <v>1</v>
      </c>
      <c r="DJ199" s="895">
        <v>0</v>
      </c>
      <c r="DK199" s="895">
        <v>0</v>
      </c>
      <c r="DL199" s="895">
        <v>0</v>
      </c>
      <c r="DM199" s="895">
        <v>0</v>
      </c>
      <c r="DN199" s="894"/>
      <c r="DO199" s="894"/>
      <c r="DP199" s="895">
        <v>2</v>
      </c>
      <c r="DQ199" s="792"/>
      <c r="DS199" s="121"/>
      <c r="DT199" s="121"/>
      <c r="DU199" s="121"/>
      <c r="DV199" s="74" t="s">
        <v>1289</v>
      </c>
      <c r="DW199" s="121"/>
      <c r="DX199" s="121"/>
      <c r="DY199" s="121">
        <v>22</v>
      </c>
      <c r="DZ199" s="121">
        <v>5</v>
      </c>
      <c r="EA199" s="121">
        <v>4</v>
      </c>
      <c r="EB199" s="121">
        <v>1</v>
      </c>
      <c r="EC199" s="121">
        <v>0</v>
      </c>
      <c r="ED199" s="121"/>
      <c r="EE199" s="121"/>
      <c r="EF199" s="121"/>
      <c r="EG199" s="121">
        <v>32</v>
      </c>
      <c r="EH199" s="74"/>
      <c r="EI199" s="74"/>
      <c r="EJ199" s="793"/>
      <c r="EK199" s="793"/>
      <c r="EL199" s="793"/>
      <c r="EM199" s="793" t="s">
        <v>1288</v>
      </c>
      <c r="EN199" s="793">
        <v>0</v>
      </c>
      <c r="EO199" s="793">
        <v>0</v>
      </c>
      <c r="EP199" s="793">
        <v>0</v>
      </c>
      <c r="EQ199" s="793">
        <v>1</v>
      </c>
      <c r="ER199" s="793">
        <v>0</v>
      </c>
      <c r="ES199" s="793">
        <v>0</v>
      </c>
      <c r="ET199" s="793">
        <v>0</v>
      </c>
      <c r="EU199" s="793">
        <v>0</v>
      </c>
      <c r="EV199" s="793">
        <v>0</v>
      </c>
      <c r="EW199" s="793">
        <v>0</v>
      </c>
      <c r="EX199" s="793">
        <v>0</v>
      </c>
      <c r="EY199" s="794">
        <v>1</v>
      </c>
      <c r="EZ199" s="793"/>
      <c r="FA199" s="795"/>
    </row>
    <row r="200" spans="1:157">
      <c r="A200" s="73"/>
      <c r="B200" s="73"/>
      <c r="C200" s="738"/>
      <c r="D200" s="738" t="s">
        <v>1288</v>
      </c>
      <c r="E200" s="3262">
        <v>0</v>
      </c>
      <c r="F200" s="3262">
        <v>0</v>
      </c>
      <c r="G200" s="3262">
        <v>0</v>
      </c>
      <c r="H200" s="3262">
        <v>0</v>
      </c>
      <c r="I200" s="3262">
        <v>0</v>
      </c>
      <c r="J200" s="3262">
        <v>4</v>
      </c>
      <c r="K200" s="3262">
        <v>33</v>
      </c>
      <c r="L200" s="3262">
        <v>5</v>
      </c>
      <c r="M200" s="4674">
        <v>2</v>
      </c>
      <c r="N200" s="4674">
        <v>0</v>
      </c>
      <c r="O200" s="4674">
        <v>44</v>
      </c>
      <c r="P200" s="73"/>
      <c r="R200" s="74"/>
      <c r="S200" s="74"/>
      <c r="T200" s="74"/>
      <c r="U200" s="74" t="s">
        <v>1284</v>
      </c>
      <c r="V200" s="3229"/>
      <c r="W200" s="3229">
        <v>2</v>
      </c>
      <c r="X200" s="3229">
        <v>1</v>
      </c>
      <c r="Y200" s="3229">
        <v>0</v>
      </c>
      <c r="Z200" s="3229">
        <v>1</v>
      </c>
      <c r="AA200" s="3229">
        <v>1</v>
      </c>
      <c r="AB200" s="3229">
        <v>5</v>
      </c>
      <c r="AC200" s="3229">
        <v>12</v>
      </c>
      <c r="AD200" s="3229">
        <v>3</v>
      </c>
      <c r="AE200" s="121">
        <v>1</v>
      </c>
      <c r="AF200" s="121">
        <v>0</v>
      </c>
      <c r="AG200" s="121">
        <v>26</v>
      </c>
      <c r="AJ200" s="161"/>
      <c r="AK200" s="161"/>
      <c r="AL200" s="73"/>
      <c r="AM200" s="73" t="s">
        <v>1398</v>
      </c>
      <c r="AN200" s="2600"/>
      <c r="AO200" s="2600">
        <v>0</v>
      </c>
      <c r="AP200" s="2600">
        <v>0</v>
      </c>
      <c r="AQ200" s="2600">
        <v>0</v>
      </c>
      <c r="AR200" s="2600">
        <v>0</v>
      </c>
      <c r="AS200" s="2600">
        <v>0</v>
      </c>
      <c r="AT200" s="2600">
        <v>43</v>
      </c>
      <c r="AU200" s="2600">
        <v>23</v>
      </c>
      <c r="AV200" s="2600">
        <v>4</v>
      </c>
      <c r="AW200" s="161">
        <v>0</v>
      </c>
      <c r="AX200" s="161">
        <v>0</v>
      </c>
      <c r="AY200" s="161">
        <v>70</v>
      </c>
      <c r="AZ200" s="161"/>
      <c r="BB200" s="2191"/>
      <c r="BC200" s="2191"/>
      <c r="BD200" s="2192"/>
      <c r="BE200" s="2193" t="s">
        <v>1288</v>
      </c>
      <c r="BF200" s="2195">
        <v>0</v>
      </c>
      <c r="BG200" s="2195">
        <v>0</v>
      </c>
      <c r="BH200" s="2195">
        <v>8</v>
      </c>
      <c r="BI200" s="2195">
        <v>0</v>
      </c>
      <c r="BJ200" s="2195">
        <v>0</v>
      </c>
      <c r="BK200" s="2195">
        <v>7</v>
      </c>
      <c r="BL200" s="2195">
        <v>13</v>
      </c>
      <c r="BM200" s="2195">
        <v>1</v>
      </c>
      <c r="BN200" s="964">
        <v>0</v>
      </c>
      <c r="BO200" s="964">
        <v>0</v>
      </c>
      <c r="BP200" s="964">
        <v>29</v>
      </c>
      <c r="BQ200" s="73"/>
      <c r="BS200" s="879"/>
      <c r="BT200" s="879"/>
      <c r="BU200" s="880"/>
      <c r="BV200" s="881" t="s">
        <v>1293</v>
      </c>
      <c r="BW200" s="882"/>
      <c r="BX200" s="882"/>
      <c r="BY200" s="882"/>
      <c r="BZ200" s="882"/>
      <c r="CA200" s="882"/>
      <c r="CB200" s="883">
        <v>0</v>
      </c>
      <c r="CC200" s="883">
        <v>1</v>
      </c>
      <c r="CD200" s="883">
        <v>0</v>
      </c>
      <c r="CE200" s="879"/>
      <c r="CF200" s="879"/>
      <c r="CG200" s="884">
        <v>1</v>
      </c>
      <c r="CH200" s="161"/>
      <c r="CJ200" s="885"/>
      <c r="CK200" s="885"/>
      <c r="CL200" s="885" t="s">
        <v>113</v>
      </c>
      <c r="CM200" s="886" t="s">
        <v>1284</v>
      </c>
      <c r="CN200" s="888">
        <v>1</v>
      </c>
      <c r="CO200" s="887"/>
      <c r="CP200" s="887"/>
      <c r="CQ200" s="887"/>
      <c r="CR200" s="887"/>
      <c r="CS200" s="887"/>
      <c r="CT200" s="887"/>
      <c r="CU200" s="887"/>
      <c r="CV200" s="887"/>
      <c r="CW200" s="889"/>
      <c r="CX200" s="889"/>
      <c r="CY200" s="890">
        <v>1</v>
      </c>
      <c r="CZ200" s="891"/>
      <c r="DD200" s="892"/>
      <c r="DE200" s="893" t="s">
        <v>1398</v>
      </c>
      <c r="DF200" s="894"/>
      <c r="DG200" s="895">
        <v>0</v>
      </c>
      <c r="DH200" s="895">
        <v>1</v>
      </c>
      <c r="DI200" s="895">
        <v>0</v>
      </c>
      <c r="DJ200" s="895">
        <v>0</v>
      </c>
      <c r="DK200" s="895">
        <v>0</v>
      </c>
      <c r="DL200" s="895">
        <v>0</v>
      </c>
      <c r="DM200" s="895">
        <v>0</v>
      </c>
      <c r="DN200" s="894"/>
      <c r="DO200" s="894"/>
      <c r="DP200" s="895">
        <v>1</v>
      </c>
      <c r="DQ200" s="792"/>
      <c r="DS200" s="121"/>
      <c r="DT200" s="121"/>
      <c r="DU200" s="121"/>
      <c r="DV200" s="74" t="s">
        <v>1292</v>
      </c>
      <c r="DW200" s="121"/>
      <c r="DX200" s="121"/>
      <c r="DY200" s="121">
        <v>0</v>
      </c>
      <c r="DZ200" s="121">
        <v>1</v>
      </c>
      <c r="EA200" s="121">
        <v>0</v>
      </c>
      <c r="EB200" s="121">
        <v>0</v>
      </c>
      <c r="EC200" s="121">
        <v>0</v>
      </c>
      <c r="ED200" s="121"/>
      <c r="EE200" s="121"/>
      <c r="EF200" s="121"/>
      <c r="EG200" s="121">
        <v>1</v>
      </c>
      <c r="EH200" s="74"/>
      <c r="EI200" s="74"/>
      <c r="EJ200" s="793"/>
      <c r="EK200" s="793"/>
      <c r="EL200" s="793"/>
      <c r="EM200" s="793" t="s">
        <v>1289</v>
      </c>
      <c r="EN200" s="793">
        <v>0</v>
      </c>
      <c r="EO200" s="793">
        <v>0</v>
      </c>
      <c r="EP200" s="793">
        <v>1</v>
      </c>
      <c r="EQ200" s="793">
        <v>3</v>
      </c>
      <c r="ER200" s="793">
        <v>13</v>
      </c>
      <c r="ES200" s="793">
        <v>6</v>
      </c>
      <c r="ET200" s="793">
        <v>3</v>
      </c>
      <c r="EU200" s="793">
        <v>0</v>
      </c>
      <c r="EV200" s="793">
        <v>0</v>
      </c>
      <c r="EW200" s="793">
        <v>0</v>
      </c>
      <c r="EX200" s="793">
        <v>0</v>
      </c>
      <c r="EY200" s="794">
        <v>26</v>
      </c>
      <c r="EZ200" s="793"/>
      <c r="FA200" s="795"/>
    </row>
    <row r="201" spans="1:157">
      <c r="A201" s="73"/>
      <c r="B201" s="73"/>
      <c r="C201" s="738"/>
      <c r="D201" s="738" t="s">
        <v>1289</v>
      </c>
      <c r="E201" s="3262">
        <v>1</v>
      </c>
      <c r="F201" s="3262">
        <v>0</v>
      </c>
      <c r="G201" s="3262">
        <v>2</v>
      </c>
      <c r="H201" s="3262">
        <v>3</v>
      </c>
      <c r="I201" s="3262">
        <v>1</v>
      </c>
      <c r="J201" s="3262">
        <v>1</v>
      </c>
      <c r="K201" s="3262">
        <v>0</v>
      </c>
      <c r="L201" s="3262">
        <v>0</v>
      </c>
      <c r="M201" s="4674">
        <v>0</v>
      </c>
      <c r="N201" s="4674">
        <v>0</v>
      </c>
      <c r="O201" s="4674">
        <v>8</v>
      </c>
      <c r="P201" s="73"/>
      <c r="R201" s="74"/>
      <c r="S201" s="74"/>
      <c r="T201" s="74"/>
      <c r="U201" s="74" t="s">
        <v>1286</v>
      </c>
      <c r="V201" s="3229"/>
      <c r="W201" s="3229">
        <v>3</v>
      </c>
      <c r="X201" s="3229">
        <v>1</v>
      </c>
      <c r="Y201" s="3229">
        <v>0</v>
      </c>
      <c r="Z201" s="3229">
        <v>0</v>
      </c>
      <c r="AA201" s="3229">
        <v>0</v>
      </c>
      <c r="AB201" s="3229">
        <v>0</v>
      </c>
      <c r="AC201" s="3229">
        <v>0</v>
      </c>
      <c r="AD201" s="3229">
        <v>0</v>
      </c>
      <c r="AE201" s="121">
        <v>0</v>
      </c>
      <c r="AF201" s="121">
        <v>0</v>
      </c>
      <c r="AG201" s="121">
        <v>4</v>
      </c>
      <c r="AJ201" s="161"/>
      <c r="AK201" s="161"/>
      <c r="AL201" s="73"/>
      <c r="AM201" s="738" t="s">
        <v>111</v>
      </c>
      <c r="AN201" s="2601"/>
      <c r="AO201" s="2601">
        <v>11</v>
      </c>
      <c r="AP201" s="2601">
        <v>4</v>
      </c>
      <c r="AQ201" s="2601">
        <v>4</v>
      </c>
      <c r="AR201" s="2601">
        <v>2</v>
      </c>
      <c r="AS201" s="2601">
        <v>4</v>
      </c>
      <c r="AT201" s="2601">
        <v>80</v>
      </c>
      <c r="AU201" s="2601">
        <v>90</v>
      </c>
      <c r="AV201" s="2601">
        <v>65</v>
      </c>
      <c r="AW201" s="151">
        <v>9</v>
      </c>
      <c r="AX201" s="151">
        <v>10</v>
      </c>
      <c r="AY201" s="151">
        <v>279</v>
      </c>
      <c r="AZ201" s="912">
        <f>+(AY197+AY200-AW197)/AY201</f>
        <v>0.43727598566308246</v>
      </c>
      <c r="BB201" s="2191"/>
      <c r="BC201" s="2191"/>
      <c r="BD201" s="2192"/>
      <c r="BE201" s="2193" t="s">
        <v>1289</v>
      </c>
      <c r="BF201" s="2195">
        <v>0</v>
      </c>
      <c r="BG201" s="2195">
        <v>1</v>
      </c>
      <c r="BH201" s="2195">
        <v>3</v>
      </c>
      <c r="BI201" s="2195">
        <v>2</v>
      </c>
      <c r="BJ201" s="2195">
        <v>1</v>
      </c>
      <c r="BK201" s="2195">
        <v>0</v>
      </c>
      <c r="BL201" s="2195">
        <v>1</v>
      </c>
      <c r="BM201" s="2195">
        <v>0</v>
      </c>
      <c r="BN201" s="964">
        <v>0</v>
      </c>
      <c r="BO201" s="964">
        <v>0</v>
      </c>
      <c r="BP201" s="964">
        <v>8</v>
      </c>
      <c r="BQ201" s="73"/>
      <c r="BS201" s="879"/>
      <c r="BT201" s="879"/>
      <c r="BU201" s="880"/>
      <c r="BV201" s="881" t="s">
        <v>1398</v>
      </c>
      <c r="BW201" s="882"/>
      <c r="BX201" s="882"/>
      <c r="BY201" s="882"/>
      <c r="BZ201" s="882"/>
      <c r="CA201" s="882"/>
      <c r="CB201" s="883">
        <v>2</v>
      </c>
      <c r="CC201" s="883">
        <v>0</v>
      </c>
      <c r="CD201" s="883">
        <v>0</v>
      </c>
      <c r="CE201" s="879"/>
      <c r="CF201" s="879"/>
      <c r="CG201" s="884">
        <v>2</v>
      </c>
      <c r="CH201" s="161"/>
      <c r="CJ201" s="885"/>
      <c r="CK201" s="885"/>
      <c r="CL201" s="885"/>
      <c r="CM201" s="897" t="s">
        <v>15</v>
      </c>
      <c r="CN201" s="899">
        <v>1</v>
      </c>
      <c r="CO201" s="898"/>
      <c r="CP201" s="898"/>
      <c r="CQ201" s="898"/>
      <c r="CR201" s="898"/>
      <c r="CS201" s="898"/>
      <c r="CT201" s="898"/>
      <c r="CU201" s="898"/>
      <c r="CV201" s="898"/>
      <c r="CW201" s="900"/>
      <c r="CX201" s="900"/>
      <c r="CY201" s="901">
        <v>1</v>
      </c>
      <c r="CZ201" s="891">
        <v>0</v>
      </c>
      <c r="DD201" s="892"/>
      <c r="DE201" s="902" t="s">
        <v>888</v>
      </c>
      <c r="DF201" s="903"/>
      <c r="DG201" s="904">
        <v>1</v>
      </c>
      <c r="DH201" s="904">
        <v>13</v>
      </c>
      <c r="DI201" s="904">
        <v>8</v>
      </c>
      <c r="DJ201" s="904">
        <v>3</v>
      </c>
      <c r="DK201" s="904">
        <v>3</v>
      </c>
      <c r="DL201" s="904">
        <v>1</v>
      </c>
      <c r="DM201" s="904">
        <v>4</v>
      </c>
      <c r="DN201" s="903"/>
      <c r="DO201" s="903"/>
      <c r="DP201" s="904">
        <v>33</v>
      </c>
      <c r="DQ201" s="905">
        <f>+(DP200+DP199)/DP201</f>
        <v>9.0909090909090912E-2</v>
      </c>
      <c r="DS201" s="121"/>
      <c r="DT201" s="121"/>
      <c r="DU201" s="121"/>
      <c r="DV201" s="74" t="s">
        <v>1293</v>
      </c>
      <c r="DW201" s="121"/>
      <c r="DX201" s="121"/>
      <c r="DY201" s="121">
        <v>0</v>
      </c>
      <c r="DZ201" s="121">
        <v>1</v>
      </c>
      <c r="EA201" s="121">
        <v>0</v>
      </c>
      <c r="EB201" s="121">
        <v>3</v>
      </c>
      <c r="EC201" s="121">
        <v>0</v>
      </c>
      <c r="ED201" s="121"/>
      <c r="EE201" s="121"/>
      <c r="EF201" s="121"/>
      <c r="EG201" s="121">
        <v>4</v>
      </c>
      <c r="EH201" s="74"/>
      <c r="EI201" s="74"/>
      <c r="EJ201" s="793"/>
      <c r="EK201" s="793"/>
      <c r="EL201" s="793"/>
      <c r="EM201" s="793" t="s">
        <v>1398</v>
      </c>
      <c r="EN201" s="793">
        <v>0</v>
      </c>
      <c r="EO201" s="793">
        <v>0</v>
      </c>
      <c r="EP201" s="793">
        <v>0</v>
      </c>
      <c r="EQ201" s="793">
        <v>1</v>
      </c>
      <c r="ER201" s="793">
        <v>0</v>
      </c>
      <c r="ES201" s="793">
        <v>0</v>
      </c>
      <c r="ET201" s="793">
        <v>0</v>
      </c>
      <c r="EU201" s="793">
        <v>0</v>
      </c>
      <c r="EV201" s="793">
        <v>0</v>
      </c>
      <c r="EW201" s="793">
        <v>0</v>
      </c>
      <c r="EX201" s="793">
        <v>0</v>
      </c>
      <c r="EY201" s="794">
        <v>1</v>
      </c>
      <c r="EZ201" s="793"/>
      <c r="FA201" s="795"/>
    </row>
    <row r="202" spans="1:157">
      <c r="A202" s="73"/>
      <c r="B202" s="73"/>
      <c r="C202" s="738"/>
      <c r="D202" s="738" t="s">
        <v>1292</v>
      </c>
      <c r="E202" s="3262">
        <v>0</v>
      </c>
      <c r="F202" s="3262">
        <v>0</v>
      </c>
      <c r="G202" s="3262">
        <v>0</v>
      </c>
      <c r="H202" s="3262">
        <v>0</v>
      </c>
      <c r="I202" s="3262">
        <v>0</v>
      </c>
      <c r="J202" s="3262">
        <v>0</v>
      </c>
      <c r="K202" s="3262">
        <v>0</v>
      </c>
      <c r="L202" s="3262">
        <v>69</v>
      </c>
      <c r="M202" s="4674">
        <v>7</v>
      </c>
      <c r="N202" s="4674">
        <v>5</v>
      </c>
      <c r="O202" s="4674">
        <v>81</v>
      </c>
      <c r="P202" s="73"/>
      <c r="R202" s="74"/>
      <c r="S202" s="74"/>
      <c r="T202" s="74"/>
      <c r="U202" s="74" t="s">
        <v>1288</v>
      </c>
      <c r="V202" s="3229"/>
      <c r="W202" s="3229">
        <v>0</v>
      </c>
      <c r="X202" s="3229">
        <v>0</v>
      </c>
      <c r="Y202" s="3229">
        <v>0</v>
      </c>
      <c r="Z202" s="3229">
        <v>2</v>
      </c>
      <c r="AA202" s="3229">
        <v>0</v>
      </c>
      <c r="AB202" s="3229">
        <v>24</v>
      </c>
      <c r="AC202" s="3229">
        <v>28</v>
      </c>
      <c r="AD202" s="3229">
        <v>7</v>
      </c>
      <c r="AE202" s="121">
        <v>2</v>
      </c>
      <c r="AF202" s="121">
        <v>0</v>
      </c>
      <c r="AG202" s="121">
        <v>63</v>
      </c>
      <c r="AJ202" s="161" t="s">
        <v>48</v>
      </c>
      <c r="AK202" s="161" t="s">
        <v>16</v>
      </c>
      <c r="AL202" s="73" t="s">
        <v>133</v>
      </c>
      <c r="AM202" s="73" t="s">
        <v>1284</v>
      </c>
      <c r="AN202" s="2600"/>
      <c r="AO202" s="2600">
        <v>1</v>
      </c>
      <c r="AP202" s="2600"/>
      <c r="AQ202" s="2600"/>
      <c r="AR202" s="2600">
        <v>1</v>
      </c>
      <c r="AS202" s="2600"/>
      <c r="AT202" s="2600">
        <v>21</v>
      </c>
      <c r="AU202" s="2600"/>
      <c r="AV202" s="2600"/>
      <c r="AW202" s="161"/>
      <c r="AX202" s="161"/>
      <c r="AY202" s="161">
        <v>23</v>
      </c>
      <c r="AZ202" s="161"/>
      <c r="BB202" s="2191"/>
      <c r="BC202" s="2191"/>
      <c r="BD202" s="2192"/>
      <c r="BE202" s="2193" t="s">
        <v>1292</v>
      </c>
      <c r="BF202" s="2195">
        <v>0</v>
      </c>
      <c r="BG202" s="2195">
        <v>0</v>
      </c>
      <c r="BH202" s="2195">
        <v>0</v>
      </c>
      <c r="BI202" s="2195">
        <v>0</v>
      </c>
      <c r="BJ202" s="2195">
        <v>0</v>
      </c>
      <c r="BK202" s="2195">
        <v>0</v>
      </c>
      <c r="BL202" s="2195">
        <v>2</v>
      </c>
      <c r="BM202" s="2195">
        <v>59</v>
      </c>
      <c r="BN202" s="964">
        <v>3</v>
      </c>
      <c r="BO202" s="964">
        <v>13</v>
      </c>
      <c r="BP202" s="964">
        <v>77</v>
      </c>
      <c r="BQ202" s="73"/>
      <c r="BS202" s="879"/>
      <c r="BT202" s="879"/>
      <c r="BU202" s="880"/>
      <c r="BV202" s="907" t="s">
        <v>15</v>
      </c>
      <c r="BW202" s="908"/>
      <c r="BX202" s="908"/>
      <c r="BY202" s="908"/>
      <c r="BZ202" s="908"/>
      <c r="CA202" s="908"/>
      <c r="CB202" s="909">
        <v>3</v>
      </c>
      <c r="CC202" s="909">
        <v>3</v>
      </c>
      <c r="CD202" s="909">
        <v>8</v>
      </c>
      <c r="CE202" s="910"/>
      <c r="CF202" s="910"/>
      <c r="CG202" s="911">
        <v>14</v>
      </c>
      <c r="CH202" s="912">
        <f>+(CG198+CG200+CG201)/CG202</f>
        <v>0.2857142857142857</v>
      </c>
      <c r="CJ202" s="885"/>
      <c r="CK202" s="885"/>
      <c r="CL202" s="897" t="s">
        <v>575</v>
      </c>
      <c r="CM202" s="886" t="s">
        <v>1284</v>
      </c>
      <c r="CN202" s="888">
        <v>1</v>
      </c>
      <c r="CO202" s="888">
        <v>1</v>
      </c>
      <c r="CP202" s="887"/>
      <c r="CQ202" s="888">
        <v>2</v>
      </c>
      <c r="CR202" s="887"/>
      <c r="CS202" s="888">
        <v>1</v>
      </c>
      <c r="CT202" s="888">
        <v>19</v>
      </c>
      <c r="CU202" s="888">
        <v>9</v>
      </c>
      <c r="CV202" s="887"/>
      <c r="CW202" s="890">
        <v>0</v>
      </c>
      <c r="CX202" s="889"/>
      <c r="CY202" s="890">
        <v>33</v>
      </c>
      <c r="CZ202" s="891"/>
      <c r="DB202" s="892" t="s">
        <v>25</v>
      </c>
      <c r="DD202" s="892" t="s">
        <v>572</v>
      </c>
      <c r="DE202" s="893" t="s">
        <v>1283</v>
      </c>
      <c r="DF202" s="895">
        <v>0</v>
      </c>
      <c r="DG202" s="894"/>
      <c r="DH202" s="894"/>
      <c r="DI202" s="895">
        <v>0</v>
      </c>
      <c r="DJ202" s="895">
        <v>0</v>
      </c>
      <c r="DK202" s="895">
        <v>0</v>
      </c>
      <c r="DL202" s="895">
        <v>1</v>
      </c>
      <c r="DM202" s="895">
        <v>8</v>
      </c>
      <c r="DN202" s="895">
        <v>4</v>
      </c>
      <c r="DO202" s="895">
        <v>11</v>
      </c>
      <c r="DP202" s="895">
        <v>24</v>
      </c>
      <c r="DQ202" s="792"/>
      <c r="DS202" s="121"/>
      <c r="DT202" s="121"/>
      <c r="DU202" s="121"/>
      <c r="DV202" s="74" t="s">
        <v>1398</v>
      </c>
      <c r="DW202" s="121"/>
      <c r="DX202" s="121"/>
      <c r="DY202" s="121">
        <v>2</v>
      </c>
      <c r="DZ202" s="121">
        <v>1</v>
      </c>
      <c r="EA202" s="121">
        <v>0</v>
      </c>
      <c r="EB202" s="121">
        <v>0</v>
      </c>
      <c r="EC202" s="121">
        <v>0</v>
      </c>
      <c r="ED202" s="121"/>
      <c r="EE202" s="121"/>
      <c r="EF202" s="121"/>
      <c r="EG202" s="121">
        <v>3</v>
      </c>
      <c r="EH202" s="74"/>
      <c r="EI202" s="74"/>
      <c r="EJ202" s="793"/>
      <c r="EK202" s="793"/>
      <c r="EL202" s="793"/>
      <c r="EM202" s="796" t="s">
        <v>15</v>
      </c>
      <c r="EN202" s="796">
        <v>0</v>
      </c>
      <c r="EO202" s="796">
        <v>0</v>
      </c>
      <c r="EP202" s="796">
        <v>1</v>
      </c>
      <c r="EQ202" s="796">
        <v>6</v>
      </c>
      <c r="ER202" s="796">
        <v>14</v>
      </c>
      <c r="ES202" s="796">
        <v>6</v>
      </c>
      <c r="ET202" s="796">
        <v>4</v>
      </c>
      <c r="EU202" s="796">
        <v>0</v>
      </c>
      <c r="EV202" s="796">
        <v>0</v>
      </c>
      <c r="EW202" s="796">
        <v>0</v>
      </c>
      <c r="EX202" s="796">
        <v>0</v>
      </c>
      <c r="EY202" s="856">
        <v>31</v>
      </c>
      <c r="EZ202" s="797">
        <f>+(EY201+EY199)/EY202</f>
        <v>6.4516129032258063E-2</v>
      </c>
      <c r="FA202" s="795">
        <f>+EY199+EY201</f>
        <v>2</v>
      </c>
    </row>
    <row r="203" spans="1:157">
      <c r="A203" s="73"/>
      <c r="B203" s="73"/>
      <c r="C203" s="738"/>
      <c r="D203" s="738" t="s">
        <v>1398</v>
      </c>
      <c r="E203" s="3262">
        <v>0</v>
      </c>
      <c r="F203" s="3262">
        <v>0</v>
      </c>
      <c r="G203" s="3262">
        <v>0</v>
      </c>
      <c r="H203" s="3262">
        <v>0</v>
      </c>
      <c r="I203" s="3262">
        <v>0</v>
      </c>
      <c r="J203" s="3262">
        <v>36</v>
      </c>
      <c r="K203" s="3262">
        <v>12</v>
      </c>
      <c r="L203" s="3262">
        <v>16</v>
      </c>
      <c r="M203" s="4674">
        <v>0</v>
      </c>
      <c r="N203" s="4674">
        <v>0</v>
      </c>
      <c r="O203" s="4674">
        <v>64</v>
      </c>
      <c r="P203" s="73"/>
      <c r="R203" s="74"/>
      <c r="S203" s="74"/>
      <c r="T203" s="74"/>
      <c r="U203" s="74" t="s">
        <v>1289</v>
      </c>
      <c r="V203" s="3229"/>
      <c r="W203" s="3229">
        <v>1</v>
      </c>
      <c r="X203" s="3229">
        <v>3</v>
      </c>
      <c r="Y203" s="3229">
        <v>1</v>
      </c>
      <c r="Z203" s="3229">
        <v>3</v>
      </c>
      <c r="AA203" s="3229">
        <v>1</v>
      </c>
      <c r="AB203" s="3229">
        <v>0</v>
      </c>
      <c r="AC203" s="3229">
        <v>0</v>
      </c>
      <c r="AD203" s="3229">
        <v>0</v>
      </c>
      <c r="AE203" s="121">
        <v>0</v>
      </c>
      <c r="AF203" s="121">
        <v>0</v>
      </c>
      <c r="AG203" s="121">
        <v>9</v>
      </c>
      <c r="AJ203" s="161"/>
      <c r="AK203" s="161"/>
      <c r="AL203" s="73"/>
      <c r="AM203" s="73" t="s">
        <v>1288</v>
      </c>
      <c r="AN203" s="2600"/>
      <c r="AO203" s="2600">
        <v>0</v>
      </c>
      <c r="AP203" s="2600"/>
      <c r="AQ203" s="2600"/>
      <c r="AR203" s="2600">
        <v>0</v>
      </c>
      <c r="AS203" s="2600"/>
      <c r="AT203" s="2600">
        <v>2</v>
      </c>
      <c r="AU203" s="2600"/>
      <c r="AV203" s="2600"/>
      <c r="AW203" s="161"/>
      <c r="AX203" s="161"/>
      <c r="AY203" s="161">
        <v>2</v>
      </c>
      <c r="AZ203" s="161"/>
      <c r="BB203" s="2191"/>
      <c r="BC203" s="2191"/>
      <c r="BD203" s="2192"/>
      <c r="BE203" s="2193" t="s">
        <v>1293</v>
      </c>
      <c r="BF203" s="2195">
        <v>0</v>
      </c>
      <c r="BG203" s="2195">
        <v>0</v>
      </c>
      <c r="BH203" s="2195">
        <v>0</v>
      </c>
      <c r="BI203" s="2195">
        <v>0</v>
      </c>
      <c r="BJ203" s="2195">
        <v>0</v>
      </c>
      <c r="BK203" s="2195">
        <v>11</v>
      </c>
      <c r="BL203" s="2195">
        <v>0</v>
      </c>
      <c r="BM203" s="2195">
        <v>0</v>
      </c>
      <c r="BN203" s="964">
        <v>0</v>
      </c>
      <c r="BO203" s="964">
        <v>1</v>
      </c>
      <c r="BP203" s="964">
        <v>12</v>
      </c>
      <c r="BQ203" s="73"/>
      <c r="BS203" s="879"/>
      <c r="BT203" s="879"/>
      <c r="BU203" s="880" t="s">
        <v>112</v>
      </c>
      <c r="BV203" s="881" t="s">
        <v>1284</v>
      </c>
      <c r="BW203" s="882"/>
      <c r="BX203" s="882"/>
      <c r="BY203" s="883">
        <v>19</v>
      </c>
      <c r="BZ203" s="883">
        <v>1</v>
      </c>
      <c r="CA203" s="882"/>
      <c r="CB203" s="882"/>
      <c r="CC203" s="882"/>
      <c r="CD203" s="882"/>
      <c r="CE203" s="879"/>
      <c r="CF203" s="879"/>
      <c r="CG203" s="884">
        <v>20</v>
      </c>
      <c r="CH203" s="161"/>
      <c r="CJ203" s="885"/>
      <c r="CK203" s="885"/>
      <c r="CL203" s="885"/>
      <c r="CM203" s="886" t="s">
        <v>1288</v>
      </c>
      <c r="CN203" s="888">
        <v>0</v>
      </c>
      <c r="CO203" s="888">
        <v>0</v>
      </c>
      <c r="CP203" s="887"/>
      <c r="CQ203" s="888">
        <v>0</v>
      </c>
      <c r="CR203" s="887"/>
      <c r="CS203" s="888">
        <v>1</v>
      </c>
      <c r="CT203" s="888">
        <v>2</v>
      </c>
      <c r="CU203" s="888">
        <v>1</v>
      </c>
      <c r="CV203" s="887"/>
      <c r="CW203" s="890">
        <v>0</v>
      </c>
      <c r="CX203" s="889"/>
      <c r="CY203" s="890">
        <v>4</v>
      </c>
      <c r="CZ203" s="891"/>
      <c r="DB203" s="892"/>
      <c r="DD203" s="892"/>
      <c r="DE203" s="893" t="s">
        <v>1284</v>
      </c>
      <c r="DF203" s="895">
        <v>1</v>
      </c>
      <c r="DG203" s="894"/>
      <c r="DH203" s="894"/>
      <c r="DI203" s="895">
        <v>1</v>
      </c>
      <c r="DJ203" s="895">
        <v>1</v>
      </c>
      <c r="DK203" s="895">
        <v>3</v>
      </c>
      <c r="DL203" s="895">
        <v>4</v>
      </c>
      <c r="DM203" s="895">
        <v>6</v>
      </c>
      <c r="DN203" s="895">
        <v>3</v>
      </c>
      <c r="DO203" s="895">
        <v>0</v>
      </c>
      <c r="DP203" s="895">
        <v>19</v>
      </c>
      <c r="DQ203" s="792"/>
      <c r="DS203" s="121"/>
      <c r="DT203" s="121"/>
      <c r="DU203" s="121"/>
      <c r="DV203" s="761" t="s">
        <v>15</v>
      </c>
      <c r="DW203" s="729"/>
      <c r="DX203" s="729"/>
      <c r="DY203" s="729">
        <v>27</v>
      </c>
      <c r="DZ203" s="729">
        <v>8</v>
      </c>
      <c r="EA203" s="729">
        <v>4</v>
      </c>
      <c r="EB203" s="729">
        <v>5</v>
      </c>
      <c r="EC203" s="729">
        <v>2</v>
      </c>
      <c r="ED203" s="729"/>
      <c r="EE203" s="729"/>
      <c r="EF203" s="729"/>
      <c r="EG203" s="729">
        <v>46</v>
      </c>
      <c r="EH203" s="813">
        <f>+(EG198+EG201+EG202)/EG203</f>
        <v>0.2391304347826087</v>
      </c>
      <c r="EI203" s="74"/>
      <c r="EJ203" s="793"/>
      <c r="EK203" s="793" t="s">
        <v>1380</v>
      </c>
      <c r="EL203" s="793" t="s">
        <v>4</v>
      </c>
      <c r="EM203" s="793" t="s">
        <v>1283</v>
      </c>
      <c r="EN203" s="793">
        <v>0</v>
      </c>
      <c r="EO203" s="793">
        <v>0</v>
      </c>
      <c r="EP203" s="793">
        <v>0</v>
      </c>
      <c r="EQ203" s="793">
        <v>0</v>
      </c>
      <c r="ER203" s="793">
        <v>0</v>
      </c>
      <c r="ES203" s="793">
        <v>0</v>
      </c>
      <c r="ET203" s="793">
        <v>0</v>
      </c>
      <c r="EU203" s="793">
        <v>1</v>
      </c>
      <c r="EV203" s="793">
        <v>10</v>
      </c>
      <c r="EW203" s="793">
        <v>2</v>
      </c>
      <c r="EX203" s="793">
        <v>4</v>
      </c>
      <c r="EY203" s="794">
        <v>17</v>
      </c>
      <c r="EZ203" s="793"/>
      <c r="FA203" s="795"/>
    </row>
    <row r="204" spans="1:157">
      <c r="A204" s="73"/>
      <c r="B204" s="73"/>
      <c r="C204" s="738"/>
      <c r="D204" s="738" t="s">
        <v>3964</v>
      </c>
      <c r="E204" s="3262">
        <v>0</v>
      </c>
      <c r="F204" s="3262">
        <v>0</v>
      </c>
      <c r="G204" s="3262">
        <v>0</v>
      </c>
      <c r="H204" s="3262">
        <v>0</v>
      </c>
      <c r="I204" s="3262">
        <v>0</v>
      </c>
      <c r="J204" s="3262">
        <v>0</v>
      </c>
      <c r="K204" s="3262">
        <v>0</v>
      </c>
      <c r="L204" s="3262">
        <v>0</v>
      </c>
      <c r="M204" s="4674">
        <v>3</v>
      </c>
      <c r="N204" s="4674">
        <v>4</v>
      </c>
      <c r="O204" s="4674">
        <v>7</v>
      </c>
      <c r="P204" s="73"/>
      <c r="R204" s="74"/>
      <c r="S204" s="74"/>
      <c r="T204" s="74"/>
      <c r="U204" s="74" t="s">
        <v>1292</v>
      </c>
      <c r="V204" s="3229"/>
      <c r="W204" s="3229">
        <v>0</v>
      </c>
      <c r="X204" s="3229">
        <v>0</v>
      </c>
      <c r="Y204" s="3229">
        <v>0</v>
      </c>
      <c r="Z204" s="3229">
        <v>0</v>
      </c>
      <c r="AA204" s="3229">
        <v>1</v>
      </c>
      <c r="AB204" s="3229">
        <v>0</v>
      </c>
      <c r="AC204" s="3229">
        <v>1</v>
      </c>
      <c r="AD204" s="3229">
        <v>63</v>
      </c>
      <c r="AE204" s="121">
        <v>6</v>
      </c>
      <c r="AF204" s="121">
        <v>5</v>
      </c>
      <c r="AG204" s="121">
        <v>76</v>
      </c>
      <c r="AJ204" s="161"/>
      <c r="AK204" s="161"/>
      <c r="AL204" s="73"/>
      <c r="AM204" s="73" t="s">
        <v>1292</v>
      </c>
      <c r="AN204" s="2600"/>
      <c r="AO204" s="2600">
        <v>0</v>
      </c>
      <c r="AP204" s="2600"/>
      <c r="AQ204" s="2600"/>
      <c r="AR204" s="2600">
        <v>1</v>
      </c>
      <c r="AS204" s="2600"/>
      <c r="AT204" s="2600">
        <v>0</v>
      </c>
      <c r="AU204" s="2600"/>
      <c r="AV204" s="2600"/>
      <c r="AW204" s="161"/>
      <c r="AX204" s="161"/>
      <c r="AY204" s="161">
        <v>1</v>
      </c>
      <c r="AZ204" s="161"/>
      <c r="BB204" s="2191"/>
      <c r="BC204" s="2191"/>
      <c r="BD204" s="2192"/>
      <c r="BE204" s="2193" t="s">
        <v>1398</v>
      </c>
      <c r="BF204" s="2195">
        <v>0</v>
      </c>
      <c r="BG204" s="2195">
        <v>0</v>
      </c>
      <c r="BH204" s="2195">
        <v>6</v>
      </c>
      <c r="BI204" s="2195">
        <v>0</v>
      </c>
      <c r="BJ204" s="2195">
        <v>0</v>
      </c>
      <c r="BK204" s="2195">
        <v>27</v>
      </c>
      <c r="BL204" s="2195">
        <v>7</v>
      </c>
      <c r="BM204" s="2195">
        <v>6</v>
      </c>
      <c r="BN204" s="964">
        <v>0</v>
      </c>
      <c r="BO204" s="964">
        <v>0</v>
      </c>
      <c r="BP204" s="964">
        <v>46</v>
      </c>
      <c r="BQ204" s="73"/>
      <c r="BS204" s="879"/>
      <c r="BT204" s="879"/>
      <c r="BU204" s="880"/>
      <c r="BV204" s="881" t="s">
        <v>1288</v>
      </c>
      <c r="BW204" s="882"/>
      <c r="BX204" s="882"/>
      <c r="BY204" s="883">
        <v>1</v>
      </c>
      <c r="BZ204" s="883">
        <v>0</v>
      </c>
      <c r="CA204" s="882"/>
      <c r="CB204" s="882"/>
      <c r="CC204" s="882"/>
      <c r="CD204" s="882"/>
      <c r="CE204" s="879"/>
      <c r="CF204" s="879"/>
      <c r="CG204" s="884">
        <v>1</v>
      </c>
      <c r="CH204" s="161"/>
      <c r="CJ204" s="885"/>
      <c r="CK204" s="885"/>
      <c r="CL204" s="885"/>
      <c r="CM204" s="886" t="s">
        <v>1292</v>
      </c>
      <c r="CN204" s="888">
        <v>0</v>
      </c>
      <c r="CO204" s="888">
        <v>0</v>
      </c>
      <c r="CP204" s="887"/>
      <c r="CQ204" s="888">
        <v>0</v>
      </c>
      <c r="CR204" s="887"/>
      <c r="CS204" s="888">
        <v>0</v>
      </c>
      <c r="CT204" s="888">
        <v>0</v>
      </c>
      <c r="CU204" s="888">
        <v>0</v>
      </c>
      <c r="CV204" s="887"/>
      <c r="CW204" s="890">
        <v>1</v>
      </c>
      <c r="CX204" s="889"/>
      <c r="CY204" s="890">
        <v>1</v>
      </c>
      <c r="CZ204" s="891"/>
      <c r="DB204" s="892"/>
      <c r="DD204" s="892"/>
      <c r="DE204" s="893" t="s">
        <v>1288</v>
      </c>
      <c r="DF204" s="895">
        <v>0</v>
      </c>
      <c r="DG204" s="894"/>
      <c r="DH204" s="894"/>
      <c r="DI204" s="895">
        <v>0</v>
      </c>
      <c r="DJ204" s="895">
        <v>0</v>
      </c>
      <c r="DK204" s="895">
        <v>1</v>
      </c>
      <c r="DL204" s="895">
        <v>9</v>
      </c>
      <c r="DM204" s="895">
        <v>0</v>
      </c>
      <c r="DN204" s="895">
        <v>1</v>
      </c>
      <c r="DO204" s="895">
        <v>0</v>
      </c>
      <c r="DP204" s="895">
        <v>11</v>
      </c>
      <c r="DQ204" s="792"/>
      <c r="DS204" s="121"/>
      <c r="DT204" s="121" t="s">
        <v>25</v>
      </c>
      <c r="DU204" s="121" t="s">
        <v>4</v>
      </c>
      <c r="DV204" s="74" t="s">
        <v>1283</v>
      </c>
      <c r="DW204" s="121">
        <v>0</v>
      </c>
      <c r="DX204" s="121">
        <v>0</v>
      </c>
      <c r="DY204" s="121">
        <v>0</v>
      </c>
      <c r="DZ204" s="121"/>
      <c r="EA204" s="121">
        <v>0</v>
      </c>
      <c r="EB204" s="121">
        <v>0</v>
      </c>
      <c r="EC204" s="121">
        <v>2</v>
      </c>
      <c r="ED204" s="121">
        <v>16</v>
      </c>
      <c r="EE204" s="121">
        <v>2</v>
      </c>
      <c r="EF204" s="121">
        <v>2</v>
      </c>
      <c r="EG204" s="121">
        <v>22</v>
      </c>
      <c r="EH204" s="74"/>
      <c r="EI204" s="74"/>
      <c r="EJ204" s="793"/>
      <c r="EK204" s="793"/>
      <c r="EL204" s="793"/>
      <c r="EM204" s="793" t="s">
        <v>1284</v>
      </c>
      <c r="EN204" s="793">
        <v>0</v>
      </c>
      <c r="EO204" s="793">
        <v>0</v>
      </c>
      <c r="EP204" s="793">
        <v>0</v>
      </c>
      <c r="EQ204" s="793">
        <v>1</v>
      </c>
      <c r="ER204" s="793">
        <v>0</v>
      </c>
      <c r="ES204" s="793">
        <v>0</v>
      </c>
      <c r="ET204" s="793">
        <v>2</v>
      </c>
      <c r="EU204" s="793">
        <v>3</v>
      </c>
      <c r="EV204" s="793">
        <v>0</v>
      </c>
      <c r="EW204" s="793">
        <v>0</v>
      </c>
      <c r="EX204" s="793">
        <v>0</v>
      </c>
      <c r="EY204" s="794">
        <v>6</v>
      </c>
      <c r="EZ204" s="793"/>
      <c r="FA204" s="795"/>
    </row>
    <row r="205" spans="1:157">
      <c r="A205" s="73"/>
      <c r="B205" s="73"/>
      <c r="C205" s="738"/>
      <c r="D205" s="738" t="s">
        <v>111</v>
      </c>
      <c r="E205" s="3262">
        <v>5</v>
      </c>
      <c r="F205" s="3262">
        <v>2</v>
      </c>
      <c r="G205" s="3262">
        <v>3</v>
      </c>
      <c r="H205" s="3262">
        <v>4</v>
      </c>
      <c r="I205" s="3262">
        <v>3</v>
      </c>
      <c r="J205" s="3262">
        <v>48</v>
      </c>
      <c r="K205" s="3262">
        <v>61</v>
      </c>
      <c r="L205" s="3262">
        <v>100</v>
      </c>
      <c r="M205" s="4674">
        <v>12</v>
      </c>
      <c r="N205" s="4674">
        <v>9</v>
      </c>
      <c r="O205" s="4674">
        <v>247</v>
      </c>
      <c r="P205" s="912">
        <f>+(O203+O200)/O205</f>
        <v>0.43724696356275305</v>
      </c>
      <c r="Q205" s="3197"/>
      <c r="R205" s="74"/>
      <c r="S205" s="74"/>
      <c r="T205" s="74"/>
      <c r="U205" s="74" t="s">
        <v>1398</v>
      </c>
      <c r="V205" s="3229"/>
      <c r="W205" s="3229">
        <v>0</v>
      </c>
      <c r="X205" s="3229">
        <v>0</v>
      </c>
      <c r="Y205" s="3229">
        <v>10</v>
      </c>
      <c r="Z205" s="3229">
        <v>2</v>
      </c>
      <c r="AA205" s="3229">
        <v>0</v>
      </c>
      <c r="AB205" s="3229">
        <v>20</v>
      </c>
      <c r="AC205" s="3229">
        <v>3</v>
      </c>
      <c r="AD205" s="3229">
        <v>3</v>
      </c>
      <c r="AE205" s="121">
        <v>0</v>
      </c>
      <c r="AF205" s="121">
        <v>0</v>
      </c>
      <c r="AG205" s="121">
        <v>38</v>
      </c>
      <c r="AJ205" s="161"/>
      <c r="AK205" s="161"/>
      <c r="AL205" s="73"/>
      <c r="AM205" s="73" t="s">
        <v>1293</v>
      </c>
      <c r="AN205" s="2600"/>
      <c r="AO205" s="2600">
        <v>0</v>
      </c>
      <c r="AP205" s="2600"/>
      <c r="AQ205" s="2600"/>
      <c r="AR205" s="2600">
        <v>0</v>
      </c>
      <c r="AS205" s="2600"/>
      <c r="AT205" s="2600">
        <v>3</v>
      </c>
      <c r="AU205" s="2600"/>
      <c r="AV205" s="2600"/>
      <c r="AW205" s="161"/>
      <c r="AX205" s="161"/>
      <c r="AY205" s="161">
        <v>3</v>
      </c>
      <c r="AZ205" s="161"/>
      <c r="BB205" s="2191"/>
      <c r="BC205" s="2191"/>
      <c r="BD205" s="2192"/>
      <c r="BE205" s="760" t="s">
        <v>111</v>
      </c>
      <c r="BF205" s="2197">
        <v>11</v>
      </c>
      <c r="BG205" s="2197">
        <v>9</v>
      </c>
      <c r="BH205" s="2197">
        <v>20</v>
      </c>
      <c r="BI205" s="2197">
        <v>3</v>
      </c>
      <c r="BJ205" s="2197">
        <v>2</v>
      </c>
      <c r="BK205" s="2197">
        <v>49</v>
      </c>
      <c r="BL205" s="2197">
        <v>36</v>
      </c>
      <c r="BM205" s="2197">
        <v>74</v>
      </c>
      <c r="BN205" s="973">
        <v>8</v>
      </c>
      <c r="BO205" s="973">
        <v>25</v>
      </c>
      <c r="BP205" s="973">
        <v>237</v>
      </c>
      <c r="BQ205" s="2154">
        <f>+(BP200+BP203-BO203+BP204)/BP205</f>
        <v>0.3628691983122363</v>
      </c>
      <c r="BS205" s="879"/>
      <c r="BT205" s="879"/>
      <c r="BU205" s="880"/>
      <c r="BV205" s="881" t="s">
        <v>1293</v>
      </c>
      <c r="BW205" s="882"/>
      <c r="BX205" s="882"/>
      <c r="BY205" s="883">
        <v>6</v>
      </c>
      <c r="BZ205" s="883">
        <v>0</v>
      </c>
      <c r="CA205" s="882"/>
      <c r="CB205" s="882"/>
      <c r="CC205" s="882"/>
      <c r="CD205" s="882"/>
      <c r="CE205" s="879"/>
      <c r="CF205" s="879"/>
      <c r="CG205" s="884">
        <v>6</v>
      </c>
      <c r="CH205" s="161"/>
      <c r="CJ205" s="885"/>
      <c r="CK205" s="885"/>
      <c r="CL205" s="885"/>
      <c r="CM205" s="886" t="s">
        <v>1293</v>
      </c>
      <c r="CN205" s="888">
        <v>0</v>
      </c>
      <c r="CO205" s="888">
        <v>0</v>
      </c>
      <c r="CP205" s="887"/>
      <c r="CQ205" s="888">
        <v>0</v>
      </c>
      <c r="CR205" s="887"/>
      <c r="CS205" s="888">
        <v>3</v>
      </c>
      <c r="CT205" s="888">
        <v>7</v>
      </c>
      <c r="CU205" s="888">
        <v>2</v>
      </c>
      <c r="CV205" s="887"/>
      <c r="CW205" s="890">
        <v>0</v>
      </c>
      <c r="CX205" s="889"/>
      <c r="CY205" s="890">
        <v>12</v>
      </c>
      <c r="CZ205" s="891"/>
      <c r="DB205" s="892"/>
      <c r="DD205" s="892"/>
      <c r="DE205" s="893" t="s">
        <v>1289</v>
      </c>
      <c r="DF205" s="895">
        <v>0</v>
      </c>
      <c r="DG205" s="894"/>
      <c r="DH205" s="894"/>
      <c r="DI205" s="895">
        <v>0</v>
      </c>
      <c r="DJ205" s="895">
        <v>1</v>
      </c>
      <c r="DK205" s="895">
        <v>0</v>
      </c>
      <c r="DL205" s="895">
        <v>1</v>
      </c>
      <c r="DM205" s="895">
        <v>0</v>
      </c>
      <c r="DN205" s="895">
        <v>0</v>
      </c>
      <c r="DO205" s="895">
        <v>0</v>
      </c>
      <c r="DP205" s="895">
        <v>2</v>
      </c>
      <c r="DQ205" s="792"/>
      <c r="DS205" s="121"/>
      <c r="DT205" s="121"/>
      <c r="DU205" s="121"/>
      <c r="DV205" s="74" t="s">
        <v>1284</v>
      </c>
      <c r="DW205" s="121">
        <v>2</v>
      </c>
      <c r="DX205" s="121">
        <v>1</v>
      </c>
      <c r="DY205" s="121">
        <v>2</v>
      </c>
      <c r="DZ205" s="121"/>
      <c r="EA205" s="121">
        <v>0</v>
      </c>
      <c r="EB205" s="121">
        <v>2</v>
      </c>
      <c r="EC205" s="121">
        <v>7</v>
      </c>
      <c r="ED205" s="121">
        <v>2</v>
      </c>
      <c r="EE205" s="121">
        <v>0</v>
      </c>
      <c r="EF205" s="121">
        <v>0</v>
      </c>
      <c r="EG205" s="121">
        <v>16</v>
      </c>
      <c r="EH205" s="74"/>
      <c r="EI205" s="74"/>
      <c r="EJ205" s="793"/>
      <c r="EK205" s="793"/>
      <c r="EL205" s="793"/>
      <c r="EM205" s="793" t="s">
        <v>1286</v>
      </c>
      <c r="EN205" s="793">
        <v>0</v>
      </c>
      <c r="EO205" s="793">
        <v>1</v>
      </c>
      <c r="EP205" s="793">
        <v>1</v>
      </c>
      <c r="EQ205" s="793">
        <v>0</v>
      </c>
      <c r="ER205" s="793">
        <v>0</v>
      </c>
      <c r="ES205" s="793">
        <v>0</v>
      </c>
      <c r="ET205" s="793">
        <v>0</v>
      </c>
      <c r="EU205" s="793">
        <v>0</v>
      </c>
      <c r="EV205" s="793">
        <v>0</v>
      </c>
      <c r="EW205" s="793">
        <v>0</v>
      </c>
      <c r="EX205" s="793">
        <v>0</v>
      </c>
      <c r="EY205" s="794">
        <v>2</v>
      </c>
      <c r="EZ205" s="793"/>
      <c r="FA205" s="795"/>
    </row>
    <row r="206" spans="1:157">
      <c r="A206" s="73" t="s">
        <v>48</v>
      </c>
      <c r="B206" s="73" t="s">
        <v>16</v>
      </c>
      <c r="C206" s="73" t="s">
        <v>133</v>
      </c>
      <c r="D206" s="73" t="s">
        <v>1284</v>
      </c>
      <c r="E206" s="3261">
        <v>2</v>
      </c>
      <c r="F206" s="3261">
        <v>1</v>
      </c>
      <c r="G206" s="3261"/>
      <c r="H206" s="3261"/>
      <c r="I206" s="3261"/>
      <c r="J206" s="3261">
        <v>15</v>
      </c>
      <c r="K206" s="3261">
        <v>1</v>
      </c>
      <c r="L206" s="3261"/>
      <c r="M206" s="161"/>
      <c r="N206" s="161"/>
      <c r="O206" s="161">
        <v>19</v>
      </c>
      <c r="P206" s="73"/>
      <c r="R206" s="74"/>
      <c r="S206" s="74"/>
      <c r="T206" s="74"/>
      <c r="U206" s="761" t="s">
        <v>111</v>
      </c>
      <c r="V206" s="3230"/>
      <c r="W206" s="3230">
        <v>6</v>
      </c>
      <c r="X206" s="3230">
        <v>5</v>
      </c>
      <c r="Y206" s="3230">
        <v>11</v>
      </c>
      <c r="Z206" s="3230">
        <v>8</v>
      </c>
      <c r="AA206" s="3230">
        <v>3</v>
      </c>
      <c r="AB206" s="3230">
        <v>49</v>
      </c>
      <c r="AC206" s="3230">
        <v>46</v>
      </c>
      <c r="AD206" s="3230">
        <v>80</v>
      </c>
      <c r="AE206" s="729">
        <v>13</v>
      </c>
      <c r="AF206" s="729">
        <v>8</v>
      </c>
      <c r="AG206" s="729">
        <v>229</v>
      </c>
      <c r="AH206" s="4681">
        <f>+(AG202-AE202+AG205)/AG206</f>
        <v>0.43231441048034935</v>
      </c>
      <c r="AJ206" s="161"/>
      <c r="AK206" s="161"/>
      <c r="AL206" s="73"/>
      <c r="AM206" s="738" t="s">
        <v>15</v>
      </c>
      <c r="AN206" s="2601"/>
      <c r="AO206" s="2601">
        <v>1</v>
      </c>
      <c r="AP206" s="2601"/>
      <c r="AQ206" s="2601"/>
      <c r="AR206" s="2601">
        <v>2</v>
      </c>
      <c r="AS206" s="2601"/>
      <c r="AT206" s="2601">
        <v>26</v>
      </c>
      <c r="AU206" s="2601"/>
      <c r="AV206" s="2601"/>
      <c r="AW206" s="151"/>
      <c r="AX206" s="151"/>
      <c r="AY206" s="151">
        <v>29</v>
      </c>
      <c r="AZ206" s="912">
        <f>+(AY203+AY205)/AY206</f>
        <v>0.17241379310344829</v>
      </c>
      <c r="BB206" s="2191" t="s">
        <v>48</v>
      </c>
      <c r="BC206" s="2191" t="s">
        <v>41</v>
      </c>
      <c r="BD206" s="2192" t="s">
        <v>139</v>
      </c>
      <c r="BE206" s="2193" t="s">
        <v>1284</v>
      </c>
      <c r="BF206" s="2194"/>
      <c r="BG206" s="2194"/>
      <c r="BH206" s="2194"/>
      <c r="BI206" s="2194"/>
      <c r="BJ206" s="2194"/>
      <c r="BK206" s="2195">
        <v>2</v>
      </c>
      <c r="BL206" s="2195">
        <v>6</v>
      </c>
      <c r="BM206" s="2195">
        <v>0</v>
      </c>
      <c r="BN206" s="963"/>
      <c r="BO206" s="963"/>
      <c r="BP206" s="964">
        <v>8</v>
      </c>
      <c r="BQ206" s="73"/>
      <c r="BS206" s="879"/>
      <c r="BT206" s="879"/>
      <c r="BU206" s="880"/>
      <c r="BV206" s="881" t="s">
        <v>1398</v>
      </c>
      <c r="BW206" s="882"/>
      <c r="BX206" s="882"/>
      <c r="BY206" s="883">
        <v>9</v>
      </c>
      <c r="BZ206" s="883">
        <v>1</v>
      </c>
      <c r="CA206" s="882"/>
      <c r="CB206" s="882"/>
      <c r="CC206" s="882"/>
      <c r="CD206" s="882"/>
      <c r="CE206" s="879"/>
      <c r="CF206" s="879"/>
      <c r="CG206" s="884">
        <v>10</v>
      </c>
      <c r="CH206" s="161"/>
      <c r="CJ206" s="885"/>
      <c r="CK206" s="885"/>
      <c r="CL206" s="885"/>
      <c r="CM206" s="886" t="s">
        <v>1398</v>
      </c>
      <c r="CN206" s="888">
        <v>0</v>
      </c>
      <c r="CO206" s="888">
        <v>0</v>
      </c>
      <c r="CP206" s="887"/>
      <c r="CQ206" s="888">
        <v>0</v>
      </c>
      <c r="CR206" s="887"/>
      <c r="CS206" s="888">
        <v>1</v>
      </c>
      <c r="CT206" s="888">
        <v>7</v>
      </c>
      <c r="CU206" s="888">
        <v>2</v>
      </c>
      <c r="CV206" s="887"/>
      <c r="CW206" s="890">
        <v>0</v>
      </c>
      <c r="CX206" s="889"/>
      <c r="CY206" s="890">
        <v>10</v>
      </c>
      <c r="CZ206" s="891"/>
      <c r="DB206" s="892"/>
      <c r="DD206" s="892"/>
      <c r="DE206" s="893" t="s">
        <v>1292</v>
      </c>
      <c r="DF206" s="895">
        <v>0</v>
      </c>
      <c r="DG206" s="894"/>
      <c r="DH206" s="894"/>
      <c r="DI206" s="895">
        <v>0</v>
      </c>
      <c r="DJ206" s="895">
        <v>0</v>
      </c>
      <c r="DK206" s="895">
        <v>0</v>
      </c>
      <c r="DL206" s="895">
        <v>1</v>
      </c>
      <c r="DM206" s="895">
        <v>23</v>
      </c>
      <c r="DN206" s="895">
        <v>5</v>
      </c>
      <c r="DO206" s="895">
        <v>2</v>
      </c>
      <c r="DP206" s="895">
        <v>31</v>
      </c>
      <c r="DQ206" s="792"/>
      <c r="DS206" s="121"/>
      <c r="DT206" s="121"/>
      <c r="DU206" s="121"/>
      <c r="DV206" s="74" t="s">
        <v>1288</v>
      </c>
      <c r="DW206" s="121">
        <v>0</v>
      </c>
      <c r="DX206" s="121">
        <v>0</v>
      </c>
      <c r="DY206" s="121">
        <v>0</v>
      </c>
      <c r="DZ206" s="121"/>
      <c r="EA206" s="121">
        <v>0</v>
      </c>
      <c r="EB206" s="121">
        <v>5</v>
      </c>
      <c r="EC206" s="121">
        <v>3</v>
      </c>
      <c r="ED206" s="121">
        <v>2</v>
      </c>
      <c r="EE206" s="121">
        <v>0</v>
      </c>
      <c r="EF206" s="121">
        <v>0</v>
      </c>
      <c r="EG206" s="121">
        <v>10</v>
      </c>
      <c r="EH206" s="74"/>
      <c r="EI206" s="74"/>
      <c r="EJ206" s="793"/>
      <c r="EK206" s="793"/>
      <c r="EL206" s="793"/>
      <c r="EM206" s="793" t="s">
        <v>1288</v>
      </c>
      <c r="EN206" s="793">
        <v>0</v>
      </c>
      <c r="EO206" s="793">
        <v>0</v>
      </c>
      <c r="EP206" s="793">
        <v>0</v>
      </c>
      <c r="EQ206" s="793">
        <v>0</v>
      </c>
      <c r="ER206" s="793">
        <v>0</v>
      </c>
      <c r="ES206" s="793">
        <v>0</v>
      </c>
      <c r="ET206" s="793">
        <v>0</v>
      </c>
      <c r="EU206" s="793">
        <v>6</v>
      </c>
      <c r="EV206" s="793">
        <v>0</v>
      </c>
      <c r="EW206" s="793">
        <v>1</v>
      </c>
      <c r="EX206" s="793">
        <v>0</v>
      </c>
      <c r="EY206" s="794">
        <v>7</v>
      </c>
      <c r="EZ206" s="793"/>
      <c r="FA206" s="795"/>
    </row>
    <row r="207" spans="1:157">
      <c r="A207" s="73"/>
      <c r="B207" s="73"/>
      <c r="C207" s="73"/>
      <c r="D207" s="73" t="s">
        <v>1286</v>
      </c>
      <c r="E207" s="3261">
        <v>1</v>
      </c>
      <c r="F207" s="3261">
        <v>0</v>
      </c>
      <c r="G207" s="3261"/>
      <c r="H207" s="3261"/>
      <c r="I207" s="3261"/>
      <c r="J207" s="3261">
        <v>0</v>
      </c>
      <c r="K207" s="3261">
        <v>0</v>
      </c>
      <c r="L207" s="3261"/>
      <c r="M207" s="161"/>
      <c r="N207" s="161"/>
      <c r="O207" s="161">
        <v>1</v>
      </c>
      <c r="P207" s="73"/>
      <c r="R207" s="74" t="s">
        <v>48</v>
      </c>
      <c r="S207" s="74" t="s">
        <v>16</v>
      </c>
      <c r="T207" s="74" t="s">
        <v>129</v>
      </c>
      <c r="U207" s="74" t="s">
        <v>1398</v>
      </c>
      <c r="V207" s="3229"/>
      <c r="W207" s="3229"/>
      <c r="X207" s="3229"/>
      <c r="Y207" s="3229"/>
      <c r="Z207" s="3229"/>
      <c r="AA207" s="3229"/>
      <c r="AB207" s="3229">
        <v>3</v>
      </c>
      <c r="AC207" s="3229"/>
      <c r="AD207" s="3229"/>
      <c r="AE207" s="121"/>
      <c r="AF207" s="121"/>
      <c r="AG207" s="121">
        <v>3</v>
      </c>
      <c r="AH207" s="4681"/>
      <c r="AJ207" s="161"/>
      <c r="AK207" s="161"/>
      <c r="AL207" s="73" t="s">
        <v>136</v>
      </c>
      <c r="AM207" s="73" t="s">
        <v>1284</v>
      </c>
      <c r="AN207" s="2600"/>
      <c r="AO207" s="2600"/>
      <c r="AP207" s="2600"/>
      <c r="AQ207" s="2600"/>
      <c r="AR207" s="2600"/>
      <c r="AS207" s="2600"/>
      <c r="AT207" s="2600">
        <v>11</v>
      </c>
      <c r="AU207" s="2600">
        <v>5</v>
      </c>
      <c r="AV207" s="2600">
        <v>0</v>
      </c>
      <c r="AW207" s="161"/>
      <c r="AX207" s="161"/>
      <c r="AY207" s="161">
        <v>16</v>
      </c>
      <c r="AZ207" s="161"/>
      <c r="BB207" s="2191"/>
      <c r="BC207" s="2191"/>
      <c r="BD207" s="2192"/>
      <c r="BE207" s="2193" t="s">
        <v>1288</v>
      </c>
      <c r="BF207" s="2194"/>
      <c r="BG207" s="2194"/>
      <c r="BH207" s="2194"/>
      <c r="BI207" s="2194"/>
      <c r="BJ207" s="2194"/>
      <c r="BK207" s="2195">
        <v>1</v>
      </c>
      <c r="BL207" s="2195">
        <v>0</v>
      </c>
      <c r="BM207" s="2195">
        <v>0</v>
      </c>
      <c r="BN207" s="963"/>
      <c r="BO207" s="963"/>
      <c r="BP207" s="964">
        <v>1</v>
      </c>
      <c r="BQ207" s="73"/>
      <c r="BS207" s="879"/>
      <c r="BT207" s="879"/>
      <c r="BU207" s="880"/>
      <c r="BV207" s="907" t="s">
        <v>15</v>
      </c>
      <c r="BW207" s="908"/>
      <c r="BX207" s="908"/>
      <c r="BY207" s="909">
        <v>35</v>
      </c>
      <c r="BZ207" s="909">
        <v>2</v>
      </c>
      <c r="CA207" s="908"/>
      <c r="CB207" s="908"/>
      <c r="CC207" s="908"/>
      <c r="CD207" s="908"/>
      <c r="CE207" s="910"/>
      <c r="CF207" s="910"/>
      <c r="CG207" s="911">
        <v>37</v>
      </c>
      <c r="CH207" s="912">
        <f>+(CG204+CG205+CG206)/CG207</f>
        <v>0.45945945945945948</v>
      </c>
      <c r="CJ207" s="885"/>
      <c r="CK207" s="885"/>
      <c r="CL207" s="885"/>
      <c r="CM207" s="897" t="s">
        <v>575</v>
      </c>
      <c r="CN207" s="899">
        <v>1</v>
      </c>
      <c r="CO207" s="899">
        <v>1</v>
      </c>
      <c r="CP207" s="898"/>
      <c r="CQ207" s="899">
        <v>2</v>
      </c>
      <c r="CR207" s="898"/>
      <c r="CS207" s="899">
        <v>6</v>
      </c>
      <c r="CT207" s="899">
        <v>35</v>
      </c>
      <c r="CU207" s="899">
        <v>14</v>
      </c>
      <c r="CV207" s="898"/>
      <c r="CW207" s="901">
        <v>1</v>
      </c>
      <c r="CX207" s="900"/>
      <c r="CY207" s="901">
        <v>60</v>
      </c>
      <c r="CZ207" s="891">
        <f>+(CY206+CY205+CY203)/CY207</f>
        <v>0.43333333333333335</v>
      </c>
      <c r="DB207" s="892"/>
      <c r="DD207" s="892"/>
      <c r="DE207" s="893" t="s">
        <v>1398</v>
      </c>
      <c r="DF207" s="895">
        <v>0</v>
      </c>
      <c r="DG207" s="894"/>
      <c r="DH207" s="894"/>
      <c r="DI207" s="895">
        <v>0</v>
      </c>
      <c r="DJ207" s="895">
        <v>0</v>
      </c>
      <c r="DK207" s="895">
        <v>2</v>
      </c>
      <c r="DL207" s="895">
        <v>2</v>
      </c>
      <c r="DM207" s="895">
        <v>0</v>
      </c>
      <c r="DN207" s="895">
        <v>0</v>
      </c>
      <c r="DO207" s="895">
        <v>0</v>
      </c>
      <c r="DP207" s="895">
        <v>4</v>
      </c>
      <c r="DQ207" s="792"/>
      <c r="DS207" s="121"/>
      <c r="DT207" s="121"/>
      <c r="DU207" s="121"/>
      <c r="DV207" s="74" t="s">
        <v>1289</v>
      </c>
      <c r="DW207" s="121">
        <v>0</v>
      </c>
      <c r="DX207" s="121">
        <v>1</v>
      </c>
      <c r="DY207" s="121">
        <v>0</v>
      </c>
      <c r="DZ207" s="121"/>
      <c r="EA207" s="121">
        <v>1</v>
      </c>
      <c r="EB207" s="121">
        <v>0</v>
      </c>
      <c r="EC207" s="121">
        <v>0</v>
      </c>
      <c r="ED207" s="121">
        <v>0</v>
      </c>
      <c r="EE207" s="121">
        <v>0</v>
      </c>
      <c r="EF207" s="121">
        <v>0</v>
      </c>
      <c r="EG207" s="121">
        <v>2</v>
      </c>
      <c r="EH207" s="74"/>
      <c r="EI207" s="74"/>
      <c r="EJ207" s="793"/>
      <c r="EK207" s="793"/>
      <c r="EL207" s="793"/>
      <c r="EM207" s="793" t="s">
        <v>1289</v>
      </c>
      <c r="EN207" s="793">
        <v>0</v>
      </c>
      <c r="EO207" s="793">
        <v>0</v>
      </c>
      <c r="EP207" s="793">
        <v>0</v>
      </c>
      <c r="EQ207" s="793">
        <v>0</v>
      </c>
      <c r="ER207" s="793">
        <v>2</v>
      </c>
      <c r="ES207" s="793">
        <v>0</v>
      </c>
      <c r="ET207" s="793">
        <v>1</v>
      </c>
      <c r="EU207" s="793">
        <v>0</v>
      </c>
      <c r="EV207" s="793">
        <v>0</v>
      </c>
      <c r="EW207" s="793">
        <v>0</v>
      </c>
      <c r="EX207" s="793">
        <v>0</v>
      </c>
      <c r="EY207" s="794">
        <v>3</v>
      </c>
      <c r="EZ207" s="793"/>
      <c r="FA207" s="795"/>
    </row>
    <row r="208" spans="1:157">
      <c r="A208" s="73"/>
      <c r="B208" s="73"/>
      <c r="C208" s="73"/>
      <c r="D208" s="73" t="s">
        <v>1288</v>
      </c>
      <c r="E208" s="3261">
        <v>0</v>
      </c>
      <c r="F208" s="3261">
        <v>0</v>
      </c>
      <c r="G208" s="3261"/>
      <c r="H208" s="3261"/>
      <c r="I208" s="3261"/>
      <c r="J208" s="3261">
        <v>4</v>
      </c>
      <c r="K208" s="3261">
        <v>0</v>
      </c>
      <c r="L208" s="3261"/>
      <c r="M208" s="161"/>
      <c r="N208" s="161"/>
      <c r="O208" s="161">
        <v>4</v>
      </c>
      <c r="P208" s="73"/>
      <c r="R208" s="74"/>
      <c r="S208" s="74"/>
      <c r="T208" s="74"/>
      <c r="U208" s="761" t="s">
        <v>15</v>
      </c>
      <c r="V208" s="3230"/>
      <c r="W208" s="3230"/>
      <c r="X208" s="3230"/>
      <c r="Y208" s="3230"/>
      <c r="Z208" s="3230"/>
      <c r="AA208" s="3230"/>
      <c r="AB208" s="3230">
        <v>3</v>
      </c>
      <c r="AC208" s="3230"/>
      <c r="AD208" s="3230"/>
      <c r="AE208" s="729"/>
      <c r="AF208" s="729"/>
      <c r="AG208" s="729">
        <v>3</v>
      </c>
      <c r="AH208" s="4681">
        <f>+AG207/AG208</f>
        <v>1</v>
      </c>
      <c r="AJ208" s="161"/>
      <c r="AK208" s="161"/>
      <c r="AL208" s="73"/>
      <c r="AM208" s="73" t="s">
        <v>1292</v>
      </c>
      <c r="AN208" s="2600"/>
      <c r="AO208" s="2600"/>
      <c r="AP208" s="2600"/>
      <c r="AQ208" s="2600"/>
      <c r="AR208" s="2600"/>
      <c r="AS208" s="2600"/>
      <c r="AT208" s="2600">
        <v>0</v>
      </c>
      <c r="AU208" s="2600">
        <v>0</v>
      </c>
      <c r="AV208" s="2600">
        <v>1</v>
      </c>
      <c r="AW208" s="161"/>
      <c r="AX208" s="161"/>
      <c r="AY208" s="161">
        <v>1</v>
      </c>
      <c r="AZ208" s="161"/>
      <c r="BB208" s="2191"/>
      <c r="BC208" s="2191"/>
      <c r="BD208" s="2192"/>
      <c r="BE208" s="2193" t="s">
        <v>1292</v>
      </c>
      <c r="BF208" s="2194"/>
      <c r="BG208" s="2194"/>
      <c r="BH208" s="2194"/>
      <c r="BI208" s="2194"/>
      <c r="BJ208" s="2194"/>
      <c r="BK208" s="2195">
        <v>0</v>
      </c>
      <c r="BL208" s="2195">
        <v>0</v>
      </c>
      <c r="BM208" s="2195">
        <v>1</v>
      </c>
      <c r="BN208" s="963"/>
      <c r="BO208" s="963"/>
      <c r="BP208" s="964">
        <v>1</v>
      </c>
      <c r="BQ208" s="73"/>
      <c r="BS208" s="879"/>
      <c r="BT208" s="879"/>
      <c r="BU208" s="880" t="s">
        <v>534</v>
      </c>
      <c r="BV208" s="881" t="s">
        <v>1284</v>
      </c>
      <c r="BW208" s="883">
        <v>1</v>
      </c>
      <c r="BX208" s="882"/>
      <c r="BY208" s="882"/>
      <c r="BZ208" s="882"/>
      <c r="CA208" s="882"/>
      <c r="CB208" s="883">
        <v>7</v>
      </c>
      <c r="CC208" s="883">
        <v>1</v>
      </c>
      <c r="CD208" s="882"/>
      <c r="CE208" s="879"/>
      <c r="CF208" s="879"/>
      <c r="CG208" s="884">
        <v>9</v>
      </c>
      <c r="CH208" s="161"/>
      <c r="CJ208" s="885"/>
      <c r="CK208" s="885" t="s">
        <v>105</v>
      </c>
      <c r="CL208" s="885" t="s">
        <v>144</v>
      </c>
      <c r="CM208" s="886" t="s">
        <v>1284</v>
      </c>
      <c r="CN208" s="887"/>
      <c r="CO208" s="888">
        <v>1</v>
      </c>
      <c r="CP208" s="887"/>
      <c r="CQ208" s="887"/>
      <c r="CR208" s="887"/>
      <c r="CS208" s="887"/>
      <c r="CT208" s="888">
        <v>4</v>
      </c>
      <c r="CU208" s="887"/>
      <c r="CV208" s="887"/>
      <c r="CW208" s="889"/>
      <c r="CX208" s="889"/>
      <c r="CY208" s="890">
        <v>5</v>
      </c>
      <c r="CZ208" s="891"/>
      <c r="DB208" s="892"/>
      <c r="DD208" s="892"/>
      <c r="DE208" s="902" t="s">
        <v>572</v>
      </c>
      <c r="DF208" s="904">
        <v>1</v>
      </c>
      <c r="DG208" s="903"/>
      <c r="DH208" s="903"/>
      <c r="DI208" s="904">
        <v>1</v>
      </c>
      <c r="DJ208" s="904">
        <v>2</v>
      </c>
      <c r="DK208" s="904">
        <v>6</v>
      </c>
      <c r="DL208" s="904">
        <v>18</v>
      </c>
      <c r="DM208" s="904">
        <v>37</v>
      </c>
      <c r="DN208" s="904">
        <v>13</v>
      </c>
      <c r="DO208" s="904">
        <v>13</v>
      </c>
      <c r="DP208" s="904">
        <v>91</v>
      </c>
      <c r="DQ208" s="905">
        <f>+(DP207+DP204-DN204)/DP208</f>
        <v>0.15384615384615385</v>
      </c>
      <c r="DS208" s="121"/>
      <c r="DT208" s="121"/>
      <c r="DU208" s="121"/>
      <c r="DV208" s="74" t="s">
        <v>1292</v>
      </c>
      <c r="DW208" s="121">
        <v>0</v>
      </c>
      <c r="DX208" s="121">
        <v>0</v>
      </c>
      <c r="DY208" s="121">
        <v>0</v>
      </c>
      <c r="DZ208" s="121"/>
      <c r="EA208" s="121">
        <v>0</v>
      </c>
      <c r="EB208" s="121">
        <v>0</v>
      </c>
      <c r="EC208" s="121">
        <v>0</v>
      </c>
      <c r="ED208" s="121">
        <v>27</v>
      </c>
      <c r="EE208" s="121">
        <v>0</v>
      </c>
      <c r="EF208" s="121">
        <v>3</v>
      </c>
      <c r="EG208" s="121">
        <v>30</v>
      </c>
      <c r="EH208" s="74"/>
      <c r="EI208" s="74"/>
      <c r="EJ208" s="793"/>
      <c r="EK208" s="793"/>
      <c r="EL208" s="793"/>
      <c r="EM208" s="793" t="s">
        <v>1292</v>
      </c>
      <c r="EN208" s="793">
        <v>0</v>
      </c>
      <c r="EO208" s="793">
        <v>0</v>
      </c>
      <c r="EP208" s="793">
        <v>0</v>
      </c>
      <c r="EQ208" s="793">
        <v>0</v>
      </c>
      <c r="ER208" s="793">
        <v>0</v>
      </c>
      <c r="ES208" s="793">
        <v>0</v>
      </c>
      <c r="ET208" s="793">
        <v>0</v>
      </c>
      <c r="EU208" s="793">
        <v>9</v>
      </c>
      <c r="EV208" s="793">
        <v>17</v>
      </c>
      <c r="EW208" s="793">
        <v>5</v>
      </c>
      <c r="EX208" s="793">
        <v>2</v>
      </c>
      <c r="EY208" s="794">
        <v>33</v>
      </c>
      <c r="EZ208" s="793"/>
      <c r="FA208" s="795"/>
    </row>
    <row r="209" spans="1:157">
      <c r="A209" s="73"/>
      <c r="B209" s="73"/>
      <c r="C209" s="73"/>
      <c r="D209" s="73" t="s">
        <v>1293</v>
      </c>
      <c r="E209" s="3261">
        <v>0</v>
      </c>
      <c r="F209" s="3261">
        <v>0</v>
      </c>
      <c r="G209" s="3261"/>
      <c r="H209" s="3261"/>
      <c r="I209" s="3261"/>
      <c r="J209" s="3261">
        <v>1</v>
      </c>
      <c r="K209" s="3261">
        <v>0</v>
      </c>
      <c r="L209" s="3261"/>
      <c r="M209" s="161"/>
      <c r="N209" s="161"/>
      <c r="O209" s="161">
        <v>1</v>
      </c>
      <c r="P209" s="73"/>
      <c r="R209" s="74"/>
      <c r="S209" s="74"/>
      <c r="T209" s="74" t="s">
        <v>112</v>
      </c>
      <c r="U209" s="74" t="s">
        <v>1284</v>
      </c>
      <c r="V209" s="3229"/>
      <c r="W209" s="3229"/>
      <c r="X209" s="3229"/>
      <c r="Y209" s="3229">
        <v>1</v>
      </c>
      <c r="Z209" s="3229">
        <v>1</v>
      </c>
      <c r="AA209" s="3229"/>
      <c r="AB209" s="3229">
        <v>14</v>
      </c>
      <c r="AC209" s="3229">
        <v>0</v>
      </c>
      <c r="AD209" s="3229"/>
      <c r="AE209" s="121"/>
      <c r="AF209" s="121"/>
      <c r="AG209" s="121">
        <v>16</v>
      </c>
      <c r="AJ209" s="161"/>
      <c r="AK209" s="161"/>
      <c r="AL209" s="73"/>
      <c r="AM209" s="73" t="s">
        <v>1293</v>
      </c>
      <c r="AN209" s="2600"/>
      <c r="AO209" s="2600"/>
      <c r="AP209" s="2600"/>
      <c r="AQ209" s="2600"/>
      <c r="AR209" s="2600"/>
      <c r="AS209" s="2600"/>
      <c r="AT209" s="2600">
        <v>1</v>
      </c>
      <c r="AU209" s="2600">
        <v>1</v>
      </c>
      <c r="AV209" s="2600">
        <v>0</v>
      </c>
      <c r="AW209" s="161"/>
      <c r="AX209" s="161"/>
      <c r="AY209" s="161">
        <v>2</v>
      </c>
      <c r="AZ209" s="161"/>
      <c r="BB209" s="2191"/>
      <c r="BC209" s="2191"/>
      <c r="BD209" s="2192"/>
      <c r="BE209" s="760" t="s">
        <v>15</v>
      </c>
      <c r="BF209" s="2196"/>
      <c r="BG209" s="2196"/>
      <c r="BH209" s="2196"/>
      <c r="BI209" s="2196"/>
      <c r="BJ209" s="2196"/>
      <c r="BK209" s="2197">
        <v>3</v>
      </c>
      <c r="BL209" s="2197">
        <v>6</v>
      </c>
      <c r="BM209" s="2197">
        <v>1</v>
      </c>
      <c r="BN209" s="972"/>
      <c r="BO209" s="972"/>
      <c r="BP209" s="973">
        <v>10</v>
      </c>
      <c r="BQ209" s="2154">
        <f>+BP207/BP209</f>
        <v>0.1</v>
      </c>
      <c r="BS209" s="879"/>
      <c r="BT209" s="879"/>
      <c r="BU209" s="880"/>
      <c r="BV209" s="881" t="s">
        <v>1286</v>
      </c>
      <c r="BW209" s="883">
        <v>2</v>
      </c>
      <c r="BX209" s="882"/>
      <c r="BY209" s="882"/>
      <c r="BZ209" s="882"/>
      <c r="CA209" s="882"/>
      <c r="CB209" s="883">
        <v>0</v>
      </c>
      <c r="CC209" s="883">
        <v>0</v>
      </c>
      <c r="CD209" s="882"/>
      <c r="CE209" s="879"/>
      <c r="CF209" s="879"/>
      <c r="CG209" s="884">
        <v>2</v>
      </c>
      <c r="CH209" s="161"/>
      <c r="CJ209" s="885"/>
      <c r="CK209" s="885"/>
      <c r="CL209" s="885"/>
      <c r="CM209" s="886" t="s">
        <v>1288</v>
      </c>
      <c r="CN209" s="887"/>
      <c r="CO209" s="888">
        <v>0</v>
      </c>
      <c r="CP209" s="887"/>
      <c r="CQ209" s="887"/>
      <c r="CR209" s="887"/>
      <c r="CS209" s="887"/>
      <c r="CT209" s="888">
        <v>4</v>
      </c>
      <c r="CU209" s="887"/>
      <c r="CV209" s="887"/>
      <c r="CW209" s="889"/>
      <c r="CX209" s="889"/>
      <c r="CY209" s="890">
        <v>4</v>
      </c>
      <c r="CZ209" s="891"/>
      <c r="DB209" s="892"/>
      <c r="DD209" s="892" t="s">
        <v>573</v>
      </c>
      <c r="DE209" s="893" t="s">
        <v>1283</v>
      </c>
      <c r="DF209" s="894"/>
      <c r="DG209" s="895">
        <v>0</v>
      </c>
      <c r="DH209" s="895">
        <v>0</v>
      </c>
      <c r="DI209" s="895">
        <v>0</v>
      </c>
      <c r="DJ209" s="895">
        <v>0</v>
      </c>
      <c r="DK209" s="895">
        <v>0</v>
      </c>
      <c r="DL209" s="895">
        <v>0</v>
      </c>
      <c r="DM209" s="895">
        <v>1</v>
      </c>
      <c r="DN209" s="894"/>
      <c r="DO209" s="894"/>
      <c r="DP209" s="895">
        <v>1</v>
      </c>
      <c r="DQ209" s="792"/>
      <c r="DS209" s="121"/>
      <c r="DT209" s="121"/>
      <c r="DU209" s="121"/>
      <c r="DV209" s="74" t="s">
        <v>1398</v>
      </c>
      <c r="DW209" s="121">
        <v>0</v>
      </c>
      <c r="DX209" s="121">
        <v>0</v>
      </c>
      <c r="DY209" s="121">
        <v>0</v>
      </c>
      <c r="DZ209" s="121"/>
      <c r="EA209" s="121">
        <v>0</v>
      </c>
      <c r="EB209" s="121">
        <v>3</v>
      </c>
      <c r="EC209" s="121">
        <v>1</v>
      </c>
      <c r="ED209" s="121">
        <v>0</v>
      </c>
      <c r="EE209" s="121">
        <v>0</v>
      </c>
      <c r="EF209" s="121">
        <v>0</v>
      </c>
      <c r="EG209" s="121">
        <v>4</v>
      </c>
      <c r="EH209" s="74"/>
      <c r="EI209" s="74"/>
      <c r="EJ209" s="793"/>
      <c r="EK209" s="793"/>
      <c r="EL209" s="793"/>
      <c r="EM209" s="793" t="s">
        <v>1398</v>
      </c>
      <c r="EN209" s="793">
        <v>0</v>
      </c>
      <c r="EO209" s="793">
        <v>0</v>
      </c>
      <c r="EP209" s="793">
        <v>0</v>
      </c>
      <c r="EQ209" s="793">
        <v>0</v>
      </c>
      <c r="ER209" s="793">
        <v>0</v>
      </c>
      <c r="ES209" s="793">
        <v>0</v>
      </c>
      <c r="ET209" s="793">
        <v>4</v>
      </c>
      <c r="EU209" s="793">
        <v>4</v>
      </c>
      <c r="EV209" s="793">
        <v>2</v>
      </c>
      <c r="EW209" s="793">
        <v>0</v>
      </c>
      <c r="EX209" s="793">
        <v>0</v>
      </c>
      <c r="EY209" s="794">
        <v>10</v>
      </c>
      <c r="EZ209" s="793"/>
      <c r="FA209" s="795"/>
    </row>
    <row r="210" spans="1:157">
      <c r="A210" s="73"/>
      <c r="B210" s="73"/>
      <c r="C210" s="73"/>
      <c r="D210" s="738" t="s">
        <v>15</v>
      </c>
      <c r="E210" s="3262">
        <v>3</v>
      </c>
      <c r="F210" s="3262">
        <v>1</v>
      </c>
      <c r="G210" s="3262"/>
      <c r="H210" s="3262"/>
      <c r="I210" s="3262"/>
      <c r="J210" s="3262">
        <v>20</v>
      </c>
      <c r="K210" s="3262">
        <v>1</v>
      </c>
      <c r="L210" s="3262"/>
      <c r="M210" s="4674"/>
      <c r="N210" s="4674"/>
      <c r="O210" s="4674">
        <v>25</v>
      </c>
      <c r="P210" s="912">
        <f>+(O209+O208)/O210</f>
        <v>0.2</v>
      </c>
      <c r="Q210" s="3197"/>
      <c r="R210" s="74"/>
      <c r="S210" s="74"/>
      <c r="T210" s="74"/>
      <c r="U210" s="74" t="s">
        <v>1288</v>
      </c>
      <c r="V210" s="3229"/>
      <c r="W210" s="3229"/>
      <c r="X210" s="3229"/>
      <c r="Y210" s="3229">
        <v>0</v>
      </c>
      <c r="Z210" s="3229">
        <v>0</v>
      </c>
      <c r="AA210" s="3229"/>
      <c r="AB210" s="3229">
        <v>2</v>
      </c>
      <c r="AC210" s="3229">
        <v>2</v>
      </c>
      <c r="AD210" s="3229"/>
      <c r="AE210" s="121"/>
      <c r="AF210" s="121"/>
      <c r="AG210" s="121">
        <v>4</v>
      </c>
      <c r="AJ210" s="161"/>
      <c r="AK210" s="161"/>
      <c r="AL210" s="73"/>
      <c r="AM210" s="738" t="s">
        <v>15</v>
      </c>
      <c r="AN210" s="2601"/>
      <c r="AO210" s="2601"/>
      <c r="AP210" s="2601"/>
      <c r="AQ210" s="2601"/>
      <c r="AR210" s="2601"/>
      <c r="AS210" s="2601"/>
      <c r="AT210" s="2601">
        <v>12</v>
      </c>
      <c r="AU210" s="2601">
        <v>6</v>
      </c>
      <c r="AV210" s="2601">
        <v>1</v>
      </c>
      <c r="AW210" s="151"/>
      <c r="AX210" s="151"/>
      <c r="AY210" s="151">
        <v>19</v>
      </c>
      <c r="AZ210" s="912">
        <f>+AY209/AY210</f>
        <v>0.10526315789473684</v>
      </c>
      <c r="BB210" s="2191"/>
      <c r="BC210" s="2191"/>
      <c r="BD210" s="2192" t="s">
        <v>140</v>
      </c>
      <c r="BE210" s="2193" t="s">
        <v>1284</v>
      </c>
      <c r="BF210" s="2194"/>
      <c r="BG210" s="2194"/>
      <c r="BH210" s="2194"/>
      <c r="BI210" s="2194"/>
      <c r="BJ210" s="2194"/>
      <c r="BK210" s="2195">
        <v>11</v>
      </c>
      <c r="BL210" s="2195">
        <v>1</v>
      </c>
      <c r="BM210" s="2195">
        <v>0</v>
      </c>
      <c r="BN210" s="963"/>
      <c r="BO210" s="963"/>
      <c r="BP210" s="964">
        <v>12</v>
      </c>
      <c r="BQ210" s="73"/>
      <c r="BS210" s="879"/>
      <c r="BT210" s="879"/>
      <c r="BU210" s="880"/>
      <c r="BV210" s="881" t="s">
        <v>1288</v>
      </c>
      <c r="BW210" s="883">
        <v>0</v>
      </c>
      <c r="BX210" s="882"/>
      <c r="BY210" s="882"/>
      <c r="BZ210" s="882"/>
      <c r="CA210" s="882"/>
      <c r="CB210" s="883">
        <v>1</v>
      </c>
      <c r="CC210" s="883">
        <v>0</v>
      </c>
      <c r="CD210" s="882"/>
      <c r="CE210" s="879"/>
      <c r="CF210" s="879"/>
      <c r="CG210" s="884">
        <v>1</v>
      </c>
      <c r="CH210" s="161"/>
      <c r="CJ210" s="885"/>
      <c r="CK210" s="885"/>
      <c r="CL210" s="885"/>
      <c r="CM210" s="886" t="s">
        <v>1293</v>
      </c>
      <c r="CN210" s="887"/>
      <c r="CO210" s="888">
        <v>0</v>
      </c>
      <c r="CP210" s="887"/>
      <c r="CQ210" s="887"/>
      <c r="CR210" s="887"/>
      <c r="CS210" s="887"/>
      <c r="CT210" s="888">
        <v>5</v>
      </c>
      <c r="CU210" s="887"/>
      <c r="CV210" s="887"/>
      <c r="CW210" s="889"/>
      <c r="CX210" s="889"/>
      <c r="CY210" s="890">
        <v>5</v>
      </c>
      <c r="CZ210" s="891"/>
      <c r="DB210" s="892"/>
      <c r="DC210" s="892"/>
      <c r="DD210" s="892"/>
      <c r="DE210" s="893" t="s">
        <v>1284</v>
      </c>
      <c r="DF210" s="894"/>
      <c r="DG210" s="895">
        <v>0</v>
      </c>
      <c r="DH210" s="895">
        <v>0</v>
      </c>
      <c r="DI210" s="895">
        <v>1</v>
      </c>
      <c r="DJ210" s="895">
        <v>0</v>
      </c>
      <c r="DK210" s="895">
        <v>5</v>
      </c>
      <c r="DL210" s="895">
        <v>20</v>
      </c>
      <c r="DM210" s="895">
        <v>0</v>
      </c>
      <c r="DN210" s="894"/>
      <c r="DO210" s="894"/>
      <c r="DP210" s="895">
        <v>26</v>
      </c>
      <c r="DQ210" s="792"/>
      <c r="DS210" s="121"/>
      <c r="DT210" s="121"/>
      <c r="DU210" s="121"/>
      <c r="DV210" s="761" t="s">
        <v>15</v>
      </c>
      <c r="DW210" s="729">
        <v>2</v>
      </c>
      <c r="DX210" s="729">
        <v>2</v>
      </c>
      <c r="DY210" s="729">
        <v>2</v>
      </c>
      <c r="DZ210" s="729"/>
      <c r="EA210" s="729">
        <v>1</v>
      </c>
      <c r="EB210" s="729">
        <v>10</v>
      </c>
      <c r="EC210" s="729">
        <v>13</v>
      </c>
      <c r="ED210" s="729">
        <v>47</v>
      </c>
      <c r="EE210" s="729">
        <v>2</v>
      </c>
      <c r="EF210" s="729">
        <v>5</v>
      </c>
      <c r="EG210" s="729">
        <v>84</v>
      </c>
      <c r="EH210" s="813">
        <f>+(EG206+EG209)/EG210</f>
        <v>0.16666666666666666</v>
      </c>
      <c r="EI210" s="74"/>
      <c r="EJ210" s="793"/>
      <c r="EK210" s="793"/>
      <c r="EL210" s="793"/>
      <c r="EM210" s="796" t="s">
        <v>15</v>
      </c>
      <c r="EN210" s="796">
        <v>0</v>
      </c>
      <c r="EO210" s="796">
        <v>1</v>
      </c>
      <c r="EP210" s="796">
        <v>1</v>
      </c>
      <c r="EQ210" s="796">
        <v>1</v>
      </c>
      <c r="ER210" s="796">
        <v>2</v>
      </c>
      <c r="ES210" s="796">
        <v>0</v>
      </c>
      <c r="ET210" s="796">
        <v>7</v>
      </c>
      <c r="EU210" s="796">
        <v>23</v>
      </c>
      <c r="EV210" s="796">
        <v>29</v>
      </c>
      <c r="EW210" s="796">
        <v>8</v>
      </c>
      <c r="EX210" s="796">
        <v>6</v>
      </c>
      <c r="EY210" s="856">
        <v>78</v>
      </c>
      <c r="EZ210" s="797">
        <f>+(EY209+EY206-EW206)/EY210</f>
        <v>0.20512820512820512</v>
      </c>
      <c r="FA210" s="795">
        <f>+EY206+EY209-EW206</f>
        <v>16</v>
      </c>
    </row>
    <row r="211" spans="1:157">
      <c r="A211" s="73"/>
      <c r="B211" s="73"/>
      <c r="C211" s="73" t="s">
        <v>136</v>
      </c>
      <c r="D211" s="73" t="s">
        <v>1284</v>
      </c>
      <c r="E211" s="3261">
        <v>1</v>
      </c>
      <c r="F211" s="3261"/>
      <c r="G211" s="3261"/>
      <c r="H211" s="3261">
        <v>1</v>
      </c>
      <c r="I211" s="3261"/>
      <c r="J211" s="3261">
        <v>17</v>
      </c>
      <c r="K211" s="3261"/>
      <c r="L211" s="3261"/>
      <c r="M211" s="161"/>
      <c r="N211" s="161"/>
      <c r="O211" s="161">
        <v>19</v>
      </c>
      <c r="P211" s="73"/>
      <c r="R211" s="74"/>
      <c r="S211" s="74"/>
      <c r="T211" s="74"/>
      <c r="U211" s="74" t="s">
        <v>1293</v>
      </c>
      <c r="V211" s="3229"/>
      <c r="W211" s="3229"/>
      <c r="X211" s="3229"/>
      <c r="Y211" s="3229">
        <v>0</v>
      </c>
      <c r="Z211" s="3229">
        <v>0</v>
      </c>
      <c r="AA211" s="3229"/>
      <c r="AB211" s="3229">
        <v>15</v>
      </c>
      <c r="AC211" s="3229">
        <v>0</v>
      </c>
      <c r="AD211" s="3229"/>
      <c r="AE211" s="121"/>
      <c r="AF211" s="121"/>
      <c r="AG211" s="121">
        <v>15</v>
      </c>
      <c r="AJ211" s="161"/>
      <c r="AK211" s="161"/>
      <c r="AL211" s="73" t="s">
        <v>137</v>
      </c>
      <c r="AM211" s="73" t="s">
        <v>1284</v>
      </c>
      <c r="AN211" s="2600"/>
      <c r="AO211" s="2600"/>
      <c r="AP211" s="2600"/>
      <c r="AQ211" s="2600"/>
      <c r="AR211" s="2600"/>
      <c r="AS211" s="2600">
        <v>1</v>
      </c>
      <c r="AT211" s="2600">
        <v>15</v>
      </c>
      <c r="AU211" s="2600"/>
      <c r="AV211" s="2600"/>
      <c r="AW211" s="161"/>
      <c r="AX211" s="161"/>
      <c r="AY211" s="161">
        <v>16</v>
      </c>
      <c r="AZ211" s="161"/>
      <c r="BB211" s="2191"/>
      <c r="BC211" s="2191"/>
      <c r="BD211" s="2192"/>
      <c r="BE211" s="2193" t="s">
        <v>1288</v>
      </c>
      <c r="BF211" s="2194"/>
      <c r="BG211" s="2194"/>
      <c r="BH211" s="2194"/>
      <c r="BI211" s="2194"/>
      <c r="BJ211" s="2194"/>
      <c r="BK211" s="2195">
        <v>1</v>
      </c>
      <c r="BL211" s="2195">
        <v>0</v>
      </c>
      <c r="BM211" s="2195">
        <v>0</v>
      </c>
      <c r="BN211" s="963"/>
      <c r="BO211" s="963"/>
      <c r="BP211" s="964">
        <v>1</v>
      </c>
      <c r="BQ211" s="73"/>
      <c r="BS211" s="879"/>
      <c r="BT211" s="879"/>
      <c r="BU211" s="880"/>
      <c r="BV211" s="881" t="s">
        <v>1293</v>
      </c>
      <c r="BW211" s="883">
        <v>0</v>
      </c>
      <c r="BX211" s="882"/>
      <c r="BY211" s="882"/>
      <c r="BZ211" s="882"/>
      <c r="CA211" s="882"/>
      <c r="CB211" s="883">
        <v>2</v>
      </c>
      <c r="CC211" s="883">
        <v>0</v>
      </c>
      <c r="CD211" s="882"/>
      <c r="CE211" s="879"/>
      <c r="CF211" s="879"/>
      <c r="CG211" s="884">
        <v>2</v>
      </c>
      <c r="CH211" s="161"/>
      <c r="CJ211" s="885"/>
      <c r="CK211" s="885"/>
      <c r="CL211" s="885"/>
      <c r="CM211" s="886" t="s">
        <v>1398</v>
      </c>
      <c r="CN211" s="887"/>
      <c r="CO211" s="888">
        <v>0</v>
      </c>
      <c r="CP211" s="887"/>
      <c r="CQ211" s="887"/>
      <c r="CR211" s="887"/>
      <c r="CS211" s="887"/>
      <c r="CT211" s="888">
        <v>5</v>
      </c>
      <c r="CU211" s="887"/>
      <c r="CV211" s="887"/>
      <c r="CW211" s="889"/>
      <c r="CX211" s="889"/>
      <c r="CY211" s="890">
        <v>5</v>
      </c>
      <c r="CZ211" s="891"/>
      <c r="DB211" s="892"/>
      <c r="DC211" s="892"/>
      <c r="DD211" s="892"/>
      <c r="DE211" s="893" t="s">
        <v>1286</v>
      </c>
      <c r="DF211" s="894"/>
      <c r="DG211" s="895">
        <v>1</v>
      </c>
      <c r="DH211" s="895">
        <v>0</v>
      </c>
      <c r="DI211" s="895">
        <v>0</v>
      </c>
      <c r="DJ211" s="895">
        <v>0</v>
      </c>
      <c r="DK211" s="895">
        <v>0</v>
      </c>
      <c r="DL211" s="895">
        <v>0</v>
      </c>
      <c r="DM211" s="895">
        <v>0</v>
      </c>
      <c r="DN211" s="894"/>
      <c r="DO211" s="894"/>
      <c r="DP211" s="895">
        <v>1</v>
      </c>
      <c r="DQ211" s="792"/>
      <c r="DS211" s="121"/>
      <c r="DT211" s="121"/>
      <c r="DU211" s="121" t="s">
        <v>16</v>
      </c>
      <c r="DV211" s="74" t="s">
        <v>1283</v>
      </c>
      <c r="DW211" s="121"/>
      <c r="DX211" s="121"/>
      <c r="DY211" s="121"/>
      <c r="DZ211" s="121"/>
      <c r="EA211" s="121"/>
      <c r="EB211" s="121">
        <v>0</v>
      </c>
      <c r="EC211" s="121">
        <v>0</v>
      </c>
      <c r="ED211" s="121">
        <v>2</v>
      </c>
      <c r="EE211" s="121">
        <v>0</v>
      </c>
      <c r="EF211" s="121"/>
      <c r="EG211" s="121">
        <v>2</v>
      </c>
      <c r="EH211" s="74"/>
      <c r="EI211" s="74"/>
      <c r="EJ211" s="793"/>
      <c r="EK211" s="793"/>
      <c r="EL211" s="793" t="s">
        <v>16</v>
      </c>
      <c r="EM211" s="793" t="s">
        <v>1283</v>
      </c>
      <c r="EN211" s="793">
        <v>0</v>
      </c>
      <c r="EO211" s="793">
        <v>0</v>
      </c>
      <c r="EP211" s="793">
        <v>0</v>
      </c>
      <c r="EQ211" s="793">
        <v>0</v>
      </c>
      <c r="ER211" s="793">
        <v>0</v>
      </c>
      <c r="ES211" s="793">
        <v>0</v>
      </c>
      <c r="ET211" s="793">
        <v>0</v>
      </c>
      <c r="EU211" s="793">
        <v>0</v>
      </c>
      <c r="EV211" s="793">
        <v>3</v>
      </c>
      <c r="EW211" s="793">
        <v>0</v>
      </c>
      <c r="EX211" s="793">
        <v>1</v>
      </c>
      <c r="EY211" s="794">
        <v>4</v>
      </c>
      <c r="EZ211" s="793"/>
      <c r="FA211" s="795"/>
    </row>
    <row r="212" spans="1:157">
      <c r="A212" s="73"/>
      <c r="B212" s="73"/>
      <c r="C212" s="73"/>
      <c r="D212" s="73" t="s">
        <v>1288</v>
      </c>
      <c r="E212" s="3261">
        <v>0</v>
      </c>
      <c r="F212" s="3261"/>
      <c r="G212" s="3261"/>
      <c r="H212" s="3261">
        <v>0</v>
      </c>
      <c r="I212" s="3261"/>
      <c r="J212" s="3261">
        <v>5</v>
      </c>
      <c r="K212" s="3261"/>
      <c r="L212" s="3261"/>
      <c r="M212" s="161"/>
      <c r="N212" s="161"/>
      <c r="O212" s="161">
        <v>5</v>
      </c>
      <c r="P212" s="73"/>
      <c r="R212" s="74"/>
      <c r="S212" s="74"/>
      <c r="T212" s="74"/>
      <c r="U212" s="761" t="s">
        <v>15</v>
      </c>
      <c r="V212" s="3230"/>
      <c r="W212" s="3230"/>
      <c r="X212" s="3230"/>
      <c r="Y212" s="3230">
        <v>1</v>
      </c>
      <c r="Z212" s="3230">
        <v>1</v>
      </c>
      <c r="AA212" s="3230"/>
      <c r="AB212" s="3230">
        <v>31</v>
      </c>
      <c r="AC212" s="3230">
        <v>2</v>
      </c>
      <c r="AD212" s="3230"/>
      <c r="AE212" s="729"/>
      <c r="AF212" s="729"/>
      <c r="AG212" s="729">
        <v>35</v>
      </c>
      <c r="AH212" s="4681">
        <f>+(AG210+AG211)/AG212</f>
        <v>0.54285714285714282</v>
      </c>
      <c r="AJ212" s="161"/>
      <c r="AK212" s="161"/>
      <c r="AL212" s="73"/>
      <c r="AM212" s="73" t="s">
        <v>1293</v>
      </c>
      <c r="AN212" s="2600"/>
      <c r="AO212" s="2600"/>
      <c r="AP212" s="2600"/>
      <c r="AQ212" s="2600"/>
      <c r="AR212" s="2600"/>
      <c r="AS212" s="2600">
        <v>0</v>
      </c>
      <c r="AT212" s="2600">
        <v>2</v>
      </c>
      <c r="AU212" s="2600"/>
      <c r="AV212" s="2600"/>
      <c r="AW212" s="161"/>
      <c r="AX212" s="161"/>
      <c r="AY212" s="161">
        <v>2</v>
      </c>
      <c r="AZ212" s="161"/>
      <c r="BB212" s="2191"/>
      <c r="BC212" s="2191"/>
      <c r="BD212" s="2192"/>
      <c r="BE212" s="2193" t="s">
        <v>1292</v>
      </c>
      <c r="BF212" s="2194"/>
      <c r="BG212" s="2194"/>
      <c r="BH212" s="2194"/>
      <c r="BI212" s="2194"/>
      <c r="BJ212" s="2194"/>
      <c r="BK212" s="2195">
        <v>0</v>
      </c>
      <c r="BL212" s="2195">
        <v>0</v>
      </c>
      <c r="BM212" s="2195">
        <v>1</v>
      </c>
      <c r="BN212" s="963"/>
      <c r="BO212" s="963"/>
      <c r="BP212" s="964">
        <v>1</v>
      </c>
      <c r="BQ212" s="73"/>
      <c r="BS212" s="879"/>
      <c r="BT212" s="879"/>
      <c r="BU212" s="880"/>
      <c r="BV212" s="881" t="s">
        <v>1398</v>
      </c>
      <c r="BW212" s="883">
        <v>0</v>
      </c>
      <c r="BX212" s="882"/>
      <c r="BY212" s="882"/>
      <c r="BZ212" s="882"/>
      <c r="CA212" s="882"/>
      <c r="CB212" s="883">
        <v>5</v>
      </c>
      <c r="CC212" s="883">
        <v>0</v>
      </c>
      <c r="CD212" s="882"/>
      <c r="CE212" s="879"/>
      <c r="CF212" s="879"/>
      <c r="CG212" s="884">
        <v>5</v>
      </c>
      <c r="CH212" s="161"/>
      <c r="CJ212" s="885"/>
      <c r="CK212" s="885"/>
      <c r="CL212" s="885"/>
      <c r="CM212" s="897" t="s">
        <v>15</v>
      </c>
      <c r="CN212" s="898"/>
      <c r="CO212" s="899">
        <v>1</v>
      </c>
      <c r="CP212" s="898"/>
      <c r="CQ212" s="898"/>
      <c r="CR212" s="898"/>
      <c r="CS212" s="898"/>
      <c r="CT212" s="899">
        <v>18</v>
      </c>
      <c r="CU212" s="898"/>
      <c r="CV212" s="898"/>
      <c r="CW212" s="900"/>
      <c r="CX212" s="900"/>
      <c r="CY212" s="901">
        <v>19</v>
      </c>
      <c r="CZ212" s="891">
        <f>+(CY211+CY210+CY209)/CY212</f>
        <v>0.73684210526315785</v>
      </c>
      <c r="DB212" s="892"/>
      <c r="DC212" s="892"/>
      <c r="DD212" s="892"/>
      <c r="DE212" s="893" t="s">
        <v>1288</v>
      </c>
      <c r="DF212" s="894"/>
      <c r="DG212" s="895">
        <v>0</v>
      </c>
      <c r="DH212" s="895">
        <v>9</v>
      </c>
      <c r="DI212" s="895">
        <v>0</v>
      </c>
      <c r="DJ212" s="895">
        <v>0</v>
      </c>
      <c r="DK212" s="895">
        <v>11</v>
      </c>
      <c r="DL212" s="895">
        <v>22</v>
      </c>
      <c r="DM212" s="895">
        <v>1</v>
      </c>
      <c r="DN212" s="894"/>
      <c r="DO212" s="894"/>
      <c r="DP212" s="895">
        <v>43</v>
      </c>
      <c r="DQ212" s="792"/>
      <c r="DS212" s="121"/>
      <c r="DT212" s="121"/>
      <c r="DU212" s="121"/>
      <c r="DV212" s="74" t="s">
        <v>1284</v>
      </c>
      <c r="DW212" s="121"/>
      <c r="DX212" s="121"/>
      <c r="DY212" s="121"/>
      <c r="DZ212" s="121"/>
      <c r="EA212" s="121"/>
      <c r="EB212" s="121">
        <v>1</v>
      </c>
      <c r="EC212" s="121">
        <v>3</v>
      </c>
      <c r="ED212" s="121">
        <v>0</v>
      </c>
      <c r="EE212" s="121">
        <v>0</v>
      </c>
      <c r="EF212" s="121"/>
      <c r="EG212" s="121">
        <v>4</v>
      </c>
      <c r="EH212" s="74"/>
      <c r="EI212" s="74"/>
      <c r="EJ212" s="793"/>
      <c r="EK212" s="793"/>
      <c r="EL212" s="793"/>
      <c r="EM212" s="793" t="s">
        <v>1284</v>
      </c>
      <c r="EN212" s="793">
        <v>0</v>
      </c>
      <c r="EO212" s="793">
        <v>1</v>
      </c>
      <c r="EP212" s="793">
        <v>2</v>
      </c>
      <c r="EQ212" s="793">
        <v>2</v>
      </c>
      <c r="ER212" s="793">
        <v>1</v>
      </c>
      <c r="ES212" s="793">
        <v>0</v>
      </c>
      <c r="ET212" s="793">
        <v>6</v>
      </c>
      <c r="EU212" s="793">
        <v>4</v>
      </c>
      <c r="EV212" s="793">
        <v>0</v>
      </c>
      <c r="EW212" s="793">
        <v>0</v>
      </c>
      <c r="EX212" s="793">
        <v>0</v>
      </c>
      <c r="EY212" s="794">
        <v>16</v>
      </c>
      <c r="EZ212" s="793"/>
      <c r="FA212" s="795"/>
    </row>
    <row r="213" spans="1:157">
      <c r="A213" s="73"/>
      <c r="B213" s="73"/>
      <c r="C213" s="73"/>
      <c r="D213" s="738" t="s">
        <v>15</v>
      </c>
      <c r="E213" s="3262">
        <v>1</v>
      </c>
      <c r="F213" s="3262"/>
      <c r="G213" s="3262"/>
      <c r="H213" s="3262">
        <v>1</v>
      </c>
      <c r="I213" s="3262"/>
      <c r="J213" s="3262">
        <v>22</v>
      </c>
      <c r="K213" s="3262"/>
      <c r="L213" s="3262"/>
      <c r="M213" s="4674"/>
      <c r="N213" s="4674"/>
      <c r="O213" s="4674">
        <v>24</v>
      </c>
      <c r="P213" s="912">
        <f>+O212/O213</f>
        <v>0.20833333333333334</v>
      </c>
      <c r="Q213" s="3197"/>
      <c r="R213" s="74"/>
      <c r="S213" s="74"/>
      <c r="T213" s="74" t="s">
        <v>573</v>
      </c>
      <c r="U213" s="74" t="s">
        <v>1284</v>
      </c>
      <c r="V213" s="3229"/>
      <c r="W213" s="3229"/>
      <c r="X213" s="3229"/>
      <c r="Y213" s="3229">
        <v>1</v>
      </c>
      <c r="Z213" s="3229">
        <v>1</v>
      </c>
      <c r="AA213" s="3229"/>
      <c r="AB213" s="3229">
        <v>14</v>
      </c>
      <c r="AC213" s="3229">
        <v>0</v>
      </c>
      <c r="AD213" s="3229"/>
      <c r="AE213" s="121"/>
      <c r="AF213" s="121"/>
      <c r="AG213" s="121">
        <v>16</v>
      </c>
      <c r="AJ213" s="161"/>
      <c r="AK213" s="161"/>
      <c r="AL213" s="73"/>
      <c r="AM213" s="738" t="s">
        <v>15</v>
      </c>
      <c r="AN213" s="2601"/>
      <c r="AO213" s="2601"/>
      <c r="AP213" s="2601"/>
      <c r="AQ213" s="2601"/>
      <c r="AR213" s="2601"/>
      <c r="AS213" s="2601">
        <v>1</v>
      </c>
      <c r="AT213" s="2601">
        <v>17</v>
      </c>
      <c r="AU213" s="2601"/>
      <c r="AV213" s="2601"/>
      <c r="AW213" s="151"/>
      <c r="AX213" s="151"/>
      <c r="AY213" s="151">
        <v>18</v>
      </c>
      <c r="AZ213" s="912">
        <v>0</v>
      </c>
      <c r="BB213" s="2191"/>
      <c r="BC213" s="2191"/>
      <c r="BD213" s="2192"/>
      <c r="BE213" s="2193" t="s">
        <v>1293</v>
      </c>
      <c r="BF213" s="2194"/>
      <c r="BG213" s="2194"/>
      <c r="BH213" s="2194"/>
      <c r="BI213" s="2194"/>
      <c r="BJ213" s="2194"/>
      <c r="BK213" s="2195">
        <v>2</v>
      </c>
      <c r="BL213" s="2195">
        <v>0</v>
      </c>
      <c r="BM213" s="2195">
        <v>0</v>
      </c>
      <c r="BN213" s="963"/>
      <c r="BO213" s="963"/>
      <c r="BP213" s="964">
        <v>2</v>
      </c>
      <c r="BQ213" s="73"/>
      <c r="BS213" s="879"/>
      <c r="BT213" s="879"/>
      <c r="BU213" s="880"/>
      <c r="BV213" s="907" t="s">
        <v>15</v>
      </c>
      <c r="BW213" s="909">
        <v>3</v>
      </c>
      <c r="BX213" s="908"/>
      <c r="BY213" s="908"/>
      <c r="BZ213" s="908"/>
      <c r="CA213" s="908"/>
      <c r="CB213" s="909">
        <v>15</v>
      </c>
      <c r="CC213" s="909">
        <v>1</v>
      </c>
      <c r="CD213" s="908"/>
      <c r="CE213" s="910"/>
      <c r="CF213" s="910"/>
      <c r="CG213" s="911">
        <v>19</v>
      </c>
      <c r="CH213" s="912">
        <f>+(CG210+CG211+CG212)/CG213</f>
        <v>0.42105263157894735</v>
      </c>
      <c r="CJ213" s="885"/>
      <c r="CK213" s="885"/>
      <c r="CL213" s="885" t="s">
        <v>425</v>
      </c>
      <c r="CM213" s="886" t="s">
        <v>1283</v>
      </c>
      <c r="CN213" s="887"/>
      <c r="CO213" s="887"/>
      <c r="CP213" s="887"/>
      <c r="CQ213" s="887"/>
      <c r="CR213" s="887"/>
      <c r="CS213" s="888">
        <v>0</v>
      </c>
      <c r="CT213" s="888">
        <v>0</v>
      </c>
      <c r="CU213" s="888">
        <v>0</v>
      </c>
      <c r="CV213" s="888">
        <v>0</v>
      </c>
      <c r="CW213" s="890">
        <v>1</v>
      </c>
      <c r="CX213" s="889"/>
      <c r="CY213" s="890">
        <v>1</v>
      </c>
      <c r="CZ213" s="891"/>
      <c r="DB213" s="892"/>
      <c r="DD213" s="892"/>
      <c r="DE213" s="893" t="s">
        <v>1289</v>
      </c>
      <c r="DF213" s="894"/>
      <c r="DG213" s="895">
        <v>0</v>
      </c>
      <c r="DH213" s="895">
        <v>1</v>
      </c>
      <c r="DI213" s="895">
        <v>0</v>
      </c>
      <c r="DJ213" s="895">
        <v>2</v>
      </c>
      <c r="DK213" s="895">
        <v>3</v>
      </c>
      <c r="DL213" s="895">
        <v>0</v>
      </c>
      <c r="DM213" s="895">
        <v>0</v>
      </c>
      <c r="DN213" s="894"/>
      <c r="DO213" s="894"/>
      <c r="DP213" s="895">
        <v>6</v>
      </c>
      <c r="DQ213" s="792"/>
      <c r="DS213" s="121"/>
      <c r="DT213" s="121"/>
      <c r="DU213" s="121"/>
      <c r="DV213" s="74" t="s">
        <v>1288</v>
      </c>
      <c r="DW213" s="121"/>
      <c r="DX213" s="121"/>
      <c r="DY213" s="121"/>
      <c r="DZ213" s="121"/>
      <c r="EA213" s="121"/>
      <c r="EB213" s="121">
        <v>1</v>
      </c>
      <c r="EC213" s="121">
        <v>7</v>
      </c>
      <c r="ED213" s="121">
        <v>0</v>
      </c>
      <c r="EE213" s="121">
        <v>0</v>
      </c>
      <c r="EF213" s="121"/>
      <c r="EG213" s="121">
        <v>8</v>
      </c>
      <c r="EH213" s="74"/>
      <c r="EI213" s="74"/>
      <c r="EJ213" s="793"/>
      <c r="EK213" s="793"/>
      <c r="EL213" s="793"/>
      <c r="EM213" s="793" t="s">
        <v>1286</v>
      </c>
      <c r="EN213" s="793">
        <v>0</v>
      </c>
      <c r="EO213" s="793">
        <v>0</v>
      </c>
      <c r="EP213" s="793">
        <v>0</v>
      </c>
      <c r="EQ213" s="793">
        <v>1</v>
      </c>
      <c r="ER213" s="793">
        <v>0</v>
      </c>
      <c r="ES213" s="793">
        <v>0</v>
      </c>
      <c r="ET213" s="793">
        <v>0</v>
      </c>
      <c r="EU213" s="793">
        <v>0</v>
      </c>
      <c r="EV213" s="793">
        <v>0</v>
      </c>
      <c r="EW213" s="793">
        <v>0</v>
      </c>
      <c r="EX213" s="793">
        <v>0</v>
      </c>
      <c r="EY213" s="794">
        <v>1</v>
      </c>
      <c r="EZ213" s="793"/>
      <c r="FA213" s="795"/>
    </row>
    <row r="214" spans="1:157">
      <c r="A214" s="73"/>
      <c r="B214" s="73"/>
      <c r="C214" s="73" t="s">
        <v>137</v>
      </c>
      <c r="D214" s="73" t="s">
        <v>1283</v>
      </c>
      <c r="E214" s="3261"/>
      <c r="F214" s="3261"/>
      <c r="G214" s="3261">
        <v>1</v>
      </c>
      <c r="H214" s="3261"/>
      <c r="I214" s="3261"/>
      <c r="J214" s="3261">
        <v>0</v>
      </c>
      <c r="K214" s="3261">
        <v>0</v>
      </c>
      <c r="L214" s="3261">
        <v>0</v>
      </c>
      <c r="M214" s="161"/>
      <c r="N214" s="161"/>
      <c r="O214" s="161">
        <v>1</v>
      </c>
      <c r="P214" s="73"/>
      <c r="R214" s="74"/>
      <c r="S214" s="74"/>
      <c r="T214" s="74"/>
      <c r="U214" s="74" t="s">
        <v>1288</v>
      </c>
      <c r="V214" s="3229"/>
      <c r="W214" s="3229"/>
      <c r="X214" s="3229"/>
      <c r="Y214" s="3229">
        <v>0</v>
      </c>
      <c r="Z214" s="3229">
        <v>0</v>
      </c>
      <c r="AA214" s="3229"/>
      <c r="AB214" s="3229">
        <v>2</v>
      </c>
      <c r="AC214" s="3229">
        <v>2</v>
      </c>
      <c r="AD214" s="3229"/>
      <c r="AE214" s="121"/>
      <c r="AF214" s="121"/>
      <c r="AG214" s="121">
        <v>4</v>
      </c>
      <c r="AJ214" s="161"/>
      <c r="AK214" s="161"/>
      <c r="AL214" s="73" t="s">
        <v>138</v>
      </c>
      <c r="AM214" s="73" t="s">
        <v>1284</v>
      </c>
      <c r="AN214" s="2600"/>
      <c r="AO214" s="2600"/>
      <c r="AP214" s="2600"/>
      <c r="AQ214" s="2600">
        <v>1</v>
      </c>
      <c r="AR214" s="2600"/>
      <c r="AS214" s="2600"/>
      <c r="AT214" s="2600">
        <v>11</v>
      </c>
      <c r="AU214" s="2600"/>
      <c r="AV214" s="2600"/>
      <c r="AW214" s="161"/>
      <c r="AX214" s="161"/>
      <c r="AY214" s="161">
        <v>12</v>
      </c>
      <c r="AZ214" s="161"/>
      <c r="BB214" s="2191"/>
      <c r="BC214" s="2191"/>
      <c r="BD214" s="2192"/>
      <c r="BE214" s="760" t="s">
        <v>15</v>
      </c>
      <c r="BF214" s="2196"/>
      <c r="BG214" s="2196"/>
      <c r="BH214" s="2196"/>
      <c r="BI214" s="2196"/>
      <c r="BJ214" s="2196"/>
      <c r="BK214" s="2197">
        <v>14</v>
      </c>
      <c r="BL214" s="2197">
        <v>1</v>
      </c>
      <c r="BM214" s="2197">
        <v>1</v>
      </c>
      <c r="BN214" s="972"/>
      <c r="BO214" s="972"/>
      <c r="BP214" s="973">
        <v>16</v>
      </c>
      <c r="BQ214" s="2154">
        <f>+(BP211+BP213)/BP214</f>
        <v>0.1875</v>
      </c>
      <c r="BS214" s="879"/>
      <c r="BT214" s="879"/>
      <c r="BU214" s="880" t="s">
        <v>621</v>
      </c>
      <c r="BV214" s="881" t="s">
        <v>1284</v>
      </c>
      <c r="BW214" s="882"/>
      <c r="BX214" s="882"/>
      <c r="BY214" s="882"/>
      <c r="BZ214" s="882"/>
      <c r="CA214" s="882"/>
      <c r="CB214" s="883">
        <v>14</v>
      </c>
      <c r="CC214" s="882"/>
      <c r="CD214" s="882"/>
      <c r="CE214" s="879"/>
      <c r="CF214" s="879"/>
      <c r="CG214" s="884">
        <v>14</v>
      </c>
      <c r="CH214" s="161"/>
      <c r="CJ214" s="885"/>
      <c r="CK214" s="885"/>
      <c r="CL214" s="885"/>
      <c r="CM214" s="886" t="s">
        <v>1284</v>
      </c>
      <c r="CN214" s="887"/>
      <c r="CO214" s="887"/>
      <c r="CP214" s="887"/>
      <c r="CQ214" s="887"/>
      <c r="CR214" s="887"/>
      <c r="CS214" s="888">
        <v>1</v>
      </c>
      <c r="CT214" s="888">
        <v>2</v>
      </c>
      <c r="CU214" s="888">
        <v>2</v>
      </c>
      <c r="CV214" s="888">
        <v>0</v>
      </c>
      <c r="CW214" s="890">
        <v>0</v>
      </c>
      <c r="CX214" s="889"/>
      <c r="CY214" s="890">
        <v>5</v>
      </c>
      <c r="CZ214" s="891"/>
      <c r="DB214" s="892"/>
      <c r="DD214" s="892"/>
      <c r="DE214" s="893" t="s">
        <v>1292</v>
      </c>
      <c r="DF214" s="894"/>
      <c r="DG214" s="895">
        <v>0</v>
      </c>
      <c r="DH214" s="895">
        <v>0</v>
      </c>
      <c r="DI214" s="895">
        <v>0</v>
      </c>
      <c r="DJ214" s="895">
        <v>0</v>
      </c>
      <c r="DK214" s="895">
        <v>0</v>
      </c>
      <c r="DL214" s="895">
        <v>1</v>
      </c>
      <c r="DM214" s="895">
        <v>34</v>
      </c>
      <c r="DN214" s="894"/>
      <c r="DO214" s="894"/>
      <c r="DP214" s="895">
        <v>35</v>
      </c>
      <c r="DQ214" s="792"/>
      <c r="DS214" s="121"/>
      <c r="DT214" s="121"/>
      <c r="DU214" s="121"/>
      <c r="DV214" s="74" t="s">
        <v>1292</v>
      </c>
      <c r="DW214" s="121"/>
      <c r="DX214" s="121"/>
      <c r="DY214" s="121"/>
      <c r="DZ214" s="121"/>
      <c r="EA214" s="121"/>
      <c r="EB214" s="121">
        <v>0</v>
      </c>
      <c r="EC214" s="121">
        <v>0</v>
      </c>
      <c r="ED214" s="121">
        <v>10</v>
      </c>
      <c r="EE214" s="121">
        <v>1</v>
      </c>
      <c r="EF214" s="121"/>
      <c r="EG214" s="121">
        <v>11</v>
      </c>
      <c r="EH214" s="74"/>
      <c r="EI214" s="74"/>
      <c r="EJ214" s="793"/>
      <c r="EK214" s="793"/>
      <c r="EL214" s="793"/>
      <c r="EM214" s="793" t="s">
        <v>1288</v>
      </c>
      <c r="EN214" s="793">
        <v>0</v>
      </c>
      <c r="EO214" s="793">
        <v>0</v>
      </c>
      <c r="EP214" s="793">
        <v>0</v>
      </c>
      <c r="EQ214" s="793">
        <v>10</v>
      </c>
      <c r="ER214" s="793">
        <v>2</v>
      </c>
      <c r="ES214" s="793">
        <v>0</v>
      </c>
      <c r="ET214" s="793">
        <v>8</v>
      </c>
      <c r="EU214" s="793">
        <v>5</v>
      </c>
      <c r="EV214" s="793">
        <v>0</v>
      </c>
      <c r="EW214" s="793">
        <v>0</v>
      </c>
      <c r="EX214" s="793">
        <v>0</v>
      </c>
      <c r="EY214" s="794">
        <v>25</v>
      </c>
      <c r="EZ214" s="793"/>
      <c r="FA214" s="795"/>
    </row>
    <row r="215" spans="1:157">
      <c r="A215" s="73"/>
      <c r="B215" s="73"/>
      <c r="C215" s="73"/>
      <c r="D215" s="73" t="s">
        <v>1284</v>
      </c>
      <c r="E215" s="3261"/>
      <c r="F215" s="3261"/>
      <c r="G215" s="3261">
        <v>0</v>
      </c>
      <c r="H215" s="3261"/>
      <c r="I215" s="3261"/>
      <c r="J215" s="3261">
        <v>9</v>
      </c>
      <c r="K215" s="3261">
        <v>3</v>
      </c>
      <c r="L215" s="3261">
        <v>0</v>
      </c>
      <c r="M215" s="161"/>
      <c r="N215" s="161"/>
      <c r="O215" s="161">
        <v>12</v>
      </c>
      <c r="P215" s="73"/>
      <c r="R215" s="74"/>
      <c r="S215" s="74"/>
      <c r="T215" s="74"/>
      <c r="U215" s="74" t="s">
        <v>1293</v>
      </c>
      <c r="V215" s="3229"/>
      <c r="W215" s="3229"/>
      <c r="X215" s="3229"/>
      <c r="Y215" s="3229">
        <v>0</v>
      </c>
      <c r="Z215" s="3229">
        <v>0</v>
      </c>
      <c r="AA215" s="3229"/>
      <c r="AB215" s="3229">
        <v>15</v>
      </c>
      <c r="AC215" s="3229">
        <v>0</v>
      </c>
      <c r="AD215" s="3229"/>
      <c r="AE215" s="121"/>
      <c r="AF215" s="121"/>
      <c r="AG215" s="121">
        <v>15</v>
      </c>
      <c r="AJ215" s="161"/>
      <c r="AK215" s="161"/>
      <c r="AL215" s="73"/>
      <c r="AM215" s="73" t="s">
        <v>1288</v>
      </c>
      <c r="AN215" s="2600"/>
      <c r="AO215" s="2600"/>
      <c r="AP215" s="2600"/>
      <c r="AQ215" s="2600">
        <v>0</v>
      </c>
      <c r="AR215" s="2600"/>
      <c r="AS215" s="2600"/>
      <c r="AT215" s="2600">
        <v>3</v>
      </c>
      <c r="AU215" s="2600"/>
      <c r="AV215" s="2600"/>
      <c r="AW215" s="161"/>
      <c r="AX215" s="161"/>
      <c r="AY215" s="161">
        <v>3</v>
      </c>
      <c r="AZ215" s="161"/>
      <c r="BB215" s="2191"/>
      <c r="BC215" s="2191"/>
      <c r="BD215" s="2192" t="s">
        <v>141</v>
      </c>
      <c r="BE215" s="2193" t="s">
        <v>1284</v>
      </c>
      <c r="BF215" s="2195">
        <v>3</v>
      </c>
      <c r="BG215" s="2195">
        <v>1</v>
      </c>
      <c r="BH215" s="2194"/>
      <c r="BI215" s="2194"/>
      <c r="BJ215" s="2195">
        <v>1</v>
      </c>
      <c r="BK215" s="2195">
        <v>0</v>
      </c>
      <c r="BL215" s="2194"/>
      <c r="BM215" s="2194"/>
      <c r="BN215" s="963"/>
      <c r="BO215" s="963"/>
      <c r="BP215" s="964">
        <v>5</v>
      </c>
      <c r="BQ215" s="73"/>
      <c r="BS215" s="879"/>
      <c r="BT215" s="879"/>
      <c r="BU215" s="880"/>
      <c r="BV215" s="881" t="s">
        <v>1288</v>
      </c>
      <c r="BW215" s="882"/>
      <c r="BX215" s="882"/>
      <c r="BY215" s="882"/>
      <c r="BZ215" s="882"/>
      <c r="CA215" s="882"/>
      <c r="CB215" s="883">
        <v>1</v>
      </c>
      <c r="CC215" s="882"/>
      <c r="CD215" s="882"/>
      <c r="CE215" s="879"/>
      <c r="CF215" s="879"/>
      <c r="CG215" s="884">
        <v>1</v>
      </c>
      <c r="CH215" s="161"/>
      <c r="CJ215" s="885"/>
      <c r="CK215" s="885"/>
      <c r="CL215" s="885"/>
      <c r="CM215" s="886" t="s">
        <v>1288</v>
      </c>
      <c r="CN215" s="887"/>
      <c r="CO215" s="887"/>
      <c r="CP215" s="887"/>
      <c r="CQ215" s="887"/>
      <c r="CR215" s="887"/>
      <c r="CS215" s="888">
        <v>0</v>
      </c>
      <c r="CT215" s="888">
        <v>1</v>
      </c>
      <c r="CU215" s="888">
        <v>1</v>
      </c>
      <c r="CV215" s="888">
        <v>0</v>
      </c>
      <c r="CW215" s="890">
        <v>0</v>
      </c>
      <c r="CX215" s="889"/>
      <c r="CY215" s="890">
        <v>2</v>
      </c>
      <c r="CZ215" s="891"/>
      <c r="DB215" s="892"/>
      <c r="DD215" s="892"/>
      <c r="DE215" s="893" t="s">
        <v>1293</v>
      </c>
      <c r="DF215" s="894"/>
      <c r="DG215" s="895">
        <v>0</v>
      </c>
      <c r="DH215" s="895">
        <v>0</v>
      </c>
      <c r="DI215" s="895">
        <v>0</v>
      </c>
      <c r="DJ215" s="895">
        <v>0</v>
      </c>
      <c r="DK215" s="895">
        <v>0</v>
      </c>
      <c r="DL215" s="895">
        <v>3</v>
      </c>
      <c r="DM215" s="895">
        <v>0</v>
      </c>
      <c r="DN215" s="894"/>
      <c r="DO215" s="894"/>
      <c r="DP215" s="895">
        <v>3</v>
      </c>
      <c r="DQ215" s="792"/>
      <c r="DS215" s="121"/>
      <c r="DT215" s="121"/>
      <c r="DU215" s="121"/>
      <c r="DV215" s="74" t="s">
        <v>1293</v>
      </c>
      <c r="DW215" s="121"/>
      <c r="DX215" s="121"/>
      <c r="DY215" s="121"/>
      <c r="DZ215" s="121"/>
      <c r="EA215" s="121"/>
      <c r="EB215" s="121">
        <v>0</v>
      </c>
      <c r="EC215" s="121">
        <v>4</v>
      </c>
      <c r="ED215" s="121">
        <v>0</v>
      </c>
      <c r="EE215" s="121">
        <v>0</v>
      </c>
      <c r="EF215" s="121"/>
      <c r="EG215" s="121">
        <v>4</v>
      </c>
      <c r="EH215" s="74"/>
      <c r="EI215" s="74"/>
      <c r="EJ215" s="793"/>
      <c r="EK215" s="793"/>
      <c r="EL215" s="793"/>
      <c r="EM215" s="793" t="s">
        <v>1289</v>
      </c>
      <c r="EN215" s="793">
        <v>0</v>
      </c>
      <c r="EO215" s="793">
        <v>0</v>
      </c>
      <c r="EP215" s="793">
        <v>1</v>
      </c>
      <c r="EQ215" s="793">
        <v>1</v>
      </c>
      <c r="ER215" s="793">
        <v>0</v>
      </c>
      <c r="ES215" s="793">
        <v>1</v>
      </c>
      <c r="ET215" s="793">
        <v>1</v>
      </c>
      <c r="EU215" s="793">
        <v>0</v>
      </c>
      <c r="EV215" s="793">
        <v>0</v>
      </c>
      <c r="EW215" s="793">
        <v>0</v>
      </c>
      <c r="EX215" s="793">
        <v>0</v>
      </c>
      <c r="EY215" s="794">
        <v>4</v>
      </c>
      <c r="EZ215" s="793"/>
      <c r="FA215" s="795"/>
    </row>
    <row r="216" spans="1:157">
      <c r="A216" s="73"/>
      <c r="B216" s="73"/>
      <c r="C216" s="73"/>
      <c r="D216" s="73" t="s">
        <v>1288</v>
      </c>
      <c r="E216" s="3261"/>
      <c r="F216" s="3261"/>
      <c r="G216" s="3261">
        <v>0</v>
      </c>
      <c r="H216" s="3261"/>
      <c r="I216" s="3261"/>
      <c r="J216" s="3261">
        <v>1</v>
      </c>
      <c r="K216" s="3261">
        <v>0</v>
      </c>
      <c r="L216" s="3261">
        <v>0</v>
      </c>
      <c r="M216" s="161"/>
      <c r="N216" s="161"/>
      <c r="O216" s="161">
        <v>1</v>
      </c>
      <c r="P216" s="73"/>
      <c r="R216" s="74"/>
      <c r="S216" s="74"/>
      <c r="T216" s="74"/>
      <c r="U216" s="74" t="s">
        <v>1398</v>
      </c>
      <c r="V216" s="3229"/>
      <c r="W216" s="3229"/>
      <c r="X216" s="3229"/>
      <c r="Y216" s="3229">
        <v>0</v>
      </c>
      <c r="Z216" s="3229">
        <v>0</v>
      </c>
      <c r="AA216" s="3229"/>
      <c r="AB216" s="3229">
        <v>3</v>
      </c>
      <c r="AC216" s="3229">
        <v>0</v>
      </c>
      <c r="AD216" s="3229"/>
      <c r="AE216" s="121"/>
      <c r="AF216" s="121"/>
      <c r="AG216" s="121">
        <v>3</v>
      </c>
      <c r="AJ216" s="161"/>
      <c r="AK216" s="161"/>
      <c r="AL216" s="73"/>
      <c r="AM216" s="73" t="s">
        <v>1293</v>
      </c>
      <c r="AN216" s="2600"/>
      <c r="AO216" s="2600"/>
      <c r="AP216" s="2600"/>
      <c r="AQ216" s="2600">
        <v>0</v>
      </c>
      <c r="AR216" s="2600"/>
      <c r="AS216" s="2600"/>
      <c r="AT216" s="2600">
        <v>1</v>
      </c>
      <c r="AU216" s="2600"/>
      <c r="AV216" s="2600"/>
      <c r="AW216" s="161"/>
      <c r="AX216" s="161"/>
      <c r="AY216" s="161">
        <v>1</v>
      </c>
      <c r="AZ216" s="161"/>
      <c r="BB216" s="2191"/>
      <c r="BC216" s="2191"/>
      <c r="BD216" s="2192"/>
      <c r="BE216" s="2193" t="s">
        <v>1288</v>
      </c>
      <c r="BF216" s="2195">
        <v>0</v>
      </c>
      <c r="BG216" s="2195">
        <v>0</v>
      </c>
      <c r="BH216" s="2194"/>
      <c r="BI216" s="2194"/>
      <c r="BJ216" s="2195">
        <v>2</v>
      </c>
      <c r="BK216" s="2195">
        <v>0</v>
      </c>
      <c r="BL216" s="2194"/>
      <c r="BM216" s="2194"/>
      <c r="BN216" s="963"/>
      <c r="BO216" s="963"/>
      <c r="BP216" s="964">
        <v>2</v>
      </c>
      <c r="BQ216" s="73"/>
      <c r="BS216" s="879"/>
      <c r="BT216" s="879"/>
      <c r="BU216" s="880"/>
      <c r="BV216" s="881" t="s">
        <v>1293</v>
      </c>
      <c r="BW216" s="882"/>
      <c r="BX216" s="882"/>
      <c r="BY216" s="882"/>
      <c r="BZ216" s="882"/>
      <c r="CA216" s="882"/>
      <c r="CB216" s="883">
        <v>7</v>
      </c>
      <c r="CC216" s="882"/>
      <c r="CD216" s="882"/>
      <c r="CE216" s="879"/>
      <c r="CF216" s="879"/>
      <c r="CG216" s="884">
        <v>7</v>
      </c>
      <c r="CH216" s="161"/>
      <c r="CJ216" s="885"/>
      <c r="CK216" s="885"/>
      <c r="CL216" s="885"/>
      <c r="CM216" s="886" t="s">
        <v>1293</v>
      </c>
      <c r="CN216" s="887"/>
      <c r="CO216" s="887"/>
      <c r="CP216" s="887"/>
      <c r="CQ216" s="887"/>
      <c r="CR216" s="887"/>
      <c r="CS216" s="888">
        <v>0</v>
      </c>
      <c r="CT216" s="888">
        <v>3</v>
      </c>
      <c r="CU216" s="888">
        <v>1</v>
      </c>
      <c r="CV216" s="888">
        <v>1</v>
      </c>
      <c r="CW216" s="890">
        <v>0</v>
      </c>
      <c r="CX216" s="889"/>
      <c r="CY216" s="890">
        <v>5</v>
      </c>
      <c r="CZ216" s="891"/>
      <c r="DB216" s="892"/>
      <c r="DD216" s="892"/>
      <c r="DE216" s="893" t="s">
        <v>1398</v>
      </c>
      <c r="DF216" s="894"/>
      <c r="DG216" s="895">
        <v>0</v>
      </c>
      <c r="DH216" s="895">
        <v>3</v>
      </c>
      <c r="DI216" s="895">
        <v>2</v>
      </c>
      <c r="DJ216" s="895">
        <v>0</v>
      </c>
      <c r="DK216" s="895">
        <v>5</v>
      </c>
      <c r="DL216" s="895">
        <v>5</v>
      </c>
      <c r="DM216" s="895">
        <v>1</v>
      </c>
      <c r="DN216" s="894"/>
      <c r="DO216" s="894"/>
      <c r="DP216" s="895">
        <v>16</v>
      </c>
      <c r="DQ216" s="792"/>
      <c r="DS216" s="121"/>
      <c r="DT216" s="121"/>
      <c r="DU216" s="121"/>
      <c r="DV216" s="74" t="s">
        <v>1398</v>
      </c>
      <c r="DW216" s="121"/>
      <c r="DX216" s="121"/>
      <c r="DY216" s="121"/>
      <c r="DZ216" s="121"/>
      <c r="EA216" s="121"/>
      <c r="EB216" s="121">
        <v>0</v>
      </c>
      <c r="EC216" s="121">
        <v>1</v>
      </c>
      <c r="ED216" s="121">
        <v>0</v>
      </c>
      <c r="EE216" s="121">
        <v>0</v>
      </c>
      <c r="EF216" s="121"/>
      <c r="EG216" s="121">
        <v>1</v>
      </c>
      <c r="EH216" s="74"/>
      <c r="EI216" s="74"/>
      <c r="EJ216" s="793"/>
      <c r="EK216" s="793"/>
      <c r="EL216" s="793"/>
      <c r="EM216" s="793" t="s">
        <v>1292</v>
      </c>
      <c r="EN216" s="793">
        <v>0</v>
      </c>
      <c r="EO216" s="793">
        <v>0</v>
      </c>
      <c r="EP216" s="793">
        <v>0</v>
      </c>
      <c r="EQ216" s="793">
        <v>0</v>
      </c>
      <c r="ER216" s="793">
        <v>0</v>
      </c>
      <c r="ES216" s="793">
        <v>0</v>
      </c>
      <c r="ET216" s="793">
        <v>0</v>
      </c>
      <c r="EU216" s="793">
        <v>18</v>
      </c>
      <c r="EV216" s="793">
        <v>60</v>
      </c>
      <c r="EW216" s="793">
        <v>0</v>
      </c>
      <c r="EX216" s="793">
        <v>0</v>
      </c>
      <c r="EY216" s="794">
        <v>78</v>
      </c>
      <c r="EZ216" s="793"/>
      <c r="FA216" s="795"/>
    </row>
    <row r="217" spans="1:157">
      <c r="A217" s="73"/>
      <c r="B217" s="73"/>
      <c r="C217" s="73"/>
      <c r="D217" s="73" t="s">
        <v>1292</v>
      </c>
      <c r="E217" s="3261"/>
      <c r="F217" s="3261"/>
      <c r="G217" s="3261">
        <v>0</v>
      </c>
      <c r="H217" s="3261"/>
      <c r="I217" s="3261"/>
      <c r="J217" s="3261">
        <v>0</v>
      </c>
      <c r="K217" s="3261">
        <v>2</v>
      </c>
      <c r="L217" s="3261">
        <v>1</v>
      </c>
      <c r="M217" s="161"/>
      <c r="N217" s="161"/>
      <c r="O217" s="161">
        <v>3</v>
      </c>
      <c r="P217" s="73"/>
      <c r="R217" s="74"/>
      <c r="S217" s="74"/>
      <c r="T217" s="74"/>
      <c r="U217" s="761" t="s">
        <v>15</v>
      </c>
      <c r="V217" s="3230"/>
      <c r="W217" s="3230"/>
      <c r="X217" s="3230"/>
      <c r="Y217" s="3230">
        <v>1</v>
      </c>
      <c r="Z217" s="3230">
        <v>1</v>
      </c>
      <c r="AA217" s="3230"/>
      <c r="AB217" s="3230">
        <v>34</v>
      </c>
      <c r="AC217" s="3230">
        <v>2</v>
      </c>
      <c r="AD217" s="3230"/>
      <c r="AE217" s="729"/>
      <c r="AF217" s="729"/>
      <c r="AG217" s="729">
        <v>38</v>
      </c>
      <c r="AH217" s="4681">
        <f>+(AG214+AG215+AG216)/AG217</f>
        <v>0.57894736842105265</v>
      </c>
      <c r="AJ217" s="161"/>
      <c r="AK217" s="161"/>
      <c r="AL217" s="73"/>
      <c r="AM217" s="73" t="s">
        <v>1398</v>
      </c>
      <c r="AN217" s="2600"/>
      <c r="AO217" s="2600"/>
      <c r="AP217" s="2600"/>
      <c r="AQ217" s="2600">
        <v>0</v>
      </c>
      <c r="AR217" s="2600"/>
      <c r="AS217" s="2600"/>
      <c r="AT217" s="2600">
        <v>1</v>
      </c>
      <c r="AU217" s="2600"/>
      <c r="AV217" s="2600"/>
      <c r="AW217" s="161"/>
      <c r="AX217" s="161"/>
      <c r="AY217" s="161">
        <v>1</v>
      </c>
      <c r="AZ217" s="161"/>
      <c r="BB217" s="2191"/>
      <c r="BC217" s="2191"/>
      <c r="BD217" s="2192"/>
      <c r="BE217" s="2193" t="s">
        <v>1292</v>
      </c>
      <c r="BF217" s="2195">
        <v>0</v>
      </c>
      <c r="BG217" s="2195">
        <v>0</v>
      </c>
      <c r="BH217" s="2194"/>
      <c r="BI217" s="2194"/>
      <c r="BJ217" s="2195">
        <v>0</v>
      </c>
      <c r="BK217" s="2195">
        <v>1</v>
      </c>
      <c r="BL217" s="2194"/>
      <c r="BM217" s="2194"/>
      <c r="BN217" s="963"/>
      <c r="BO217" s="963"/>
      <c r="BP217" s="964">
        <v>1</v>
      </c>
      <c r="BQ217" s="73"/>
      <c r="BS217" s="879"/>
      <c r="BT217" s="879"/>
      <c r="BU217" s="880"/>
      <c r="BV217" s="881" t="s">
        <v>1398</v>
      </c>
      <c r="BW217" s="882"/>
      <c r="BX217" s="882"/>
      <c r="BY217" s="882"/>
      <c r="BZ217" s="882"/>
      <c r="CA217" s="882"/>
      <c r="CB217" s="883">
        <v>1</v>
      </c>
      <c r="CC217" s="882"/>
      <c r="CD217" s="882"/>
      <c r="CE217" s="879"/>
      <c r="CF217" s="879"/>
      <c r="CG217" s="884">
        <v>1</v>
      </c>
      <c r="CH217" s="161"/>
      <c r="CJ217" s="885"/>
      <c r="CK217" s="885"/>
      <c r="CL217" s="885"/>
      <c r="CM217" s="886" t="s">
        <v>1398</v>
      </c>
      <c r="CN217" s="887"/>
      <c r="CO217" s="887"/>
      <c r="CP217" s="887"/>
      <c r="CQ217" s="887"/>
      <c r="CR217" s="887"/>
      <c r="CS217" s="888">
        <v>0</v>
      </c>
      <c r="CT217" s="888">
        <v>0</v>
      </c>
      <c r="CU217" s="888">
        <v>1</v>
      </c>
      <c r="CV217" s="888">
        <v>1</v>
      </c>
      <c r="CW217" s="890">
        <v>0</v>
      </c>
      <c r="CX217" s="889"/>
      <c r="CY217" s="890">
        <v>2</v>
      </c>
      <c r="CZ217" s="891"/>
      <c r="DB217" s="892"/>
      <c r="DD217" s="892"/>
      <c r="DE217" s="902" t="s">
        <v>573</v>
      </c>
      <c r="DF217" s="903"/>
      <c r="DG217" s="904">
        <v>1</v>
      </c>
      <c r="DH217" s="904">
        <v>13</v>
      </c>
      <c r="DI217" s="904">
        <v>3</v>
      </c>
      <c r="DJ217" s="904">
        <v>2</v>
      </c>
      <c r="DK217" s="904">
        <v>24</v>
      </c>
      <c r="DL217" s="904">
        <v>51</v>
      </c>
      <c r="DM217" s="904">
        <v>37</v>
      </c>
      <c r="DN217" s="903"/>
      <c r="DO217" s="903"/>
      <c r="DP217" s="904">
        <v>131</v>
      </c>
      <c r="DQ217" s="905">
        <f>+(DP216+DP215+DP212)/DP217</f>
        <v>0.47328244274809161</v>
      </c>
      <c r="DS217" s="121"/>
      <c r="DT217" s="121"/>
      <c r="DU217" s="121"/>
      <c r="DV217" s="761" t="s">
        <v>15</v>
      </c>
      <c r="DW217" s="729"/>
      <c r="DX217" s="729"/>
      <c r="DY217" s="729"/>
      <c r="DZ217" s="729"/>
      <c r="EA217" s="729"/>
      <c r="EB217" s="729">
        <v>2</v>
      </c>
      <c r="EC217" s="729">
        <v>15</v>
      </c>
      <c r="ED217" s="729">
        <v>12</v>
      </c>
      <c r="EE217" s="729">
        <v>1</v>
      </c>
      <c r="EF217" s="729"/>
      <c r="EG217" s="729">
        <v>30</v>
      </c>
      <c r="EH217" s="813">
        <f>+(EG213+EG215+EG216)/EG217</f>
        <v>0.43333333333333335</v>
      </c>
      <c r="EI217" s="74"/>
      <c r="EJ217" s="793"/>
      <c r="EK217" s="793"/>
      <c r="EL217" s="793"/>
      <c r="EM217" s="793" t="s">
        <v>1398</v>
      </c>
      <c r="EN217" s="793">
        <v>0</v>
      </c>
      <c r="EO217" s="793">
        <v>0</v>
      </c>
      <c r="EP217" s="793">
        <v>0</v>
      </c>
      <c r="EQ217" s="793">
        <v>3</v>
      </c>
      <c r="ER217" s="793">
        <v>0</v>
      </c>
      <c r="ES217" s="793">
        <v>0</v>
      </c>
      <c r="ET217" s="793">
        <v>22</v>
      </c>
      <c r="EU217" s="793">
        <v>6</v>
      </c>
      <c r="EV217" s="793">
        <v>0</v>
      </c>
      <c r="EW217" s="793">
        <v>0</v>
      </c>
      <c r="EX217" s="793">
        <v>0</v>
      </c>
      <c r="EY217" s="794">
        <v>31</v>
      </c>
      <c r="EZ217" s="793"/>
      <c r="FA217" s="795"/>
    </row>
    <row r="218" spans="1:157">
      <c r="A218" s="73"/>
      <c r="B218" s="73"/>
      <c r="C218" s="73"/>
      <c r="D218" s="73" t="s">
        <v>1293</v>
      </c>
      <c r="E218" s="3261"/>
      <c r="F218" s="3261"/>
      <c r="G218" s="3261">
        <v>0</v>
      </c>
      <c r="H218" s="3261"/>
      <c r="I218" s="3261"/>
      <c r="J218" s="3261">
        <v>2</v>
      </c>
      <c r="K218" s="3261">
        <v>0</v>
      </c>
      <c r="L218" s="3261">
        <v>0</v>
      </c>
      <c r="M218" s="161"/>
      <c r="N218" s="161"/>
      <c r="O218" s="161">
        <v>2</v>
      </c>
      <c r="P218" s="73"/>
      <c r="R218" s="74"/>
      <c r="S218" s="74" t="s">
        <v>41</v>
      </c>
      <c r="T218" s="74" t="s">
        <v>139</v>
      </c>
      <c r="U218" s="74" t="s">
        <v>1288</v>
      </c>
      <c r="V218" s="3229"/>
      <c r="W218" s="3229"/>
      <c r="X218" s="3229"/>
      <c r="Y218" s="3229"/>
      <c r="Z218" s="3229"/>
      <c r="AA218" s="3229"/>
      <c r="AB218" s="3229"/>
      <c r="AC218" s="3229">
        <v>1</v>
      </c>
      <c r="AD218" s="3229"/>
      <c r="AE218" s="121"/>
      <c r="AF218" s="121"/>
      <c r="AG218" s="121">
        <v>1</v>
      </c>
      <c r="AJ218" s="161"/>
      <c r="AK218" s="161"/>
      <c r="AL218" s="73"/>
      <c r="AM218" s="738" t="s">
        <v>15</v>
      </c>
      <c r="AN218" s="2601"/>
      <c r="AO218" s="2601"/>
      <c r="AP218" s="2601"/>
      <c r="AQ218" s="2601">
        <v>1</v>
      </c>
      <c r="AR218" s="2601"/>
      <c r="AS218" s="2601"/>
      <c r="AT218" s="2601">
        <v>16</v>
      </c>
      <c r="AU218" s="2601"/>
      <c r="AV218" s="2601"/>
      <c r="AW218" s="151"/>
      <c r="AX218" s="151"/>
      <c r="AY218" s="151">
        <v>17</v>
      </c>
      <c r="AZ218" s="912">
        <f>+(AY215+AY216+AY217)/AY218</f>
        <v>0.29411764705882354</v>
      </c>
      <c r="BB218" s="2191"/>
      <c r="BC218" s="2191"/>
      <c r="BD218" s="2192"/>
      <c r="BE218" s="2193" t="s">
        <v>1293</v>
      </c>
      <c r="BF218" s="2195">
        <v>0</v>
      </c>
      <c r="BG218" s="2195">
        <v>0</v>
      </c>
      <c r="BH218" s="2194"/>
      <c r="BI218" s="2194"/>
      <c r="BJ218" s="2195">
        <v>1</v>
      </c>
      <c r="BK218" s="2195">
        <v>0</v>
      </c>
      <c r="BL218" s="2194"/>
      <c r="BM218" s="2194"/>
      <c r="BN218" s="963"/>
      <c r="BO218" s="963"/>
      <c r="BP218" s="964">
        <v>1</v>
      </c>
      <c r="BQ218" s="73"/>
      <c r="BS218" s="879"/>
      <c r="BT218" s="879"/>
      <c r="BU218" s="880"/>
      <c r="BV218" s="907" t="s">
        <v>15</v>
      </c>
      <c r="BW218" s="908"/>
      <c r="BX218" s="908"/>
      <c r="BY218" s="908"/>
      <c r="BZ218" s="908"/>
      <c r="CA218" s="908"/>
      <c r="CB218" s="909">
        <v>23</v>
      </c>
      <c r="CC218" s="908"/>
      <c r="CD218" s="908"/>
      <c r="CE218" s="910"/>
      <c r="CF218" s="910"/>
      <c r="CG218" s="911">
        <v>23</v>
      </c>
      <c r="CH218" s="912">
        <f>+(CG215+CG216+CG217)/CG218</f>
        <v>0.39130434782608697</v>
      </c>
      <c r="CJ218" s="885"/>
      <c r="CK218" s="885"/>
      <c r="CL218" s="885"/>
      <c r="CM218" s="897" t="s">
        <v>15</v>
      </c>
      <c r="CN218" s="898"/>
      <c r="CO218" s="898"/>
      <c r="CP218" s="898"/>
      <c r="CQ218" s="898"/>
      <c r="CR218" s="898"/>
      <c r="CS218" s="899">
        <v>1</v>
      </c>
      <c r="CT218" s="899">
        <v>6</v>
      </c>
      <c r="CU218" s="899">
        <v>5</v>
      </c>
      <c r="CV218" s="899">
        <v>2</v>
      </c>
      <c r="CW218" s="901">
        <v>1</v>
      </c>
      <c r="CX218" s="900"/>
      <c r="CY218" s="901">
        <v>15</v>
      </c>
      <c r="CZ218" s="891">
        <f>+(CY217+CY216+CY215)/CY218</f>
        <v>0.6</v>
      </c>
      <c r="DB218" s="892"/>
      <c r="DC218" s="892"/>
      <c r="DD218" s="892" t="s">
        <v>575</v>
      </c>
      <c r="DE218" s="893" t="s">
        <v>1283</v>
      </c>
      <c r="DF218" s="894"/>
      <c r="DG218" s="894"/>
      <c r="DH218" s="894"/>
      <c r="DI218" s="894"/>
      <c r="DJ218" s="894"/>
      <c r="DK218" s="895">
        <v>0</v>
      </c>
      <c r="DL218" s="895">
        <v>0</v>
      </c>
      <c r="DM218" s="895">
        <v>1</v>
      </c>
      <c r="DN218" s="894"/>
      <c r="DO218" s="894"/>
      <c r="DP218" s="895">
        <v>1</v>
      </c>
      <c r="DQ218" s="792"/>
      <c r="DS218" s="121"/>
      <c r="DT218" s="121"/>
      <c r="DU218" s="121" t="s">
        <v>41</v>
      </c>
      <c r="DV218" s="74" t="s">
        <v>1283</v>
      </c>
      <c r="DW218" s="121"/>
      <c r="DX218" s="121">
        <v>0</v>
      </c>
      <c r="DY218" s="121"/>
      <c r="DZ218" s="121"/>
      <c r="EA218" s="121"/>
      <c r="EB218" s="121">
        <v>0</v>
      </c>
      <c r="EC218" s="121">
        <v>0</v>
      </c>
      <c r="ED218" s="121">
        <v>1</v>
      </c>
      <c r="EE218" s="121"/>
      <c r="EF218" s="121"/>
      <c r="EG218" s="121">
        <v>1</v>
      </c>
      <c r="EH218" s="74"/>
      <c r="EI218" s="74"/>
      <c r="EJ218" s="793"/>
      <c r="EK218" s="793"/>
      <c r="EL218" s="793"/>
      <c r="EM218" s="796" t="s">
        <v>15</v>
      </c>
      <c r="EN218" s="796">
        <v>0</v>
      </c>
      <c r="EO218" s="796">
        <v>1</v>
      </c>
      <c r="EP218" s="796">
        <v>3</v>
      </c>
      <c r="EQ218" s="796">
        <v>17</v>
      </c>
      <c r="ER218" s="796">
        <v>3</v>
      </c>
      <c r="ES218" s="796">
        <v>1</v>
      </c>
      <c r="ET218" s="796">
        <v>37</v>
      </c>
      <c r="EU218" s="796">
        <v>33</v>
      </c>
      <c r="EV218" s="796">
        <v>63</v>
      </c>
      <c r="EW218" s="796">
        <v>0</v>
      </c>
      <c r="EX218" s="796">
        <v>1</v>
      </c>
      <c r="EY218" s="856">
        <v>159</v>
      </c>
      <c r="EZ218" s="797">
        <f>+(EY217+EY214)/EY218</f>
        <v>0.3522012578616352</v>
      </c>
      <c r="FA218" s="795">
        <f>+EY214+EY217</f>
        <v>56</v>
      </c>
    </row>
    <row r="219" spans="1:157">
      <c r="A219" s="73"/>
      <c r="B219" s="73"/>
      <c r="C219" s="73"/>
      <c r="D219" s="73" t="s">
        <v>1398</v>
      </c>
      <c r="E219" s="3261"/>
      <c r="F219" s="3261"/>
      <c r="G219" s="3261">
        <v>0</v>
      </c>
      <c r="H219" s="3261"/>
      <c r="I219" s="3261"/>
      <c r="J219" s="3261">
        <v>1</v>
      </c>
      <c r="K219" s="3261">
        <v>0</v>
      </c>
      <c r="L219" s="3261">
        <v>0</v>
      </c>
      <c r="M219" s="161"/>
      <c r="N219" s="161"/>
      <c r="O219" s="161">
        <v>1</v>
      </c>
      <c r="P219" s="73"/>
      <c r="R219" s="74"/>
      <c r="S219" s="74"/>
      <c r="T219" s="74"/>
      <c r="U219" s="761" t="s">
        <v>15</v>
      </c>
      <c r="V219" s="3230"/>
      <c r="W219" s="3230"/>
      <c r="X219" s="3230"/>
      <c r="Y219" s="3230"/>
      <c r="Z219" s="3230"/>
      <c r="AA219" s="3230"/>
      <c r="AB219" s="3230"/>
      <c r="AC219" s="3230">
        <v>1</v>
      </c>
      <c r="AD219" s="3230"/>
      <c r="AE219" s="729"/>
      <c r="AF219" s="729"/>
      <c r="AG219" s="729">
        <v>1</v>
      </c>
      <c r="AH219" s="4681">
        <f>+AG218/AG219</f>
        <v>1</v>
      </c>
      <c r="AJ219" s="161"/>
      <c r="AK219" s="161"/>
      <c r="AL219" s="73" t="s">
        <v>129</v>
      </c>
      <c r="AM219" s="73" t="s">
        <v>1398</v>
      </c>
      <c r="AN219" s="2600"/>
      <c r="AO219" s="2600"/>
      <c r="AP219" s="2600"/>
      <c r="AQ219" s="2600"/>
      <c r="AR219" s="2600"/>
      <c r="AS219" s="2600"/>
      <c r="AT219" s="2600">
        <v>1</v>
      </c>
      <c r="AU219" s="2600"/>
      <c r="AV219" s="2600"/>
      <c r="AW219" s="161"/>
      <c r="AX219" s="161"/>
      <c r="AY219" s="161">
        <v>1</v>
      </c>
      <c r="AZ219" s="161"/>
      <c r="BB219" s="2191"/>
      <c r="BC219" s="2191"/>
      <c r="BD219" s="2192"/>
      <c r="BE219" s="2193" t="s">
        <v>1398</v>
      </c>
      <c r="BF219" s="2195">
        <v>0</v>
      </c>
      <c r="BG219" s="2195">
        <v>0</v>
      </c>
      <c r="BH219" s="2194"/>
      <c r="BI219" s="2194"/>
      <c r="BJ219" s="2195">
        <v>2</v>
      </c>
      <c r="BK219" s="2195">
        <v>3</v>
      </c>
      <c r="BL219" s="2194"/>
      <c r="BM219" s="2194"/>
      <c r="BN219" s="963"/>
      <c r="BO219" s="963"/>
      <c r="BP219" s="964">
        <v>5</v>
      </c>
      <c r="BQ219" s="73"/>
      <c r="BS219" s="879"/>
      <c r="BT219" s="879"/>
      <c r="BU219" s="880" t="s">
        <v>573</v>
      </c>
      <c r="BV219" s="881" t="s">
        <v>1283</v>
      </c>
      <c r="BW219" s="883">
        <v>0</v>
      </c>
      <c r="BX219" s="883">
        <v>0</v>
      </c>
      <c r="BY219" s="883">
        <v>1</v>
      </c>
      <c r="BZ219" s="883">
        <v>1</v>
      </c>
      <c r="CA219" s="883">
        <v>0</v>
      </c>
      <c r="CB219" s="883">
        <v>0</v>
      </c>
      <c r="CC219" s="883">
        <v>0</v>
      </c>
      <c r="CD219" s="883">
        <v>0</v>
      </c>
      <c r="CE219" s="879"/>
      <c r="CF219" s="879"/>
      <c r="CG219" s="884">
        <v>2</v>
      </c>
      <c r="CH219" s="161"/>
      <c r="CJ219" s="885"/>
      <c r="CK219" s="885"/>
      <c r="CL219" s="885" t="s">
        <v>426</v>
      </c>
      <c r="CM219" s="886" t="s">
        <v>1284</v>
      </c>
      <c r="CN219" s="887"/>
      <c r="CO219" s="887"/>
      <c r="CP219" s="887"/>
      <c r="CQ219" s="887"/>
      <c r="CR219" s="887"/>
      <c r="CS219" s="888">
        <v>0</v>
      </c>
      <c r="CT219" s="888">
        <v>23</v>
      </c>
      <c r="CU219" s="887"/>
      <c r="CV219" s="887"/>
      <c r="CW219" s="889"/>
      <c r="CX219" s="889"/>
      <c r="CY219" s="890">
        <v>23</v>
      </c>
      <c r="CZ219" s="891"/>
      <c r="DB219" s="892"/>
      <c r="DC219" s="892"/>
      <c r="DD219" s="892"/>
      <c r="DE219" s="893" t="s">
        <v>1284</v>
      </c>
      <c r="DF219" s="894"/>
      <c r="DG219" s="894"/>
      <c r="DH219" s="894"/>
      <c r="DI219" s="894"/>
      <c r="DJ219" s="894"/>
      <c r="DK219" s="895">
        <v>1</v>
      </c>
      <c r="DL219" s="895">
        <v>3</v>
      </c>
      <c r="DM219" s="895">
        <v>0</v>
      </c>
      <c r="DN219" s="894"/>
      <c r="DO219" s="894"/>
      <c r="DP219" s="895">
        <v>4</v>
      </c>
      <c r="DQ219" s="792"/>
      <c r="DS219" s="121"/>
      <c r="DT219" s="121"/>
      <c r="DU219" s="121"/>
      <c r="DV219" s="74" t="s">
        <v>1284</v>
      </c>
      <c r="DW219" s="121"/>
      <c r="DX219" s="121">
        <v>2</v>
      </c>
      <c r="DY219" s="121"/>
      <c r="DZ219" s="121"/>
      <c r="EA219" s="121"/>
      <c r="EB219" s="121">
        <v>1</v>
      </c>
      <c r="EC219" s="121">
        <v>4</v>
      </c>
      <c r="ED219" s="121">
        <v>0</v>
      </c>
      <c r="EE219" s="121"/>
      <c r="EF219" s="121"/>
      <c r="EG219" s="121">
        <v>7</v>
      </c>
      <c r="EH219" s="74"/>
      <c r="EI219" s="74"/>
      <c r="EJ219" s="793"/>
      <c r="EK219" s="793"/>
      <c r="EL219" s="793" t="s">
        <v>41</v>
      </c>
      <c r="EM219" s="793" t="s">
        <v>1283</v>
      </c>
      <c r="EN219" s="793">
        <v>0</v>
      </c>
      <c r="EO219" s="793">
        <v>0</v>
      </c>
      <c r="EP219" s="793">
        <v>0</v>
      </c>
      <c r="EQ219" s="793">
        <v>0</v>
      </c>
      <c r="ER219" s="793">
        <v>0</v>
      </c>
      <c r="ES219" s="793">
        <v>0</v>
      </c>
      <c r="ET219" s="793">
        <v>0</v>
      </c>
      <c r="EU219" s="793">
        <v>0</v>
      </c>
      <c r="EV219" s="793">
        <v>2</v>
      </c>
      <c r="EW219" s="793">
        <v>0</v>
      </c>
      <c r="EX219" s="793">
        <v>0</v>
      </c>
      <c r="EY219" s="794">
        <v>2</v>
      </c>
      <c r="EZ219" s="793"/>
      <c r="FA219" s="795"/>
    </row>
    <row r="220" spans="1:157">
      <c r="A220" s="73"/>
      <c r="B220" s="73"/>
      <c r="C220" s="73"/>
      <c r="D220" s="738" t="s">
        <v>15</v>
      </c>
      <c r="E220" s="3262"/>
      <c r="F220" s="3262"/>
      <c r="G220" s="3262">
        <v>1</v>
      </c>
      <c r="H220" s="3262"/>
      <c r="I220" s="3262"/>
      <c r="J220" s="3262">
        <v>13</v>
      </c>
      <c r="K220" s="3262">
        <v>5</v>
      </c>
      <c r="L220" s="3262">
        <v>1</v>
      </c>
      <c r="M220" s="4674"/>
      <c r="N220" s="4674"/>
      <c r="O220" s="4674">
        <v>20</v>
      </c>
      <c r="P220" s="912">
        <f>+(O219+O218+O216)/O220</f>
        <v>0.2</v>
      </c>
      <c r="Q220" s="3197"/>
      <c r="R220" s="74"/>
      <c r="S220" s="74"/>
      <c r="T220" s="74" t="s">
        <v>140</v>
      </c>
      <c r="U220" s="74" t="s">
        <v>1284</v>
      </c>
      <c r="V220" s="3229"/>
      <c r="W220" s="3229"/>
      <c r="X220" s="3229">
        <v>2</v>
      </c>
      <c r="Y220" s="3229"/>
      <c r="Z220" s="3229"/>
      <c r="AA220" s="3229"/>
      <c r="AB220" s="3229">
        <v>8</v>
      </c>
      <c r="AC220" s="3229">
        <v>0</v>
      </c>
      <c r="AD220" s="3229"/>
      <c r="AE220" s="121"/>
      <c r="AF220" s="121"/>
      <c r="AG220" s="121">
        <v>10</v>
      </c>
      <c r="AJ220" s="161"/>
      <c r="AK220" s="161"/>
      <c r="AL220" s="73"/>
      <c r="AM220" s="738" t="s">
        <v>15</v>
      </c>
      <c r="AN220" s="2601"/>
      <c r="AO220" s="2601"/>
      <c r="AP220" s="2601"/>
      <c r="AQ220" s="2601"/>
      <c r="AR220" s="2601"/>
      <c r="AS220" s="2601"/>
      <c r="AT220" s="2601">
        <v>1</v>
      </c>
      <c r="AU220" s="2601"/>
      <c r="AV220" s="2601"/>
      <c r="AW220" s="151"/>
      <c r="AX220" s="151"/>
      <c r="AY220" s="151">
        <v>1</v>
      </c>
      <c r="AZ220" s="912">
        <f>+AY219/AY220</f>
        <v>1</v>
      </c>
      <c r="BB220" s="2191"/>
      <c r="BC220" s="2191"/>
      <c r="BD220" s="2192"/>
      <c r="BE220" s="760" t="s">
        <v>15</v>
      </c>
      <c r="BF220" s="2197">
        <v>3</v>
      </c>
      <c r="BG220" s="2197">
        <v>1</v>
      </c>
      <c r="BH220" s="2196"/>
      <c r="BI220" s="2196"/>
      <c r="BJ220" s="2197">
        <v>6</v>
      </c>
      <c r="BK220" s="2197">
        <v>4</v>
      </c>
      <c r="BL220" s="2196"/>
      <c r="BM220" s="2196"/>
      <c r="BN220" s="972"/>
      <c r="BO220" s="972"/>
      <c r="BP220" s="973">
        <v>14</v>
      </c>
      <c r="BQ220" s="2154">
        <f>+(BP216+BP218+BP219)/BP220</f>
        <v>0.5714285714285714</v>
      </c>
      <c r="BS220" s="879"/>
      <c r="BT220" s="879"/>
      <c r="BU220" s="880"/>
      <c r="BV220" s="881" t="s">
        <v>1284</v>
      </c>
      <c r="BW220" s="883">
        <v>6</v>
      </c>
      <c r="BX220" s="883">
        <v>3</v>
      </c>
      <c r="BY220" s="883">
        <v>20</v>
      </c>
      <c r="BZ220" s="883">
        <v>3</v>
      </c>
      <c r="CA220" s="883">
        <v>2</v>
      </c>
      <c r="CB220" s="883">
        <v>83</v>
      </c>
      <c r="CC220" s="883">
        <v>11</v>
      </c>
      <c r="CD220" s="883">
        <v>0</v>
      </c>
      <c r="CE220" s="879"/>
      <c r="CF220" s="879"/>
      <c r="CG220" s="884">
        <v>128</v>
      </c>
      <c r="CH220" s="161"/>
      <c r="CJ220" s="885"/>
      <c r="CK220" s="885"/>
      <c r="CL220" s="885"/>
      <c r="CM220" s="886" t="s">
        <v>1292</v>
      </c>
      <c r="CN220" s="887"/>
      <c r="CO220" s="887"/>
      <c r="CP220" s="887"/>
      <c r="CQ220" s="887"/>
      <c r="CR220" s="887"/>
      <c r="CS220" s="888">
        <v>1</v>
      </c>
      <c r="CT220" s="888">
        <v>0</v>
      </c>
      <c r="CU220" s="887"/>
      <c r="CV220" s="887"/>
      <c r="CW220" s="889"/>
      <c r="CX220" s="889"/>
      <c r="CY220" s="890">
        <v>1</v>
      </c>
      <c r="CZ220" s="891"/>
      <c r="DB220" s="892"/>
      <c r="DC220" s="892"/>
      <c r="DD220" s="892"/>
      <c r="DE220" s="893" t="s">
        <v>1288</v>
      </c>
      <c r="DF220" s="894"/>
      <c r="DG220" s="894"/>
      <c r="DH220" s="894"/>
      <c r="DI220" s="894"/>
      <c r="DJ220" s="894"/>
      <c r="DK220" s="895">
        <v>1</v>
      </c>
      <c r="DL220" s="895">
        <v>17</v>
      </c>
      <c r="DM220" s="895">
        <v>0</v>
      </c>
      <c r="DN220" s="894"/>
      <c r="DO220" s="894"/>
      <c r="DP220" s="895">
        <v>18</v>
      </c>
      <c r="DQ220" s="792"/>
      <c r="DS220" s="121"/>
      <c r="DT220" s="121"/>
      <c r="DU220" s="121"/>
      <c r="DV220" s="74" t="s">
        <v>1288</v>
      </c>
      <c r="DW220" s="121"/>
      <c r="DX220" s="121">
        <v>0</v>
      </c>
      <c r="DY220" s="121"/>
      <c r="DZ220" s="121"/>
      <c r="EA220" s="121"/>
      <c r="EB220" s="121">
        <v>2</v>
      </c>
      <c r="EC220" s="121">
        <v>14</v>
      </c>
      <c r="ED220" s="121">
        <v>0</v>
      </c>
      <c r="EE220" s="121"/>
      <c r="EF220" s="121"/>
      <c r="EG220" s="121">
        <v>16</v>
      </c>
      <c r="EH220" s="74"/>
      <c r="EI220" s="74"/>
      <c r="EJ220" s="793"/>
      <c r="EK220" s="793"/>
      <c r="EL220" s="793"/>
      <c r="EM220" s="793" t="s">
        <v>1288</v>
      </c>
      <c r="EN220" s="793">
        <v>0</v>
      </c>
      <c r="EO220" s="793">
        <v>0</v>
      </c>
      <c r="EP220" s="793">
        <v>0</v>
      </c>
      <c r="EQ220" s="793">
        <v>0</v>
      </c>
      <c r="ER220" s="793">
        <v>0</v>
      </c>
      <c r="ES220" s="793">
        <v>0</v>
      </c>
      <c r="ET220" s="793">
        <v>6</v>
      </c>
      <c r="EU220" s="793">
        <v>6</v>
      </c>
      <c r="EV220" s="793">
        <v>0</v>
      </c>
      <c r="EW220" s="793">
        <v>0</v>
      </c>
      <c r="EX220" s="793">
        <v>0</v>
      </c>
      <c r="EY220" s="794">
        <v>12</v>
      </c>
      <c r="EZ220" s="793"/>
      <c r="FA220" s="795"/>
    </row>
    <row r="221" spans="1:157">
      <c r="A221" s="73"/>
      <c r="B221" s="73"/>
      <c r="C221" s="73" t="s">
        <v>138</v>
      </c>
      <c r="D221" s="73" t="s">
        <v>1284</v>
      </c>
      <c r="E221" s="3261"/>
      <c r="F221" s="3261"/>
      <c r="G221" s="3261"/>
      <c r="H221" s="3261"/>
      <c r="I221" s="3261"/>
      <c r="J221" s="3261">
        <v>1</v>
      </c>
      <c r="K221" s="3261">
        <v>5</v>
      </c>
      <c r="L221" s="3261">
        <v>0</v>
      </c>
      <c r="M221" s="161"/>
      <c r="N221" s="161"/>
      <c r="O221" s="161">
        <v>6</v>
      </c>
      <c r="P221" s="73"/>
      <c r="R221" s="74"/>
      <c r="S221" s="74"/>
      <c r="T221" s="74"/>
      <c r="U221" s="74" t="s">
        <v>1288</v>
      </c>
      <c r="V221" s="3229"/>
      <c r="W221" s="3229"/>
      <c r="X221" s="3229">
        <v>0</v>
      </c>
      <c r="Y221" s="3229"/>
      <c r="Z221" s="3229"/>
      <c r="AA221" s="3229"/>
      <c r="AB221" s="3229">
        <v>1</v>
      </c>
      <c r="AC221" s="3229">
        <v>0</v>
      </c>
      <c r="AD221" s="3229"/>
      <c r="AE221" s="121"/>
      <c r="AF221" s="121"/>
      <c r="AG221" s="121">
        <v>1</v>
      </c>
      <c r="AJ221" s="161"/>
      <c r="AK221" s="161"/>
      <c r="AL221" s="73" t="s">
        <v>112</v>
      </c>
      <c r="AM221" s="73" t="s">
        <v>1284</v>
      </c>
      <c r="AN221" s="2600"/>
      <c r="AO221" s="2600"/>
      <c r="AP221" s="2600"/>
      <c r="AQ221" s="2600">
        <v>12</v>
      </c>
      <c r="AR221" s="2600">
        <v>0</v>
      </c>
      <c r="AS221" s="2600"/>
      <c r="AT221" s="2600"/>
      <c r="AU221" s="2600"/>
      <c r="AV221" s="2600"/>
      <c r="AW221" s="161"/>
      <c r="AX221" s="161"/>
      <c r="AY221" s="161">
        <v>12</v>
      </c>
      <c r="AZ221" s="161"/>
      <c r="BB221" s="2191"/>
      <c r="BC221" s="2191"/>
      <c r="BD221" s="2192" t="s">
        <v>142</v>
      </c>
      <c r="BE221" s="2193" t="s">
        <v>1284</v>
      </c>
      <c r="BF221" s="2194"/>
      <c r="BG221" s="2194"/>
      <c r="BH221" s="2194"/>
      <c r="BI221" s="2194"/>
      <c r="BJ221" s="2194"/>
      <c r="BK221" s="2195">
        <v>1</v>
      </c>
      <c r="BL221" s="2195">
        <v>1</v>
      </c>
      <c r="BM221" s="2195">
        <v>3</v>
      </c>
      <c r="BN221" s="964">
        <v>0</v>
      </c>
      <c r="BO221" s="963"/>
      <c r="BP221" s="964">
        <v>5</v>
      </c>
      <c r="BQ221" s="73"/>
      <c r="BS221" s="879"/>
      <c r="BT221" s="879"/>
      <c r="BU221" s="880"/>
      <c r="BV221" s="881" t="s">
        <v>1286</v>
      </c>
      <c r="BW221" s="883">
        <v>3</v>
      </c>
      <c r="BX221" s="883">
        <v>0</v>
      </c>
      <c r="BY221" s="883">
        <v>0</v>
      </c>
      <c r="BZ221" s="883">
        <v>0</v>
      </c>
      <c r="CA221" s="883">
        <v>0</v>
      </c>
      <c r="CB221" s="883">
        <v>0</v>
      </c>
      <c r="CC221" s="883">
        <v>0</v>
      </c>
      <c r="CD221" s="883">
        <v>0</v>
      </c>
      <c r="CE221" s="879"/>
      <c r="CF221" s="879"/>
      <c r="CG221" s="884">
        <v>3</v>
      </c>
      <c r="CH221" s="161"/>
      <c r="CJ221" s="885"/>
      <c r="CK221" s="885"/>
      <c r="CL221" s="885"/>
      <c r="CM221" s="897" t="s">
        <v>15</v>
      </c>
      <c r="CN221" s="898"/>
      <c r="CO221" s="898"/>
      <c r="CP221" s="898"/>
      <c r="CQ221" s="898"/>
      <c r="CR221" s="898"/>
      <c r="CS221" s="899">
        <v>1</v>
      </c>
      <c r="CT221" s="899">
        <v>23</v>
      </c>
      <c r="CU221" s="898"/>
      <c r="CV221" s="898"/>
      <c r="CW221" s="900"/>
      <c r="CX221" s="900"/>
      <c r="CY221" s="901">
        <v>24</v>
      </c>
      <c r="CZ221" s="891">
        <v>0</v>
      </c>
      <c r="DB221" s="892"/>
      <c r="DC221" s="892"/>
      <c r="DD221" s="892"/>
      <c r="DE221" s="893" t="s">
        <v>1292</v>
      </c>
      <c r="DF221" s="894"/>
      <c r="DG221" s="894"/>
      <c r="DH221" s="894"/>
      <c r="DI221" s="894"/>
      <c r="DJ221" s="894"/>
      <c r="DK221" s="895">
        <v>0</v>
      </c>
      <c r="DL221" s="895">
        <v>0</v>
      </c>
      <c r="DM221" s="895">
        <v>18</v>
      </c>
      <c r="DN221" s="894"/>
      <c r="DO221" s="894"/>
      <c r="DP221" s="895">
        <v>18</v>
      </c>
      <c r="DQ221" s="792"/>
      <c r="DS221" s="121"/>
      <c r="DT221" s="121"/>
      <c r="DU221" s="121"/>
      <c r="DV221" s="74" t="s">
        <v>1292</v>
      </c>
      <c r="DW221" s="121"/>
      <c r="DX221" s="121">
        <v>0</v>
      </c>
      <c r="DY221" s="121"/>
      <c r="DZ221" s="121"/>
      <c r="EA221" s="121"/>
      <c r="EB221" s="121">
        <v>0</v>
      </c>
      <c r="EC221" s="121">
        <v>1</v>
      </c>
      <c r="ED221" s="121">
        <v>18</v>
      </c>
      <c r="EE221" s="121"/>
      <c r="EF221" s="121"/>
      <c r="EG221" s="121">
        <v>19</v>
      </c>
      <c r="EH221" s="74"/>
      <c r="EI221" s="74"/>
      <c r="EJ221" s="793"/>
      <c r="EK221" s="793"/>
      <c r="EL221" s="793"/>
      <c r="EM221" s="793" t="s">
        <v>1292</v>
      </c>
      <c r="EN221" s="793">
        <v>0</v>
      </c>
      <c r="EO221" s="793">
        <v>0</v>
      </c>
      <c r="EP221" s="793">
        <v>0</v>
      </c>
      <c r="EQ221" s="793">
        <v>0</v>
      </c>
      <c r="ER221" s="793">
        <v>0</v>
      </c>
      <c r="ES221" s="793">
        <v>0</v>
      </c>
      <c r="ET221" s="793">
        <v>0</v>
      </c>
      <c r="EU221" s="793">
        <v>2</v>
      </c>
      <c r="EV221" s="793">
        <v>32</v>
      </c>
      <c r="EW221" s="793">
        <v>0</v>
      </c>
      <c r="EX221" s="793">
        <v>0</v>
      </c>
      <c r="EY221" s="794">
        <v>34</v>
      </c>
      <c r="EZ221" s="793"/>
      <c r="FA221" s="795"/>
    </row>
    <row r="222" spans="1:157">
      <c r="A222" s="73"/>
      <c r="B222" s="73"/>
      <c r="C222" s="73"/>
      <c r="D222" s="73" t="s">
        <v>1288</v>
      </c>
      <c r="E222" s="3261"/>
      <c r="F222" s="3261"/>
      <c r="G222" s="3261"/>
      <c r="H222" s="3261"/>
      <c r="I222" s="3261"/>
      <c r="J222" s="3261">
        <v>1</v>
      </c>
      <c r="K222" s="3261">
        <v>2</v>
      </c>
      <c r="L222" s="3261">
        <v>0</v>
      </c>
      <c r="M222" s="161"/>
      <c r="N222" s="161"/>
      <c r="O222" s="161">
        <v>3</v>
      </c>
      <c r="P222" s="73"/>
      <c r="R222" s="74"/>
      <c r="S222" s="74"/>
      <c r="T222" s="74"/>
      <c r="U222" s="74" t="s">
        <v>1292</v>
      </c>
      <c r="V222" s="3229"/>
      <c r="W222" s="3229"/>
      <c r="X222" s="3229">
        <v>0</v>
      </c>
      <c r="Y222" s="3229"/>
      <c r="Z222" s="3229"/>
      <c r="AA222" s="3229"/>
      <c r="AB222" s="3229">
        <v>0</v>
      </c>
      <c r="AC222" s="3229">
        <v>1</v>
      </c>
      <c r="AD222" s="3229"/>
      <c r="AE222" s="121"/>
      <c r="AF222" s="121"/>
      <c r="AG222" s="121">
        <v>1</v>
      </c>
      <c r="AJ222" s="161"/>
      <c r="AK222" s="161"/>
      <c r="AL222" s="73"/>
      <c r="AM222" s="73" t="s">
        <v>1288</v>
      </c>
      <c r="AN222" s="2600"/>
      <c r="AO222" s="2600"/>
      <c r="AP222" s="2600"/>
      <c r="AQ222" s="2600">
        <v>3</v>
      </c>
      <c r="AR222" s="2600">
        <v>3</v>
      </c>
      <c r="AS222" s="2600"/>
      <c r="AT222" s="2600"/>
      <c r="AU222" s="2600"/>
      <c r="AV222" s="2600"/>
      <c r="AW222" s="161"/>
      <c r="AX222" s="161"/>
      <c r="AY222" s="161">
        <v>6</v>
      </c>
      <c r="AZ222" s="161"/>
      <c r="BB222" s="2191"/>
      <c r="BC222" s="2191"/>
      <c r="BD222" s="2192"/>
      <c r="BE222" s="2193" t="s">
        <v>1288</v>
      </c>
      <c r="BF222" s="2194"/>
      <c r="BG222" s="2194"/>
      <c r="BH222" s="2194"/>
      <c r="BI222" s="2194"/>
      <c r="BJ222" s="2194"/>
      <c r="BK222" s="2195">
        <v>0</v>
      </c>
      <c r="BL222" s="2195">
        <v>2</v>
      </c>
      <c r="BM222" s="2195">
        <v>0</v>
      </c>
      <c r="BN222" s="964">
        <v>0</v>
      </c>
      <c r="BO222" s="963"/>
      <c r="BP222" s="964">
        <v>2</v>
      </c>
      <c r="BQ222" s="73"/>
      <c r="BS222" s="879"/>
      <c r="BT222" s="879"/>
      <c r="BU222" s="880"/>
      <c r="BV222" s="881" t="s">
        <v>1288</v>
      </c>
      <c r="BW222" s="883">
        <v>0</v>
      </c>
      <c r="BX222" s="883">
        <v>0</v>
      </c>
      <c r="BY222" s="883">
        <v>1</v>
      </c>
      <c r="BZ222" s="883">
        <v>0</v>
      </c>
      <c r="CA222" s="883">
        <v>0</v>
      </c>
      <c r="CB222" s="883">
        <v>4</v>
      </c>
      <c r="CC222" s="883">
        <v>1</v>
      </c>
      <c r="CD222" s="883">
        <v>0</v>
      </c>
      <c r="CE222" s="879"/>
      <c r="CF222" s="879"/>
      <c r="CG222" s="884">
        <v>6</v>
      </c>
      <c r="CH222" s="161"/>
      <c r="CJ222" s="885"/>
      <c r="CK222" s="885"/>
      <c r="CL222" s="897" t="s">
        <v>888</v>
      </c>
      <c r="CM222" s="886" t="s">
        <v>1283</v>
      </c>
      <c r="CN222" s="887"/>
      <c r="CO222" s="888">
        <v>0</v>
      </c>
      <c r="CP222" s="887"/>
      <c r="CQ222" s="887"/>
      <c r="CR222" s="887"/>
      <c r="CS222" s="888">
        <v>0</v>
      </c>
      <c r="CT222" s="888">
        <v>0</v>
      </c>
      <c r="CU222" s="888">
        <v>0</v>
      </c>
      <c r="CV222" s="888">
        <v>0</v>
      </c>
      <c r="CW222" s="890">
        <v>1</v>
      </c>
      <c r="CX222" s="889"/>
      <c r="CY222" s="890">
        <v>1</v>
      </c>
      <c r="CZ222" s="891"/>
      <c r="DB222" s="892"/>
      <c r="DC222" s="892"/>
      <c r="DD222" s="892"/>
      <c r="DE222" s="893" t="s">
        <v>1398</v>
      </c>
      <c r="DF222" s="894"/>
      <c r="DG222" s="894"/>
      <c r="DH222" s="894"/>
      <c r="DI222" s="894"/>
      <c r="DJ222" s="894"/>
      <c r="DK222" s="895">
        <v>0</v>
      </c>
      <c r="DL222" s="895">
        <v>3</v>
      </c>
      <c r="DM222" s="895">
        <v>0</v>
      </c>
      <c r="DN222" s="894"/>
      <c r="DO222" s="894"/>
      <c r="DP222" s="895">
        <v>3</v>
      </c>
      <c r="DQ222" s="792"/>
      <c r="DS222" s="121"/>
      <c r="DT222" s="121"/>
      <c r="DU222" s="121"/>
      <c r="DV222" s="74" t="s">
        <v>1398</v>
      </c>
      <c r="DW222" s="121"/>
      <c r="DX222" s="121">
        <v>0</v>
      </c>
      <c r="DY222" s="121"/>
      <c r="DZ222" s="121"/>
      <c r="EA222" s="121"/>
      <c r="EB222" s="121">
        <v>8</v>
      </c>
      <c r="EC222" s="121">
        <v>5</v>
      </c>
      <c r="ED222" s="121">
        <v>0</v>
      </c>
      <c r="EE222" s="121"/>
      <c r="EF222" s="121"/>
      <c r="EG222" s="121">
        <v>13</v>
      </c>
      <c r="EH222" s="74"/>
      <c r="EI222" s="74"/>
      <c r="EJ222" s="793"/>
      <c r="EK222" s="793"/>
      <c r="EL222" s="793"/>
      <c r="EM222" s="793" t="s">
        <v>1398</v>
      </c>
      <c r="EN222" s="793">
        <v>0</v>
      </c>
      <c r="EO222" s="793">
        <v>0</v>
      </c>
      <c r="EP222" s="793">
        <v>0</v>
      </c>
      <c r="EQ222" s="793">
        <v>0</v>
      </c>
      <c r="ER222" s="793">
        <v>0</v>
      </c>
      <c r="ES222" s="793">
        <v>0</v>
      </c>
      <c r="ET222" s="793">
        <v>3</v>
      </c>
      <c r="EU222" s="793">
        <v>1</v>
      </c>
      <c r="EV222" s="793">
        <v>0</v>
      </c>
      <c r="EW222" s="793">
        <v>0</v>
      </c>
      <c r="EX222" s="793">
        <v>0</v>
      </c>
      <c r="EY222" s="794">
        <v>4</v>
      </c>
      <c r="EZ222" s="793"/>
      <c r="FA222" s="795"/>
    </row>
    <row r="223" spans="1:157">
      <c r="A223" s="73"/>
      <c r="B223" s="73"/>
      <c r="C223" s="73"/>
      <c r="D223" s="73" t="s">
        <v>1292</v>
      </c>
      <c r="E223" s="3261"/>
      <c r="F223" s="3261"/>
      <c r="G223" s="3261"/>
      <c r="H223" s="3261"/>
      <c r="I223" s="3261"/>
      <c r="J223" s="3261">
        <v>0</v>
      </c>
      <c r="K223" s="3261">
        <v>0</v>
      </c>
      <c r="L223" s="3261">
        <v>4</v>
      </c>
      <c r="M223" s="161"/>
      <c r="N223" s="161"/>
      <c r="O223" s="161">
        <v>4</v>
      </c>
      <c r="P223" s="73"/>
      <c r="R223" s="74"/>
      <c r="S223" s="74"/>
      <c r="T223" s="74"/>
      <c r="U223" s="74" t="s">
        <v>1293</v>
      </c>
      <c r="V223" s="3229"/>
      <c r="W223" s="3229"/>
      <c r="X223" s="3229">
        <v>0</v>
      </c>
      <c r="Y223" s="3229"/>
      <c r="Z223" s="3229"/>
      <c r="AA223" s="3229"/>
      <c r="AB223" s="3229">
        <v>1</v>
      </c>
      <c r="AC223" s="3229">
        <v>0</v>
      </c>
      <c r="AD223" s="3229"/>
      <c r="AE223" s="121"/>
      <c r="AF223" s="121"/>
      <c r="AG223" s="121">
        <v>1</v>
      </c>
      <c r="AJ223" s="161"/>
      <c r="AK223" s="161"/>
      <c r="AL223" s="73"/>
      <c r="AM223" s="73" t="s">
        <v>1293</v>
      </c>
      <c r="AN223" s="2600"/>
      <c r="AO223" s="2600"/>
      <c r="AP223" s="2600"/>
      <c r="AQ223" s="2600">
        <v>2</v>
      </c>
      <c r="AR223" s="2600">
        <v>1</v>
      </c>
      <c r="AS223" s="2600"/>
      <c r="AT223" s="2600"/>
      <c r="AU223" s="2600"/>
      <c r="AV223" s="2600"/>
      <c r="AW223" s="161"/>
      <c r="AX223" s="161"/>
      <c r="AY223" s="161">
        <v>3</v>
      </c>
      <c r="AZ223" s="161"/>
      <c r="BB223" s="2191"/>
      <c r="BC223" s="2191"/>
      <c r="BD223" s="2192"/>
      <c r="BE223" s="2193" t="s">
        <v>1292</v>
      </c>
      <c r="BF223" s="2194"/>
      <c r="BG223" s="2194"/>
      <c r="BH223" s="2194"/>
      <c r="BI223" s="2194"/>
      <c r="BJ223" s="2194"/>
      <c r="BK223" s="2195">
        <v>0</v>
      </c>
      <c r="BL223" s="2195">
        <v>0</v>
      </c>
      <c r="BM223" s="2195">
        <v>3</v>
      </c>
      <c r="BN223" s="964">
        <v>1</v>
      </c>
      <c r="BO223" s="963"/>
      <c r="BP223" s="964">
        <v>4</v>
      </c>
      <c r="BQ223" s="73"/>
      <c r="BS223" s="879"/>
      <c r="BT223" s="879"/>
      <c r="BU223" s="880"/>
      <c r="BV223" s="881" t="s">
        <v>1289</v>
      </c>
      <c r="BW223" s="883">
        <v>0</v>
      </c>
      <c r="BX223" s="883">
        <v>1</v>
      </c>
      <c r="BY223" s="883">
        <v>0</v>
      </c>
      <c r="BZ223" s="883">
        <v>0</v>
      </c>
      <c r="CA223" s="883">
        <v>0</v>
      </c>
      <c r="CB223" s="883">
        <v>0</v>
      </c>
      <c r="CC223" s="883">
        <v>0</v>
      </c>
      <c r="CD223" s="883">
        <v>0</v>
      </c>
      <c r="CE223" s="879"/>
      <c r="CF223" s="879"/>
      <c r="CG223" s="884">
        <v>1</v>
      </c>
      <c r="CH223" s="161"/>
      <c r="CJ223" s="885"/>
      <c r="CK223" s="885"/>
      <c r="CL223" s="885"/>
      <c r="CM223" s="886" t="s">
        <v>1284</v>
      </c>
      <c r="CN223" s="887"/>
      <c r="CO223" s="888">
        <v>1</v>
      </c>
      <c r="CP223" s="887"/>
      <c r="CQ223" s="887"/>
      <c r="CR223" s="887"/>
      <c r="CS223" s="888">
        <v>1</v>
      </c>
      <c r="CT223" s="888">
        <v>29</v>
      </c>
      <c r="CU223" s="888">
        <v>2</v>
      </c>
      <c r="CV223" s="888">
        <v>0</v>
      </c>
      <c r="CW223" s="890">
        <v>0</v>
      </c>
      <c r="CX223" s="889"/>
      <c r="CY223" s="890">
        <v>33</v>
      </c>
      <c r="CZ223" s="891"/>
      <c r="DD223" s="892"/>
      <c r="DE223" s="902" t="s">
        <v>575</v>
      </c>
      <c r="DF223" s="903"/>
      <c r="DG223" s="903"/>
      <c r="DH223" s="903"/>
      <c r="DI223" s="903"/>
      <c r="DJ223" s="903"/>
      <c r="DK223" s="904">
        <v>2</v>
      </c>
      <c r="DL223" s="904">
        <v>23</v>
      </c>
      <c r="DM223" s="904">
        <v>19</v>
      </c>
      <c r="DN223" s="903"/>
      <c r="DO223" s="903"/>
      <c r="DP223" s="904">
        <v>44</v>
      </c>
      <c r="DQ223" s="905">
        <f>+(DP222+DP220)/DP223</f>
        <v>0.47727272727272729</v>
      </c>
      <c r="DS223" s="121"/>
      <c r="DT223" s="121"/>
      <c r="DU223" s="121"/>
      <c r="DV223" s="761" t="s">
        <v>15</v>
      </c>
      <c r="DW223" s="729"/>
      <c r="DX223" s="729">
        <v>2</v>
      </c>
      <c r="DY223" s="729"/>
      <c r="DZ223" s="729"/>
      <c r="EA223" s="729"/>
      <c r="EB223" s="729">
        <v>11</v>
      </c>
      <c r="EC223" s="729">
        <v>24</v>
      </c>
      <c r="ED223" s="729">
        <v>19</v>
      </c>
      <c r="EE223" s="729"/>
      <c r="EF223" s="729"/>
      <c r="EG223" s="729">
        <v>56</v>
      </c>
      <c r="EH223" s="813">
        <f>+(EG220+EG222)/EG223</f>
        <v>0.5178571428571429</v>
      </c>
      <c r="EI223" s="74"/>
      <c r="EJ223" s="793"/>
      <c r="EK223" s="793"/>
      <c r="EL223" s="793"/>
      <c r="EM223" s="796" t="s">
        <v>15</v>
      </c>
      <c r="EN223" s="796">
        <v>0</v>
      </c>
      <c r="EO223" s="796">
        <v>0</v>
      </c>
      <c r="EP223" s="796">
        <v>0</v>
      </c>
      <c r="EQ223" s="796">
        <v>0</v>
      </c>
      <c r="ER223" s="796">
        <v>0</v>
      </c>
      <c r="ES223" s="796">
        <v>0</v>
      </c>
      <c r="ET223" s="796">
        <v>9</v>
      </c>
      <c r="EU223" s="796">
        <v>9</v>
      </c>
      <c r="EV223" s="796">
        <v>34</v>
      </c>
      <c r="EW223" s="796">
        <v>0</v>
      </c>
      <c r="EX223" s="796">
        <v>0</v>
      </c>
      <c r="EY223" s="856">
        <v>52</v>
      </c>
      <c r="EZ223" s="797">
        <f>+(EY222+EY220)/EY223</f>
        <v>0.30769230769230771</v>
      </c>
      <c r="FA223" s="795">
        <f>+EY220+EY222</f>
        <v>16</v>
      </c>
    </row>
    <row r="224" spans="1:157">
      <c r="A224" s="73"/>
      <c r="B224" s="73"/>
      <c r="C224" s="73"/>
      <c r="D224" s="73" t="s">
        <v>1293</v>
      </c>
      <c r="E224" s="3261"/>
      <c r="F224" s="3261"/>
      <c r="G224" s="3261"/>
      <c r="H224" s="3261"/>
      <c r="I224" s="3261"/>
      <c r="J224" s="3261">
        <v>0</v>
      </c>
      <c r="K224" s="3261">
        <v>1</v>
      </c>
      <c r="L224" s="3261">
        <v>0</v>
      </c>
      <c r="M224" s="161"/>
      <c r="N224" s="161"/>
      <c r="O224" s="161">
        <v>1</v>
      </c>
      <c r="P224" s="73"/>
      <c r="R224" s="74"/>
      <c r="S224" s="74"/>
      <c r="T224" s="74"/>
      <c r="U224" s="761" t="s">
        <v>15</v>
      </c>
      <c r="V224" s="3230"/>
      <c r="W224" s="3230"/>
      <c r="X224" s="3230">
        <v>2</v>
      </c>
      <c r="Y224" s="3230"/>
      <c r="Z224" s="3230"/>
      <c r="AA224" s="3230"/>
      <c r="AB224" s="3230">
        <v>10</v>
      </c>
      <c r="AC224" s="3230">
        <v>1</v>
      </c>
      <c r="AD224" s="3230"/>
      <c r="AE224" s="729"/>
      <c r="AF224" s="729"/>
      <c r="AG224" s="729">
        <v>13</v>
      </c>
      <c r="AH224" s="4681">
        <f>+(AG221+AG223)/AG224</f>
        <v>0.15384615384615385</v>
      </c>
      <c r="AJ224" s="161"/>
      <c r="AK224" s="161"/>
      <c r="AL224" s="73"/>
      <c r="AM224" s="73" t="s">
        <v>1398</v>
      </c>
      <c r="AN224" s="2600"/>
      <c r="AO224" s="2600"/>
      <c r="AP224" s="2600"/>
      <c r="AQ224" s="2600">
        <v>10</v>
      </c>
      <c r="AR224" s="2600">
        <v>2</v>
      </c>
      <c r="AS224" s="2600"/>
      <c r="AT224" s="2600"/>
      <c r="AU224" s="2600"/>
      <c r="AV224" s="2600"/>
      <c r="AW224" s="161"/>
      <c r="AX224" s="161"/>
      <c r="AY224" s="161">
        <v>12</v>
      </c>
      <c r="AZ224" s="161"/>
      <c r="BB224" s="2191"/>
      <c r="BC224" s="2191"/>
      <c r="BD224" s="2192"/>
      <c r="BE224" s="2193" t="s">
        <v>1293</v>
      </c>
      <c r="BF224" s="2194"/>
      <c r="BG224" s="2194"/>
      <c r="BH224" s="2194"/>
      <c r="BI224" s="2194"/>
      <c r="BJ224" s="2194"/>
      <c r="BK224" s="2195">
        <v>0</v>
      </c>
      <c r="BL224" s="2195">
        <v>1</v>
      </c>
      <c r="BM224" s="2195">
        <v>0</v>
      </c>
      <c r="BN224" s="964">
        <v>0</v>
      </c>
      <c r="BO224" s="963"/>
      <c r="BP224" s="964">
        <v>1</v>
      </c>
      <c r="BQ224" s="73"/>
      <c r="BS224" s="879"/>
      <c r="BT224" s="879"/>
      <c r="BU224" s="880"/>
      <c r="BV224" s="881" t="s">
        <v>1292</v>
      </c>
      <c r="BW224" s="883">
        <v>0</v>
      </c>
      <c r="BX224" s="883">
        <v>0</v>
      </c>
      <c r="BY224" s="883">
        <v>0</v>
      </c>
      <c r="BZ224" s="883">
        <v>0</v>
      </c>
      <c r="CA224" s="883">
        <v>0</v>
      </c>
      <c r="CB224" s="883">
        <v>0</v>
      </c>
      <c r="CC224" s="883">
        <v>1</v>
      </c>
      <c r="CD224" s="883">
        <v>11</v>
      </c>
      <c r="CE224" s="879"/>
      <c r="CF224" s="879"/>
      <c r="CG224" s="884">
        <v>12</v>
      </c>
      <c r="CH224" s="161"/>
      <c r="CJ224" s="885"/>
      <c r="CK224" s="885"/>
      <c r="CL224" s="885"/>
      <c r="CM224" s="886" t="s">
        <v>1288</v>
      </c>
      <c r="CN224" s="887"/>
      <c r="CO224" s="888">
        <v>0</v>
      </c>
      <c r="CP224" s="887"/>
      <c r="CQ224" s="887"/>
      <c r="CR224" s="887"/>
      <c r="CS224" s="888">
        <v>0</v>
      </c>
      <c r="CT224" s="888">
        <v>5</v>
      </c>
      <c r="CU224" s="888">
        <v>1</v>
      </c>
      <c r="CV224" s="888">
        <v>0</v>
      </c>
      <c r="CW224" s="890">
        <v>0</v>
      </c>
      <c r="CX224" s="889"/>
      <c r="CY224" s="890">
        <v>6</v>
      </c>
      <c r="CZ224" s="891"/>
      <c r="DB224" s="892" t="s">
        <v>48</v>
      </c>
      <c r="DD224" s="892" t="s">
        <v>573</v>
      </c>
      <c r="DE224" s="893" t="s">
        <v>1284</v>
      </c>
      <c r="DF224" s="894"/>
      <c r="DG224" s="895">
        <v>1</v>
      </c>
      <c r="DH224" s="895">
        <v>19</v>
      </c>
      <c r="DI224" s="895">
        <v>4</v>
      </c>
      <c r="DJ224" s="894"/>
      <c r="DK224" s="895">
        <v>39</v>
      </c>
      <c r="DL224" s="895">
        <v>8</v>
      </c>
      <c r="DM224" s="895">
        <v>0</v>
      </c>
      <c r="DN224" s="894"/>
      <c r="DO224" s="894"/>
      <c r="DP224" s="895">
        <v>71</v>
      </c>
      <c r="DQ224" s="792"/>
      <c r="DS224" s="121"/>
      <c r="DT224" s="121" t="s">
        <v>48</v>
      </c>
      <c r="DU224" s="121" t="s">
        <v>16</v>
      </c>
      <c r="DV224" s="74" t="s">
        <v>1288</v>
      </c>
      <c r="DW224" s="121"/>
      <c r="DX224" s="121"/>
      <c r="DY224" s="121">
        <v>1</v>
      </c>
      <c r="DZ224" s="121">
        <v>0</v>
      </c>
      <c r="EA224" s="121"/>
      <c r="EB224" s="121"/>
      <c r="EC224" s="121"/>
      <c r="ED224" s="121"/>
      <c r="EE224" s="121"/>
      <c r="EF224" s="121"/>
      <c r="EG224" s="121">
        <v>1</v>
      </c>
      <c r="EH224" s="74"/>
      <c r="EI224" s="74"/>
      <c r="EJ224" s="793"/>
      <c r="EK224" s="793" t="s">
        <v>1381</v>
      </c>
      <c r="EL224" s="793" t="s">
        <v>16</v>
      </c>
      <c r="EM224" s="793" t="s">
        <v>1283</v>
      </c>
      <c r="EN224" s="793">
        <v>0</v>
      </c>
      <c r="EO224" s="793">
        <v>0</v>
      </c>
      <c r="EP224" s="793">
        <v>0</v>
      </c>
      <c r="EQ224" s="793">
        <v>1</v>
      </c>
      <c r="ER224" s="793">
        <v>0</v>
      </c>
      <c r="ES224" s="793">
        <v>0</v>
      </c>
      <c r="ET224" s="793">
        <v>2</v>
      </c>
      <c r="EU224" s="793">
        <v>0</v>
      </c>
      <c r="EV224" s="793">
        <v>0</v>
      </c>
      <c r="EW224" s="793">
        <v>0</v>
      </c>
      <c r="EX224" s="793">
        <v>0</v>
      </c>
      <c r="EY224" s="794">
        <v>3</v>
      </c>
      <c r="EZ224" s="793"/>
      <c r="FA224" s="795"/>
    </row>
    <row r="225" spans="1:157">
      <c r="A225" s="73"/>
      <c r="B225" s="73"/>
      <c r="C225" s="73"/>
      <c r="D225" s="73" t="s">
        <v>1398</v>
      </c>
      <c r="E225" s="3261"/>
      <c r="F225" s="3261"/>
      <c r="G225" s="3261"/>
      <c r="H225" s="3261"/>
      <c r="I225" s="3261"/>
      <c r="J225" s="3261">
        <v>1</v>
      </c>
      <c r="K225" s="3261">
        <v>1</v>
      </c>
      <c r="L225" s="3261">
        <v>0</v>
      </c>
      <c r="M225" s="161"/>
      <c r="N225" s="161"/>
      <c r="O225" s="161">
        <v>2</v>
      </c>
      <c r="P225" s="73"/>
      <c r="R225" s="74"/>
      <c r="S225" s="74"/>
      <c r="T225" s="74" t="s">
        <v>141</v>
      </c>
      <c r="U225" s="74" t="s">
        <v>1284</v>
      </c>
      <c r="V225" s="3229"/>
      <c r="W225" s="3229">
        <v>1</v>
      </c>
      <c r="X225" s="3229"/>
      <c r="Y225" s="3229"/>
      <c r="Z225" s="3229"/>
      <c r="AA225" s="3229">
        <v>1</v>
      </c>
      <c r="AB225" s="3229">
        <v>0</v>
      </c>
      <c r="AC225" s="3229"/>
      <c r="AD225" s="3229"/>
      <c r="AE225" s="121"/>
      <c r="AF225" s="121"/>
      <c r="AG225" s="121">
        <v>2</v>
      </c>
      <c r="AH225" s="1109"/>
      <c r="AJ225" s="161"/>
      <c r="AK225" s="161"/>
      <c r="AL225" s="73"/>
      <c r="AM225" s="738" t="s">
        <v>15</v>
      </c>
      <c r="AN225" s="2601"/>
      <c r="AO225" s="2601"/>
      <c r="AP225" s="2601"/>
      <c r="AQ225" s="2601">
        <v>27</v>
      </c>
      <c r="AR225" s="2601">
        <v>6</v>
      </c>
      <c r="AS225" s="2601"/>
      <c r="AT225" s="2601"/>
      <c r="AU225" s="2601"/>
      <c r="AV225" s="2601"/>
      <c r="AW225" s="151"/>
      <c r="AX225" s="151"/>
      <c r="AY225" s="151">
        <v>33</v>
      </c>
      <c r="AZ225" s="912">
        <f>+(AY222+AY223+AY224)/AY225</f>
        <v>0.63636363636363635</v>
      </c>
      <c r="BB225" s="2191"/>
      <c r="BC225" s="2191"/>
      <c r="BD225" s="2192"/>
      <c r="BE225" s="2193" t="s">
        <v>1398</v>
      </c>
      <c r="BF225" s="2194"/>
      <c r="BG225" s="2194"/>
      <c r="BH225" s="2194"/>
      <c r="BI225" s="2194"/>
      <c r="BJ225" s="2194"/>
      <c r="BK225" s="2195">
        <v>1</v>
      </c>
      <c r="BL225" s="2195">
        <v>3</v>
      </c>
      <c r="BM225" s="2195">
        <v>0</v>
      </c>
      <c r="BN225" s="964">
        <v>0</v>
      </c>
      <c r="BO225" s="963"/>
      <c r="BP225" s="964">
        <v>4</v>
      </c>
      <c r="BQ225" s="73"/>
      <c r="BS225" s="879"/>
      <c r="BT225" s="879"/>
      <c r="BU225" s="880"/>
      <c r="BV225" s="881" t="s">
        <v>1293</v>
      </c>
      <c r="BW225" s="883">
        <v>0</v>
      </c>
      <c r="BX225" s="883">
        <v>0</v>
      </c>
      <c r="BY225" s="883">
        <v>6</v>
      </c>
      <c r="BZ225" s="883">
        <v>0</v>
      </c>
      <c r="CA225" s="883">
        <v>0</v>
      </c>
      <c r="CB225" s="883">
        <v>12</v>
      </c>
      <c r="CC225" s="883">
        <v>1</v>
      </c>
      <c r="CD225" s="883">
        <v>0</v>
      </c>
      <c r="CE225" s="879"/>
      <c r="CF225" s="879"/>
      <c r="CG225" s="884">
        <v>19</v>
      </c>
      <c r="CH225" s="161"/>
      <c r="CJ225" s="885"/>
      <c r="CK225" s="885"/>
      <c r="CL225" s="885"/>
      <c r="CM225" s="886" t="s">
        <v>1292</v>
      </c>
      <c r="CN225" s="887"/>
      <c r="CO225" s="888">
        <v>0</v>
      </c>
      <c r="CP225" s="887"/>
      <c r="CQ225" s="887"/>
      <c r="CR225" s="887"/>
      <c r="CS225" s="888">
        <v>1</v>
      </c>
      <c r="CT225" s="888">
        <v>0</v>
      </c>
      <c r="CU225" s="888">
        <v>0</v>
      </c>
      <c r="CV225" s="888">
        <v>0</v>
      </c>
      <c r="CW225" s="890">
        <v>0</v>
      </c>
      <c r="CX225" s="889"/>
      <c r="CY225" s="890">
        <v>1</v>
      </c>
      <c r="CZ225" s="891"/>
      <c r="DD225" s="892"/>
      <c r="DE225" s="893" t="s">
        <v>1286</v>
      </c>
      <c r="DF225" s="894"/>
      <c r="DG225" s="895">
        <v>0</v>
      </c>
      <c r="DH225" s="895">
        <v>0</v>
      </c>
      <c r="DI225" s="895">
        <v>1</v>
      </c>
      <c r="DJ225" s="894"/>
      <c r="DK225" s="895">
        <v>0</v>
      </c>
      <c r="DL225" s="895">
        <v>0</v>
      </c>
      <c r="DM225" s="895">
        <v>0</v>
      </c>
      <c r="DN225" s="894"/>
      <c r="DO225" s="894"/>
      <c r="DP225" s="895">
        <v>1</v>
      </c>
      <c r="DQ225" s="792"/>
      <c r="DS225" s="121"/>
      <c r="DT225" s="121"/>
      <c r="DU225" s="121"/>
      <c r="DV225" s="74" t="s">
        <v>1289</v>
      </c>
      <c r="DW225" s="121"/>
      <c r="DX225" s="121"/>
      <c r="DY225" s="121">
        <v>2</v>
      </c>
      <c r="DZ225" s="121">
        <v>0</v>
      </c>
      <c r="EA225" s="121"/>
      <c r="EB225" s="121"/>
      <c r="EC225" s="121"/>
      <c r="ED225" s="121"/>
      <c r="EE225" s="121"/>
      <c r="EF225" s="121"/>
      <c r="EG225" s="121">
        <v>2</v>
      </c>
      <c r="EH225" s="74"/>
      <c r="EI225" s="74"/>
      <c r="EJ225" s="793"/>
      <c r="EK225" s="793"/>
      <c r="EL225" s="793"/>
      <c r="EM225" s="793" t="s">
        <v>1284</v>
      </c>
      <c r="EN225" s="793">
        <v>0</v>
      </c>
      <c r="EO225" s="793">
        <v>1</v>
      </c>
      <c r="EP225" s="793">
        <v>3</v>
      </c>
      <c r="EQ225" s="793">
        <v>2</v>
      </c>
      <c r="ER225" s="793">
        <v>4</v>
      </c>
      <c r="ES225" s="793">
        <v>1</v>
      </c>
      <c r="ET225" s="793">
        <v>49</v>
      </c>
      <c r="EU225" s="793">
        <v>0</v>
      </c>
      <c r="EV225" s="793">
        <v>0</v>
      </c>
      <c r="EW225" s="793">
        <v>0</v>
      </c>
      <c r="EX225" s="793">
        <v>0</v>
      </c>
      <c r="EY225" s="794">
        <v>60</v>
      </c>
      <c r="EZ225" s="793"/>
      <c r="FA225" s="795"/>
    </row>
    <row r="226" spans="1:157">
      <c r="A226" s="73"/>
      <c r="B226" s="73"/>
      <c r="C226" s="73"/>
      <c r="D226" s="738" t="s">
        <v>15</v>
      </c>
      <c r="E226" s="3262"/>
      <c r="F226" s="3262"/>
      <c r="G226" s="3262"/>
      <c r="H226" s="3262"/>
      <c r="I226" s="3262"/>
      <c r="J226" s="3262">
        <v>3</v>
      </c>
      <c r="K226" s="3262">
        <v>9</v>
      </c>
      <c r="L226" s="3262">
        <v>4</v>
      </c>
      <c r="M226" s="4674"/>
      <c r="N226" s="4674"/>
      <c r="O226" s="4674">
        <v>16</v>
      </c>
      <c r="P226" s="912">
        <f>+(O225+O224+O222)/O226</f>
        <v>0.375</v>
      </c>
      <c r="Q226" s="3197"/>
      <c r="R226" s="74"/>
      <c r="S226" s="74"/>
      <c r="T226" s="74"/>
      <c r="U226" s="74" t="s">
        <v>1288</v>
      </c>
      <c r="V226" s="3229"/>
      <c r="W226" s="3229">
        <v>0</v>
      </c>
      <c r="X226" s="3229"/>
      <c r="Y226" s="3229"/>
      <c r="Z226" s="3229"/>
      <c r="AA226" s="3229">
        <v>0</v>
      </c>
      <c r="AB226" s="3229">
        <v>1</v>
      </c>
      <c r="AC226" s="3229"/>
      <c r="AD226" s="3229"/>
      <c r="AE226" s="121"/>
      <c r="AF226" s="121"/>
      <c r="AG226" s="121">
        <v>1</v>
      </c>
      <c r="AJ226" s="161"/>
      <c r="AK226" s="161"/>
      <c r="AL226" s="73" t="s">
        <v>534</v>
      </c>
      <c r="AM226" s="73" t="s">
        <v>1284</v>
      </c>
      <c r="AN226" s="2600"/>
      <c r="AO226" s="2600"/>
      <c r="AP226" s="2600">
        <v>1</v>
      </c>
      <c r="AQ226" s="2600"/>
      <c r="AR226" s="2600"/>
      <c r="AS226" s="2600"/>
      <c r="AT226" s="2600">
        <v>5</v>
      </c>
      <c r="AU226" s="2600">
        <v>1</v>
      </c>
      <c r="AV226" s="2600">
        <v>0</v>
      </c>
      <c r="AW226" s="161"/>
      <c r="AX226" s="161"/>
      <c r="AY226" s="161">
        <v>7</v>
      </c>
      <c r="AZ226" s="161"/>
      <c r="BB226" s="2191"/>
      <c r="BC226" s="2191"/>
      <c r="BD226" s="2192"/>
      <c r="BE226" s="760" t="s">
        <v>15</v>
      </c>
      <c r="BF226" s="2196"/>
      <c r="BG226" s="2196"/>
      <c r="BH226" s="2196"/>
      <c r="BI226" s="2196"/>
      <c r="BJ226" s="2196"/>
      <c r="BK226" s="2197">
        <v>2</v>
      </c>
      <c r="BL226" s="2197">
        <v>7</v>
      </c>
      <c r="BM226" s="2197">
        <v>6</v>
      </c>
      <c r="BN226" s="973">
        <v>1</v>
      </c>
      <c r="BO226" s="972"/>
      <c r="BP226" s="973">
        <v>16</v>
      </c>
      <c r="BQ226" s="2154">
        <f>+(BP222+BP224+BP225)/BP226</f>
        <v>0.4375</v>
      </c>
      <c r="BS226" s="879"/>
      <c r="BT226" s="879"/>
      <c r="BU226" s="880"/>
      <c r="BV226" s="881" t="s">
        <v>1398</v>
      </c>
      <c r="BW226" s="883">
        <v>0</v>
      </c>
      <c r="BX226" s="883">
        <v>0</v>
      </c>
      <c r="BY226" s="883">
        <v>9</v>
      </c>
      <c r="BZ226" s="883">
        <v>1</v>
      </c>
      <c r="CA226" s="883">
        <v>0</v>
      </c>
      <c r="CB226" s="883">
        <v>13</v>
      </c>
      <c r="CC226" s="883">
        <v>0</v>
      </c>
      <c r="CD226" s="883">
        <v>0</v>
      </c>
      <c r="CE226" s="879"/>
      <c r="CF226" s="879"/>
      <c r="CG226" s="884">
        <v>23</v>
      </c>
      <c r="CH226" s="161"/>
      <c r="CJ226" s="885"/>
      <c r="CK226" s="885"/>
      <c r="CL226" s="885"/>
      <c r="CM226" s="886" t="s">
        <v>1293</v>
      </c>
      <c r="CN226" s="887"/>
      <c r="CO226" s="888">
        <v>0</v>
      </c>
      <c r="CP226" s="887"/>
      <c r="CQ226" s="887"/>
      <c r="CR226" s="887"/>
      <c r="CS226" s="888">
        <v>0</v>
      </c>
      <c r="CT226" s="888">
        <v>8</v>
      </c>
      <c r="CU226" s="888">
        <v>1</v>
      </c>
      <c r="CV226" s="888">
        <v>1</v>
      </c>
      <c r="CW226" s="890">
        <v>0</v>
      </c>
      <c r="CX226" s="889"/>
      <c r="CY226" s="890">
        <v>10</v>
      </c>
      <c r="CZ226" s="891"/>
      <c r="DD226" s="892"/>
      <c r="DE226" s="893" t="s">
        <v>1288</v>
      </c>
      <c r="DF226" s="894"/>
      <c r="DG226" s="895">
        <v>0</v>
      </c>
      <c r="DH226" s="895">
        <v>3</v>
      </c>
      <c r="DI226" s="895">
        <v>1</v>
      </c>
      <c r="DJ226" s="894"/>
      <c r="DK226" s="895">
        <v>4</v>
      </c>
      <c r="DL226" s="895">
        <v>1</v>
      </c>
      <c r="DM226" s="895">
        <v>0</v>
      </c>
      <c r="DN226" s="894"/>
      <c r="DO226" s="894"/>
      <c r="DP226" s="895">
        <v>9</v>
      </c>
      <c r="DQ226" s="792"/>
      <c r="DS226" s="121"/>
      <c r="DT226" s="121"/>
      <c r="DU226" s="121"/>
      <c r="DV226" s="74" t="s">
        <v>1293</v>
      </c>
      <c r="DW226" s="121"/>
      <c r="DX226" s="121"/>
      <c r="DY226" s="121">
        <v>2</v>
      </c>
      <c r="DZ226" s="121">
        <v>1</v>
      </c>
      <c r="EA226" s="121"/>
      <c r="EB226" s="121"/>
      <c r="EC226" s="121"/>
      <c r="ED226" s="121"/>
      <c r="EE226" s="121"/>
      <c r="EF226" s="121"/>
      <c r="EG226" s="121">
        <v>3</v>
      </c>
      <c r="EH226" s="74"/>
      <c r="EI226" s="74"/>
      <c r="EJ226" s="793"/>
      <c r="EK226" s="793"/>
      <c r="EL226" s="793"/>
      <c r="EM226" s="793" t="s">
        <v>1288</v>
      </c>
      <c r="EN226" s="793">
        <v>0</v>
      </c>
      <c r="EO226" s="793">
        <v>0</v>
      </c>
      <c r="EP226" s="793">
        <v>0</v>
      </c>
      <c r="EQ226" s="793">
        <v>2</v>
      </c>
      <c r="ER226" s="793">
        <v>0</v>
      </c>
      <c r="ES226" s="793">
        <v>0</v>
      </c>
      <c r="ET226" s="793">
        <v>4</v>
      </c>
      <c r="EU226" s="793">
        <v>1</v>
      </c>
      <c r="EV226" s="793">
        <v>0</v>
      </c>
      <c r="EW226" s="793">
        <v>0</v>
      </c>
      <c r="EX226" s="793">
        <v>0</v>
      </c>
      <c r="EY226" s="794">
        <v>7</v>
      </c>
      <c r="EZ226" s="793"/>
      <c r="FA226" s="795"/>
    </row>
    <row r="227" spans="1:157">
      <c r="A227" s="73"/>
      <c r="B227" s="73"/>
      <c r="C227" s="73" t="s">
        <v>129</v>
      </c>
      <c r="D227" s="73" t="s">
        <v>1398</v>
      </c>
      <c r="E227" s="3261"/>
      <c r="F227" s="3261"/>
      <c r="G227" s="3261"/>
      <c r="H227" s="3261"/>
      <c r="I227" s="3261"/>
      <c r="J227" s="3261">
        <v>7</v>
      </c>
      <c r="K227" s="3261"/>
      <c r="L227" s="3261"/>
      <c r="M227" s="161"/>
      <c r="N227" s="161"/>
      <c r="O227" s="161">
        <v>7</v>
      </c>
      <c r="P227" s="73"/>
      <c r="R227" s="74"/>
      <c r="S227" s="74"/>
      <c r="T227" s="74"/>
      <c r="U227" s="74" t="s">
        <v>1293</v>
      </c>
      <c r="V227" s="3229"/>
      <c r="W227" s="3229">
        <v>0</v>
      </c>
      <c r="X227" s="3229"/>
      <c r="Y227" s="3229"/>
      <c r="Z227" s="3229"/>
      <c r="AA227" s="3229">
        <v>2</v>
      </c>
      <c r="AB227" s="3229">
        <v>2</v>
      </c>
      <c r="AC227" s="3229"/>
      <c r="AD227" s="3229"/>
      <c r="AE227" s="121"/>
      <c r="AF227" s="121"/>
      <c r="AG227" s="121">
        <v>4</v>
      </c>
      <c r="AJ227" s="161"/>
      <c r="AK227" s="161"/>
      <c r="AL227" s="73"/>
      <c r="AM227" s="73" t="s">
        <v>1288</v>
      </c>
      <c r="AN227" s="2600"/>
      <c r="AO227" s="2600"/>
      <c r="AP227" s="2600">
        <v>0</v>
      </c>
      <c r="AQ227" s="2600"/>
      <c r="AR227" s="2600"/>
      <c r="AS227" s="2600"/>
      <c r="AT227" s="2600">
        <v>1</v>
      </c>
      <c r="AU227" s="2600">
        <v>1</v>
      </c>
      <c r="AV227" s="2600">
        <v>0</v>
      </c>
      <c r="AW227" s="161"/>
      <c r="AX227" s="161"/>
      <c r="AY227" s="161">
        <v>2</v>
      </c>
      <c r="AZ227" s="161"/>
      <c r="BB227" s="2191"/>
      <c r="BC227" s="2191"/>
      <c r="BD227" s="2192" t="s">
        <v>143</v>
      </c>
      <c r="BE227" s="2193" t="s">
        <v>1284</v>
      </c>
      <c r="BF227" s="2194"/>
      <c r="BG227" s="2194"/>
      <c r="BH227" s="2194"/>
      <c r="BI227" s="2194"/>
      <c r="BJ227" s="2194"/>
      <c r="BK227" s="2195">
        <v>10</v>
      </c>
      <c r="BL227" s="2195">
        <v>1</v>
      </c>
      <c r="BM227" s="2194"/>
      <c r="BN227" s="964">
        <v>0</v>
      </c>
      <c r="BO227" s="963"/>
      <c r="BP227" s="964">
        <v>11</v>
      </c>
      <c r="BQ227" s="73"/>
      <c r="BS227" s="879"/>
      <c r="BT227" s="879"/>
      <c r="BU227" s="880"/>
      <c r="BV227" s="907" t="s">
        <v>573</v>
      </c>
      <c r="BW227" s="909">
        <v>9</v>
      </c>
      <c r="BX227" s="909">
        <v>4</v>
      </c>
      <c r="BY227" s="909">
        <v>37</v>
      </c>
      <c r="BZ227" s="909">
        <v>5</v>
      </c>
      <c r="CA227" s="909">
        <v>2</v>
      </c>
      <c r="CB227" s="909">
        <v>112</v>
      </c>
      <c r="CC227" s="909">
        <v>14</v>
      </c>
      <c r="CD227" s="909">
        <v>11</v>
      </c>
      <c r="CE227" s="910"/>
      <c r="CF227" s="910"/>
      <c r="CG227" s="911">
        <v>194</v>
      </c>
      <c r="CH227" s="912">
        <f>+(CG222+CG225+CG226)/CG227</f>
        <v>0.24742268041237114</v>
      </c>
      <c r="CJ227" s="885"/>
      <c r="CK227" s="885"/>
      <c r="CL227" s="885"/>
      <c r="CM227" s="886" t="s">
        <v>1398</v>
      </c>
      <c r="CN227" s="887"/>
      <c r="CO227" s="888">
        <v>0</v>
      </c>
      <c r="CP227" s="887"/>
      <c r="CQ227" s="887"/>
      <c r="CR227" s="887"/>
      <c r="CS227" s="888">
        <v>0</v>
      </c>
      <c r="CT227" s="888">
        <v>5</v>
      </c>
      <c r="CU227" s="888">
        <v>1</v>
      </c>
      <c r="CV227" s="888">
        <v>1</v>
      </c>
      <c r="CW227" s="890">
        <v>0</v>
      </c>
      <c r="CX227" s="889"/>
      <c r="CY227" s="890">
        <v>7</v>
      </c>
      <c r="CZ227" s="891"/>
      <c r="DD227" s="892"/>
      <c r="DE227" s="893" t="s">
        <v>1292</v>
      </c>
      <c r="DF227" s="894"/>
      <c r="DG227" s="895">
        <v>0</v>
      </c>
      <c r="DH227" s="895">
        <v>0</v>
      </c>
      <c r="DI227" s="895">
        <v>0</v>
      </c>
      <c r="DJ227" s="894"/>
      <c r="DK227" s="895">
        <v>0</v>
      </c>
      <c r="DL227" s="895">
        <v>1</v>
      </c>
      <c r="DM227" s="895">
        <v>19</v>
      </c>
      <c r="DN227" s="894"/>
      <c r="DO227" s="894"/>
      <c r="DP227" s="895">
        <v>20</v>
      </c>
      <c r="DQ227" s="792"/>
      <c r="DS227" s="121"/>
      <c r="DT227" s="121"/>
      <c r="DU227" s="121"/>
      <c r="DV227" s="74" t="s">
        <v>1398</v>
      </c>
      <c r="DW227" s="121"/>
      <c r="DX227" s="121"/>
      <c r="DY227" s="121">
        <v>9</v>
      </c>
      <c r="DZ227" s="121">
        <v>1</v>
      </c>
      <c r="EA227" s="121"/>
      <c r="EB227" s="121"/>
      <c r="EC227" s="121"/>
      <c r="ED227" s="121"/>
      <c r="EE227" s="121"/>
      <c r="EF227" s="121"/>
      <c r="EG227" s="121">
        <v>10</v>
      </c>
      <c r="EH227" s="74"/>
      <c r="EI227" s="74"/>
      <c r="EJ227" s="793"/>
      <c r="EK227" s="793"/>
      <c r="EL227" s="793"/>
      <c r="EM227" s="793" t="s">
        <v>1289</v>
      </c>
      <c r="EN227" s="793">
        <v>0</v>
      </c>
      <c r="EO227" s="793">
        <v>0</v>
      </c>
      <c r="EP227" s="793">
        <v>1</v>
      </c>
      <c r="EQ227" s="793">
        <v>0</v>
      </c>
      <c r="ER227" s="793">
        <v>0</v>
      </c>
      <c r="ES227" s="793">
        <v>0</v>
      </c>
      <c r="ET227" s="793">
        <v>1</v>
      </c>
      <c r="EU227" s="793">
        <v>0</v>
      </c>
      <c r="EV227" s="793">
        <v>0</v>
      </c>
      <c r="EW227" s="793">
        <v>0</v>
      </c>
      <c r="EX227" s="793">
        <v>0</v>
      </c>
      <c r="EY227" s="794">
        <v>2</v>
      </c>
      <c r="EZ227" s="793"/>
      <c r="FA227" s="795"/>
    </row>
    <row r="228" spans="1:157">
      <c r="A228" s="73"/>
      <c r="B228" s="73"/>
      <c r="C228" s="73"/>
      <c r="D228" s="738" t="s">
        <v>15</v>
      </c>
      <c r="E228" s="3262"/>
      <c r="F228" s="3262"/>
      <c r="G228" s="3262"/>
      <c r="H228" s="3262"/>
      <c r="I228" s="3262"/>
      <c r="J228" s="3262">
        <v>7</v>
      </c>
      <c r="K228" s="3262"/>
      <c r="L228" s="3262"/>
      <c r="M228" s="4674"/>
      <c r="N228" s="4674"/>
      <c r="O228" s="4674">
        <v>7</v>
      </c>
      <c r="P228" s="912">
        <f>+O227/O228</f>
        <v>1</v>
      </c>
      <c r="Q228" s="3197"/>
      <c r="R228" s="74"/>
      <c r="S228" s="74"/>
      <c r="T228" s="74"/>
      <c r="U228" s="74" t="s">
        <v>1398</v>
      </c>
      <c r="V228" s="3229"/>
      <c r="W228" s="3229">
        <v>0</v>
      </c>
      <c r="X228" s="3229"/>
      <c r="Y228" s="3229"/>
      <c r="Z228" s="3229"/>
      <c r="AA228" s="3229">
        <v>2</v>
      </c>
      <c r="AB228" s="3229">
        <v>6</v>
      </c>
      <c r="AC228" s="3229"/>
      <c r="AD228" s="3229"/>
      <c r="AE228" s="121"/>
      <c r="AF228" s="121"/>
      <c r="AG228" s="121">
        <v>8</v>
      </c>
      <c r="AJ228" s="161"/>
      <c r="AK228" s="161"/>
      <c r="AL228" s="73"/>
      <c r="AM228" s="73" t="s">
        <v>1293</v>
      </c>
      <c r="AN228" s="2600"/>
      <c r="AO228" s="2600"/>
      <c r="AP228" s="2600">
        <v>0</v>
      </c>
      <c r="AQ228" s="2600"/>
      <c r="AR228" s="2600"/>
      <c r="AS228" s="2600"/>
      <c r="AT228" s="2600">
        <v>2</v>
      </c>
      <c r="AU228" s="2600">
        <v>0</v>
      </c>
      <c r="AV228" s="2600">
        <v>1</v>
      </c>
      <c r="AW228" s="161"/>
      <c r="AX228" s="161"/>
      <c r="AY228" s="161">
        <v>3</v>
      </c>
      <c r="AZ228" s="161"/>
      <c r="BB228" s="2191"/>
      <c r="BC228" s="2191"/>
      <c r="BD228" s="2192"/>
      <c r="BE228" s="2193" t="s">
        <v>1288</v>
      </c>
      <c r="BF228" s="2194"/>
      <c r="BG228" s="2194"/>
      <c r="BH228" s="2194"/>
      <c r="BI228" s="2194"/>
      <c r="BJ228" s="2194"/>
      <c r="BK228" s="2195">
        <v>4</v>
      </c>
      <c r="BL228" s="2195">
        <v>0</v>
      </c>
      <c r="BM228" s="2194"/>
      <c r="BN228" s="964">
        <v>0</v>
      </c>
      <c r="BO228" s="963"/>
      <c r="BP228" s="964">
        <v>4</v>
      </c>
      <c r="BQ228" s="73"/>
      <c r="BS228" s="879"/>
      <c r="BT228" s="879" t="s">
        <v>41</v>
      </c>
      <c r="BU228" s="880" t="s">
        <v>139</v>
      </c>
      <c r="BV228" s="881" t="s">
        <v>1284</v>
      </c>
      <c r="BW228" s="882"/>
      <c r="BX228" s="882"/>
      <c r="BY228" s="883">
        <v>18</v>
      </c>
      <c r="BZ228" s="883">
        <v>0</v>
      </c>
      <c r="CA228" s="882"/>
      <c r="CB228" s="882"/>
      <c r="CC228" s="882"/>
      <c r="CD228" s="882"/>
      <c r="CE228" s="879"/>
      <c r="CF228" s="879"/>
      <c r="CG228" s="884">
        <v>18</v>
      </c>
      <c r="CH228" s="161"/>
      <c r="CJ228" s="885"/>
      <c r="CK228" s="885"/>
      <c r="CL228" s="885"/>
      <c r="CM228" s="897" t="s">
        <v>888</v>
      </c>
      <c r="CN228" s="898"/>
      <c r="CO228" s="899">
        <v>1</v>
      </c>
      <c r="CP228" s="898"/>
      <c r="CQ228" s="898"/>
      <c r="CR228" s="898"/>
      <c r="CS228" s="899">
        <v>2</v>
      </c>
      <c r="CT228" s="899">
        <v>47</v>
      </c>
      <c r="CU228" s="899">
        <v>5</v>
      </c>
      <c r="CV228" s="899">
        <v>2</v>
      </c>
      <c r="CW228" s="901">
        <v>1</v>
      </c>
      <c r="CX228" s="900"/>
      <c r="CY228" s="901">
        <v>58</v>
      </c>
      <c r="CZ228" s="891">
        <f>+(CY227+CY226+CY224)/CY228</f>
        <v>0.39655172413793105</v>
      </c>
      <c r="DD228" s="892"/>
      <c r="DE228" s="893" t="s">
        <v>1293</v>
      </c>
      <c r="DF228" s="894"/>
      <c r="DG228" s="895">
        <v>0</v>
      </c>
      <c r="DH228" s="895">
        <v>5</v>
      </c>
      <c r="DI228" s="895">
        <v>4</v>
      </c>
      <c r="DJ228" s="894"/>
      <c r="DK228" s="895">
        <v>3</v>
      </c>
      <c r="DL228" s="895">
        <v>2</v>
      </c>
      <c r="DM228" s="895">
        <v>0</v>
      </c>
      <c r="DN228" s="894"/>
      <c r="DO228" s="894"/>
      <c r="DP228" s="895">
        <v>14</v>
      </c>
      <c r="DQ228" s="792"/>
      <c r="DS228" s="121"/>
      <c r="DT228" s="121"/>
      <c r="DU228" s="121"/>
      <c r="DV228" s="761" t="s">
        <v>15</v>
      </c>
      <c r="DW228" s="729"/>
      <c r="DX228" s="729"/>
      <c r="DY228" s="729">
        <v>14</v>
      </c>
      <c r="DZ228" s="729">
        <v>2</v>
      </c>
      <c r="EA228" s="729"/>
      <c r="EB228" s="729"/>
      <c r="EC228" s="729"/>
      <c r="ED228" s="729"/>
      <c r="EE228" s="729"/>
      <c r="EF228" s="729"/>
      <c r="EG228" s="729">
        <v>16</v>
      </c>
      <c r="EH228" s="813">
        <f>+(EG224+EG226+EG227)/EG228</f>
        <v>0.875</v>
      </c>
      <c r="EI228" s="74"/>
      <c r="EJ228" s="793"/>
      <c r="EK228" s="793"/>
      <c r="EL228" s="793"/>
      <c r="EM228" s="793" t="s">
        <v>1292</v>
      </c>
      <c r="EN228" s="793">
        <v>0</v>
      </c>
      <c r="EO228" s="793">
        <v>0</v>
      </c>
      <c r="EP228" s="793">
        <v>0</v>
      </c>
      <c r="EQ228" s="793">
        <v>0</v>
      </c>
      <c r="ER228" s="793">
        <v>0</v>
      </c>
      <c r="ES228" s="793">
        <v>0</v>
      </c>
      <c r="ET228" s="793">
        <v>0</v>
      </c>
      <c r="EU228" s="793">
        <v>7</v>
      </c>
      <c r="EV228" s="793">
        <v>10</v>
      </c>
      <c r="EW228" s="793">
        <v>0</v>
      </c>
      <c r="EX228" s="793">
        <v>0</v>
      </c>
      <c r="EY228" s="794">
        <v>17</v>
      </c>
      <c r="EZ228" s="793"/>
      <c r="FA228" s="795"/>
    </row>
    <row r="229" spans="1:157">
      <c r="A229" s="73"/>
      <c r="B229" s="73"/>
      <c r="C229" s="73" t="s">
        <v>112</v>
      </c>
      <c r="D229" s="73" t="s">
        <v>1398</v>
      </c>
      <c r="E229" s="3261"/>
      <c r="F229" s="3261"/>
      <c r="G229" s="3261">
        <v>1</v>
      </c>
      <c r="H229" s="3261"/>
      <c r="I229" s="3261"/>
      <c r="J229" s="3261"/>
      <c r="K229" s="3261"/>
      <c r="L229" s="3261"/>
      <c r="M229" s="161"/>
      <c r="N229" s="161"/>
      <c r="O229" s="161">
        <v>1</v>
      </c>
      <c r="P229" s="73"/>
      <c r="R229" s="74"/>
      <c r="S229" s="74"/>
      <c r="T229" s="74"/>
      <c r="U229" s="761" t="s">
        <v>15</v>
      </c>
      <c r="V229" s="3230"/>
      <c r="W229" s="3230">
        <v>1</v>
      </c>
      <c r="X229" s="3230"/>
      <c r="Y229" s="3230"/>
      <c r="Z229" s="3230"/>
      <c r="AA229" s="3230">
        <v>5</v>
      </c>
      <c r="AB229" s="3230">
        <v>9</v>
      </c>
      <c r="AC229" s="3230"/>
      <c r="AD229" s="3230"/>
      <c r="AE229" s="729"/>
      <c r="AF229" s="729"/>
      <c r="AG229" s="729">
        <v>15</v>
      </c>
      <c r="AH229" s="4681">
        <f>+(AG226+AG227+AG228)/AG229</f>
        <v>0.8666666666666667</v>
      </c>
      <c r="AJ229" s="161"/>
      <c r="AK229" s="161"/>
      <c r="AL229" s="73"/>
      <c r="AM229" s="73" t="s">
        <v>1398</v>
      </c>
      <c r="AN229" s="2600"/>
      <c r="AO229" s="2600"/>
      <c r="AP229" s="2600">
        <v>0</v>
      </c>
      <c r="AQ229" s="2600"/>
      <c r="AR229" s="2600"/>
      <c r="AS229" s="2600"/>
      <c r="AT229" s="2600">
        <v>6</v>
      </c>
      <c r="AU229" s="2600">
        <v>3</v>
      </c>
      <c r="AV229" s="2600">
        <v>0</v>
      </c>
      <c r="AW229" s="161"/>
      <c r="AX229" s="161"/>
      <c r="AY229" s="161">
        <v>9</v>
      </c>
      <c r="AZ229" s="161"/>
      <c r="BB229" s="2191"/>
      <c r="BC229" s="2191"/>
      <c r="BD229" s="2192"/>
      <c r="BE229" s="2193" t="s">
        <v>1292</v>
      </c>
      <c r="BF229" s="2194"/>
      <c r="BG229" s="2194"/>
      <c r="BH229" s="2194"/>
      <c r="BI229" s="2194"/>
      <c r="BJ229" s="2194"/>
      <c r="BK229" s="2195">
        <v>0</v>
      </c>
      <c r="BL229" s="2195">
        <v>1</v>
      </c>
      <c r="BM229" s="2194"/>
      <c r="BN229" s="964">
        <v>1</v>
      </c>
      <c r="BO229" s="963"/>
      <c r="BP229" s="964">
        <v>2</v>
      </c>
      <c r="BQ229" s="73"/>
      <c r="BS229" s="879"/>
      <c r="BT229" s="879"/>
      <c r="BU229" s="880"/>
      <c r="BV229" s="881" t="s">
        <v>1293</v>
      </c>
      <c r="BW229" s="882"/>
      <c r="BX229" s="882"/>
      <c r="BY229" s="883">
        <v>1</v>
      </c>
      <c r="BZ229" s="883">
        <v>0</v>
      </c>
      <c r="CA229" s="882"/>
      <c r="CB229" s="882"/>
      <c r="CC229" s="882"/>
      <c r="CD229" s="882"/>
      <c r="CE229" s="879"/>
      <c r="CF229" s="879"/>
      <c r="CG229" s="884">
        <v>1</v>
      </c>
      <c r="CH229" s="161"/>
      <c r="CJ229" s="885"/>
      <c r="CK229" s="885"/>
      <c r="CL229" s="897" t="s">
        <v>461</v>
      </c>
      <c r="CM229" s="886" t="s">
        <v>1283</v>
      </c>
      <c r="CN229" s="888">
        <v>0</v>
      </c>
      <c r="CO229" s="888">
        <v>0</v>
      </c>
      <c r="CP229" s="887"/>
      <c r="CQ229" s="888">
        <v>0</v>
      </c>
      <c r="CR229" s="887"/>
      <c r="CS229" s="888">
        <v>0</v>
      </c>
      <c r="CT229" s="888">
        <v>0</v>
      </c>
      <c r="CU229" s="888">
        <v>0</v>
      </c>
      <c r="CV229" s="888">
        <v>0</v>
      </c>
      <c r="CW229" s="890">
        <v>1</v>
      </c>
      <c r="CX229" s="889"/>
      <c r="CY229" s="890">
        <v>1</v>
      </c>
      <c r="CZ229" s="891"/>
      <c r="DD229" s="892"/>
      <c r="DE229" s="893" t="s">
        <v>1398</v>
      </c>
      <c r="DF229" s="894"/>
      <c r="DG229" s="895">
        <v>0</v>
      </c>
      <c r="DH229" s="895">
        <v>8</v>
      </c>
      <c r="DI229" s="895">
        <v>0</v>
      </c>
      <c r="DJ229" s="894"/>
      <c r="DK229" s="895">
        <v>7</v>
      </c>
      <c r="DL229" s="895">
        <v>6</v>
      </c>
      <c r="DM229" s="895">
        <v>0</v>
      </c>
      <c r="DN229" s="894"/>
      <c r="DO229" s="894"/>
      <c r="DP229" s="895">
        <v>21</v>
      </c>
      <c r="DQ229" s="792"/>
      <c r="DS229" s="121"/>
      <c r="DT229" s="121"/>
      <c r="DU229" s="121" t="s">
        <v>41</v>
      </c>
      <c r="DV229" s="74" t="s">
        <v>1283</v>
      </c>
      <c r="DW229" s="121"/>
      <c r="DX229" s="121"/>
      <c r="DY229" s="121">
        <v>0</v>
      </c>
      <c r="DZ229" s="121">
        <v>0</v>
      </c>
      <c r="EA229" s="121">
        <v>0</v>
      </c>
      <c r="EB229" s="121">
        <v>0</v>
      </c>
      <c r="EC229" s="121">
        <v>0</v>
      </c>
      <c r="ED229" s="121">
        <v>2</v>
      </c>
      <c r="EE229" s="121"/>
      <c r="EF229" s="121">
        <v>0</v>
      </c>
      <c r="EG229" s="121">
        <v>2</v>
      </c>
      <c r="EH229" s="74"/>
      <c r="EI229" s="74"/>
      <c r="EJ229" s="793"/>
      <c r="EK229" s="793"/>
      <c r="EL229" s="793"/>
      <c r="EM229" s="793" t="s">
        <v>1293</v>
      </c>
      <c r="EN229" s="793">
        <v>0</v>
      </c>
      <c r="EO229" s="793">
        <v>0</v>
      </c>
      <c r="EP229" s="793">
        <v>0</v>
      </c>
      <c r="EQ229" s="793">
        <v>3</v>
      </c>
      <c r="ER229" s="793">
        <v>0</v>
      </c>
      <c r="ES229" s="793">
        <v>0</v>
      </c>
      <c r="ET229" s="793">
        <v>8</v>
      </c>
      <c r="EU229" s="793">
        <v>3</v>
      </c>
      <c r="EV229" s="793">
        <v>0</v>
      </c>
      <c r="EW229" s="793">
        <v>0</v>
      </c>
      <c r="EX229" s="793">
        <v>0</v>
      </c>
      <c r="EY229" s="794">
        <v>14</v>
      </c>
      <c r="EZ229" s="793"/>
      <c r="FA229" s="795"/>
    </row>
    <row r="230" spans="1:157">
      <c r="A230" s="73"/>
      <c r="B230" s="73"/>
      <c r="C230" s="73"/>
      <c r="D230" s="738" t="s">
        <v>15</v>
      </c>
      <c r="E230" s="3262"/>
      <c r="F230" s="3262"/>
      <c r="G230" s="3262">
        <v>1</v>
      </c>
      <c r="H230" s="3262"/>
      <c r="I230" s="3262"/>
      <c r="J230" s="3262"/>
      <c r="K230" s="3262"/>
      <c r="L230" s="3262"/>
      <c r="M230" s="4674"/>
      <c r="N230" s="4674"/>
      <c r="O230" s="4674">
        <v>1</v>
      </c>
      <c r="P230" s="912">
        <f>+O229/O230</f>
        <v>1</v>
      </c>
      <c r="Q230" s="3197"/>
      <c r="R230" s="74"/>
      <c r="S230" s="74"/>
      <c r="T230" s="74" t="s">
        <v>463</v>
      </c>
      <c r="U230" s="74" t="s">
        <v>1284</v>
      </c>
      <c r="V230" s="3229"/>
      <c r="W230" s="3229">
        <v>0</v>
      </c>
      <c r="X230" s="3229"/>
      <c r="Y230" s="3229"/>
      <c r="Z230" s="3229"/>
      <c r="AA230" s="3229"/>
      <c r="AB230" s="3229">
        <v>6</v>
      </c>
      <c r="AC230" s="3229"/>
      <c r="AD230" s="3229"/>
      <c r="AE230" s="121"/>
      <c r="AF230" s="121"/>
      <c r="AG230" s="121">
        <v>6</v>
      </c>
      <c r="AJ230" s="161"/>
      <c r="AK230" s="161"/>
      <c r="AL230" s="73"/>
      <c r="AM230" s="738" t="s">
        <v>15</v>
      </c>
      <c r="AN230" s="2601"/>
      <c r="AO230" s="2601"/>
      <c r="AP230" s="2601">
        <v>1</v>
      </c>
      <c r="AQ230" s="2601"/>
      <c r="AR230" s="2601"/>
      <c r="AS230" s="2601"/>
      <c r="AT230" s="2601">
        <v>14</v>
      </c>
      <c r="AU230" s="2601">
        <v>5</v>
      </c>
      <c r="AV230" s="2601">
        <v>1</v>
      </c>
      <c r="AW230" s="151"/>
      <c r="AX230" s="151"/>
      <c r="AY230" s="151">
        <v>21</v>
      </c>
      <c r="AZ230" s="912">
        <f>+(AY227+AY228+AY229)/AY230</f>
        <v>0.66666666666666663</v>
      </c>
      <c r="BB230" s="2191"/>
      <c r="BC230" s="2191"/>
      <c r="BD230" s="2192"/>
      <c r="BE230" s="2193" t="s">
        <v>1293</v>
      </c>
      <c r="BF230" s="2194"/>
      <c r="BG230" s="2194"/>
      <c r="BH230" s="2194"/>
      <c r="BI230" s="2194"/>
      <c r="BJ230" s="2194"/>
      <c r="BK230" s="2195">
        <v>2</v>
      </c>
      <c r="BL230" s="2195">
        <v>3</v>
      </c>
      <c r="BM230" s="2194"/>
      <c r="BN230" s="964">
        <v>0</v>
      </c>
      <c r="BO230" s="963"/>
      <c r="BP230" s="964">
        <v>5</v>
      </c>
      <c r="BQ230" s="73"/>
      <c r="BS230" s="879"/>
      <c r="BT230" s="879"/>
      <c r="BU230" s="880"/>
      <c r="BV230" s="881" t="s">
        <v>1398</v>
      </c>
      <c r="BW230" s="882"/>
      <c r="BX230" s="882"/>
      <c r="BY230" s="883">
        <v>0</v>
      </c>
      <c r="BZ230" s="883">
        <v>1</v>
      </c>
      <c r="CA230" s="882"/>
      <c r="CB230" s="882"/>
      <c r="CC230" s="882"/>
      <c r="CD230" s="882"/>
      <c r="CE230" s="879"/>
      <c r="CF230" s="879"/>
      <c r="CG230" s="884">
        <v>1</v>
      </c>
      <c r="CH230" s="161"/>
      <c r="CJ230" s="885"/>
      <c r="CK230" s="885"/>
      <c r="CL230" s="885"/>
      <c r="CM230" s="886" t="s">
        <v>1284</v>
      </c>
      <c r="CN230" s="888">
        <v>2</v>
      </c>
      <c r="CO230" s="888">
        <v>3</v>
      </c>
      <c r="CP230" s="887"/>
      <c r="CQ230" s="888">
        <v>6</v>
      </c>
      <c r="CR230" s="887"/>
      <c r="CS230" s="888">
        <v>2</v>
      </c>
      <c r="CT230" s="888">
        <v>48</v>
      </c>
      <c r="CU230" s="888">
        <v>11</v>
      </c>
      <c r="CV230" s="888">
        <v>0</v>
      </c>
      <c r="CW230" s="890">
        <v>0</v>
      </c>
      <c r="CX230" s="889"/>
      <c r="CY230" s="890">
        <v>72</v>
      </c>
      <c r="CZ230" s="891"/>
      <c r="DD230" s="892"/>
      <c r="DE230" s="902" t="s">
        <v>573</v>
      </c>
      <c r="DF230" s="903"/>
      <c r="DG230" s="904">
        <v>1</v>
      </c>
      <c r="DH230" s="904">
        <v>35</v>
      </c>
      <c r="DI230" s="904">
        <v>10</v>
      </c>
      <c r="DJ230" s="903"/>
      <c r="DK230" s="904">
        <v>53</v>
      </c>
      <c r="DL230" s="904">
        <v>18</v>
      </c>
      <c r="DM230" s="904">
        <v>19</v>
      </c>
      <c r="DN230" s="903"/>
      <c r="DO230" s="903"/>
      <c r="DP230" s="904">
        <v>136</v>
      </c>
      <c r="DQ230" s="905">
        <f>+(DP229+DP228+DP226)/DP230</f>
        <v>0.3235294117647059</v>
      </c>
      <c r="DS230" s="121"/>
      <c r="DT230" s="121"/>
      <c r="DU230" s="121"/>
      <c r="DV230" s="74" t="s">
        <v>1284</v>
      </c>
      <c r="DW230" s="121"/>
      <c r="DX230" s="121"/>
      <c r="DY230" s="121">
        <v>1</v>
      </c>
      <c r="DZ230" s="121">
        <v>0</v>
      </c>
      <c r="EA230" s="121">
        <v>1</v>
      </c>
      <c r="EB230" s="121">
        <v>29</v>
      </c>
      <c r="EC230" s="121">
        <v>3</v>
      </c>
      <c r="ED230" s="121">
        <v>1</v>
      </c>
      <c r="EE230" s="121"/>
      <c r="EF230" s="121">
        <v>0</v>
      </c>
      <c r="EG230" s="121">
        <v>35</v>
      </c>
      <c r="EH230" s="74"/>
      <c r="EI230" s="74"/>
      <c r="EJ230" s="793"/>
      <c r="EK230" s="793"/>
      <c r="EL230" s="793"/>
      <c r="EM230" s="793" t="s">
        <v>1398</v>
      </c>
      <c r="EN230" s="793">
        <v>0</v>
      </c>
      <c r="EO230" s="793">
        <v>0</v>
      </c>
      <c r="EP230" s="793">
        <v>0</v>
      </c>
      <c r="EQ230" s="793">
        <v>3</v>
      </c>
      <c r="ER230" s="793">
        <v>0</v>
      </c>
      <c r="ES230" s="793">
        <v>0</v>
      </c>
      <c r="ET230" s="793">
        <v>11</v>
      </c>
      <c r="EU230" s="793">
        <v>3</v>
      </c>
      <c r="EV230" s="793">
        <v>0</v>
      </c>
      <c r="EW230" s="793">
        <v>0</v>
      </c>
      <c r="EX230" s="793">
        <v>0</v>
      </c>
      <c r="EY230" s="794">
        <v>17</v>
      </c>
      <c r="EZ230" s="793"/>
      <c r="FA230" s="795"/>
    </row>
    <row r="231" spans="1:157">
      <c r="A231" s="73"/>
      <c r="B231" s="73"/>
      <c r="C231" s="73" t="s">
        <v>534</v>
      </c>
      <c r="D231" s="73" t="s">
        <v>1283</v>
      </c>
      <c r="E231" s="3261"/>
      <c r="F231" s="3261">
        <v>0</v>
      </c>
      <c r="G231" s="3261">
        <v>0</v>
      </c>
      <c r="H231" s="3261">
        <v>0</v>
      </c>
      <c r="I231" s="3261">
        <v>1</v>
      </c>
      <c r="J231" s="3261">
        <v>0</v>
      </c>
      <c r="K231" s="3261">
        <v>0</v>
      </c>
      <c r="L231" s="3261"/>
      <c r="M231" s="161">
        <v>0</v>
      </c>
      <c r="N231" s="161"/>
      <c r="O231" s="161">
        <v>1</v>
      </c>
      <c r="P231" s="73"/>
      <c r="R231" s="74"/>
      <c r="S231" s="74"/>
      <c r="T231" s="74"/>
      <c r="U231" s="74" t="s">
        <v>1286</v>
      </c>
      <c r="V231" s="3229"/>
      <c r="W231" s="3229">
        <v>1</v>
      </c>
      <c r="X231" s="3229"/>
      <c r="Y231" s="3229"/>
      <c r="Z231" s="3229"/>
      <c r="AA231" s="3229"/>
      <c r="AB231" s="3229">
        <v>0</v>
      </c>
      <c r="AC231" s="3229"/>
      <c r="AD231" s="3229"/>
      <c r="AE231" s="121"/>
      <c r="AF231" s="121"/>
      <c r="AG231" s="121">
        <v>1</v>
      </c>
      <c r="AJ231" s="161"/>
      <c r="AK231" s="161"/>
      <c r="AL231" s="73" t="s">
        <v>621</v>
      </c>
      <c r="AM231" s="73" t="s">
        <v>1284</v>
      </c>
      <c r="AN231" s="2600"/>
      <c r="AO231" s="2600"/>
      <c r="AP231" s="2600">
        <v>2</v>
      </c>
      <c r="AQ231" s="2600"/>
      <c r="AR231" s="2600"/>
      <c r="AS231" s="2600"/>
      <c r="AT231" s="2600">
        <v>14</v>
      </c>
      <c r="AU231" s="2600">
        <v>1</v>
      </c>
      <c r="AV231" s="2600"/>
      <c r="AW231" s="161"/>
      <c r="AX231" s="161"/>
      <c r="AY231" s="161">
        <v>17</v>
      </c>
      <c r="AZ231" s="161"/>
      <c r="BB231" s="2191"/>
      <c r="BC231" s="2191"/>
      <c r="BD231" s="2192"/>
      <c r="BE231" s="2193" t="s">
        <v>1398</v>
      </c>
      <c r="BF231" s="2194"/>
      <c r="BG231" s="2194"/>
      <c r="BH231" s="2194"/>
      <c r="BI231" s="2194"/>
      <c r="BJ231" s="2194"/>
      <c r="BK231" s="2195">
        <v>2</v>
      </c>
      <c r="BL231" s="2195">
        <v>0</v>
      </c>
      <c r="BM231" s="2194"/>
      <c r="BN231" s="964">
        <v>0</v>
      </c>
      <c r="BO231" s="963"/>
      <c r="BP231" s="964">
        <v>2</v>
      </c>
      <c r="BQ231" s="73"/>
      <c r="BS231" s="879"/>
      <c r="BT231" s="879"/>
      <c r="BU231" s="880"/>
      <c r="BV231" s="907" t="s">
        <v>15</v>
      </c>
      <c r="BW231" s="908"/>
      <c r="BX231" s="908"/>
      <c r="BY231" s="909">
        <v>19</v>
      </c>
      <c r="BZ231" s="909">
        <v>1</v>
      </c>
      <c r="CA231" s="908"/>
      <c r="CB231" s="908"/>
      <c r="CC231" s="908"/>
      <c r="CD231" s="908"/>
      <c r="CE231" s="910"/>
      <c r="CF231" s="910"/>
      <c r="CG231" s="911">
        <v>20</v>
      </c>
      <c r="CH231" s="912">
        <f>+(CG229+CG230)/CG231</f>
        <v>0.1</v>
      </c>
      <c r="CJ231" s="885"/>
      <c r="CK231" s="885"/>
      <c r="CL231" s="885"/>
      <c r="CM231" s="886" t="s">
        <v>1288</v>
      </c>
      <c r="CN231" s="888">
        <v>0</v>
      </c>
      <c r="CO231" s="888">
        <v>0</v>
      </c>
      <c r="CP231" s="887"/>
      <c r="CQ231" s="888">
        <v>4</v>
      </c>
      <c r="CR231" s="887"/>
      <c r="CS231" s="888">
        <v>1</v>
      </c>
      <c r="CT231" s="888">
        <v>7</v>
      </c>
      <c r="CU231" s="888">
        <v>2</v>
      </c>
      <c r="CV231" s="888">
        <v>0</v>
      </c>
      <c r="CW231" s="890">
        <v>0</v>
      </c>
      <c r="CX231" s="889"/>
      <c r="CY231" s="890">
        <v>14</v>
      </c>
      <c r="CZ231" s="891"/>
      <c r="DD231" s="892" t="s">
        <v>575</v>
      </c>
      <c r="DE231" s="893" t="s">
        <v>1284</v>
      </c>
      <c r="DF231" s="894"/>
      <c r="DG231" s="895">
        <v>0</v>
      </c>
      <c r="DH231" s="895">
        <v>4</v>
      </c>
      <c r="DI231" s="895">
        <v>1</v>
      </c>
      <c r="DJ231" s="895">
        <v>0</v>
      </c>
      <c r="DK231" s="895">
        <v>17</v>
      </c>
      <c r="DL231" s="895">
        <v>5</v>
      </c>
      <c r="DM231" s="895">
        <v>1</v>
      </c>
      <c r="DN231" s="894"/>
      <c r="DO231" s="895">
        <v>0</v>
      </c>
      <c r="DP231" s="895">
        <v>28</v>
      </c>
      <c r="DQ231" s="792"/>
      <c r="DS231" s="121"/>
      <c r="DT231" s="121"/>
      <c r="DU231" s="121"/>
      <c r="DV231" s="74" t="s">
        <v>1286</v>
      </c>
      <c r="DW231" s="121"/>
      <c r="DX231" s="121"/>
      <c r="DY231" s="121">
        <v>1</v>
      </c>
      <c r="DZ231" s="121">
        <v>0</v>
      </c>
      <c r="EA231" s="121">
        <v>0</v>
      </c>
      <c r="EB231" s="121">
        <v>0</v>
      </c>
      <c r="EC231" s="121">
        <v>0</v>
      </c>
      <c r="ED231" s="121">
        <v>0</v>
      </c>
      <c r="EE231" s="121"/>
      <c r="EF231" s="121">
        <v>0</v>
      </c>
      <c r="EG231" s="121">
        <v>1</v>
      </c>
      <c r="EH231" s="74"/>
      <c r="EI231" s="74"/>
      <c r="EJ231" s="793"/>
      <c r="EK231" s="793"/>
      <c r="EL231" s="793"/>
      <c r="EM231" s="796" t="s">
        <v>15</v>
      </c>
      <c r="EN231" s="796">
        <v>0</v>
      </c>
      <c r="EO231" s="796">
        <v>1</v>
      </c>
      <c r="EP231" s="796">
        <v>4</v>
      </c>
      <c r="EQ231" s="796">
        <v>11</v>
      </c>
      <c r="ER231" s="796">
        <v>4</v>
      </c>
      <c r="ES231" s="796">
        <v>1</v>
      </c>
      <c r="ET231" s="796">
        <v>75</v>
      </c>
      <c r="EU231" s="796">
        <v>14</v>
      </c>
      <c r="EV231" s="796">
        <v>10</v>
      </c>
      <c r="EW231" s="796">
        <v>0</v>
      </c>
      <c r="EX231" s="796">
        <v>0</v>
      </c>
      <c r="EY231" s="856">
        <v>120</v>
      </c>
      <c r="EZ231" s="797">
        <f>+(EY230+EY229+EY226)/EY231</f>
        <v>0.31666666666666665</v>
      </c>
      <c r="FA231" s="795">
        <f>+EY226+EY229+EY230</f>
        <v>38</v>
      </c>
    </row>
    <row r="232" spans="1:157">
      <c r="A232" s="73"/>
      <c r="B232" s="73"/>
      <c r="C232" s="73"/>
      <c r="D232" s="73" t="s">
        <v>1284</v>
      </c>
      <c r="E232" s="3261"/>
      <c r="F232" s="3261">
        <v>3</v>
      </c>
      <c r="G232" s="3261">
        <v>2</v>
      </c>
      <c r="H232" s="3261">
        <v>1</v>
      </c>
      <c r="I232" s="3261">
        <v>1</v>
      </c>
      <c r="J232" s="3261">
        <v>2</v>
      </c>
      <c r="K232" s="3261">
        <v>1</v>
      </c>
      <c r="L232" s="3261"/>
      <c r="M232" s="161">
        <v>0</v>
      </c>
      <c r="N232" s="161"/>
      <c r="O232" s="161">
        <v>10</v>
      </c>
      <c r="P232" s="73"/>
      <c r="R232" s="74"/>
      <c r="S232" s="74"/>
      <c r="T232" s="74"/>
      <c r="U232" s="761" t="s">
        <v>15</v>
      </c>
      <c r="V232" s="3230"/>
      <c r="W232" s="3230">
        <v>1</v>
      </c>
      <c r="X232" s="3230"/>
      <c r="Y232" s="3230"/>
      <c r="Z232" s="3230"/>
      <c r="AA232" s="3230"/>
      <c r="AB232" s="3230">
        <v>6</v>
      </c>
      <c r="AC232" s="3230"/>
      <c r="AD232" s="3230"/>
      <c r="AE232" s="729"/>
      <c r="AF232" s="729"/>
      <c r="AG232" s="729">
        <v>7</v>
      </c>
      <c r="AH232" s="4681">
        <v>0</v>
      </c>
      <c r="AJ232" s="161"/>
      <c r="AK232" s="161"/>
      <c r="AL232" s="73"/>
      <c r="AM232" s="73" t="s">
        <v>1288</v>
      </c>
      <c r="AN232" s="2600"/>
      <c r="AO232" s="2600"/>
      <c r="AP232" s="2600">
        <v>0</v>
      </c>
      <c r="AQ232" s="2600"/>
      <c r="AR232" s="2600"/>
      <c r="AS232" s="2600"/>
      <c r="AT232" s="2600">
        <v>2</v>
      </c>
      <c r="AU232" s="2600">
        <v>0</v>
      </c>
      <c r="AV232" s="2600"/>
      <c r="AW232" s="161"/>
      <c r="AX232" s="161"/>
      <c r="AY232" s="161">
        <v>2</v>
      </c>
      <c r="AZ232" s="161"/>
      <c r="BB232" s="2191"/>
      <c r="BC232" s="2191"/>
      <c r="BD232" s="2192"/>
      <c r="BE232" s="760" t="s">
        <v>15</v>
      </c>
      <c r="BF232" s="2196"/>
      <c r="BG232" s="2196"/>
      <c r="BH232" s="2196"/>
      <c r="BI232" s="2196"/>
      <c r="BJ232" s="2196"/>
      <c r="BK232" s="2197">
        <v>18</v>
      </c>
      <c r="BL232" s="2197">
        <v>5</v>
      </c>
      <c r="BM232" s="2196"/>
      <c r="BN232" s="973">
        <v>1</v>
      </c>
      <c r="BO232" s="972"/>
      <c r="BP232" s="973">
        <v>24</v>
      </c>
      <c r="BQ232" s="2154">
        <f>+(BP228+BP230+BP231)/BP232</f>
        <v>0.45833333333333331</v>
      </c>
      <c r="BS232" s="879"/>
      <c r="BT232" s="879"/>
      <c r="BU232" s="880" t="s">
        <v>140</v>
      </c>
      <c r="BV232" s="881" t="s">
        <v>1283</v>
      </c>
      <c r="BW232" s="883">
        <v>0</v>
      </c>
      <c r="BX232" s="882"/>
      <c r="BY232" s="882"/>
      <c r="BZ232" s="882"/>
      <c r="CA232" s="882"/>
      <c r="CB232" s="883">
        <v>0</v>
      </c>
      <c r="CC232" s="883">
        <v>0</v>
      </c>
      <c r="CD232" s="883">
        <v>1</v>
      </c>
      <c r="CE232" s="879"/>
      <c r="CF232" s="879"/>
      <c r="CG232" s="884">
        <v>1</v>
      </c>
      <c r="CH232" s="161"/>
      <c r="CJ232" s="885"/>
      <c r="CK232" s="885"/>
      <c r="CL232" s="885"/>
      <c r="CM232" s="886" t="s">
        <v>1292</v>
      </c>
      <c r="CN232" s="888">
        <v>0</v>
      </c>
      <c r="CO232" s="888">
        <v>0</v>
      </c>
      <c r="CP232" s="887"/>
      <c r="CQ232" s="888">
        <v>0</v>
      </c>
      <c r="CR232" s="887"/>
      <c r="CS232" s="888">
        <v>1</v>
      </c>
      <c r="CT232" s="888">
        <v>0</v>
      </c>
      <c r="CU232" s="888">
        <v>0</v>
      </c>
      <c r="CV232" s="888">
        <v>0</v>
      </c>
      <c r="CW232" s="890">
        <v>1</v>
      </c>
      <c r="CX232" s="889"/>
      <c r="CY232" s="890">
        <v>2</v>
      </c>
      <c r="CZ232" s="891"/>
      <c r="DD232" s="892"/>
      <c r="DE232" s="893" t="s">
        <v>1286</v>
      </c>
      <c r="DF232" s="894"/>
      <c r="DG232" s="895">
        <v>1</v>
      </c>
      <c r="DH232" s="895">
        <v>0</v>
      </c>
      <c r="DI232" s="895">
        <v>0</v>
      </c>
      <c r="DJ232" s="895">
        <v>0</v>
      </c>
      <c r="DK232" s="895">
        <v>0</v>
      </c>
      <c r="DL232" s="895">
        <v>0</v>
      </c>
      <c r="DM232" s="895">
        <v>0</v>
      </c>
      <c r="DN232" s="894"/>
      <c r="DO232" s="895">
        <v>0</v>
      </c>
      <c r="DP232" s="895">
        <v>1</v>
      </c>
      <c r="DQ232" s="792"/>
      <c r="DS232" s="121"/>
      <c r="DT232" s="121"/>
      <c r="DU232" s="121"/>
      <c r="DV232" s="74" t="s">
        <v>1288</v>
      </c>
      <c r="DW232" s="121"/>
      <c r="DX232" s="121"/>
      <c r="DY232" s="121">
        <v>0</v>
      </c>
      <c r="DZ232" s="121">
        <v>0</v>
      </c>
      <c r="EA232" s="121">
        <v>0</v>
      </c>
      <c r="EB232" s="121">
        <v>2</v>
      </c>
      <c r="EC232" s="121">
        <v>2</v>
      </c>
      <c r="ED232" s="121">
        <v>0</v>
      </c>
      <c r="EE232" s="121"/>
      <c r="EF232" s="121">
        <v>0</v>
      </c>
      <c r="EG232" s="121">
        <v>4</v>
      </c>
      <c r="EH232" s="74"/>
      <c r="EI232" s="74"/>
      <c r="EJ232" s="793"/>
      <c r="EK232" s="793"/>
      <c r="EL232" s="793" t="s">
        <v>41</v>
      </c>
      <c r="EM232" s="793" t="s">
        <v>1283</v>
      </c>
      <c r="EN232" s="793">
        <v>0</v>
      </c>
      <c r="EO232" s="793">
        <v>0</v>
      </c>
      <c r="EP232" s="793">
        <v>0</v>
      </c>
      <c r="EQ232" s="793">
        <v>0</v>
      </c>
      <c r="ER232" s="793">
        <v>0</v>
      </c>
      <c r="ES232" s="793">
        <v>0</v>
      </c>
      <c r="ET232" s="793">
        <v>1</v>
      </c>
      <c r="EU232" s="793">
        <v>1</v>
      </c>
      <c r="EV232" s="793">
        <v>1</v>
      </c>
      <c r="EW232" s="793">
        <v>0</v>
      </c>
      <c r="EX232" s="793">
        <v>0</v>
      </c>
      <c r="EY232" s="794">
        <v>3</v>
      </c>
      <c r="EZ232" s="793"/>
      <c r="FA232" s="795"/>
    </row>
    <row r="233" spans="1:157">
      <c r="A233" s="73"/>
      <c r="B233" s="73"/>
      <c r="C233" s="73"/>
      <c r="D233" s="73" t="s">
        <v>1286</v>
      </c>
      <c r="E233" s="3261"/>
      <c r="F233" s="3261">
        <v>0</v>
      </c>
      <c r="G233" s="3261">
        <v>0</v>
      </c>
      <c r="H233" s="3261">
        <v>1</v>
      </c>
      <c r="I233" s="3261">
        <v>1</v>
      </c>
      <c r="J233" s="3261">
        <v>0</v>
      </c>
      <c r="K233" s="3261">
        <v>0</v>
      </c>
      <c r="L233" s="3261"/>
      <c r="M233" s="161">
        <v>0</v>
      </c>
      <c r="N233" s="161"/>
      <c r="O233" s="161">
        <v>2</v>
      </c>
      <c r="P233" s="73"/>
      <c r="R233" s="74"/>
      <c r="S233" s="74"/>
      <c r="T233" s="74" t="s">
        <v>142</v>
      </c>
      <c r="U233" s="74" t="s">
        <v>1284</v>
      </c>
      <c r="V233" s="3229"/>
      <c r="W233" s="3229"/>
      <c r="X233" s="3229"/>
      <c r="Y233" s="3229"/>
      <c r="Z233" s="3229"/>
      <c r="AA233" s="3229"/>
      <c r="AB233" s="3229">
        <v>4</v>
      </c>
      <c r="AC233" s="3229">
        <v>2</v>
      </c>
      <c r="AD233" s="3229">
        <v>2</v>
      </c>
      <c r="AE233" s="121"/>
      <c r="AF233" s="121"/>
      <c r="AG233" s="121">
        <v>8</v>
      </c>
      <c r="AJ233" s="161"/>
      <c r="AK233" s="161"/>
      <c r="AL233" s="73"/>
      <c r="AM233" s="73" t="s">
        <v>1293</v>
      </c>
      <c r="AN233" s="2600"/>
      <c r="AO233" s="2600"/>
      <c r="AP233" s="2600">
        <v>0</v>
      </c>
      <c r="AQ233" s="2600"/>
      <c r="AR233" s="2600"/>
      <c r="AS233" s="2600"/>
      <c r="AT233" s="2600">
        <v>2</v>
      </c>
      <c r="AU233" s="2600">
        <v>1</v>
      </c>
      <c r="AV233" s="2600"/>
      <c r="AW233" s="161"/>
      <c r="AX233" s="161"/>
      <c r="AY233" s="161">
        <v>3</v>
      </c>
      <c r="AZ233" s="161"/>
      <c r="BB233" s="2191"/>
      <c r="BC233" s="2191"/>
      <c r="BD233" s="2192" t="s">
        <v>113</v>
      </c>
      <c r="BE233" s="2193" t="s">
        <v>1286</v>
      </c>
      <c r="BF233" s="2194"/>
      <c r="BG233" s="2195">
        <v>1</v>
      </c>
      <c r="BH233" s="2194"/>
      <c r="BI233" s="2194"/>
      <c r="BJ233" s="2194"/>
      <c r="BK233" s="2194"/>
      <c r="BL233" s="2194"/>
      <c r="BM233" s="2194"/>
      <c r="BN233" s="963"/>
      <c r="BO233" s="963"/>
      <c r="BP233" s="964">
        <v>1</v>
      </c>
      <c r="BQ233" s="73"/>
      <c r="BS233" s="879"/>
      <c r="BT233" s="879"/>
      <c r="BU233" s="880"/>
      <c r="BV233" s="881" t="s">
        <v>1284</v>
      </c>
      <c r="BW233" s="883">
        <v>1</v>
      </c>
      <c r="BX233" s="882"/>
      <c r="BY233" s="882"/>
      <c r="BZ233" s="882"/>
      <c r="CA233" s="882"/>
      <c r="CB233" s="883">
        <v>3</v>
      </c>
      <c r="CC233" s="883">
        <v>6</v>
      </c>
      <c r="CD233" s="883">
        <v>0</v>
      </c>
      <c r="CE233" s="879"/>
      <c r="CF233" s="879"/>
      <c r="CG233" s="884">
        <v>10</v>
      </c>
      <c r="CH233" s="161"/>
      <c r="CJ233" s="885"/>
      <c r="CK233" s="885"/>
      <c r="CL233" s="885"/>
      <c r="CM233" s="886" t="s">
        <v>1293</v>
      </c>
      <c r="CN233" s="888">
        <v>0</v>
      </c>
      <c r="CO233" s="888">
        <v>0</v>
      </c>
      <c r="CP233" s="887"/>
      <c r="CQ233" s="888">
        <v>5</v>
      </c>
      <c r="CR233" s="887"/>
      <c r="CS233" s="888">
        <v>3</v>
      </c>
      <c r="CT233" s="888">
        <v>15</v>
      </c>
      <c r="CU233" s="888">
        <v>3</v>
      </c>
      <c r="CV233" s="888">
        <v>1</v>
      </c>
      <c r="CW233" s="890">
        <v>0</v>
      </c>
      <c r="CX233" s="889"/>
      <c r="CY233" s="890">
        <v>27</v>
      </c>
      <c r="CZ233" s="891"/>
      <c r="DD233" s="892"/>
      <c r="DE233" s="893" t="s">
        <v>1288</v>
      </c>
      <c r="DF233" s="894"/>
      <c r="DG233" s="895">
        <v>0</v>
      </c>
      <c r="DH233" s="895">
        <v>0</v>
      </c>
      <c r="DI233" s="895">
        <v>0</v>
      </c>
      <c r="DJ233" s="895">
        <v>0</v>
      </c>
      <c r="DK233" s="895">
        <v>3</v>
      </c>
      <c r="DL233" s="895">
        <v>0</v>
      </c>
      <c r="DM233" s="895">
        <v>1</v>
      </c>
      <c r="DN233" s="894"/>
      <c r="DO233" s="895">
        <v>0</v>
      </c>
      <c r="DP233" s="895">
        <v>4</v>
      </c>
      <c r="DQ233" s="792"/>
      <c r="DS233" s="121"/>
      <c r="DT233" s="121"/>
      <c r="DU233" s="121"/>
      <c r="DV233" s="74" t="s">
        <v>1289</v>
      </c>
      <c r="DW233" s="121"/>
      <c r="DX233" s="121"/>
      <c r="DY233" s="121">
        <v>1</v>
      </c>
      <c r="DZ233" s="121">
        <v>1</v>
      </c>
      <c r="EA233" s="121">
        <v>0</v>
      </c>
      <c r="EB233" s="121">
        <v>0</v>
      </c>
      <c r="EC233" s="121">
        <v>0</v>
      </c>
      <c r="ED233" s="121">
        <v>0</v>
      </c>
      <c r="EE233" s="121"/>
      <c r="EF233" s="121">
        <v>0</v>
      </c>
      <c r="EG233" s="121">
        <v>2</v>
      </c>
      <c r="EH233" s="74"/>
      <c r="EI233" s="74"/>
      <c r="EJ233" s="793"/>
      <c r="EK233" s="793"/>
      <c r="EL233" s="793"/>
      <c r="EM233" s="793" t="s">
        <v>1284</v>
      </c>
      <c r="EN233" s="793">
        <v>0</v>
      </c>
      <c r="EO233" s="793">
        <v>0</v>
      </c>
      <c r="EP233" s="793">
        <v>1</v>
      </c>
      <c r="EQ233" s="793">
        <v>0</v>
      </c>
      <c r="ER233" s="793">
        <v>0</v>
      </c>
      <c r="ES233" s="793">
        <v>0</v>
      </c>
      <c r="ET233" s="793">
        <v>23</v>
      </c>
      <c r="EU233" s="793">
        <v>4</v>
      </c>
      <c r="EV233" s="793">
        <v>0</v>
      </c>
      <c r="EW233" s="793">
        <v>0</v>
      </c>
      <c r="EX233" s="793">
        <v>0</v>
      </c>
      <c r="EY233" s="794">
        <v>28</v>
      </c>
      <c r="EZ233" s="793"/>
      <c r="FA233" s="795"/>
    </row>
    <row r="234" spans="1:157">
      <c r="A234" s="73"/>
      <c r="B234" s="73"/>
      <c r="C234" s="73"/>
      <c r="D234" s="73" t="s">
        <v>1288</v>
      </c>
      <c r="E234" s="3261"/>
      <c r="F234" s="3261">
        <v>0</v>
      </c>
      <c r="G234" s="3261">
        <v>0</v>
      </c>
      <c r="H234" s="3261">
        <v>0</v>
      </c>
      <c r="I234" s="3261">
        <v>0</v>
      </c>
      <c r="J234" s="3261">
        <v>1</v>
      </c>
      <c r="K234" s="3261">
        <v>1</v>
      </c>
      <c r="L234" s="3261"/>
      <c r="M234" s="161">
        <v>1</v>
      </c>
      <c r="N234" s="161"/>
      <c r="O234" s="161">
        <v>3</v>
      </c>
      <c r="P234" s="73"/>
      <c r="R234" s="74"/>
      <c r="S234" s="74"/>
      <c r="T234" s="74"/>
      <c r="U234" s="74" t="s">
        <v>1288</v>
      </c>
      <c r="V234" s="3229"/>
      <c r="W234" s="3229"/>
      <c r="X234" s="3229"/>
      <c r="Y234" s="3229"/>
      <c r="Z234" s="3229"/>
      <c r="AA234" s="3229"/>
      <c r="AB234" s="3229">
        <v>1</v>
      </c>
      <c r="AC234" s="3229">
        <v>0</v>
      </c>
      <c r="AD234" s="3229">
        <v>0</v>
      </c>
      <c r="AE234" s="121"/>
      <c r="AF234" s="121"/>
      <c r="AG234" s="121">
        <v>1</v>
      </c>
      <c r="AJ234" s="161"/>
      <c r="AK234" s="161"/>
      <c r="AL234" s="73"/>
      <c r="AM234" s="738" t="s">
        <v>15</v>
      </c>
      <c r="AN234" s="2601"/>
      <c r="AO234" s="2601"/>
      <c r="AP234" s="2601">
        <v>2</v>
      </c>
      <c r="AQ234" s="2601"/>
      <c r="AR234" s="2601"/>
      <c r="AS234" s="2601"/>
      <c r="AT234" s="2601">
        <v>18</v>
      </c>
      <c r="AU234" s="2601">
        <v>2</v>
      </c>
      <c r="AV234" s="2601"/>
      <c r="AW234" s="151"/>
      <c r="AX234" s="151"/>
      <c r="AY234" s="151">
        <v>22</v>
      </c>
      <c r="AZ234" s="912">
        <f>+(AY232+AY233)/AY234</f>
        <v>0.22727272727272727</v>
      </c>
      <c r="BB234" s="2191"/>
      <c r="BC234" s="2191"/>
      <c r="BD234" s="2192"/>
      <c r="BE234" s="760" t="s">
        <v>15</v>
      </c>
      <c r="BF234" s="2196"/>
      <c r="BG234" s="2197">
        <v>1</v>
      </c>
      <c r="BH234" s="2196"/>
      <c r="BI234" s="2196"/>
      <c r="BJ234" s="2196"/>
      <c r="BK234" s="2196"/>
      <c r="BL234" s="2196"/>
      <c r="BM234" s="2196"/>
      <c r="BN234" s="972"/>
      <c r="BO234" s="972"/>
      <c r="BP234" s="973">
        <v>1</v>
      </c>
      <c r="BQ234" s="73"/>
      <c r="BS234" s="879"/>
      <c r="BT234" s="879"/>
      <c r="BU234" s="880"/>
      <c r="BV234" s="881" t="s">
        <v>1288</v>
      </c>
      <c r="BW234" s="883">
        <v>0</v>
      </c>
      <c r="BX234" s="882"/>
      <c r="BY234" s="882"/>
      <c r="BZ234" s="882"/>
      <c r="CA234" s="882"/>
      <c r="CB234" s="883">
        <v>0</v>
      </c>
      <c r="CC234" s="883">
        <v>1</v>
      </c>
      <c r="CD234" s="883">
        <v>0</v>
      </c>
      <c r="CE234" s="879"/>
      <c r="CF234" s="879"/>
      <c r="CG234" s="884">
        <v>1</v>
      </c>
      <c r="CH234" s="161"/>
      <c r="CJ234" s="885"/>
      <c r="CK234" s="885"/>
      <c r="CL234" s="885"/>
      <c r="CM234" s="886" t="s">
        <v>1398</v>
      </c>
      <c r="CN234" s="888">
        <v>1</v>
      </c>
      <c r="CO234" s="888">
        <v>0</v>
      </c>
      <c r="CP234" s="887"/>
      <c r="CQ234" s="888">
        <v>4</v>
      </c>
      <c r="CR234" s="887"/>
      <c r="CS234" s="888">
        <v>1</v>
      </c>
      <c r="CT234" s="888">
        <v>12</v>
      </c>
      <c r="CU234" s="888">
        <v>3</v>
      </c>
      <c r="CV234" s="888">
        <v>1</v>
      </c>
      <c r="CW234" s="890">
        <v>0</v>
      </c>
      <c r="CX234" s="889"/>
      <c r="CY234" s="890">
        <v>22</v>
      </c>
      <c r="CZ234" s="891"/>
      <c r="DD234" s="892"/>
      <c r="DE234" s="893" t="s">
        <v>1289</v>
      </c>
      <c r="DF234" s="894"/>
      <c r="DG234" s="895">
        <v>0</v>
      </c>
      <c r="DH234" s="895">
        <v>2</v>
      </c>
      <c r="DI234" s="895">
        <v>0</v>
      </c>
      <c r="DJ234" s="895">
        <v>0</v>
      </c>
      <c r="DK234" s="895">
        <v>1</v>
      </c>
      <c r="DL234" s="895">
        <v>0</v>
      </c>
      <c r="DM234" s="895">
        <v>0</v>
      </c>
      <c r="DN234" s="894"/>
      <c r="DO234" s="895">
        <v>0</v>
      </c>
      <c r="DP234" s="895">
        <v>3</v>
      </c>
      <c r="DQ234" s="792"/>
      <c r="DS234" s="121"/>
      <c r="DT234" s="121"/>
      <c r="DU234" s="121"/>
      <c r="DV234" s="74" t="s">
        <v>1292</v>
      </c>
      <c r="DW234" s="121"/>
      <c r="DX234" s="121"/>
      <c r="DY234" s="121">
        <v>0</v>
      </c>
      <c r="DZ234" s="121">
        <v>0</v>
      </c>
      <c r="EA234" s="121">
        <v>0</v>
      </c>
      <c r="EB234" s="121">
        <v>0</v>
      </c>
      <c r="EC234" s="121">
        <v>0</v>
      </c>
      <c r="ED234" s="121">
        <v>4</v>
      </c>
      <c r="EE234" s="121"/>
      <c r="EF234" s="121">
        <v>2</v>
      </c>
      <c r="EG234" s="121">
        <v>6</v>
      </c>
      <c r="EH234" s="74"/>
      <c r="EI234" s="74"/>
      <c r="EJ234" s="793"/>
      <c r="EK234" s="793"/>
      <c r="EL234" s="793"/>
      <c r="EM234" s="793" t="s">
        <v>1288</v>
      </c>
      <c r="EN234" s="793">
        <v>0</v>
      </c>
      <c r="EO234" s="793">
        <v>0</v>
      </c>
      <c r="EP234" s="793">
        <v>0</v>
      </c>
      <c r="EQ234" s="793">
        <v>0</v>
      </c>
      <c r="ER234" s="793">
        <v>0</v>
      </c>
      <c r="ES234" s="793">
        <v>0</v>
      </c>
      <c r="ET234" s="793">
        <v>4</v>
      </c>
      <c r="EU234" s="793">
        <v>1</v>
      </c>
      <c r="EV234" s="793">
        <v>1</v>
      </c>
      <c r="EW234" s="793">
        <v>0</v>
      </c>
      <c r="EX234" s="793">
        <v>0</v>
      </c>
      <c r="EY234" s="794">
        <v>6</v>
      </c>
      <c r="EZ234" s="793"/>
      <c r="FA234" s="795"/>
    </row>
    <row r="235" spans="1:157">
      <c r="A235" s="73"/>
      <c r="B235" s="73"/>
      <c r="C235" s="73"/>
      <c r="D235" s="73" t="s">
        <v>1292</v>
      </c>
      <c r="E235" s="3261"/>
      <c r="F235" s="3261">
        <v>0</v>
      </c>
      <c r="G235" s="3261">
        <v>0</v>
      </c>
      <c r="H235" s="3261">
        <v>0</v>
      </c>
      <c r="I235" s="3261">
        <v>0</v>
      </c>
      <c r="J235" s="3261">
        <v>0</v>
      </c>
      <c r="K235" s="3261">
        <v>0</v>
      </c>
      <c r="L235" s="3261"/>
      <c r="M235" s="161">
        <v>1</v>
      </c>
      <c r="N235" s="161"/>
      <c r="O235" s="161">
        <v>1</v>
      </c>
      <c r="P235" s="73"/>
      <c r="R235" s="74"/>
      <c r="S235" s="74"/>
      <c r="T235" s="74"/>
      <c r="U235" s="74" t="s">
        <v>1292</v>
      </c>
      <c r="V235" s="3229"/>
      <c r="W235" s="3229"/>
      <c r="X235" s="3229"/>
      <c r="Y235" s="3229"/>
      <c r="Z235" s="3229"/>
      <c r="AA235" s="3229"/>
      <c r="AB235" s="3229">
        <v>0</v>
      </c>
      <c r="AC235" s="3229">
        <v>0</v>
      </c>
      <c r="AD235" s="3229">
        <v>1</v>
      </c>
      <c r="AE235" s="121"/>
      <c r="AF235" s="121"/>
      <c r="AG235" s="121">
        <v>1</v>
      </c>
      <c r="AJ235" s="161"/>
      <c r="AK235" s="161"/>
      <c r="AL235" s="73" t="s">
        <v>2009</v>
      </c>
      <c r="AM235" s="73" t="s">
        <v>1284</v>
      </c>
      <c r="AN235" s="2600"/>
      <c r="AO235" s="2600">
        <v>1</v>
      </c>
      <c r="AP235" s="2600">
        <v>1</v>
      </c>
      <c r="AQ235" s="2600"/>
      <c r="AR235" s="2600"/>
      <c r="AS235" s="2600"/>
      <c r="AT235" s="2600">
        <v>6</v>
      </c>
      <c r="AU235" s="2600"/>
      <c r="AV235" s="2600"/>
      <c r="AW235" s="161"/>
      <c r="AX235" s="161"/>
      <c r="AY235" s="161">
        <v>8</v>
      </c>
      <c r="AZ235" s="161"/>
      <c r="BB235" s="2191"/>
      <c r="BC235" s="2191"/>
      <c r="BD235" s="2192" t="s">
        <v>868</v>
      </c>
      <c r="BE235" s="2193" t="s">
        <v>1284</v>
      </c>
      <c r="BF235" s="2195">
        <v>1</v>
      </c>
      <c r="BG235" s="2194"/>
      <c r="BH235" s="2194"/>
      <c r="BI235" s="2195">
        <v>3</v>
      </c>
      <c r="BJ235" s="2194"/>
      <c r="BK235" s="2194"/>
      <c r="BL235" s="2194"/>
      <c r="BM235" s="2194"/>
      <c r="BN235" s="963"/>
      <c r="BO235" s="963"/>
      <c r="BP235" s="964">
        <v>4</v>
      </c>
      <c r="BQ235" s="73"/>
      <c r="BS235" s="879"/>
      <c r="BT235" s="879"/>
      <c r="BU235" s="880"/>
      <c r="BV235" s="881" t="s">
        <v>1398</v>
      </c>
      <c r="BW235" s="883">
        <v>0</v>
      </c>
      <c r="BX235" s="882"/>
      <c r="BY235" s="882"/>
      <c r="BZ235" s="882"/>
      <c r="CA235" s="882"/>
      <c r="CB235" s="883">
        <v>1</v>
      </c>
      <c r="CC235" s="883">
        <v>1</v>
      </c>
      <c r="CD235" s="883">
        <v>0</v>
      </c>
      <c r="CE235" s="879"/>
      <c r="CF235" s="879"/>
      <c r="CG235" s="884">
        <v>2</v>
      </c>
      <c r="CH235" s="161"/>
      <c r="CJ235" s="885"/>
      <c r="CK235" s="885"/>
      <c r="CL235" s="885"/>
      <c r="CM235" s="897" t="s">
        <v>461</v>
      </c>
      <c r="CN235" s="899">
        <v>3</v>
      </c>
      <c r="CO235" s="899">
        <v>3</v>
      </c>
      <c r="CP235" s="898"/>
      <c r="CQ235" s="899">
        <v>19</v>
      </c>
      <c r="CR235" s="898"/>
      <c r="CS235" s="899">
        <v>8</v>
      </c>
      <c r="CT235" s="899">
        <v>82</v>
      </c>
      <c r="CU235" s="899">
        <v>19</v>
      </c>
      <c r="CV235" s="899">
        <v>2</v>
      </c>
      <c r="CW235" s="901">
        <v>2</v>
      </c>
      <c r="CX235" s="900"/>
      <c r="CY235" s="901">
        <v>138</v>
      </c>
      <c r="CZ235" s="891">
        <f>+(CY234+CY233+CY231)/CY235</f>
        <v>0.45652173913043476</v>
      </c>
      <c r="DD235" s="892"/>
      <c r="DE235" s="893" t="s">
        <v>1292</v>
      </c>
      <c r="DF235" s="894"/>
      <c r="DG235" s="895">
        <v>0</v>
      </c>
      <c r="DH235" s="895">
        <v>0</v>
      </c>
      <c r="DI235" s="895">
        <v>0</v>
      </c>
      <c r="DJ235" s="895">
        <v>0</v>
      </c>
      <c r="DK235" s="895">
        <v>0</v>
      </c>
      <c r="DL235" s="895">
        <v>1</v>
      </c>
      <c r="DM235" s="895">
        <v>14</v>
      </c>
      <c r="DN235" s="894"/>
      <c r="DO235" s="895">
        <v>1</v>
      </c>
      <c r="DP235" s="895">
        <v>16</v>
      </c>
      <c r="DQ235" s="792"/>
      <c r="DS235" s="121"/>
      <c r="DT235" s="121"/>
      <c r="DU235" s="121"/>
      <c r="DV235" s="74" t="s">
        <v>1293</v>
      </c>
      <c r="DW235" s="121"/>
      <c r="DX235" s="121"/>
      <c r="DY235" s="121">
        <v>0</v>
      </c>
      <c r="DZ235" s="121">
        <v>0</v>
      </c>
      <c r="EA235" s="121">
        <v>0</v>
      </c>
      <c r="EB235" s="121">
        <v>7</v>
      </c>
      <c r="EC235" s="121">
        <v>0</v>
      </c>
      <c r="ED235" s="121">
        <v>0</v>
      </c>
      <c r="EE235" s="121"/>
      <c r="EF235" s="121">
        <v>0</v>
      </c>
      <c r="EG235" s="121">
        <v>7</v>
      </c>
      <c r="EH235" s="74"/>
      <c r="EI235" s="74"/>
      <c r="EJ235" s="793"/>
      <c r="EK235" s="793"/>
      <c r="EL235" s="793"/>
      <c r="EM235" s="793" t="s">
        <v>1292</v>
      </c>
      <c r="EN235" s="793">
        <v>0</v>
      </c>
      <c r="EO235" s="793">
        <v>0</v>
      </c>
      <c r="EP235" s="793">
        <v>0</v>
      </c>
      <c r="EQ235" s="793">
        <v>0</v>
      </c>
      <c r="ER235" s="793">
        <v>0</v>
      </c>
      <c r="ES235" s="793">
        <v>0</v>
      </c>
      <c r="ET235" s="793">
        <v>1</v>
      </c>
      <c r="EU235" s="793">
        <v>2</v>
      </c>
      <c r="EV235" s="793">
        <v>5</v>
      </c>
      <c r="EW235" s="793">
        <v>1</v>
      </c>
      <c r="EX235" s="793">
        <v>1</v>
      </c>
      <c r="EY235" s="794">
        <v>10</v>
      </c>
      <c r="EZ235" s="793"/>
      <c r="FA235" s="795"/>
    </row>
    <row r="236" spans="1:157">
      <c r="A236" s="73"/>
      <c r="B236" s="73"/>
      <c r="C236" s="73"/>
      <c r="D236" s="73" t="s">
        <v>1293</v>
      </c>
      <c r="E236" s="3261"/>
      <c r="F236" s="3261">
        <v>0</v>
      </c>
      <c r="G236" s="3261">
        <v>0</v>
      </c>
      <c r="H236" s="3261">
        <v>0</v>
      </c>
      <c r="I236" s="3261">
        <v>0</v>
      </c>
      <c r="J236" s="3261">
        <v>1</v>
      </c>
      <c r="K236" s="3261">
        <v>0</v>
      </c>
      <c r="L236" s="3261"/>
      <c r="M236" s="161">
        <v>0</v>
      </c>
      <c r="N236" s="161"/>
      <c r="O236" s="161">
        <v>1</v>
      </c>
      <c r="P236" s="73"/>
      <c r="R236" s="74"/>
      <c r="S236" s="74"/>
      <c r="T236" s="74"/>
      <c r="U236" s="74" t="s">
        <v>1293</v>
      </c>
      <c r="V236" s="3229"/>
      <c r="W236" s="3229"/>
      <c r="X236" s="3229"/>
      <c r="Y236" s="3229"/>
      <c r="Z236" s="3229"/>
      <c r="AA236" s="3229"/>
      <c r="AB236" s="3229">
        <v>1</v>
      </c>
      <c r="AC236" s="3229">
        <v>0</v>
      </c>
      <c r="AD236" s="3229">
        <v>0</v>
      </c>
      <c r="AE236" s="121"/>
      <c r="AF236" s="121"/>
      <c r="AG236" s="121">
        <v>1</v>
      </c>
      <c r="AJ236" s="161"/>
      <c r="AK236" s="161"/>
      <c r="AL236" s="73"/>
      <c r="AM236" s="73" t="s">
        <v>1288</v>
      </c>
      <c r="AN236" s="2600"/>
      <c r="AO236" s="2600">
        <v>0</v>
      </c>
      <c r="AP236" s="2600">
        <v>0</v>
      </c>
      <c r="AQ236" s="2600"/>
      <c r="AR236" s="2600"/>
      <c r="AS236" s="2600"/>
      <c r="AT236" s="2600">
        <v>1</v>
      </c>
      <c r="AU236" s="2600"/>
      <c r="AV236" s="2600"/>
      <c r="AW236" s="161"/>
      <c r="AX236" s="161"/>
      <c r="AY236" s="161">
        <v>1</v>
      </c>
      <c r="AZ236" s="161"/>
      <c r="BB236" s="2191"/>
      <c r="BC236" s="2191"/>
      <c r="BD236" s="2192"/>
      <c r="BE236" s="2193" t="s">
        <v>1288</v>
      </c>
      <c r="BF236" s="2195">
        <v>0</v>
      </c>
      <c r="BG236" s="2194"/>
      <c r="BH236" s="2194"/>
      <c r="BI236" s="2195">
        <v>1</v>
      </c>
      <c r="BJ236" s="2194"/>
      <c r="BK236" s="2194"/>
      <c r="BL236" s="2194"/>
      <c r="BM236" s="2194"/>
      <c r="BN236" s="963"/>
      <c r="BO236" s="963"/>
      <c r="BP236" s="964">
        <v>1</v>
      </c>
      <c r="BQ236" s="73"/>
      <c r="BS236" s="879"/>
      <c r="BT236" s="879"/>
      <c r="BU236" s="880"/>
      <c r="BV236" s="907" t="s">
        <v>15</v>
      </c>
      <c r="BW236" s="909">
        <v>1</v>
      </c>
      <c r="BX236" s="908"/>
      <c r="BY236" s="908"/>
      <c r="BZ236" s="908"/>
      <c r="CA236" s="908"/>
      <c r="CB236" s="909">
        <v>4</v>
      </c>
      <c r="CC236" s="909">
        <v>8</v>
      </c>
      <c r="CD236" s="909">
        <v>1</v>
      </c>
      <c r="CE236" s="910"/>
      <c r="CF236" s="910"/>
      <c r="CG236" s="911">
        <v>14</v>
      </c>
      <c r="CH236" s="912">
        <f>+(CG234+CG235)/CG236</f>
        <v>0.21428571428571427</v>
      </c>
      <c r="CJ236" s="885" t="s">
        <v>59</v>
      </c>
      <c r="CK236" s="885" t="s">
        <v>16</v>
      </c>
      <c r="CL236" s="885" t="s">
        <v>709</v>
      </c>
      <c r="CM236" s="886" t="s">
        <v>1284</v>
      </c>
      <c r="CN236" s="887"/>
      <c r="CO236" s="888">
        <v>0</v>
      </c>
      <c r="CP236" s="888">
        <v>0</v>
      </c>
      <c r="CQ236" s="887"/>
      <c r="CR236" s="888">
        <v>0</v>
      </c>
      <c r="CS236" s="887"/>
      <c r="CT236" s="888">
        <v>4</v>
      </c>
      <c r="CU236" s="888">
        <v>2</v>
      </c>
      <c r="CV236" s="887"/>
      <c r="CW236" s="889"/>
      <c r="CX236" s="889"/>
      <c r="CY236" s="890">
        <v>6</v>
      </c>
      <c r="CZ236" s="891"/>
      <c r="DD236" s="892"/>
      <c r="DE236" s="893" t="s">
        <v>1293</v>
      </c>
      <c r="DF236" s="894"/>
      <c r="DG236" s="895">
        <v>0</v>
      </c>
      <c r="DH236" s="895">
        <v>0</v>
      </c>
      <c r="DI236" s="895">
        <v>0</v>
      </c>
      <c r="DJ236" s="895">
        <v>2</v>
      </c>
      <c r="DK236" s="895">
        <v>2</v>
      </c>
      <c r="DL236" s="895">
        <v>1</v>
      </c>
      <c r="DM236" s="895">
        <v>0</v>
      </c>
      <c r="DN236" s="894"/>
      <c r="DO236" s="895">
        <v>0</v>
      </c>
      <c r="DP236" s="895">
        <v>5</v>
      </c>
      <c r="DQ236" s="792"/>
      <c r="DS236" s="121"/>
      <c r="DT236" s="121"/>
      <c r="DU236" s="121"/>
      <c r="DV236" s="74" t="s">
        <v>1398</v>
      </c>
      <c r="DW236" s="121"/>
      <c r="DX236" s="121"/>
      <c r="DY236" s="121">
        <v>0</v>
      </c>
      <c r="DZ236" s="121">
        <v>0</v>
      </c>
      <c r="EA236" s="121">
        <v>0</v>
      </c>
      <c r="EB236" s="121">
        <v>6</v>
      </c>
      <c r="EC236" s="121">
        <v>0</v>
      </c>
      <c r="ED236" s="121">
        <v>0</v>
      </c>
      <c r="EE236" s="121"/>
      <c r="EF236" s="121">
        <v>0</v>
      </c>
      <c r="EG236" s="121">
        <v>6</v>
      </c>
      <c r="EH236" s="74"/>
      <c r="EI236" s="74"/>
      <c r="EJ236" s="793"/>
      <c r="EK236" s="793"/>
      <c r="EL236" s="793"/>
      <c r="EM236" s="793" t="s">
        <v>1293</v>
      </c>
      <c r="EN236" s="793">
        <v>0</v>
      </c>
      <c r="EO236" s="793">
        <v>0</v>
      </c>
      <c r="EP236" s="793">
        <v>0</v>
      </c>
      <c r="EQ236" s="793">
        <v>0</v>
      </c>
      <c r="ER236" s="793">
        <v>0</v>
      </c>
      <c r="ES236" s="793">
        <v>1</v>
      </c>
      <c r="ET236" s="793">
        <v>7</v>
      </c>
      <c r="EU236" s="793">
        <v>0</v>
      </c>
      <c r="EV236" s="793">
        <v>0</v>
      </c>
      <c r="EW236" s="793">
        <v>0</v>
      </c>
      <c r="EX236" s="793">
        <v>0</v>
      </c>
      <c r="EY236" s="794">
        <v>8</v>
      </c>
      <c r="EZ236" s="793"/>
      <c r="FA236" s="795"/>
    </row>
    <row r="237" spans="1:157">
      <c r="A237" s="73"/>
      <c r="B237" s="73"/>
      <c r="C237" s="73"/>
      <c r="D237" s="73" t="s">
        <v>1398</v>
      </c>
      <c r="E237" s="3261"/>
      <c r="F237" s="3261">
        <v>0</v>
      </c>
      <c r="G237" s="3261">
        <v>0</v>
      </c>
      <c r="H237" s="3261">
        <v>0</v>
      </c>
      <c r="I237" s="3261">
        <v>0</v>
      </c>
      <c r="J237" s="3261">
        <v>2</v>
      </c>
      <c r="K237" s="3261">
        <v>3</v>
      </c>
      <c r="L237" s="3261"/>
      <c r="M237" s="161">
        <v>0</v>
      </c>
      <c r="N237" s="161"/>
      <c r="O237" s="161">
        <v>5</v>
      </c>
      <c r="P237" s="73"/>
      <c r="R237" s="74"/>
      <c r="S237" s="74"/>
      <c r="T237" s="74"/>
      <c r="U237" s="74" t="s">
        <v>1398</v>
      </c>
      <c r="V237" s="3229"/>
      <c r="W237" s="3229"/>
      <c r="X237" s="3229"/>
      <c r="Y237" s="3229"/>
      <c r="Z237" s="3229"/>
      <c r="AA237" s="3229"/>
      <c r="AB237" s="3229">
        <v>3</v>
      </c>
      <c r="AC237" s="3229">
        <v>0</v>
      </c>
      <c r="AD237" s="3229">
        <v>0</v>
      </c>
      <c r="AE237" s="121"/>
      <c r="AF237" s="121"/>
      <c r="AG237" s="121">
        <v>3</v>
      </c>
      <c r="AJ237" s="161"/>
      <c r="AK237" s="161"/>
      <c r="AL237" s="73"/>
      <c r="AM237" s="73" t="s">
        <v>1293</v>
      </c>
      <c r="AN237" s="2600"/>
      <c r="AO237" s="2600">
        <v>0</v>
      </c>
      <c r="AP237" s="2600">
        <v>0</v>
      </c>
      <c r="AQ237" s="2600"/>
      <c r="AR237" s="2600"/>
      <c r="AS237" s="2600"/>
      <c r="AT237" s="2600">
        <v>4</v>
      </c>
      <c r="AU237" s="2600"/>
      <c r="AV237" s="2600"/>
      <c r="AW237" s="161"/>
      <c r="AX237" s="161"/>
      <c r="AY237" s="161">
        <v>4</v>
      </c>
      <c r="AZ237" s="161"/>
      <c r="BB237" s="2191"/>
      <c r="BC237" s="2191"/>
      <c r="BD237" s="2192"/>
      <c r="BE237" s="2193" t="s">
        <v>1293</v>
      </c>
      <c r="BF237" s="2195">
        <v>0</v>
      </c>
      <c r="BG237" s="2194"/>
      <c r="BH237" s="2194"/>
      <c r="BI237" s="2195">
        <v>1</v>
      </c>
      <c r="BJ237" s="2194"/>
      <c r="BK237" s="2194"/>
      <c r="BL237" s="2194"/>
      <c r="BM237" s="2194"/>
      <c r="BN237" s="963"/>
      <c r="BO237" s="963"/>
      <c r="BP237" s="964">
        <v>1</v>
      </c>
      <c r="BQ237" s="73"/>
      <c r="BS237" s="879"/>
      <c r="BT237" s="879"/>
      <c r="BU237" s="880" t="s">
        <v>463</v>
      </c>
      <c r="BV237" s="881" t="s">
        <v>1284</v>
      </c>
      <c r="BW237" s="882"/>
      <c r="BX237" s="883">
        <v>1</v>
      </c>
      <c r="BY237" s="883">
        <v>1</v>
      </c>
      <c r="BZ237" s="882"/>
      <c r="CA237" s="882"/>
      <c r="CB237" s="883">
        <v>3</v>
      </c>
      <c r="CC237" s="883">
        <v>1</v>
      </c>
      <c r="CD237" s="882"/>
      <c r="CE237" s="879"/>
      <c r="CF237" s="879"/>
      <c r="CG237" s="884">
        <v>6</v>
      </c>
      <c r="CH237" s="161"/>
      <c r="CJ237" s="885"/>
      <c r="CK237" s="885"/>
      <c r="CL237" s="885"/>
      <c r="CM237" s="886" t="s">
        <v>1288</v>
      </c>
      <c r="CN237" s="887"/>
      <c r="CO237" s="888">
        <v>0</v>
      </c>
      <c r="CP237" s="888">
        <v>0</v>
      </c>
      <c r="CQ237" s="887"/>
      <c r="CR237" s="888">
        <v>0</v>
      </c>
      <c r="CS237" s="887"/>
      <c r="CT237" s="888">
        <v>1</v>
      </c>
      <c r="CU237" s="888">
        <v>1</v>
      </c>
      <c r="CV237" s="887"/>
      <c r="CW237" s="889"/>
      <c r="CX237" s="889"/>
      <c r="CY237" s="890">
        <v>2</v>
      </c>
      <c r="CZ237" s="891"/>
      <c r="DD237" s="892"/>
      <c r="DE237" s="893" t="s">
        <v>1398</v>
      </c>
      <c r="DF237" s="894"/>
      <c r="DG237" s="895">
        <v>0</v>
      </c>
      <c r="DH237" s="895">
        <v>3</v>
      </c>
      <c r="DI237" s="895">
        <v>0</v>
      </c>
      <c r="DJ237" s="895">
        <v>3</v>
      </c>
      <c r="DK237" s="895">
        <v>1</v>
      </c>
      <c r="DL237" s="895">
        <v>3</v>
      </c>
      <c r="DM237" s="895">
        <v>0</v>
      </c>
      <c r="DN237" s="894"/>
      <c r="DO237" s="895">
        <v>0</v>
      </c>
      <c r="DP237" s="895">
        <v>10</v>
      </c>
      <c r="DQ237" s="792"/>
      <c r="DS237" s="121"/>
      <c r="DT237" s="121"/>
      <c r="DU237" s="121"/>
      <c r="DV237" s="761" t="s">
        <v>15</v>
      </c>
      <c r="DW237" s="729"/>
      <c r="DX237" s="729"/>
      <c r="DY237" s="729">
        <v>3</v>
      </c>
      <c r="DZ237" s="729">
        <v>1</v>
      </c>
      <c r="EA237" s="729">
        <v>1</v>
      </c>
      <c r="EB237" s="729">
        <v>44</v>
      </c>
      <c r="EC237" s="729">
        <v>5</v>
      </c>
      <c r="ED237" s="729">
        <v>7</v>
      </c>
      <c r="EE237" s="729"/>
      <c r="EF237" s="729">
        <v>2</v>
      </c>
      <c r="EG237" s="729">
        <v>63</v>
      </c>
      <c r="EH237" s="813">
        <f>+(EG232+EG235+EG236)/EG237</f>
        <v>0.26984126984126983</v>
      </c>
      <c r="EI237" s="74"/>
      <c r="EJ237" s="793"/>
      <c r="EK237" s="793"/>
      <c r="EL237" s="793"/>
      <c r="EM237" s="793" t="s">
        <v>1398</v>
      </c>
      <c r="EN237" s="793">
        <v>0</v>
      </c>
      <c r="EO237" s="793">
        <v>0</v>
      </c>
      <c r="EP237" s="793">
        <v>0</v>
      </c>
      <c r="EQ237" s="793">
        <v>0</v>
      </c>
      <c r="ER237" s="793">
        <v>0</v>
      </c>
      <c r="ES237" s="793">
        <v>3</v>
      </c>
      <c r="ET237" s="793">
        <v>2</v>
      </c>
      <c r="EU237" s="793">
        <v>0</v>
      </c>
      <c r="EV237" s="793">
        <v>1</v>
      </c>
      <c r="EW237" s="793">
        <v>0</v>
      </c>
      <c r="EX237" s="793">
        <v>0</v>
      </c>
      <c r="EY237" s="794">
        <v>6</v>
      </c>
      <c r="EZ237" s="793"/>
      <c r="FA237" s="795"/>
    </row>
    <row r="238" spans="1:157">
      <c r="A238" s="73"/>
      <c r="B238" s="73"/>
      <c r="C238" s="73"/>
      <c r="D238" s="738" t="s">
        <v>15</v>
      </c>
      <c r="E238" s="3262"/>
      <c r="F238" s="3262">
        <v>3</v>
      </c>
      <c r="G238" s="3262">
        <v>2</v>
      </c>
      <c r="H238" s="3262">
        <v>2</v>
      </c>
      <c r="I238" s="3262">
        <v>3</v>
      </c>
      <c r="J238" s="3262">
        <v>6</v>
      </c>
      <c r="K238" s="3262">
        <v>5</v>
      </c>
      <c r="L238" s="3262"/>
      <c r="M238" s="4674">
        <v>2</v>
      </c>
      <c r="N238" s="4674"/>
      <c r="O238" s="4674">
        <v>23</v>
      </c>
      <c r="P238" s="912">
        <f>+(O237+O236+O234-M234)/O238</f>
        <v>0.34782608695652173</v>
      </c>
      <c r="Q238" s="3197"/>
      <c r="R238" s="74"/>
      <c r="S238" s="74"/>
      <c r="T238" s="74"/>
      <c r="U238" s="761" t="s">
        <v>15</v>
      </c>
      <c r="V238" s="3230"/>
      <c r="W238" s="3230"/>
      <c r="X238" s="3230"/>
      <c r="Y238" s="3230"/>
      <c r="Z238" s="3230"/>
      <c r="AA238" s="3230"/>
      <c r="AB238" s="3230">
        <v>9</v>
      </c>
      <c r="AC238" s="3230">
        <v>2</v>
      </c>
      <c r="AD238" s="3230">
        <v>3</v>
      </c>
      <c r="AE238" s="729"/>
      <c r="AF238" s="729"/>
      <c r="AG238" s="729">
        <v>14</v>
      </c>
      <c r="AH238" s="4681">
        <f>+(AG234+AG236+AG237)/AG238</f>
        <v>0.35714285714285715</v>
      </c>
      <c r="AJ238" s="161"/>
      <c r="AK238" s="161"/>
      <c r="AL238" s="73"/>
      <c r="AM238" s="73" t="s">
        <v>1398</v>
      </c>
      <c r="AN238" s="2600"/>
      <c r="AO238" s="2600">
        <v>0</v>
      </c>
      <c r="AP238" s="2600">
        <v>0</v>
      </c>
      <c r="AQ238" s="2600"/>
      <c r="AR238" s="2600"/>
      <c r="AS238" s="2600"/>
      <c r="AT238" s="2600">
        <v>1</v>
      </c>
      <c r="AU238" s="2600"/>
      <c r="AV238" s="2600"/>
      <c r="AW238" s="161"/>
      <c r="AX238" s="161"/>
      <c r="AY238" s="161">
        <v>1</v>
      </c>
      <c r="AZ238" s="161"/>
      <c r="BB238" s="2191"/>
      <c r="BC238" s="2191"/>
      <c r="BD238" s="2192"/>
      <c r="BE238" s="2193" t="s">
        <v>1398</v>
      </c>
      <c r="BF238" s="2195">
        <v>0</v>
      </c>
      <c r="BG238" s="2194"/>
      <c r="BH238" s="2194"/>
      <c r="BI238" s="2195">
        <v>2</v>
      </c>
      <c r="BJ238" s="2194"/>
      <c r="BK238" s="2194"/>
      <c r="BL238" s="2194"/>
      <c r="BM238" s="2194"/>
      <c r="BN238" s="963"/>
      <c r="BO238" s="963"/>
      <c r="BP238" s="964">
        <v>2</v>
      </c>
      <c r="BQ238" s="73"/>
      <c r="BS238" s="879"/>
      <c r="BT238" s="879"/>
      <c r="BU238" s="880"/>
      <c r="BV238" s="907" t="s">
        <v>15</v>
      </c>
      <c r="BW238" s="908"/>
      <c r="BX238" s="909">
        <v>1</v>
      </c>
      <c r="BY238" s="909">
        <v>1</v>
      </c>
      <c r="BZ238" s="908"/>
      <c r="CA238" s="908"/>
      <c r="CB238" s="909">
        <v>3</v>
      </c>
      <c r="CC238" s="909">
        <v>1</v>
      </c>
      <c r="CD238" s="908"/>
      <c r="CE238" s="910"/>
      <c r="CF238" s="910"/>
      <c r="CG238" s="911">
        <v>6</v>
      </c>
      <c r="CH238" s="912">
        <v>0</v>
      </c>
      <c r="CJ238" s="885"/>
      <c r="CK238" s="885"/>
      <c r="CL238" s="885"/>
      <c r="CM238" s="886" t="s">
        <v>1289</v>
      </c>
      <c r="CN238" s="887"/>
      <c r="CO238" s="888">
        <v>1</v>
      </c>
      <c r="CP238" s="888">
        <v>1</v>
      </c>
      <c r="CQ238" s="887"/>
      <c r="CR238" s="888">
        <v>1</v>
      </c>
      <c r="CS238" s="887"/>
      <c r="CT238" s="888">
        <v>1</v>
      </c>
      <c r="CU238" s="888">
        <v>0</v>
      </c>
      <c r="CV238" s="887"/>
      <c r="CW238" s="889"/>
      <c r="CX238" s="889"/>
      <c r="CY238" s="890">
        <v>4</v>
      </c>
      <c r="CZ238" s="891"/>
      <c r="DD238" s="892"/>
      <c r="DE238" s="902" t="s">
        <v>575</v>
      </c>
      <c r="DF238" s="903"/>
      <c r="DG238" s="904">
        <v>1</v>
      </c>
      <c r="DH238" s="904">
        <v>9</v>
      </c>
      <c r="DI238" s="904">
        <v>1</v>
      </c>
      <c r="DJ238" s="904">
        <v>5</v>
      </c>
      <c r="DK238" s="904">
        <v>24</v>
      </c>
      <c r="DL238" s="904">
        <v>10</v>
      </c>
      <c r="DM238" s="904">
        <v>16</v>
      </c>
      <c r="DN238" s="903"/>
      <c r="DO238" s="904">
        <v>1</v>
      </c>
      <c r="DP238" s="904">
        <v>67</v>
      </c>
      <c r="DQ238" s="905">
        <f>+(DP237+DP236+DP233)/DP238</f>
        <v>0.28358208955223879</v>
      </c>
      <c r="DS238" s="121"/>
      <c r="DT238" s="121"/>
      <c r="DU238" s="121" t="s">
        <v>105</v>
      </c>
      <c r="DV238" s="74" t="s">
        <v>1283</v>
      </c>
      <c r="DW238" s="121"/>
      <c r="DX238" s="121">
        <v>0</v>
      </c>
      <c r="DY238" s="121"/>
      <c r="DZ238" s="121"/>
      <c r="EA238" s="121">
        <v>0</v>
      </c>
      <c r="EB238" s="121">
        <v>0</v>
      </c>
      <c r="EC238" s="121">
        <v>1</v>
      </c>
      <c r="ED238" s="121"/>
      <c r="EE238" s="121"/>
      <c r="EF238" s="121"/>
      <c r="EG238" s="121">
        <v>1</v>
      </c>
      <c r="EH238" s="74"/>
      <c r="EI238" s="74"/>
      <c r="EJ238" s="793"/>
      <c r="EK238" s="793"/>
      <c r="EL238" s="793"/>
      <c r="EM238" s="796" t="s">
        <v>15</v>
      </c>
      <c r="EN238" s="796">
        <v>0</v>
      </c>
      <c r="EO238" s="796">
        <v>0</v>
      </c>
      <c r="EP238" s="796">
        <v>1</v>
      </c>
      <c r="EQ238" s="796">
        <v>0</v>
      </c>
      <c r="ER238" s="796">
        <v>0</v>
      </c>
      <c r="ES238" s="796">
        <v>4</v>
      </c>
      <c r="ET238" s="796">
        <v>38</v>
      </c>
      <c r="EU238" s="796">
        <v>8</v>
      </c>
      <c r="EV238" s="796">
        <v>8</v>
      </c>
      <c r="EW238" s="796">
        <v>1</v>
      </c>
      <c r="EX238" s="796">
        <v>1</v>
      </c>
      <c r="EY238" s="856">
        <v>61</v>
      </c>
      <c r="EZ238" s="797">
        <f>+(EY237+EY236+EY234)/EY238</f>
        <v>0.32786885245901637</v>
      </c>
      <c r="FA238" s="795">
        <f>+EY234+EY236+EY237</f>
        <v>20</v>
      </c>
    </row>
    <row r="239" spans="1:157">
      <c r="A239" s="73"/>
      <c r="B239" s="73"/>
      <c r="C239" s="73" t="s">
        <v>621</v>
      </c>
      <c r="D239" s="73" t="s">
        <v>1284</v>
      </c>
      <c r="E239" s="3261"/>
      <c r="F239" s="3261"/>
      <c r="G239" s="3261">
        <v>1</v>
      </c>
      <c r="H239" s="3261">
        <v>1</v>
      </c>
      <c r="I239" s="3261"/>
      <c r="J239" s="3261">
        <v>13</v>
      </c>
      <c r="K239" s="3261"/>
      <c r="L239" s="3261"/>
      <c r="M239" s="161"/>
      <c r="N239" s="161"/>
      <c r="O239" s="161">
        <v>15</v>
      </c>
      <c r="P239" s="73"/>
      <c r="R239" s="74"/>
      <c r="S239" s="74"/>
      <c r="T239" s="74" t="s">
        <v>143</v>
      </c>
      <c r="U239" s="74" t="s">
        <v>1284</v>
      </c>
      <c r="V239" s="3229"/>
      <c r="W239" s="3229"/>
      <c r="X239" s="3229"/>
      <c r="Y239" s="3229"/>
      <c r="Z239" s="3229">
        <v>0</v>
      </c>
      <c r="AA239" s="3229"/>
      <c r="AB239" s="3229">
        <v>7</v>
      </c>
      <c r="AC239" s="3229">
        <v>3</v>
      </c>
      <c r="AD239" s="3229">
        <v>0</v>
      </c>
      <c r="AE239" s="121"/>
      <c r="AF239" s="121"/>
      <c r="AG239" s="121">
        <v>10</v>
      </c>
      <c r="AJ239" s="161"/>
      <c r="AK239" s="161"/>
      <c r="AL239" s="73"/>
      <c r="AM239" s="738" t="s">
        <v>15</v>
      </c>
      <c r="AN239" s="2601"/>
      <c r="AO239" s="2601">
        <v>1</v>
      </c>
      <c r="AP239" s="2601">
        <v>1</v>
      </c>
      <c r="AQ239" s="2601"/>
      <c r="AR239" s="2601"/>
      <c r="AS239" s="2601"/>
      <c r="AT239" s="2601">
        <v>12</v>
      </c>
      <c r="AU239" s="2601"/>
      <c r="AV239" s="2601"/>
      <c r="AW239" s="151"/>
      <c r="AX239" s="151"/>
      <c r="AY239" s="151">
        <v>14</v>
      </c>
      <c r="AZ239" s="912">
        <f>+(AY236+AY237+AY238)/AY239</f>
        <v>0.42857142857142855</v>
      </c>
      <c r="BB239" s="2191"/>
      <c r="BC239" s="2191"/>
      <c r="BD239" s="2192"/>
      <c r="BE239" s="760" t="s">
        <v>15</v>
      </c>
      <c r="BF239" s="2197">
        <v>1</v>
      </c>
      <c r="BG239" s="2196"/>
      <c r="BH239" s="2196"/>
      <c r="BI239" s="2197">
        <v>7</v>
      </c>
      <c r="BJ239" s="2196"/>
      <c r="BK239" s="2196"/>
      <c r="BL239" s="2196"/>
      <c r="BM239" s="2196"/>
      <c r="BN239" s="972"/>
      <c r="BO239" s="972"/>
      <c r="BP239" s="973">
        <v>8</v>
      </c>
      <c r="BQ239" s="2154">
        <f>+(BP236+BP237+BP238)/BP239</f>
        <v>0.5</v>
      </c>
      <c r="BS239" s="879"/>
      <c r="BT239" s="879"/>
      <c r="BU239" s="880" t="s">
        <v>142</v>
      </c>
      <c r="BV239" s="881" t="s">
        <v>1284</v>
      </c>
      <c r="BW239" s="882"/>
      <c r="BX239" s="882"/>
      <c r="BY239" s="883">
        <v>1</v>
      </c>
      <c r="BZ239" s="882"/>
      <c r="CA239" s="882"/>
      <c r="CB239" s="883">
        <v>2</v>
      </c>
      <c r="CC239" s="883">
        <v>1</v>
      </c>
      <c r="CD239" s="883">
        <v>0</v>
      </c>
      <c r="CE239" s="884">
        <v>0</v>
      </c>
      <c r="CF239" s="879"/>
      <c r="CG239" s="884">
        <v>4</v>
      </c>
      <c r="CH239" s="161"/>
      <c r="CJ239" s="885"/>
      <c r="CK239" s="885"/>
      <c r="CL239" s="885"/>
      <c r="CM239" s="886" t="s">
        <v>1293</v>
      </c>
      <c r="CN239" s="887"/>
      <c r="CO239" s="888">
        <v>0</v>
      </c>
      <c r="CP239" s="888">
        <v>0</v>
      </c>
      <c r="CQ239" s="887"/>
      <c r="CR239" s="888">
        <v>0</v>
      </c>
      <c r="CS239" s="887"/>
      <c r="CT239" s="888">
        <v>2</v>
      </c>
      <c r="CU239" s="888">
        <v>1</v>
      </c>
      <c r="CV239" s="887"/>
      <c r="CW239" s="889"/>
      <c r="CX239" s="889"/>
      <c r="CY239" s="890">
        <v>3</v>
      </c>
      <c r="CZ239" s="891"/>
      <c r="DD239" s="892" t="s">
        <v>888</v>
      </c>
      <c r="DE239" s="893" t="s">
        <v>1284</v>
      </c>
      <c r="DF239" s="894"/>
      <c r="DG239" s="894"/>
      <c r="DH239" s="894"/>
      <c r="DI239" s="894"/>
      <c r="DJ239" s="895">
        <v>2</v>
      </c>
      <c r="DK239" s="895">
        <v>1</v>
      </c>
      <c r="DL239" s="894"/>
      <c r="DM239" s="894"/>
      <c r="DN239" s="894"/>
      <c r="DO239" s="894"/>
      <c r="DP239" s="895">
        <v>3</v>
      </c>
      <c r="DQ239" s="792"/>
      <c r="DS239" s="121"/>
      <c r="DT239" s="121"/>
      <c r="DU239" s="121"/>
      <c r="DV239" s="74" t="s">
        <v>1284</v>
      </c>
      <c r="DW239" s="121"/>
      <c r="DX239" s="121">
        <v>1</v>
      </c>
      <c r="DY239" s="121"/>
      <c r="DZ239" s="121"/>
      <c r="EA239" s="121">
        <v>2</v>
      </c>
      <c r="EB239" s="121">
        <v>35</v>
      </c>
      <c r="EC239" s="121">
        <v>1</v>
      </c>
      <c r="ED239" s="121"/>
      <c r="EE239" s="121"/>
      <c r="EF239" s="121"/>
      <c r="EG239" s="121">
        <v>39</v>
      </c>
      <c r="EH239" s="74"/>
      <c r="EI239" s="74"/>
      <c r="EJ239" s="793"/>
      <c r="EK239" s="793"/>
      <c r="EL239" s="793" t="s">
        <v>105</v>
      </c>
      <c r="EM239" s="793" t="s">
        <v>1284</v>
      </c>
      <c r="EN239" s="793">
        <v>0</v>
      </c>
      <c r="EO239" s="793">
        <v>0</v>
      </c>
      <c r="EP239" s="793">
        <v>0</v>
      </c>
      <c r="EQ239" s="793">
        <v>0</v>
      </c>
      <c r="ER239" s="793">
        <v>0</v>
      </c>
      <c r="ES239" s="793">
        <v>0</v>
      </c>
      <c r="ET239" s="793">
        <v>3</v>
      </c>
      <c r="EU239" s="793">
        <v>0</v>
      </c>
      <c r="EV239" s="793">
        <v>0</v>
      </c>
      <c r="EW239" s="793">
        <v>0</v>
      </c>
      <c r="EX239" s="793">
        <v>0</v>
      </c>
      <c r="EY239" s="794">
        <v>3</v>
      </c>
      <c r="EZ239" s="793"/>
      <c r="FA239" s="795"/>
    </row>
    <row r="240" spans="1:157">
      <c r="A240" s="73"/>
      <c r="B240" s="73"/>
      <c r="C240" s="73"/>
      <c r="D240" s="73" t="s">
        <v>1288</v>
      </c>
      <c r="E240" s="3261"/>
      <c r="F240" s="3261"/>
      <c r="G240" s="3261">
        <v>0</v>
      </c>
      <c r="H240" s="3261">
        <v>0</v>
      </c>
      <c r="I240" s="3261"/>
      <c r="J240" s="3261">
        <v>4</v>
      </c>
      <c r="K240" s="3261"/>
      <c r="L240" s="3261"/>
      <c r="M240" s="161"/>
      <c r="N240" s="161"/>
      <c r="O240" s="161">
        <v>4</v>
      </c>
      <c r="P240" s="73"/>
      <c r="R240" s="74"/>
      <c r="S240" s="74"/>
      <c r="T240" s="74"/>
      <c r="U240" s="74" t="s">
        <v>1288</v>
      </c>
      <c r="V240" s="3229"/>
      <c r="W240" s="3229"/>
      <c r="X240" s="3229"/>
      <c r="Y240" s="3229"/>
      <c r="Z240" s="3229">
        <v>0</v>
      </c>
      <c r="AA240" s="3229"/>
      <c r="AB240" s="3229">
        <v>2</v>
      </c>
      <c r="AC240" s="3229">
        <v>0</v>
      </c>
      <c r="AD240" s="3229">
        <v>0</v>
      </c>
      <c r="AE240" s="121"/>
      <c r="AF240" s="121"/>
      <c r="AG240" s="121">
        <v>2</v>
      </c>
      <c r="AJ240" s="161"/>
      <c r="AK240" s="161"/>
      <c r="AL240" s="73" t="s">
        <v>573</v>
      </c>
      <c r="AM240" s="73" t="s">
        <v>1284</v>
      </c>
      <c r="AN240" s="2600"/>
      <c r="AO240" s="2600">
        <v>2</v>
      </c>
      <c r="AP240" s="2600">
        <v>4</v>
      </c>
      <c r="AQ240" s="2600">
        <v>13</v>
      </c>
      <c r="AR240" s="2600">
        <v>1</v>
      </c>
      <c r="AS240" s="2600">
        <v>1</v>
      </c>
      <c r="AT240" s="2600">
        <v>83</v>
      </c>
      <c r="AU240" s="2600">
        <v>7</v>
      </c>
      <c r="AV240" s="2600">
        <v>0</v>
      </c>
      <c r="AW240" s="161"/>
      <c r="AX240" s="161"/>
      <c r="AY240" s="161">
        <v>111</v>
      </c>
      <c r="AZ240" s="161"/>
      <c r="BB240" s="2191"/>
      <c r="BC240" s="2191"/>
      <c r="BD240" s="2192" t="s">
        <v>575</v>
      </c>
      <c r="BE240" s="2193" t="s">
        <v>1284</v>
      </c>
      <c r="BF240" s="2195">
        <v>4</v>
      </c>
      <c r="BG240" s="2195">
        <v>1</v>
      </c>
      <c r="BH240" s="2194"/>
      <c r="BI240" s="2195">
        <v>3</v>
      </c>
      <c r="BJ240" s="2195">
        <v>1</v>
      </c>
      <c r="BK240" s="2195">
        <v>24</v>
      </c>
      <c r="BL240" s="2195">
        <v>9</v>
      </c>
      <c r="BM240" s="2195">
        <v>3</v>
      </c>
      <c r="BN240" s="964">
        <v>0</v>
      </c>
      <c r="BO240" s="963"/>
      <c r="BP240" s="964">
        <v>45</v>
      </c>
      <c r="BQ240" s="73"/>
      <c r="BS240" s="879"/>
      <c r="BT240" s="879"/>
      <c r="BU240" s="880"/>
      <c r="BV240" s="881" t="s">
        <v>1288</v>
      </c>
      <c r="BW240" s="882"/>
      <c r="BX240" s="882"/>
      <c r="BY240" s="883">
        <v>0</v>
      </c>
      <c r="BZ240" s="882"/>
      <c r="CA240" s="882"/>
      <c r="CB240" s="883">
        <v>0</v>
      </c>
      <c r="CC240" s="883">
        <v>4</v>
      </c>
      <c r="CD240" s="883">
        <v>0</v>
      </c>
      <c r="CE240" s="884">
        <v>0</v>
      </c>
      <c r="CF240" s="879"/>
      <c r="CG240" s="884">
        <v>4</v>
      </c>
      <c r="CH240" s="161"/>
      <c r="CJ240" s="885"/>
      <c r="CK240" s="885"/>
      <c r="CL240" s="885"/>
      <c r="CM240" s="886" t="s">
        <v>1398</v>
      </c>
      <c r="CN240" s="887"/>
      <c r="CO240" s="888">
        <v>0</v>
      </c>
      <c r="CP240" s="888">
        <v>0</v>
      </c>
      <c r="CQ240" s="887"/>
      <c r="CR240" s="888">
        <v>0</v>
      </c>
      <c r="CS240" s="887"/>
      <c r="CT240" s="888">
        <v>4</v>
      </c>
      <c r="CU240" s="888">
        <v>1</v>
      </c>
      <c r="CV240" s="887"/>
      <c r="CW240" s="889"/>
      <c r="CX240" s="889"/>
      <c r="CY240" s="890">
        <v>5</v>
      </c>
      <c r="CZ240" s="891"/>
      <c r="DB240" s="892"/>
      <c r="DC240" s="892"/>
      <c r="DD240" s="892"/>
      <c r="DE240" s="893" t="s">
        <v>1288</v>
      </c>
      <c r="DF240" s="894"/>
      <c r="DG240" s="894"/>
      <c r="DH240" s="894"/>
      <c r="DI240" s="894"/>
      <c r="DJ240" s="895">
        <v>0</v>
      </c>
      <c r="DK240" s="895">
        <v>6</v>
      </c>
      <c r="DL240" s="894"/>
      <c r="DM240" s="894"/>
      <c r="DN240" s="894"/>
      <c r="DO240" s="894"/>
      <c r="DP240" s="895">
        <v>6</v>
      </c>
      <c r="DQ240" s="792"/>
      <c r="DS240" s="121"/>
      <c r="DT240" s="121"/>
      <c r="DU240" s="121"/>
      <c r="DV240" s="74" t="s">
        <v>1288</v>
      </c>
      <c r="DW240" s="121"/>
      <c r="DX240" s="121">
        <v>0</v>
      </c>
      <c r="DY240" s="121"/>
      <c r="DZ240" s="121"/>
      <c r="EA240" s="121">
        <v>0</v>
      </c>
      <c r="EB240" s="121">
        <v>6</v>
      </c>
      <c r="EC240" s="121">
        <v>2</v>
      </c>
      <c r="ED240" s="121"/>
      <c r="EE240" s="121"/>
      <c r="EF240" s="121"/>
      <c r="EG240" s="121">
        <v>8</v>
      </c>
      <c r="EH240" s="74"/>
      <c r="EI240" s="74"/>
      <c r="EJ240" s="793"/>
      <c r="EK240" s="793"/>
      <c r="EL240" s="793"/>
      <c r="EM240" s="793" t="s">
        <v>1288</v>
      </c>
      <c r="EN240" s="793">
        <v>0</v>
      </c>
      <c r="EO240" s="793">
        <v>0</v>
      </c>
      <c r="EP240" s="793">
        <v>0</v>
      </c>
      <c r="EQ240" s="793">
        <v>0</v>
      </c>
      <c r="ER240" s="793">
        <v>0</v>
      </c>
      <c r="ES240" s="793">
        <v>0</v>
      </c>
      <c r="ET240" s="793">
        <v>4</v>
      </c>
      <c r="EU240" s="793">
        <v>0</v>
      </c>
      <c r="EV240" s="793">
        <v>0</v>
      </c>
      <c r="EW240" s="793">
        <v>0</v>
      </c>
      <c r="EX240" s="793">
        <v>0</v>
      </c>
      <c r="EY240" s="794">
        <v>4</v>
      </c>
      <c r="EZ240" s="793"/>
      <c r="FA240" s="795"/>
    </row>
    <row r="241" spans="1:157">
      <c r="A241" s="73"/>
      <c r="B241" s="73"/>
      <c r="C241" s="73"/>
      <c r="D241" s="73" t="s">
        <v>1293</v>
      </c>
      <c r="E241" s="3261"/>
      <c r="F241" s="3261"/>
      <c r="G241" s="3261">
        <v>0</v>
      </c>
      <c r="H241" s="3261">
        <v>0</v>
      </c>
      <c r="I241" s="3261"/>
      <c r="J241" s="3261">
        <v>4</v>
      </c>
      <c r="K241" s="3261"/>
      <c r="L241" s="3261"/>
      <c r="M241" s="161"/>
      <c r="N241" s="161"/>
      <c r="O241" s="161">
        <v>4</v>
      </c>
      <c r="P241" s="73"/>
      <c r="R241" s="74"/>
      <c r="S241" s="74"/>
      <c r="T241" s="74"/>
      <c r="U241" s="74" t="s">
        <v>1292</v>
      </c>
      <c r="V241" s="3229"/>
      <c r="W241" s="3229"/>
      <c r="X241" s="3229"/>
      <c r="Y241" s="3229"/>
      <c r="Z241" s="3229">
        <v>0</v>
      </c>
      <c r="AA241" s="3229"/>
      <c r="AB241" s="3229">
        <v>0</v>
      </c>
      <c r="AC241" s="3229">
        <v>0</v>
      </c>
      <c r="AD241" s="3229">
        <v>5</v>
      </c>
      <c r="AE241" s="121"/>
      <c r="AF241" s="121"/>
      <c r="AG241" s="121">
        <v>5</v>
      </c>
      <c r="AJ241" s="161"/>
      <c r="AK241" s="161"/>
      <c r="AL241" s="73"/>
      <c r="AM241" s="73" t="s">
        <v>1288</v>
      </c>
      <c r="AN241" s="2600"/>
      <c r="AO241" s="2600">
        <v>0</v>
      </c>
      <c r="AP241" s="2600">
        <v>0</v>
      </c>
      <c r="AQ241" s="2600">
        <v>3</v>
      </c>
      <c r="AR241" s="2600">
        <v>3</v>
      </c>
      <c r="AS241" s="2600">
        <v>0</v>
      </c>
      <c r="AT241" s="2600">
        <v>9</v>
      </c>
      <c r="AU241" s="2600">
        <v>1</v>
      </c>
      <c r="AV241" s="2600">
        <v>0</v>
      </c>
      <c r="AW241" s="161"/>
      <c r="AX241" s="161"/>
      <c r="AY241" s="161">
        <v>16</v>
      </c>
      <c r="AZ241" s="161"/>
      <c r="BB241" s="2191"/>
      <c r="BC241" s="2191"/>
      <c r="BD241" s="2192"/>
      <c r="BE241" s="2193" t="s">
        <v>1286</v>
      </c>
      <c r="BF241" s="2195">
        <v>0</v>
      </c>
      <c r="BG241" s="2195">
        <v>1</v>
      </c>
      <c r="BH241" s="2194"/>
      <c r="BI241" s="2195">
        <v>0</v>
      </c>
      <c r="BJ241" s="2195">
        <v>0</v>
      </c>
      <c r="BK241" s="2195">
        <v>0</v>
      </c>
      <c r="BL241" s="2195">
        <v>0</v>
      </c>
      <c r="BM241" s="2195">
        <v>0</v>
      </c>
      <c r="BN241" s="964">
        <v>0</v>
      </c>
      <c r="BO241" s="963"/>
      <c r="BP241" s="964">
        <v>1</v>
      </c>
      <c r="BQ241" s="73"/>
      <c r="BS241" s="879"/>
      <c r="BT241" s="879"/>
      <c r="BU241" s="880"/>
      <c r="BV241" s="881" t="s">
        <v>1292</v>
      </c>
      <c r="BW241" s="882"/>
      <c r="BX241" s="882"/>
      <c r="BY241" s="883">
        <v>0</v>
      </c>
      <c r="BZ241" s="882"/>
      <c r="CA241" s="882"/>
      <c r="CB241" s="883">
        <v>0</v>
      </c>
      <c r="CC241" s="883">
        <v>0</v>
      </c>
      <c r="CD241" s="883">
        <v>1</v>
      </c>
      <c r="CE241" s="884">
        <v>2</v>
      </c>
      <c r="CF241" s="879"/>
      <c r="CG241" s="884">
        <v>3</v>
      </c>
      <c r="CH241" s="161"/>
      <c r="CJ241" s="885"/>
      <c r="CK241" s="885"/>
      <c r="CL241" s="885"/>
      <c r="CM241" s="897" t="s">
        <v>15</v>
      </c>
      <c r="CN241" s="898"/>
      <c r="CO241" s="899">
        <v>1</v>
      </c>
      <c r="CP241" s="899">
        <v>1</v>
      </c>
      <c r="CQ241" s="898"/>
      <c r="CR241" s="899">
        <v>1</v>
      </c>
      <c r="CS241" s="898"/>
      <c r="CT241" s="899">
        <v>12</v>
      </c>
      <c r="CU241" s="899">
        <v>5</v>
      </c>
      <c r="CV241" s="898"/>
      <c r="CW241" s="900"/>
      <c r="CX241" s="900"/>
      <c r="CY241" s="901">
        <v>20</v>
      </c>
      <c r="CZ241" s="891">
        <f>+(CY240+CY239+CY237)/CY241</f>
        <v>0.5</v>
      </c>
      <c r="DB241" s="892"/>
      <c r="DC241" s="892"/>
      <c r="DD241" s="892"/>
      <c r="DE241" s="893" t="s">
        <v>1293</v>
      </c>
      <c r="DF241" s="894"/>
      <c r="DG241" s="894"/>
      <c r="DH241" s="894"/>
      <c r="DI241" s="894"/>
      <c r="DJ241" s="895">
        <v>0</v>
      </c>
      <c r="DK241" s="895">
        <v>1</v>
      </c>
      <c r="DL241" s="894"/>
      <c r="DM241" s="894"/>
      <c r="DN241" s="894"/>
      <c r="DO241" s="894"/>
      <c r="DP241" s="895">
        <v>1</v>
      </c>
      <c r="DQ241" s="792"/>
      <c r="DS241" s="121"/>
      <c r="DT241" s="121"/>
      <c r="DU241" s="121"/>
      <c r="DV241" s="74" t="s">
        <v>1292</v>
      </c>
      <c r="DW241" s="121"/>
      <c r="DX241" s="121">
        <v>0</v>
      </c>
      <c r="DY241" s="121"/>
      <c r="DZ241" s="121"/>
      <c r="EA241" s="121">
        <v>0</v>
      </c>
      <c r="EB241" s="121">
        <v>0</v>
      </c>
      <c r="EC241" s="121">
        <v>1</v>
      </c>
      <c r="ED241" s="121"/>
      <c r="EE241" s="121"/>
      <c r="EF241" s="121"/>
      <c r="EG241" s="121">
        <v>1</v>
      </c>
      <c r="EH241" s="74"/>
      <c r="EI241" s="74"/>
      <c r="EJ241" s="793"/>
      <c r="EK241" s="793"/>
      <c r="EL241" s="793"/>
      <c r="EM241" s="793" t="s">
        <v>1292</v>
      </c>
      <c r="EN241" s="793">
        <v>0</v>
      </c>
      <c r="EO241" s="793">
        <v>0</v>
      </c>
      <c r="EP241" s="793">
        <v>0</v>
      </c>
      <c r="EQ241" s="793">
        <v>0</v>
      </c>
      <c r="ER241" s="793">
        <v>0</v>
      </c>
      <c r="ES241" s="793">
        <v>1</v>
      </c>
      <c r="ET241" s="793">
        <v>0</v>
      </c>
      <c r="EU241" s="793">
        <v>0</v>
      </c>
      <c r="EV241" s="793">
        <v>0</v>
      </c>
      <c r="EW241" s="793">
        <v>0</v>
      </c>
      <c r="EX241" s="793">
        <v>0</v>
      </c>
      <c r="EY241" s="794">
        <v>1</v>
      </c>
      <c r="EZ241" s="793"/>
      <c r="FA241" s="795"/>
    </row>
    <row r="242" spans="1:157">
      <c r="A242" s="73"/>
      <c r="B242" s="73"/>
      <c r="C242" s="73"/>
      <c r="D242" s="738" t="s">
        <v>15</v>
      </c>
      <c r="E242" s="3262"/>
      <c r="F242" s="3262"/>
      <c r="G242" s="3262">
        <v>1</v>
      </c>
      <c r="H242" s="3262">
        <v>1</v>
      </c>
      <c r="I242" s="3262"/>
      <c r="J242" s="3262">
        <v>21</v>
      </c>
      <c r="K242" s="3262"/>
      <c r="L242" s="3262"/>
      <c r="M242" s="4674"/>
      <c r="N242" s="4674"/>
      <c r="O242" s="4674">
        <v>23</v>
      </c>
      <c r="P242" s="912">
        <f>+(O241+O240)/O242</f>
        <v>0.34782608695652173</v>
      </c>
      <c r="Q242" s="3197"/>
      <c r="R242" s="74"/>
      <c r="S242" s="74"/>
      <c r="T242" s="74"/>
      <c r="U242" s="74" t="s">
        <v>1293</v>
      </c>
      <c r="V242" s="3229"/>
      <c r="W242" s="3229"/>
      <c r="X242" s="3229"/>
      <c r="Y242" s="3229"/>
      <c r="Z242" s="3229">
        <v>0</v>
      </c>
      <c r="AA242" s="3229"/>
      <c r="AB242" s="3229">
        <v>1</v>
      </c>
      <c r="AC242" s="3229">
        <v>1</v>
      </c>
      <c r="AD242" s="3229">
        <v>0</v>
      </c>
      <c r="AE242" s="121"/>
      <c r="AF242" s="121"/>
      <c r="AG242" s="121">
        <v>2</v>
      </c>
      <c r="AJ242" s="161"/>
      <c r="AK242" s="161"/>
      <c r="AL242" s="73"/>
      <c r="AM242" s="73" t="s">
        <v>1292</v>
      </c>
      <c r="AN242" s="2600"/>
      <c r="AO242" s="2600">
        <v>0</v>
      </c>
      <c r="AP242" s="2600">
        <v>0</v>
      </c>
      <c r="AQ242" s="2600">
        <v>0</v>
      </c>
      <c r="AR242" s="2600">
        <v>1</v>
      </c>
      <c r="AS242" s="2600">
        <v>0</v>
      </c>
      <c r="AT242" s="2600">
        <v>0</v>
      </c>
      <c r="AU242" s="2600">
        <v>0</v>
      </c>
      <c r="AV242" s="2600">
        <v>1</v>
      </c>
      <c r="AW242" s="161"/>
      <c r="AX242" s="161"/>
      <c r="AY242" s="161">
        <v>2</v>
      </c>
      <c r="AZ242" s="161"/>
      <c r="BB242" s="2191"/>
      <c r="BC242" s="2191"/>
      <c r="BD242" s="2192"/>
      <c r="BE242" s="2193" t="s">
        <v>1288</v>
      </c>
      <c r="BF242" s="2195">
        <v>0</v>
      </c>
      <c r="BG242" s="2195">
        <v>0</v>
      </c>
      <c r="BH242" s="2194"/>
      <c r="BI242" s="2195">
        <v>1</v>
      </c>
      <c r="BJ242" s="2195">
        <v>2</v>
      </c>
      <c r="BK242" s="2195">
        <v>6</v>
      </c>
      <c r="BL242" s="2195">
        <v>2</v>
      </c>
      <c r="BM242" s="2195">
        <v>0</v>
      </c>
      <c r="BN242" s="964">
        <v>0</v>
      </c>
      <c r="BO242" s="963"/>
      <c r="BP242" s="964">
        <v>11</v>
      </c>
      <c r="BQ242" s="73"/>
      <c r="BS242" s="879"/>
      <c r="BT242" s="879"/>
      <c r="BU242" s="880"/>
      <c r="BV242" s="881" t="s">
        <v>1293</v>
      </c>
      <c r="BW242" s="882"/>
      <c r="BX242" s="882"/>
      <c r="BY242" s="883">
        <v>0</v>
      </c>
      <c r="BZ242" s="882"/>
      <c r="CA242" s="882"/>
      <c r="CB242" s="883">
        <v>1</v>
      </c>
      <c r="CC242" s="883">
        <v>1</v>
      </c>
      <c r="CD242" s="883">
        <v>0</v>
      </c>
      <c r="CE242" s="884">
        <v>0</v>
      </c>
      <c r="CF242" s="879"/>
      <c r="CG242" s="884">
        <v>2</v>
      </c>
      <c r="CH242" s="161"/>
      <c r="CJ242" s="885"/>
      <c r="CK242" s="885"/>
      <c r="CL242" s="897" t="s">
        <v>573</v>
      </c>
      <c r="CM242" s="886" t="s">
        <v>1284</v>
      </c>
      <c r="CN242" s="887"/>
      <c r="CO242" s="888">
        <v>0</v>
      </c>
      <c r="CP242" s="888">
        <v>0</v>
      </c>
      <c r="CQ242" s="887"/>
      <c r="CR242" s="888">
        <v>0</v>
      </c>
      <c r="CS242" s="887"/>
      <c r="CT242" s="888">
        <v>4</v>
      </c>
      <c r="CU242" s="888">
        <v>2</v>
      </c>
      <c r="CV242" s="887"/>
      <c r="CW242" s="889"/>
      <c r="CX242" s="889"/>
      <c r="CY242" s="890">
        <v>6</v>
      </c>
      <c r="CZ242" s="891"/>
      <c r="DB242" s="892"/>
      <c r="DC242" s="892"/>
      <c r="DD242" s="892"/>
      <c r="DE242" s="893" t="s">
        <v>1398</v>
      </c>
      <c r="DF242" s="894"/>
      <c r="DG242" s="894"/>
      <c r="DH242" s="894"/>
      <c r="DI242" s="894"/>
      <c r="DJ242" s="895">
        <v>0</v>
      </c>
      <c r="DK242" s="895">
        <v>5</v>
      </c>
      <c r="DL242" s="894"/>
      <c r="DM242" s="894"/>
      <c r="DN242" s="894"/>
      <c r="DO242" s="894"/>
      <c r="DP242" s="895">
        <v>5</v>
      </c>
      <c r="DQ242" s="792"/>
      <c r="DS242" s="121"/>
      <c r="DT242" s="121"/>
      <c r="DU242" s="121"/>
      <c r="DV242" s="74" t="s">
        <v>1293</v>
      </c>
      <c r="DW242" s="121"/>
      <c r="DX242" s="121">
        <v>0</v>
      </c>
      <c r="DY242" s="121"/>
      <c r="DZ242" s="121"/>
      <c r="EA242" s="121">
        <v>0</v>
      </c>
      <c r="EB242" s="121">
        <v>7</v>
      </c>
      <c r="EC242" s="121">
        <v>2</v>
      </c>
      <c r="ED242" s="121"/>
      <c r="EE242" s="121"/>
      <c r="EF242" s="121"/>
      <c r="EG242" s="121">
        <v>9</v>
      </c>
      <c r="EH242" s="74"/>
      <c r="EI242" s="74"/>
      <c r="EJ242" s="793"/>
      <c r="EK242" s="793"/>
      <c r="EL242" s="793"/>
      <c r="EM242" s="793" t="s">
        <v>1293</v>
      </c>
      <c r="EN242" s="793">
        <v>0</v>
      </c>
      <c r="EO242" s="793">
        <v>0</v>
      </c>
      <c r="EP242" s="793">
        <v>0</v>
      </c>
      <c r="EQ242" s="793">
        <v>0</v>
      </c>
      <c r="ER242" s="793">
        <v>0</v>
      </c>
      <c r="ES242" s="793">
        <v>0</v>
      </c>
      <c r="ET242" s="793">
        <v>5</v>
      </c>
      <c r="EU242" s="793">
        <v>0</v>
      </c>
      <c r="EV242" s="793">
        <v>0</v>
      </c>
      <c r="EW242" s="793">
        <v>0</v>
      </c>
      <c r="EX242" s="793">
        <v>0</v>
      </c>
      <c r="EY242" s="794">
        <v>5</v>
      </c>
      <c r="EZ242" s="793"/>
      <c r="FA242" s="795"/>
    </row>
    <row r="243" spans="1:157" ht="15.75" thickBot="1">
      <c r="A243" s="73"/>
      <c r="B243" s="73"/>
      <c r="C243" s="73" t="s">
        <v>2009</v>
      </c>
      <c r="D243" s="73" t="s">
        <v>1284</v>
      </c>
      <c r="E243" s="3261">
        <v>1</v>
      </c>
      <c r="F243" s="3261"/>
      <c r="G243" s="3261"/>
      <c r="H243" s="3261"/>
      <c r="I243" s="3261"/>
      <c r="J243" s="3261">
        <v>5</v>
      </c>
      <c r="K243" s="3261">
        <v>0</v>
      </c>
      <c r="L243" s="3261"/>
      <c r="M243" s="161"/>
      <c r="N243" s="161"/>
      <c r="O243" s="161">
        <v>6</v>
      </c>
      <c r="P243" s="73"/>
      <c r="R243" s="74"/>
      <c r="S243" s="74"/>
      <c r="T243" s="74"/>
      <c r="U243" s="74" t="s">
        <v>1398</v>
      </c>
      <c r="V243" s="3229"/>
      <c r="W243" s="3229"/>
      <c r="X243" s="3229"/>
      <c r="Y243" s="3229"/>
      <c r="Z243" s="3229">
        <v>1</v>
      </c>
      <c r="AA243" s="3229"/>
      <c r="AB243" s="3229">
        <v>3</v>
      </c>
      <c r="AC243" s="3229">
        <v>1</v>
      </c>
      <c r="AD243" s="3229">
        <v>0</v>
      </c>
      <c r="AE243" s="121"/>
      <c r="AF243" s="121"/>
      <c r="AG243" s="121">
        <v>5</v>
      </c>
      <c r="AJ243" s="161"/>
      <c r="AK243" s="161"/>
      <c r="AL243" s="73"/>
      <c r="AM243" s="73" t="s">
        <v>1293</v>
      </c>
      <c r="AN243" s="2600"/>
      <c r="AO243" s="2600">
        <v>0</v>
      </c>
      <c r="AP243" s="2600">
        <v>0</v>
      </c>
      <c r="AQ243" s="2600">
        <v>2</v>
      </c>
      <c r="AR243" s="2600">
        <v>1</v>
      </c>
      <c r="AS243" s="2600">
        <v>0</v>
      </c>
      <c r="AT243" s="2600">
        <v>15</v>
      </c>
      <c r="AU243" s="2600">
        <v>2</v>
      </c>
      <c r="AV243" s="2600">
        <v>1</v>
      </c>
      <c r="AW243" s="161"/>
      <c r="AX243" s="161"/>
      <c r="AY243" s="161">
        <v>21</v>
      </c>
      <c r="AZ243" s="161"/>
      <c r="BB243" s="2191"/>
      <c r="BC243" s="2191"/>
      <c r="BD243" s="2192"/>
      <c r="BE243" s="2193" t="s">
        <v>1292</v>
      </c>
      <c r="BF243" s="2195">
        <v>0</v>
      </c>
      <c r="BG243" s="2195">
        <v>0</v>
      </c>
      <c r="BH243" s="2194"/>
      <c r="BI243" s="2195">
        <v>0</v>
      </c>
      <c r="BJ243" s="2195">
        <v>0</v>
      </c>
      <c r="BK243" s="2195">
        <v>1</v>
      </c>
      <c r="BL243" s="2195">
        <v>1</v>
      </c>
      <c r="BM243" s="2195">
        <v>5</v>
      </c>
      <c r="BN243" s="964">
        <v>2</v>
      </c>
      <c r="BO243" s="963"/>
      <c r="BP243" s="964">
        <v>9</v>
      </c>
      <c r="BQ243" s="73"/>
      <c r="BS243" s="879"/>
      <c r="BT243" s="879"/>
      <c r="BU243" s="880"/>
      <c r="BV243" s="881" t="s">
        <v>1398</v>
      </c>
      <c r="BW243" s="882"/>
      <c r="BX243" s="882"/>
      <c r="BY243" s="883">
        <v>0</v>
      </c>
      <c r="BZ243" s="882"/>
      <c r="CA243" s="882"/>
      <c r="CB243" s="883">
        <v>1</v>
      </c>
      <c r="CC243" s="883">
        <v>0</v>
      </c>
      <c r="CD243" s="883">
        <v>2</v>
      </c>
      <c r="CE243" s="884">
        <v>0</v>
      </c>
      <c r="CF243" s="879"/>
      <c r="CG243" s="884">
        <v>3</v>
      </c>
      <c r="CH243" s="161"/>
      <c r="CJ243" s="885"/>
      <c r="CK243" s="885"/>
      <c r="CL243" s="885"/>
      <c r="CM243" s="886" t="s">
        <v>1288</v>
      </c>
      <c r="CN243" s="887"/>
      <c r="CO243" s="888">
        <v>0</v>
      </c>
      <c r="CP243" s="888">
        <v>0</v>
      </c>
      <c r="CQ243" s="887"/>
      <c r="CR243" s="888">
        <v>0</v>
      </c>
      <c r="CS243" s="887"/>
      <c r="CT243" s="888">
        <v>1</v>
      </c>
      <c r="CU243" s="888">
        <v>1</v>
      </c>
      <c r="CV243" s="887"/>
      <c r="CW243" s="889"/>
      <c r="CX243" s="889"/>
      <c r="CY243" s="890">
        <v>2</v>
      </c>
      <c r="CZ243" s="891"/>
      <c r="DB243" s="915"/>
      <c r="DC243" s="915"/>
      <c r="DD243" s="915"/>
      <c r="DE243" s="916" t="s">
        <v>888</v>
      </c>
      <c r="DF243" s="917"/>
      <c r="DG243" s="917"/>
      <c r="DH243" s="917"/>
      <c r="DI243" s="917"/>
      <c r="DJ243" s="918">
        <v>2</v>
      </c>
      <c r="DK243" s="918">
        <v>13</v>
      </c>
      <c r="DL243" s="917"/>
      <c r="DM243" s="917"/>
      <c r="DN243" s="917"/>
      <c r="DO243" s="917"/>
      <c r="DP243" s="918">
        <v>15</v>
      </c>
      <c r="DQ243" s="919">
        <f>+(DP242+DP241+DP240)/DP243</f>
        <v>0.8</v>
      </c>
      <c r="DS243" s="121"/>
      <c r="DT243" s="121"/>
      <c r="DU243" s="121"/>
      <c r="DV243" s="74" t="s">
        <v>1398</v>
      </c>
      <c r="DW243" s="121"/>
      <c r="DX243" s="121">
        <v>0</v>
      </c>
      <c r="DY243" s="121"/>
      <c r="DZ243" s="121"/>
      <c r="EA243" s="121">
        <v>0</v>
      </c>
      <c r="EB243" s="121">
        <v>9</v>
      </c>
      <c r="EC243" s="121">
        <v>4</v>
      </c>
      <c r="ED243" s="121"/>
      <c r="EE243" s="121"/>
      <c r="EF243" s="121"/>
      <c r="EG243" s="121">
        <v>13</v>
      </c>
      <c r="EH243" s="74"/>
      <c r="EI243" s="74"/>
      <c r="EJ243" s="793"/>
      <c r="EK243" s="793"/>
      <c r="EL243" s="793"/>
      <c r="EM243" s="793" t="s">
        <v>1398</v>
      </c>
      <c r="EN243" s="793">
        <v>0</v>
      </c>
      <c r="EO243" s="793">
        <v>0</v>
      </c>
      <c r="EP243" s="793">
        <v>0</v>
      </c>
      <c r="EQ243" s="793">
        <v>0</v>
      </c>
      <c r="ER243" s="793">
        <v>0</v>
      </c>
      <c r="ES243" s="793">
        <v>0</v>
      </c>
      <c r="ET243" s="793">
        <v>5</v>
      </c>
      <c r="EU243" s="793">
        <v>0</v>
      </c>
      <c r="EV243" s="793">
        <v>0</v>
      </c>
      <c r="EW243" s="793">
        <v>0</v>
      </c>
      <c r="EX243" s="793">
        <v>0</v>
      </c>
      <c r="EY243" s="794">
        <v>5</v>
      </c>
      <c r="EZ243" s="793"/>
      <c r="FA243" s="795"/>
    </row>
    <row r="244" spans="1:157" ht="15.75" thickBot="1">
      <c r="A244" s="73"/>
      <c r="B244" s="73"/>
      <c r="C244" s="73"/>
      <c r="D244" s="73" t="s">
        <v>1288</v>
      </c>
      <c r="E244" s="3261">
        <v>0</v>
      </c>
      <c r="F244" s="3261"/>
      <c r="G244" s="3261"/>
      <c r="H244" s="3261"/>
      <c r="I244" s="3261"/>
      <c r="J244" s="3261">
        <v>4</v>
      </c>
      <c r="K244" s="3261">
        <v>2</v>
      </c>
      <c r="L244" s="3261"/>
      <c r="M244" s="161"/>
      <c r="N244" s="161"/>
      <c r="O244" s="161">
        <v>6</v>
      </c>
      <c r="P244" s="73"/>
      <c r="R244" s="74"/>
      <c r="S244" s="74"/>
      <c r="T244" s="74"/>
      <c r="U244" s="761" t="s">
        <v>15</v>
      </c>
      <c r="V244" s="3230"/>
      <c r="W244" s="3230"/>
      <c r="X244" s="3230"/>
      <c r="Y244" s="3230"/>
      <c r="Z244" s="3230">
        <v>1</v>
      </c>
      <c r="AA244" s="3230"/>
      <c r="AB244" s="3230">
        <v>13</v>
      </c>
      <c r="AC244" s="3230">
        <v>5</v>
      </c>
      <c r="AD244" s="3230">
        <v>5</v>
      </c>
      <c r="AE244" s="729"/>
      <c r="AF244" s="729"/>
      <c r="AG244" s="729">
        <v>24</v>
      </c>
      <c r="AH244" s="4681">
        <f>+(AG240+AG242+AG243)/AG244</f>
        <v>0.375</v>
      </c>
      <c r="AJ244" s="161"/>
      <c r="AK244" s="161"/>
      <c r="AL244" s="73"/>
      <c r="AM244" s="73" t="s">
        <v>1398</v>
      </c>
      <c r="AN244" s="2600"/>
      <c r="AO244" s="2600">
        <v>0</v>
      </c>
      <c r="AP244" s="2600">
        <v>0</v>
      </c>
      <c r="AQ244" s="2600">
        <v>10</v>
      </c>
      <c r="AR244" s="2600">
        <v>2</v>
      </c>
      <c r="AS244" s="2600">
        <v>0</v>
      </c>
      <c r="AT244" s="2600">
        <v>9</v>
      </c>
      <c r="AU244" s="2600">
        <v>3</v>
      </c>
      <c r="AV244" s="2600">
        <v>0</v>
      </c>
      <c r="AW244" s="161"/>
      <c r="AX244" s="161"/>
      <c r="AY244" s="161">
        <v>24</v>
      </c>
      <c r="AZ244" s="161"/>
      <c r="BB244" s="2191"/>
      <c r="BC244" s="2191"/>
      <c r="BD244" s="2192"/>
      <c r="BE244" s="2193" t="s">
        <v>1293</v>
      </c>
      <c r="BF244" s="2195">
        <v>0</v>
      </c>
      <c r="BG244" s="2195">
        <v>0</v>
      </c>
      <c r="BH244" s="2194"/>
      <c r="BI244" s="2195">
        <v>1</v>
      </c>
      <c r="BJ244" s="2195">
        <v>1</v>
      </c>
      <c r="BK244" s="2195">
        <v>4</v>
      </c>
      <c r="BL244" s="2195">
        <v>4</v>
      </c>
      <c r="BM244" s="2195">
        <v>0</v>
      </c>
      <c r="BN244" s="964">
        <v>0</v>
      </c>
      <c r="BO244" s="963"/>
      <c r="BP244" s="964">
        <v>10</v>
      </c>
      <c r="BQ244" s="73"/>
      <c r="BS244" s="879"/>
      <c r="BT244" s="879"/>
      <c r="BU244" s="880"/>
      <c r="BV244" s="907" t="s">
        <v>15</v>
      </c>
      <c r="BW244" s="908"/>
      <c r="BX244" s="908"/>
      <c r="BY244" s="909">
        <v>1</v>
      </c>
      <c r="BZ244" s="908"/>
      <c r="CA244" s="908"/>
      <c r="CB244" s="909">
        <v>4</v>
      </c>
      <c r="CC244" s="909">
        <v>6</v>
      </c>
      <c r="CD244" s="909">
        <v>3</v>
      </c>
      <c r="CE244" s="911">
        <v>2</v>
      </c>
      <c r="CF244" s="910"/>
      <c r="CG244" s="911">
        <v>16</v>
      </c>
      <c r="CH244" s="912">
        <f>+(CG240+CG242+CG243)/CG244</f>
        <v>0.5625</v>
      </c>
      <c r="CJ244" s="885"/>
      <c r="CK244" s="885"/>
      <c r="CL244" s="885"/>
      <c r="CM244" s="886" t="s">
        <v>1289</v>
      </c>
      <c r="CN244" s="887"/>
      <c r="CO244" s="888">
        <v>1</v>
      </c>
      <c r="CP244" s="888">
        <v>1</v>
      </c>
      <c r="CQ244" s="887"/>
      <c r="CR244" s="888">
        <v>1</v>
      </c>
      <c r="CS244" s="887"/>
      <c r="CT244" s="888">
        <v>1</v>
      </c>
      <c r="CU244" s="888">
        <v>0</v>
      </c>
      <c r="CV244" s="887"/>
      <c r="CW244" s="889"/>
      <c r="CX244" s="889"/>
      <c r="CY244" s="890">
        <v>4</v>
      </c>
      <c r="CZ244" s="891"/>
      <c r="DB244" s="892"/>
      <c r="DC244" s="892"/>
      <c r="DS244" s="121"/>
      <c r="DT244" s="819"/>
      <c r="DU244" s="819"/>
      <c r="DV244" s="821" t="s">
        <v>15</v>
      </c>
      <c r="DW244" s="768"/>
      <c r="DX244" s="768">
        <v>1</v>
      </c>
      <c r="DY244" s="768"/>
      <c r="DZ244" s="768"/>
      <c r="EA244" s="768">
        <v>2</v>
      </c>
      <c r="EB244" s="768">
        <v>57</v>
      </c>
      <c r="EC244" s="768">
        <v>11</v>
      </c>
      <c r="ED244" s="768"/>
      <c r="EE244" s="768"/>
      <c r="EF244" s="768"/>
      <c r="EG244" s="768">
        <v>71</v>
      </c>
      <c r="EH244" s="920">
        <f>+(EG240+EG242+EG243)/EG244</f>
        <v>0.42253521126760563</v>
      </c>
      <c r="EI244" s="74"/>
      <c r="EJ244" s="793"/>
      <c r="EK244" s="913"/>
      <c r="EL244" s="913"/>
      <c r="EM244" s="816" t="s">
        <v>15</v>
      </c>
      <c r="EN244" s="816">
        <v>0</v>
      </c>
      <c r="EO244" s="816">
        <v>0</v>
      </c>
      <c r="EP244" s="816">
        <v>0</v>
      </c>
      <c r="EQ244" s="816">
        <v>0</v>
      </c>
      <c r="ER244" s="816">
        <v>0</v>
      </c>
      <c r="ES244" s="816">
        <v>1</v>
      </c>
      <c r="ET244" s="816">
        <v>17</v>
      </c>
      <c r="EU244" s="816">
        <v>0</v>
      </c>
      <c r="EV244" s="816">
        <v>0</v>
      </c>
      <c r="EW244" s="816">
        <v>0</v>
      </c>
      <c r="EX244" s="816">
        <v>0</v>
      </c>
      <c r="EY244" s="817">
        <v>18</v>
      </c>
      <c r="EZ244" s="818">
        <f>+(EY243+EY242+EY240)/EY244</f>
        <v>0.77777777777777779</v>
      </c>
      <c r="FA244" s="770">
        <f>+EY240+EY242+EY243</f>
        <v>14</v>
      </c>
    </row>
    <row r="245" spans="1:157">
      <c r="A245" s="73"/>
      <c r="B245" s="73"/>
      <c r="C245" s="73"/>
      <c r="D245" s="73" t="s">
        <v>1293</v>
      </c>
      <c r="E245" s="3261">
        <v>0</v>
      </c>
      <c r="F245" s="3261"/>
      <c r="G245" s="3261"/>
      <c r="H245" s="3261"/>
      <c r="I245" s="3261"/>
      <c r="J245" s="3261">
        <v>7</v>
      </c>
      <c r="K245" s="3261">
        <v>0</v>
      </c>
      <c r="L245" s="3261"/>
      <c r="M245" s="161"/>
      <c r="N245" s="161"/>
      <c r="O245" s="161">
        <v>7</v>
      </c>
      <c r="P245" s="73"/>
      <c r="R245" s="74"/>
      <c r="S245" s="74"/>
      <c r="T245" s="74" t="s">
        <v>2010</v>
      </c>
      <c r="U245" s="74" t="s">
        <v>1284</v>
      </c>
      <c r="V245" s="3229"/>
      <c r="W245" s="3229"/>
      <c r="X245" s="3229"/>
      <c r="Y245" s="3229">
        <v>0</v>
      </c>
      <c r="Z245" s="3229"/>
      <c r="AA245" s="3229">
        <v>1</v>
      </c>
      <c r="AB245" s="3229">
        <v>8</v>
      </c>
      <c r="AC245" s="3229"/>
      <c r="AD245" s="3229"/>
      <c r="AE245" s="121"/>
      <c r="AF245" s="121"/>
      <c r="AG245" s="121">
        <v>9</v>
      </c>
      <c r="AJ245" s="161"/>
      <c r="AK245" s="161"/>
      <c r="AL245" s="73"/>
      <c r="AM245" s="738" t="s">
        <v>573</v>
      </c>
      <c r="AN245" s="2601"/>
      <c r="AO245" s="2601">
        <v>2</v>
      </c>
      <c r="AP245" s="2601">
        <v>4</v>
      </c>
      <c r="AQ245" s="2601">
        <v>28</v>
      </c>
      <c r="AR245" s="2601">
        <v>8</v>
      </c>
      <c r="AS245" s="2601">
        <v>1</v>
      </c>
      <c r="AT245" s="2601">
        <v>116</v>
      </c>
      <c r="AU245" s="2601">
        <v>13</v>
      </c>
      <c r="AV245" s="2601">
        <v>2</v>
      </c>
      <c r="AW245" s="151"/>
      <c r="AX245" s="151"/>
      <c r="AY245" s="151">
        <v>174</v>
      </c>
      <c r="AZ245" s="912">
        <f>+(AY241+AY243+AY244)/AY245</f>
        <v>0.35057471264367818</v>
      </c>
      <c r="BB245" s="2191"/>
      <c r="BC245" s="2191"/>
      <c r="BD245" s="2192"/>
      <c r="BE245" s="2193" t="s">
        <v>1398</v>
      </c>
      <c r="BF245" s="2195">
        <v>0</v>
      </c>
      <c r="BG245" s="2195">
        <v>0</v>
      </c>
      <c r="BH245" s="2194"/>
      <c r="BI245" s="2195">
        <v>2</v>
      </c>
      <c r="BJ245" s="2195">
        <v>2</v>
      </c>
      <c r="BK245" s="2195">
        <v>6</v>
      </c>
      <c r="BL245" s="2195">
        <v>3</v>
      </c>
      <c r="BM245" s="2195">
        <v>0</v>
      </c>
      <c r="BN245" s="964">
        <v>0</v>
      </c>
      <c r="BO245" s="963"/>
      <c r="BP245" s="964">
        <v>13</v>
      </c>
      <c r="BQ245" s="73"/>
      <c r="BS245" s="879"/>
      <c r="BT245" s="879"/>
      <c r="BU245" s="880" t="s">
        <v>143</v>
      </c>
      <c r="BV245" s="881" t="s">
        <v>1283</v>
      </c>
      <c r="BW245" s="882"/>
      <c r="BX245" s="882"/>
      <c r="BY245" s="882"/>
      <c r="BZ245" s="882"/>
      <c r="CA245" s="882"/>
      <c r="CB245" s="883">
        <v>0</v>
      </c>
      <c r="CC245" s="883">
        <v>1</v>
      </c>
      <c r="CD245" s="883">
        <v>0</v>
      </c>
      <c r="CE245" s="879"/>
      <c r="CF245" s="879"/>
      <c r="CG245" s="884">
        <v>1</v>
      </c>
      <c r="CH245" s="161"/>
      <c r="CJ245" s="885"/>
      <c r="CK245" s="885"/>
      <c r="CL245" s="885"/>
      <c r="CM245" s="886" t="s">
        <v>1293</v>
      </c>
      <c r="CN245" s="887"/>
      <c r="CO245" s="888">
        <v>0</v>
      </c>
      <c r="CP245" s="888">
        <v>0</v>
      </c>
      <c r="CQ245" s="887"/>
      <c r="CR245" s="888">
        <v>0</v>
      </c>
      <c r="CS245" s="887"/>
      <c r="CT245" s="888">
        <v>2</v>
      </c>
      <c r="CU245" s="888">
        <v>1</v>
      </c>
      <c r="CV245" s="887"/>
      <c r="CW245" s="889"/>
      <c r="CX245" s="889"/>
      <c r="CY245" s="890">
        <v>3</v>
      </c>
      <c r="CZ245" s="891"/>
      <c r="DB245" s="892"/>
      <c r="DC245" s="892"/>
      <c r="DS245" s="121"/>
      <c r="DT245" s="121"/>
      <c r="EI245" s="74"/>
      <c r="EJ245" s="793"/>
      <c r="EK245" s="793"/>
      <c r="EL245" s="793"/>
      <c r="EM245" s="793"/>
      <c r="EN245" s="793"/>
      <c r="EO245" s="793"/>
      <c r="EP245" s="793"/>
      <c r="EQ245" s="793"/>
      <c r="ER245" s="793"/>
      <c r="ES245" s="793"/>
      <c r="ET245" s="793"/>
      <c r="EU245" s="793"/>
      <c r="EV245" s="793"/>
      <c r="EW245" s="793"/>
      <c r="EX245" s="793"/>
      <c r="EY245" s="794"/>
      <c r="EZ245" s="793"/>
      <c r="FA245" s="793"/>
    </row>
    <row r="246" spans="1:157">
      <c r="A246" s="73"/>
      <c r="B246" s="73"/>
      <c r="C246" s="73"/>
      <c r="D246" s="738" t="s">
        <v>15</v>
      </c>
      <c r="E246" s="3262">
        <v>1</v>
      </c>
      <c r="F246" s="3262"/>
      <c r="G246" s="3262"/>
      <c r="H246" s="3262"/>
      <c r="I246" s="3262"/>
      <c r="J246" s="3262">
        <v>16</v>
      </c>
      <c r="K246" s="3262">
        <v>2</v>
      </c>
      <c r="L246" s="3262"/>
      <c r="M246" s="4674"/>
      <c r="N246" s="4674"/>
      <c r="O246" s="4674">
        <v>19</v>
      </c>
      <c r="P246" s="912">
        <f>+(O245+O244)/O246</f>
        <v>0.68421052631578949</v>
      </c>
      <c r="Q246" s="3197"/>
      <c r="R246" s="74"/>
      <c r="S246" s="74"/>
      <c r="T246" s="74"/>
      <c r="U246" s="74" t="s">
        <v>1286</v>
      </c>
      <c r="V246" s="3229"/>
      <c r="W246" s="3229"/>
      <c r="X246" s="3229"/>
      <c r="Y246" s="3229">
        <v>1</v>
      </c>
      <c r="Z246" s="3229"/>
      <c r="AA246" s="3229">
        <v>0</v>
      </c>
      <c r="AB246" s="3229">
        <v>0</v>
      </c>
      <c r="AC246" s="3229"/>
      <c r="AD246" s="3229"/>
      <c r="AE246" s="121"/>
      <c r="AF246" s="121"/>
      <c r="AG246" s="121">
        <v>1</v>
      </c>
      <c r="AJ246" s="161"/>
      <c r="AK246" s="161" t="s">
        <v>41</v>
      </c>
      <c r="AL246" s="73" t="s">
        <v>139</v>
      </c>
      <c r="AM246" s="73" t="s">
        <v>1398</v>
      </c>
      <c r="AN246" s="2600"/>
      <c r="AO246" s="2600"/>
      <c r="AP246" s="2600"/>
      <c r="AQ246" s="2600">
        <v>1</v>
      </c>
      <c r="AR246" s="2600"/>
      <c r="AS246" s="2600"/>
      <c r="AT246" s="2600"/>
      <c r="AU246" s="2600"/>
      <c r="AV246" s="2600"/>
      <c r="AW246" s="161"/>
      <c r="AX246" s="161"/>
      <c r="AY246" s="161">
        <v>1</v>
      </c>
      <c r="AZ246" s="161"/>
      <c r="BB246" s="2191"/>
      <c r="BC246" s="2191"/>
      <c r="BD246" s="2192"/>
      <c r="BE246" s="760" t="s">
        <v>575</v>
      </c>
      <c r="BF246" s="2197">
        <v>4</v>
      </c>
      <c r="BG246" s="2197">
        <v>2</v>
      </c>
      <c r="BH246" s="2196"/>
      <c r="BI246" s="2197">
        <v>7</v>
      </c>
      <c r="BJ246" s="2197">
        <v>6</v>
      </c>
      <c r="BK246" s="2197">
        <v>41</v>
      </c>
      <c r="BL246" s="2197">
        <v>19</v>
      </c>
      <c r="BM246" s="2197">
        <v>8</v>
      </c>
      <c r="BN246" s="973">
        <v>2</v>
      </c>
      <c r="BO246" s="972"/>
      <c r="BP246" s="973">
        <v>89</v>
      </c>
      <c r="BQ246" s="2154">
        <f>+(BP242+BP244+BP245)/BP246</f>
        <v>0.38202247191011235</v>
      </c>
      <c r="BS246" s="879"/>
      <c r="BT246" s="879"/>
      <c r="BU246" s="880"/>
      <c r="BV246" s="881" t="s">
        <v>1284</v>
      </c>
      <c r="BW246" s="882"/>
      <c r="BX246" s="882"/>
      <c r="BY246" s="882"/>
      <c r="BZ246" s="882"/>
      <c r="CA246" s="882"/>
      <c r="CB246" s="883">
        <v>1</v>
      </c>
      <c r="CC246" s="883">
        <v>3</v>
      </c>
      <c r="CD246" s="883">
        <v>1</v>
      </c>
      <c r="CE246" s="879"/>
      <c r="CF246" s="879"/>
      <c r="CG246" s="884">
        <v>5</v>
      </c>
      <c r="CH246" s="161"/>
      <c r="CJ246" s="885"/>
      <c r="CK246" s="885"/>
      <c r="CL246" s="885"/>
      <c r="CM246" s="886" t="s">
        <v>1398</v>
      </c>
      <c r="CN246" s="887"/>
      <c r="CO246" s="888">
        <v>0</v>
      </c>
      <c r="CP246" s="888">
        <v>0</v>
      </c>
      <c r="CQ246" s="887"/>
      <c r="CR246" s="888">
        <v>0</v>
      </c>
      <c r="CS246" s="887"/>
      <c r="CT246" s="888">
        <v>4</v>
      </c>
      <c r="CU246" s="888">
        <v>1</v>
      </c>
      <c r="CV246" s="887"/>
      <c r="CW246" s="889"/>
      <c r="CX246" s="889"/>
      <c r="CY246" s="890">
        <v>5</v>
      </c>
      <c r="CZ246" s="891"/>
      <c r="DB246" s="892"/>
      <c r="DC246" s="892"/>
      <c r="DS246" s="121"/>
      <c r="DT246" s="121"/>
      <c r="EI246" s="74"/>
      <c r="EJ246" s="793"/>
      <c r="EK246" s="793"/>
      <c r="EL246" s="793"/>
      <c r="EM246" s="793"/>
      <c r="EN246" s="793"/>
      <c r="EO246" s="793"/>
      <c r="EP246" s="793"/>
      <c r="EQ246" s="793"/>
      <c r="ER246" s="793"/>
      <c r="ES246" s="793"/>
      <c r="ET246" s="793"/>
      <c r="EU246" s="793"/>
      <c r="EV246" s="793"/>
      <c r="EW246" s="793"/>
      <c r="EX246" s="793"/>
      <c r="EY246" s="794"/>
      <c r="EZ246" s="793"/>
      <c r="FA246" s="793"/>
    </row>
    <row r="247" spans="1:157">
      <c r="A247" s="73"/>
      <c r="B247" s="73"/>
      <c r="C247" s="738" t="s">
        <v>573</v>
      </c>
      <c r="D247" s="738" t="s">
        <v>1283</v>
      </c>
      <c r="E247" s="3262">
        <v>0</v>
      </c>
      <c r="F247" s="3262">
        <v>0</v>
      </c>
      <c r="G247" s="3262">
        <v>1</v>
      </c>
      <c r="H247" s="3262">
        <v>0</v>
      </c>
      <c r="I247" s="3262">
        <v>1</v>
      </c>
      <c r="J247" s="3262">
        <v>0</v>
      </c>
      <c r="K247" s="3262">
        <v>0</v>
      </c>
      <c r="L247" s="3262">
        <v>0</v>
      </c>
      <c r="M247" s="4674">
        <v>0</v>
      </c>
      <c r="N247" s="4674"/>
      <c r="O247" s="4674">
        <v>2</v>
      </c>
      <c r="P247" s="73"/>
      <c r="R247" s="74"/>
      <c r="S247" s="74"/>
      <c r="T247" s="74"/>
      <c r="U247" s="74" t="s">
        <v>1288</v>
      </c>
      <c r="V247" s="3229"/>
      <c r="W247" s="3229"/>
      <c r="X247" s="3229"/>
      <c r="Y247" s="3229">
        <v>0</v>
      </c>
      <c r="Z247" s="3229"/>
      <c r="AA247" s="3229">
        <v>0</v>
      </c>
      <c r="AB247" s="3229">
        <v>1</v>
      </c>
      <c r="AC247" s="3229"/>
      <c r="AD247" s="3229"/>
      <c r="AE247" s="121"/>
      <c r="AF247" s="121"/>
      <c r="AG247" s="121">
        <v>1</v>
      </c>
      <c r="AJ247" s="161"/>
      <c r="AK247" s="161"/>
      <c r="AL247" s="73"/>
      <c r="AM247" s="738" t="s">
        <v>15</v>
      </c>
      <c r="AN247" s="2601"/>
      <c r="AO247" s="2601"/>
      <c r="AP247" s="2601"/>
      <c r="AQ247" s="2601">
        <v>1</v>
      </c>
      <c r="AR247" s="2601"/>
      <c r="AS247" s="2601"/>
      <c r="AT247" s="2601"/>
      <c r="AU247" s="2601"/>
      <c r="AV247" s="2601"/>
      <c r="AW247" s="151"/>
      <c r="AX247" s="151"/>
      <c r="AY247" s="151">
        <v>1</v>
      </c>
      <c r="AZ247" s="912">
        <f>+AY246/AY247</f>
        <v>1</v>
      </c>
      <c r="BB247" s="2191"/>
      <c r="BC247" s="2191" t="s">
        <v>105</v>
      </c>
      <c r="BD247" s="2192" t="s">
        <v>144</v>
      </c>
      <c r="BE247" s="2193" t="s">
        <v>1284</v>
      </c>
      <c r="BF247" s="2194"/>
      <c r="BG247" s="2194"/>
      <c r="BH247" s="2194"/>
      <c r="BI247" s="2195">
        <v>1</v>
      </c>
      <c r="BJ247" s="2195">
        <v>0</v>
      </c>
      <c r="BK247" s="2195">
        <v>2</v>
      </c>
      <c r="BL247" s="2194"/>
      <c r="BM247" s="2194"/>
      <c r="BN247" s="963"/>
      <c r="BO247" s="963"/>
      <c r="BP247" s="964">
        <v>3</v>
      </c>
      <c r="BQ247" s="73"/>
      <c r="BS247" s="879"/>
      <c r="BT247" s="879"/>
      <c r="BU247" s="880"/>
      <c r="BV247" s="881" t="s">
        <v>1288</v>
      </c>
      <c r="BW247" s="882"/>
      <c r="BX247" s="882"/>
      <c r="BY247" s="882"/>
      <c r="BZ247" s="882"/>
      <c r="CA247" s="882"/>
      <c r="CB247" s="883">
        <v>1</v>
      </c>
      <c r="CC247" s="883">
        <v>2</v>
      </c>
      <c r="CD247" s="883">
        <v>0</v>
      </c>
      <c r="CE247" s="879"/>
      <c r="CF247" s="879"/>
      <c r="CG247" s="884">
        <v>3</v>
      </c>
      <c r="CH247" s="161"/>
      <c r="CJ247" s="885"/>
      <c r="CK247" s="885"/>
      <c r="CL247" s="885"/>
      <c r="CM247" s="897" t="s">
        <v>573</v>
      </c>
      <c r="CN247" s="898"/>
      <c r="CO247" s="899">
        <v>1</v>
      </c>
      <c r="CP247" s="899">
        <v>1</v>
      </c>
      <c r="CQ247" s="898"/>
      <c r="CR247" s="899">
        <v>1</v>
      </c>
      <c r="CS247" s="898"/>
      <c r="CT247" s="899">
        <v>12</v>
      </c>
      <c r="CU247" s="899">
        <v>5</v>
      </c>
      <c r="CV247" s="898"/>
      <c r="CW247" s="900"/>
      <c r="CX247" s="900"/>
      <c r="CY247" s="901">
        <v>20</v>
      </c>
      <c r="CZ247" s="891">
        <f>+(CY246+CY245+CY243)/CY247</f>
        <v>0.5</v>
      </c>
      <c r="DB247" s="892"/>
      <c r="DC247" s="892"/>
      <c r="DS247" s="121"/>
      <c r="DT247" s="121"/>
      <c r="EI247" s="74"/>
      <c r="EJ247" s="793"/>
      <c r="EK247" s="793"/>
      <c r="EL247" s="793"/>
      <c r="EM247" s="793"/>
      <c r="EN247" s="793"/>
      <c r="EO247" s="793"/>
      <c r="EP247" s="793"/>
      <c r="EQ247" s="793"/>
      <c r="ER247" s="793"/>
      <c r="ES247" s="793"/>
      <c r="ET247" s="793"/>
      <c r="EU247" s="793"/>
      <c r="EV247" s="793"/>
      <c r="EW247" s="793"/>
      <c r="EX247" s="793"/>
      <c r="EY247" s="794"/>
      <c r="EZ247" s="793"/>
      <c r="FA247" s="793"/>
    </row>
    <row r="248" spans="1:157">
      <c r="A248" s="73"/>
      <c r="B248" s="73"/>
      <c r="C248" s="738"/>
      <c r="D248" s="738" t="s">
        <v>1284</v>
      </c>
      <c r="E248" s="3262">
        <v>4</v>
      </c>
      <c r="F248" s="3262">
        <v>4</v>
      </c>
      <c r="G248" s="3262">
        <v>3</v>
      </c>
      <c r="H248" s="3262">
        <v>3</v>
      </c>
      <c r="I248" s="3262">
        <v>1</v>
      </c>
      <c r="J248" s="3262">
        <v>62</v>
      </c>
      <c r="K248" s="3262">
        <v>10</v>
      </c>
      <c r="L248" s="3262">
        <v>0</v>
      </c>
      <c r="M248" s="4674">
        <v>0</v>
      </c>
      <c r="N248" s="4674"/>
      <c r="O248" s="4674">
        <v>87</v>
      </c>
      <c r="P248" s="73"/>
      <c r="R248" s="74"/>
      <c r="S248" s="74"/>
      <c r="T248" s="74"/>
      <c r="U248" s="761" t="s">
        <v>15</v>
      </c>
      <c r="V248" s="3230"/>
      <c r="W248" s="3230"/>
      <c r="X248" s="3230"/>
      <c r="Y248" s="3230">
        <v>1</v>
      </c>
      <c r="Z248" s="3230"/>
      <c r="AA248" s="3230">
        <v>1</v>
      </c>
      <c r="AB248" s="3230">
        <v>9</v>
      </c>
      <c r="AC248" s="3230"/>
      <c r="AD248" s="3230"/>
      <c r="AE248" s="729"/>
      <c r="AF248" s="729"/>
      <c r="AG248" s="729">
        <v>11</v>
      </c>
      <c r="AH248" s="4681">
        <f>+AG247/AG248</f>
        <v>9.0909090909090912E-2</v>
      </c>
      <c r="AJ248" s="161"/>
      <c r="AK248" s="161"/>
      <c r="AL248" s="73" t="s">
        <v>140</v>
      </c>
      <c r="AM248" s="73" t="s">
        <v>1284</v>
      </c>
      <c r="AN248" s="2600"/>
      <c r="AO248" s="2600">
        <v>0</v>
      </c>
      <c r="AP248" s="2600"/>
      <c r="AQ248" s="2600"/>
      <c r="AR248" s="2600"/>
      <c r="AS248" s="2600"/>
      <c r="AT248" s="2600">
        <v>8</v>
      </c>
      <c r="AU248" s="2600">
        <v>4</v>
      </c>
      <c r="AV248" s="2600"/>
      <c r="AW248" s="161"/>
      <c r="AX248" s="161"/>
      <c r="AY248" s="161">
        <v>12</v>
      </c>
      <c r="AZ248" s="161"/>
      <c r="BB248" s="2191"/>
      <c r="BC248" s="2191"/>
      <c r="BD248" s="2192"/>
      <c r="BE248" s="2193" t="s">
        <v>1288</v>
      </c>
      <c r="BF248" s="2194"/>
      <c r="BG248" s="2194"/>
      <c r="BH248" s="2194"/>
      <c r="BI248" s="2195">
        <v>0</v>
      </c>
      <c r="BJ248" s="2195">
        <v>0</v>
      </c>
      <c r="BK248" s="2195">
        <v>2</v>
      </c>
      <c r="BL248" s="2194"/>
      <c r="BM248" s="2194"/>
      <c r="BN248" s="963"/>
      <c r="BO248" s="963"/>
      <c r="BP248" s="964">
        <v>2</v>
      </c>
      <c r="BQ248" s="73"/>
      <c r="BS248" s="879"/>
      <c r="BT248" s="879"/>
      <c r="BU248" s="880"/>
      <c r="BV248" s="881" t="s">
        <v>1292</v>
      </c>
      <c r="BW248" s="882"/>
      <c r="BX248" s="882"/>
      <c r="BY248" s="882"/>
      <c r="BZ248" s="882"/>
      <c r="CA248" s="882"/>
      <c r="CB248" s="883">
        <v>0</v>
      </c>
      <c r="CC248" s="883">
        <v>0</v>
      </c>
      <c r="CD248" s="883">
        <v>7</v>
      </c>
      <c r="CE248" s="879"/>
      <c r="CF248" s="879"/>
      <c r="CG248" s="884">
        <v>7</v>
      </c>
      <c r="CH248" s="161"/>
      <c r="CJ248" s="885"/>
      <c r="CK248" s="885"/>
      <c r="CL248" s="897" t="s">
        <v>265</v>
      </c>
      <c r="CM248" s="886" t="s">
        <v>1284</v>
      </c>
      <c r="CN248" s="887"/>
      <c r="CO248" s="888">
        <v>0</v>
      </c>
      <c r="CP248" s="888">
        <v>0</v>
      </c>
      <c r="CQ248" s="887"/>
      <c r="CR248" s="888">
        <v>0</v>
      </c>
      <c r="CS248" s="887"/>
      <c r="CT248" s="888">
        <v>4</v>
      </c>
      <c r="CU248" s="888">
        <v>2</v>
      </c>
      <c r="CV248" s="887"/>
      <c r="CW248" s="889"/>
      <c r="CX248" s="889"/>
      <c r="CY248" s="890">
        <v>6</v>
      </c>
      <c r="CZ248" s="891"/>
      <c r="DB248" s="892"/>
      <c r="DC248" s="892"/>
      <c r="DF248" s="4898" t="s">
        <v>1373</v>
      </c>
      <c r="DG248" s="4898"/>
      <c r="DH248" s="4898"/>
      <c r="DI248" s="4898"/>
      <c r="DJ248" s="4898"/>
      <c r="DK248" s="4898"/>
      <c r="DL248" s="4898"/>
      <c r="DM248" s="4898"/>
      <c r="DN248" s="4898"/>
      <c r="DO248" s="4898"/>
      <c r="DS248" s="121"/>
      <c r="DT248" s="121"/>
      <c r="DW248" s="4898" t="s">
        <v>1373</v>
      </c>
      <c r="DX248" s="4898"/>
      <c r="DY248" s="4898"/>
      <c r="DZ248" s="4898"/>
      <c r="EA248" s="4898"/>
      <c r="EB248" s="4898"/>
      <c r="EC248" s="4898"/>
      <c r="ED248" s="4898"/>
      <c r="EE248" s="4898"/>
      <c r="EF248" s="4898"/>
      <c r="EI248" s="74"/>
      <c r="EJ248" s="793"/>
      <c r="EK248" s="793"/>
      <c r="EL248" s="793"/>
      <c r="EM248" s="793"/>
      <c r="EN248" s="4918" t="s">
        <v>1373</v>
      </c>
      <c r="EO248" s="4918"/>
      <c r="EP248" s="4918"/>
      <c r="EQ248" s="4918"/>
      <c r="ER248" s="4918"/>
      <c r="ES248" s="4918"/>
      <c r="ET248" s="4918"/>
      <c r="EU248" s="4918"/>
      <c r="EV248" s="4918"/>
      <c r="EW248" s="4918"/>
      <c r="EX248" s="4918"/>
      <c r="EY248" s="794"/>
      <c r="EZ248" s="793"/>
      <c r="FA248" s="793"/>
    </row>
    <row r="249" spans="1:157" ht="26.25" thickBot="1">
      <c r="A249" s="73"/>
      <c r="B249" s="73"/>
      <c r="C249" s="738"/>
      <c r="D249" s="738" t="s">
        <v>1286</v>
      </c>
      <c r="E249" s="3262">
        <v>1</v>
      </c>
      <c r="F249" s="3262">
        <v>0</v>
      </c>
      <c r="G249" s="3262">
        <v>0</v>
      </c>
      <c r="H249" s="3262">
        <v>1</v>
      </c>
      <c r="I249" s="3262">
        <v>1</v>
      </c>
      <c r="J249" s="3262">
        <v>0</v>
      </c>
      <c r="K249" s="3262">
        <v>0</v>
      </c>
      <c r="L249" s="3262">
        <v>0</v>
      </c>
      <c r="M249" s="4674">
        <v>0</v>
      </c>
      <c r="N249" s="4674"/>
      <c r="O249" s="4674">
        <v>3</v>
      </c>
      <c r="P249" s="73"/>
      <c r="R249" s="74"/>
      <c r="S249" s="74"/>
      <c r="T249" s="74" t="s">
        <v>868</v>
      </c>
      <c r="U249" s="74" t="s">
        <v>1283</v>
      </c>
      <c r="V249" s="3229"/>
      <c r="W249" s="3229">
        <v>0</v>
      </c>
      <c r="X249" s="3229"/>
      <c r="Y249" s="3229"/>
      <c r="Z249" s="3229">
        <v>0</v>
      </c>
      <c r="AA249" s="3229">
        <v>1</v>
      </c>
      <c r="AB249" s="3229">
        <v>0</v>
      </c>
      <c r="AC249" s="3229"/>
      <c r="AD249" s="3229"/>
      <c r="AE249" s="121"/>
      <c r="AF249" s="121"/>
      <c r="AG249" s="121">
        <v>1</v>
      </c>
      <c r="AJ249" s="161"/>
      <c r="AK249" s="161"/>
      <c r="AL249" s="73"/>
      <c r="AM249" s="73" t="s">
        <v>1286</v>
      </c>
      <c r="AN249" s="2600"/>
      <c r="AO249" s="2600">
        <v>1</v>
      </c>
      <c r="AP249" s="2600"/>
      <c r="AQ249" s="2600"/>
      <c r="AR249" s="2600"/>
      <c r="AS249" s="2600"/>
      <c r="AT249" s="2600">
        <v>0</v>
      </c>
      <c r="AU249" s="2600">
        <v>0</v>
      </c>
      <c r="AV249" s="2600"/>
      <c r="AW249" s="161"/>
      <c r="AX249" s="161"/>
      <c r="AY249" s="161">
        <v>1</v>
      </c>
      <c r="AZ249" s="161"/>
      <c r="BB249" s="2191"/>
      <c r="BC249" s="2191"/>
      <c r="BD249" s="2192"/>
      <c r="BE249" s="2193" t="s">
        <v>1289</v>
      </c>
      <c r="BF249" s="2194"/>
      <c r="BG249" s="2194"/>
      <c r="BH249" s="2194"/>
      <c r="BI249" s="2195">
        <v>0</v>
      </c>
      <c r="BJ249" s="2195">
        <v>1</v>
      </c>
      <c r="BK249" s="2195">
        <v>0</v>
      </c>
      <c r="BL249" s="2194"/>
      <c r="BM249" s="2194"/>
      <c r="BN249" s="963"/>
      <c r="BO249" s="963"/>
      <c r="BP249" s="964">
        <v>1</v>
      </c>
      <c r="BQ249" s="73"/>
      <c r="BS249" s="879"/>
      <c r="BT249" s="879"/>
      <c r="BU249" s="880"/>
      <c r="BV249" s="881" t="s">
        <v>1293</v>
      </c>
      <c r="BW249" s="882"/>
      <c r="BX249" s="882"/>
      <c r="BY249" s="882"/>
      <c r="BZ249" s="882"/>
      <c r="CA249" s="882"/>
      <c r="CB249" s="883">
        <v>1</v>
      </c>
      <c r="CC249" s="883">
        <v>2</v>
      </c>
      <c r="CD249" s="883">
        <v>1</v>
      </c>
      <c r="CE249" s="879"/>
      <c r="CF249" s="879"/>
      <c r="CG249" s="884">
        <v>4</v>
      </c>
      <c r="CH249" s="161"/>
      <c r="CJ249" s="885"/>
      <c r="CK249" s="885"/>
      <c r="CL249" s="885"/>
      <c r="CM249" s="886" t="s">
        <v>1288</v>
      </c>
      <c r="CN249" s="887"/>
      <c r="CO249" s="888">
        <v>0</v>
      </c>
      <c r="CP249" s="888">
        <v>0</v>
      </c>
      <c r="CQ249" s="887"/>
      <c r="CR249" s="888">
        <v>0</v>
      </c>
      <c r="CS249" s="887"/>
      <c r="CT249" s="888">
        <v>1</v>
      </c>
      <c r="CU249" s="888">
        <v>1</v>
      </c>
      <c r="CV249" s="887"/>
      <c r="CW249" s="889"/>
      <c r="CX249" s="889"/>
      <c r="CY249" s="890">
        <v>2</v>
      </c>
      <c r="CZ249" s="891"/>
      <c r="DB249" s="892"/>
      <c r="DC249" s="892"/>
      <c r="DD249" s="88" t="s">
        <v>0</v>
      </c>
      <c r="DE249" s="88" t="s">
        <v>1282</v>
      </c>
      <c r="DF249" s="88">
        <v>1</v>
      </c>
      <c r="DG249" s="88">
        <v>2</v>
      </c>
      <c r="DH249" s="88">
        <v>3</v>
      </c>
      <c r="DI249" s="88">
        <v>4</v>
      </c>
      <c r="DJ249" s="88">
        <v>5</v>
      </c>
      <c r="DK249" s="88">
        <v>6</v>
      </c>
      <c r="DL249" s="88">
        <v>7</v>
      </c>
      <c r="DM249" s="88">
        <v>8</v>
      </c>
      <c r="DN249" s="88">
        <v>9</v>
      </c>
      <c r="DO249" s="88">
        <v>10</v>
      </c>
      <c r="DP249" s="88" t="s">
        <v>15</v>
      </c>
      <c r="DQ249" s="88" t="s">
        <v>66</v>
      </c>
      <c r="DS249" s="121"/>
      <c r="DT249" s="121"/>
      <c r="DU249" s="88" t="s">
        <v>0</v>
      </c>
      <c r="DV249" s="88" t="s">
        <v>1282</v>
      </c>
      <c r="DW249" s="88">
        <v>1</v>
      </c>
      <c r="DX249" s="88">
        <v>2</v>
      </c>
      <c r="DY249" s="88">
        <v>3</v>
      </c>
      <c r="DZ249" s="88">
        <v>4</v>
      </c>
      <c r="EA249" s="88">
        <v>5</v>
      </c>
      <c r="EB249" s="88">
        <v>6</v>
      </c>
      <c r="EC249" s="88">
        <v>7</v>
      </c>
      <c r="ED249" s="88">
        <v>8</v>
      </c>
      <c r="EE249" s="88">
        <v>9</v>
      </c>
      <c r="EF249" s="88">
        <v>10</v>
      </c>
      <c r="EG249" s="88" t="s">
        <v>15</v>
      </c>
      <c r="EH249" s="88" t="s">
        <v>66</v>
      </c>
      <c r="EI249" s="74"/>
      <c r="EJ249" s="921"/>
      <c r="EK249" s="921"/>
      <c r="EL249" s="838" t="s">
        <v>0</v>
      </c>
      <c r="EM249" s="839" t="s">
        <v>1375</v>
      </c>
      <c r="EN249" s="838">
        <v>0</v>
      </c>
      <c r="EO249" s="838">
        <v>1</v>
      </c>
      <c r="EP249" s="838">
        <v>2</v>
      </c>
      <c r="EQ249" s="838">
        <v>3</v>
      </c>
      <c r="ER249" s="838">
        <v>4</v>
      </c>
      <c r="ES249" s="838">
        <v>5</v>
      </c>
      <c r="ET249" s="838">
        <v>6</v>
      </c>
      <c r="EU249" s="838">
        <v>7</v>
      </c>
      <c r="EV249" s="838">
        <v>8</v>
      </c>
      <c r="EW249" s="838">
        <v>9</v>
      </c>
      <c r="EX249" s="838">
        <v>10</v>
      </c>
      <c r="EY249" s="846" t="s">
        <v>15</v>
      </c>
      <c r="EZ249" s="839" t="s">
        <v>66</v>
      </c>
      <c r="FA249" s="846" t="s">
        <v>1376</v>
      </c>
    </row>
    <row r="250" spans="1:157">
      <c r="A250" s="73"/>
      <c r="B250" s="73"/>
      <c r="C250" s="738"/>
      <c r="D250" s="738" t="s">
        <v>1288</v>
      </c>
      <c r="E250" s="3262">
        <v>0</v>
      </c>
      <c r="F250" s="3262">
        <v>0</v>
      </c>
      <c r="G250" s="3262">
        <v>0</v>
      </c>
      <c r="H250" s="3262">
        <v>0</v>
      </c>
      <c r="I250" s="3262">
        <v>0</v>
      </c>
      <c r="J250" s="3262">
        <v>20</v>
      </c>
      <c r="K250" s="3262">
        <v>5</v>
      </c>
      <c r="L250" s="3262">
        <v>0</v>
      </c>
      <c r="M250" s="4674">
        <v>1</v>
      </c>
      <c r="N250" s="4674"/>
      <c r="O250" s="4674">
        <v>26</v>
      </c>
      <c r="P250" s="73"/>
      <c r="R250" s="74"/>
      <c r="S250" s="74"/>
      <c r="T250" s="74"/>
      <c r="U250" s="74" t="s">
        <v>1284</v>
      </c>
      <c r="V250" s="3229"/>
      <c r="W250" s="3229">
        <v>1</v>
      </c>
      <c r="X250" s="3229"/>
      <c r="Y250" s="3229"/>
      <c r="Z250" s="3229">
        <v>0</v>
      </c>
      <c r="AA250" s="3229">
        <v>0</v>
      </c>
      <c r="AB250" s="3229">
        <v>3</v>
      </c>
      <c r="AC250" s="3229"/>
      <c r="AD250" s="3229"/>
      <c r="AE250" s="121"/>
      <c r="AF250" s="121"/>
      <c r="AG250" s="121">
        <v>4</v>
      </c>
      <c r="AJ250" s="161"/>
      <c r="AK250" s="161"/>
      <c r="AL250" s="73"/>
      <c r="AM250" s="73" t="s">
        <v>1293</v>
      </c>
      <c r="AN250" s="2600"/>
      <c r="AO250" s="2600">
        <v>0</v>
      </c>
      <c r="AP250" s="2600"/>
      <c r="AQ250" s="2600"/>
      <c r="AR250" s="2600"/>
      <c r="AS250" s="2600"/>
      <c r="AT250" s="2600">
        <v>2</v>
      </c>
      <c r="AU250" s="2600">
        <v>0</v>
      </c>
      <c r="AV250" s="2600"/>
      <c r="AW250" s="161"/>
      <c r="AX250" s="161"/>
      <c r="AY250" s="161">
        <v>2</v>
      </c>
      <c r="AZ250" s="161"/>
      <c r="BB250" s="2191"/>
      <c r="BC250" s="2191"/>
      <c r="BD250" s="2192"/>
      <c r="BE250" s="2193" t="s">
        <v>1292</v>
      </c>
      <c r="BF250" s="2194"/>
      <c r="BG250" s="2194"/>
      <c r="BH250" s="2194"/>
      <c r="BI250" s="2195">
        <v>0</v>
      </c>
      <c r="BJ250" s="2195">
        <v>1</v>
      </c>
      <c r="BK250" s="2195">
        <v>0</v>
      </c>
      <c r="BL250" s="2194"/>
      <c r="BM250" s="2194"/>
      <c r="BN250" s="963"/>
      <c r="BO250" s="963"/>
      <c r="BP250" s="964">
        <v>1</v>
      </c>
      <c r="BQ250" s="73"/>
      <c r="BS250" s="879"/>
      <c r="BT250" s="879"/>
      <c r="BU250" s="880"/>
      <c r="BV250" s="881" t="s">
        <v>1398</v>
      </c>
      <c r="BW250" s="882"/>
      <c r="BX250" s="882"/>
      <c r="BY250" s="882"/>
      <c r="BZ250" s="882"/>
      <c r="CA250" s="882"/>
      <c r="CB250" s="883">
        <v>2</v>
      </c>
      <c r="CC250" s="883">
        <v>1</v>
      </c>
      <c r="CD250" s="883">
        <v>0</v>
      </c>
      <c r="CE250" s="879"/>
      <c r="CF250" s="879"/>
      <c r="CG250" s="884">
        <v>3</v>
      </c>
      <c r="CH250" s="161"/>
      <c r="CJ250" s="885"/>
      <c r="CK250" s="885"/>
      <c r="CL250" s="885"/>
      <c r="CM250" s="886" t="s">
        <v>1289</v>
      </c>
      <c r="CN250" s="887"/>
      <c r="CO250" s="888">
        <v>1</v>
      </c>
      <c r="CP250" s="888">
        <v>1</v>
      </c>
      <c r="CQ250" s="887"/>
      <c r="CR250" s="888">
        <v>1</v>
      </c>
      <c r="CS250" s="887"/>
      <c r="CT250" s="888">
        <v>1</v>
      </c>
      <c r="CU250" s="888">
        <v>0</v>
      </c>
      <c r="CV250" s="887"/>
      <c r="CW250" s="889"/>
      <c r="CX250" s="889"/>
      <c r="CY250" s="890">
        <v>4</v>
      </c>
      <c r="CZ250" s="891"/>
      <c r="DB250" s="892"/>
      <c r="DC250" s="892"/>
      <c r="DD250" s="892" t="s">
        <v>107</v>
      </c>
      <c r="DE250" s="893" t="s">
        <v>1283</v>
      </c>
      <c r="DF250" s="894"/>
      <c r="DG250" s="895">
        <v>0</v>
      </c>
      <c r="DH250" s="895">
        <v>0</v>
      </c>
      <c r="DI250" s="895">
        <v>0</v>
      </c>
      <c r="DJ250" s="895">
        <v>0</v>
      </c>
      <c r="DK250" s="895">
        <v>0</v>
      </c>
      <c r="DL250" s="895">
        <v>1</v>
      </c>
      <c r="DM250" s="895">
        <v>1</v>
      </c>
      <c r="DN250" s="895">
        <v>0</v>
      </c>
      <c r="DO250" s="895">
        <v>2</v>
      </c>
      <c r="DP250" s="895">
        <v>4</v>
      </c>
      <c r="DQ250" s="792"/>
      <c r="DS250" s="121"/>
      <c r="DT250" s="121"/>
      <c r="DU250" s="121" t="s">
        <v>3</v>
      </c>
      <c r="DV250" s="74" t="s">
        <v>1283</v>
      </c>
      <c r="DW250" s="74">
        <v>0</v>
      </c>
      <c r="DX250" s="74">
        <v>0</v>
      </c>
      <c r="DY250" s="74">
        <v>0</v>
      </c>
      <c r="DZ250" s="74">
        <v>0</v>
      </c>
      <c r="EA250" s="74">
        <v>0</v>
      </c>
      <c r="EB250" s="74">
        <v>1</v>
      </c>
      <c r="EC250" s="74">
        <v>1</v>
      </c>
      <c r="ED250" s="74">
        <v>5</v>
      </c>
      <c r="EE250" s="74"/>
      <c r="EF250" s="74">
        <v>0</v>
      </c>
      <c r="EG250" s="74">
        <v>7</v>
      </c>
      <c r="EH250" s="74"/>
      <c r="EI250" s="74"/>
      <c r="EJ250" s="793"/>
      <c r="EK250" s="793"/>
      <c r="EL250" s="793" t="s">
        <v>3</v>
      </c>
      <c r="EM250" s="793" t="s">
        <v>1283</v>
      </c>
      <c r="EN250" s="793">
        <v>0</v>
      </c>
      <c r="EO250" s="793">
        <v>0</v>
      </c>
      <c r="EP250" s="793">
        <v>0</v>
      </c>
      <c r="EQ250" s="793">
        <v>0</v>
      </c>
      <c r="ER250" s="793">
        <v>1</v>
      </c>
      <c r="ES250" s="793">
        <v>0</v>
      </c>
      <c r="ET250" s="793">
        <v>2</v>
      </c>
      <c r="EU250" s="793">
        <v>0</v>
      </c>
      <c r="EV250" s="793">
        <v>2</v>
      </c>
      <c r="EW250" s="793">
        <v>0</v>
      </c>
      <c r="EX250" s="793">
        <v>0</v>
      </c>
      <c r="EY250" s="794">
        <v>5</v>
      </c>
      <c r="EZ250" s="793"/>
      <c r="FA250" s="795"/>
    </row>
    <row r="251" spans="1:157">
      <c r="A251" s="73"/>
      <c r="B251" s="73"/>
      <c r="C251" s="738"/>
      <c r="D251" s="738" t="s">
        <v>1292</v>
      </c>
      <c r="E251" s="3262">
        <v>0</v>
      </c>
      <c r="F251" s="3262">
        <v>0</v>
      </c>
      <c r="G251" s="3262">
        <v>0</v>
      </c>
      <c r="H251" s="3262">
        <v>0</v>
      </c>
      <c r="I251" s="3262">
        <v>0</v>
      </c>
      <c r="J251" s="3262">
        <v>0</v>
      </c>
      <c r="K251" s="3262">
        <v>2</v>
      </c>
      <c r="L251" s="3262">
        <v>5</v>
      </c>
      <c r="M251" s="4674">
        <v>1</v>
      </c>
      <c r="N251" s="4674"/>
      <c r="O251" s="4674">
        <v>8</v>
      </c>
      <c r="P251" s="73"/>
      <c r="R251" s="74"/>
      <c r="S251" s="74"/>
      <c r="T251" s="74"/>
      <c r="U251" s="74" t="s">
        <v>1289</v>
      </c>
      <c r="V251" s="3229"/>
      <c r="W251" s="3229">
        <v>0</v>
      </c>
      <c r="X251" s="3229"/>
      <c r="Y251" s="3229"/>
      <c r="Z251" s="3229">
        <v>1</v>
      </c>
      <c r="AA251" s="3229">
        <v>0</v>
      </c>
      <c r="AB251" s="3229">
        <v>0</v>
      </c>
      <c r="AC251" s="3229"/>
      <c r="AD251" s="3229"/>
      <c r="AE251" s="121"/>
      <c r="AF251" s="121"/>
      <c r="AG251" s="121">
        <v>1</v>
      </c>
      <c r="AJ251" s="161"/>
      <c r="AK251" s="161"/>
      <c r="AL251" s="73"/>
      <c r="AM251" s="73" t="s">
        <v>1398</v>
      </c>
      <c r="AN251" s="2600"/>
      <c r="AO251" s="2600">
        <v>0</v>
      </c>
      <c r="AP251" s="2600"/>
      <c r="AQ251" s="2600"/>
      <c r="AR251" s="2600"/>
      <c r="AS251" s="2600"/>
      <c r="AT251" s="2600">
        <v>0</v>
      </c>
      <c r="AU251" s="2600">
        <v>1</v>
      </c>
      <c r="AV251" s="2600"/>
      <c r="AW251" s="161"/>
      <c r="AX251" s="161"/>
      <c r="AY251" s="161">
        <v>1</v>
      </c>
      <c r="AZ251" s="161"/>
      <c r="BB251" s="2191"/>
      <c r="BC251" s="2191"/>
      <c r="BD251" s="2192"/>
      <c r="BE251" s="2193" t="s">
        <v>1293</v>
      </c>
      <c r="BF251" s="2194"/>
      <c r="BG251" s="2194"/>
      <c r="BH251" s="2194"/>
      <c r="BI251" s="2195">
        <v>0</v>
      </c>
      <c r="BJ251" s="2195">
        <v>0</v>
      </c>
      <c r="BK251" s="2195">
        <v>11</v>
      </c>
      <c r="BL251" s="2194"/>
      <c r="BM251" s="2194"/>
      <c r="BN251" s="963"/>
      <c r="BO251" s="963"/>
      <c r="BP251" s="964">
        <v>11</v>
      </c>
      <c r="BQ251" s="73"/>
      <c r="BS251" s="879"/>
      <c r="BT251" s="879"/>
      <c r="BU251" s="880"/>
      <c r="BV251" s="907" t="s">
        <v>15</v>
      </c>
      <c r="BW251" s="908"/>
      <c r="BX251" s="908"/>
      <c r="BY251" s="908"/>
      <c r="BZ251" s="908"/>
      <c r="CA251" s="908"/>
      <c r="CB251" s="909">
        <v>5</v>
      </c>
      <c r="CC251" s="909">
        <v>9</v>
      </c>
      <c r="CD251" s="909">
        <v>9</v>
      </c>
      <c r="CE251" s="910"/>
      <c r="CF251" s="910"/>
      <c r="CG251" s="911">
        <v>23</v>
      </c>
      <c r="CH251" s="912">
        <f>+(CG247+CG249+CG250)/CG251</f>
        <v>0.43478260869565216</v>
      </c>
      <c r="CJ251" s="885"/>
      <c r="CK251" s="885"/>
      <c r="CL251" s="885"/>
      <c r="CM251" s="886" t="s">
        <v>1293</v>
      </c>
      <c r="CN251" s="887"/>
      <c r="CO251" s="888">
        <v>0</v>
      </c>
      <c r="CP251" s="888">
        <v>0</v>
      </c>
      <c r="CQ251" s="887"/>
      <c r="CR251" s="888">
        <v>0</v>
      </c>
      <c r="CS251" s="887"/>
      <c r="CT251" s="888">
        <v>2</v>
      </c>
      <c r="CU251" s="888">
        <v>1</v>
      </c>
      <c r="CV251" s="887"/>
      <c r="CW251" s="889"/>
      <c r="CX251" s="889"/>
      <c r="CY251" s="890">
        <v>3</v>
      </c>
      <c r="CZ251" s="891"/>
      <c r="DB251" s="892"/>
      <c r="DC251" s="892"/>
      <c r="DD251" s="892"/>
      <c r="DE251" s="893" t="s">
        <v>1284</v>
      </c>
      <c r="DF251" s="894"/>
      <c r="DG251" s="895">
        <v>0</v>
      </c>
      <c r="DH251" s="895">
        <v>4</v>
      </c>
      <c r="DI251" s="895">
        <v>4</v>
      </c>
      <c r="DJ251" s="895">
        <v>1</v>
      </c>
      <c r="DK251" s="895">
        <v>10</v>
      </c>
      <c r="DL251" s="895">
        <v>7</v>
      </c>
      <c r="DM251" s="895">
        <v>1</v>
      </c>
      <c r="DN251" s="895">
        <v>1</v>
      </c>
      <c r="DO251" s="895">
        <v>0</v>
      </c>
      <c r="DP251" s="895">
        <v>28</v>
      </c>
      <c r="DQ251" s="792"/>
      <c r="DS251" s="121"/>
      <c r="DT251" s="121"/>
      <c r="DU251" s="121"/>
      <c r="DV251" s="74" t="s">
        <v>1284</v>
      </c>
      <c r="DW251" s="74">
        <v>1</v>
      </c>
      <c r="DX251" s="74">
        <v>5</v>
      </c>
      <c r="DY251" s="74">
        <v>1</v>
      </c>
      <c r="DZ251" s="74">
        <v>2</v>
      </c>
      <c r="EA251" s="74">
        <v>1</v>
      </c>
      <c r="EB251" s="74">
        <v>23</v>
      </c>
      <c r="EC251" s="74">
        <v>21</v>
      </c>
      <c r="ED251" s="74">
        <v>1</v>
      </c>
      <c r="EE251" s="74"/>
      <c r="EF251" s="74">
        <v>0</v>
      </c>
      <c r="EG251" s="74">
        <v>55</v>
      </c>
      <c r="EH251" s="74"/>
      <c r="EI251" s="74"/>
      <c r="EJ251" s="793"/>
      <c r="EK251" s="793"/>
      <c r="EL251" s="793"/>
      <c r="EM251" s="793" t="s">
        <v>1284</v>
      </c>
      <c r="EN251" s="793">
        <v>1</v>
      </c>
      <c r="EO251" s="793">
        <v>0</v>
      </c>
      <c r="EP251" s="793">
        <v>1</v>
      </c>
      <c r="EQ251" s="793">
        <v>1</v>
      </c>
      <c r="ER251" s="793">
        <v>4</v>
      </c>
      <c r="ES251" s="793">
        <v>0</v>
      </c>
      <c r="ET251" s="793">
        <v>4</v>
      </c>
      <c r="EU251" s="793">
        <v>5</v>
      </c>
      <c r="EV251" s="793">
        <v>0</v>
      </c>
      <c r="EW251" s="793">
        <v>0</v>
      </c>
      <c r="EX251" s="793">
        <v>0</v>
      </c>
      <c r="EY251" s="794">
        <v>16</v>
      </c>
      <c r="EZ251" s="793"/>
      <c r="FA251" s="795"/>
    </row>
    <row r="252" spans="1:157">
      <c r="A252" s="73"/>
      <c r="B252" s="73"/>
      <c r="C252" s="738"/>
      <c r="D252" s="738" t="s">
        <v>1293</v>
      </c>
      <c r="E252" s="3262">
        <v>0</v>
      </c>
      <c r="F252" s="3262">
        <v>0</v>
      </c>
      <c r="G252" s="3262">
        <v>0</v>
      </c>
      <c r="H252" s="3262">
        <v>0</v>
      </c>
      <c r="I252" s="3262">
        <v>0</v>
      </c>
      <c r="J252" s="3262">
        <v>15</v>
      </c>
      <c r="K252" s="3262">
        <v>1</v>
      </c>
      <c r="L252" s="3262">
        <v>0</v>
      </c>
      <c r="M252" s="4674">
        <v>0</v>
      </c>
      <c r="N252" s="4674"/>
      <c r="O252" s="4674">
        <v>16</v>
      </c>
      <c r="P252" s="73"/>
      <c r="R252" s="74"/>
      <c r="S252" s="74"/>
      <c r="T252" s="74"/>
      <c r="U252" s="74" t="s">
        <v>1293</v>
      </c>
      <c r="V252" s="3229"/>
      <c r="W252" s="3229">
        <v>0</v>
      </c>
      <c r="X252" s="3229"/>
      <c r="Y252" s="3229"/>
      <c r="Z252" s="3229">
        <v>0</v>
      </c>
      <c r="AA252" s="3229">
        <v>0</v>
      </c>
      <c r="AB252" s="3229">
        <v>4</v>
      </c>
      <c r="AC252" s="3229"/>
      <c r="AD252" s="3229"/>
      <c r="AE252" s="121"/>
      <c r="AF252" s="121"/>
      <c r="AG252" s="121">
        <v>4</v>
      </c>
      <c r="AJ252" s="161"/>
      <c r="AK252" s="161"/>
      <c r="AL252" s="73"/>
      <c r="AM252" s="738" t="s">
        <v>15</v>
      </c>
      <c r="AN252" s="2601"/>
      <c r="AO252" s="2601">
        <v>1</v>
      </c>
      <c r="AP252" s="2601"/>
      <c r="AQ252" s="2601"/>
      <c r="AR252" s="2601"/>
      <c r="AS252" s="2601"/>
      <c r="AT252" s="2601">
        <v>10</v>
      </c>
      <c r="AU252" s="2601">
        <v>5</v>
      </c>
      <c r="AV252" s="2601"/>
      <c r="AW252" s="151"/>
      <c r="AX252" s="151"/>
      <c r="AY252" s="151">
        <v>16</v>
      </c>
      <c r="AZ252" s="912">
        <f>+(AY250+AY251)/AY252</f>
        <v>0.1875</v>
      </c>
      <c r="BB252" s="2191"/>
      <c r="BC252" s="2191"/>
      <c r="BD252" s="2192"/>
      <c r="BE252" s="2193" t="s">
        <v>1398</v>
      </c>
      <c r="BF252" s="2194"/>
      <c r="BG252" s="2194"/>
      <c r="BH252" s="2194"/>
      <c r="BI252" s="2195">
        <v>0</v>
      </c>
      <c r="BJ252" s="2195">
        <v>0</v>
      </c>
      <c r="BK252" s="2195">
        <v>5</v>
      </c>
      <c r="BL252" s="2194"/>
      <c r="BM252" s="2194"/>
      <c r="BN252" s="963"/>
      <c r="BO252" s="963"/>
      <c r="BP252" s="964">
        <v>5</v>
      </c>
      <c r="BQ252" s="73"/>
      <c r="BS252" s="879"/>
      <c r="BT252" s="879"/>
      <c r="BU252" s="880" t="s">
        <v>113</v>
      </c>
      <c r="BV252" s="881" t="s">
        <v>1289</v>
      </c>
      <c r="BW252" s="883">
        <v>1</v>
      </c>
      <c r="BX252" s="882"/>
      <c r="BY252" s="883">
        <v>1</v>
      </c>
      <c r="BZ252" s="883">
        <v>1</v>
      </c>
      <c r="CA252" s="882"/>
      <c r="CB252" s="882"/>
      <c r="CC252" s="882"/>
      <c r="CD252" s="882"/>
      <c r="CE252" s="879"/>
      <c r="CF252" s="879"/>
      <c r="CG252" s="884">
        <v>3</v>
      </c>
      <c r="CH252" s="161"/>
      <c r="CJ252" s="885"/>
      <c r="CK252" s="885"/>
      <c r="CL252" s="885"/>
      <c r="CM252" s="886" t="s">
        <v>1398</v>
      </c>
      <c r="CN252" s="887"/>
      <c r="CO252" s="888">
        <v>0</v>
      </c>
      <c r="CP252" s="888">
        <v>0</v>
      </c>
      <c r="CQ252" s="887"/>
      <c r="CR252" s="888">
        <v>0</v>
      </c>
      <c r="CS252" s="887"/>
      <c r="CT252" s="888">
        <v>4</v>
      </c>
      <c r="CU252" s="888">
        <v>1</v>
      </c>
      <c r="CV252" s="887"/>
      <c r="CW252" s="889"/>
      <c r="CX252" s="889"/>
      <c r="CY252" s="890">
        <v>5</v>
      </c>
      <c r="CZ252" s="891"/>
      <c r="DD252" s="892"/>
      <c r="DE252" s="893" t="s">
        <v>1288</v>
      </c>
      <c r="DF252" s="894"/>
      <c r="DG252" s="895">
        <v>0</v>
      </c>
      <c r="DH252" s="895">
        <v>0</v>
      </c>
      <c r="DI252" s="895">
        <v>0</v>
      </c>
      <c r="DJ252" s="895">
        <v>1</v>
      </c>
      <c r="DK252" s="895">
        <v>1</v>
      </c>
      <c r="DL252" s="895">
        <v>0</v>
      </c>
      <c r="DM252" s="895">
        <v>1</v>
      </c>
      <c r="DN252" s="895">
        <v>0</v>
      </c>
      <c r="DO252" s="895">
        <v>0</v>
      </c>
      <c r="DP252" s="895">
        <v>3</v>
      </c>
      <c r="DQ252" s="792"/>
      <c r="DS252" s="121"/>
      <c r="DT252" s="121"/>
      <c r="DU252" s="121"/>
      <c r="DV252" s="74" t="s">
        <v>1288</v>
      </c>
      <c r="DW252" s="74">
        <v>0</v>
      </c>
      <c r="DX252" s="74">
        <v>0</v>
      </c>
      <c r="DY252" s="74">
        <v>3</v>
      </c>
      <c r="DZ252" s="74">
        <v>0</v>
      </c>
      <c r="EA252" s="74">
        <v>0</v>
      </c>
      <c r="EB252" s="74">
        <v>9</v>
      </c>
      <c r="EC252" s="74">
        <v>4</v>
      </c>
      <c r="ED252" s="74">
        <v>0</v>
      </c>
      <c r="EE252" s="74"/>
      <c r="EF252" s="74">
        <v>0</v>
      </c>
      <c r="EG252" s="74">
        <v>16</v>
      </c>
      <c r="EH252" s="74"/>
      <c r="EI252" s="74"/>
      <c r="EJ252" s="793"/>
      <c r="EK252" s="793"/>
      <c r="EL252" s="793"/>
      <c r="EM252" s="793" t="s">
        <v>1288</v>
      </c>
      <c r="EN252" s="793">
        <v>0</v>
      </c>
      <c r="EO252" s="793">
        <v>0</v>
      </c>
      <c r="EP252" s="793">
        <v>0</v>
      </c>
      <c r="EQ252" s="793">
        <v>1</v>
      </c>
      <c r="ER252" s="793">
        <v>0</v>
      </c>
      <c r="ES252" s="793">
        <v>0</v>
      </c>
      <c r="ET252" s="793">
        <v>4</v>
      </c>
      <c r="EU252" s="793">
        <v>2</v>
      </c>
      <c r="EV252" s="793">
        <v>1</v>
      </c>
      <c r="EW252" s="793">
        <v>0</v>
      </c>
      <c r="EX252" s="793">
        <v>0</v>
      </c>
      <c r="EY252" s="794">
        <v>8</v>
      </c>
      <c r="EZ252" s="793"/>
      <c r="FA252" s="795"/>
    </row>
    <row r="253" spans="1:157">
      <c r="A253" s="73"/>
      <c r="B253" s="73"/>
      <c r="C253" s="738"/>
      <c r="D253" s="738" t="s">
        <v>1398</v>
      </c>
      <c r="E253" s="3262">
        <v>0</v>
      </c>
      <c r="F253" s="3262">
        <v>0</v>
      </c>
      <c r="G253" s="3262">
        <v>1</v>
      </c>
      <c r="H253" s="3262">
        <v>0</v>
      </c>
      <c r="I253" s="3262">
        <v>0</v>
      </c>
      <c r="J253" s="3262">
        <v>11</v>
      </c>
      <c r="K253" s="3262">
        <v>4</v>
      </c>
      <c r="L253" s="3262">
        <v>0</v>
      </c>
      <c r="M253" s="4674">
        <v>0</v>
      </c>
      <c r="N253" s="4674"/>
      <c r="O253" s="4674">
        <v>16</v>
      </c>
      <c r="P253" s="73"/>
      <c r="R253" s="74"/>
      <c r="S253" s="74"/>
      <c r="T253" s="74"/>
      <c r="U253" s="74" t="s">
        <v>1398</v>
      </c>
      <c r="V253" s="3229"/>
      <c r="W253" s="3229">
        <v>0</v>
      </c>
      <c r="X253" s="3229"/>
      <c r="Y253" s="3229"/>
      <c r="Z253" s="3229">
        <v>0</v>
      </c>
      <c r="AA253" s="3229">
        <v>0</v>
      </c>
      <c r="AB253" s="3229">
        <v>2</v>
      </c>
      <c r="AC253" s="3229"/>
      <c r="AD253" s="3229"/>
      <c r="AE253" s="121"/>
      <c r="AF253" s="121"/>
      <c r="AG253" s="121">
        <v>2</v>
      </c>
      <c r="AJ253" s="161"/>
      <c r="AK253" s="161"/>
      <c r="AL253" s="73" t="s">
        <v>142</v>
      </c>
      <c r="AM253" s="73" t="s">
        <v>1284</v>
      </c>
      <c r="AN253" s="2600"/>
      <c r="AO253" s="2600"/>
      <c r="AP253" s="2600"/>
      <c r="AQ253" s="2600"/>
      <c r="AR253" s="2600"/>
      <c r="AS253" s="2600"/>
      <c r="AT253" s="2600">
        <v>1</v>
      </c>
      <c r="AU253" s="2600">
        <v>2</v>
      </c>
      <c r="AV253" s="2600">
        <v>0</v>
      </c>
      <c r="AW253" s="161">
        <v>0</v>
      </c>
      <c r="AX253" s="161"/>
      <c r="AY253" s="161">
        <v>3</v>
      </c>
      <c r="AZ253" s="161"/>
      <c r="BB253" s="2191"/>
      <c r="BC253" s="2191"/>
      <c r="BD253" s="2192"/>
      <c r="BE253" s="760" t="s">
        <v>15</v>
      </c>
      <c r="BF253" s="2196"/>
      <c r="BG253" s="2196"/>
      <c r="BH253" s="2196"/>
      <c r="BI253" s="2197">
        <v>1</v>
      </c>
      <c r="BJ253" s="2197">
        <v>2</v>
      </c>
      <c r="BK253" s="2197">
        <v>20</v>
      </c>
      <c r="BL253" s="2196"/>
      <c r="BM253" s="2196"/>
      <c r="BN253" s="972"/>
      <c r="BO253" s="972"/>
      <c r="BP253" s="973">
        <v>23</v>
      </c>
      <c r="BQ253" s="2154">
        <f>+(BP248+BP251+BP252)/BP253</f>
        <v>0.78260869565217395</v>
      </c>
      <c r="BS253" s="879"/>
      <c r="BT253" s="879"/>
      <c r="BU253" s="880"/>
      <c r="BV253" s="881" t="s">
        <v>1398</v>
      </c>
      <c r="BW253" s="883">
        <v>0</v>
      </c>
      <c r="BX253" s="882"/>
      <c r="BY253" s="883">
        <v>1</v>
      </c>
      <c r="BZ253" s="883">
        <v>4</v>
      </c>
      <c r="CA253" s="882"/>
      <c r="CB253" s="882"/>
      <c r="CC253" s="882"/>
      <c r="CD253" s="882"/>
      <c r="CE253" s="879"/>
      <c r="CF253" s="879"/>
      <c r="CG253" s="884">
        <v>5</v>
      </c>
      <c r="CH253" s="161"/>
      <c r="CJ253" s="885"/>
      <c r="CK253" s="885"/>
      <c r="CL253" s="885"/>
      <c r="CM253" s="897" t="s">
        <v>265</v>
      </c>
      <c r="CN253" s="898"/>
      <c r="CO253" s="899">
        <v>1</v>
      </c>
      <c r="CP253" s="899">
        <v>1</v>
      </c>
      <c r="CQ253" s="898"/>
      <c r="CR253" s="899">
        <v>1</v>
      </c>
      <c r="CS253" s="898"/>
      <c r="CT253" s="899">
        <v>12</v>
      </c>
      <c r="CU253" s="899">
        <v>5</v>
      </c>
      <c r="CV253" s="898"/>
      <c r="CW253" s="900"/>
      <c r="CX253" s="900"/>
      <c r="CY253" s="901">
        <v>20</v>
      </c>
      <c r="CZ253" s="891">
        <f>+(CY252+CY251+CY249)/CY253</f>
        <v>0.5</v>
      </c>
      <c r="DD253" s="892"/>
      <c r="DE253" s="893" t="s">
        <v>1289</v>
      </c>
      <c r="DF253" s="894"/>
      <c r="DG253" s="895">
        <v>1</v>
      </c>
      <c r="DH253" s="895">
        <v>9</v>
      </c>
      <c r="DI253" s="895">
        <v>1</v>
      </c>
      <c r="DJ253" s="895">
        <v>2</v>
      </c>
      <c r="DK253" s="895">
        <v>0</v>
      </c>
      <c r="DL253" s="895">
        <v>0</v>
      </c>
      <c r="DM253" s="895">
        <v>0</v>
      </c>
      <c r="DN253" s="895">
        <v>0</v>
      </c>
      <c r="DO253" s="895">
        <v>0</v>
      </c>
      <c r="DP253" s="895">
        <v>13</v>
      </c>
      <c r="DQ253" s="792"/>
      <c r="DS253" s="121"/>
      <c r="DT253" s="121"/>
      <c r="DU253" s="121"/>
      <c r="DV253" s="74" t="s">
        <v>1289</v>
      </c>
      <c r="DW253" s="74">
        <v>0</v>
      </c>
      <c r="DX253" s="74">
        <v>0</v>
      </c>
      <c r="DY253" s="74">
        <v>23</v>
      </c>
      <c r="DZ253" s="74">
        <v>5</v>
      </c>
      <c r="EA253" s="74">
        <v>4</v>
      </c>
      <c r="EB253" s="74">
        <v>1</v>
      </c>
      <c r="EC253" s="74">
        <v>0</v>
      </c>
      <c r="ED253" s="74">
        <v>0</v>
      </c>
      <c r="EE253" s="74"/>
      <c r="EF253" s="74">
        <v>0</v>
      </c>
      <c r="EG253" s="74">
        <v>33</v>
      </c>
      <c r="EH253" s="74"/>
      <c r="EI253" s="124"/>
      <c r="EJ253" s="793"/>
      <c r="EK253" s="793"/>
      <c r="EL253" s="793"/>
      <c r="EM253" s="793" t="s">
        <v>1289</v>
      </c>
      <c r="EN253" s="793">
        <v>0</v>
      </c>
      <c r="EO253" s="793">
        <v>0</v>
      </c>
      <c r="EP253" s="793">
        <v>3</v>
      </c>
      <c r="EQ253" s="793">
        <v>3</v>
      </c>
      <c r="ER253" s="793">
        <v>15</v>
      </c>
      <c r="ES253" s="793">
        <v>6</v>
      </c>
      <c r="ET253" s="793">
        <v>3</v>
      </c>
      <c r="EU253" s="793">
        <v>0</v>
      </c>
      <c r="EV253" s="793">
        <v>0</v>
      </c>
      <c r="EW253" s="793">
        <v>0</v>
      </c>
      <c r="EX253" s="793">
        <v>0</v>
      </c>
      <c r="EY253" s="794">
        <v>30</v>
      </c>
      <c r="EZ253" s="793"/>
      <c r="FA253" s="795"/>
    </row>
    <row r="254" spans="1:157">
      <c r="A254" s="73"/>
      <c r="B254" s="73"/>
      <c r="C254" s="738"/>
      <c r="D254" s="738" t="s">
        <v>573</v>
      </c>
      <c r="E254" s="3262">
        <v>5</v>
      </c>
      <c r="F254" s="3262">
        <v>4</v>
      </c>
      <c r="G254" s="3262">
        <v>5</v>
      </c>
      <c r="H254" s="3262">
        <v>4</v>
      </c>
      <c r="I254" s="3262">
        <v>3</v>
      </c>
      <c r="J254" s="3262">
        <v>108</v>
      </c>
      <c r="K254" s="3262">
        <v>22</v>
      </c>
      <c r="L254" s="3262">
        <v>5</v>
      </c>
      <c r="M254" s="4674">
        <v>2</v>
      </c>
      <c r="N254" s="4674"/>
      <c r="O254" s="4674">
        <v>158</v>
      </c>
      <c r="P254" s="912">
        <f>+(O253+O252+O250-M250)/O254</f>
        <v>0.36075949367088606</v>
      </c>
      <c r="Q254" s="3197"/>
      <c r="R254" s="74"/>
      <c r="S254" s="74"/>
      <c r="T254" s="74"/>
      <c r="U254" s="761" t="s">
        <v>15</v>
      </c>
      <c r="V254" s="3230"/>
      <c r="W254" s="3230">
        <v>1</v>
      </c>
      <c r="X254" s="3230"/>
      <c r="Y254" s="3230"/>
      <c r="Z254" s="3230">
        <v>1</v>
      </c>
      <c r="AA254" s="3230">
        <v>1</v>
      </c>
      <c r="AB254" s="3230">
        <v>9</v>
      </c>
      <c r="AC254" s="3230"/>
      <c r="AD254" s="3230"/>
      <c r="AE254" s="729"/>
      <c r="AF254" s="729"/>
      <c r="AG254" s="729">
        <v>12</v>
      </c>
      <c r="AH254" s="4681">
        <f>+(AG252+AG253)/AG254</f>
        <v>0.5</v>
      </c>
      <c r="AJ254" s="161"/>
      <c r="AK254" s="161"/>
      <c r="AL254" s="73"/>
      <c r="AM254" s="73" t="s">
        <v>1288</v>
      </c>
      <c r="AN254" s="2600"/>
      <c r="AO254" s="2600"/>
      <c r="AP254" s="2600"/>
      <c r="AQ254" s="2600"/>
      <c r="AR254" s="2600"/>
      <c r="AS254" s="2600"/>
      <c r="AT254" s="2600">
        <v>2</v>
      </c>
      <c r="AU254" s="2600">
        <v>0</v>
      </c>
      <c r="AV254" s="2600">
        <v>1</v>
      </c>
      <c r="AW254" s="161">
        <v>0</v>
      </c>
      <c r="AX254" s="161"/>
      <c r="AY254" s="161">
        <v>3</v>
      </c>
      <c r="AZ254" s="161"/>
      <c r="BB254" s="2191"/>
      <c r="BC254" s="2191"/>
      <c r="BD254" s="2192" t="s">
        <v>425</v>
      </c>
      <c r="BE254" s="2193" t="s">
        <v>1284</v>
      </c>
      <c r="BF254" s="2194"/>
      <c r="BG254" s="2194"/>
      <c r="BH254" s="2194"/>
      <c r="BI254" s="2194"/>
      <c r="BJ254" s="2194"/>
      <c r="BK254" s="2195">
        <v>3</v>
      </c>
      <c r="BL254" s="2194"/>
      <c r="BM254" s="2195">
        <v>2</v>
      </c>
      <c r="BN254" s="963"/>
      <c r="BO254" s="963"/>
      <c r="BP254" s="964">
        <v>5</v>
      </c>
      <c r="BQ254" s="73"/>
      <c r="BS254" s="879"/>
      <c r="BT254" s="879"/>
      <c r="BU254" s="880"/>
      <c r="BV254" s="907" t="s">
        <v>15</v>
      </c>
      <c r="BW254" s="909">
        <v>1</v>
      </c>
      <c r="BX254" s="908"/>
      <c r="BY254" s="909">
        <v>2</v>
      </c>
      <c r="BZ254" s="909">
        <v>5</v>
      </c>
      <c r="CA254" s="908"/>
      <c r="CB254" s="908"/>
      <c r="CC254" s="908"/>
      <c r="CD254" s="908"/>
      <c r="CE254" s="910"/>
      <c r="CF254" s="910"/>
      <c r="CG254" s="911">
        <v>8</v>
      </c>
      <c r="CH254" s="912">
        <f>+CG253/CG254</f>
        <v>0.625</v>
      </c>
      <c r="CJ254" s="885"/>
      <c r="CK254" s="885"/>
      <c r="CL254" s="897" t="s">
        <v>114</v>
      </c>
      <c r="CM254" s="886" t="s">
        <v>1283</v>
      </c>
      <c r="CN254" s="888">
        <v>0</v>
      </c>
      <c r="CO254" s="888">
        <v>0</v>
      </c>
      <c r="CP254" s="888">
        <v>0</v>
      </c>
      <c r="CQ254" s="888">
        <v>1</v>
      </c>
      <c r="CR254" s="888">
        <v>0</v>
      </c>
      <c r="CS254" s="888">
        <v>0</v>
      </c>
      <c r="CT254" s="888">
        <v>0</v>
      </c>
      <c r="CU254" s="888">
        <v>1</v>
      </c>
      <c r="CV254" s="888">
        <v>19</v>
      </c>
      <c r="CW254" s="890">
        <v>2</v>
      </c>
      <c r="CX254" s="890">
        <v>8</v>
      </c>
      <c r="CY254" s="890">
        <v>31</v>
      </c>
      <c r="CZ254" s="891"/>
      <c r="DD254" s="892"/>
      <c r="DE254" s="893" t="s">
        <v>1292</v>
      </c>
      <c r="DF254" s="894"/>
      <c r="DG254" s="895">
        <v>0</v>
      </c>
      <c r="DH254" s="895">
        <v>0</v>
      </c>
      <c r="DI254" s="895">
        <v>3</v>
      </c>
      <c r="DJ254" s="895">
        <v>0</v>
      </c>
      <c r="DK254" s="895">
        <v>2</v>
      </c>
      <c r="DL254" s="895">
        <v>2</v>
      </c>
      <c r="DM254" s="895">
        <v>9</v>
      </c>
      <c r="DN254" s="895">
        <v>0</v>
      </c>
      <c r="DO254" s="895">
        <v>2</v>
      </c>
      <c r="DP254" s="895">
        <v>18</v>
      </c>
      <c r="DQ254" s="792"/>
      <c r="DS254" s="121"/>
      <c r="DT254" s="121"/>
      <c r="DU254" s="121"/>
      <c r="DV254" s="74" t="s">
        <v>1292</v>
      </c>
      <c r="DW254" s="74">
        <v>0</v>
      </c>
      <c r="DX254" s="74">
        <v>0</v>
      </c>
      <c r="DY254" s="74">
        <v>0</v>
      </c>
      <c r="DZ254" s="74">
        <v>1</v>
      </c>
      <c r="EA254" s="74">
        <v>0</v>
      </c>
      <c r="EB254" s="74">
        <v>0</v>
      </c>
      <c r="EC254" s="74">
        <v>0</v>
      </c>
      <c r="ED254" s="74">
        <v>6</v>
      </c>
      <c r="EE254" s="74"/>
      <c r="EF254" s="74">
        <v>3</v>
      </c>
      <c r="EG254" s="74">
        <v>10</v>
      </c>
      <c r="EH254" s="74"/>
      <c r="EI254" s="74"/>
      <c r="EJ254" s="793"/>
      <c r="EK254" s="793"/>
      <c r="EL254" s="793"/>
      <c r="EM254" s="793" t="s">
        <v>1292</v>
      </c>
      <c r="EN254" s="793">
        <v>0</v>
      </c>
      <c r="EO254" s="793">
        <v>0</v>
      </c>
      <c r="EP254" s="793">
        <v>0</v>
      </c>
      <c r="EQ254" s="793">
        <v>0</v>
      </c>
      <c r="ER254" s="793">
        <v>0</v>
      </c>
      <c r="ES254" s="793">
        <v>0</v>
      </c>
      <c r="ET254" s="793">
        <v>2</v>
      </c>
      <c r="EU254" s="793">
        <v>2</v>
      </c>
      <c r="EV254" s="793">
        <v>10</v>
      </c>
      <c r="EW254" s="793">
        <v>0</v>
      </c>
      <c r="EX254" s="793">
        <v>0</v>
      </c>
      <c r="EY254" s="794">
        <v>14</v>
      </c>
      <c r="EZ254" s="793"/>
      <c r="FA254" s="795"/>
    </row>
    <row r="255" spans="1:157">
      <c r="A255" s="73"/>
      <c r="B255" s="73" t="s">
        <v>41</v>
      </c>
      <c r="C255" s="73" t="s">
        <v>140</v>
      </c>
      <c r="D255" s="73" t="s">
        <v>1283</v>
      </c>
      <c r="E255" s="3261"/>
      <c r="F255" s="3261">
        <v>0</v>
      </c>
      <c r="G255" s="3261"/>
      <c r="H255" s="3261"/>
      <c r="I255" s="3261"/>
      <c r="J255" s="3261">
        <v>0</v>
      </c>
      <c r="K255" s="3261">
        <v>1</v>
      </c>
      <c r="L255" s="3261"/>
      <c r="M255" s="161"/>
      <c r="N255" s="161"/>
      <c r="O255" s="161">
        <v>1</v>
      </c>
      <c r="P255" s="73"/>
      <c r="R255" s="74"/>
      <c r="S255" s="74"/>
      <c r="T255" s="74" t="s">
        <v>2715</v>
      </c>
      <c r="U255" s="74" t="s">
        <v>1284</v>
      </c>
      <c r="V255" s="3229"/>
      <c r="W255" s="3229"/>
      <c r="X255" s="3229"/>
      <c r="Y255" s="3229"/>
      <c r="Z255" s="3229"/>
      <c r="AA255" s="3229"/>
      <c r="AB255" s="3229">
        <v>2</v>
      </c>
      <c r="AC255" s="3229">
        <v>5</v>
      </c>
      <c r="AD255" s="3229">
        <v>0</v>
      </c>
      <c r="AE255" s="121"/>
      <c r="AF255" s="121"/>
      <c r="AG255" s="121">
        <v>7</v>
      </c>
      <c r="AJ255" s="161"/>
      <c r="AK255" s="161"/>
      <c r="AL255" s="73"/>
      <c r="AM255" s="73" t="s">
        <v>1292</v>
      </c>
      <c r="AN255" s="2600"/>
      <c r="AO255" s="2600"/>
      <c r="AP255" s="2600"/>
      <c r="AQ255" s="2600"/>
      <c r="AR255" s="2600"/>
      <c r="AS255" s="2600"/>
      <c r="AT255" s="2600">
        <v>0</v>
      </c>
      <c r="AU255" s="2600">
        <v>0</v>
      </c>
      <c r="AV255" s="2600">
        <v>2</v>
      </c>
      <c r="AW255" s="161">
        <v>2</v>
      </c>
      <c r="AX255" s="161"/>
      <c r="AY255" s="161">
        <v>4</v>
      </c>
      <c r="AZ255" s="161"/>
      <c r="BB255" s="2191"/>
      <c r="BC255" s="2191"/>
      <c r="BD255" s="2192"/>
      <c r="BE255" s="2193" t="s">
        <v>1288</v>
      </c>
      <c r="BF255" s="2194"/>
      <c r="BG255" s="2194"/>
      <c r="BH255" s="2194"/>
      <c r="BI255" s="2194"/>
      <c r="BJ255" s="2194"/>
      <c r="BK255" s="2195">
        <v>3</v>
      </c>
      <c r="BL255" s="2194"/>
      <c r="BM255" s="2195">
        <v>0</v>
      </c>
      <c r="BN255" s="963"/>
      <c r="BO255" s="963"/>
      <c r="BP255" s="964">
        <v>3</v>
      </c>
      <c r="BQ255" s="73"/>
      <c r="BS255" s="879"/>
      <c r="BT255" s="879"/>
      <c r="BU255" s="880" t="s">
        <v>868</v>
      </c>
      <c r="BV255" s="881" t="s">
        <v>1284</v>
      </c>
      <c r="BW255" s="882"/>
      <c r="BX255" s="882"/>
      <c r="BY255" s="882"/>
      <c r="BZ255" s="883">
        <v>2</v>
      </c>
      <c r="CA255" s="882"/>
      <c r="CB255" s="882"/>
      <c r="CC255" s="882"/>
      <c r="CD255" s="882"/>
      <c r="CE255" s="879"/>
      <c r="CF255" s="879"/>
      <c r="CG255" s="884">
        <v>2</v>
      </c>
      <c r="CH255" s="161"/>
      <c r="CJ255" s="885"/>
      <c r="CK255" s="885"/>
      <c r="CL255" s="885"/>
      <c r="CM255" s="886" t="s">
        <v>1284</v>
      </c>
      <c r="CN255" s="888">
        <v>3</v>
      </c>
      <c r="CO255" s="888">
        <v>8</v>
      </c>
      <c r="CP255" s="888">
        <v>5</v>
      </c>
      <c r="CQ255" s="888">
        <v>9</v>
      </c>
      <c r="CR255" s="888">
        <v>1</v>
      </c>
      <c r="CS255" s="888">
        <v>6</v>
      </c>
      <c r="CT255" s="888">
        <v>84</v>
      </c>
      <c r="CU255" s="888">
        <v>35</v>
      </c>
      <c r="CV255" s="888">
        <v>3</v>
      </c>
      <c r="CW255" s="890">
        <v>2</v>
      </c>
      <c r="CX255" s="890">
        <v>0</v>
      </c>
      <c r="CY255" s="890">
        <v>156</v>
      </c>
      <c r="CZ255" s="891"/>
      <c r="DD255" s="892"/>
      <c r="DE255" s="893" t="s">
        <v>1293</v>
      </c>
      <c r="DF255" s="894"/>
      <c r="DG255" s="895">
        <v>0</v>
      </c>
      <c r="DH255" s="895">
        <v>1</v>
      </c>
      <c r="DI255" s="895">
        <v>1</v>
      </c>
      <c r="DJ255" s="895">
        <v>1</v>
      </c>
      <c r="DK255" s="895">
        <v>6</v>
      </c>
      <c r="DL255" s="895">
        <v>1</v>
      </c>
      <c r="DM255" s="895">
        <v>1</v>
      </c>
      <c r="DN255" s="895">
        <v>0</v>
      </c>
      <c r="DO255" s="895">
        <v>0</v>
      </c>
      <c r="DP255" s="895">
        <v>11</v>
      </c>
      <c r="DQ255" s="792"/>
      <c r="DU255" s="121"/>
      <c r="DV255" s="74" t="s">
        <v>1293</v>
      </c>
      <c r="DW255" s="74">
        <v>0</v>
      </c>
      <c r="DX255" s="74">
        <v>0</v>
      </c>
      <c r="DY255" s="74">
        <v>0</v>
      </c>
      <c r="DZ255" s="74">
        <v>1</v>
      </c>
      <c r="EA255" s="74">
        <v>0</v>
      </c>
      <c r="EB255" s="74">
        <v>11</v>
      </c>
      <c r="EC255" s="74">
        <v>3</v>
      </c>
      <c r="ED255" s="74">
        <v>1</v>
      </c>
      <c r="EE255" s="74"/>
      <c r="EF255" s="74">
        <v>0</v>
      </c>
      <c r="EG255" s="74">
        <v>16</v>
      </c>
      <c r="EH255" s="74"/>
      <c r="EI255" s="74"/>
      <c r="EJ255" s="793"/>
      <c r="EK255" s="793"/>
      <c r="EL255" s="793"/>
      <c r="EM255" s="793" t="s">
        <v>1293</v>
      </c>
      <c r="EN255" s="793">
        <v>0</v>
      </c>
      <c r="EO255" s="793">
        <v>0</v>
      </c>
      <c r="EP255" s="793">
        <v>0</v>
      </c>
      <c r="EQ255" s="793">
        <v>0</v>
      </c>
      <c r="ER255" s="793">
        <v>0</v>
      </c>
      <c r="ES255" s="793">
        <v>0</v>
      </c>
      <c r="ET255" s="793">
        <v>0</v>
      </c>
      <c r="EU255" s="793">
        <v>4</v>
      </c>
      <c r="EV255" s="793">
        <v>0</v>
      </c>
      <c r="EW255" s="793">
        <v>0</v>
      </c>
      <c r="EX255" s="793">
        <v>0</v>
      </c>
      <c r="EY255" s="794">
        <v>4</v>
      </c>
      <c r="EZ255" s="793"/>
      <c r="FA255" s="795"/>
    </row>
    <row r="256" spans="1:157">
      <c r="A256" s="73"/>
      <c r="B256" s="73"/>
      <c r="C256" s="73"/>
      <c r="D256" s="73" t="s">
        <v>1284</v>
      </c>
      <c r="E256" s="3261"/>
      <c r="F256" s="3261">
        <v>1</v>
      </c>
      <c r="G256" s="3261"/>
      <c r="H256" s="3261"/>
      <c r="I256" s="3261"/>
      <c r="J256" s="3261">
        <v>1</v>
      </c>
      <c r="K256" s="3261">
        <v>0</v>
      </c>
      <c r="L256" s="3261"/>
      <c r="M256" s="161"/>
      <c r="N256" s="161"/>
      <c r="O256" s="161">
        <v>2</v>
      </c>
      <c r="P256" s="73"/>
      <c r="R256" s="74"/>
      <c r="S256" s="74"/>
      <c r="T256" s="74"/>
      <c r="U256" s="74" t="s">
        <v>1292</v>
      </c>
      <c r="V256" s="3229"/>
      <c r="W256" s="3229"/>
      <c r="X256" s="3229"/>
      <c r="Y256" s="3229"/>
      <c r="Z256" s="3229"/>
      <c r="AA256" s="3229"/>
      <c r="AB256" s="3229">
        <v>0</v>
      </c>
      <c r="AC256" s="3229">
        <v>0</v>
      </c>
      <c r="AD256" s="3229">
        <v>3</v>
      </c>
      <c r="AE256" s="121"/>
      <c r="AF256" s="121"/>
      <c r="AG256" s="121">
        <v>3</v>
      </c>
      <c r="AJ256" s="161"/>
      <c r="AK256" s="161"/>
      <c r="AL256" s="73"/>
      <c r="AM256" s="73" t="s">
        <v>1293</v>
      </c>
      <c r="AN256" s="2600"/>
      <c r="AO256" s="2600"/>
      <c r="AP256" s="2600"/>
      <c r="AQ256" s="2600"/>
      <c r="AR256" s="2600"/>
      <c r="AS256" s="2600"/>
      <c r="AT256" s="2600">
        <v>0</v>
      </c>
      <c r="AU256" s="2600">
        <v>2</v>
      </c>
      <c r="AV256" s="2600">
        <v>0</v>
      </c>
      <c r="AW256" s="161">
        <v>0</v>
      </c>
      <c r="AX256" s="161"/>
      <c r="AY256" s="161">
        <v>2</v>
      </c>
      <c r="AZ256" s="161"/>
      <c r="BB256" s="2191"/>
      <c r="BC256" s="2191"/>
      <c r="BD256" s="2192"/>
      <c r="BE256" s="2193" t="s">
        <v>1293</v>
      </c>
      <c r="BF256" s="2194"/>
      <c r="BG256" s="2194"/>
      <c r="BH256" s="2194"/>
      <c r="BI256" s="2194"/>
      <c r="BJ256" s="2194"/>
      <c r="BK256" s="2195">
        <v>5</v>
      </c>
      <c r="BL256" s="2194"/>
      <c r="BM256" s="2195">
        <v>0</v>
      </c>
      <c r="BN256" s="963"/>
      <c r="BO256" s="963"/>
      <c r="BP256" s="964">
        <v>5</v>
      </c>
      <c r="BQ256" s="73"/>
      <c r="BS256" s="879"/>
      <c r="BT256" s="879"/>
      <c r="BU256" s="880"/>
      <c r="BV256" s="907" t="s">
        <v>15</v>
      </c>
      <c r="BW256" s="908"/>
      <c r="BX256" s="908"/>
      <c r="BY256" s="908"/>
      <c r="BZ256" s="909">
        <v>2</v>
      </c>
      <c r="CA256" s="908"/>
      <c r="CB256" s="908"/>
      <c r="CC256" s="908"/>
      <c r="CD256" s="908"/>
      <c r="CE256" s="910"/>
      <c r="CF256" s="910"/>
      <c r="CG256" s="911">
        <v>2</v>
      </c>
      <c r="CH256" s="912">
        <v>0</v>
      </c>
      <c r="CJ256" s="885"/>
      <c r="CK256" s="885"/>
      <c r="CL256" s="885"/>
      <c r="CM256" s="886" t="s">
        <v>1286</v>
      </c>
      <c r="CN256" s="888">
        <v>0</v>
      </c>
      <c r="CO256" s="888">
        <v>3</v>
      </c>
      <c r="CP256" s="888">
        <v>1</v>
      </c>
      <c r="CQ256" s="888">
        <v>2</v>
      </c>
      <c r="CR256" s="888">
        <v>0</v>
      </c>
      <c r="CS256" s="888">
        <v>0</v>
      </c>
      <c r="CT256" s="888">
        <v>0</v>
      </c>
      <c r="CU256" s="888">
        <v>0</v>
      </c>
      <c r="CV256" s="888">
        <v>0</v>
      </c>
      <c r="CW256" s="890">
        <v>0</v>
      </c>
      <c r="CX256" s="890">
        <v>0</v>
      </c>
      <c r="CY256" s="890">
        <v>6</v>
      </c>
      <c r="CZ256" s="891"/>
      <c r="DD256" s="892"/>
      <c r="DE256" s="893" t="s">
        <v>1398</v>
      </c>
      <c r="DF256" s="894"/>
      <c r="DG256" s="895">
        <v>0</v>
      </c>
      <c r="DH256" s="895">
        <v>1</v>
      </c>
      <c r="DI256" s="895">
        <v>0</v>
      </c>
      <c r="DJ256" s="895">
        <v>0</v>
      </c>
      <c r="DK256" s="895">
        <v>2</v>
      </c>
      <c r="DL256" s="895">
        <v>2</v>
      </c>
      <c r="DM256" s="895">
        <v>0</v>
      </c>
      <c r="DN256" s="895">
        <v>0</v>
      </c>
      <c r="DO256" s="895">
        <v>0</v>
      </c>
      <c r="DP256" s="895">
        <v>5</v>
      </c>
      <c r="DQ256" s="792"/>
      <c r="DU256" s="121"/>
      <c r="DV256" s="74" t="s">
        <v>1398</v>
      </c>
      <c r="DW256" s="74">
        <v>0</v>
      </c>
      <c r="DX256" s="74">
        <v>0</v>
      </c>
      <c r="DY256" s="74">
        <v>2</v>
      </c>
      <c r="DZ256" s="74">
        <v>1</v>
      </c>
      <c r="EA256" s="74">
        <v>1</v>
      </c>
      <c r="EB256" s="74">
        <v>1</v>
      </c>
      <c r="EC256" s="74">
        <v>1</v>
      </c>
      <c r="ED256" s="74">
        <v>1</v>
      </c>
      <c r="EE256" s="74"/>
      <c r="EF256" s="74">
        <v>0</v>
      </c>
      <c r="EG256" s="74">
        <v>7</v>
      </c>
      <c r="EH256" s="74"/>
      <c r="EI256" s="74"/>
      <c r="EJ256" s="793"/>
      <c r="EK256" s="793"/>
      <c r="EL256" s="793"/>
      <c r="EM256" s="793" t="s">
        <v>1398</v>
      </c>
      <c r="EN256" s="793">
        <v>0</v>
      </c>
      <c r="EO256" s="793">
        <v>0</v>
      </c>
      <c r="EP256" s="793">
        <v>0</v>
      </c>
      <c r="EQ256" s="793">
        <v>1</v>
      </c>
      <c r="ER256" s="793">
        <v>0</v>
      </c>
      <c r="ES256" s="793">
        <v>0</v>
      </c>
      <c r="ET256" s="793">
        <v>10</v>
      </c>
      <c r="EU256" s="793">
        <v>2</v>
      </c>
      <c r="EV256" s="793">
        <v>0</v>
      </c>
      <c r="EW256" s="793">
        <v>0</v>
      </c>
      <c r="EX256" s="793">
        <v>0</v>
      </c>
      <c r="EY256" s="794">
        <v>13</v>
      </c>
      <c r="EZ256" s="793"/>
      <c r="FA256" s="795"/>
    </row>
    <row r="257" spans="1:157">
      <c r="A257" s="73"/>
      <c r="B257" s="73"/>
      <c r="C257" s="73"/>
      <c r="D257" s="73" t="s">
        <v>1288</v>
      </c>
      <c r="E257" s="3261"/>
      <c r="F257" s="3261">
        <v>0</v>
      </c>
      <c r="G257" s="3261"/>
      <c r="H257" s="3261"/>
      <c r="I257" s="3261"/>
      <c r="J257" s="3261">
        <v>0</v>
      </c>
      <c r="K257" s="3261">
        <v>5</v>
      </c>
      <c r="L257" s="3261"/>
      <c r="M257" s="161"/>
      <c r="N257" s="161"/>
      <c r="O257" s="161">
        <v>5</v>
      </c>
      <c r="P257" s="73"/>
      <c r="R257" s="74"/>
      <c r="S257" s="74"/>
      <c r="T257" s="74"/>
      <c r="U257" s="74" t="s">
        <v>1293</v>
      </c>
      <c r="V257" s="3229"/>
      <c r="W257" s="3229"/>
      <c r="X257" s="3229"/>
      <c r="Y257" s="3229"/>
      <c r="Z257" s="3229"/>
      <c r="AA257" s="3229"/>
      <c r="AB257" s="3229">
        <v>0</v>
      </c>
      <c r="AC257" s="3229">
        <v>1</v>
      </c>
      <c r="AD257" s="3229">
        <v>0</v>
      </c>
      <c r="AE257" s="121"/>
      <c r="AF257" s="121"/>
      <c r="AG257" s="121">
        <v>1</v>
      </c>
      <c r="AJ257" s="161"/>
      <c r="AK257" s="161"/>
      <c r="AL257" s="73"/>
      <c r="AM257" s="73" t="s">
        <v>1398</v>
      </c>
      <c r="AN257" s="2600"/>
      <c r="AO257" s="2600"/>
      <c r="AP257" s="2600"/>
      <c r="AQ257" s="2600"/>
      <c r="AR257" s="2600"/>
      <c r="AS257" s="2600"/>
      <c r="AT257" s="2600">
        <v>2</v>
      </c>
      <c r="AU257" s="2600">
        <v>3</v>
      </c>
      <c r="AV257" s="2600">
        <v>0</v>
      </c>
      <c r="AW257" s="161">
        <v>0</v>
      </c>
      <c r="AX257" s="161"/>
      <c r="AY257" s="161">
        <v>5</v>
      </c>
      <c r="AZ257" s="161"/>
      <c r="BB257" s="2191"/>
      <c r="BC257" s="2191"/>
      <c r="BD257" s="2192"/>
      <c r="BE257" s="2193" t="s">
        <v>1398</v>
      </c>
      <c r="BF257" s="2194"/>
      <c r="BG257" s="2194"/>
      <c r="BH257" s="2194"/>
      <c r="BI257" s="2194"/>
      <c r="BJ257" s="2194"/>
      <c r="BK257" s="2195">
        <v>7</v>
      </c>
      <c r="BL257" s="2194"/>
      <c r="BM257" s="2195">
        <v>0</v>
      </c>
      <c r="BN257" s="963"/>
      <c r="BO257" s="963"/>
      <c r="BP257" s="964">
        <v>7</v>
      </c>
      <c r="BQ257" s="73"/>
      <c r="BS257" s="879"/>
      <c r="BT257" s="879"/>
      <c r="BU257" s="880" t="s">
        <v>575</v>
      </c>
      <c r="BV257" s="881" t="s">
        <v>1283</v>
      </c>
      <c r="BW257" s="883">
        <v>0</v>
      </c>
      <c r="BX257" s="883">
        <v>0</v>
      </c>
      <c r="BY257" s="883">
        <v>0</v>
      </c>
      <c r="BZ257" s="883">
        <v>0</v>
      </c>
      <c r="CA257" s="882"/>
      <c r="CB257" s="883">
        <v>0</v>
      </c>
      <c r="CC257" s="883">
        <v>1</v>
      </c>
      <c r="CD257" s="883">
        <v>1</v>
      </c>
      <c r="CE257" s="884">
        <v>0</v>
      </c>
      <c r="CF257" s="879"/>
      <c r="CG257" s="884">
        <v>2</v>
      </c>
      <c r="CH257" s="161"/>
      <c r="CJ257" s="885"/>
      <c r="CK257" s="885"/>
      <c r="CL257" s="885"/>
      <c r="CM257" s="886" t="s">
        <v>1288</v>
      </c>
      <c r="CN257" s="888">
        <v>0</v>
      </c>
      <c r="CO257" s="888">
        <v>0</v>
      </c>
      <c r="CP257" s="888">
        <v>0</v>
      </c>
      <c r="CQ257" s="888">
        <v>4</v>
      </c>
      <c r="CR257" s="888">
        <v>1</v>
      </c>
      <c r="CS257" s="888">
        <v>1</v>
      </c>
      <c r="CT257" s="888">
        <v>23</v>
      </c>
      <c r="CU257" s="888">
        <v>37</v>
      </c>
      <c r="CV257" s="888">
        <v>6</v>
      </c>
      <c r="CW257" s="890">
        <v>3</v>
      </c>
      <c r="CX257" s="890">
        <v>1</v>
      </c>
      <c r="CY257" s="890">
        <v>76</v>
      </c>
      <c r="CZ257" s="891"/>
      <c r="DD257" s="892"/>
      <c r="DE257" s="902" t="s">
        <v>107</v>
      </c>
      <c r="DF257" s="903"/>
      <c r="DG257" s="904">
        <v>1</v>
      </c>
      <c r="DH257" s="904">
        <v>15</v>
      </c>
      <c r="DI257" s="904">
        <v>9</v>
      </c>
      <c r="DJ257" s="904">
        <v>5</v>
      </c>
      <c r="DK257" s="904">
        <v>21</v>
      </c>
      <c r="DL257" s="904">
        <v>13</v>
      </c>
      <c r="DM257" s="904">
        <v>13</v>
      </c>
      <c r="DN257" s="904">
        <v>1</v>
      </c>
      <c r="DO257" s="904">
        <v>4</v>
      </c>
      <c r="DP257" s="904">
        <v>82</v>
      </c>
      <c r="DQ257" s="905">
        <f>+(DP256+DP255+DP252)/DP257</f>
        <v>0.23170731707317074</v>
      </c>
      <c r="DU257" s="121"/>
      <c r="DV257" s="761" t="s">
        <v>15</v>
      </c>
      <c r="DW257" s="761">
        <v>1</v>
      </c>
      <c r="DX257" s="761">
        <v>5</v>
      </c>
      <c r="DY257" s="761">
        <v>29</v>
      </c>
      <c r="DZ257" s="761">
        <v>10</v>
      </c>
      <c r="EA257" s="761">
        <v>6</v>
      </c>
      <c r="EB257" s="761">
        <v>46</v>
      </c>
      <c r="EC257" s="761">
        <v>30</v>
      </c>
      <c r="ED257" s="761">
        <v>14</v>
      </c>
      <c r="EE257" s="761"/>
      <c r="EF257" s="761">
        <v>3</v>
      </c>
      <c r="EG257" s="761">
        <v>144</v>
      </c>
      <c r="EH257" s="813">
        <f>+(EG252+EG255+EG256)/EG257</f>
        <v>0.27083333333333331</v>
      </c>
      <c r="EI257" s="74"/>
      <c r="EJ257" s="793"/>
      <c r="EK257" s="793"/>
      <c r="EL257" s="793"/>
      <c r="EM257" s="796" t="s">
        <v>15</v>
      </c>
      <c r="EN257" s="796">
        <v>1</v>
      </c>
      <c r="EO257" s="796">
        <v>0</v>
      </c>
      <c r="EP257" s="796">
        <v>4</v>
      </c>
      <c r="EQ257" s="796">
        <v>6</v>
      </c>
      <c r="ER257" s="796">
        <v>20</v>
      </c>
      <c r="ES257" s="796">
        <v>6</v>
      </c>
      <c r="ET257" s="796">
        <v>25</v>
      </c>
      <c r="EU257" s="796">
        <v>15</v>
      </c>
      <c r="EV257" s="796">
        <v>13</v>
      </c>
      <c r="EW257" s="796">
        <v>0</v>
      </c>
      <c r="EX257" s="796">
        <v>0</v>
      </c>
      <c r="EY257" s="856">
        <v>90</v>
      </c>
      <c r="EZ257" s="797">
        <f>+(EY256+EY255+EY252)/EY257</f>
        <v>0.27777777777777779</v>
      </c>
      <c r="FA257" s="795">
        <f>+EY252+EY255+EY256</f>
        <v>25</v>
      </c>
    </row>
    <row r="258" spans="1:157">
      <c r="A258" s="73"/>
      <c r="B258" s="73"/>
      <c r="C258" s="73"/>
      <c r="D258" s="73" t="s">
        <v>1293</v>
      </c>
      <c r="E258" s="3261"/>
      <c r="F258" s="3261">
        <v>0</v>
      </c>
      <c r="G258" s="3261"/>
      <c r="H258" s="3261"/>
      <c r="I258" s="3261"/>
      <c r="J258" s="3261">
        <v>0</v>
      </c>
      <c r="K258" s="3261">
        <v>4</v>
      </c>
      <c r="L258" s="3261"/>
      <c r="M258" s="161"/>
      <c r="N258" s="161"/>
      <c r="O258" s="161">
        <v>4</v>
      </c>
      <c r="P258" s="73"/>
      <c r="R258" s="74"/>
      <c r="S258" s="74"/>
      <c r="T258" s="74"/>
      <c r="U258" s="761" t="s">
        <v>15</v>
      </c>
      <c r="V258" s="3230"/>
      <c r="W258" s="3230"/>
      <c r="X258" s="3230"/>
      <c r="Y258" s="3230"/>
      <c r="Z258" s="3230"/>
      <c r="AA258" s="3230"/>
      <c r="AB258" s="3230">
        <v>2</v>
      </c>
      <c r="AC258" s="3230">
        <v>6</v>
      </c>
      <c r="AD258" s="3230">
        <v>3</v>
      </c>
      <c r="AE258" s="729"/>
      <c r="AF258" s="729"/>
      <c r="AG258" s="729">
        <v>11</v>
      </c>
      <c r="AH258" s="4681">
        <f>+AG257/AG258</f>
        <v>9.0909090909090912E-2</v>
      </c>
      <c r="AJ258" s="161"/>
      <c r="AK258" s="161"/>
      <c r="AL258" s="73"/>
      <c r="AM258" s="738" t="s">
        <v>15</v>
      </c>
      <c r="AN258" s="2601"/>
      <c r="AO258" s="2601"/>
      <c r="AP258" s="2601"/>
      <c r="AQ258" s="2601"/>
      <c r="AR258" s="2601"/>
      <c r="AS258" s="2601"/>
      <c r="AT258" s="2601">
        <v>5</v>
      </c>
      <c r="AU258" s="2601">
        <v>7</v>
      </c>
      <c r="AV258" s="2601">
        <v>3</v>
      </c>
      <c r="AW258" s="151">
        <v>2</v>
      </c>
      <c r="AX258" s="151"/>
      <c r="AY258" s="151">
        <v>17</v>
      </c>
      <c r="AZ258" s="912">
        <f>+(AY254+AY256+AY257)/AY258</f>
        <v>0.58823529411764708</v>
      </c>
      <c r="BB258" s="2191"/>
      <c r="BC258" s="2191"/>
      <c r="BD258" s="2192"/>
      <c r="BE258" s="760" t="s">
        <v>15</v>
      </c>
      <c r="BF258" s="2196"/>
      <c r="BG258" s="2196"/>
      <c r="BH258" s="2196"/>
      <c r="BI258" s="2196"/>
      <c r="BJ258" s="2196"/>
      <c r="BK258" s="2197">
        <v>18</v>
      </c>
      <c r="BL258" s="2196"/>
      <c r="BM258" s="2197">
        <v>2</v>
      </c>
      <c r="BN258" s="972"/>
      <c r="BO258" s="972"/>
      <c r="BP258" s="973">
        <v>20</v>
      </c>
      <c r="BQ258" s="2154">
        <f>+(BP255+BP256+BP257)/BP258</f>
        <v>0.75</v>
      </c>
      <c r="BS258" s="879"/>
      <c r="BT258" s="879"/>
      <c r="BU258" s="880"/>
      <c r="BV258" s="881" t="s">
        <v>1284</v>
      </c>
      <c r="BW258" s="883">
        <v>1</v>
      </c>
      <c r="BX258" s="883">
        <v>1</v>
      </c>
      <c r="BY258" s="883">
        <v>20</v>
      </c>
      <c r="BZ258" s="883">
        <v>2</v>
      </c>
      <c r="CA258" s="882"/>
      <c r="CB258" s="883">
        <v>9</v>
      </c>
      <c r="CC258" s="883">
        <v>11</v>
      </c>
      <c r="CD258" s="883">
        <v>1</v>
      </c>
      <c r="CE258" s="884">
        <v>0</v>
      </c>
      <c r="CF258" s="879"/>
      <c r="CG258" s="884">
        <v>45</v>
      </c>
      <c r="CH258" s="161"/>
      <c r="CJ258" s="885"/>
      <c r="CK258" s="885"/>
      <c r="CL258" s="885"/>
      <c r="CM258" s="886" t="s">
        <v>1289</v>
      </c>
      <c r="CN258" s="888">
        <v>0</v>
      </c>
      <c r="CO258" s="888">
        <v>2</v>
      </c>
      <c r="CP258" s="888">
        <v>4</v>
      </c>
      <c r="CQ258" s="888">
        <v>17</v>
      </c>
      <c r="CR258" s="888">
        <v>11</v>
      </c>
      <c r="CS258" s="888">
        <v>10</v>
      </c>
      <c r="CT258" s="888">
        <v>6</v>
      </c>
      <c r="CU258" s="888">
        <v>0</v>
      </c>
      <c r="CV258" s="888">
        <v>0</v>
      </c>
      <c r="CW258" s="890">
        <v>0</v>
      </c>
      <c r="CX258" s="890">
        <v>0</v>
      </c>
      <c r="CY258" s="890">
        <v>50</v>
      </c>
      <c r="CZ258" s="891"/>
      <c r="DD258" s="892" t="s">
        <v>111</v>
      </c>
      <c r="DE258" s="893" t="s">
        <v>1283</v>
      </c>
      <c r="DF258" s="895">
        <v>0</v>
      </c>
      <c r="DG258" s="895">
        <v>0</v>
      </c>
      <c r="DH258" s="895">
        <v>0</v>
      </c>
      <c r="DI258" s="895">
        <v>0</v>
      </c>
      <c r="DJ258" s="895">
        <v>0</v>
      </c>
      <c r="DK258" s="895">
        <v>0</v>
      </c>
      <c r="DL258" s="895">
        <v>1</v>
      </c>
      <c r="DM258" s="895">
        <v>10</v>
      </c>
      <c r="DN258" s="895">
        <v>4</v>
      </c>
      <c r="DO258" s="895">
        <v>11</v>
      </c>
      <c r="DP258" s="895">
        <v>26</v>
      </c>
      <c r="DQ258" s="792"/>
      <c r="DU258" s="121" t="s">
        <v>25</v>
      </c>
      <c r="DV258" s="74" t="s">
        <v>1283</v>
      </c>
      <c r="DW258" s="74">
        <v>0</v>
      </c>
      <c r="DX258" s="74">
        <v>0</v>
      </c>
      <c r="DY258" s="74">
        <v>0</v>
      </c>
      <c r="DZ258" s="74"/>
      <c r="EA258" s="74">
        <v>0</v>
      </c>
      <c r="EB258" s="74">
        <v>0</v>
      </c>
      <c r="EC258" s="74">
        <v>2</v>
      </c>
      <c r="ED258" s="74">
        <v>19</v>
      </c>
      <c r="EE258" s="74">
        <v>2</v>
      </c>
      <c r="EF258" s="74">
        <v>2</v>
      </c>
      <c r="EG258" s="74">
        <v>25</v>
      </c>
      <c r="EH258" s="74"/>
      <c r="EI258" s="74"/>
      <c r="EJ258" s="793"/>
      <c r="EK258" s="793"/>
      <c r="EL258" s="793" t="s">
        <v>25</v>
      </c>
      <c r="EM258" s="793" t="s">
        <v>1283</v>
      </c>
      <c r="EN258" s="793">
        <v>0</v>
      </c>
      <c r="EO258" s="793">
        <v>0</v>
      </c>
      <c r="EP258" s="793">
        <v>0</v>
      </c>
      <c r="EQ258" s="793">
        <v>0</v>
      </c>
      <c r="ER258" s="793">
        <v>0</v>
      </c>
      <c r="ES258" s="793">
        <v>0</v>
      </c>
      <c r="ET258" s="793">
        <v>0</v>
      </c>
      <c r="EU258" s="793">
        <v>1</v>
      </c>
      <c r="EV258" s="793">
        <v>15</v>
      </c>
      <c r="EW258" s="793">
        <v>2</v>
      </c>
      <c r="EX258" s="793">
        <v>5</v>
      </c>
      <c r="EY258" s="794">
        <v>23</v>
      </c>
      <c r="EZ258" s="793"/>
      <c r="FA258" s="795"/>
    </row>
    <row r="259" spans="1:157">
      <c r="A259" s="73"/>
      <c r="B259" s="73"/>
      <c r="C259" s="73"/>
      <c r="D259" s="738" t="s">
        <v>15</v>
      </c>
      <c r="E259" s="3262"/>
      <c r="F259" s="3262">
        <v>1</v>
      </c>
      <c r="G259" s="3262"/>
      <c r="H259" s="3262"/>
      <c r="I259" s="3262"/>
      <c r="J259" s="3262">
        <v>1</v>
      </c>
      <c r="K259" s="3262">
        <v>10</v>
      </c>
      <c r="L259" s="3262"/>
      <c r="M259" s="4674"/>
      <c r="N259" s="4674"/>
      <c r="O259" s="4674">
        <v>12</v>
      </c>
      <c r="P259" s="912">
        <f>+(O258+O257)/O259</f>
        <v>0.75</v>
      </c>
      <c r="Q259" s="3197"/>
      <c r="R259" s="74"/>
      <c r="S259" s="74"/>
      <c r="T259" s="74" t="s">
        <v>575</v>
      </c>
      <c r="U259" s="74" t="s">
        <v>1283</v>
      </c>
      <c r="V259" s="3229"/>
      <c r="W259" s="3229">
        <v>0</v>
      </c>
      <c r="X259" s="3229">
        <v>0</v>
      </c>
      <c r="Y259" s="3229">
        <v>0</v>
      </c>
      <c r="Z259" s="3229">
        <v>0</v>
      </c>
      <c r="AA259" s="3229">
        <v>1</v>
      </c>
      <c r="AB259" s="3229">
        <v>0</v>
      </c>
      <c r="AC259" s="3229">
        <v>0</v>
      </c>
      <c r="AD259" s="3229">
        <v>0</v>
      </c>
      <c r="AE259" s="121"/>
      <c r="AF259" s="121"/>
      <c r="AG259" s="121">
        <v>1</v>
      </c>
      <c r="AJ259" s="161"/>
      <c r="AK259" s="161"/>
      <c r="AL259" s="73" t="s">
        <v>143</v>
      </c>
      <c r="AM259" s="73" t="s">
        <v>1284</v>
      </c>
      <c r="AN259" s="2600"/>
      <c r="AO259" s="2600">
        <v>1</v>
      </c>
      <c r="AP259" s="2600"/>
      <c r="AQ259" s="2600"/>
      <c r="AR259" s="2600"/>
      <c r="AS259" s="2600"/>
      <c r="AT259" s="2600">
        <v>9</v>
      </c>
      <c r="AU259" s="2600">
        <v>1</v>
      </c>
      <c r="AV259" s="2600">
        <v>2</v>
      </c>
      <c r="AW259" s="161"/>
      <c r="AX259" s="161"/>
      <c r="AY259" s="161">
        <v>13</v>
      </c>
      <c r="AZ259" s="161"/>
      <c r="BB259" s="2191"/>
      <c r="BC259" s="2191"/>
      <c r="BD259" s="2192" t="s">
        <v>426</v>
      </c>
      <c r="BE259" s="2193" t="s">
        <v>1283</v>
      </c>
      <c r="BF259" s="2194"/>
      <c r="BG259" s="2195">
        <v>0</v>
      </c>
      <c r="BH259" s="2195">
        <v>0</v>
      </c>
      <c r="BI259" s="2194"/>
      <c r="BJ259" s="2195">
        <v>1</v>
      </c>
      <c r="BK259" s="2195">
        <v>0</v>
      </c>
      <c r="BL259" s="2194"/>
      <c r="BM259" s="2194"/>
      <c r="BN259" s="963"/>
      <c r="BO259" s="963"/>
      <c r="BP259" s="964">
        <v>1</v>
      </c>
      <c r="BQ259" s="73"/>
      <c r="BS259" s="879"/>
      <c r="BT259" s="879"/>
      <c r="BU259" s="880"/>
      <c r="BV259" s="881" t="s">
        <v>1288</v>
      </c>
      <c r="BW259" s="883">
        <v>0</v>
      </c>
      <c r="BX259" s="883">
        <v>0</v>
      </c>
      <c r="BY259" s="883">
        <v>0</v>
      </c>
      <c r="BZ259" s="883">
        <v>0</v>
      </c>
      <c r="CA259" s="882"/>
      <c r="CB259" s="883">
        <v>1</v>
      </c>
      <c r="CC259" s="883">
        <v>7</v>
      </c>
      <c r="CD259" s="883">
        <v>0</v>
      </c>
      <c r="CE259" s="884">
        <v>0</v>
      </c>
      <c r="CF259" s="879"/>
      <c r="CG259" s="884">
        <v>8</v>
      </c>
      <c r="CH259" s="161"/>
      <c r="CJ259" s="885"/>
      <c r="CK259" s="885"/>
      <c r="CL259" s="885"/>
      <c r="CM259" s="886" t="s">
        <v>1292</v>
      </c>
      <c r="CN259" s="888">
        <v>0</v>
      </c>
      <c r="CO259" s="888">
        <v>0</v>
      </c>
      <c r="CP259" s="888">
        <v>0</v>
      </c>
      <c r="CQ259" s="888">
        <v>0</v>
      </c>
      <c r="CR259" s="888">
        <v>0</v>
      </c>
      <c r="CS259" s="888">
        <v>3</v>
      </c>
      <c r="CT259" s="888">
        <v>0</v>
      </c>
      <c r="CU259" s="888">
        <v>0</v>
      </c>
      <c r="CV259" s="888">
        <v>79</v>
      </c>
      <c r="CW259" s="890">
        <v>8</v>
      </c>
      <c r="CX259" s="890">
        <v>3</v>
      </c>
      <c r="CY259" s="890">
        <v>93</v>
      </c>
      <c r="CZ259" s="891"/>
      <c r="DD259" s="892"/>
      <c r="DE259" s="893" t="s">
        <v>1284</v>
      </c>
      <c r="DF259" s="895">
        <v>1</v>
      </c>
      <c r="DG259" s="895">
        <v>0</v>
      </c>
      <c r="DH259" s="895">
        <v>0</v>
      </c>
      <c r="DI259" s="895">
        <v>2</v>
      </c>
      <c r="DJ259" s="895">
        <v>1</v>
      </c>
      <c r="DK259" s="895">
        <v>9</v>
      </c>
      <c r="DL259" s="895">
        <v>27</v>
      </c>
      <c r="DM259" s="895">
        <v>6</v>
      </c>
      <c r="DN259" s="895">
        <v>3</v>
      </c>
      <c r="DO259" s="895">
        <v>0</v>
      </c>
      <c r="DP259" s="895">
        <v>49</v>
      </c>
      <c r="DQ259" s="792"/>
      <c r="DU259" s="121"/>
      <c r="DV259" s="74" t="s">
        <v>1284</v>
      </c>
      <c r="DW259" s="74">
        <v>2</v>
      </c>
      <c r="DX259" s="74">
        <v>3</v>
      </c>
      <c r="DY259" s="74">
        <v>2</v>
      </c>
      <c r="DZ259" s="74"/>
      <c r="EA259" s="74">
        <v>0</v>
      </c>
      <c r="EB259" s="74">
        <v>4</v>
      </c>
      <c r="EC259" s="74">
        <v>14</v>
      </c>
      <c r="ED259" s="74">
        <v>2</v>
      </c>
      <c r="EE259" s="74">
        <v>0</v>
      </c>
      <c r="EF259" s="74">
        <v>0</v>
      </c>
      <c r="EG259" s="74">
        <v>27</v>
      </c>
      <c r="EH259" s="74"/>
      <c r="EI259" s="74"/>
      <c r="EJ259" s="793"/>
      <c r="EK259" s="793"/>
      <c r="EL259" s="793"/>
      <c r="EM259" s="793" t="s">
        <v>1284</v>
      </c>
      <c r="EN259" s="793">
        <v>0</v>
      </c>
      <c r="EO259" s="793">
        <v>1</v>
      </c>
      <c r="EP259" s="793">
        <v>2</v>
      </c>
      <c r="EQ259" s="793">
        <v>3</v>
      </c>
      <c r="ER259" s="793">
        <v>1</v>
      </c>
      <c r="ES259" s="793">
        <v>0</v>
      </c>
      <c r="ET259" s="793">
        <v>8</v>
      </c>
      <c r="EU259" s="793">
        <v>7</v>
      </c>
      <c r="EV259" s="793">
        <v>0</v>
      </c>
      <c r="EW259" s="793">
        <v>0</v>
      </c>
      <c r="EX259" s="793">
        <v>0</v>
      </c>
      <c r="EY259" s="794">
        <v>22</v>
      </c>
      <c r="EZ259" s="793"/>
      <c r="FA259" s="795"/>
    </row>
    <row r="260" spans="1:157">
      <c r="A260" s="73"/>
      <c r="B260" s="73"/>
      <c r="C260" s="73" t="s">
        <v>141</v>
      </c>
      <c r="D260" s="73" t="s">
        <v>1284</v>
      </c>
      <c r="E260" s="3261"/>
      <c r="F260" s="3261">
        <v>1</v>
      </c>
      <c r="G260" s="3261"/>
      <c r="H260" s="3261"/>
      <c r="I260" s="3261">
        <v>3</v>
      </c>
      <c r="J260" s="3261">
        <v>5</v>
      </c>
      <c r="K260" s="3261"/>
      <c r="L260" s="3261"/>
      <c r="M260" s="161"/>
      <c r="N260" s="161"/>
      <c r="O260" s="161">
        <v>9</v>
      </c>
      <c r="P260" s="73"/>
      <c r="R260" s="74"/>
      <c r="S260" s="74"/>
      <c r="T260" s="74"/>
      <c r="U260" s="74" t="s">
        <v>1284</v>
      </c>
      <c r="V260" s="3229"/>
      <c r="W260" s="3229">
        <v>2</v>
      </c>
      <c r="X260" s="3229">
        <v>2</v>
      </c>
      <c r="Y260" s="3229">
        <v>0</v>
      </c>
      <c r="Z260" s="3229">
        <v>0</v>
      </c>
      <c r="AA260" s="3229">
        <v>2</v>
      </c>
      <c r="AB260" s="3229">
        <v>38</v>
      </c>
      <c r="AC260" s="3229">
        <v>10</v>
      </c>
      <c r="AD260" s="3229">
        <v>2</v>
      </c>
      <c r="AE260" s="121"/>
      <c r="AF260" s="121"/>
      <c r="AG260" s="121">
        <v>56</v>
      </c>
      <c r="AJ260" s="161"/>
      <c r="AK260" s="161"/>
      <c r="AL260" s="73"/>
      <c r="AM260" s="73" t="s">
        <v>1288</v>
      </c>
      <c r="AN260" s="2600"/>
      <c r="AO260" s="2600">
        <v>0</v>
      </c>
      <c r="AP260" s="2600"/>
      <c r="AQ260" s="2600"/>
      <c r="AR260" s="2600"/>
      <c r="AS260" s="2600"/>
      <c r="AT260" s="2600">
        <v>2</v>
      </c>
      <c r="AU260" s="2600">
        <v>0</v>
      </c>
      <c r="AV260" s="2600">
        <v>0</v>
      </c>
      <c r="AW260" s="161"/>
      <c r="AX260" s="161"/>
      <c r="AY260" s="161">
        <v>2</v>
      </c>
      <c r="AZ260" s="161"/>
      <c r="BB260" s="2191"/>
      <c r="BC260" s="2191"/>
      <c r="BD260" s="2192"/>
      <c r="BE260" s="2193" t="s">
        <v>1284</v>
      </c>
      <c r="BF260" s="2194"/>
      <c r="BG260" s="2195">
        <v>1</v>
      </c>
      <c r="BH260" s="2195">
        <v>2</v>
      </c>
      <c r="BI260" s="2194"/>
      <c r="BJ260" s="2195">
        <v>0</v>
      </c>
      <c r="BK260" s="2195">
        <v>17</v>
      </c>
      <c r="BL260" s="2194"/>
      <c r="BM260" s="2194"/>
      <c r="BN260" s="963"/>
      <c r="BO260" s="963"/>
      <c r="BP260" s="964">
        <v>20</v>
      </c>
      <c r="BQ260" s="73"/>
      <c r="BS260" s="879"/>
      <c r="BT260" s="879"/>
      <c r="BU260" s="880"/>
      <c r="BV260" s="881" t="s">
        <v>1289</v>
      </c>
      <c r="BW260" s="883">
        <v>1</v>
      </c>
      <c r="BX260" s="883">
        <v>0</v>
      </c>
      <c r="BY260" s="883">
        <v>1</v>
      </c>
      <c r="BZ260" s="883">
        <v>1</v>
      </c>
      <c r="CA260" s="882"/>
      <c r="CB260" s="883">
        <v>0</v>
      </c>
      <c r="CC260" s="883">
        <v>0</v>
      </c>
      <c r="CD260" s="883">
        <v>0</v>
      </c>
      <c r="CE260" s="884">
        <v>0</v>
      </c>
      <c r="CF260" s="879"/>
      <c r="CG260" s="884">
        <v>3</v>
      </c>
      <c r="CH260" s="161"/>
      <c r="CJ260" s="885"/>
      <c r="CK260" s="885"/>
      <c r="CL260" s="885"/>
      <c r="CM260" s="886" t="s">
        <v>1293</v>
      </c>
      <c r="CN260" s="888">
        <v>0</v>
      </c>
      <c r="CO260" s="888">
        <v>0</v>
      </c>
      <c r="CP260" s="888">
        <v>0</v>
      </c>
      <c r="CQ260" s="888">
        <v>5</v>
      </c>
      <c r="CR260" s="888">
        <v>1</v>
      </c>
      <c r="CS260" s="888">
        <v>5</v>
      </c>
      <c r="CT260" s="888">
        <v>20</v>
      </c>
      <c r="CU260" s="888">
        <v>4</v>
      </c>
      <c r="CV260" s="888">
        <v>3</v>
      </c>
      <c r="CW260" s="890">
        <v>1</v>
      </c>
      <c r="CX260" s="890">
        <v>1</v>
      </c>
      <c r="CY260" s="890">
        <v>40</v>
      </c>
      <c r="CZ260" s="891"/>
      <c r="DD260" s="892"/>
      <c r="DE260" s="893" t="s">
        <v>1286</v>
      </c>
      <c r="DF260" s="895">
        <v>0</v>
      </c>
      <c r="DG260" s="895">
        <v>1</v>
      </c>
      <c r="DH260" s="895">
        <v>0</v>
      </c>
      <c r="DI260" s="895">
        <v>0</v>
      </c>
      <c r="DJ260" s="895">
        <v>0</v>
      </c>
      <c r="DK260" s="895">
        <v>0</v>
      </c>
      <c r="DL260" s="895">
        <v>0</v>
      </c>
      <c r="DM260" s="895">
        <v>0</v>
      </c>
      <c r="DN260" s="895">
        <v>0</v>
      </c>
      <c r="DO260" s="895">
        <v>0</v>
      </c>
      <c r="DP260" s="895">
        <v>1</v>
      </c>
      <c r="DQ260" s="792"/>
      <c r="DU260" s="121"/>
      <c r="DV260" s="74" t="s">
        <v>1288</v>
      </c>
      <c r="DW260" s="74">
        <v>0</v>
      </c>
      <c r="DX260" s="74">
        <v>0</v>
      </c>
      <c r="DY260" s="74">
        <v>0</v>
      </c>
      <c r="DZ260" s="74"/>
      <c r="EA260" s="74">
        <v>0</v>
      </c>
      <c r="EB260" s="74">
        <v>8</v>
      </c>
      <c r="EC260" s="74">
        <v>24</v>
      </c>
      <c r="ED260" s="74">
        <v>2</v>
      </c>
      <c r="EE260" s="74">
        <v>0</v>
      </c>
      <c r="EF260" s="74">
        <v>0</v>
      </c>
      <c r="EG260" s="74">
        <v>34</v>
      </c>
      <c r="EH260" s="74"/>
      <c r="EI260" s="74"/>
      <c r="EJ260" s="793"/>
      <c r="EK260" s="793"/>
      <c r="EL260" s="793"/>
      <c r="EM260" s="793" t="s">
        <v>1286</v>
      </c>
      <c r="EN260" s="793">
        <v>0</v>
      </c>
      <c r="EO260" s="793">
        <v>1</v>
      </c>
      <c r="EP260" s="793">
        <v>1</v>
      </c>
      <c r="EQ260" s="793">
        <v>1</v>
      </c>
      <c r="ER260" s="793">
        <v>0</v>
      </c>
      <c r="ES260" s="793">
        <v>0</v>
      </c>
      <c r="ET260" s="793">
        <v>0</v>
      </c>
      <c r="EU260" s="793">
        <v>0</v>
      </c>
      <c r="EV260" s="793">
        <v>0</v>
      </c>
      <c r="EW260" s="793">
        <v>0</v>
      </c>
      <c r="EX260" s="793">
        <v>0</v>
      </c>
      <c r="EY260" s="794">
        <v>3</v>
      </c>
      <c r="EZ260" s="793"/>
      <c r="FA260" s="795"/>
    </row>
    <row r="261" spans="1:157">
      <c r="A261" s="73"/>
      <c r="B261" s="73"/>
      <c r="C261" s="73"/>
      <c r="D261" s="73" t="s">
        <v>1288</v>
      </c>
      <c r="E261" s="3261"/>
      <c r="F261" s="3261">
        <v>0</v>
      </c>
      <c r="G261" s="3261"/>
      <c r="H261" s="3261"/>
      <c r="I261" s="3261">
        <v>1</v>
      </c>
      <c r="J261" s="3261">
        <v>0</v>
      </c>
      <c r="K261" s="3261"/>
      <c r="L261" s="3261"/>
      <c r="M261" s="161"/>
      <c r="N261" s="161"/>
      <c r="O261" s="161">
        <v>1</v>
      </c>
      <c r="P261" s="73"/>
      <c r="R261" s="74"/>
      <c r="S261" s="74"/>
      <c r="T261" s="74"/>
      <c r="U261" s="74" t="s">
        <v>1286</v>
      </c>
      <c r="V261" s="3229"/>
      <c r="W261" s="3229">
        <v>1</v>
      </c>
      <c r="X261" s="3229">
        <v>0</v>
      </c>
      <c r="Y261" s="3229">
        <v>1</v>
      </c>
      <c r="Z261" s="3229">
        <v>0</v>
      </c>
      <c r="AA261" s="3229">
        <v>0</v>
      </c>
      <c r="AB261" s="3229">
        <v>0</v>
      </c>
      <c r="AC261" s="3229">
        <v>0</v>
      </c>
      <c r="AD261" s="3229">
        <v>0</v>
      </c>
      <c r="AE261" s="121"/>
      <c r="AF261" s="121"/>
      <c r="AG261" s="121">
        <v>2</v>
      </c>
      <c r="AJ261" s="161"/>
      <c r="AK261" s="161"/>
      <c r="AL261" s="73"/>
      <c r="AM261" s="73" t="s">
        <v>1292</v>
      </c>
      <c r="AN261" s="2600"/>
      <c r="AO261" s="2600">
        <v>0</v>
      </c>
      <c r="AP261" s="2600"/>
      <c r="AQ261" s="2600"/>
      <c r="AR261" s="2600"/>
      <c r="AS261" s="2600"/>
      <c r="AT261" s="2600">
        <v>0</v>
      </c>
      <c r="AU261" s="2600">
        <v>0</v>
      </c>
      <c r="AV261" s="2600">
        <v>1</v>
      </c>
      <c r="AW261" s="161"/>
      <c r="AX261" s="161"/>
      <c r="AY261" s="161">
        <v>1</v>
      </c>
      <c r="AZ261" s="161"/>
      <c r="BB261" s="2191"/>
      <c r="BC261" s="2191"/>
      <c r="BD261" s="2192"/>
      <c r="BE261" s="2193" t="s">
        <v>1286</v>
      </c>
      <c r="BF261" s="2194"/>
      <c r="BG261" s="2195">
        <v>0</v>
      </c>
      <c r="BH261" s="2195">
        <v>1</v>
      </c>
      <c r="BI261" s="2194"/>
      <c r="BJ261" s="2195">
        <v>0</v>
      </c>
      <c r="BK261" s="2195">
        <v>0</v>
      </c>
      <c r="BL261" s="2194"/>
      <c r="BM261" s="2194"/>
      <c r="BN261" s="963"/>
      <c r="BO261" s="963"/>
      <c r="BP261" s="964">
        <v>1</v>
      </c>
      <c r="BQ261" s="73"/>
      <c r="BS261" s="879"/>
      <c r="BT261" s="879"/>
      <c r="BU261" s="880"/>
      <c r="BV261" s="881" t="s">
        <v>1292</v>
      </c>
      <c r="BW261" s="883">
        <v>0</v>
      </c>
      <c r="BX261" s="883">
        <v>0</v>
      </c>
      <c r="BY261" s="883">
        <v>0</v>
      </c>
      <c r="BZ261" s="883">
        <v>0</v>
      </c>
      <c r="CA261" s="882"/>
      <c r="CB261" s="883">
        <v>0</v>
      </c>
      <c r="CC261" s="883">
        <v>0</v>
      </c>
      <c r="CD261" s="883">
        <v>8</v>
      </c>
      <c r="CE261" s="884">
        <v>2</v>
      </c>
      <c r="CF261" s="879"/>
      <c r="CG261" s="884">
        <v>10</v>
      </c>
      <c r="CH261" s="161"/>
      <c r="CJ261" s="885"/>
      <c r="CK261" s="885"/>
      <c r="CL261" s="885"/>
      <c r="CM261" s="886" t="s">
        <v>1398</v>
      </c>
      <c r="CN261" s="888">
        <v>1</v>
      </c>
      <c r="CO261" s="888">
        <v>0</v>
      </c>
      <c r="CP261" s="888">
        <v>0</v>
      </c>
      <c r="CQ261" s="888">
        <v>6</v>
      </c>
      <c r="CR261" s="888">
        <v>4</v>
      </c>
      <c r="CS261" s="888">
        <v>5</v>
      </c>
      <c r="CT261" s="888">
        <v>34</v>
      </c>
      <c r="CU261" s="888">
        <v>8</v>
      </c>
      <c r="CV261" s="888">
        <v>2</v>
      </c>
      <c r="CW261" s="890">
        <v>0</v>
      </c>
      <c r="CX261" s="890">
        <v>0</v>
      </c>
      <c r="CY261" s="890">
        <v>60</v>
      </c>
      <c r="CZ261" s="891"/>
      <c r="DD261" s="892"/>
      <c r="DE261" s="893" t="s">
        <v>1288</v>
      </c>
      <c r="DF261" s="895">
        <v>0</v>
      </c>
      <c r="DG261" s="895">
        <v>0</v>
      </c>
      <c r="DH261" s="895">
        <v>9</v>
      </c>
      <c r="DI261" s="895">
        <v>0</v>
      </c>
      <c r="DJ261" s="895">
        <v>0</v>
      </c>
      <c r="DK261" s="895">
        <v>13</v>
      </c>
      <c r="DL261" s="895">
        <v>48</v>
      </c>
      <c r="DM261" s="895">
        <v>1</v>
      </c>
      <c r="DN261" s="895">
        <v>1</v>
      </c>
      <c r="DO261" s="895">
        <v>0</v>
      </c>
      <c r="DP261" s="895">
        <v>72</v>
      </c>
      <c r="DQ261" s="792"/>
      <c r="DU261" s="121"/>
      <c r="DV261" s="74" t="s">
        <v>1289</v>
      </c>
      <c r="DW261" s="74">
        <v>0</v>
      </c>
      <c r="DX261" s="74">
        <v>1</v>
      </c>
      <c r="DY261" s="74">
        <v>0</v>
      </c>
      <c r="DZ261" s="74"/>
      <c r="EA261" s="74">
        <v>1</v>
      </c>
      <c r="EB261" s="74">
        <v>0</v>
      </c>
      <c r="EC261" s="74">
        <v>0</v>
      </c>
      <c r="ED261" s="74">
        <v>0</v>
      </c>
      <c r="EE261" s="74">
        <v>0</v>
      </c>
      <c r="EF261" s="74">
        <v>0</v>
      </c>
      <c r="EG261" s="74">
        <v>2</v>
      </c>
      <c r="EH261" s="74"/>
      <c r="EI261" s="74"/>
      <c r="EJ261" s="793"/>
      <c r="EK261" s="793"/>
      <c r="EL261" s="793"/>
      <c r="EM261" s="793" t="s">
        <v>1288</v>
      </c>
      <c r="EN261" s="793">
        <v>0</v>
      </c>
      <c r="EO261" s="793">
        <v>0</v>
      </c>
      <c r="EP261" s="793">
        <v>0</v>
      </c>
      <c r="EQ261" s="793">
        <v>10</v>
      </c>
      <c r="ER261" s="793">
        <v>2</v>
      </c>
      <c r="ES261" s="793">
        <v>0</v>
      </c>
      <c r="ET261" s="793">
        <v>14</v>
      </c>
      <c r="EU261" s="793">
        <v>17</v>
      </c>
      <c r="EV261" s="793">
        <v>0</v>
      </c>
      <c r="EW261" s="793">
        <v>1</v>
      </c>
      <c r="EX261" s="793">
        <v>0</v>
      </c>
      <c r="EY261" s="794">
        <v>44</v>
      </c>
      <c r="EZ261" s="793"/>
      <c r="FA261" s="795"/>
    </row>
    <row r="262" spans="1:157" ht="15.75" thickBot="1">
      <c r="A262" s="73"/>
      <c r="B262" s="73"/>
      <c r="C262" s="73"/>
      <c r="D262" s="73" t="s">
        <v>1293</v>
      </c>
      <c r="E262" s="3261"/>
      <c r="F262" s="3261">
        <v>0</v>
      </c>
      <c r="G262" s="3261"/>
      <c r="H262" s="3261"/>
      <c r="I262" s="3261">
        <v>3</v>
      </c>
      <c r="J262" s="3261">
        <v>1</v>
      </c>
      <c r="K262" s="3261"/>
      <c r="L262" s="3261"/>
      <c r="M262" s="161"/>
      <c r="N262" s="161"/>
      <c r="O262" s="161">
        <v>4</v>
      </c>
      <c r="P262" s="73"/>
      <c r="R262" s="74"/>
      <c r="S262" s="74"/>
      <c r="T262" s="74"/>
      <c r="U262" s="74" t="s">
        <v>1288</v>
      </c>
      <c r="V262" s="3229"/>
      <c r="W262" s="3229">
        <v>0</v>
      </c>
      <c r="X262" s="3229">
        <v>0</v>
      </c>
      <c r="Y262" s="3229">
        <v>0</v>
      </c>
      <c r="Z262" s="3229">
        <v>0</v>
      </c>
      <c r="AA262" s="3229">
        <v>0</v>
      </c>
      <c r="AB262" s="3229">
        <v>6</v>
      </c>
      <c r="AC262" s="3229">
        <v>1</v>
      </c>
      <c r="AD262" s="3229">
        <v>0</v>
      </c>
      <c r="AE262" s="121"/>
      <c r="AF262" s="121"/>
      <c r="AG262" s="121">
        <v>7</v>
      </c>
      <c r="AJ262" s="161"/>
      <c r="AK262" s="161"/>
      <c r="AL262" s="73"/>
      <c r="AM262" s="73" t="s">
        <v>1293</v>
      </c>
      <c r="AN262" s="2600"/>
      <c r="AO262" s="2600">
        <v>0</v>
      </c>
      <c r="AP262" s="2600"/>
      <c r="AQ262" s="2600"/>
      <c r="AR262" s="2600"/>
      <c r="AS262" s="2600"/>
      <c r="AT262" s="2600">
        <v>2</v>
      </c>
      <c r="AU262" s="2600">
        <v>4</v>
      </c>
      <c r="AV262" s="2600">
        <v>0</v>
      </c>
      <c r="AW262" s="161"/>
      <c r="AX262" s="161"/>
      <c r="AY262" s="161">
        <v>6</v>
      </c>
      <c r="AZ262" s="161"/>
      <c r="BB262" s="2191"/>
      <c r="BC262" s="2191"/>
      <c r="BD262" s="2192"/>
      <c r="BE262" s="2193" t="s">
        <v>1292</v>
      </c>
      <c r="BF262" s="2194"/>
      <c r="BG262" s="2195">
        <v>0</v>
      </c>
      <c r="BH262" s="2195">
        <v>0</v>
      </c>
      <c r="BI262" s="2194"/>
      <c r="BJ262" s="2195">
        <v>1</v>
      </c>
      <c r="BK262" s="2195">
        <v>0</v>
      </c>
      <c r="BL262" s="2194"/>
      <c r="BM262" s="2194"/>
      <c r="BN262" s="963"/>
      <c r="BO262" s="963"/>
      <c r="BP262" s="964">
        <v>1</v>
      </c>
      <c r="BQ262" s="73"/>
      <c r="BS262" s="879"/>
      <c r="BT262" s="879"/>
      <c r="BU262" s="880"/>
      <c r="BV262" s="881" t="s">
        <v>1293</v>
      </c>
      <c r="BW262" s="883">
        <v>0</v>
      </c>
      <c r="BX262" s="883">
        <v>0</v>
      </c>
      <c r="BY262" s="883">
        <v>1</v>
      </c>
      <c r="BZ262" s="883">
        <v>0</v>
      </c>
      <c r="CA262" s="882"/>
      <c r="CB262" s="883">
        <v>2</v>
      </c>
      <c r="CC262" s="883">
        <v>3</v>
      </c>
      <c r="CD262" s="883">
        <v>1</v>
      </c>
      <c r="CE262" s="884">
        <v>0</v>
      </c>
      <c r="CF262" s="879"/>
      <c r="CG262" s="884">
        <v>7</v>
      </c>
      <c r="CH262" s="161"/>
      <c r="CJ262" s="922"/>
      <c r="CK262" s="922"/>
      <c r="CL262" s="922"/>
      <c r="CM262" s="923" t="s">
        <v>114</v>
      </c>
      <c r="CN262" s="924">
        <v>4</v>
      </c>
      <c r="CO262" s="924">
        <v>13</v>
      </c>
      <c r="CP262" s="924">
        <v>10</v>
      </c>
      <c r="CQ262" s="924">
        <v>44</v>
      </c>
      <c r="CR262" s="924">
        <v>18</v>
      </c>
      <c r="CS262" s="924">
        <v>30</v>
      </c>
      <c r="CT262" s="924">
        <v>167</v>
      </c>
      <c r="CU262" s="924">
        <v>85</v>
      </c>
      <c r="CV262" s="924">
        <v>112</v>
      </c>
      <c r="CW262" s="925">
        <v>16</v>
      </c>
      <c r="CX262" s="925">
        <v>13</v>
      </c>
      <c r="CY262" s="925">
        <v>512</v>
      </c>
      <c r="CZ262" s="926">
        <f>+(CY261+CY260+CY257-CX260-CW260-CX257-CW257)/CY262</f>
        <v>0.33203125</v>
      </c>
      <c r="DD262" s="892"/>
      <c r="DE262" s="893" t="s">
        <v>1289</v>
      </c>
      <c r="DF262" s="895">
        <v>0</v>
      </c>
      <c r="DG262" s="895">
        <v>0</v>
      </c>
      <c r="DH262" s="895">
        <v>1</v>
      </c>
      <c r="DI262" s="895">
        <v>0</v>
      </c>
      <c r="DJ262" s="895">
        <v>3</v>
      </c>
      <c r="DK262" s="895">
        <v>3</v>
      </c>
      <c r="DL262" s="895">
        <v>1</v>
      </c>
      <c r="DM262" s="895">
        <v>0</v>
      </c>
      <c r="DN262" s="895">
        <v>0</v>
      </c>
      <c r="DO262" s="895">
        <v>0</v>
      </c>
      <c r="DP262" s="895">
        <v>8</v>
      </c>
      <c r="DQ262" s="792"/>
      <c r="DU262" s="121"/>
      <c r="DV262" s="74" t="s">
        <v>1292</v>
      </c>
      <c r="DW262" s="74">
        <v>0</v>
      </c>
      <c r="DX262" s="74">
        <v>0</v>
      </c>
      <c r="DY262" s="74">
        <v>0</v>
      </c>
      <c r="DZ262" s="74"/>
      <c r="EA262" s="74">
        <v>0</v>
      </c>
      <c r="EB262" s="74">
        <v>0</v>
      </c>
      <c r="EC262" s="74">
        <v>1</v>
      </c>
      <c r="ED262" s="74">
        <v>55</v>
      </c>
      <c r="EE262" s="74">
        <v>1</v>
      </c>
      <c r="EF262" s="74">
        <v>3</v>
      </c>
      <c r="EG262" s="74">
        <v>60</v>
      </c>
      <c r="EH262" s="74"/>
      <c r="EI262" s="74"/>
      <c r="EJ262" s="793"/>
      <c r="EK262" s="793"/>
      <c r="EL262" s="793"/>
      <c r="EM262" s="793" t="s">
        <v>1289</v>
      </c>
      <c r="EN262" s="793">
        <v>0</v>
      </c>
      <c r="EO262" s="793">
        <v>0</v>
      </c>
      <c r="EP262" s="793">
        <v>1</v>
      </c>
      <c r="EQ262" s="793">
        <v>1</v>
      </c>
      <c r="ER262" s="793">
        <v>2</v>
      </c>
      <c r="ES262" s="793">
        <v>1</v>
      </c>
      <c r="ET262" s="793">
        <v>2</v>
      </c>
      <c r="EU262" s="793">
        <v>0</v>
      </c>
      <c r="EV262" s="793">
        <v>0</v>
      </c>
      <c r="EW262" s="793">
        <v>0</v>
      </c>
      <c r="EX262" s="793">
        <v>0</v>
      </c>
      <c r="EY262" s="794">
        <v>7</v>
      </c>
      <c r="EZ262" s="793"/>
      <c r="FA262" s="795"/>
    </row>
    <row r="263" spans="1:157">
      <c r="A263" s="73"/>
      <c r="B263" s="73"/>
      <c r="C263" s="73"/>
      <c r="D263" s="738" t="s">
        <v>15</v>
      </c>
      <c r="E263" s="3262"/>
      <c r="F263" s="3262">
        <v>1</v>
      </c>
      <c r="G263" s="3262"/>
      <c r="H263" s="3262"/>
      <c r="I263" s="3262">
        <v>7</v>
      </c>
      <c r="J263" s="3262">
        <v>6</v>
      </c>
      <c r="K263" s="3262"/>
      <c r="L263" s="3262"/>
      <c r="M263" s="4674"/>
      <c r="N263" s="4674"/>
      <c r="O263" s="4674">
        <v>14</v>
      </c>
      <c r="P263" s="912">
        <f>+(O262+O261)/O263</f>
        <v>0.35714285714285715</v>
      </c>
      <c r="Q263" s="3197"/>
      <c r="R263" s="74"/>
      <c r="S263" s="74"/>
      <c r="T263" s="74"/>
      <c r="U263" s="74" t="s">
        <v>1289</v>
      </c>
      <c r="V263" s="3229"/>
      <c r="W263" s="3229">
        <v>0</v>
      </c>
      <c r="X263" s="3229">
        <v>0</v>
      </c>
      <c r="Y263" s="3229">
        <v>0</v>
      </c>
      <c r="Z263" s="3229">
        <v>1</v>
      </c>
      <c r="AA263" s="3229">
        <v>0</v>
      </c>
      <c r="AB263" s="3229">
        <v>0</v>
      </c>
      <c r="AC263" s="3229">
        <v>0</v>
      </c>
      <c r="AD263" s="3229">
        <v>0</v>
      </c>
      <c r="AE263" s="121"/>
      <c r="AF263" s="121"/>
      <c r="AG263" s="121">
        <v>1</v>
      </c>
      <c r="AJ263" s="161"/>
      <c r="AK263" s="161"/>
      <c r="AL263" s="73"/>
      <c r="AM263" s="73" t="s">
        <v>1398</v>
      </c>
      <c r="AN263" s="2600"/>
      <c r="AO263" s="2600">
        <v>0</v>
      </c>
      <c r="AP263" s="2600"/>
      <c r="AQ263" s="2600"/>
      <c r="AR263" s="2600"/>
      <c r="AS263" s="2600"/>
      <c r="AT263" s="2600">
        <v>2</v>
      </c>
      <c r="AU263" s="2600">
        <v>0</v>
      </c>
      <c r="AV263" s="2600">
        <v>0</v>
      </c>
      <c r="AW263" s="161"/>
      <c r="AX263" s="161"/>
      <c r="AY263" s="161">
        <v>2</v>
      </c>
      <c r="AZ263" s="161"/>
      <c r="BB263" s="2191"/>
      <c r="BC263" s="2191"/>
      <c r="BD263" s="2192"/>
      <c r="BE263" s="760" t="s">
        <v>15</v>
      </c>
      <c r="BF263" s="2196"/>
      <c r="BG263" s="2197">
        <v>1</v>
      </c>
      <c r="BH263" s="2197">
        <v>3</v>
      </c>
      <c r="BI263" s="2196"/>
      <c r="BJ263" s="2197">
        <v>2</v>
      </c>
      <c r="BK263" s="2197">
        <v>17</v>
      </c>
      <c r="BL263" s="2196"/>
      <c r="BM263" s="2196"/>
      <c r="BN263" s="972"/>
      <c r="BO263" s="972"/>
      <c r="BP263" s="973">
        <v>23</v>
      </c>
      <c r="BQ263" s="2154">
        <v>0</v>
      </c>
      <c r="BS263" s="879"/>
      <c r="BT263" s="879"/>
      <c r="BU263" s="880"/>
      <c r="BV263" s="881" t="s">
        <v>1398</v>
      </c>
      <c r="BW263" s="883">
        <v>0</v>
      </c>
      <c r="BX263" s="883">
        <v>0</v>
      </c>
      <c r="BY263" s="883">
        <v>1</v>
      </c>
      <c r="BZ263" s="883">
        <v>5</v>
      </c>
      <c r="CA263" s="882"/>
      <c r="CB263" s="883">
        <v>4</v>
      </c>
      <c r="CC263" s="883">
        <v>2</v>
      </c>
      <c r="CD263" s="883">
        <v>2</v>
      </c>
      <c r="CE263" s="884">
        <v>0</v>
      </c>
      <c r="CF263" s="879"/>
      <c r="CG263" s="884">
        <v>14</v>
      </c>
      <c r="CH263" s="161"/>
      <c r="DD263" s="892"/>
      <c r="DE263" s="893" t="s">
        <v>1292</v>
      </c>
      <c r="DF263" s="895">
        <v>0</v>
      </c>
      <c r="DG263" s="895">
        <v>0</v>
      </c>
      <c r="DH263" s="895">
        <v>0</v>
      </c>
      <c r="DI263" s="895">
        <v>0</v>
      </c>
      <c r="DJ263" s="895">
        <v>0</v>
      </c>
      <c r="DK263" s="895">
        <v>0</v>
      </c>
      <c r="DL263" s="895">
        <v>2</v>
      </c>
      <c r="DM263" s="895">
        <v>75</v>
      </c>
      <c r="DN263" s="895">
        <v>5</v>
      </c>
      <c r="DO263" s="895">
        <v>2</v>
      </c>
      <c r="DP263" s="895">
        <v>84</v>
      </c>
      <c r="DQ263" s="792"/>
      <c r="DU263" s="121"/>
      <c r="DV263" s="74" t="s">
        <v>1293</v>
      </c>
      <c r="DW263" s="74">
        <v>0</v>
      </c>
      <c r="DX263" s="74">
        <v>0</v>
      </c>
      <c r="DY263" s="74">
        <v>0</v>
      </c>
      <c r="DZ263" s="74"/>
      <c r="EA263" s="74">
        <v>0</v>
      </c>
      <c r="EB263" s="74">
        <v>0</v>
      </c>
      <c r="EC263" s="74">
        <v>4</v>
      </c>
      <c r="ED263" s="74">
        <v>0</v>
      </c>
      <c r="EE263" s="74">
        <v>0</v>
      </c>
      <c r="EF263" s="74">
        <v>0</v>
      </c>
      <c r="EG263" s="74">
        <v>4</v>
      </c>
      <c r="EH263" s="74"/>
      <c r="EI263" s="74"/>
      <c r="EJ263" s="793"/>
      <c r="EK263" s="793"/>
      <c r="EL263" s="793"/>
      <c r="EM263" s="793" t="s">
        <v>1292</v>
      </c>
      <c r="EN263" s="793">
        <v>0</v>
      </c>
      <c r="EO263" s="793">
        <v>0</v>
      </c>
      <c r="EP263" s="793">
        <v>0</v>
      </c>
      <c r="EQ263" s="793">
        <v>0</v>
      </c>
      <c r="ER263" s="793">
        <v>0</v>
      </c>
      <c r="ES263" s="793">
        <v>0</v>
      </c>
      <c r="ET263" s="793">
        <v>0</v>
      </c>
      <c r="EU263" s="793">
        <v>29</v>
      </c>
      <c r="EV263" s="793">
        <v>109</v>
      </c>
      <c r="EW263" s="793">
        <v>5</v>
      </c>
      <c r="EX263" s="793">
        <v>2</v>
      </c>
      <c r="EY263" s="794">
        <v>145</v>
      </c>
      <c r="EZ263" s="793"/>
      <c r="FA263" s="795"/>
    </row>
    <row r="264" spans="1:157">
      <c r="A264" s="73"/>
      <c r="B264" s="73"/>
      <c r="C264" s="73" t="s">
        <v>142</v>
      </c>
      <c r="D264" s="73" t="s">
        <v>1284</v>
      </c>
      <c r="E264" s="3261"/>
      <c r="F264" s="3261">
        <v>1</v>
      </c>
      <c r="G264" s="3261"/>
      <c r="H264" s="3261"/>
      <c r="I264" s="3261"/>
      <c r="J264" s="3261">
        <v>3</v>
      </c>
      <c r="K264" s="3261">
        <v>1</v>
      </c>
      <c r="L264" s="3261">
        <v>1</v>
      </c>
      <c r="M264" s="161"/>
      <c r="N264" s="161"/>
      <c r="O264" s="161">
        <v>6</v>
      </c>
      <c r="P264" s="73"/>
      <c r="R264" s="74"/>
      <c r="S264" s="74"/>
      <c r="T264" s="74"/>
      <c r="U264" s="74" t="s">
        <v>1292</v>
      </c>
      <c r="V264" s="3229"/>
      <c r="W264" s="3229">
        <v>0</v>
      </c>
      <c r="X264" s="3229">
        <v>0</v>
      </c>
      <c r="Y264" s="3229">
        <v>0</v>
      </c>
      <c r="Z264" s="3229">
        <v>0</v>
      </c>
      <c r="AA264" s="3229">
        <v>0</v>
      </c>
      <c r="AB264" s="3229">
        <v>0</v>
      </c>
      <c r="AC264" s="3229">
        <v>1</v>
      </c>
      <c r="AD264" s="3229">
        <v>9</v>
      </c>
      <c r="AE264" s="121"/>
      <c r="AF264" s="121"/>
      <c r="AG264" s="121">
        <v>10</v>
      </c>
      <c r="AJ264" s="161"/>
      <c r="AK264" s="161"/>
      <c r="AL264" s="73"/>
      <c r="AM264" s="738" t="s">
        <v>15</v>
      </c>
      <c r="AN264" s="2601"/>
      <c r="AO264" s="2601">
        <v>1</v>
      </c>
      <c r="AP264" s="2601"/>
      <c r="AQ264" s="2601"/>
      <c r="AR264" s="2601"/>
      <c r="AS264" s="2601"/>
      <c r="AT264" s="2601">
        <v>15</v>
      </c>
      <c r="AU264" s="2601">
        <v>5</v>
      </c>
      <c r="AV264" s="2601">
        <v>3</v>
      </c>
      <c r="AW264" s="151"/>
      <c r="AX264" s="151"/>
      <c r="AY264" s="151">
        <v>24</v>
      </c>
      <c r="AZ264" s="912">
        <f>+(AY262+AY263)/AY264</f>
        <v>0.33333333333333331</v>
      </c>
      <c r="BB264" s="2191"/>
      <c r="BC264" s="2191"/>
      <c r="BD264" s="2192" t="s">
        <v>888</v>
      </c>
      <c r="BE264" s="2193" t="s">
        <v>1283</v>
      </c>
      <c r="BF264" s="2194"/>
      <c r="BG264" s="2195">
        <v>0</v>
      </c>
      <c r="BH264" s="2195">
        <v>0</v>
      </c>
      <c r="BI264" s="2195">
        <v>0</v>
      </c>
      <c r="BJ264" s="2195">
        <v>1</v>
      </c>
      <c r="BK264" s="2195">
        <v>0</v>
      </c>
      <c r="BL264" s="2194"/>
      <c r="BM264" s="2195">
        <v>0</v>
      </c>
      <c r="BN264" s="963"/>
      <c r="BO264" s="963"/>
      <c r="BP264" s="964">
        <v>1</v>
      </c>
      <c r="BQ264" s="73"/>
      <c r="BS264" s="879"/>
      <c r="BT264" s="879"/>
      <c r="BU264" s="880"/>
      <c r="BV264" s="907" t="s">
        <v>575</v>
      </c>
      <c r="BW264" s="909">
        <v>2</v>
      </c>
      <c r="BX264" s="909">
        <v>1</v>
      </c>
      <c r="BY264" s="909">
        <v>23</v>
      </c>
      <c r="BZ264" s="909">
        <v>8</v>
      </c>
      <c r="CA264" s="908"/>
      <c r="CB264" s="909">
        <v>16</v>
      </c>
      <c r="CC264" s="909">
        <v>24</v>
      </c>
      <c r="CD264" s="909">
        <v>13</v>
      </c>
      <c r="CE264" s="911">
        <v>2</v>
      </c>
      <c r="CF264" s="910"/>
      <c r="CG264" s="911">
        <v>89</v>
      </c>
      <c r="CH264" s="912">
        <f>+(CG259+CG262+CG263)/CG264</f>
        <v>0.3258426966292135</v>
      </c>
      <c r="DD264" s="892"/>
      <c r="DE264" s="893" t="s">
        <v>1293</v>
      </c>
      <c r="DF264" s="895">
        <v>0</v>
      </c>
      <c r="DG264" s="895">
        <v>0</v>
      </c>
      <c r="DH264" s="895">
        <v>0</v>
      </c>
      <c r="DI264" s="895">
        <v>0</v>
      </c>
      <c r="DJ264" s="895">
        <v>0</v>
      </c>
      <c r="DK264" s="895">
        <v>0</v>
      </c>
      <c r="DL264" s="895">
        <v>3</v>
      </c>
      <c r="DM264" s="895">
        <v>0</v>
      </c>
      <c r="DN264" s="895">
        <v>0</v>
      </c>
      <c r="DO264" s="895">
        <v>0</v>
      </c>
      <c r="DP264" s="895">
        <v>3</v>
      </c>
      <c r="DQ264" s="792"/>
      <c r="DU264" s="121"/>
      <c r="DV264" s="74" t="s">
        <v>1398</v>
      </c>
      <c r="DW264" s="74">
        <v>0</v>
      </c>
      <c r="DX264" s="74">
        <v>0</v>
      </c>
      <c r="DY264" s="74">
        <v>0</v>
      </c>
      <c r="DZ264" s="74"/>
      <c r="EA264" s="74">
        <v>0</v>
      </c>
      <c r="EB264" s="74">
        <v>11</v>
      </c>
      <c r="EC264" s="74">
        <v>7</v>
      </c>
      <c r="ED264" s="74">
        <v>0</v>
      </c>
      <c r="EE264" s="74">
        <v>0</v>
      </c>
      <c r="EF264" s="74">
        <v>0</v>
      </c>
      <c r="EG264" s="74">
        <v>18</v>
      </c>
      <c r="EH264" s="74"/>
      <c r="EI264" s="74"/>
      <c r="EJ264" s="793"/>
      <c r="EK264" s="793"/>
      <c r="EL264" s="793"/>
      <c r="EM264" s="793" t="s">
        <v>1398</v>
      </c>
      <c r="EN264" s="793">
        <v>0</v>
      </c>
      <c r="EO264" s="793">
        <v>0</v>
      </c>
      <c r="EP264" s="793">
        <v>0</v>
      </c>
      <c r="EQ264" s="793">
        <v>3</v>
      </c>
      <c r="ER264" s="793">
        <v>0</v>
      </c>
      <c r="ES264" s="793">
        <v>0</v>
      </c>
      <c r="ET264" s="793">
        <v>29</v>
      </c>
      <c r="EU264" s="793">
        <v>11</v>
      </c>
      <c r="EV264" s="793">
        <v>2</v>
      </c>
      <c r="EW264" s="793">
        <v>0</v>
      </c>
      <c r="EX264" s="793">
        <v>0</v>
      </c>
      <c r="EY264" s="794">
        <v>45</v>
      </c>
      <c r="EZ264" s="793"/>
      <c r="FA264" s="795"/>
    </row>
    <row r="265" spans="1:157">
      <c r="A265" s="73"/>
      <c r="B265" s="73"/>
      <c r="C265" s="73"/>
      <c r="D265" s="73" t="s">
        <v>1288</v>
      </c>
      <c r="E265" s="3261"/>
      <c r="F265" s="3261">
        <v>0</v>
      </c>
      <c r="G265" s="3261"/>
      <c r="H265" s="3261"/>
      <c r="I265" s="3261"/>
      <c r="J265" s="3261">
        <v>2</v>
      </c>
      <c r="K265" s="3261">
        <v>2</v>
      </c>
      <c r="L265" s="3261">
        <v>1</v>
      </c>
      <c r="M265" s="161"/>
      <c r="N265" s="161"/>
      <c r="O265" s="161">
        <v>5</v>
      </c>
      <c r="P265" s="73"/>
      <c r="R265" s="74"/>
      <c r="S265" s="74"/>
      <c r="T265" s="74"/>
      <c r="U265" s="74" t="s">
        <v>1293</v>
      </c>
      <c r="V265" s="3229"/>
      <c r="W265" s="3229">
        <v>0</v>
      </c>
      <c r="X265" s="3229">
        <v>0</v>
      </c>
      <c r="Y265" s="3229">
        <v>0</v>
      </c>
      <c r="Z265" s="3229">
        <v>0</v>
      </c>
      <c r="AA265" s="3229">
        <v>2</v>
      </c>
      <c r="AB265" s="3229">
        <v>9</v>
      </c>
      <c r="AC265" s="3229">
        <v>2</v>
      </c>
      <c r="AD265" s="3229">
        <v>0</v>
      </c>
      <c r="AE265" s="121"/>
      <c r="AF265" s="121"/>
      <c r="AG265" s="121">
        <v>13</v>
      </c>
      <c r="AJ265" s="161"/>
      <c r="AK265" s="161"/>
      <c r="AL265" s="73" t="s">
        <v>2010</v>
      </c>
      <c r="AM265" s="73" t="s">
        <v>1284</v>
      </c>
      <c r="AN265" s="2600"/>
      <c r="AO265" s="2600">
        <v>1</v>
      </c>
      <c r="AP265" s="2600"/>
      <c r="AQ265" s="2600"/>
      <c r="AR265" s="2600"/>
      <c r="AS265" s="2600"/>
      <c r="AT265" s="2600">
        <v>6</v>
      </c>
      <c r="AU265" s="2600"/>
      <c r="AV265" s="2600"/>
      <c r="AW265" s="161"/>
      <c r="AX265" s="161"/>
      <c r="AY265" s="161">
        <v>7</v>
      </c>
      <c r="AZ265" s="161"/>
      <c r="BB265" s="2191"/>
      <c r="BC265" s="2191"/>
      <c r="BD265" s="2192"/>
      <c r="BE265" s="2193" t="s">
        <v>1284</v>
      </c>
      <c r="BF265" s="2194"/>
      <c r="BG265" s="2195">
        <v>1</v>
      </c>
      <c r="BH265" s="2195">
        <v>2</v>
      </c>
      <c r="BI265" s="2195">
        <v>1</v>
      </c>
      <c r="BJ265" s="2195">
        <v>0</v>
      </c>
      <c r="BK265" s="2195">
        <v>22</v>
      </c>
      <c r="BL265" s="2194"/>
      <c r="BM265" s="2195">
        <v>2</v>
      </c>
      <c r="BN265" s="963"/>
      <c r="BO265" s="963"/>
      <c r="BP265" s="964">
        <v>28</v>
      </c>
      <c r="BQ265" s="73"/>
      <c r="BS265" s="879"/>
      <c r="BT265" s="879" t="s">
        <v>105</v>
      </c>
      <c r="BU265" s="880" t="s">
        <v>144</v>
      </c>
      <c r="BV265" s="881" t="s">
        <v>1284</v>
      </c>
      <c r="BW265" s="882"/>
      <c r="BX265" s="882"/>
      <c r="BY265" s="882"/>
      <c r="BZ265" s="882"/>
      <c r="CA265" s="882"/>
      <c r="CB265" s="883">
        <v>3</v>
      </c>
      <c r="CC265" s="882"/>
      <c r="CD265" s="882"/>
      <c r="CE265" s="879"/>
      <c r="CF265" s="879"/>
      <c r="CG265" s="884">
        <v>3</v>
      </c>
      <c r="CH265" s="161"/>
      <c r="DD265" s="892"/>
      <c r="DE265" s="893" t="s">
        <v>1398</v>
      </c>
      <c r="DF265" s="895">
        <v>0</v>
      </c>
      <c r="DG265" s="895">
        <v>0</v>
      </c>
      <c r="DH265" s="895">
        <v>3</v>
      </c>
      <c r="DI265" s="895">
        <v>2</v>
      </c>
      <c r="DJ265" s="895">
        <v>0</v>
      </c>
      <c r="DK265" s="895">
        <v>7</v>
      </c>
      <c r="DL265" s="895">
        <v>10</v>
      </c>
      <c r="DM265" s="895">
        <v>1</v>
      </c>
      <c r="DN265" s="895">
        <v>0</v>
      </c>
      <c r="DO265" s="895">
        <v>0</v>
      </c>
      <c r="DP265" s="895">
        <v>23</v>
      </c>
      <c r="DQ265" s="792"/>
      <c r="DU265" s="121"/>
      <c r="DV265" s="761" t="s">
        <v>15</v>
      </c>
      <c r="DW265" s="761">
        <v>2</v>
      </c>
      <c r="DX265" s="761">
        <v>4</v>
      </c>
      <c r="DY265" s="761">
        <v>2</v>
      </c>
      <c r="DZ265" s="761"/>
      <c r="EA265" s="761">
        <v>1</v>
      </c>
      <c r="EB265" s="761">
        <v>23</v>
      </c>
      <c r="EC265" s="761">
        <v>52</v>
      </c>
      <c r="ED265" s="761">
        <v>78</v>
      </c>
      <c r="EE265" s="761">
        <v>3</v>
      </c>
      <c r="EF265" s="761">
        <v>5</v>
      </c>
      <c r="EG265" s="761">
        <v>170</v>
      </c>
      <c r="EH265" s="813">
        <f>+(EG260+EG263+EG264)/EG265</f>
        <v>0.32941176470588235</v>
      </c>
      <c r="EI265" s="74"/>
      <c r="EJ265" s="793"/>
      <c r="EK265" s="793"/>
      <c r="EL265" s="793"/>
      <c r="EM265" s="796" t="s">
        <v>15</v>
      </c>
      <c r="EN265" s="796">
        <v>0</v>
      </c>
      <c r="EO265" s="796">
        <v>2</v>
      </c>
      <c r="EP265" s="796">
        <v>4</v>
      </c>
      <c r="EQ265" s="796">
        <v>18</v>
      </c>
      <c r="ER265" s="796">
        <v>5</v>
      </c>
      <c r="ES265" s="796">
        <v>1</v>
      </c>
      <c r="ET265" s="796">
        <v>53</v>
      </c>
      <c r="EU265" s="796">
        <v>65</v>
      </c>
      <c r="EV265" s="796">
        <v>126</v>
      </c>
      <c r="EW265" s="796">
        <v>8</v>
      </c>
      <c r="EX265" s="796">
        <v>7</v>
      </c>
      <c r="EY265" s="856">
        <v>289</v>
      </c>
      <c r="EZ265" s="797">
        <f>+(EY264+EY261-EW261)/EY265</f>
        <v>0.30449826989619377</v>
      </c>
      <c r="FA265" s="795">
        <f>+EY261+EY264-EW261</f>
        <v>88</v>
      </c>
    </row>
    <row r="266" spans="1:157">
      <c r="A266" s="73"/>
      <c r="B266" s="73"/>
      <c r="C266" s="73"/>
      <c r="D266" s="73" t="s">
        <v>1292</v>
      </c>
      <c r="E266" s="3261"/>
      <c r="F266" s="3261">
        <v>0</v>
      </c>
      <c r="G266" s="3261"/>
      <c r="H266" s="3261"/>
      <c r="I266" s="3261"/>
      <c r="J266" s="3261">
        <v>0</v>
      </c>
      <c r="K266" s="3261">
        <v>0</v>
      </c>
      <c r="L266" s="3261">
        <v>1</v>
      </c>
      <c r="M266" s="161"/>
      <c r="N266" s="161"/>
      <c r="O266" s="161">
        <v>1</v>
      </c>
      <c r="P266" s="73"/>
      <c r="R266" s="74"/>
      <c r="S266" s="74"/>
      <c r="T266" s="74"/>
      <c r="U266" s="74" t="s">
        <v>1398</v>
      </c>
      <c r="V266" s="3229"/>
      <c r="W266" s="3229">
        <v>0</v>
      </c>
      <c r="X266" s="3229">
        <v>0</v>
      </c>
      <c r="Y266" s="3229">
        <v>0</v>
      </c>
      <c r="Z266" s="3229">
        <v>1</v>
      </c>
      <c r="AA266" s="3229">
        <v>2</v>
      </c>
      <c r="AB266" s="3229">
        <v>14</v>
      </c>
      <c r="AC266" s="3229">
        <v>1</v>
      </c>
      <c r="AD266" s="3229">
        <v>0</v>
      </c>
      <c r="AE266" s="121"/>
      <c r="AF266" s="121"/>
      <c r="AG266" s="121">
        <v>18</v>
      </c>
      <c r="AJ266" s="161"/>
      <c r="AK266" s="161"/>
      <c r="AL266" s="73"/>
      <c r="AM266" s="73" t="s">
        <v>1293</v>
      </c>
      <c r="AN266" s="2600"/>
      <c r="AO266" s="2600">
        <v>0</v>
      </c>
      <c r="AP266" s="2600"/>
      <c r="AQ266" s="2600"/>
      <c r="AR266" s="2600"/>
      <c r="AS266" s="2600"/>
      <c r="AT266" s="2600">
        <v>2</v>
      </c>
      <c r="AU266" s="2600"/>
      <c r="AV266" s="2600"/>
      <c r="AW266" s="161"/>
      <c r="AX266" s="161"/>
      <c r="AY266" s="161">
        <v>2</v>
      </c>
      <c r="AZ266" s="161"/>
      <c r="BB266" s="2191"/>
      <c r="BC266" s="2191"/>
      <c r="BD266" s="2192"/>
      <c r="BE266" s="2193" t="s">
        <v>1286</v>
      </c>
      <c r="BF266" s="2194"/>
      <c r="BG266" s="2195">
        <v>0</v>
      </c>
      <c r="BH266" s="2195">
        <v>1</v>
      </c>
      <c r="BI266" s="2195">
        <v>0</v>
      </c>
      <c r="BJ266" s="2195">
        <v>0</v>
      </c>
      <c r="BK266" s="2195">
        <v>0</v>
      </c>
      <c r="BL266" s="2194"/>
      <c r="BM266" s="2195">
        <v>0</v>
      </c>
      <c r="BN266" s="963"/>
      <c r="BO266" s="963"/>
      <c r="BP266" s="964">
        <v>1</v>
      </c>
      <c r="BQ266" s="73"/>
      <c r="BS266" s="879"/>
      <c r="BT266" s="879"/>
      <c r="BU266" s="880"/>
      <c r="BV266" s="881" t="s">
        <v>1288</v>
      </c>
      <c r="BW266" s="882"/>
      <c r="BX266" s="882"/>
      <c r="BY266" s="882"/>
      <c r="BZ266" s="882"/>
      <c r="CA266" s="882"/>
      <c r="CB266" s="883">
        <v>3</v>
      </c>
      <c r="CC266" s="882"/>
      <c r="CD266" s="882"/>
      <c r="CE266" s="879"/>
      <c r="CF266" s="879"/>
      <c r="CG266" s="884">
        <v>3</v>
      </c>
      <c r="CH266" s="161"/>
      <c r="DD266" s="892"/>
      <c r="DE266" s="902" t="s">
        <v>111</v>
      </c>
      <c r="DF266" s="904">
        <v>1</v>
      </c>
      <c r="DG266" s="904">
        <v>1</v>
      </c>
      <c r="DH266" s="904">
        <v>13</v>
      </c>
      <c r="DI266" s="904">
        <v>4</v>
      </c>
      <c r="DJ266" s="904">
        <v>4</v>
      </c>
      <c r="DK266" s="904">
        <v>32</v>
      </c>
      <c r="DL266" s="904">
        <v>92</v>
      </c>
      <c r="DM266" s="904">
        <v>93</v>
      </c>
      <c r="DN266" s="904">
        <v>13</v>
      </c>
      <c r="DO266" s="904">
        <v>13</v>
      </c>
      <c r="DP266" s="904">
        <v>266</v>
      </c>
      <c r="DQ266" s="905">
        <f>+(DP265+DP264+DP261-DN261)/DP266</f>
        <v>0.36466165413533835</v>
      </c>
      <c r="DU266" s="121" t="s">
        <v>48</v>
      </c>
      <c r="DV266" s="74" t="s">
        <v>1283</v>
      </c>
      <c r="DW266" s="74"/>
      <c r="DX266" s="74">
        <v>0</v>
      </c>
      <c r="DY266" s="74">
        <v>0</v>
      </c>
      <c r="DZ266" s="74">
        <v>0</v>
      </c>
      <c r="EA266" s="74">
        <v>0</v>
      </c>
      <c r="EB266" s="74">
        <v>0</v>
      </c>
      <c r="EC266" s="74">
        <v>1</v>
      </c>
      <c r="ED266" s="74">
        <v>2</v>
      </c>
      <c r="EE266" s="74"/>
      <c r="EF266" s="74">
        <v>0</v>
      </c>
      <c r="EG266" s="74">
        <v>3</v>
      </c>
      <c r="EH266" s="74"/>
      <c r="EI266" s="74"/>
      <c r="EJ266" s="793"/>
      <c r="EK266" s="793"/>
      <c r="EL266" s="793" t="s">
        <v>48</v>
      </c>
      <c r="EM266" s="793" t="s">
        <v>1283</v>
      </c>
      <c r="EN266" s="793">
        <v>0</v>
      </c>
      <c r="EO266" s="793">
        <v>0</v>
      </c>
      <c r="EP266" s="793">
        <v>0</v>
      </c>
      <c r="EQ266" s="793">
        <v>1</v>
      </c>
      <c r="ER266" s="793">
        <v>0</v>
      </c>
      <c r="ES266" s="793">
        <v>0</v>
      </c>
      <c r="ET266" s="793">
        <v>3</v>
      </c>
      <c r="EU266" s="793">
        <v>1</v>
      </c>
      <c r="EV266" s="793">
        <v>1</v>
      </c>
      <c r="EW266" s="793">
        <v>0</v>
      </c>
      <c r="EX266" s="793">
        <v>0</v>
      </c>
      <c r="EY266" s="794">
        <v>6</v>
      </c>
      <c r="EZ266" s="793"/>
      <c r="FA266" s="795"/>
    </row>
    <row r="267" spans="1:157">
      <c r="A267" s="73"/>
      <c r="B267" s="73"/>
      <c r="C267" s="73"/>
      <c r="D267" s="73" t="s">
        <v>1293</v>
      </c>
      <c r="E267" s="3261"/>
      <c r="F267" s="3261">
        <v>0</v>
      </c>
      <c r="G267" s="3261"/>
      <c r="H267" s="3261"/>
      <c r="I267" s="3261"/>
      <c r="J267" s="3261">
        <v>0</v>
      </c>
      <c r="K267" s="3261">
        <v>2</v>
      </c>
      <c r="L267" s="3261">
        <v>1</v>
      </c>
      <c r="M267" s="161"/>
      <c r="N267" s="161"/>
      <c r="O267" s="161">
        <v>3</v>
      </c>
      <c r="P267" s="73"/>
      <c r="R267" s="74"/>
      <c r="S267" s="74"/>
      <c r="T267" s="74"/>
      <c r="U267" s="761" t="s">
        <v>575</v>
      </c>
      <c r="V267" s="3230"/>
      <c r="W267" s="3230">
        <v>3</v>
      </c>
      <c r="X267" s="3230">
        <v>2</v>
      </c>
      <c r="Y267" s="3230">
        <v>1</v>
      </c>
      <c r="Z267" s="3230">
        <v>2</v>
      </c>
      <c r="AA267" s="3230">
        <v>7</v>
      </c>
      <c r="AB267" s="3230">
        <v>67</v>
      </c>
      <c r="AC267" s="3230">
        <v>15</v>
      </c>
      <c r="AD267" s="3230">
        <v>11</v>
      </c>
      <c r="AE267" s="729"/>
      <c r="AF267" s="729"/>
      <c r="AG267" s="729">
        <v>108</v>
      </c>
      <c r="AH267" s="4681">
        <f>+(AG262+AG265+AG266)/AG267</f>
        <v>0.35185185185185186</v>
      </c>
      <c r="AJ267" s="161"/>
      <c r="AK267" s="161"/>
      <c r="AL267" s="73"/>
      <c r="AM267" s="73" t="s">
        <v>1398</v>
      </c>
      <c r="AN267" s="2600"/>
      <c r="AO267" s="2600">
        <v>0</v>
      </c>
      <c r="AP267" s="2600"/>
      <c r="AQ267" s="2600"/>
      <c r="AR267" s="2600"/>
      <c r="AS267" s="2600"/>
      <c r="AT267" s="2600">
        <v>1</v>
      </c>
      <c r="AU267" s="2600"/>
      <c r="AV267" s="2600"/>
      <c r="AW267" s="161"/>
      <c r="AX267" s="161"/>
      <c r="AY267" s="161">
        <v>1</v>
      </c>
      <c r="AZ267" s="161"/>
      <c r="BB267" s="2191"/>
      <c r="BC267" s="2191"/>
      <c r="BD267" s="2192"/>
      <c r="BE267" s="2193" t="s">
        <v>1288</v>
      </c>
      <c r="BF267" s="2194"/>
      <c r="BG267" s="2195">
        <v>0</v>
      </c>
      <c r="BH267" s="2195">
        <v>0</v>
      </c>
      <c r="BI267" s="2195">
        <v>0</v>
      </c>
      <c r="BJ267" s="2195">
        <v>0</v>
      </c>
      <c r="BK267" s="2195">
        <v>5</v>
      </c>
      <c r="BL267" s="2194"/>
      <c r="BM267" s="2195">
        <v>0</v>
      </c>
      <c r="BN267" s="963"/>
      <c r="BO267" s="963"/>
      <c r="BP267" s="964">
        <v>5</v>
      </c>
      <c r="BQ267" s="73"/>
      <c r="BS267" s="879"/>
      <c r="BT267" s="879"/>
      <c r="BU267" s="880"/>
      <c r="BV267" s="881" t="s">
        <v>1293</v>
      </c>
      <c r="BW267" s="882"/>
      <c r="BX267" s="882"/>
      <c r="BY267" s="882"/>
      <c r="BZ267" s="882"/>
      <c r="CA267" s="882"/>
      <c r="CB267" s="883">
        <v>3</v>
      </c>
      <c r="CC267" s="882"/>
      <c r="CD267" s="882"/>
      <c r="CE267" s="879"/>
      <c r="CF267" s="879"/>
      <c r="CG267" s="884">
        <v>3</v>
      </c>
      <c r="CH267" s="161"/>
      <c r="DD267" s="892" t="s">
        <v>461</v>
      </c>
      <c r="DE267" s="893" t="s">
        <v>1284</v>
      </c>
      <c r="DF267" s="894"/>
      <c r="DG267" s="895">
        <v>1</v>
      </c>
      <c r="DH267" s="895">
        <v>23</v>
      </c>
      <c r="DI267" s="895">
        <v>5</v>
      </c>
      <c r="DJ267" s="895">
        <v>2</v>
      </c>
      <c r="DK267" s="895">
        <v>57</v>
      </c>
      <c r="DL267" s="895">
        <v>13</v>
      </c>
      <c r="DM267" s="895">
        <v>1</v>
      </c>
      <c r="DN267" s="894"/>
      <c r="DO267" s="895">
        <v>0</v>
      </c>
      <c r="DP267" s="895">
        <v>102</v>
      </c>
      <c r="DQ267" s="792"/>
      <c r="DU267" s="121"/>
      <c r="DV267" s="74" t="s">
        <v>1284</v>
      </c>
      <c r="DW267" s="74"/>
      <c r="DX267" s="74">
        <v>1</v>
      </c>
      <c r="DY267" s="74">
        <v>1</v>
      </c>
      <c r="DZ267" s="74">
        <v>0</v>
      </c>
      <c r="EA267" s="74">
        <v>3</v>
      </c>
      <c r="EB267" s="74">
        <v>64</v>
      </c>
      <c r="EC267" s="74">
        <v>4</v>
      </c>
      <c r="ED267" s="74">
        <v>1</v>
      </c>
      <c r="EE267" s="74"/>
      <c r="EF267" s="74">
        <v>0</v>
      </c>
      <c r="EG267" s="74">
        <v>74</v>
      </c>
      <c r="EH267" s="74"/>
      <c r="EI267" s="74"/>
      <c r="EJ267" s="793"/>
      <c r="EK267" s="793"/>
      <c r="EL267" s="793"/>
      <c r="EM267" s="793" t="s">
        <v>1284</v>
      </c>
      <c r="EN267" s="793">
        <v>0</v>
      </c>
      <c r="EO267" s="793">
        <v>1</v>
      </c>
      <c r="EP267" s="793">
        <v>4</v>
      </c>
      <c r="EQ267" s="793">
        <v>2</v>
      </c>
      <c r="ER267" s="793">
        <v>4</v>
      </c>
      <c r="ES267" s="793">
        <v>1</v>
      </c>
      <c r="ET267" s="793">
        <v>75</v>
      </c>
      <c r="EU267" s="793">
        <v>4</v>
      </c>
      <c r="EV267" s="793">
        <v>0</v>
      </c>
      <c r="EW267" s="793">
        <v>0</v>
      </c>
      <c r="EX267" s="793">
        <v>0</v>
      </c>
      <c r="EY267" s="794">
        <v>91</v>
      </c>
      <c r="EZ267" s="793"/>
      <c r="FA267" s="795"/>
    </row>
    <row r="268" spans="1:157">
      <c r="A268" s="73"/>
      <c r="B268" s="73"/>
      <c r="C268" s="73"/>
      <c r="D268" s="73" t="s">
        <v>1398</v>
      </c>
      <c r="E268" s="3261"/>
      <c r="F268" s="3261">
        <v>0</v>
      </c>
      <c r="G268" s="3261"/>
      <c r="H268" s="3261"/>
      <c r="I268" s="3261"/>
      <c r="J268" s="3261">
        <v>3</v>
      </c>
      <c r="K268" s="3261">
        <v>1</v>
      </c>
      <c r="L268" s="3261">
        <v>0</v>
      </c>
      <c r="M268" s="161"/>
      <c r="N268" s="161"/>
      <c r="O268" s="161">
        <v>4</v>
      </c>
      <c r="P268" s="73"/>
      <c r="R268" s="74"/>
      <c r="S268" s="74" t="s">
        <v>21</v>
      </c>
      <c r="T268" s="74" t="s">
        <v>144</v>
      </c>
      <c r="U268" s="74" t="s">
        <v>1283</v>
      </c>
      <c r="V268" s="3229"/>
      <c r="W268" s="3229">
        <v>0</v>
      </c>
      <c r="X268" s="3229">
        <v>0</v>
      </c>
      <c r="Y268" s="3229"/>
      <c r="Z268" s="3229">
        <v>0</v>
      </c>
      <c r="AA268" s="3229">
        <v>0</v>
      </c>
      <c r="AB268" s="3229">
        <v>0</v>
      </c>
      <c r="AC268" s="3229">
        <v>1</v>
      </c>
      <c r="AD268" s="3229"/>
      <c r="AE268" s="121"/>
      <c r="AF268" s="121"/>
      <c r="AG268" s="121">
        <v>1</v>
      </c>
      <c r="AJ268" s="161"/>
      <c r="AK268" s="161"/>
      <c r="AL268" s="73"/>
      <c r="AM268" s="738" t="s">
        <v>15</v>
      </c>
      <c r="AN268" s="2601"/>
      <c r="AO268" s="2601">
        <v>1</v>
      </c>
      <c r="AP268" s="2601"/>
      <c r="AQ268" s="2601"/>
      <c r="AR268" s="2601"/>
      <c r="AS268" s="2601"/>
      <c r="AT268" s="2601">
        <v>9</v>
      </c>
      <c r="AU268" s="2601"/>
      <c r="AV268" s="2601"/>
      <c r="AW268" s="151"/>
      <c r="AX268" s="151"/>
      <c r="AY268" s="151">
        <v>10</v>
      </c>
      <c r="AZ268" s="912">
        <f>+(AY266+AY267)/AY268</f>
        <v>0.3</v>
      </c>
      <c r="BB268" s="2191"/>
      <c r="BC268" s="2191"/>
      <c r="BD268" s="2192"/>
      <c r="BE268" s="2193" t="s">
        <v>1289</v>
      </c>
      <c r="BF268" s="2194"/>
      <c r="BG268" s="2195">
        <v>0</v>
      </c>
      <c r="BH268" s="2195">
        <v>0</v>
      </c>
      <c r="BI268" s="2195">
        <v>0</v>
      </c>
      <c r="BJ268" s="2195">
        <v>1</v>
      </c>
      <c r="BK268" s="2195">
        <v>0</v>
      </c>
      <c r="BL268" s="2194"/>
      <c r="BM268" s="2195">
        <v>0</v>
      </c>
      <c r="BN268" s="963"/>
      <c r="BO268" s="963"/>
      <c r="BP268" s="964">
        <v>1</v>
      </c>
      <c r="BQ268" s="73"/>
      <c r="BS268" s="879"/>
      <c r="BT268" s="879"/>
      <c r="BU268" s="880"/>
      <c r="BV268" s="881" t="s">
        <v>1398</v>
      </c>
      <c r="BW268" s="882"/>
      <c r="BX268" s="882"/>
      <c r="BY268" s="882"/>
      <c r="BZ268" s="882"/>
      <c r="CA268" s="882"/>
      <c r="CB268" s="883">
        <v>10</v>
      </c>
      <c r="CC268" s="882"/>
      <c r="CD268" s="882"/>
      <c r="CE268" s="879"/>
      <c r="CF268" s="879"/>
      <c r="CG268" s="884">
        <v>10</v>
      </c>
      <c r="CH268" s="161"/>
      <c r="DB268" s="892"/>
      <c r="DC268" s="892"/>
      <c r="DD268" s="892"/>
      <c r="DE268" s="893" t="s">
        <v>1286</v>
      </c>
      <c r="DF268" s="894"/>
      <c r="DG268" s="895">
        <v>1</v>
      </c>
      <c r="DH268" s="895">
        <v>0</v>
      </c>
      <c r="DI268" s="895">
        <v>1</v>
      </c>
      <c r="DJ268" s="895">
        <v>0</v>
      </c>
      <c r="DK268" s="895">
        <v>0</v>
      </c>
      <c r="DL268" s="895">
        <v>0</v>
      </c>
      <c r="DM268" s="895">
        <v>0</v>
      </c>
      <c r="DN268" s="894"/>
      <c r="DO268" s="895">
        <v>0</v>
      </c>
      <c r="DP268" s="895">
        <v>2</v>
      </c>
      <c r="DQ268" s="792"/>
      <c r="DS268" s="121"/>
      <c r="DT268" s="121"/>
      <c r="DU268" s="121"/>
      <c r="DV268" s="74" t="s">
        <v>1286</v>
      </c>
      <c r="DW268" s="74"/>
      <c r="DX268" s="74">
        <v>0</v>
      </c>
      <c r="DY268" s="74">
        <v>1</v>
      </c>
      <c r="DZ268" s="74">
        <v>0</v>
      </c>
      <c r="EA268" s="74">
        <v>0</v>
      </c>
      <c r="EB268" s="74">
        <v>0</v>
      </c>
      <c r="EC268" s="74">
        <v>0</v>
      </c>
      <c r="ED268" s="74">
        <v>0</v>
      </c>
      <c r="EE268" s="74"/>
      <c r="EF268" s="74">
        <v>0</v>
      </c>
      <c r="EG268" s="74">
        <v>1</v>
      </c>
      <c r="EH268" s="74"/>
      <c r="EI268" s="74"/>
      <c r="EJ268" s="793"/>
      <c r="EK268" s="793"/>
      <c r="EL268" s="793"/>
      <c r="EM268" s="793" t="s">
        <v>1288</v>
      </c>
      <c r="EN268" s="793">
        <v>0</v>
      </c>
      <c r="EO268" s="793">
        <v>0</v>
      </c>
      <c r="EP268" s="793">
        <v>0</v>
      </c>
      <c r="EQ268" s="793">
        <v>2</v>
      </c>
      <c r="ER268" s="793">
        <v>0</v>
      </c>
      <c r="ES268" s="793">
        <v>0</v>
      </c>
      <c r="ET268" s="793">
        <v>12</v>
      </c>
      <c r="EU268" s="793">
        <v>2</v>
      </c>
      <c r="EV268" s="793">
        <v>1</v>
      </c>
      <c r="EW268" s="793">
        <v>0</v>
      </c>
      <c r="EX268" s="793">
        <v>0</v>
      </c>
      <c r="EY268" s="794">
        <v>17</v>
      </c>
      <c r="EZ268" s="793"/>
      <c r="FA268" s="795"/>
    </row>
    <row r="269" spans="1:157">
      <c r="A269" s="73"/>
      <c r="B269" s="73"/>
      <c r="C269" s="73"/>
      <c r="D269" s="738" t="s">
        <v>15</v>
      </c>
      <c r="E269" s="3262"/>
      <c r="F269" s="3262">
        <v>1</v>
      </c>
      <c r="G269" s="3262"/>
      <c r="H269" s="3262"/>
      <c r="I269" s="3262"/>
      <c r="J269" s="3262">
        <v>8</v>
      </c>
      <c r="K269" s="3262">
        <v>6</v>
      </c>
      <c r="L269" s="3262">
        <v>4</v>
      </c>
      <c r="M269" s="4674"/>
      <c r="N269" s="4674"/>
      <c r="O269" s="4674">
        <v>19</v>
      </c>
      <c r="P269" s="912">
        <f>+(O268+O267+O265)/O269</f>
        <v>0.63157894736842102</v>
      </c>
      <c r="Q269" s="3197"/>
      <c r="R269" s="74"/>
      <c r="S269" s="74"/>
      <c r="T269" s="74"/>
      <c r="U269" s="74" t="s">
        <v>1284</v>
      </c>
      <c r="V269" s="3229"/>
      <c r="W269" s="3229">
        <v>1</v>
      </c>
      <c r="X269" s="3229">
        <v>1</v>
      </c>
      <c r="Y269" s="3229"/>
      <c r="Z269" s="3229">
        <v>1</v>
      </c>
      <c r="AA269" s="3229">
        <v>1</v>
      </c>
      <c r="AB269" s="3229">
        <v>8</v>
      </c>
      <c r="AC269" s="3229">
        <v>0</v>
      </c>
      <c r="AD269" s="3229"/>
      <c r="AE269" s="121"/>
      <c r="AF269" s="121"/>
      <c r="AG269" s="121">
        <v>12</v>
      </c>
      <c r="AJ269" s="161"/>
      <c r="AK269" s="161"/>
      <c r="AL269" s="73" t="s">
        <v>575</v>
      </c>
      <c r="AM269" s="73" t="s">
        <v>1284</v>
      </c>
      <c r="AN269" s="2600"/>
      <c r="AO269" s="2600">
        <v>2</v>
      </c>
      <c r="AP269" s="2600"/>
      <c r="AQ269" s="2600">
        <v>0</v>
      </c>
      <c r="AR269" s="2600"/>
      <c r="AS269" s="2600"/>
      <c r="AT269" s="2600">
        <v>24</v>
      </c>
      <c r="AU269" s="2600">
        <v>7</v>
      </c>
      <c r="AV269" s="2600">
        <v>2</v>
      </c>
      <c r="AW269" s="161">
        <v>0</v>
      </c>
      <c r="AX269" s="161"/>
      <c r="AY269" s="161">
        <v>35</v>
      </c>
      <c r="AZ269" s="161"/>
      <c r="BB269" s="2191"/>
      <c r="BC269" s="2191"/>
      <c r="BD269" s="2192"/>
      <c r="BE269" s="2193" t="s">
        <v>1292</v>
      </c>
      <c r="BF269" s="2194"/>
      <c r="BG269" s="2195">
        <v>0</v>
      </c>
      <c r="BH269" s="2195">
        <v>0</v>
      </c>
      <c r="BI269" s="2195">
        <v>0</v>
      </c>
      <c r="BJ269" s="2195">
        <v>2</v>
      </c>
      <c r="BK269" s="2195">
        <v>0</v>
      </c>
      <c r="BL269" s="2194"/>
      <c r="BM269" s="2195">
        <v>0</v>
      </c>
      <c r="BN269" s="963"/>
      <c r="BO269" s="963"/>
      <c r="BP269" s="964">
        <v>2</v>
      </c>
      <c r="BQ269" s="73"/>
      <c r="BS269" s="879"/>
      <c r="BT269" s="879"/>
      <c r="BU269" s="880"/>
      <c r="BV269" s="907" t="s">
        <v>15</v>
      </c>
      <c r="BW269" s="908"/>
      <c r="BX269" s="908"/>
      <c r="BY269" s="908"/>
      <c r="BZ269" s="908"/>
      <c r="CA269" s="908"/>
      <c r="CB269" s="909">
        <v>19</v>
      </c>
      <c r="CC269" s="908"/>
      <c r="CD269" s="908"/>
      <c r="CE269" s="910"/>
      <c r="CF269" s="910"/>
      <c r="CG269" s="911">
        <v>19</v>
      </c>
      <c r="CH269" s="912">
        <f>+(CG266+CG267+CG268)/CG269</f>
        <v>0.84210526315789469</v>
      </c>
      <c r="DB269" s="892"/>
      <c r="DC269" s="892"/>
      <c r="DD269" s="892"/>
      <c r="DE269" s="893" t="s">
        <v>1288</v>
      </c>
      <c r="DF269" s="894"/>
      <c r="DG269" s="895">
        <v>0</v>
      </c>
      <c r="DH269" s="895">
        <v>3</v>
      </c>
      <c r="DI269" s="895">
        <v>1</v>
      </c>
      <c r="DJ269" s="895">
        <v>0</v>
      </c>
      <c r="DK269" s="895">
        <v>13</v>
      </c>
      <c r="DL269" s="895">
        <v>1</v>
      </c>
      <c r="DM269" s="895">
        <v>1</v>
      </c>
      <c r="DN269" s="894"/>
      <c r="DO269" s="895">
        <v>0</v>
      </c>
      <c r="DP269" s="895">
        <v>19</v>
      </c>
      <c r="DQ269" s="792"/>
      <c r="DS269" s="121"/>
      <c r="DT269" s="121"/>
      <c r="DU269" s="121"/>
      <c r="DV269" s="74" t="s">
        <v>1288</v>
      </c>
      <c r="DW269" s="74"/>
      <c r="DX269" s="74">
        <v>0</v>
      </c>
      <c r="DY269" s="74">
        <v>1</v>
      </c>
      <c r="DZ269" s="74">
        <v>0</v>
      </c>
      <c r="EA269" s="74">
        <v>0</v>
      </c>
      <c r="EB269" s="74">
        <v>8</v>
      </c>
      <c r="EC269" s="74">
        <v>4</v>
      </c>
      <c r="ED269" s="74">
        <v>0</v>
      </c>
      <c r="EE269" s="74"/>
      <c r="EF269" s="74">
        <v>0</v>
      </c>
      <c r="EG269" s="74">
        <v>13</v>
      </c>
      <c r="EH269" s="74"/>
      <c r="EI269" s="74"/>
      <c r="EJ269" s="793"/>
      <c r="EK269" s="793"/>
      <c r="EL269" s="793"/>
      <c r="EM269" s="793" t="s">
        <v>1289</v>
      </c>
      <c r="EN269" s="793">
        <v>0</v>
      </c>
      <c r="EO269" s="793">
        <v>0</v>
      </c>
      <c r="EP269" s="793">
        <v>1</v>
      </c>
      <c r="EQ269" s="793">
        <v>0</v>
      </c>
      <c r="ER269" s="793">
        <v>0</v>
      </c>
      <c r="ES269" s="793">
        <v>0</v>
      </c>
      <c r="ET269" s="793">
        <v>1</v>
      </c>
      <c r="EU269" s="793">
        <v>0</v>
      </c>
      <c r="EV269" s="793">
        <v>0</v>
      </c>
      <c r="EW269" s="793">
        <v>0</v>
      </c>
      <c r="EX269" s="793">
        <v>0</v>
      </c>
      <c r="EY269" s="794">
        <v>2</v>
      </c>
      <c r="EZ269" s="793"/>
      <c r="FA269" s="795"/>
    </row>
    <row r="270" spans="1:157">
      <c r="A270" s="73"/>
      <c r="B270" s="73"/>
      <c r="C270" s="73" t="s">
        <v>143</v>
      </c>
      <c r="D270" s="73" t="s">
        <v>1284</v>
      </c>
      <c r="E270" s="3261"/>
      <c r="F270" s="3261"/>
      <c r="G270" s="3261"/>
      <c r="H270" s="3261"/>
      <c r="I270" s="3261"/>
      <c r="J270" s="3261">
        <v>0</v>
      </c>
      <c r="K270" s="3261">
        <v>1</v>
      </c>
      <c r="L270" s="3261">
        <v>4</v>
      </c>
      <c r="M270" s="161">
        <v>0</v>
      </c>
      <c r="N270" s="161"/>
      <c r="O270" s="161">
        <v>5</v>
      </c>
      <c r="P270" s="73"/>
      <c r="R270" s="74"/>
      <c r="S270" s="74"/>
      <c r="T270" s="74"/>
      <c r="U270" s="74" t="s">
        <v>1288</v>
      </c>
      <c r="V270" s="3229"/>
      <c r="W270" s="3229">
        <v>0</v>
      </c>
      <c r="X270" s="3229">
        <v>0</v>
      </c>
      <c r="Y270" s="3229"/>
      <c r="Z270" s="3229">
        <v>0</v>
      </c>
      <c r="AA270" s="3229">
        <v>0</v>
      </c>
      <c r="AB270" s="3229">
        <v>4</v>
      </c>
      <c r="AC270" s="3229">
        <v>0</v>
      </c>
      <c r="AD270" s="3229"/>
      <c r="AE270" s="121"/>
      <c r="AF270" s="121"/>
      <c r="AG270" s="121">
        <v>4</v>
      </c>
      <c r="AJ270" s="161"/>
      <c r="AK270" s="161"/>
      <c r="AL270" s="73"/>
      <c r="AM270" s="73" t="s">
        <v>1286</v>
      </c>
      <c r="AN270" s="2600"/>
      <c r="AO270" s="2600">
        <v>1</v>
      </c>
      <c r="AP270" s="2600"/>
      <c r="AQ270" s="2600">
        <v>0</v>
      </c>
      <c r="AR270" s="2600"/>
      <c r="AS270" s="2600"/>
      <c r="AT270" s="2600">
        <v>0</v>
      </c>
      <c r="AU270" s="2600">
        <v>0</v>
      </c>
      <c r="AV270" s="2600">
        <v>0</v>
      </c>
      <c r="AW270" s="161">
        <v>0</v>
      </c>
      <c r="AX270" s="161"/>
      <c r="AY270" s="161">
        <v>1</v>
      </c>
      <c r="AZ270" s="161"/>
      <c r="BB270" s="2191"/>
      <c r="BC270" s="2191"/>
      <c r="BD270" s="2192"/>
      <c r="BE270" s="2193" t="s">
        <v>1293</v>
      </c>
      <c r="BF270" s="2194"/>
      <c r="BG270" s="2195">
        <v>0</v>
      </c>
      <c r="BH270" s="2195">
        <v>0</v>
      </c>
      <c r="BI270" s="2195">
        <v>0</v>
      </c>
      <c r="BJ270" s="2195">
        <v>0</v>
      </c>
      <c r="BK270" s="2195">
        <v>16</v>
      </c>
      <c r="BL270" s="2194"/>
      <c r="BM270" s="2195">
        <v>0</v>
      </c>
      <c r="BN270" s="963"/>
      <c r="BO270" s="963"/>
      <c r="BP270" s="964">
        <v>16</v>
      </c>
      <c r="BQ270" s="73"/>
      <c r="BS270" s="879"/>
      <c r="BT270" s="879"/>
      <c r="BU270" s="880" t="s">
        <v>888</v>
      </c>
      <c r="BV270" s="881" t="s">
        <v>1284</v>
      </c>
      <c r="BW270" s="882"/>
      <c r="BX270" s="882"/>
      <c r="BY270" s="882"/>
      <c r="BZ270" s="882"/>
      <c r="CA270" s="882"/>
      <c r="CB270" s="883">
        <v>3</v>
      </c>
      <c r="CC270" s="882"/>
      <c r="CD270" s="882"/>
      <c r="CE270" s="879"/>
      <c r="CF270" s="879"/>
      <c r="CG270" s="884">
        <v>3</v>
      </c>
      <c r="CH270" s="161"/>
      <c r="DB270" s="892"/>
      <c r="DC270" s="892"/>
      <c r="DD270" s="892"/>
      <c r="DE270" s="893" t="s">
        <v>1289</v>
      </c>
      <c r="DF270" s="894"/>
      <c r="DG270" s="895">
        <v>0</v>
      </c>
      <c r="DH270" s="895">
        <v>2</v>
      </c>
      <c r="DI270" s="895">
        <v>0</v>
      </c>
      <c r="DJ270" s="895">
        <v>0</v>
      </c>
      <c r="DK270" s="895">
        <v>1</v>
      </c>
      <c r="DL270" s="895">
        <v>0</v>
      </c>
      <c r="DM270" s="895">
        <v>0</v>
      </c>
      <c r="DN270" s="894"/>
      <c r="DO270" s="895">
        <v>0</v>
      </c>
      <c r="DP270" s="895">
        <v>3</v>
      </c>
      <c r="DQ270" s="792"/>
      <c r="DS270" s="121"/>
      <c r="DT270" s="121"/>
      <c r="DU270" s="121"/>
      <c r="DV270" s="74" t="s">
        <v>1289</v>
      </c>
      <c r="DW270" s="74"/>
      <c r="DX270" s="74">
        <v>0</v>
      </c>
      <c r="DY270" s="74">
        <v>3</v>
      </c>
      <c r="DZ270" s="74">
        <v>1</v>
      </c>
      <c r="EA270" s="74">
        <v>0</v>
      </c>
      <c r="EB270" s="74">
        <v>0</v>
      </c>
      <c r="EC270" s="74">
        <v>0</v>
      </c>
      <c r="ED270" s="74">
        <v>0</v>
      </c>
      <c r="EE270" s="74"/>
      <c r="EF270" s="74">
        <v>0</v>
      </c>
      <c r="EG270" s="74">
        <v>4</v>
      </c>
      <c r="EH270" s="74"/>
      <c r="EI270" s="74"/>
      <c r="EJ270" s="793"/>
      <c r="EK270" s="793"/>
      <c r="EL270" s="793"/>
      <c r="EM270" s="793" t="s">
        <v>1292</v>
      </c>
      <c r="EN270" s="793">
        <v>0</v>
      </c>
      <c r="EO270" s="793">
        <v>0</v>
      </c>
      <c r="EP270" s="793">
        <v>0</v>
      </c>
      <c r="EQ270" s="793">
        <v>0</v>
      </c>
      <c r="ER270" s="793">
        <v>0</v>
      </c>
      <c r="ES270" s="793">
        <v>1</v>
      </c>
      <c r="ET270" s="793">
        <v>1</v>
      </c>
      <c r="EU270" s="793">
        <v>9</v>
      </c>
      <c r="EV270" s="793">
        <v>15</v>
      </c>
      <c r="EW270" s="793">
        <v>1</v>
      </c>
      <c r="EX270" s="793">
        <v>1</v>
      </c>
      <c r="EY270" s="794">
        <v>28</v>
      </c>
      <c r="EZ270" s="793"/>
      <c r="FA270" s="795"/>
    </row>
    <row r="271" spans="1:157">
      <c r="A271" s="73"/>
      <c r="B271" s="73"/>
      <c r="C271" s="73"/>
      <c r="D271" s="73" t="s">
        <v>1288</v>
      </c>
      <c r="E271" s="3261"/>
      <c r="F271" s="3261"/>
      <c r="G271" s="3261"/>
      <c r="H271" s="3261"/>
      <c r="I271" s="3261"/>
      <c r="J271" s="3261">
        <v>0</v>
      </c>
      <c r="K271" s="3261">
        <v>4</v>
      </c>
      <c r="L271" s="3261">
        <v>0</v>
      </c>
      <c r="M271" s="161">
        <v>0</v>
      </c>
      <c r="N271" s="161"/>
      <c r="O271" s="161">
        <v>4</v>
      </c>
      <c r="P271" s="73"/>
      <c r="R271" s="74"/>
      <c r="S271" s="74"/>
      <c r="T271" s="74"/>
      <c r="U271" s="74" t="s">
        <v>1293</v>
      </c>
      <c r="V271" s="3229"/>
      <c r="W271" s="3229">
        <v>0</v>
      </c>
      <c r="X271" s="3229">
        <v>0</v>
      </c>
      <c r="Y271" s="3229"/>
      <c r="Z271" s="3229">
        <v>0</v>
      </c>
      <c r="AA271" s="3229">
        <v>0</v>
      </c>
      <c r="AB271" s="3229">
        <v>7</v>
      </c>
      <c r="AC271" s="3229">
        <v>0</v>
      </c>
      <c r="AD271" s="3229"/>
      <c r="AE271" s="121"/>
      <c r="AF271" s="121"/>
      <c r="AG271" s="121">
        <v>7</v>
      </c>
      <c r="AJ271" s="161"/>
      <c r="AK271" s="161"/>
      <c r="AL271" s="73"/>
      <c r="AM271" s="73" t="s">
        <v>1288</v>
      </c>
      <c r="AN271" s="2600"/>
      <c r="AO271" s="2600">
        <v>0</v>
      </c>
      <c r="AP271" s="2600"/>
      <c r="AQ271" s="2600">
        <v>0</v>
      </c>
      <c r="AR271" s="2600"/>
      <c r="AS271" s="2600"/>
      <c r="AT271" s="2600">
        <v>4</v>
      </c>
      <c r="AU271" s="2600">
        <v>0</v>
      </c>
      <c r="AV271" s="2600">
        <v>1</v>
      </c>
      <c r="AW271" s="161">
        <v>0</v>
      </c>
      <c r="AX271" s="161"/>
      <c r="AY271" s="161">
        <v>5</v>
      </c>
      <c r="AZ271" s="161"/>
      <c r="BB271" s="2191"/>
      <c r="BC271" s="2191"/>
      <c r="BD271" s="2192"/>
      <c r="BE271" s="2193" t="s">
        <v>1398</v>
      </c>
      <c r="BF271" s="2194"/>
      <c r="BG271" s="2195">
        <v>0</v>
      </c>
      <c r="BH271" s="2195">
        <v>0</v>
      </c>
      <c r="BI271" s="2195">
        <v>0</v>
      </c>
      <c r="BJ271" s="2195">
        <v>0</v>
      </c>
      <c r="BK271" s="2195">
        <v>12</v>
      </c>
      <c r="BL271" s="2194"/>
      <c r="BM271" s="2195">
        <v>0</v>
      </c>
      <c r="BN271" s="963"/>
      <c r="BO271" s="963"/>
      <c r="BP271" s="964">
        <v>12</v>
      </c>
      <c r="BQ271" s="73"/>
      <c r="BS271" s="879"/>
      <c r="BT271" s="879"/>
      <c r="BU271" s="880"/>
      <c r="BV271" s="881" t="s">
        <v>1288</v>
      </c>
      <c r="BW271" s="882"/>
      <c r="BX271" s="882"/>
      <c r="BY271" s="882"/>
      <c r="BZ271" s="882"/>
      <c r="CA271" s="882"/>
      <c r="CB271" s="883">
        <v>3</v>
      </c>
      <c r="CC271" s="882"/>
      <c r="CD271" s="882"/>
      <c r="CE271" s="879"/>
      <c r="CF271" s="879"/>
      <c r="CG271" s="884">
        <v>3</v>
      </c>
      <c r="CH271" s="161"/>
      <c r="DB271" s="892"/>
      <c r="DC271" s="892"/>
      <c r="DD271" s="892"/>
      <c r="DE271" s="893" t="s">
        <v>1292</v>
      </c>
      <c r="DF271" s="894"/>
      <c r="DG271" s="895">
        <v>0</v>
      </c>
      <c r="DH271" s="895">
        <v>0</v>
      </c>
      <c r="DI271" s="895">
        <v>0</v>
      </c>
      <c r="DJ271" s="895">
        <v>0</v>
      </c>
      <c r="DK271" s="895">
        <v>0</v>
      </c>
      <c r="DL271" s="895">
        <v>2</v>
      </c>
      <c r="DM271" s="895">
        <v>33</v>
      </c>
      <c r="DN271" s="894"/>
      <c r="DO271" s="895">
        <v>1</v>
      </c>
      <c r="DP271" s="895">
        <v>36</v>
      </c>
      <c r="DQ271" s="792"/>
      <c r="DS271" s="121"/>
      <c r="DT271" s="121"/>
      <c r="DU271" s="121"/>
      <c r="DV271" s="74" t="s">
        <v>1292</v>
      </c>
      <c r="DW271" s="74"/>
      <c r="DX271" s="74">
        <v>0</v>
      </c>
      <c r="DY271" s="74">
        <v>0</v>
      </c>
      <c r="DZ271" s="74">
        <v>0</v>
      </c>
      <c r="EA271" s="74">
        <v>0</v>
      </c>
      <c r="EB271" s="74">
        <v>0</v>
      </c>
      <c r="EC271" s="74">
        <v>1</v>
      </c>
      <c r="ED271" s="74">
        <v>4</v>
      </c>
      <c r="EE271" s="74"/>
      <c r="EF271" s="74">
        <v>2</v>
      </c>
      <c r="EG271" s="74">
        <v>7</v>
      </c>
      <c r="EH271" s="74"/>
      <c r="EI271" s="74"/>
      <c r="EJ271" s="793"/>
      <c r="EK271" s="793"/>
      <c r="EL271" s="793"/>
      <c r="EM271" s="793" t="s">
        <v>1293</v>
      </c>
      <c r="EN271" s="793">
        <v>0</v>
      </c>
      <c r="EO271" s="793">
        <v>0</v>
      </c>
      <c r="EP271" s="793">
        <v>0</v>
      </c>
      <c r="EQ271" s="793">
        <v>3</v>
      </c>
      <c r="ER271" s="793">
        <v>0</v>
      </c>
      <c r="ES271" s="793">
        <v>1</v>
      </c>
      <c r="ET271" s="793">
        <v>20</v>
      </c>
      <c r="EU271" s="793">
        <v>3</v>
      </c>
      <c r="EV271" s="793">
        <v>0</v>
      </c>
      <c r="EW271" s="793">
        <v>0</v>
      </c>
      <c r="EX271" s="793">
        <v>0</v>
      </c>
      <c r="EY271" s="794">
        <v>27</v>
      </c>
      <c r="EZ271" s="793"/>
      <c r="FA271" s="795"/>
    </row>
    <row r="272" spans="1:157">
      <c r="A272" s="73"/>
      <c r="B272" s="73"/>
      <c r="C272" s="73"/>
      <c r="D272" s="73" t="s">
        <v>1292</v>
      </c>
      <c r="E272" s="3261"/>
      <c r="F272" s="3261"/>
      <c r="G272" s="3261"/>
      <c r="H272" s="3261"/>
      <c r="I272" s="3261"/>
      <c r="J272" s="3261">
        <v>0</v>
      </c>
      <c r="K272" s="3261">
        <v>0</v>
      </c>
      <c r="L272" s="3261">
        <v>7</v>
      </c>
      <c r="M272" s="161">
        <v>1</v>
      </c>
      <c r="N272" s="161"/>
      <c r="O272" s="161">
        <v>8</v>
      </c>
      <c r="P272" s="73"/>
      <c r="R272" s="74"/>
      <c r="S272" s="74"/>
      <c r="T272" s="74"/>
      <c r="U272" s="761" t="s">
        <v>15</v>
      </c>
      <c r="V272" s="3230"/>
      <c r="W272" s="3230">
        <v>1</v>
      </c>
      <c r="X272" s="3230">
        <v>1</v>
      </c>
      <c r="Y272" s="3230"/>
      <c r="Z272" s="3230">
        <v>1</v>
      </c>
      <c r="AA272" s="3230">
        <v>1</v>
      </c>
      <c r="AB272" s="3230">
        <v>19</v>
      </c>
      <c r="AC272" s="3230">
        <v>1</v>
      </c>
      <c r="AD272" s="3230"/>
      <c r="AE272" s="729"/>
      <c r="AF272" s="729"/>
      <c r="AG272" s="729">
        <v>24</v>
      </c>
      <c r="AH272" s="4681">
        <f>+(AG270+AG271)/AG272</f>
        <v>0.45833333333333331</v>
      </c>
      <c r="AJ272" s="161"/>
      <c r="AK272" s="161"/>
      <c r="AL272" s="73"/>
      <c r="AM272" s="73" t="s">
        <v>1292</v>
      </c>
      <c r="AN272" s="2600"/>
      <c r="AO272" s="2600">
        <v>0</v>
      </c>
      <c r="AP272" s="2600"/>
      <c r="AQ272" s="2600">
        <v>0</v>
      </c>
      <c r="AR272" s="2600"/>
      <c r="AS272" s="2600"/>
      <c r="AT272" s="2600">
        <v>0</v>
      </c>
      <c r="AU272" s="2600">
        <v>0</v>
      </c>
      <c r="AV272" s="2600">
        <v>3</v>
      </c>
      <c r="AW272" s="161">
        <v>2</v>
      </c>
      <c r="AX272" s="161"/>
      <c r="AY272" s="161">
        <v>5</v>
      </c>
      <c r="AZ272" s="161"/>
      <c r="BB272" s="2191"/>
      <c r="BC272" s="2191"/>
      <c r="BD272" s="2192"/>
      <c r="BE272" s="760" t="s">
        <v>888</v>
      </c>
      <c r="BF272" s="2196"/>
      <c r="BG272" s="2197">
        <v>1</v>
      </c>
      <c r="BH272" s="2197">
        <v>3</v>
      </c>
      <c r="BI272" s="2197">
        <v>1</v>
      </c>
      <c r="BJ272" s="2197">
        <v>4</v>
      </c>
      <c r="BK272" s="2197">
        <v>55</v>
      </c>
      <c r="BL272" s="2196"/>
      <c r="BM272" s="2197">
        <v>2</v>
      </c>
      <c r="BN272" s="972"/>
      <c r="BO272" s="972"/>
      <c r="BP272" s="973">
        <v>66</v>
      </c>
      <c r="BQ272" s="2154">
        <f>+(BP267+BP270+BP271)/BP272</f>
        <v>0.5</v>
      </c>
      <c r="BS272" s="879"/>
      <c r="BT272" s="879"/>
      <c r="BU272" s="880"/>
      <c r="BV272" s="881" t="s">
        <v>1293</v>
      </c>
      <c r="BW272" s="882"/>
      <c r="BX272" s="882"/>
      <c r="BY272" s="882"/>
      <c r="BZ272" s="882"/>
      <c r="CA272" s="882"/>
      <c r="CB272" s="883">
        <v>3</v>
      </c>
      <c r="CC272" s="882"/>
      <c r="CD272" s="882"/>
      <c r="CE272" s="879"/>
      <c r="CF272" s="879"/>
      <c r="CG272" s="884">
        <v>3</v>
      </c>
      <c r="CH272" s="161"/>
      <c r="DB272" s="892"/>
      <c r="DC272" s="892"/>
      <c r="DD272" s="892"/>
      <c r="DE272" s="893" t="s">
        <v>1293</v>
      </c>
      <c r="DF272" s="894"/>
      <c r="DG272" s="895">
        <v>0</v>
      </c>
      <c r="DH272" s="895">
        <v>5</v>
      </c>
      <c r="DI272" s="895">
        <v>4</v>
      </c>
      <c r="DJ272" s="895">
        <v>2</v>
      </c>
      <c r="DK272" s="895">
        <v>6</v>
      </c>
      <c r="DL272" s="895">
        <v>3</v>
      </c>
      <c r="DM272" s="895">
        <v>0</v>
      </c>
      <c r="DN272" s="894"/>
      <c r="DO272" s="895">
        <v>0</v>
      </c>
      <c r="DP272" s="895">
        <v>20</v>
      </c>
      <c r="DQ272" s="792"/>
      <c r="DS272" s="121"/>
      <c r="DT272" s="121"/>
      <c r="DU272" s="121"/>
      <c r="DV272" s="74" t="s">
        <v>1293</v>
      </c>
      <c r="DW272" s="74"/>
      <c r="DX272" s="74">
        <v>0</v>
      </c>
      <c r="DY272" s="74">
        <v>2</v>
      </c>
      <c r="DZ272" s="74">
        <v>1</v>
      </c>
      <c r="EA272" s="74">
        <v>0</v>
      </c>
      <c r="EB272" s="74">
        <v>14</v>
      </c>
      <c r="EC272" s="74">
        <v>2</v>
      </c>
      <c r="ED272" s="74">
        <v>0</v>
      </c>
      <c r="EE272" s="74"/>
      <c r="EF272" s="74">
        <v>0</v>
      </c>
      <c r="EG272" s="74">
        <v>19</v>
      </c>
      <c r="EH272" s="74"/>
      <c r="EI272" s="74"/>
      <c r="EJ272" s="793"/>
      <c r="EK272" s="793"/>
      <c r="EL272" s="793"/>
      <c r="EM272" s="793" t="s">
        <v>1398</v>
      </c>
      <c r="EN272" s="793">
        <v>0</v>
      </c>
      <c r="EO272" s="793">
        <v>0</v>
      </c>
      <c r="EP272" s="793">
        <v>0</v>
      </c>
      <c r="EQ272" s="793">
        <v>3</v>
      </c>
      <c r="ER272" s="793">
        <v>0</v>
      </c>
      <c r="ES272" s="793">
        <v>3</v>
      </c>
      <c r="ET272" s="793">
        <v>18</v>
      </c>
      <c r="EU272" s="793">
        <v>3</v>
      </c>
      <c r="EV272" s="793">
        <v>1</v>
      </c>
      <c r="EW272" s="793">
        <v>0</v>
      </c>
      <c r="EX272" s="793">
        <v>0</v>
      </c>
      <c r="EY272" s="794">
        <v>28</v>
      </c>
      <c r="EZ272" s="793"/>
      <c r="FA272" s="795"/>
    </row>
    <row r="273" spans="1:157" ht="15.75" thickBot="1">
      <c r="A273" s="73"/>
      <c r="B273" s="73"/>
      <c r="C273" s="73"/>
      <c r="D273" s="73" t="s">
        <v>1293</v>
      </c>
      <c r="E273" s="3261"/>
      <c r="F273" s="3261"/>
      <c r="G273" s="3261"/>
      <c r="H273" s="3261"/>
      <c r="I273" s="3261"/>
      <c r="J273" s="3261">
        <v>0</v>
      </c>
      <c r="K273" s="3261">
        <v>1</v>
      </c>
      <c r="L273" s="3261">
        <v>1</v>
      </c>
      <c r="M273" s="161">
        <v>0</v>
      </c>
      <c r="N273" s="161"/>
      <c r="O273" s="161">
        <v>2</v>
      </c>
      <c r="P273" s="73"/>
      <c r="R273" s="74"/>
      <c r="S273" s="74"/>
      <c r="T273" s="74" t="s">
        <v>425</v>
      </c>
      <c r="U273" s="74" t="s">
        <v>1284</v>
      </c>
      <c r="V273" s="3229"/>
      <c r="W273" s="3229"/>
      <c r="X273" s="3229"/>
      <c r="Y273" s="3229"/>
      <c r="Z273" s="3229"/>
      <c r="AA273" s="3229"/>
      <c r="AB273" s="3229">
        <v>4</v>
      </c>
      <c r="AC273" s="3229">
        <v>1</v>
      </c>
      <c r="AD273" s="3229">
        <v>1</v>
      </c>
      <c r="AE273" s="121"/>
      <c r="AF273" s="121"/>
      <c r="AG273" s="121">
        <v>6</v>
      </c>
      <c r="AJ273" s="161"/>
      <c r="AK273" s="161"/>
      <c r="AL273" s="73"/>
      <c r="AM273" s="73" t="s">
        <v>1293</v>
      </c>
      <c r="AN273" s="2600"/>
      <c r="AO273" s="2600">
        <v>0</v>
      </c>
      <c r="AP273" s="2600"/>
      <c r="AQ273" s="2600">
        <v>0</v>
      </c>
      <c r="AR273" s="2600"/>
      <c r="AS273" s="2600"/>
      <c r="AT273" s="2600">
        <v>6</v>
      </c>
      <c r="AU273" s="2600">
        <v>6</v>
      </c>
      <c r="AV273" s="2600">
        <v>0</v>
      </c>
      <c r="AW273" s="161">
        <v>0</v>
      </c>
      <c r="AX273" s="161"/>
      <c r="AY273" s="161">
        <v>12</v>
      </c>
      <c r="AZ273" s="161"/>
      <c r="BB273" s="2191"/>
      <c r="BC273" s="2191"/>
      <c r="BD273" s="2192" t="s">
        <v>461</v>
      </c>
      <c r="BE273" s="2193" t="s">
        <v>1283</v>
      </c>
      <c r="BF273" s="2195">
        <v>0</v>
      </c>
      <c r="BG273" s="2195">
        <v>0</v>
      </c>
      <c r="BH273" s="2195">
        <v>0</v>
      </c>
      <c r="BI273" s="2195">
        <v>0</v>
      </c>
      <c r="BJ273" s="2195">
        <v>1</v>
      </c>
      <c r="BK273" s="2195">
        <v>0</v>
      </c>
      <c r="BL273" s="2195">
        <v>0</v>
      </c>
      <c r="BM273" s="2195">
        <v>0</v>
      </c>
      <c r="BN273" s="964">
        <v>0</v>
      </c>
      <c r="BO273" s="963"/>
      <c r="BP273" s="964">
        <v>1</v>
      </c>
      <c r="BQ273" s="73"/>
      <c r="BS273" s="879"/>
      <c r="BT273" s="879"/>
      <c r="BU273" s="880"/>
      <c r="BV273" s="881" t="s">
        <v>1398</v>
      </c>
      <c r="BW273" s="882"/>
      <c r="BX273" s="882"/>
      <c r="BY273" s="882"/>
      <c r="BZ273" s="882"/>
      <c r="CA273" s="882"/>
      <c r="CB273" s="883">
        <v>10</v>
      </c>
      <c r="CC273" s="882"/>
      <c r="CD273" s="882"/>
      <c r="CE273" s="879"/>
      <c r="CF273" s="879"/>
      <c r="CG273" s="884">
        <v>10</v>
      </c>
      <c r="CH273" s="161"/>
      <c r="DB273" s="892"/>
      <c r="DC273" s="892"/>
      <c r="DD273" s="892"/>
      <c r="DE273" s="893" t="s">
        <v>1398</v>
      </c>
      <c r="DF273" s="894"/>
      <c r="DG273" s="895">
        <v>0</v>
      </c>
      <c r="DH273" s="895">
        <v>11</v>
      </c>
      <c r="DI273" s="895">
        <v>0</v>
      </c>
      <c r="DJ273" s="895">
        <v>3</v>
      </c>
      <c r="DK273" s="895">
        <v>13</v>
      </c>
      <c r="DL273" s="895">
        <v>9</v>
      </c>
      <c r="DM273" s="895">
        <v>0</v>
      </c>
      <c r="DN273" s="894"/>
      <c r="DO273" s="895">
        <v>0</v>
      </c>
      <c r="DP273" s="895">
        <v>36</v>
      </c>
      <c r="DQ273" s="792"/>
      <c r="DS273" s="121"/>
      <c r="DT273" s="121"/>
      <c r="DU273" s="74"/>
      <c r="DV273" s="74" t="s">
        <v>1398</v>
      </c>
      <c r="DW273" s="74"/>
      <c r="DX273" s="74">
        <v>0</v>
      </c>
      <c r="DY273" s="74">
        <v>9</v>
      </c>
      <c r="DZ273" s="74">
        <v>1</v>
      </c>
      <c r="EA273" s="74">
        <v>0</v>
      </c>
      <c r="EB273" s="74">
        <v>15</v>
      </c>
      <c r="EC273" s="74">
        <v>4</v>
      </c>
      <c r="ED273" s="74">
        <v>0</v>
      </c>
      <c r="EE273" s="74"/>
      <c r="EF273" s="74">
        <v>0</v>
      </c>
      <c r="EG273" s="74">
        <v>29</v>
      </c>
      <c r="EH273" s="74"/>
      <c r="EI273" s="74"/>
      <c r="EJ273" s="793"/>
      <c r="EK273" s="793"/>
      <c r="EL273" s="816"/>
      <c r="EM273" s="816" t="s">
        <v>15</v>
      </c>
      <c r="EN273" s="816">
        <v>0</v>
      </c>
      <c r="EO273" s="816">
        <v>1</v>
      </c>
      <c r="EP273" s="816">
        <v>5</v>
      </c>
      <c r="EQ273" s="816">
        <v>11</v>
      </c>
      <c r="ER273" s="816">
        <v>4</v>
      </c>
      <c r="ES273" s="816">
        <v>6</v>
      </c>
      <c r="ET273" s="816">
        <v>130</v>
      </c>
      <c r="EU273" s="816">
        <v>22</v>
      </c>
      <c r="EV273" s="816">
        <v>18</v>
      </c>
      <c r="EW273" s="816">
        <v>1</v>
      </c>
      <c r="EX273" s="816">
        <v>1</v>
      </c>
      <c r="EY273" s="817">
        <v>199</v>
      </c>
      <c r="EZ273" s="818">
        <f>+(EY272+EY271+EY268)/EY273</f>
        <v>0.36180904522613067</v>
      </c>
      <c r="FA273" s="770">
        <f>+EY268+EY271+EY272</f>
        <v>72</v>
      </c>
    </row>
    <row r="274" spans="1:157" ht="15.75" thickBot="1">
      <c r="A274" s="73"/>
      <c r="B274" s="73"/>
      <c r="C274" s="73"/>
      <c r="D274" s="73" t="s">
        <v>1398</v>
      </c>
      <c r="E274" s="3261"/>
      <c r="F274" s="3261"/>
      <c r="G274" s="3261"/>
      <c r="H274" s="3261"/>
      <c r="I274" s="3261"/>
      <c r="J274" s="3261">
        <v>2</v>
      </c>
      <c r="K274" s="3261">
        <v>1</v>
      </c>
      <c r="L274" s="3261">
        <v>0</v>
      </c>
      <c r="M274" s="161">
        <v>0</v>
      </c>
      <c r="N274" s="161"/>
      <c r="O274" s="161">
        <v>3</v>
      </c>
      <c r="P274" s="73"/>
      <c r="R274" s="74"/>
      <c r="S274" s="74"/>
      <c r="T274" s="74"/>
      <c r="U274" s="74" t="s">
        <v>1288</v>
      </c>
      <c r="V274" s="3229"/>
      <c r="W274" s="3229"/>
      <c r="X274" s="3229"/>
      <c r="Y274" s="3229"/>
      <c r="Z274" s="3229"/>
      <c r="AA274" s="3229"/>
      <c r="AB274" s="3229">
        <v>1</v>
      </c>
      <c r="AC274" s="3229">
        <v>0</v>
      </c>
      <c r="AD274" s="3229">
        <v>0</v>
      </c>
      <c r="AE274" s="121"/>
      <c r="AF274" s="121"/>
      <c r="AG274" s="121">
        <v>1</v>
      </c>
      <c r="AJ274" s="161"/>
      <c r="AK274" s="161"/>
      <c r="AL274" s="73"/>
      <c r="AM274" s="73" t="s">
        <v>1398</v>
      </c>
      <c r="AN274" s="2600"/>
      <c r="AO274" s="2600">
        <v>0</v>
      </c>
      <c r="AP274" s="2600"/>
      <c r="AQ274" s="2600">
        <v>1</v>
      </c>
      <c r="AR274" s="2600"/>
      <c r="AS274" s="2600"/>
      <c r="AT274" s="2600">
        <v>5</v>
      </c>
      <c r="AU274" s="2600">
        <v>4</v>
      </c>
      <c r="AV274" s="2600">
        <v>0</v>
      </c>
      <c r="AW274" s="161">
        <v>0</v>
      </c>
      <c r="AX274" s="161"/>
      <c r="AY274" s="161">
        <v>10</v>
      </c>
      <c r="AZ274" s="161"/>
      <c r="BB274" s="2191"/>
      <c r="BC274" s="2191"/>
      <c r="BD274" s="2192"/>
      <c r="BE274" s="2193" t="s">
        <v>1284</v>
      </c>
      <c r="BF274" s="2195">
        <v>4</v>
      </c>
      <c r="BG274" s="2195">
        <v>2</v>
      </c>
      <c r="BH274" s="2195">
        <v>2</v>
      </c>
      <c r="BI274" s="2195">
        <v>4</v>
      </c>
      <c r="BJ274" s="2195">
        <v>1</v>
      </c>
      <c r="BK274" s="2195">
        <v>46</v>
      </c>
      <c r="BL274" s="2195">
        <v>9</v>
      </c>
      <c r="BM274" s="2195">
        <v>5</v>
      </c>
      <c r="BN274" s="964">
        <v>0</v>
      </c>
      <c r="BO274" s="963"/>
      <c r="BP274" s="964">
        <v>73</v>
      </c>
      <c r="BQ274" s="73"/>
      <c r="BS274" s="879"/>
      <c r="BT274" s="879"/>
      <c r="BU274" s="880"/>
      <c r="BV274" s="907" t="s">
        <v>888</v>
      </c>
      <c r="BW274" s="908"/>
      <c r="BX274" s="908"/>
      <c r="BY274" s="908"/>
      <c r="BZ274" s="908"/>
      <c r="CA274" s="908"/>
      <c r="CB274" s="909">
        <v>19</v>
      </c>
      <c r="CC274" s="908"/>
      <c r="CD274" s="908"/>
      <c r="CE274" s="910"/>
      <c r="CF274" s="910"/>
      <c r="CG274" s="911">
        <v>19</v>
      </c>
      <c r="CH274" s="912">
        <f>+(CG271+CG272+CG273)/CG274</f>
        <v>0.84210526315789469</v>
      </c>
      <c r="DB274" s="892"/>
      <c r="DC274" s="892"/>
      <c r="DD274" s="915"/>
      <c r="DE274" s="916" t="s">
        <v>461</v>
      </c>
      <c r="DF274" s="917"/>
      <c r="DG274" s="918">
        <v>2</v>
      </c>
      <c r="DH274" s="918">
        <v>44</v>
      </c>
      <c r="DI274" s="918">
        <v>11</v>
      </c>
      <c r="DJ274" s="918">
        <v>7</v>
      </c>
      <c r="DK274" s="918">
        <v>90</v>
      </c>
      <c r="DL274" s="918">
        <v>28</v>
      </c>
      <c r="DM274" s="918">
        <v>35</v>
      </c>
      <c r="DN274" s="917"/>
      <c r="DO274" s="918">
        <v>1</v>
      </c>
      <c r="DP274" s="918">
        <v>218</v>
      </c>
      <c r="DQ274" s="919">
        <f>+(DP273+DP272+DP269)/DP274</f>
        <v>0.34403669724770641</v>
      </c>
      <c r="DS274" s="121"/>
      <c r="DT274" s="121"/>
      <c r="DU274" s="820"/>
      <c r="DV274" s="821" t="s">
        <v>15</v>
      </c>
      <c r="DW274" s="821"/>
      <c r="DX274" s="821">
        <v>1</v>
      </c>
      <c r="DY274" s="821">
        <v>17</v>
      </c>
      <c r="DZ274" s="821">
        <v>3</v>
      </c>
      <c r="EA274" s="821">
        <v>3</v>
      </c>
      <c r="EB274" s="821">
        <v>101</v>
      </c>
      <c r="EC274" s="821">
        <v>16</v>
      </c>
      <c r="ED274" s="821">
        <v>7</v>
      </c>
      <c r="EE274" s="821"/>
      <c r="EF274" s="821">
        <v>2</v>
      </c>
      <c r="EG274" s="821">
        <v>150</v>
      </c>
      <c r="EH274" s="920">
        <f>+(EG269+EG272+EG273)/EG274</f>
        <v>0.40666666666666668</v>
      </c>
      <c r="EI274" s="74"/>
      <c r="EJ274" s="793"/>
      <c r="EK274" s="793"/>
      <c r="EL274" s="793"/>
      <c r="EM274" s="793"/>
      <c r="EN274" s="793"/>
      <c r="EO274" s="793"/>
      <c r="EP274" s="793"/>
      <c r="EQ274" s="793"/>
      <c r="ER274" s="793"/>
      <c r="ES274" s="793"/>
      <c r="ET274" s="793"/>
      <c r="EU274" s="793"/>
      <c r="EV274" s="793"/>
      <c r="EW274" s="793"/>
      <c r="EX274" s="793"/>
      <c r="EY274" s="794"/>
      <c r="EZ274" s="793"/>
      <c r="FA274" s="793"/>
    </row>
    <row r="275" spans="1:157">
      <c r="A275" s="73"/>
      <c r="B275" s="73"/>
      <c r="C275" s="73"/>
      <c r="D275" s="738" t="s">
        <v>15</v>
      </c>
      <c r="E275" s="3262"/>
      <c r="F275" s="3262"/>
      <c r="G275" s="3262"/>
      <c r="H275" s="3262"/>
      <c r="I275" s="3262"/>
      <c r="J275" s="3262">
        <v>2</v>
      </c>
      <c r="K275" s="3262">
        <v>7</v>
      </c>
      <c r="L275" s="3262">
        <v>12</v>
      </c>
      <c r="M275" s="4674">
        <v>1</v>
      </c>
      <c r="N275" s="4674"/>
      <c r="O275" s="4674">
        <v>22</v>
      </c>
      <c r="P275" s="912">
        <f>+(O274+O273+O271)/O275</f>
        <v>0.40909090909090912</v>
      </c>
      <c r="Q275" s="3197"/>
      <c r="R275" s="74"/>
      <c r="S275" s="74"/>
      <c r="T275" s="74"/>
      <c r="U275" s="74" t="s">
        <v>1293</v>
      </c>
      <c r="V275" s="3229"/>
      <c r="W275" s="3229"/>
      <c r="X275" s="3229"/>
      <c r="Y275" s="3229"/>
      <c r="Z275" s="3229"/>
      <c r="AA275" s="3229"/>
      <c r="AB275" s="3229">
        <v>14</v>
      </c>
      <c r="AC275" s="3229">
        <v>0</v>
      </c>
      <c r="AD275" s="3229">
        <v>0</v>
      </c>
      <c r="AE275" s="121"/>
      <c r="AF275" s="121"/>
      <c r="AG275" s="121">
        <v>14</v>
      </c>
      <c r="AJ275" s="161"/>
      <c r="AK275" s="161"/>
      <c r="AL275" s="73"/>
      <c r="AM275" s="738" t="s">
        <v>575</v>
      </c>
      <c r="AN275" s="2601"/>
      <c r="AO275" s="2601">
        <v>3</v>
      </c>
      <c r="AP275" s="2601"/>
      <c r="AQ275" s="2601">
        <v>1</v>
      </c>
      <c r="AR275" s="2601"/>
      <c r="AS275" s="2601"/>
      <c r="AT275" s="2601">
        <v>39</v>
      </c>
      <c r="AU275" s="2601">
        <v>17</v>
      </c>
      <c r="AV275" s="2601">
        <v>6</v>
      </c>
      <c r="AW275" s="151">
        <v>2</v>
      </c>
      <c r="AX275" s="151"/>
      <c r="AY275" s="151">
        <v>68</v>
      </c>
      <c r="AZ275" s="912">
        <f>+(AY271+AY273+AY274)/AY275</f>
        <v>0.39705882352941174</v>
      </c>
      <c r="BB275" s="2191"/>
      <c r="BC275" s="2191"/>
      <c r="BD275" s="2192"/>
      <c r="BE275" s="2193" t="s">
        <v>1286</v>
      </c>
      <c r="BF275" s="2195">
        <v>0</v>
      </c>
      <c r="BG275" s="2195">
        <v>1</v>
      </c>
      <c r="BH275" s="2195">
        <v>1</v>
      </c>
      <c r="BI275" s="2195">
        <v>0</v>
      </c>
      <c r="BJ275" s="2195">
        <v>0</v>
      </c>
      <c r="BK275" s="2195">
        <v>0</v>
      </c>
      <c r="BL275" s="2195">
        <v>0</v>
      </c>
      <c r="BM275" s="2195">
        <v>0</v>
      </c>
      <c r="BN275" s="964">
        <v>0</v>
      </c>
      <c r="BO275" s="963"/>
      <c r="BP275" s="964">
        <v>2</v>
      </c>
      <c r="BQ275" s="73"/>
      <c r="BS275" s="879"/>
      <c r="BT275" s="879"/>
      <c r="BU275" s="907" t="s">
        <v>461</v>
      </c>
      <c r="BV275" s="881" t="s">
        <v>1283</v>
      </c>
      <c r="BW275" s="883">
        <v>0</v>
      </c>
      <c r="BX275" s="883">
        <v>0</v>
      </c>
      <c r="BY275" s="883">
        <v>1</v>
      </c>
      <c r="BZ275" s="883">
        <v>1</v>
      </c>
      <c r="CA275" s="883">
        <v>0</v>
      </c>
      <c r="CB275" s="883">
        <v>0</v>
      </c>
      <c r="CC275" s="883">
        <v>1</v>
      </c>
      <c r="CD275" s="883">
        <v>1</v>
      </c>
      <c r="CE275" s="884">
        <v>0</v>
      </c>
      <c r="CF275" s="879"/>
      <c r="CG275" s="884">
        <v>4</v>
      </c>
      <c r="CH275" s="161"/>
      <c r="DB275" s="892"/>
      <c r="DC275" s="892"/>
      <c r="DD275" s="892"/>
      <c r="DE275" s="893"/>
      <c r="DF275" s="894"/>
      <c r="DG275" s="895"/>
      <c r="DH275" s="895"/>
      <c r="DI275" s="895"/>
      <c r="DJ275" s="895"/>
      <c r="DK275" s="895"/>
      <c r="DL275" s="895"/>
      <c r="DM275" s="895"/>
      <c r="DN275" s="894"/>
      <c r="DO275" s="894"/>
      <c r="DP275" s="895"/>
      <c r="DS275" s="121"/>
      <c r="DT275" s="121"/>
      <c r="DU275" s="74"/>
      <c r="DV275" s="74"/>
      <c r="DW275" s="74"/>
      <c r="DX275" s="74"/>
      <c r="DY275" s="74"/>
      <c r="DZ275" s="74"/>
      <c r="EA275" s="74"/>
      <c r="EB275" s="74"/>
      <c r="EC275" s="74"/>
      <c r="ED275" s="74"/>
      <c r="EE275" s="74"/>
      <c r="EF275" s="74"/>
      <c r="EG275" s="74"/>
      <c r="EH275" s="74"/>
      <c r="EI275" s="74"/>
      <c r="EJ275" s="793"/>
      <c r="EK275" s="793"/>
      <c r="EL275" s="793"/>
      <c r="EM275" s="793"/>
      <c r="EN275" s="793"/>
      <c r="EO275" s="793"/>
      <c r="EP275" s="793"/>
      <c r="EQ275" s="793"/>
      <c r="ER275" s="793"/>
      <c r="ES275" s="793"/>
      <c r="ET275" s="793"/>
      <c r="EU275" s="793"/>
      <c r="EV275" s="793"/>
      <c r="EW275" s="793"/>
      <c r="EX275" s="793"/>
      <c r="EY275" s="794"/>
      <c r="EZ275" s="793"/>
      <c r="FA275" s="793"/>
    </row>
    <row r="276" spans="1:157">
      <c r="A276" s="73"/>
      <c r="B276" s="73"/>
      <c r="C276" s="73" t="s">
        <v>2010</v>
      </c>
      <c r="D276" s="73" t="s">
        <v>1284</v>
      </c>
      <c r="E276" s="3261"/>
      <c r="F276" s="3261"/>
      <c r="G276" s="3261"/>
      <c r="H276" s="3261">
        <v>1</v>
      </c>
      <c r="I276" s="3261"/>
      <c r="J276" s="3261">
        <v>5</v>
      </c>
      <c r="K276" s="3261">
        <v>1</v>
      </c>
      <c r="L276" s="3261"/>
      <c r="M276" s="161"/>
      <c r="N276" s="161"/>
      <c r="O276" s="161">
        <v>7</v>
      </c>
      <c r="P276" s="73"/>
      <c r="R276" s="74"/>
      <c r="S276" s="74"/>
      <c r="T276" s="74"/>
      <c r="U276" s="761" t="s">
        <v>15</v>
      </c>
      <c r="V276" s="3230"/>
      <c r="W276" s="3230"/>
      <c r="X276" s="3230"/>
      <c r="Y276" s="3230"/>
      <c r="Z276" s="3230"/>
      <c r="AA276" s="3230"/>
      <c r="AB276" s="3230">
        <v>19</v>
      </c>
      <c r="AC276" s="3230">
        <v>1</v>
      </c>
      <c r="AD276" s="3230">
        <v>1</v>
      </c>
      <c r="AE276" s="729"/>
      <c r="AF276" s="729"/>
      <c r="AG276" s="729">
        <v>21</v>
      </c>
      <c r="AH276" s="4681">
        <f>+(AG274+AG275)/AG276</f>
        <v>0.7142857142857143</v>
      </c>
      <c r="AJ276" s="161"/>
      <c r="AK276" s="161" t="s">
        <v>105</v>
      </c>
      <c r="AL276" s="73" t="s">
        <v>144</v>
      </c>
      <c r="AM276" s="73" t="s">
        <v>1284</v>
      </c>
      <c r="AN276" s="2600"/>
      <c r="AO276" s="2600"/>
      <c r="AP276" s="2600"/>
      <c r="AQ276" s="2600"/>
      <c r="AR276" s="2600"/>
      <c r="AS276" s="2600"/>
      <c r="AT276" s="2600">
        <v>2</v>
      </c>
      <c r="AU276" s="2600"/>
      <c r="AV276" s="2600"/>
      <c r="AW276" s="161"/>
      <c r="AX276" s="161"/>
      <c r="AY276" s="161">
        <v>2</v>
      </c>
      <c r="AZ276" s="161"/>
      <c r="BB276" s="2191"/>
      <c r="BC276" s="2191"/>
      <c r="BD276" s="2192"/>
      <c r="BE276" s="2193" t="s">
        <v>1288</v>
      </c>
      <c r="BF276" s="2195">
        <v>0</v>
      </c>
      <c r="BG276" s="2195">
        <v>0</v>
      </c>
      <c r="BH276" s="2195">
        <v>0</v>
      </c>
      <c r="BI276" s="2195">
        <v>1</v>
      </c>
      <c r="BJ276" s="2195">
        <v>2</v>
      </c>
      <c r="BK276" s="2195">
        <v>11</v>
      </c>
      <c r="BL276" s="2195">
        <v>2</v>
      </c>
      <c r="BM276" s="2195">
        <v>0</v>
      </c>
      <c r="BN276" s="964">
        <v>0</v>
      </c>
      <c r="BO276" s="963"/>
      <c r="BP276" s="964">
        <v>16</v>
      </c>
      <c r="BQ276" s="73"/>
      <c r="BS276" s="879"/>
      <c r="BT276" s="879"/>
      <c r="BU276" s="880"/>
      <c r="BV276" s="881" t="s">
        <v>1284</v>
      </c>
      <c r="BW276" s="883">
        <v>7</v>
      </c>
      <c r="BX276" s="883">
        <v>4</v>
      </c>
      <c r="BY276" s="883">
        <v>40</v>
      </c>
      <c r="BZ276" s="883">
        <v>5</v>
      </c>
      <c r="CA276" s="883">
        <v>2</v>
      </c>
      <c r="CB276" s="883">
        <v>95</v>
      </c>
      <c r="CC276" s="883">
        <v>22</v>
      </c>
      <c r="CD276" s="883">
        <v>1</v>
      </c>
      <c r="CE276" s="884">
        <v>0</v>
      </c>
      <c r="CF276" s="879"/>
      <c r="CG276" s="884">
        <v>176</v>
      </c>
      <c r="CH276" s="161"/>
      <c r="DF276" s="4916" t="s">
        <v>1372</v>
      </c>
      <c r="DG276" s="4916"/>
      <c r="DH276" s="4916"/>
      <c r="DI276" s="4916"/>
      <c r="DJ276" s="4916"/>
      <c r="DK276" s="4916"/>
      <c r="DL276" s="4916"/>
      <c r="DM276" s="4916"/>
      <c r="DN276" s="4916"/>
      <c r="DO276" s="4916"/>
      <c r="DW276" s="4898" t="s">
        <v>1373</v>
      </c>
      <c r="DX276" s="4898"/>
      <c r="DY276" s="4898"/>
      <c r="DZ276" s="4898"/>
      <c r="EA276" s="4898"/>
      <c r="EB276" s="4898"/>
      <c r="EC276" s="4898"/>
      <c r="ED276" s="4898"/>
      <c r="EE276" s="4898"/>
      <c r="EF276" s="4898"/>
      <c r="EI276" s="74"/>
      <c r="EJ276" s="793"/>
      <c r="EK276" s="793"/>
      <c r="EL276" s="793"/>
      <c r="EM276" s="793"/>
      <c r="EN276" s="4918" t="s">
        <v>1373</v>
      </c>
      <c r="EO276" s="4918"/>
      <c r="EP276" s="4918"/>
      <c r="EQ276" s="4918"/>
      <c r="ER276" s="4918"/>
      <c r="ES276" s="4918"/>
      <c r="ET276" s="4918"/>
      <c r="EU276" s="4918"/>
      <c r="EV276" s="4918"/>
      <c r="EW276" s="4918"/>
      <c r="EX276" s="4918"/>
      <c r="EY276" s="794"/>
      <c r="EZ276" s="793"/>
      <c r="FA276" s="793"/>
    </row>
    <row r="277" spans="1:157" ht="26.25" thickBot="1">
      <c r="A277" s="73"/>
      <c r="B277" s="73"/>
      <c r="C277" s="73"/>
      <c r="D277" s="73" t="s">
        <v>1288</v>
      </c>
      <c r="E277" s="3261"/>
      <c r="F277" s="3261"/>
      <c r="G277" s="3261"/>
      <c r="H277" s="3261">
        <v>0</v>
      </c>
      <c r="I277" s="3261"/>
      <c r="J277" s="3261">
        <v>2</v>
      </c>
      <c r="K277" s="3261">
        <v>0</v>
      </c>
      <c r="L277" s="3261"/>
      <c r="M277" s="161"/>
      <c r="N277" s="161"/>
      <c r="O277" s="161">
        <v>2</v>
      </c>
      <c r="P277" s="73"/>
      <c r="R277" s="74"/>
      <c r="S277" s="74"/>
      <c r="T277" s="74" t="s">
        <v>426</v>
      </c>
      <c r="U277" s="74" t="s">
        <v>1284</v>
      </c>
      <c r="V277" s="3229"/>
      <c r="W277" s="3229"/>
      <c r="X277" s="3229">
        <v>2</v>
      </c>
      <c r="Y277" s="3229"/>
      <c r="Z277" s="3229"/>
      <c r="AA277" s="3229"/>
      <c r="AB277" s="3229">
        <v>22</v>
      </c>
      <c r="AC277" s="3229"/>
      <c r="AD277" s="3229"/>
      <c r="AE277" s="121"/>
      <c r="AF277" s="121"/>
      <c r="AG277" s="121">
        <v>24</v>
      </c>
      <c r="AJ277" s="161"/>
      <c r="AK277" s="161"/>
      <c r="AL277" s="73"/>
      <c r="AM277" s="73" t="s">
        <v>1288</v>
      </c>
      <c r="AN277" s="2600"/>
      <c r="AO277" s="2600"/>
      <c r="AP277" s="2600"/>
      <c r="AQ277" s="2600"/>
      <c r="AR277" s="2600"/>
      <c r="AS277" s="2600"/>
      <c r="AT277" s="2600">
        <v>10</v>
      </c>
      <c r="AU277" s="2600"/>
      <c r="AV277" s="2600"/>
      <c r="AW277" s="161"/>
      <c r="AX277" s="161"/>
      <c r="AY277" s="161">
        <v>10</v>
      </c>
      <c r="AZ277" s="161"/>
      <c r="BB277" s="2191"/>
      <c r="BC277" s="2191"/>
      <c r="BD277" s="2192"/>
      <c r="BE277" s="2193" t="s">
        <v>1289</v>
      </c>
      <c r="BF277" s="2195">
        <v>0</v>
      </c>
      <c r="BG277" s="2195">
        <v>0</v>
      </c>
      <c r="BH277" s="2195">
        <v>0</v>
      </c>
      <c r="BI277" s="2195">
        <v>0</v>
      </c>
      <c r="BJ277" s="2195">
        <v>1</v>
      </c>
      <c r="BK277" s="2195">
        <v>0</v>
      </c>
      <c r="BL277" s="2195">
        <v>0</v>
      </c>
      <c r="BM277" s="2195">
        <v>0</v>
      </c>
      <c r="BN277" s="964">
        <v>0</v>
      </c>
      <c r="BO277" s="963"/>
      <c r="BP277" s="964">
        <v>1</v>
      </c>
      <c r="BQ277" s="73"/>
      <c r="BS277" s="879"/>
      <c r="BT277" s="879"/>
      <c r="BU277" s="880"/>
      <c r="BV277" s="881" t="s">
        <v>1286</v>
      </c>
      <c r="BW277" s="883">
        <v>3</v>
      </c>
      <c r="BX277" s="883">
        <v>0</v>
      </c>
      <c r="BY277" s="883">
        <v>0</v>
      </c>
      <c r="BZ277" s="883">
        <v>0</v>
      </c>
      <c r="CA277" s="883">
        <v>0</v>
      </c>
      <c r="CB277" s="883">
        <v>0</v>
      </c>
      <c r="CC277" s="883">
        <v>0</v>
      </c>
      <c r="CD277" s="883">
        <v>0</v>
      </c>
      <c r="CE277" s="884">
        <v>0</v>
      </c>
      <c r="CF277" s="879"/>
      <c r="CG277" s="884">
        <v>3</v>
      </c>
      <c r="CH277" s="161"/>
      <c r="DB277" s="78"/>
      <c r="DC277" s="78"/>
      <c r="DD277" s="927" t="s">
        <v>0</v>
      </c>
      <c r="DE277" s="927" t="s">
        <v>1282</v>
      </c>
      <c r="DF277" s="927">
        <v>1</v>
      </c>
      <c r="DG277" s="927">
        <v>2</v>
      </c>
      <c r="DH277" s="927">
        <v>3</v>
      </c>
      <c r="DI277" s="927">
        <v>4</v>
      </c>
      <c r="DJ277" s="927">
        <v>5</v>
      </c>
      <c r="DK277" s="927">
        <v>6</v>
      </c>
      <c r="DL277" s="927">
        <v>7</v>
      </c>
      <c r="DM277" s="927">
        <v>8</v>
      </c>
      <c r="DN277" s="927">
        <v>9</v>
      </c>
      <c r="DO277" s="927">
        <v>10</v>
      </c>
      <c r="DP277" s="927" t="s">
        <v>15</v>
      </c>
      <c r="DQ277" s="836" t="s">
        <v>66</v>
      </c>
      <c r="DR277" s="78"/>
      <c r="DS277" s="87"/>
      <c r="DT277" s="87"/>
      <c r="DU277" s="88" t="s">
        <v>148</v>
      </c>
      <c r="DV277" s="928" t="s">
        <v>1282</v>
      </c>
      <c r="DW277" s="88">
        <v>1</v>
      </c>
      <c r="DX277" s="88">
        <v>2</v>
      </c>
      <c r="DY277" s="88">
        <v>3</v>
      </c>
      <c r="DZ277" s="88">
        <v>4</v>
      </c>
      <c r="EA277" s="88">
        <v>5</v>
      </c>
      <c r="EB277" s="88">
        <v>6</v>
      </c>
      <c r="EC277" s="88">
        <v>7</v>
      </c>
      <c r="ED277" s="88">
        <v>8</v>
      </c>
      <c r="EE277" s="88">
        <v>9</v>
      </c>
      <c r="EF277" s="88">
        <v>10</v>
      </c>
      <c r="EG277" s="88" t="s">
        <v>15</v>
      </c>
      <c r="EH277" s="928" t="s">
        <v>66</v>
      </c>
      <c r="EI277" s="74"/>
      <c r="EJ277" s="793"/>
      <c r="EK277" s="793"/>
      <c r="EL277" s="847" t="s">
        <v>0</v>
      </c>
      <c r="EM277" s="847" t="s">
        <v>1375</v>
      </c>
      <c r="EN277" s="846">
        <v>0</v>
      </c>
      <c r="EO277" s="846">
        <v>1</v>
      </c>
      <c r="EP277" s="846">
        <v>2</v>
      </c>
      <c r="EQ277" s="846">
        <v>3</v>
      </c>
      <c r="ER277" s="846">
        <v>4</v>
      </c>
      <c r="ES277" s="846">
        <v>5</v>
      </c>
      <c r="ET277" s="846">
        <v>6</v>
      </c>
      <c r="EU277" s="846">
        <v>7</v>
      </c>
      <c r="EV277" s="846">
        <v>8</v>
      </c>
      <c r="EW277" s="846">
        <v>9</v>
      </c>
      <c r="EX277" s="846">
        <v>10</v>
      </c>
      <c r="EY277" s="846" t="s">
        <v>15</v>
      </c>
      <c r="EZ277" s="847" t="s">
        <v>66</v>
      </c>
      <c r="FA277" s="846" t="s">
        <v>1376</v>
      </c>
    </row>
    <row r="278" spans="1:157">
      <c r="A278" s="73"/>
      <c r="B278" s="73"/>
      <c r="C278" s="73"/>
      <c r="D278" s="73" t="s">
        <v>1398</v>
      </c>
      <c r="E278" s="3261"/>
      <c r="F278" s="3261"/>
      <c r="G278" s="3261"/>
      <c r="H278" s="3261">
        <v>0</v>
      </c>
      <c r="I278" s="3261"/>
      <c r="J278" s="3261">
        <v>1</v>
      </c>
      <c r="K278" s="3261">
        <v>0</v>
      </c>
      <c r="L278" s="3261"/>
      <c r="M278" s="161"/>
      <c r="N278" s="161"/>
      <c r="O278" s="161">
        <v>1</v>
      </c>
      <c r="P278" s="73"/>
      <c r="R278" s="74"/>
      <c r="S278" s="74"/>
      <c r="T278" s="74"/>
      <c r="U278" s="761" t="s">
        <v>15</v>
      </c>
      <c r="V278" s="3230"/>
      <c r="W278" s="3230"/>
      <c r="X278" s="3230">
        <v>2</v>
      </c>
      <c r="Y278" s="3230"/>
      <c r="Z278" s="3230"/>
      <c r="AA278" s="3230"/>
      <c r="AB278" s="3230">
        <v>22</v>
      </c>
      <c r="AC278" s="3230"/>
      <c r="AD278" s="3230"/>
      <c r="AE278" s="729"/>
      <c r="AF278" s="729"/>
      <c r="AG278" s="729">
        <v>24</v>
      </c>
      <c r="AH278" s="4681">
        <v>0</v>
      </c>
      <c r="AJ278" s="161"/>
      <c r="AK278" s="161"/>
      <c r="AL278" s="73"/>
      <c r="AM278" s="73" t="s">
        <v>1293</v>
      </c>
      <c r="AN278" s="2600"/>
      <c r="AO278" s="2600"/>
      <c r="AP278" s="2600"/>
      <c r="AQ278" s="2600"/>
      <c r="AR278" s="2600"/>
      <c r="AS278" s="2600"/>
      <c r="AT278" s="2600">
        <v>9</v>
      </c>
      <c r="AU278" s="2600"/>
      <c r="AV278" s="2600"/>
      <c r="AW278" s="161"/>
      <c r="AX278" s="161"/>
      <c r="AY278" s="161">
        <v>9</v>
      </c>
      <c r="AZ278" s="161"/>
      <c r="BB278" s="2191"/>
      <c r="BC278" s="2191"/>
      <c r="BD278" s="2192"/>
      <c r="BE278" s="2193" t="s">
        <v>1292</v>
      </c>
      <c r="BF278" s="2195">
        <v>0</v>
      </c>
      <c r="BG278" s="2195">
        <v>0</v>
      </c>
      <c r="BH278" s="2195">
        <v>0</v>
      </c>
      <c r="BI278" s="2195">
        <v>0</v>
      </c>
      <c r="BJ278" s="2195">
        <v>2</v>
      </c>
      <c r="BK278" s="2195">
        <v>1</v>
      </c>
      <c r="BL278" s="2195">
        <v>1</v>
      </c>
      <c r="BM278" s="2195">
        <v>5</v>
      </c>
      <c r="BN278" s="964">
        <v>2</v>
      </c>
      <c r="BO278" s="963"/>
      <c r="BP278" s="964">
        <v>11</v>
      </c>
      <c r="BQ278" s="73"/>
      <c r="BS278" s="879"/>
      <c r="BT278" s="879"/>
      <c r="BU278" s="880"/>
      <c r="BV278" s="881" t="s">
        <v>1288</v>
      </c>
      <c r="BW278" s="883">
        <v>0</v>
      </c>
      <c r="BX278" s="883">
        <v>0</v>
      </c>
      <c r="BY278" s="883">
        <v>1</v>
      </c>
      <c r="BZ278" s="883">
        <v>0</v>
      </c>
      <c r="CA278" s="883">
        <v>0</v>
      </c>
      <c r="CB278" s="883">
        <v>8</v>
      </c>
      <c r="CC278" s="883">
        <v>8</v>
      </c>
      <c r="CD278" s="883">
        <v>0</v>
      </c>
      <c r="CE278" s="884">
        <v>0</v>
      </c>
      <c r="CF278" s="879"/>
      <c r="CG278" s="884">
        <v>17</v>
      </c>
      <c r="CH278" s="161"/>
      <c r="DB278" s="892"/>
      <c r="DC278" s="892"/>
      <c r="DD278" s="929" t="s">
        <v>75</v>
      </c>
      <c r="DE278" s="893" t="s">
        <v>1283</v>
      </c>
      <c r="DF278" s="895">
        <v>0</v>
      </c>
      <c r="DG278" s="895">
        <v>0</v>
      </c>
      <c r="DH278" s="895">
        <v>0</v>
      </c>
      <c r="DI278" s="895">
        <v>0</v>
      </c>
      <c r="DJ278" s="895">
        <v>0</v>
      </c>
      <c r="DK278" s="895">
        <v>0</v>
      </c>
      <c r="DL278" s="895">
        <v>2</v>
      </c>
      <c r="DM278" s="895">
        <v>11</v>
      </c>
      <c r="DN278" s="895">
        <v>4</v>
      </c>
      <c r="DO278" s="895">
        <v>13</v>
      </c>
      <c r="DP278" s="895">
        <v>30</v>
      </c>
      <c r="DQ278" s="792"/>
      <c r="DS278" s="121"/>
      <c r="DT278" s="121"/>
      <c r="DU278" s="729" t="s">
        <v>75</v>
      </c>
      <c r="DV278" s="74" t="s">
        <v>1283</v>
      </c>
      <c r="DW278" s="74">
        <v>0</v>
      </c>
      <c r="DX278" s="74">
        <v>0</v>
      </c>
      <c r="DY278" s="74">
        <v>0</v>
      </c>
      <c r="DZ278" s="74">
        <v>0</v>
      </c>
      <c r="EA278" s="74">
        <v>0</v>
      </c>
      <c r="EB278" s="74">
        <v>1</v>
      </c>
      <c r="EC278" s="74">
        <v>4</v>
      </c>
      <c r="ED278" s="74">
        <v>26</v>
      </c>
      <c r="EE278" s="74">
        <v>2</v>
      </c>
      <c r="EF278" s="74">
        <v>2</v>
      </c>
      <c r="EG278" s="74">
        <v>35</v>
      </c>
      <c r="EH278" s="74"/>
      <c r="EI278" s="74"/>
      <c r="EJ278" s="793"/>
      <c r="EK278" s="793"/>
      <c r="EL278" s="794" t="s">
        <v>75</v>
      </c>
      <c r="EM278" s="793" t="s">
        <v>1283</v>
      </c>
      <c r="EN278" s="793">
        <v>0</v>
      </c>
      <c r="EO278" s="793">
        <v>0</v>
      </c>
      <c r="EP278" s="793">
        <v>0</v>
      </c>
      <c r="EQ278" s="793">
        <v>1</v>
      </c>
      <c r="ER278" s="793">
        <v>1</v>
      </c>
      <c r="ES278" s="793">
        <v>0</v>
      </c>
      <c r="ET278" s="793">
        <v>5</v>
      </c>
      <c r="EU278" s="793">
        <v>2</v>
      </c>
      <c r="EV278" s="793">
        <v>18</v>
      </c>
      <c r="EW278" s="793">
        <v>2</v>
      </c>
      <c r="EX278" s="793">
        <v>5</v>
      </c>
      <c r="EY278" s="794">
        <v>34</v>
      </c>
      <c r="EZ278" s="793"/>
      <c r="FA278" s="795"/>
    </row>
    <row r="279" spans="1:157">
      <c r="A279" s="73"/>
      <c r="B279" s="73"/>
      <c r="C279" s="73"/>
      <c r="D279" s="738" t="s">
        <v>15</v>
      </c>
      <c r="E279" s="3262"/>
      <c r="F279" s="3262"/>
      <c r="G279" s="3262"/>
      <c r="H279" s="3262">
        <v>1</v>
      </c>
      <c r="I279" s="3262"/>
      <c r="J279" s="3262">
        <v>8</v>
      </c>
      <c r="K279" s="3262">
        <v>1</v>
      </c>
      <c r="L279" s="3262"/>
      <c r="M279" s="4674"/>
      <c r="N279" s="4674"/>
      <c r="O279" s="4674">
        <v>10</v>
      </c>
      <c r="P279" s="912">
        <f>+(O278+O277)/O279</f>
        <v>0.3</v>
      </c>
      <c r="Q279" s="3197"/>
      <c r="R279" s="74"/>
      <c r="S279" s="74"/>
      <c r="T279" s="74" t="s">
        <v>574</v>
      </c>
      <c r="U279" s="74" t="s">
        <v>1283</v>
      </c>
      <c r="V279" s="3229"/>
      <c r="W279" s="3229">
        <v>0</v>
      </c>
      <c r="X279" s="3229">
        <v>0</v>
      </c>
      <c r="Y279" s="3229"/>
      <c r="Z279" s="3229">
        <v>0</v>
      </c>
      <c r="AA279" s="3229">
        <v>0</v>
      </c>
      <c r="AB279" s="3229">
        <v>0</v>
      </c>
      <c r="AC279" s="3229">
        <v>1</v>
      </c>
      <c r="AD279" s="3229">
        <v>0</v>
      </c>
      <c r="AE279" s="121"/>
      <c r="AF279" s="121"/>
      <c r="AG279" s="121">
        <v>1</v>
      </c>
      <c r="AJ279" s="161"/>
      <c r="AK279" s="161"/>
      <c r="AL279" s="73"/>
      <c r="AM279" s="73" t="s">
        <v>1398</v>
      </c>
      <c r="AN279" s="2600"/>
      <c r="AO279" s="2600"/>
      <c r="AP279" s="2600"/>
      <c r="AQ279" s="2600"/>
      <c r="AR279" s="2600"/>
      <c r="AS279" s="2600"/>
      <c r="AT279" s="2600">
        <v>4</v>
      </c>
      <c r="AU279" s="2600"/>
      <c r="AV279" s="2600"/>
      <c r="AW279" s="161"/>
      <c r="AX279" s="161"/>
      <c r="AY279" s="161">
        <v>4</v>
      </c>
      <c r="AZ279" s="161"/>
      <c r="BB279" s="2191"/>
      <c r="BC279" s="2191"/>
      <c r="BD279" s="2192"/>
      <c r="BE279" s="2193" t="s">
        <v>1293</v>
      </c>
      <c r="BF279" s="2195">
        <v>0</v>
      </c>
      <c r="BG279" s="2195">
        <v>0</v>
      </c>
      <c r="BH279" s="2195">
        <v>0</v>
      </c>
      <c r="BI279" s="2195">
        <v>1</v>
      </c>
      <c r="BJ279" s="2195">
        <v>1</v>
      </c>
      <c r="BK279" s="2195">
        <v>20</v>
      </c>
      <c r="BL279" s="2195">
        <v>4</v>
      </c>
      <c r="BM279" s="2195">
        <v>0</v>
      </c>
      <c r="BN279" s="964">
        <v>0</v>
      </c>
      <c r="BO279" s="963"/>
      <c r="BP279" s="964">
        <v>26</v>
      </c>
      <c r="BQ279" s="73"/>
      <c r="BS279" s="879"/>
      <c r="BT279" s="879"/>
      <c r="BU279" s="880"/>
      <c r="BV279" s="881" t="s">
        <v>1289</v>
      </c>
      <c r="BW279" s="883">
        <v>1</v>
      </c>
      <c r="BX279" s="883">
        <v>1</v>
      </c>
      <c r="BY279" s="883">
        <v>1</v>
      </c>
      <c r="BZ279" s="883">
        <v>1</v>
      </c>
      <c r="CA279" s="883">
        <v>0</v>
      </c>
      <c r="CB279" s="883">
        <v>0</v>
      </c>
      <c r="CC279" s="883">
        <v>0</v>
      </c>
      <c r="CD279" s="883">
        <v>0</v>
      </c>
      <c r="CE279" s="884">
        <v>0</v>
      </c>
      <c r="CF279" s="879"/>
      <c r="CG279" s="884">
        <v>4</v>
      </c>
      <c r="CH279" s="161"/>
      <c r="DB279" s="892"/>
      <c r="DC279" s="892"/>
      <c r="DD279" s="892"/>
      <c r="DE279" s="893" t="s">
        <v>1284</v>
      </c>
      <c r="DF279" s="895">
        <v>1</v>
      </c>
      <c r="DG279" s="895">
        <v>1</v>
      </c>
      <c r="DH279" s="895">
        <v>27</v>
      </c>
      <c r="DI279" s="895">
        <v>11</v>
      </c>
      <c r="DJ279" s="895">
        <v>4</v>
      </c>
      <c r="DK279" s="895">
        <v>76</v>
      </c>
      <c r="DL279" s="895">
        <v>47</v>
      </c>
      <c r="DM279" s="895">
        <v>8</v>
      </c>
      <c r="DN279" s="895">
        <v>4</v>
      </c>
      <c r="DO279" s="895">
        <v>0</v>
      </c>
      <c r="DP279" s="895">
        <v>179</v>
      </c>
      <c r="DQ279" s="792"/>
      <c r="DS279" s="121"/>
      <c r="DT279" s="121"/>
      <c r="DU279" s="74"/>
      <c r="DV279" s="74" t="s">
        <v>1284</v>
      </c>
      <c r="DW279" s="74">
        <v>3</v>
      </c>
      <c r="DX279" s="74">
        <v>9</v>
      </c>
      <c r="DY279" s="74">
        <v>4</v>
      </c>
      <c r="DZ279" s="74">
        <v>2</v>
      </c>
      <c r="EA279" s="74">
        <v>4</v>
      </c>
      <c r="EB279" s="74">
        <v>91</v>
      </c>
      <c r="EC279" s="74">
        <v>39</v>
      </c>
      <c r="ED279" s="74">
        <v>4</v>
      </c>
      <c r="EE279" s="74">
        <v>0</v>
      </c>
      <c r="EF279" s="74">
        <v>0</v>
      </c>
      <c r="EG279" s="74">
        <v>156</v>
      </c>
      <c r="EH279" s="74"/>
      <c r="EI279" s="74"/>
      <c r="EJ279" s="793"/>
      <c r="EK279" s="793"/>
      <c r="EL279" s="793"/>
      <c r="EM279" s="793" t="s">
        <v>1284</v>
      </c>
      <c r="EN279" s="793">
        <v>1</v>
      </c>
      <c r="EO279" s="793">
        <v>2</v>
      </c>
      <c r="EP279" s="793">
        <v>7</v>
      </c>
      <c r="EQ279" s="793">
        <v>6</v>
      </c>
      <c r="ER279" s="793">
        <v>9</v>
      </c>
      <c r="ES279" s="793">
        <v>1</v>
      </c>
      <c r="ET279" s="793">
        <v>87</v>
      </c>
      <c r="EU279" s="793">
        <v>16</v>
      </c>
      <c r="EV279" s="793">
        <v>0</v>
      </c>
      <c r="EW279" s="793">
        <v>0</v>
      </c>
      <c r="EX279" s="793">
        <v>0</v>
      </c>
      <c r="EY279" s="794">
        <v>129</v>
      </c>
      <c r="EZ279" s="793"/>
      <c r="FA279" s="795"/>
    </row>
    <row r="280" spans="1:157">
      <c r="A280" s="73"/>
      <c r="B280" s="73"/>
      <c r="C280" s="738" t="s">
        <v>575</v>
      </c>
      <c r="D280" s="738" t="s">
        <v>1283</v>
      </c>
      <c r="E280" s="3262"/>
      <c r="F280" s="3262">
        <v>0</v>
      </c>
      <c r="G280" s="3262"/>
      <c r="H280" s="3262">
        <v>0</v>
      </c>
      <c r="I280" s="3262">
        <v>0</v>
      </c>
      <c r="J280" s="3262">
        <v>0</v>
      </c>
      <c r="K280" s="3262">
        <v>1</v>
      </c>
      <c r="L280" s="3262">
        <v>0</v>
      </c>
      <c r="M280" s="4674">
        <v>0</v>
      </c>
      <c r="N280" s="4674"/>
      <c r="O280" s="4674">
        <v>1</v>
      </c>
      <c r="P280" s="73"/>
      <c r="R280" s="74"/>
      <c r="S280" s="74"/>
      <c r="T280" s="74"/>
      <c r="U280" s="74" t="s">
        <v>1284</v>
      </c>
      <c r="V280" s="3229"/>
      <c r="W280" s="3229">
        <v>1</v>
      </c>
      <c r="X280" s="3229">
        <v>3</v>
      </c>
      <c r="Y280" s="3229"/>
      <c r="Z280" s="3229">
        <v>1</v>
      </c>
      <c r="AA280" s="3229">
        <v>1</v>
      </c>
      <c r="AB280" s="3229">
        <v>34</v>
      </c>
      <c r="AC280" s="3229">
        <v>1</v>
      </c>
      <c r="AD280" s="3229">
        <v>1</v>
      </c>
      <c r="AE280" s="121"/>
      <c r="AF280" s="121"/>
      <c r="AG280" s="121">
        <v>42</v>
      </c>
      <c r="AJ280" s="161"/>
      <c r="AK280" s="161"/>
      <c r="AL280" s="73"/>
      <c r="AM280" s="738" t="s">
        <v>15</v>
      </c>
      <c r="AN280" s="2601"/>
      <c r="AO280" s="2601"/>
      <c r="AP280" s="2601"/>
      <c r="AQ280" s="2601"/>
      <c r="AR280" s="2601"/>
      <c r="AS280" s="2601"/>
      <c r="AT280" s="2601">
        <v>25</v>
      </c>
      <c r="AU280" s="2601"/>
      <c r="AV280" s="2601"/>
      <c r="AW280" s="151"/>
      <c r="AX280" s="151"/>
      <c r="AY280" s="151">
        <v>25</v>
      </c>
      <c r="AZ280" s="912">
        <f>+(AY277+AY278+AY279)/AY280</f>
        <v>0.92</v>
      </c>
      <c r="BB280" s="2191"/>
      <c r="BC280" s="2191"/>
      <c r="BD280" s="2192"/>
      <c r="BE280" s="2193" t="s">
        <v>1398</v>
      </c>
      <c r="BF280" s="2195">
        <v>0</v>
      </c>
      <c r="BG280" s="2195">
        <v>0</v>
      </c>
      <c r="BH280" s="2195">
        <v>0</v>
      </c>
      <c r="BI280" s="2195">
        <v>2</v>
      </c>
      <c r="BJ280" s="2195">
        <v>2</v>
      </c>
      <c r="BK280" s="2195">
        <v>18</v>
      </c>
      <c r="BL280" s="2195">
        <v>3</v>
      </c>
      <c r="BM280" s="2195">
        <v>0</v>
      </c>
      <c r="BN280" s="964">
        <v>0</v>
      </c>
      <c r="BO280" s="963"/>
      <c r="BP280" s="964">
        <v>25</v>
      </c>
      <c r="BQ280" s="73"/>
      <c r="BS280" s="879"/>
      <c r="BT280" s="879"/>
      <c r="BU280" s="880"/>
      <c r="BV280" s="881" t="s">
        <v>1292</v>
      </c>
      <c r="BW280" s="883">
        <v>0</v>
      </c>
      <c r="BX280" s="883">
        <v>0</v>
      </c>
      <c r="BY280" s="883">
        <v>0</v>
      </c>
      <c r="BZ280" s="883">
        <v>0</v>
      </c>
      <c r="CA280" s="883">
        <v>0</v>
      </c>
      <c r="CB280" s="883">
        <v>0</v>
      </c>
      <c r="CC280" s="883">
        <v>1</v>
      </c>
      <c r="CD280" s="883">
        <v>19</v>
      </c>
      <c r="CE280" s="884">
        <v>2</v>
      </c>
      <c r="CF280" s="879"/>
      <c r="CG280" s="884">
        <v>22</v>
      </c>
      <c r="CH280" s="161"/>
      <c r="DB280" s="892"/>
      <c r="DC280" s="892"/>
      <c r="DD280" s="892"/>
      <c r="DE280" s="893" t="s">
        <v>1286</v>
      </c>
      <c r="DF280" s="895">
        <v>0</v>
      </c>
      <c r="DG280" s="895">
        <v>2</v>
      </c>
      <c r="DH280" s="895">
        <v>0</v>
      </c>
      <c r="DI280" s="895">
        <v>1</v>
      </c>
      <c r="DJ280" s="895">
        <v>0</v>
      </c>
      <c r="DK280" s="895">
        <v>0</v>
      </c>
      <c r="DL280" s="895">
        <v>0</v>
      </c>
      <c r="DM280" s="895">
        <v>0</v>
      </c>
      <c r="DN280" s="895">
        <v>0</v>
      </c>
      <c r="DO280" s="895">
        <v>0</v>
      </c>
      <c r="DP280" s="895">
        <v>3</v>
      </c>
      <c r="DQ280" s="792"/>
      <c r="DS280" s="121"/>
      <c r="DT280" s="121"/>
      <c r="DU280" s="74"/>
      <c r="DV280" s="74" t="s">
        <v>1286</v>
      </c>
      <c r="DW280" s="74">
        <v>0</v>
      </c>
      <c r="DX280" s="74">
        <v>0</v>
      </c>
      <c r="DY280" s="74">
        <v>1</v>
      </c>
      <c r="DZ280" s="74">
        <v>0</v>
      </c>
      <c r="EA280" s="74">
        <v>0</v>
      </c>
      <c r="EB280" s="74">
        <v>0</v>
      </c>
      <c r="EC280" s="74">
        <v>0</v>
      </c>
      <c r="ED280" s="74">
        <v>0</v>
      </c>
      <c r="EE280" s="74">
        <v>0</v>
      </c>
      <c r="EF280" s="74">
        <v>0</v>
      </c>
      <c r="EG280" s="74">
        <v>1</v>
      </c>
      <c r="EH280" s="74"/>
      <c r="EI280" s="74"/>
      <c r="EJ280" s="793"/>
      <c r="EK280" s="793"/>
      <c r="EL280" s="793"/>
      <c r="EM280" s="793" t="s">
        <v>1286</v>
      </c>
      <c r="EN280" s="793">
        <v>0</v>
      </c>
      <c r="EO280" s="793">
        <v>1</v>
      </c>
      <c r="EP280" s="793">
        <v>1</v>
      </c>
      <c r="EQ280" s="793">
        <v>1</v>
      </c>
      <c r="ER280" s="793">
        <v>0</v>
      </c>
      <c r="ES280" s="793">
        <v>0</v>
      </c>
      <c r="ET280" s="793">
        <v>0</v>
      </c>
      <c r="EU280" s="793">
        <v>0</v>
      </c>
      <c r="EV280" s="793">
        <v>0</v>
      </c>
      <c r="EW280" s="793">
        <v>0</v>
      </c>
      <c r="EX280" s="793">
        <v>0</v>
      </c>
      <c r="EY280" s="794">
        <v>3</v>
      </c>
      <c r="EZ280" s="793"/>
      <c r="FA280" s="795"/>
    </row>
    <row r="281" spans="1:157">
      <c r="A281" s="73"/>
      <c r="B281" s="73"/>
      <c r="C281" s="738"/>
      <c r="D281" s="738" t="s">
        <v>1284</v>
      </c>
      <c r="E281" s="3262"/>
      <c r="F281" s="3262">
        <v>3</v>
      </c>
      <c r="G281" s="3262"/>
      <c r="H281" s="3262">
        <v>1</v>
      </c>
      <c r="I281" s="3262">
        <v>3</v>
      </c>
      <c r="J281" s="3262">
        <v>14</v>
      </c>
      <c r="K281" s="3262">
        <v>3</v>
      </c>
      <c r="L281" s="3262">
        <v>5</v>
      </c>
      <c r="M281" s="4674">
        <v>0</v>
      </c>
      <c r="N281" s="4674"/>
      <c r="O281" s="4674">
        <v>29</v>
      </c>
      <c r="P281" s="73"/>
      <c r="R281" s="74"/>
      <c r="S281" s="74"/>
      <c r="T281" s="74"/>
      <c r="U281" s="74" t="s">
        <v>1288</v>
      </c>
      <c r="V281" s="3229"/>
      <c r="W281" s="3229">
        <v>0</v>
      </c>
      <c r="X281" s="3229">
        <v>0</v>
      </c>
      <c r="Y281" s="3229"/>
      <c r="Z281" s="3229">
        <v>0</v>
      </c>
      <c r="AA281" s="3229">
        <v>0</v>
      </c>
      <c r="AB281" s="3229">
        <v>5</v>
      </c>
      <c r="AC281" s="3229">
        <v>0</v>
      </c>
      <c r="AD281" s="3229">
        <v>0</v>
      </c>
      <c r="AE281" s="121"/>
      <c r="AF281" s="121"/>
      <c r="AG281" s="121">
        <v>5</v>
      </c>
      <c r="AJ281" s="161"/>
      <c r="AK281" s="161"/>
      <c r="AL281" s="73" t="s">
        <v>888</v>
      </c>
      <c r="AM281" s="73" t="s">
        <v>1284</v>
      </c>
      <c r="AN281" s="2600"/>
      <c r="AO281" s="2600"/>
      <c r="AP281" s="2600"/>
      <c r="AQ281" s="2600"/>
      <c r="AR281" s="2600"/>
      <c r="AS281" s="2600"/>
      <c r="AT281" s="2600">
        <v>2</v>
      </c>
      <c r="AU281" s="2600"/>
      <c r="AV281" s="2600"/>
      <c r="AW281" s="161"/>
      <c r="AX281" s="161"/>
      <c r="AY281" s="161">
        <v>2</v>
      </c>
      <c r="AZ281" s="161"/>
      <c r="BB281" s="2191"/>
      <c r="BC281" s="2191"/>
      <c r="BD281" s="2192"/>
      <c r="BE281" s="760" t="s">
        <v>461</v>
      </c>
      <c r="BF281" s="2197">
        <v>4</v>
      </c>
      <c r="BG281" s="2197">
        <v>3</v>
      </c>
      <c r="BH281" s="2197">
        <v>3</v>
      </c>
      <c r="BI281" s="2197">
        <v>8</v>
      </c>
      <c r="BJ281" s="2197">
        <v>10</v>
      </c>
      <c r="BK281" s="2197">
        <v>96</v>
      </c>
      <c r="BL281" s="2197">
        <v>19</v>
      </c>
      <c r="BM281" s="2197">
        <v>10</v>
      </c>
      <c r="BN281" s="973">
        <v>2</v>
      </c>
      <c r="BO281" s="972"/>
      <c r="BP281" s="973">
        <v>155</v>
      </c>
      <c r="BQ281" s="2154">
        <f>+(BP276+BP279+BP280)/BP281</f>
        <v>0.43225806451612903</v>
      </c>
      <c r="BS281" s="879"/>
      <c r="BT281" s="879"/>
      <c r="BU281" s="880"/>
      <c r="BV281" s="881" t="s">
        <v>1293</v>
      </c>
      <c r="BW281" s="883">
        <v>0</v>
      </c>
      <c r="BX281" s="883">
        <v>0</v>
      </c>
      <c r="BY281" s="883">
        <v>7</v>
      </c>
      <c r="BZ281" s="883">
        <v>0</v>
      </c>
      <c r="CA281" s="883">
        <v>0</v>
      </c>
      <c r="CB281" s="883">
        <v>17</v>
      </c>
      <c r="CC281" s="883">
        <v>4</v>
      </c>
      <c r="CD281" s="883">
        <v>1</v>
      </c>
      <c r="CE281" s="884">
        <v>0</v>
      </c>
      <c r="CF281" s="879"/>
      <c r="CG281" s="884">
        <v>29</v>
      </c>
      <c r="CH281" s="161"/>
      <c r="DB281" s="892"/>
      <c r="DC281" s="892"/>
      <c r="DD281" s="892"/>
      <c r="DE281" s="893" t="s">
        <v>1288</v>
      </c>
      <c r="DF281" s="895">
        <v>0</v>
      </c>
      <c r="DG281" s="895">
        <v>0</v>
      </c>
      <c r="DH281" s="895">
        <v>12</v>
      </c>
      <c r="DI281" s="895">
        <v>1</v>
      </c>
      <c r="DJ281" s="895">
        <v>1</v>
      </c>
      <c r="DK281" s="895">
        <v>27</v>
      </c>
      <c r="DL281" s="895">
        <v>49</v>
      </c>
      <c r="DM281" s="895">
        <v>3</v>
      </c>
      <c r="DN281" s="895">
        <v>1</v>
      </c>
      <c r="DO281" s="895">
        <v>0</v>
      </c>
      <c r="DP281" s="895">
        <v>94</v>
      </c>
      <c r="DQ281" s="792"/>
      <c r="DS281" s="121"/>
      <c r="DT281" s="121"/>
      <c r="DU281" s="74"/>
      <c r="DV281" s="74" t="s">
        <v>1288</v>
      </c>
      <c r="DW281" s="74">
        <v>0</v>
      </c>
      <c r="DX281" s="74">
        <v>0</v>
      </c>
      <c r="DY281" s="74">
        <v>4</v>
      </c>
      <c r="DZ281" s="74">
        <v>0</v>
      </c>
      <c r="EA281" s="74">
        <v>0</v>
      </c>
      <c r="EB281" s="74">
        <v>25</v>
      </c>
      <c r="EC281" s="74">
        <v>32</v>
      </c>
      <c r="ED281" s="74">
        <v>2</v>
      </c>
      <c r="EE281" s="74">
        <v>0</v>
      </c>
      <c r="EF281" s="74">
        <v>0</v>
      </c>
      <c r="EG281" s="74">
        <v>63</v>
      </c>
      <c r="EH281" s="74"/>
      <c r="EI281" s="74"/>
      <c r="EJ281" s="793"/>
      <c r="EK281" s="793"/>
      <c r="EL281" s="793"/>
      <c r="EM281" s="793" t="s">
        <v>1288</v>
      </c>
      <c r="EN281" s="793">
        <v>0</v>
      </c>
      <c r="EO281" s="793">
        <v>0</v>
      </c>
      <c r="EP281" s="793">
        <v>0</v>
      </c>
      <c r="EQ281" s="793">
        <v>13</v>
      </c>
      <c r="ER281" s="793">
        <v>2</v>
      </c>
      <c r="ES281" s="793">
        <v>0</v>
      </c>
      <c r="ET281" s="793">
        <v>30</v>
      </c>
      <c r="EU281" s="793">
        <v>21</v>
      </c>
      <c r="EV281" s="793">
        <v>2</v>
      </c>
      <c r="EW281" s="793">
        <v>1</v>
      </c>
      <c r="EX281" s="793">
        <v>0</v>
      </c>
      <c r="EY281" s="794">
        <v>69</v>
      </c>
      <c r="EZ281" s="793"/>
      <c r="FA281" s="795"/>
    </row>
    <row r="282" spans="1:157">
      <c r="A282" s="73"/>
      <c r="B282" s="73"/>
      <c r="C282" s="738"/>
      <c r="D282" s="738" t="s">
        <v>1288</v>
      </c>
      <c r="E282" s="3262"/>
      <c r="F282" s="3262">
        <v>0</v>
      </c>
      <c r="G282" s="3262"/>
      <c r="H282" s="3262">
        <v>0</v>
      </c>
      <c r="I282" s="3262">
        <v>1</v>
      </c>
      <c r="J282" s="3262">
        <v>4</v>
      </c>
      <c r="K282" s="3262">
        <v>11</v>
      </c>
      <c r="L282" s="3262">
        <v>1</v>
      </c>
      <c r="M282" s="4674">
        <v>0</v>
      </c>
      <c r="N282" s="4674"/>
      <c r="O282" s="4674">
        <v>17</v>
      </c>
      <c r="P282" s="73"/>
      <c r="R282" s="74"/>
      <c r="S282" s="74"/>
      <c r="T282" s="74"/>
      <c r="U282" s="74" t="s">
        <v>1293</v>
      </c>
      <c r="V282" s="3229"/>
      <c r="W282" s="3229">
        <v>0</v>
      </c>
      <c r="X282" s="3229">
        <v>0</v>
      </c>
      <c r="Y282" s="3229"/>
      <c r="Z282" s="3229">
        <v>0</v>
      </c>
      <c r="AA282" s="3229">
        <v>0</v>
      </c>
      <c r="AB282" s="3229">
        <v>21</v>
      </c>
      <c r="AC282" s="3229">
        <v>0</v>
      </c>
      <c r="AD282" s="3229">
        <v>0</v>
      </c>
      <c r="AE282" s="121"/>
      <c r="AF282" s="121"/>
      <c r="AG282" s="121">
        <v>21</v>
      </c>
      <c r="AJ282" s="161"/>
      <c r="AK282" s="161"/>
      <c r="AL282" s="73"/>
      <c r="AM282" s="73" t="s">
        <v>1288</v>
      </c>
      <c r="AN282" s="2600"/>
      <c r="AO282" s="2600"/>
      <c r="AP282" s="2600"/>
      <c r="AQ282" s="2600"/>
      <c r="AR282" s="2600"/>
      <c r="AS282" s="2600"/>
      <c r="AT282" s="2600">
        <v>10</v>
      </c>
      <c r="AU282" s="2600"/>
      <c r="AV282" s="2600"/>
      <c r="AW282" s="161"/>
      <c r="AX282" s="161"/>
      <c r="AY282" s="161">
        <v>10</v>
      </c>
      <c r="AZ282" s="161"/>
      <c r="BB282" s="2191" t="s">
        <v>59</v>
      </c>
      <c r="BC282" s="2191" t="s">
        <v>16</v>
      </c>
      <c r="BD282" s="2192" t="s">
        <v>709</v>
      </c>
      <c r="BE282" s="2193" t="s">
        <v>1284</v>
      </c>
      <c r="BF282" s="2195">
        <v>0</v>
      </c>
      <c r="BG282" s="2195">
        <v>0</v>
      </c>
      <c r="BH282" s="2195">
        <v>0</v>
      </c>
      <c r="BI282" s="2194"/>
      <c r="BJ282" s="2194"/>
      <c r="BK282" s="2195">
        <v>10</v>
      </c>
      <c r="BL282" s="2195">
        <v>1</v>
      </c>
      <c r="BM282" s="2195">
        <v>1</v>
      </c>
      <c r="BN282" s="963"/>
      <c r="BO282" s="963"/>
      <c r="BP282" s="964">
        <v>12</v>
      </c>
      <c r="BQ282" s="73"/>
      <c r="BS282" s="879"/>
      <c r="BT282" s="879"/>
      <c r="BU282" s="880"/>
      <c r="BV282" s="881" t="s">
        <v>1398</v>
      </c>
      <c r="BW282" s="883">
        <v>0</v>
      </c>
      <c r="BX282" s="883">
        <v>0</v>
      </c>
      <c r="BY282" s="883">
        <v>10</v>
      </c>
      <c r="BZ282" s="883">
        <v>6</v>
      </c>
      <c r="CA282" s="883">
        <v>0</v>
      </c>
      <c r="CB282" s="883">
        <v>27</v>
      </c>
      <c r="CC282" s="883">
        <v>2</v>
      </c>
      <c r="CD282" s="883">
        <v>2</v>
      </c>
      <c r="CE282" s="884">
        <v>0</v>
      </c>
      <c r="CF282" s="879"/>
      <c r="CG282" s="884">
        <v>47</v>
      </c>
      <c r="CH282" s="161"/>
      <c r="DB282" s="892"/>
      <c r="DC282" s="892"/>
      <c r="DD282" s="892"/>
      <c r="DE282" s="893" t="s">
        <v>1289</v>
      </c>
      <c r="DF282" s="895">
        <v>0</v>
      </c>
      <c r="DG282" s="895">
        <v>1</v>
      </c>
      <c r="DH282" s="895">
        <v>12</v>
      </c>
      <c r="DI282" s="895">
        <v>1</v>
      </c>
      <c r="DJ282" s="895">
        <v>5</v>
      </c>
      <c r="DK282" s="895">
        <v>4</v>
      </c>
      <c r="DL282" s="895">
        <v>1</v>
      </c>
      <c r="DM282" s="895">
        <v>0</v>
      </c>
      <c r="DN282" s="895">
        <v>0</v>
      </c>
      <c r="DO282" s="895">
        <v>0</v>
      </c>
      <c r="DP282" s="895">
        <v>24</v>
      </c>
      <c r="DQ282" s="792"/>
      <c r="DS282" s="121"/>
      <c r="DT282" s="121"/>
      <c r="DU282" s="74"/>
      <c r="DV282" s="74" t="s">
        <v>1289</v>
      </c>
      <c r="DW282" s="74">
        <v>0</v>
      </c>
      <c r="DX282" s="74">
        <v>1</v>
      </c>
      <c r="DY282" s="74">
        <v>26</v>
      </c>
      <c r="DZ282" s="74">
        <v>6</v>
      </c>
      <c r="EA282" s="74">
        <v>5</v>
      </c>
      <c r="EB282" s="74">
        <v>1</v>
      </c>
      <c r="EC282" s="74">
        <v>0</v>
      </c>
      <c r="ED282" s="74">
        <v>0</v>
      </c>
      <c r="EE282" s="74">
        <v>0</v>
      </c>
      <c r="EF282" s="74">
        <v>0</v>
      </c>
      <c r="EG282" s="74">
        <v>39</v>
      </c>
      <c r="EH282" s="74"/>
      <c r="EI282" s="74"/>
      <c r="EJ282" s="793"/>
      <c r="EK282" s="793"/>
      <c r="EL282" s="793"/>
      <c r="EM282" s="793" t="s">
        <v>1289</v>
      </c>
      <c r="EN282" s="793">
        <v>0</v>
      </c>
      <c r="EO282" s="793">
        <v>0</v>
      </c>
      <c r="EP282" s="793">
        <v>5</v>
      </c>
      <c r="EQ282" s="793">
        <v>4</v>
      </c>
      <c r="ER282" s="793">
        <v>17</v>
      </c>
      <c r="ES282" s="793">
        <v>7</v>
      </c>
      <c r="ET282" s="793">
        <v>6</v>
      </c>
      <c r="EU282" s="793">
        <v>0</v>
      </c>
      <c r="EV282" s="793">
        <v>0</v>
      </c>
      <c r="EW282" s="793">
        <v>0</v>
      </c>
      <c r="EX282" s="793">
        <v>0</v>
      </c>
      <c r="EY282" s="794">
        <v>39</v>
      </c>
      <c r="EZ282" s="793"/>
      <c r="FA282" s="795"/>
    </row>
    <row r="283" spans="1:157">
      <c r="A283" s="73"/>
      <c r="B283" s="73"/>
      <c r="C283" s="738"/>
      <c r="D283" s="738" t="s">
        <v>1292</v>
      </c>
      <c r="E283" s="3262"/>
      <c r="F283" s="3262">
        <v>0</v>
      </c>
      <c r="G283" s="3262"/>
      <c r="H283" s="3262">
        <v>0</v>
      </c>
      <c r="I283" s="3262">
        <v>0</v>
      </c>
      <c r="J283" s="3262">
        <v>0</v>
      </c>
      <c r="K283" s="3262">
        <v>0</v>
      </c>
      <c r="L283" s="3262">
        <v>8</v>
      </c>
      <c r="M283" s="4674">
        <v>1</v>
      </c>
      <c r="N283" s="4674"/>
      <c r="O283" s="4674">
        <v>9</v>
      </c>
      <c r="P283" s="73"/>
      <c r="R283" s="74"/>
      <c r="S283" s="74"/>
      <c r="T283" s="74"/>
      <c r="U283" s="761" t="s">
        <v>574</v>
      </c>
      <c r="V283" s="3230"/>
      <c r="W283" s="3230">
        <v>1</v>
      </c>
      <c r="X283" s="3230">
        <v>3</v>
      </c>
      <c r="Y283" s="3230"/>
      <c r="Z283" s="3230">
        <v>1</v>
      </c>
      <c r="AA283" s="3230">
        <v>1</v>
      </c>
      <c r="AB283" s="3230">
        <v>60</v>
      </c>
      <c r="AC283" s="3230">
        <v>2</v>
      </c>
      <c r="AD283" s="3230">
        <v>1</v>
      </c>
      <c r="AE283" s="729"/>
      <c r="AF283" s="729"/>
      <c r="AG283" s="729">
        <v>69</v>
      </c>
      <c r="AH283" s="4681">
        <f>+(AG281+AG282)/AG283</f>
        <v>0.37681159420289856</v>
      </c>
      <c r="AJ283" s="161"/>
      <c r="AK283" s="161"/>
      <c r="AL283" s="73"/>
      <c r="AM283" s="73" t="s">
        <v>1293</v>
      </c>
      <c r="AN283" s="2600"/>
      <c r="AO283" s="2600"/>
      <c r="AP283" s="2600"/>
      <c r="AQ283" s="2600"/>
      <c r="AR283" s="2600"/>
      <c r="AS283" s="2600"/>
      <c r="AT283" s="2600">
        <v>9</v>
      </c>
      <c r="AU283" s="2600"/>
      <c r="AV283" s="2600"/>
      <c r="AW283" s="161"/>
      <c r="AX283" s="161"/>
      <c r="AY283" s="161">
        <v>9</v>
      </c>
      <c r="AZ283" s="161"/>
      <c r="BB283" s="2191"/>
      <c r="BC283" s="2191"/>
      <c r="BD283" s="2192"/>
      <c r="BE283" s="2193" t="s">
        <v>1286</v>
      </c>
      <c r="BF283" s="2195">
        <v>1</v>
      </c>
      <c r="BG283" s="2195">
        <v>0</v>
      </c>
      <c r="BH283" s="2195">
        <v>0</v>
      </c>
      <c r="BI283" s="2194"/>
      <c r="BJ283" s="2194"/>
      <c r="BK283" s="2195">
        <v>0</v>
      </c>
      <c r="BL283" s="2195">
        <v>0</v>
      </c>
      <c r="BM283" s="2195">
        <v>0</v>
      </c>
      <c r="BN283" s="963"/>
      <c r="BO283" s="963"/>
      <c r="BP283" s="964">
        <v>1</v>
      </c>
      <c r="BQ283" s="73"/>
      <c r="BS283" s="879"/>
      <c r="BT283" s="879"/>
      <c r="BU283" s="880"/>
      <c r="BV283" s="907" t="s">
        <v>461</v>
      </c>
      <c r="BW283" s="909">
        <v>11</v>
      </c>
      <c r="BX283" s="909">
        <v>5</v>
      </c>
      <c r="BY283" s="909">
        <v>60</v>
      </c>
      <c r="BZ283" s="909">
        <v>13</v>
      </c>
      <c r="CA283" s="909">
        <v>2</v>
      </c>
      <c r="CB283" s="909">
        <v>147</v>
      </c>
      <c r="CC283" s="909">
        <v>38</v>
      </c>
      <c r="CD283" s="909">
        <v>24</v>
      </c>
      <c r="CE283" s="911">
        <v>2</v>
      </c>
      <c r="CF283" s="910"/>
      <c r="CG283" s="911">
        <v>302</v>
      </c>
      <c r="CH283" s="912">
        <f>+(CG278+CG281+CG282)/CG283</f>
        <v>0.30794701986754969</v>
      </c>
      <c r="DB283" s="892"/>
      <c r="DC283" s="892"/>
      <c r="DD283" s="892"/>
      <c r="DE283" s="893" t="s">
        <v>1292</v>
      </c>
      <c r="DF283" s="895">
        <v>0</v>
      </c>
      <c r="DG283" s="895">
        <v>0</v>
      </c>
      <c r="DH283" s="895">
        <v>0</v>
      </c>
      <c r="DI283" s="895">
        <v>3</v>
      </c>
      <c r="DJ283" s="895">
        <v>0</v>
      </c>
      <c r="DK283" s="895">
        <v>2</v>
      </c>
      <c r="DL283" s="895">
        <v>6</v>
      </c>
      <c r="DM283" s="895">
        <v>117</v>
      </c>
      <c r="DN283" s="895">
        <v>5</v>
      </c>
      <c r="DO283" s="895">
        <v>5</v>
      </c>
      <c r="DP283" s="895">
        <v>138</v>
      </c>
      <c r="DQ283" s="792"/>
      <c r="DS283" s="121"/>
      <c r="DT283" s="121"/>
      <c r="DU283" s="74"/>
      <c r="DV283" s="74" t="s">
        <v>1292</v>
      </c>
      <c r="DW283" s="74">
        <v>0</v>
      </c>
      <c r="DX283" s="74">
        <v>0</v>
      </c>
      <c r="DY283" s="74">
        <v>0</v>
      </c>
      <c r="DZ283" s="74">
        <v>1</v>
      </c>
      <c r="EA283" s="74">
        <v>0</v>
      </c>
      <c r="EB283" s="74">
        <v>0</v>
      </c>
      <c r="EC283" s="74">
        <v>2</v>
      </c>
      <c r="ED283" s="74">
        <v>65</v>
      </c>
      <c r="EE283" s="74">
        <v>1</v>
      </c>
      <c r="EF283" s="74">
        <v>8</v>
      </c>
      <c r="EG283" s="74">
        <v>77</v>
      </c>
      <c r="EH283" s="74"/>
      <c r="EI283" s="74"/>
      <c r="EJ283" s="793"/>
      <c r="EK283" s="793"/>
      <c r="EL283" s="793"/>
      <c r="EM283" s="793" t="s">
        <v>1292</v>
      </c>
      <c r="EN283" s="793">
        <v>0</v>
      </c>
      <c r="EO283" s="793">
        <v>0</v>
      </c>
      <c r="EP283" s="793">
        <v>0</v>
      </c>
      <c r="EQ283" s="793">
        <v>0</v>
      </c>
      <c r="ER283" s="793">
        <v>0</v>
      </c>
      <c r="ES283" s="793">
        <v>1</v>
      </c>
      <c r="ET283" s="793">
        <v>3</v>
      </c>
      <c r="EU283" s="793">
        <v>40</v>
      </c>
      <c r="EV283" s="793">
        <v>134</v>
      </c>
      <c r="EW283" s="793">
        <v>6</v>
      </c>
      <c r="EX283" s="793">
        <v>3</v>
      </c>
      <c r="EY283" s="794">
        <v>187</v>
      </c>
      <c r="EZ283" s="793"/>
      <c r="FA283" s="795"/>
    </row>
    <row r="284" spans="1:157">
      <c r="A284" s="73"/>
      <c r="B284" s="73"/>
      <c r="C284" s="738"/>
      <c r="D284" s="738" t="s">
        <v>1293</v>
      </c>
      <c r="E284" s="3262"/>
      <c r="F284" s="3262">
        <v>0</v>
      </c>
      <c r="G284" s="3262"/>
      <c r="H284" s="3262">
        <v>0</v>
      </c>
      <c r="I284" s="3262">
        <v>3</v>
      </c>
      <c r="J284" s="3262">
        <v>1</v>
      </c>
      <c r="K284" s="3262">
        <v>7</v>
      </c>
      <c r="L284" s="3262">
        <v>2</v>
      </c>
      <c r="M284" s="4674">
        <v>0</v>
      </c>
      <c r="N284" s="4674"/>
      <c r="O284" s="4674">
        <v>13</v>
      </c>
      <c r="P284" s="73"/>
      <c r="R284" s="74"/>
      <c r="S284" s="74"/>
      <c r="T284" s="74" t="s">
        <v>461</v>
      </c>
      <c r="U284" s="74" t="s">
        <v>1283</v>
      </c>
      <c r="V284" s="3229"/>
      <c r="W284" s="3229">
        <v>0</v>
      </c>
      <c r="X284" s="3229">
        <v>0</v>
      </c>
      <c r="Y284" s="3229">
        <v>0</v>
      </c>
      <c r="Z284" s="3229">
        <v>0</v>
      </c>
      <c r="AA284" s="3229">
        <v>1</v>
      </c>
      <c r="AB284" s="3229">
        <v>0</v>
      </c>
      <c r="AC284" s="3229">
        <v>1</v>
      </c>
      <c r="AD284" s="3229">
        <v>0</v>
      </c>
      <c r="AE284" s="121"/>
      <c r="AF284" s="121"/>
      <c r="AG284" s="121">
        <v>2</v>
      </c>
      <c r="AJ284" s="161"/>
      <c r="AK284" s="161"/>
      <c r="AL284" s="73"/>
      <c r="AM284" s="73" t="s">
        <v>1398</v>
      </c>
      <c r="AN284" s="2600"/>
      <c r="AO284" s="2600"/>
      <c r="AP284" s="2600"/>
      <c r="AQ284" s="2600"/>
      <c r="AR284" s="2600"/>
      <c r="AS284" s="2600"/>
      <c r="AT284" s="2600">
        <v>4</v>
      </c>
      <c r="AU284" s="2600"/>
      <c r="AV284" s="2600"/>
      <c r="AW284" s="161"/>
      <c r="AX284" s="161"/>
      <c r="AY284" s="161">
        <v>4</v>
      </c>
      <c r="AZ284" s="161"/>
      <c r="BB284" s="2191"/>
      <c r="BC284" s="2191"/>
      <c r="BD284" s="2192"/>
      <c r="BE284" s="2193" t="s">
        <v>1288</v>
      </c>
      <c r="BF284" s="2195">
        <v>0</v>
      </c>
      <c r="BG284" s="2195">
        <v>0</v>
      </c>
      <c r="BH284" s="2195">
        <v>0</v>
      </c>
      <c r="BI284" s="2194"/>
      <c r="BJ284" s="2194"/>
      <c r="BK284" s="2195">
        <v>3</v>
      </c>
      <c r="BL284" s="2195">
        <v>0</v>
      </c>
      <c r="BM284" s="2195">
        <v>0</v>
      </c>
      <c r="BN284" s="963"/>
      <c r="BO284" s="963"/>
      <c r="BP284" s="964">
        <v>3</v>
      </c>
      <c r="BQ284" s="73"/>
      <c r="BS284" s="879" t="s">
        <v>59</v>
      </c>
      <c r="BT284" s="879" t="s">
        <v>16</v>
      </c>
      <c r="BU284" s="880" t="s">
        <v>709</v>
      </c>
      <c r="BV284" s="881" t="s">
        <v>1284</v>
      </c>
      <c r="BW284" s="883">
        <v>0</v>
      </c>
      <c r="BX284" s="883">
        <v>0</v>
      </c>
      <c r="BY284" s="882"/>
      <c r="BZ284" s="882"/>
      <c r="CA284" s="882"/>
      <c r="CB284" s="883">
        <v>5</v>
      </c>
      <c r="CC284" s="883">
        <v>0</v>
      </c>
      <c r="CD284" s="882"/>
      <c r="CE284" s="879"/>
      <c r="CF284" s="879"/>
      <c r="CG284" s="884">
        <v>5</v>
      </c>
      <c r="CH284" s="161"/>
      <c r="DB284" s="892"/>
      <c r="DC284" s="892"/>
      <c r="DD284" s="892"/>
      <c r="DE284" s="893" t="s">
        <v>1293</v>
      </c>
      <c r="DF284" s="895">
        <v>0</v>
      </c>
      <c r="DG284" s="895">
        <v>0</v>
      </c>
      <c r="DH284" s="895">
        <v>6</v>
      </c>
      <c r="DI284" s="895">
        <v>5</v>
      </c>
      <c r="DJ284" s="895">
        <v>3</v>
      </c>
      <c r="DK284" s="895">
        <v>12</v>
      </c>
      <c r="DL284" s="895">
        <v>7</v>
      </c>
      <c r="DM284" s="895">
        <v>1</v>
      </c>
      <c r="DN284" s="895">
        <v>0</v>
      </c>
      <c r="DO284" s="895">
        <v>0</v>
      </c>
      <c r="DP284" s="895">
        <v>34</v>
      </c>
      <c r="DQ284" s="792"/>
      <c r="DS284" s="121"/>
      <c r="DT284" s="121"/>
      <c r="DU284" s="74"/>
      <c r="DV284" s="74" t="s">
        <v>1293</v>
      </c>
      <c r="DW284" s="74">
        <v>0</v>
      </c>
      <c r="DX284" s="74">
        <v>0</v>
      </c>
      <c r="DY284" s="74">
        <v>2</v>
      </c>
      <c r="DZ284" s="74">
        <v>2</v>
      </c>
      <c r="EA284" s="74">
        <v>0</v>
      </c>
      <c r="EB284" s="74">
        <v>25</v>
      </c>
      <c r="EC284" s="74">
        <v>9</v>
      </c>
      <c r="ED284" s="74">
        <v>1</v>
      </c>
      <c r="EE284" s="74">
        <v>0</v>
      </c>
      <c r="EF284" s="74">
        <v>0</v>
      </c>
      <c r="EG284" s="74">
        <v>39</v>
      </c>
      <c r="EH284" s="74"/>
      <c r="EI284" s="74"/>
      <c r="EJ284" s="793"/>
      <c r="EK284" s="793"/>
      <c r="EL284" s="793"/>
      <c r="EM284" s="793" t="s">
        <v>1293</v>
      </c>
      <c r="EN284" s="793">
        <v>0</v>
      </c>
      <c r="EO284" s="793">
        <v>0</v>
      </c>
      <c r="EP284" s="793">
        <v>0</v>
      </c>
      <c r="EQ284" s="793">
        <v>3</v>
      </c>
      <c r="ER284" s="793">
        <v>0</v>
      </c>
      <c r="ES284" s="793">
        <v>1</v>
      </c>
      <c r="ET284" s="793">
        <v>20</v>
      </c>
      <c r="EU284" s="793">
        <v>7</v>
      </c>
      <c r="EV284" s="793">
        <v>0</v>
      </c>
      <c r="EW284" s="793">
        <v>0</v>
      </c>
      <c r="EX284" s="793">
        <v>0</v>
      </c>
      <c r="EY284" s="794">
        <v>31</v>
      </c>
      <c r="EZ284" s="793"/>
      <c r="FA284" s="795"/>
    </row>
    <row r="285" spans="1:157">
      <c r="A285" s="73"/>
      <c r="B285" s="73"/>
      <c r="C285" s="738"/>
      <c r="D285" s="738" t="s">
        <v>1398</v>
      </c>
      <c r="E285" s="3262"/>
      <c r="F285" s="3262">
        <v>0</v>
      </c>
      <c r="G285" s="3262"/>
      <c r="H285" s="3262">
        <v>0</v>
      </c>
      <c r="I285" s="3262">
        <v>0</v>
      </c>
      <c r="J285" s="3262">
        <v>6</v>
      </c>
      <c r="K285" s="3262">
        <v>2</v>
      </c>
      <c r="L285" s="3262">
        <v>0</v>
      </c>
      <c r="M285" s="4674">
        <v>0</v>
      </c>
      <c r="N285" s="4674"/>
      <c r="O285" s="4674">
        <v>8</v>
      </c>
      <c r="P285" s="73"/>
      <c r="R285" s="74"/>
      <c r="S285" s="74"/>
      <c r="T285" s="74"/>
      <c r="U285" s="74" t="s">
        <v>1284</v>
      </c>
      <c r="V285" s="3229"/>
      <c r="W285" s="3229">
        <v>3</v>
      </c>
      <c r="X285" s="3229">
        <v>5</v>
      </c>
      <c r="Y285" s="3229">
        <v>1</v>
      </c>
      <c r="Z285" s="3229">
        <v>2</v>
      </c>
      <c r="AA285" s="3229">
        <v>3</v>
      </c>
      <c r="AB285" s="3229">
        <v>86</v>
      </c>
      <c r="AC285" s="3229">
        <v>11</v>
      </c>
      <c r="AD285" s="3229">
        <v>3</v>
      </c>
      <c r="AE285" s="121"/>
      <c r="AF285" s="121"/>
      <c r="AG285" s="121">
        <v>114</v>
      </c>
      <c r="AJ285" s="161"/>
      <c r="AK285" s="161"/>
      <c r="AL285" s="73"/>
      <c r="AM285" s="738" t="s">
        <v>888</v>
      </c>
      <c r="AN285" s="2601"/>
      <c r="AO285" s="2601"/>
      <c r="AP285" s="2601"/>
      <c r="AQ285" s="2601"/>
      <c r="AR285" s="2601"/>
      <c r="AS285" s="2601"/>
      <c r="AT285" s="2601">
        <v>25</v>
      </c>
      <c r="AU285" s="2601"/>
      <c r="AV285" s="2601"/>
      <c r="AW285" s="151"/>
      <c r="AX285" s="151"/>
      <c r="AY285" s="151">
        <v>25</v>
      </c>
      <c r="AZ285" s="912">
        <f>+(AY282+AY283+AY284)/AY285</f>
        <v>0.92</v>
      </c>
      <c r="BB285" s="2191"/>
      <c r="BC285" s="2191"/>
      <c r="BD285" s="2192"/>
      <c r="BE285" s="2193" t="s">
        <v>1289</v>
      </c>
      <c r="BF285" s="2195">
        <v>0</v>
      </c>
      <c r="BG285" s="2195">
        <v>1</v>
      </c>
      <c r="BH285" s="2195">
        <v>1</v>
      </c>
      <c r="BI285" s="2194"/>
      <c r="BJ285" s="2194"/>
      <c r="BK285" s="2195">
        <v>0</v>
      </c>
      <c r="BL285" s="2195">
        <v>0</v>
      </c>
      <c r="BM285" s="2195">
        <v>0</v>
      </c>
      <c r="BN285" s="963"/>
      <c r="BO285" s="963"/>
      <c r="BP285" s="964">
        <v>2</v>
      </c>
      <c r="BQ285" s="73"/>
      <c r="BS285" s="879"/>
      <c r="BT285" s="879"/>
      <c r="BU285" s="880"/>
      <c r="BV285" s="881" t="s">
        <v>1286</v>
      </c>
      <c r="BW285" s="883">
        <v>1</v>
      </c>
      <c r="BX285" s="883">
        <v>1</v>
      </c>
      <c r="BY285" s="882"/>
      <c r="BZ285" s="882"/>
      <c r="CA285" s="882"/>
      <c r="CB285" s="883">
        <v>0</v>
      </c>
      <c r="CC285" s="883">
        <v>0</v>
      </c>
      <c r="CD285" s="882"/>
      <c r="CE285" s="879"/>
      <c r="CF285" s="879"/>
      <c r="CG285" s="884">
        <v>2</v>
      </c>
      <c r="CH285" s="161"/>
      <c r="DB285" s="892"/>
      <c r="DC285" s="892"/>
      <c r="DD285" s="892"/>
      <c r="DE285" s="893" t="s">
        <v>1398</v>
      </c>
      <c r="DF285" s="895">
        <v>0</v>
      </c>
      <c r="DG285" s="895">
        <v>0</v>
      </c>
      <c r="DH285" s="895">
        <v>15</v>
      </c>
      <c r="DI285" s="895">
        <v>2</v>
      </c>
      <c r="DJ285" s="895">
        <v>3</v>
      </c>
      <c r="DK285" s="895">
        <v>22</v>
      </c>
      <c r="DL285" s="895">
        <v>21</v>
      </c>
      <c r="DM285" s="895">
        <v>1</v>
      </c>
      <c r="DN285" s="895">
        <v>0</v>
      </c>
      <c r="DO285" s="895">
        <v>0</v>
      </c>
      <c r="DP285" s="895">
        <v>64</v>
      </c>
      <c r="DQ285" s="792"/>
      <c r="DS285" s="121"/>
      <c r="DT285" s="121"/>
      <c r="DU285" s="74"/>
      <c r="DV285" s="74" t="s">
        <v>1398</v>
      </c>
      <c r="DW285" s="74">
        <v>0</v>
      </c>
      <c r="DX285" s="74">
        <v>0</v>
      </c>
      <c r="DY285" s="74">
        <v>11</v>
      </c>
      <c r="DZ285" s="74">
        <v>2</v>
      </c>
      <c r="EA285" s="74">
        <v>1</v>
      </c>
      <c r="EB285" s="74">
        <v>27</v>
      </c>
      <c r="EC285" s="74">
        <v>12</v>
      </c>
      <c r="ED285" s="74">
        <v>1</v>
      </c>
      <c r="EE285" s="74">
        <v>0</v>
      </c>
      <c r="EF285" s="74">
        <v>0</v>
      </c>
      <c r="EG285" s="74">
        <v>54</v>
      </c>
      <c r="EH285" s="74"/>
      <c r="EI285" s="74"/>
      <c r="EJ285" s="793"/>
      <c r="EK285" s="793"/>
      <c r="EL285" s="793"/>
      <c r="EM285" s="793" t="s">
        <v>1398</v>
      </c>
      <c r="EN285" s="793">
        <v>0</v>
      </c>
      <c r="EO285" s="793">
        <v>0</v>
      </c>
      <c r="EP285" s="793">
        <v>0</v>
      </c>
      <c r="EQ285" s="793">
        <v>7</v>
      </c>
      <c r="ER285" s="793">
        <v>0</v>
      </c>
      <c r="ES285" s="793">
        <v>3</v>
      </c>
      <c r="ET285" s="793">
        <v>57</v>
      </c>
      <c r="EU285" s="793">
        <v>16</v>
      </c>
      <c r="EV285" s="793">
        <v>3</v>
      </c>
      <c r="EW285" s="793">
        <v>0</v>
      </c>
      <c r="EX285" s="793">
        <v>0</v>
      </c>
      <c r="EY285" s="794">
        <v>86</v>
      </c>
      <c r="EZ285" s="793"/>
      <c r="FA285" s="795"/>
    </row>
    <row r="286" spans="1:157" ht="15.75" thickBot="1">
      <c r="A286" s="73"/>
      <c r="B286" s="73"/>
      <c r="C286" s="738"/>
      <c r="D286" s="738" t="s">
        <v>575</v>
      </c>
      <c r="E286" s="3262"/>
      <c r="F286" s="3262">
        <v>3</v>
      </c>
      <c r="G286" s="3262"/>
      <c r="H286" s="3262">
        <v>1</v>
      </c>
      <c r="I286" s="3262">
        <v>7</v>
      </c>
      <c r="J286" s="3262">
        <v>25</v>
      </c>
      <c r="K286" s="3262">
        <v>24</v>
      </c>
      <c r="L286" s="3262">
        <v>16</v>
      </c>
      <c r="M286" s="4674">
        <v>1</v>
      </c>
      <c r="N286" s="4674"/>
      <c r="O286" s="4674">
        <v>77</v>
      </c>
      <c r="P286" s="912">
        <f>+(O285+O284+O282)/O286</f>
        <v>0.4935064935064935</v>
      </c>
      <c r="Q286" s="3197"/>
      <c r="R286" s="74"/>
      <c r="S286" s="74"/>
      <c r="T286" s="74"/>
      <c r="U286" s="74" t="s">
        <v>1286</v>
      </c>
      <c r="V286" s="3229"/>
      <c r="W286" s="3229">
        <v>1</v>
      </c>
      <c r="X286" s="3229">
        <v>0</v>
      </c>
      <c r="Y286" s="3229">
        <v>1</v>
      </c>
      <c r="Z286" s="3229">
        <v>0</v>
      </c>
      <c r="AA286" s="3229">
        <v>0</v>
      </c>
      <c r="AB286" s="3229">
        <v>0</v>
      </c>
      <c r="AC286" s="3229">
        <v>0</v>
      </c>
      <c r="AD286" s="3229">
        <v>0</v>
      </c>
      <c r="AE286" s="121"/>
      <c r="AF286" s="121"/>
      <c r="AG286" s="121">
        <v>2</v>
      </c>
      <c r="AJ286" s="161"/>
      <c r="AK286" s="161"/>
      <c r="AL286" s="73" t="s">
        <v>461</v>
      </c>
      <c r="AM286" s="73" t="s">
        <v>1284</v>
      </c>
      <c r="AN286" s="2600"/>
      <c r="AO286" s="2600">
        <v>4</v>
      </c>
      <c r="AP286" s="2600">
        <v>4</v>
      </c>
      <c r="AQ286" s="2600">
        <v>13</v>
      </c>
      <c r="AR286" s="2600">
        <v>1</v>
      </c>
      <c r="AS286" s="2600">
        <v>1</v>
      </c>
      <c r="AT286" s="2600">
        <v>109</v>
      </c>
      <c r="AU286" s="2600">
        <v>14</v>
      </c>
      <c r="AV286" s="2600">
        <v>2</v>
      </c>
      <c r="AW286" s="161">
        <v>0</v>
      </c>
      <c r="AX286" s="161"/>
      <c r="AY286" s="161">
        <v>148</v>
      </c>
      <c r="AZ286" s="161"/>
      <c r="BB286" s="2191"/>
      <c r="BC286" s="2191"/>
      <c r="BD286" s="2192"/>
      <c r="BE286" s="2193" t="s">
        <v>1293</v>
      </c>
      <c r="BF286" s="2195">
        <v>0</v>
      </c>
      <c r="BG286" s="2195">
        <v>0</v>
      </c>
      <c r="BH286" s="2195">
        <v>0</v>
      </c>
      <c r="BI286" s="2194"/>
      <c r="BJ286" s="2194"/>
      <c r="BK286" s="2195">
        <v>3</v>
      </c>
      <c r="BL286" s="2195">
        <v>0</v>
      </c>
      <c r="BM286" s="2195">
        <v>0</v>
      </c>
      <c r="BN286" s="963"/>
      <c r="BO286" s="963"/>
      <c r="BP286" s="964">
        <v>3</v>
      </c>
      <c r="BQ286" s="73"/>
      <c r="BS286" s="879"/>
      <c r="BT286" s="879"/>
      <c r="BU286" s="880"/>
      <c r="BV286" s="881" t="s">
        <v>1289</v>
      </c>
      <c r="BW286" s="883">
        <v>0</v>
      </c>
      <c r="BX286" s="883">
        <v>0</v>
      </c>
      <c r="BY286" s="882"/>
      <c r="BZ286" s="882"/>
      <c r="CA286" s="882"/>
      <c r="CB286" s="883">
        <v>0</v>
      </c>
      <c r="CC286" s="883">
        <v>1</v>
      </c>
      <c r="CD286" s="882"/>
      <c r="CE286" s="879"/>
      <c r="CF286" s="879"/>
      <c r="CG286" s="884">
        <v>1</v>
      </c>
      <c r="CH286" s="161"/>
      <c r="DB286" s="915"/>
      <c r="DC286" s="915"/>
      <c r="DD286" s="915"/>
      <c r="DE286" s="916" t="s">
        <v>114</v>
      </c>
      <c r="DF286" s="918">
        <v>1</v>
      </c>
      <c r="DG286" s="918">
        <v>4</v>
      </c>
      <c r="DH286" s="918">
        <v>72</v>
      </c>
      <c r="DI286" s="918">
        <v>24</v>
      </c>
      <c r="DJ286" s="918">
        <v>16</v>
      </c>
      <c r="DK286" s="918">
        <v>143</v>
      </c>
      <c r="DL286" s="918">
        <v>133</v>
      </c>
      <c r="DM286" s="918">
        <v>141</v>
      </c>
      <c r="DN286" s="918">
        <v>14</v>
      </c>
      <c r="DO286" s="918">
        <v>18</v>
      </c>
      <c r="DP286" s="918">
        <v>566</v>
      </c>
      <c r="DQ286" s="919">
        <f>+(DP285+DP284+DP281-DN281)/DP286</f>
        <v>0.33745583038869259</v>
      </c>
      <c r="DS286" s="768"/>
      <c r="DT286" s="768"/>
      <c r="DU286" s="821"/>
      <c r="DV286" s="821" t="s">
        <v>15</v>
      </c>
      <c r="DW286" s="821">
        <v>3</v>
      </c>
      <c r="DX286" s="821">
        <v>10</v>
      </c>
      <c r="DY286" s="821">
        <v>48</v>
      </c>
      <c r="DZ286" s="821">
        <v>13</v>
      </c>
      <c r="EA286" s="821">
        <v>10</v>
      </c>
      <c r="EB286" s="821">
        <v>170</v>
      </c>
      <c r="EC286" s="821">
        <v>98</v>
      </c>
      <c r="ED286" s="821">
        <v>99</v>
      </c>
      <c r="EE286" s="821">
        <v>3</v>
      </c>
      <c r="EF286" s="821">
        <v>10</v>
      </c>
      <c r="EG286" s="821">
        <v>464</v>
      </c>
      <c r="EH286" s="859">
        <f>+(EG281+EG284+EG285)/EG286</f>
        <v>0.33620689655172414</v>
      </c>
      <c r="EI286" s="74"/>
      <c r="EJ286" s="793"/>
      <c r="EK286" s="793"/>
      <c r="EL286" s="793"/>
      <c r="EM286" s="816" t="s">
        <v>15</v>
      </c>
      <c r="EN286" s="816">
        <v>1</v>
      </c>
      <c r="EO286" s="816">
        <v>3</v>
      </c>
      <c r="EP286" s="816">
        <v>13</v>
      </c>
      <c r="EQ286" s="816">
        <v>35</v>
      </c>
      <c r="ER286" s="816">
        <v>29</v>
      </c>
      <c r="ES286" s="816">
        <v>13</v>
      </c>
      <c r="ET286" s="816">
        <v>208</v>
      </c>
      <c r="EU286" s="816">
        <v>102</v>
      </c>
      <c r="EV286" s="816">
        <v>157</v>
      </c>
      <c r="EW286" s="816">
        <v>9</v>
      </c>
      <c r="EX286" s="816">
        <v>8</v>
      </c>
      <c r="EY286" s="817">
        <v>578</v>
      </c>
      <c r="EZ286" s="860">
        <f>+(EY285+EY284+EY281-EW281)/EY286</f>
        <v>0.32006920415224915</v>
      </c>
      <c r="FA286" s="861">
        <f>+EY281+EY284+EY285-EW281</f>
        <v>185</v>
      </c>
    </row>
    <row r="287" spans="1:157">
      <c r="A287" s="73"/>
      <c r="B287" s="73" t="s">
        <v>21</v>
      </c>
      <c r="C287" s="73" t="s">
        <v>144</v>
      </c>
      <c r="D287" s="73" t="s">
        <v>1283</v>
      </c>
      <c r="E287" s="3261"/>
      <c r="F287" s="3261">
        <v>0</v>
      </c>
      <c r="G287" s="3261"/>
      <c r="H287" s="3261"/>
      <c r="I287" s="3261"/>
      <c r="J287" s="3261">
        <v>1</v>
      </c>
      <c r="K287" s="3261">
        <v>1</v>
      </c>
      <c r="L287" s="3261"/>
      <c r="M287" s="161"/>
      <c r="N287" s="161"/>
      <c r="O287" s="161">
        <v>2</v>
      </c>
      <c r="P287" s="73"/>
      <c r="R287" s="74"/>
      <c r="S287" s="74"/>
      <c r="T287" s="74"/>
      <c r="U287" s="74" t="s">
        <v>1288</v>
      </c>
      <c r="V287" s="3229"/>
      <c r="W287" s="3229">
        <v>0</v>
      </c>
      <c r="X287" s="3229">
        <v>0</v>
      </c>
      <c r="Y287" s="3229">
        <v>0</v>
      </c>
      <c r="Z287" s="3229">
        <v>0</v>
      </c>
      <c r="AA287" s="3229">
        <v>0</v>
      </c>
      <c r="AB287" s="3229">
        <v>13</v>
      </c>
      <c r="AC287" s="3229">
        <v>3</v>
      </c>
      <c r="AD287" s="3229">
        <v>0</v>
      </c>
      <c r="AE287" s="121"/>
      <c r="AF287" s="121"/>
      <c r="AG287" s="121">
        <v>16</v>
      </c>
      <c r="AJ287" s="161"/>
      <c r="AK287" s="161"/>
      <c r="AL287" s="73"/>
      <c r="AM287" s="73" t="s">
        <v>1286</v>
      </c>
      <c r="AN287" s="2600"/>
      <c r="AO287" s="2600">
        <v>1</v>
      </c>
      <c r="AP287" s="2600">
        <v>0</v>
      </c>
      <c r="AQ287" s="2600">
        <v>0</v>
      </c>
      <c r="AR287" s="2600">
        <v>0</v>
      </c>
      <c r="AS287" s="2600">
        <v>0</v>
      </c>
      <c r="AT287" s="2600">
        <v>0</v>
      </c>
      <c r="AU287" s="2600">
        <v>0</v>
      </c>
      <c r="AV287" s="2600">
        <v>0</v>
      </c>
      <c r="AW287" s="161">
        <v>0</v>
      </c>
      <c r="AX287" s="161"/>
      <c r="AY287" s="161">
        <v>1</v>
      </c>
      <c r="AZ287" s="161"/>
      <c r="BB287" s="2191"/>
      <c r="BC287" s="2191"/>
      <c r="BD287" s="2192"/>
      <c r="BE287" s="2193" t="s">
        <v>1398</v>
      </c>
      <c r="BF287" s="2195">
        <v>0</v>
      </c>
      <c r="BG287" s="2195">
        <v>0</v>
      </c>
      <c r="BH287" s="2195">
        <v>0</v>
      </c>
      <c r="BI287" s="2194"/>
      <c r="BJ287" s="2194"/>
      <c r="BK287" s="2195">
        <v>2</v>
      </c>
      <c r="BL287" s="2195">
        <v>0</v>
      </c>
      <c r="BM287" s="2195">
        <v>0</v>
      </c>
      <c r="BN287" s="963"/>
      <c r="BO287" s="963"/>
      <c r="BP287" s="964">
        <v>2</v>
      </c>
      <c r="BQ287" s="73"/>
      <c r="BS287" s="879"/>
      <c r="BT287" s="879"/>
      <c r="BU287" s="880"/>
      <c r="BV287" s="881" t="s">
        <v>1292</v>
      </c>
      <c r="BW287" s="883">
        <v>0</v>
      </c>
      <c r="BX287" s="883">
        <v>0</v>
      </c>
      <c r="BY287" s="882"/>
      <c r="BZ287" s="882"/>
      <c r="CA287" s="882"/>
      <c r="CB287" s="883">
        <v>0</v>
      </c>
      <c r="CC287" s="883">
        <v>1</v>
      </c>
      <c r="CD287" s="882"/>
      <c r="CE287" s="879"/>
      <c r="CF287" s="879"/>
      <c r="CG287" s="884">
        <v>1</v>
      </c>
      <c r="CH287" s="161"/>
      <c r="DB287" s="788" t="s">
        <v>1401</v>
      </c>
      <c r="DS287" s="74" t="s">
        <v>1359</v>
      </c>
      <c r="DT287" s="121"/>
      <c r="DU287" s="74"/>
      <c r="DV287" s="74"/>
      <c r="DW287" s="74"/>
      <c r="DX287" s="74"/>
      <c r="DY287" s="74"/>
      <c r="DZ287" s="74"/>
      <c r="EA287" s="74"/>
      <c r="EB287" s="74"/>
      <c r="EC287" s="74"/>
      <c r="ED287" s="74"/>
      <c r="EE287" s="74"/>
      <c r="EF287" s="74"/>
      <c r="EG287" s="74"/>
      <c r="EH287" s="74"/>
      <c r="EI287" s="74"/>
      <c r="EJ287" s="793"/>
      <c r="EK287" s="793"/>
      <c r="EL287" s="793"/>
      <c r="EM287" s="793"/>
      <c r="EN287" s="793"/>
      <c r="EO287" s="793"/>
      <c r="EP287" s="793"/>
      <c r="EQ287" s="793"/>
      <c r="ER287" s="793"/>
      <c r="ES287" s="793"/>
      <c r="ET287" s="793"/>
      <c r="EU287" s="793"/>
      <c r="EV287" s="793"/>
      <c r="EW287" s="793"/>
      <c r="EX287" s="793"/>
      <c r="EY287" s="794"/>
      <c r="EZ287" s="793"/>
      <c r="FA287" s="793"/>
    </row>
    <row r="288" spans="1:157">
      <c r="A288" s="73"/>
      <c r="B288" s="73"/>
      <c r="C288" s="73"/>
      <c r="D288" s="73" t="s">
        <v>1284</v>
      </c>
      <c r="E288" s="3261"/>
      <c r="F288" s="3261">
        <v>1</v>
      </c>
      <c r="G288" s="3261"/>
      <c r="H288" s="3261"/>
      <c r="I288" s="3261"/>
      <c r="J288" s="3261">
        <v>3</v>
      </c>
      <c r="K288" s="3261">
        <v>0</v>
      </c>
      <c r="L288" s="3261"/>
      <c r="M288" s="161"/>
      <c r="N288" s="161"/>
      <c r="O288" s="161">
        <v>4</v>
      </c>
      <c r="P288" s="73"/>
      <c r="R288" s="74"/>
      <c r="S288" s="74"/>
      <c r="T288" s="74"/>
      <c r="U288" s="74" t="s">
        <v>1289</v>
      </c>
      <c r="V288" s="3229"/>
      <c r="W288" s="3229">
        <v>0</v>
      </c>
      <c r="X288" s="3229">
        <v>0</v>
      </c>
      <c r="Y288" s="3229">
        <v>0</v>
      </c>
      <c r="Z288" s="3229">
        <v>1</v>
      </c>
      <c r="AA288" s="3229">
        <v>0</v>
      </c>
      <c r="AB288" s="3229">
        <v>0</v>
      </c>
      <c r="AC288" s="3229">
        <v>0</v>
      </c>
      <c r="AD288" s="3229">
        <v>0</v>
      </c>
      <c r="AE288" s="121"/>
      <c r="AF288" s="121"/>
      <c r="AG288" s="121">
        <v>1</v>
      </c>
      <c r="AJ288" s="161"/>
      <c r="AK288" s="161"/>
      <c r="AL288" s="73"/>
      <c r="AM288" s="73" t="s">
        <v>1288</v>
      </c>
      <c r="AN288" s="2600"/>
      <c r="AO288" s="2600">
        <v>0</v>
      </c>
      <c r="AP288" s="2600">
        <v>0</v>
      </c>
      <c r="AQ288" s="2600">
        <v>3</v>
      </c>
      <c r="AR288" s="2600">
        <v>3</v>
      </c>
      <c r="AS288" s="2600">
        <v>0</v>
      </c>
      <c r="AT288" s="2600">
        <v>23</v>
      </c>
      <c r="AU288" s="2600">
        <v>1</v>
      </c>
      <c r="AV288" s="2600">
        <v>1</v>
      </c>
      <c r="AW288" s="161">
        <v>0</v>
      </c>
      <c r="AX288" s="161"/>
      <c r="AY288" s="161">
        <v>31</v>
      </c>
      <c r="AZ288" s="161"/>
      <c r="BB288" s="2191"/>
      <c r="BC288" s="2191"/>
      <c r="BD288" s="2192"/>
      <c r="BE288" s="760" t="s">
        <v>15</v>
      </c>
      <c r="BF288" s="2197">
        <v>1</v>
      </c>
      <c r="BG288" s="2197">
        <v>1</v>
      </c>
      <c r="BH288" s="2197">
        <v>1</v>
      </c>
      <c r="BI288" s="2196"/>
      <c r="BJ288" s="2196"/>
      <c r="BK288" s="2197">
        <v>18</v>
      </c>
      <c r="BL288" s="2197">
        <v>1</v>
      </c>
      <c r="BM288" s="2197">
        <v>1</v>
      </c>
      <c r="BN288" s="972"/>
      <c r="BO288" s="972"/>
      <c r="BP288" s="973">
        <v>23</v>
      </c>
      <c r="BQ288" s="2154">
        <f>+(BP284+BP286+BP287)/BP288</f>
        <v>0.34782608695652173</v>
      </c>
      <c r="BS288" s="879"/>
      <c r="BT288" s="879"/>
      <c r="BU288" s="880"/>
      <c r="BV288" s="881" t="s">
        <v>1398</v>
      </c>
      <c r="BW288" s="883">
        <v>0</v>
      </c>
      <c r="BX288" s="883">
        <v>0</v>
      </c>
      <c r="BY288" s="882"/>
      <c r="BZ288" s="882"/>
      <c r="CA288" s="882"/>
      <c r="CB288" s="883">
        <v>3</v>
      </c>
      <c r="CC288" s="883">
        <v>1</v>
      </c>
      <c r="CD288" s="882"/>
      <c r="CE288" s="879"/>
      <c r="CF288" s="879"/>
      <c r="CG288" s="884">
        <v>4</v>
      </c>
      <c r="CH288" s="161"/>
      <c r="DB288" s="930" t="s">
        <v>1402</v>
      </c>
      <c r="DS288" s="121"/>
      <c r="DT288" s="121"/>
      <c r="DU288" s="74"/>
      <c r="DV288" s="74"/>
      <c r="DW288" s="74"/>
      <c r="DX288" s="74"/>
      <c r="DY288" s="74"/>
      <c r="DZ288" s="74"/>
      <c r="EA288" s="74"/>
      <c r="EB288" s="74"/>
      <c r="EC288" s="74"/>
      <c r="ED288" s="74"/>
      <c r="EE288" s="74"/>
      <c r="EF288" s="74"/>
      <c r="EG288" s="74"/>
      <c r="EH288" s="74"/>
      <c r="EI288" s="74"/>
      <c r="EJ288" s="793"/>
      <c r="EK288" s="793"/>
      <c r="EL288" s="793"/>
      <c r="EM288" s="793"/>
      <c r="EN288" s="793"/>
      <c r="EO288" s="793"/>
      <c r="EP288" s="793"/>
      <c r="EQ288" s="793"/>
      <c r="ER288" s="793"/>
      <c r="ES288" s="793"/>
      <c r="ET288" s="793"/>
      <c r="EU288" s="793"/>
      <c r="EV288" s="793"/>
      <c r="EW288" s="793"/>
      <c r="EX288" s="793"/>
      <c r="EY288" s="794"/>
      <c r="EZ288" s="793"/>
      <c r="FA288" s="793"/>
    </row>
    <row r="289" spans="1:157">
      <c r="A289" s="73"/>
      <c r="B289" s="73"/>
      <c r="C289" s="73"/>
      <c r="D289" s="73" t="s">
        <v>1288</v>
      </c>
      <c r="E289" s="3261"/>
      <c r="F289" s="3261">
        <v>0</v>
      </c>
      <c r="G289" s="3261"/>
      <c r="H289" s="3261"/>
      <c r="I289" s="3261"/>
      <c r="J289" s="3261">
        <v>9</v>
      </c>
      <c r="K289" s="3261">
        <v>0</v>
      </c>
      <c r="L289" s="3261"/>
      <c r="M289" s="161"/>
      <c r="N289" s="161"/>
      <c r="O289" s="161">
        <v>9</v>
      </c>
      <c r="P289" s="73"/>
      <c r="R289" s="74"/>
      <c r="S289" s="74"/>
      <c r="T289" s="74"/>
      <c r="U289" s="74" t="s">
        <v>1292</v>
      </c>
      <c r="V289" s="3229"/>
      <c r="W289" s="3229">
        <v>0</v>
      </c>
      <c r="X289" s="3229">
        <v>0</v>
      </c>
      <c r="Y289" s="3229">
        <v>0</v>
      </c>
      <c r="Z289" s="3229">
        <v>0</v>
      </c>
      <c r="AA289" s="3229">
        <v>0</v>
      </c>
      <c r="AB289" s="3229">
        <v>0</v>
      </c>
      <c r="AC289" s="3229">
        <v>1</v>
      </c>
      <c r="AD289" s="3229">
        <v>9</v>
      </c>
      <c r="AE289" s="121"/>
      <c r="AF289" s="121"/>
      <c r="AG289" s="121">
        <v>10</v>
      </c>
      <c r="AJ289" s="161"/>
      <c r="AK289" s="161"/>
      <c r="AL289" s="73"/>
      <c r="AM289" s="73" t="s">
        <v>1292</v>
      </c>
      <c r="AN289" s="2600"/>
      <c r="AO289" s="2600">
        <v>0</v>
      </c>
      <c r="AP289" s="2600">
        <v>0</v>
      </c>
      <c r="AQ289" s="2600">
        <v>0</v>
      </c>
      <c r="AR289" s="2600">
        <v>1</v>
      </c>
      <c r="AS289" s="2600">
        <v>0</v>
      </c>
      <c r="AT289" s="2600">
        <v>0</v>
      </c>
      <c r="AU289" s="2600">
        <v>0</v>
      </c>
      <c r="AV289" s="2600">
        <v>4</v>
      </c>
      <c r="AW289" s="161">
        <v>2</v>
      </c>
      <c r="AX289" s="161"/>
      <c r="AY289" s="161">
        <v>7</v>
      </c>
      <c r="AZ289" s="161"/>
      <c r="BB289" s="2191"/>
      <c r="BC289" s="2191"/>
      <c r="BD289" s="2192" t="s">
        <v>573</v>
      </c>
      <c r="BE289" s="2193" t="s">
        <v>1284</v>
      </c>
      <c r="BF289" s="2195">
        <v>0</v>
      </c>
      <c r="BG289" s="2195">
        <v>0</v>
      </c>
      <c r="BH289" s="2195">
        <v>0</v>
      </c>
      <c r="BI289" s="2194"/>
      <c r="BJ289" s="2194"/>
      <c r="BK289" s="2195">
        <v>10</v>
      </c>
      <c r="BL289" s="2195">
        <v>1</v>
      </c>
      <c r="BM289" s="2195">
        <v>1</v>
      </c>
      <c r="BN289" s="963"/>
      <c r="BO289" s="963"/>
      <c r="BP289" s="964">
        <v>12</v>
      </c>
      <c r="BQ289" s="73"/>
      <c r="BS289" s="879"/>
      <c r="BT289" s="879"/>
      <c r="BU289" s="880"/>
      <c r="BV289" s="907" t="s">
        <v>15</v>
      </c>
      <c r="BW289" s="909">
        <v>1</v>
      </c>
      <c r="BX289" s="909">
        <v>1</v>
      </c>
      <c r="BY289" s="908"/>
      <c r="BZ289" s="908"/>
      <c r="CA289" s="908"/>
      <c r="CB289" s="909">
        <v>8</v>
      </c>
      <c r="CC289" s="909">
        <v>3</v>
      </c>
      <c r="CD289" s="908"/>
      <c r="CE289" s="910"/>
      <c r="CF289" s="910"/>
      <c r="CG289" s="911">
        <v>13</v>
      </c>
      <c r="CH289" s="912">
        <f>+CG288/CG289</f>
        <v>0.30769230769230771</v>
      </c>
      <c r="DB289" s="892"/>
      <c r="DC289" s="892"/>
      <c r="DD289" s="892"/>
      <c r="DE289" s="893"/>
      <c r="DF289" s="894"/>
      <c r="DG289" s="895"/>
      <c r="DH289" s="895"/>
      <c r="DI289" s="895"/>
      <c r="DJ289" s="895"/>
      <c r="DK289" s="895"/>
      <c r="DL289" s="895"/>
      <c r="DM289" s="895"/>
      <c r="DN289" s="894"/>
      <c r="DO289" s="894"/>
      <c r="DP289" s="895"/>
      <c r="DS289" s="931" t="s">
        <v>1386</v>
      </c>
      <c r="DT289" s="121"/>
      <c r="DU289" s="74"/>
      <c r="DV289" s="74"/>
      <c r="DW289" s="74"/>
      <c r="DX289" s="74"/>
      <c r="DY289" s="74"/>
      <c r="DZ289" s="74"/>
      <c r="EA289" s="74"/>
      <c r="EB289" s="74"/>
      <c r="EC289" s="74"/>
      <c r="ED289" s="74"/>
      <c r="EE289" s="74"/>
      <c r="EF289" s="74"/>
      <c r="EG289" s="74"/>
      <c r="EH289" s="74"/>
      <c r="EI289" s="74"/>
      <c r="EJ289" s="793"/>
      <c r="EK289" s="793"/>
      <c r="EL289" s="864" t="s">
        <v>1386</v>
      </c>
      <c r="EM289" s="793"/>
      <c r="EN289" s="793"/>
      <c r="EO289" s="793"/>
      <c r="EP289" s="793"/>
      <c r="EQ289" s="793"/>
      <c r="ER289" s="793"/>
      <c r="ES289" s="793"/>
      <c r="ET289" s="793"/>
      <c r="EU289" s="793"/>
      <c r="EV289" s="793"/>
      <c r="EW289" s="793"/>
      <c r="EX289" s="793"/>
      <c r="EY289" s="794"/>
      <c r="EZ289" s="793"/>
      <c r="FA289" s="793"/>
    </row>
    <row r="290" spans="1:157">
      <c r="A290" s="73"/>
      <c r="B290" s="73"/>
      <c r="C290" s="73"/>
      <c r="D290" s="73" t="s">
        <v>1293</v>
      </c>
      <c r="E290" s="3261"/>
      <c r="F290" s="3261">
        <v>0</v>
      </c>
      <c r="G290" s="3261"/>
      <c r="H290" s="3261"/>
      <c r="I290" s="3261"/>
      <c r="J290" s="3261">
        <v>10</v>
      </c>
      <c r="K290" s="3261">
        <v>0</v>
      </c>
      <c r="L290" s="3261"/>
      <c r="M290" s="161"/>
      <c r="N290" s="161"/>
      <c r="O290" s="161">
        <v>10</v>
      </c>
      <c r="P290" s="73"/>
      <c r="R290" s="74"/>
      <c r="S290" s="74"/>
      <c r="T290" s="74"/>
      <c r="U290" s="74" t="s">
        <v>1293</v>
      </c>
      <c r="V290" s="3229"/>
      <c r="W290" s="3229">
        <v>0</v>
      </c>
      <c r="X290" s="3229">
        <v>0</v>
      </c>
      <c r="Y290" s="3229">
        <v>0</v>
      </c>
      <c r="Z290" s="3229">
        <v>0</v>
      </c>
      <c r="AA290" s="3229">
        <v>2</v>
      </c>
      <c r="AB290" s="3229">
        <v>45</v>
      </c>
      <c r="AC290" s="3229">
        <v>2</v>
      </c>
      <c r="AD290" s="3229">
        <v>0</v>
      </c>
      <c r="AE290" s="121"/>
      <c r="AF290" s="121"/>
      <c r="AG290" s="121">
        <v>49</v>
      </c>
      <c r="AJ290" s="161"/>
      <c r="AK290" s="161"/>
      <c r="AL290" s="73"/>
      <c r="AM290" s="73" t="s">
        <v>1293</v>
      </c>
      <c r="AN290" s="2600"/>
      <c r="AO290" s="2600">
        <v>0</v>
      </c>
      <c r="AP290" s="2600">
        <v>0</v>
      </c>
      <c r="AQ290" s="2600">
        <v>2</v>
      </c>
      <c r="AR290" s="2600">
        <v>1</v>
      </c>
      <c r="AS290" s="2600">
        <v>0</v>
      </c>
      <c r="AT290" s="2600">
        <v>30</v>
      </c>
      <c r="AU290" s="2600">
        <v>8</v>
      </c>
      <c r="AV290" s="2600">
        <v>1</v>
      </c>
      <c r="AW290" s="161">
        <v>0</v>
      </c>
      <c r="AX290" s="161"/>
      <c r="AY290" s="161">
        <v>42</v>
      </c>
      <c r="AZ290" s="161"/>
      <c r="BB290" s="2191"/>
      <c r="BC290" s="2191"/>
      <c r="BD290" s="2192"/>
      <c r="BE290" s="2193" t="s">
        <v>1286</v>
      </c>
      <c r="BF290" s="2195">
        <v>1</v>
      </c>
      <c r="BG290" s="2195">
        <v>0</v>
      </c>
      <c r="BH290" s="2195">
        <v>0</v>
      </c>
      <c r="BI290" s="2194"/>
      <c r="BJ290" s="2194"/>
      <c r="BK290" s="2195">
        <v>0</v>
      </c>
      <c r="BL290" s="2195">
        <v>0</v>
      </c>
      <c r="BM290" s="2195">
        <v>0</v>
      </c>
      <c r="BN290" s="963"/>
      <c r="BO290" s="963"/>
      <c r="BP290" s="964">
        <v>1</v>
      </c>
      <c r="BQ290" s="73"/>
      <c r="BS290" s="879"/>
      <c r="BT290" s="879"/>
      <c r="BU290" s="880" t="s">
        <v>573</v>
      </c>
      <c r="BV290" s="881" t="s">
        <v>1284</v>
      </c>
      <c r="BW290" s="883">
        <v>0</v>
      </c>
      <c r="BX290" s="883">
        <v>0</v>
      </c>
      <c r="BY290" s="882"/>
      <c r="BZ290" s="882"/>
      <c r="CA290" s="882"/>
      <c r="CB290" s="883">
        <v>5</v>
      </c>
      <c r="CC290" s="883">
        <v>0</v>
      </c>
      <c r="CD290" s="882"/>
      <c r="CE290" s="879"/>
      <c r="CF290" s="879"/>
      <c r="CG290" s="884">
        <v>5</v>
      </c>
      <c r="CH290" s="161"/>
      <c r="DB290" s="892"/>
      <c r="DC290" s="892"/>
      <c r="DD290" s="892"/>
      <c r="DE290" s="893"/>
      <c r="DF290" s="894"/>
      <c r="DG290" s="895"/>
      <c r="DH290" s="895"/>
      <c r="DI290" s="895"/>
      <c r="DJ290" s="895"/>
      <c r="DK290" s="895"/>
      <c r="DL290" s="895"/>
      <c r="DM290" s="895"/>
      <c r="DN290" s="894"/>
      <c r="DO290" s="894"/>
      <c r="DP290" s="895"/>
      <c r="DS290" s="931" t="s">
        <v>1402</v>
      </c>
      <c r="DT290" s="121"/>
      <c r="DU290" s="74"/>
      <c r="DV290" s="74"/>
      <c r="DW290" s="74"/>
      <c r="DX290" s="74"/>
      <c r="DY290" s="74"/>
      <c r="DZ290" s="74"/>
      <c r="EA290" s="74"/>
      <c r="EB290" s="74"/>
      <c r="EC290" s="74"/>
      <c r="ED290" s="74"/>
      <c r="EE290" s="74"/>
      <c r="EF290" s="74"/>
      <c r="EG290" s="74"/>
      <c r="EH290" s="74"/>
      <c r="EI290" s="74"/>
      <c r="EJ290" s="793"/>
      <c r="EK290" s="793"/>
      <c r="EL290" s="864" t="s">
        <v>1388</v>
      </c>
      <c r="EM290" s="793"/>
      <c r="EN290" s="793"/>
      <c r="EO290" s="793"/>
      <c r="EP290" s="793"/>
      <c r="EQ290" s="793"/>
      <c r="ER290" s="793"/>
      <c r="ES290" s="793"/>
      <c r="ET290" s="793"/>
      <c r="EU290" s="793"/>
      <c r="EV290" s="793"/>
      <c r="EW290" s="793"/>
      <c r="EX290" s="793"/>
      <c r="EY290" s="794"/>
      <c r="EZ290" s="793"/>
      <c r="FA290" s="793"/>
    </row>
    <row r="291" spans="1:157">
      <c r="A291" s="73"/>
      <c r="B291" s="73"/>
      <c r="C291" s="73"/>
      <c r="D291" s="73" t="s">
        <v>1398</v>
      </c>
      <c r="E291" s="3261"/>
      <c r="F291" s="3261">
        <v>0</v>
      </c>
      <c r="G291" s="3261"/>
      <c r="H291" s="3261"/>
      <c r="I291" s="3261"/>
      <c r="J291" s="3261">
        <v>1</v>
      </c>
      <c r="K291" s="3261">
        <v>0</v>
      </c>
      <c r="L291" s="3261"/>
      <c r="M291" s="161"/>
      <c r="N291" s="161"/>
      <c r="O291" s="161">
        <v>1</v>
      </c>
      <c r="P291" s="73"/>
      <c r="R291" s="74"/>
      <c r="S291" s="74"/>
      <c r="T291" s="74"/>
      <c r="U291" s="74" t="s">
        <v>1398</v>
      </c>
      <c r="V291" s="3229"/>
      <c r="W291" s="3229">
        <v>0</v>
      </c>
      <c r="X291" s="3229">
        <v>0</v>
      </c>
      <c r="Y291" s="3229">
        <v>0</v>
      </c>
      <c r="Z291" s="3229">
        <v>1</v>
      </c>
      <c r="AA291" s="3229">
        <v>2</v>
      </c>
      <c r="AB291" s="3229">
        <v>17</v>
      </c>
      <c r="AC291" s="3229">
        <v>1</v>
      </c>
      <c r="AD291" s="3229">
        <v>0</v>
      </c>
      <c r="AE291" s="121"/>
      <c r="AF291" s="121"/>
      <c r="AG291" s="121">
        <v>21</v>
      </c>
      <c r="AJ291" s="161"/>
      <c r="AK291" s="161"/>
      <c r="AL291" s="73"/>
      <c r="AM291" s="73" t="s">
        <v>1398</v>
      </c>
      <c r="AN291" s="2600"/>
      <c r="AO291" s="2600">
        <v>0</v>
      </c>
      <c r="AP291" s="2600">
        <v>0</v>
      </c>
      <c r="AQ291" s="2600">
        <v>11</v>
      </c>
      <c r="AR291" s="2600">
        <v>2</v>
      </c>
      <c r="AS291" s="2600">
        <v>0</v>
      </c>
      <c r="AT291" s="2600">
        <v>18</v>
      </c>
      <c r="AU291" s="2600">
        <v>7</v>
      </c>
      <c r="AV291" s="2600">
        <v>0</v>
      </c>
      <c r="AW291" s="161">
        <v>0</v>
      </c>
      <c r="AX291" s="161"/>
      <c r="AY291" s="161">
        <v>38</v>
      </c>
      <c r="AZ291" s="161"/>
      <c r="BB291" s="2191"/>
      <c r="BC291" s="2191"/>
      <c r="BD291" s="2192"/>
      <c r="BE291" s="2193" t="s">
        <v>1288</v>
      </c>
      <c r="BF291" s="2195">
        <v>0</v>
      </c>
      <c r="BG291" s="2195">
        <v>0</v>
      </c>
      <c r="BH291" s="2195">
        <v>0</v>
      </c>
      <c r="BI291" s="2194"/>
      <c r="BJ291" s="2194"/>
      <c r="BK291" s="2195">
        <v>3</v>
      </c>
      <c r="BL291" s="2195">
        <v>0</v>
      </c>
      <c r="BM291" s="2195">
        <v>0</v>
      </c>
      <c r="BN291" s="963"/>
      <c r="BO291" s="963"/>
      <c r="BP291" s="964">
        <v>3</v>
      </c>
      <c r="BQ291" s="73"/>
      <c r="BS291" s="879"/>
      <c r="BT291" s="879"/>
      <c r="BU291" s="880"/>
      <c r="BV291" s="881" t="s">
        <v>1286</v>
      </c>
      <c r="BW291" s="883">
        <v>1</v>
      </c>
      <c r="BX291" s="883">
        <v>1</v>
      </c>
      <c r="BY291" s="882"/>
      <c r="BZ291" s="882"/>
      <c r="CA291" s="882"/>
      <c r="CB291" s="883">
        <v>0</v>
      </c>
      <c r="CC291" s="883">
        <v>0</v>
      </c>
      <c r="CD291" s="882"/>
      <c r="CE291" s="879"/>
      <c r="CF291" s="879"/>
      <c r="CG291" s="884">
        <v>2</v>
      </c>
      <c r="CH291" s="161"/>
      <c r="DB291" s="892"/>
      <c r="DC291" s="892"/>
      <c r="DD291" s="892"/>
      <c r="DE291" s="902"/>
      <c r="DF291" s="903"/>
      <c r="DG291" s="904"/>
      <c r="DH291" s="904"/>
      <c r="DI291" s="904"/>
      <c r="DJ291" s="904"/>
      <c r="DK291" s="904"/>
      <c r="DL291" s="904"/>
      <c r="DM291" s="904"/>
      <c r="DN291" s="903"/>
      <c r="DO291" s="903"/>
      <c r="DP291" s="904"/>
      <c r="DS291" s="931" t="s">
        <v>1389</v>
      </c>
      <c r="DT291" s="121"/>
      <c r="DU291" s="74"/>
      <c r="DV291" s="74"/>
      <c r="DW291" s="74"/>
      <c r="DX291" s="74"/>
      <c r="DY291" s="74"/>
      <c r="DZ291" s="74"/>
      <c r="EA291" s="74"/>
      <c r="EB291" s="74"/>
      <c r="EC291" s="74"/>
      <c r="ED291" s="74"/>
      <c r="EE291" s="74"/>
      <c r="EF291" s="74"/>
      <c r="EG291" s="74"/>
      <c r="EH291" s="74"/>
      <c r="EI291" s="74"/>
      <c r="EJ291" s="793"/>
      <c r="EK291" s="793"/>
      <c r="EL291" s="864" t="s">
        <v>1360</v>
      </c>
      <c r="EM291" s="793"/>
      <c r="EN291" s="793"/>
      <c r="EO291" s="793"/>
      <c r="EP291" s="793"/>
      <c r="EQ291" s="793"/>
      <c r="ER291" s="793"/>
      <c r="ES291" s="793"/>
      <c r="ET291" s="793"/>
      <c r="EU291" s="793"/>
      <c r="EV291" s="793"/>
      <c r="EW291" s="793"/>
      <c r="EX291" s="793"/>
      <c r="EY291" s="794"/>
      <c r="EZ291" s="793"/>
      <c r="FA291" s="793"/>
    </row>
    <row r="292" spans="1:157">
      <c r="A292" s="73"/>
      <c r="B292" s="73"/>
      <c r="C292" s="73"/>
      <c r="D292" s="738" t="s">
        <v>15</v>
      </c>
      <c r="E292" s="3262"/>
      <c r="F292" s="3262">
        <v>1</v>
      </c>
      <c r="G292" s="3262"/>
      <c r="H292" s="3262"/>
      <c r="I292" s="3262"/>
      <c r="J292" s="3262">
        <v>24</v>
      </c>
      <c r="K292" s="3262">
        <v>1</v>
      </c>
      <c r="L292" s="3262"/>
      <c r="M292" s="4674"/>
      <c r="N292" s="4674"/>
      <c r="O292" s="4674">
        <v>26</v>
      </c>
      <c r="P292" s="912">
        <f>+(O291+O290+O289)/O292</f>
        <v>0.76923076923076927</v>
      </c>
      <c r="Q292" s="3197"/>
      <c r="R292" s="74"/>
      <c r="S292" s="74"/>
      <c r="T292" s="74"/>
      <c r="U292" s="761" t="s">
        <v>461</v>
      </c>
      <c r="V292" s="3230"/>
      <c r="W292" s="3230">
        <v>4</v>
      </c>
      <c r="X292" s="3230">
        <v>5</v>
      </c>
      <c r="Y292" s="3230">
        <v>2</v>
      </c>
      <c r="Z292" s="3230">
        <v>4</v>
      </c>
      <c r="AA292" s="3230">
        <v>8</v>
      </c>
      <c r="AB292" s="3230">
        <v>161</v>
      </c>
      <c r="AC292" s="3230">
        <v>19</v>
      </c>
      <c r="AD292" s="3230">
        <v>12</v>
      </c>
      <c r="AE292" s="729"/>
      <c r="AF292" s="729"/>
      <c r="AG292" s="729">
        <v>215</v>
      </c>
      <c r="AH292" s="4681">
        <f>+(AG287+AG290+AG291)/AG292</f>
        <v>0.4</v>
      </c>
      <c r="AJ292" s="161"/>
      <c r="AK292" s="161"/>
      <c r="AL292" s="73"/>
      <c r="AM292" s="738" t="s">
        <v>461</v>
      </c>
      <c r="AN292" s="2601"/>
      <c r="AO292" s="2601">
        <v>5</v>
      </c>
      <c r="AP292" s="2601">
        <v>4</v>
      </c>
      <c r="AQ292" s="2601">
        <v>29</v>
      </c>
      <c r="AR292" s="2601">
        <v>8</v>
      </c>
      <c r="AS292" s="2601">
        <v>1</v>
      </c>
      <c r="AT292" s="2601">
        <v>180</v>
      </c>
      <c r="AU292" s="2601">
        <v>30</v>
      </c>
      <c r="AV292" s="2601">
        <v>8</v>
      </c>
      <c r="AW292" s="151">
        <v>2</v>
      </c>
      <c r="AX292" s="151"/>
      <c r="AY292" s="151">
        <v>267</v>
      </c>
      <c r="AZ292" s="912">
        <f>+(AY288+AY290+AY291)/AY292</f>
        <v>0.4157303370786517</v>
      </c>
      <c r="BB292" s="2191"/>
      <c r="BC292" s="2191"/>
      <c r="BD292" s="2192"/>
      <c r="BE292" s="2193" t="s">
        <v>1289</v>
      </c>
      <c r="BF292" s="2195">
        <v>0</v>
      </c>
      <c r="BG292" s="2195">
        <v>1</v>
      </c>
      <c r="BH292" s="2195">
        <v>1</v>
      </c>
      <c r="BI292" s="2194"/>
      <c r="BJ292" s="2194"/>
      <c r="BK292" s="2195">
        <v>0</v>
      </c>
      <c r="BL292" s="2195">
        <v>0</v>
      </c>
      <c r="BM292" s="2195">
        <v>0</v>
      </c>
      <c r="BN292" s="963"/>
      <c r="BO292" s="963"/>
      <c r="BP292" s="964">
        <v>2</v>
      </c>
      <c r="BQ292" s="73"/>
      <c r="BS292" s="879"/>
      <c r="BT292" s="879"/>
      <c r="BU292" s="880"/>
      <c r="BV292" s="881" t="s">
        <v>1289</v>
      </c>
      <c r="BW292" s="883">
        <v>0</v>
      </c>
      <c r="BX292" s="883">
        <v>0</v>
      </c>
      <c r="BY292" s="882"/>
      <c r="BZ292" s="882"/>
      <c r="CA292" s="882"/>
      <c r="CB292" s="883">
        <v>0</v>
      </c>
      <c r="CC292" s="883">
        <v>1</v>
      </c>
      <c r="CD292" s="882"/>
      <c r="CE292" s="879"/>
      <c r="CF292" s="879"/>
      <c r="CG292" s="884">
        <v>1</v>
      </c>
      <c r="CH292" s="161"/>
      <c r="DS292" s="121"/>
      <c r="DT292" s="121"/>
      <c r="DU292" s="74"/>
      <c r="DV292" s="74"/>
      <c r="DW292" s="74"/>
      <c r="DX292" s="74"/>
      <c r="DY292" s="74"/>
      <c r="DZ292" s="74"/>
      <c r="EA292" s="74"/>
      <c r="EB292" s="74"/>
      <c r="EC292" s="74"/>
      <c r="ED292" s="74"/>
      <c r="EE292" s="74"/>
      <c r="EF292" s="74"/>
      <c r="EG292" s="74"/>
      <c r="EH292" s="74"/>
      <c r="EI292" s="74"/>
      <c r="EJ292" s="932"/>
      <c r="EK292" s="932"/>
      <c r="EL292" s="932"/>
      <c r="EM292" s="932"/>
      <c r="EN292" s="932"/>
      <c r="EO292" s="932"/>
      <c r="EP292" s="932"/>
      <c r="EQ292" s="932"/>
      <c r="ER292" s="932"/>
      <c r="ES292" s="932"/>
      <c r="ET292" s="932"/>
      <c r="EU292" s="932"/>
      <c r="EV292" s="932"/>
      <c r="EW292" s="932"/>
      <c r="EX292" s="932"/>
      <c r="EY292" s="933"/>
      <c r="EZ292" s="932"/>
      <c r="FA292" s="932"/>
    </row>
    <row r="293" spans="1:157">
      <c r="A293" s="73"/>
      <c r="B293" s="73"/>
      <c r="C293" s="738" t="s">
        <v>574</v>
      </c>
      <c r="D293" s="738" t="s">
        <v>1283</v>
      </c>
      <c r="E293" s="3262"/>
      <c r="F293" s="3262">
        <v>0</v>
      </c>
      <c r="G293" s="3262"/>
      <c r="H293" s="3262"/>
      <c r="I293" s="3262"/>
      <c r="J293" s="3262">
        <v>1</v>
      </c>
      <c r="K293" s="3262">
        <v>1</v>
      </c>
      <c r="L293" s="3262"/>
      <c r="M293" s="4674"/>
      <c r="N293" s="4674"/>
      <c r="O293" s="4674">
        <v>2</v>
      </c>
      <c r="P293" s="73"/>
      <c r="R293" s="74" t="s">
        <v>59</v>
      </c>
      <c r="S293" s="74" t="s">
        <v>16</v>
      </c>
      <c r="T293" s="74" t="s">
        <v>709</v>
      </c>
      <c r="U293" s="74" t="s">
        <v>1284</v>
      </c>
      <c r="V293" s="3229"/>
      <c r="W293" s="3229"/>
      <c r="X293" s="3229">
        <v>0</v>
      </c>
      <c r="Y293" s="3229"/>
      <c r="Z293" s="3229"/>
      <c r="AA293" s="3229">
        <v>0</v>
      </c>
      <c r="AB293" s="3229">
        <v>10</v>
      </c>
      <c r="AC293" s="3229">
        <v>5</v>
      </c>
      <c r="AD293" s="3229"/>
      <c r="AE293" s="121"/>
      <c r="AF293" s="121"/>
      <c r="AG293" s="121">
        <v>15</v>
      </c>
      <c r="AJ293" s="161" t="s">
        <v>59</v>
      </c>
      <c r="AK293" s="161" t="s">
        <v>16</v>
      </c>
      <c r="AL293" s="73" t="s">
        <v>709</v>
      </c>
      <c r="AM293" s="73" t="s">
        <v>1284</v>
      </c>
      <c r="AN293" s="2600"/>
      <c r="AO293" s="2600"/>
      <c r="AP293" s="2600"/>
      <c r="AQ293" s="2600"/>
      <c r="AR293" s="2600"/>
      <c r="AS293" s="2600"/>
      <c r="AT293" s="2600">
        <v>6</v>
      </c>
      <c r="AU293" s="2600"/>
      <c r="AV293" s="2600"/>
      <c r="AW293" s="161"/>
      <c r="AX293" s="161"/>
      <c r="AY293" s="161">
        <v>6</v>
      </c>
      <c r="AZ293" s="161"/>
      <c r="BB293" s="2191"/>
      <c r="BC293" s="2191"/>
      <c r="BD293" s="2192"/>
      <c r="BE293" s="2193" t="s">
        <v>1293</v>
      </c>
      <c r="BF293" s="2195">
        <v>0</v>
      </c>
      <c r="BG293" s="2195">
        <v>0</v>
      </c>
      <c r="BH293" s="2195">
        <v>0</v>
      </c>
      <c r="BI293" s="2194"/>
      <c r="BJ293" s="2194"/>
      <c r="BK293" s="2195">
        <v>3</v>
      </c>
      <c r="BL293" s="2195">
        <v>0</v>
      </c>
      <c r="BM293" s="2195">
        <v>0</v>
      </c>
      <c r="BN293" s="963"/>
      <c r="BO293" s="963"/>
      <c r="BP293" s="964">
        <v>3</v>
      </c>
      <c r="BQ293" s="73"/>
      <c r="BS293" s="879"/>
      <c r="BT293" s="879"/>
      <c r="BU293" s="880"/>
      <c r="BV293" s="881" t="s">
        <v>1292</v>
      </c>
      <c r="BW293" s="883">
        <v>0</v>
      </c>
      <c r="BX293" s="883">
        <v>0</v>
      </c>
      <c r="BY293" s="882"/>
      <c r="BZ293" s="882"/>
      <c r="CA293" s="882"/>
      <c r="CB293" s="883">
        <v>0</v>
      </c>
      <c r="CC293" s="883">
        <v>1</v>
      </c>
      <c r="CD293" s="882"/>
      <c r="CE293" s="879"/>
      <c r="CF293" s="879"/>
      <c r="CG293" s="884">
        <v>1</v>
      </c>
      <c r="CH293" s="161"/>
      <c r="DS293" s="121"/>
      <c r="DT293" s="121"/>
      <c r="DU293" s="74"/>
      <c r="DV293" s="74"/>
      <c r="DW293" s="74"/>
      <c r="DX293" s="74"/>
      <c r="DY293" s="74"/>
      <c r="DZ293" s="74"/>
      <c r="EA293" s="74"/>
      <c r="EB293" s="74"/>
      <c r="EC293" s="74"/>
      <c r="ED293" s="74"/>
      <c r="EE293" s="74"/>
      <c r="EF293" s="74"/>
      <c r="EG293" s="74"/>
      <c r="EH293" s="74"/>
      <c r="EI293" s="74"/>
      <c r="EJ293" s="932"/>
      <c r="EK293" s="932"/>
      <c r="EL293" s="932"/>
      <c r="EM293" s="932"/>
      <c r="EN293" s="932"/>
      <c r="EO293" s="932"/>
      <c r="EP293" s="932"/>
      <c r="EQ293" s="932"/>
      <c r="ER293" s="932"/>
      <c r="ES293" s="932"/>
      <c r="ET293" s="932"/>
      <c r="EU293" s="932"/>
      <c r="EV293" s="932"/>
      <c r="EW293" s="932"/>
      <c r="EX293" s="932"/>
      <c r="EY293" s="933"/>
      <c r="EZ293" s="932"/>
      <c r="FA293" s="932"/>
    </row>
    <row r="294" spans="1:157">
      <c r="A294" s="73"/>
      <c r="B294" s="73"/>
      <c r="C294" s="738"/>
      <c r="D294" s="738" t="s">
        <v>1284</v>
      </c>
      <c r="E294" s="3262"/>
      <c r="F294" s="3262">
        <v>1</v>
      </c>
      <c r="G294" s="3262"/>
      <c r="H294" s="3262"/>
      <c r="I294" s="3262"/>
      <c r="J294" s="3262">
        <v>3</v>
      </c>
      <c r="K294" s="3262">
        <v>0</v>
      </c>
      <c r="L294" s="3262"/>
      <c r="M294" s="4674"/>
      <c r="N294" s="4674"/>
      <c r="O294" s="4674">
        <v>4</v>
      </c>
      <c r="P294" s="73"/>
      <c r="R294" s="74"/>
      <c r="S294" s="74"/>
      <c r="T294" s="74"/>
      <c r="U294" s="74" t="s">
        <v>1288</v>
      </c>
      <c r="V294" s="3229"/>
      <c r="W294" s="3229"/>
      <c r="X294" s="3229">
        <v>0</v>
      </c>
      <c r="Y294" s="3229"/>
      <c r="Z294" s="3229"/>
      <c r="AA294" s="3229">
        <v>0</v>
      </c>
      <c r="AB294" s="3229">
        <v>2</v>
      </c>
      <c r="AC294" s="3229">
        <v>0</v>
      </c>
      <c r="AD294" s="3229"/>
      <c r="AE294" s="121"/>
      <c r="AF294" s="121"/>
      <c r="AG294" s="121">
        <v>2</v>
      </c>
      <c r="AJ294" s="161"/>
      <c r="AK294" s="161"/>
      <c r="AL294" s="73"/>
      <c r="AM294" s="73" t="s">
        <v>1288</v>
      </c>
      <c r="AN294" s="2600"/>
      <c r="AO294" s="2600"/>
      <c r="AP294" s="2600"/>
      <c r="AQ294" s="2600"/>
      <c r="AR294" s="2600"/>
      <c r="AS294" s="2600"/>
      <c r="AT294" s="2600">
        <v>2</v>
      </c>
      <c r="AU294" s="2600"/>
      <c r="AV294" s="2600"/>
      <c r="AW294" s="161"/>
      <c r="AX294" s="161"/>
      <c r="AY294" s="161">
        <v>2</v>
      </c>
      <c r="AZ294" s="161"/>
      <c r="BB294" s="2191"/>
      <c r="BC294" s="2191"/>
      <c r="BD294" s="2192"/>
      <c r="BE294" s="2193" t="s">
        <v>1398</v>
      </c>
      <c r="BF294" s="2195">
        <v>0</v>
      </c>
      <c r="BG294" s="2195">
        <v>0</v>
      </c>
      <c r="BH294" s="2195">
        <v>0</v>
      </c>
      <c r="BI294" s="2194"/>
      <c r="BJ294" s="2194"/>
      <c r="BK294" s="2195">
        <v>2</v>
      </c>
      <c r="BL294" s="2195">
        <v>0</v>
      </c>
      <c r="BM294" s="2195">
        <v>0</v>
      </c>
      <c r="BN294" s="963"/>
      <c r="BO294" s="963"/>
      <c r="BP294" s="964">
        <v>2</v>
      </c>
      <c r="BQ294" s="73"/>
      <c r="BS294" s="879"/>
      <c r="BT294" s="879"/>
      <c r="BU294" s="880"/>
      <c r="BV294" s="881" t="s">
        <v>1398</v>
      </c>
      <c r="BW294" s="883">
        <v>0</v>
      </c>
      <c r="BX294" s="883">
        <v>0</v>
      </c>
      <c r="BY294" s="882"/>
      <c r="BZ294" s="882"/>
      <c r="CA294" s="882"/>
      <c r="CB294" s="883">
        <v>3</v>
      </c>
      <c r="CC294" s="883">
        <v>1</v>
      </c>
      <c r="CD294" s="882"/>
      <c r="CE294" s="879"/>
      <c r="CF294" s="879"/>
      <c r="CG294" s="884">
        <v>4</v>
      </c>
      <c r="CH294" s="161"/>
      <c r="EI294" s="74"/>
      <c r="EJ294" s="932"/>
      <c r="EK294" s="932"/>
      <c r="EL294" s="932"/>
      <c r="EM294" s="932"/>
      <c r="EN294" s="932"/>
      <c r="EO294" s="932"/>
      <c r="EP294" s="932"/>
      <c r="EQ294" s="932"/>
      <c r="ER294" s="932"/>
      <c r="ES294" s="932"/>
      <c r="ET294" s="932"/>
      <c r="EU294" s="932"/>
      <c r="EV294" s="932"/>
      <c r="EW294" s="932"/>
      <c r="EX294" s="932"/>
      <c r="EY294" s="933"/>
      <c r="EZ294" s="932"/>
      <c r="FA294" s="932"/>
    </row>
    <row r="295" spans="1:157">
      <c r="A295" s="73"/>
      <c r="B295" s="73"/>
      <c r="C295" s="738"/>
      <c r="D295" s="738" t="s">
        <v>1288</v>
      </c>
      <c r="E295" s="3262"/>
      <c r="F295" s="3262">
        <v>0</v>
      </c>
      <c r="G295" s="3262"/>
      <c r="H295" s="3262"/>
      <c r="I295" s="3262"/>
      <c r="J295" s="3262">
        <v>9</v>
      </c>
      <c r="K295" s="3262">
        <v>0</v>
      </c>
      <c r="L295" s="3262"/>
      <c r="M295" s="4674"/>
      <c r="N295" s="4674"/>
      <c r="O295" s="4674">
        <v>9</v>
      </c>
      <c r="P295" s="73"/>
      <c r="R295" s="74"/>
      <c r="S295" s="74"/>
      <c r="T295" s="74"/>
      <c r="U295" s="74" t="s">
        <v>1289</v>
      </c>
      <c r="V295" s="3229"/>
      <c r="W295" s="3229"/>
      <c r="X295" s="3229">
        <v>1</v>
      </c>
      <c r="Y295" s="3229"/>
      <c r="Z295" s="3229"/>
      <c r="AA295" s="3229">
        <v>1</v>
      </c>
      <c r="AB295" s="3229">
        <v>0</v>
      </c>
      <c r="AC295" s="3229">
        <v>0</v>
      </c>
      <c r="AD295" s="3229"/>
      <c r="AE295" s="121"/>
      <c r="AF295" s="121"/>
      <c r="AG295" s="121">
        <v>2</v>
      </c>
      <c r="AJ295" s="161"/>
      <c r="AK295" s="161"/>
      <c r="AL295" s="73"/>
      <c r="AM295" s="73" t="s">
        <v>1289</v>
      </c>
      <c r="AN295" s="2600"/>
      <c r="AO295" s="2600"/>
      <c r="AP295" s="2600"/>
      <c r="AQ295" s="2600"/>
      <c r="AR295" s="2600"/>
      <c r="AS295" s="2600"/>
      <c r="AT295" s="2600">
        <v>1</v>
      </c>
      <c r="AU295" s="2600"/>
      <c r="AV295" s="2600"/>
      <c r="AW295" s="161"/>
      <c r="AX295" s="161"/>
      <c r="AY295" s="161">
        <v>1</v>
      </c>
      <c r="AZ295" s="161"/>
      <c r="BB295" s="2191"/>
      <c r="BC295" s="2191"/>
      <c r="BD295" s="2192"/>
      <c r="BE295" s="760" t="s">
        <v>573</v>
      </c>
      <c r="BF295" s="2197">
        <v>1</v>
      </c>
      <c r="BG295" s="2197">
        <v>1</v>
      </c>
      <c r="BH295" s="2197">
        <v>1</v>
      </c>
      <c r="BI295" s="2196"/>
      <c r="BJ295" s="2196"/>
      <c r="BK295" s="2197">
        <v>18</v>
      </c>
      <c r="BL295" s="2197">
        <v>1</v>
      </c>
      <c r="BM295" s="2197">
        <v>1</v>
      </c>
      <c r="BN295" s="972"/>
      <c r="BO295" s="972"/>
      <c r="BP295" s="973">
        <v>23</v>
      </c>
      <c r="BQ295" s="2154">
        <f>+(BP291+BP293+BP294)/BP295</f>
        <v>0.34782608695652173</v>
      </c>
      <c r="BS295" s="879"/>
      <c r="BT295" s="879"/>
      <c r="BU295" s="880"/>
      <c r="BV295" s="907" t="s">
        <v>573</v>
      </c>
      <c r="BW295" s="909">
        <v>1</v>
      </c>
      <c r="BX295" s="909">
        <v>1</v>
      </c>
      <c r="BY295" s="908"/>
      <c r="BZ295" s="908"/>
      <c r="CA295" s="908"/>
      <c r="CB295" s="909">
        <v>8</v>
      </c>
      <c r="CC295" s="909">
        <v>3</v>
      </c>
      <c r="CD295" s="908"/>
      <c r="CE295" s="910"/>
      <c r="CF295" s="910"/>
      <c r="CG295" s="911">
        <v>13</v>
      </c>
      <c r="CH295" s="912">
        <f>+CG294/CG295</f>
        <v>0.30769230769230771</v>
      </c>
      <c r="EI295" s="74"/>
    </row>
    <row r="296" spans="1:157">
      <c r="A296" s="73"/>
      <c r="B296" s="73"/>
      <c r="C296" s="738"/>
      <c r="D296" s="738" t="s">
        <v>1293</v>
      </c>
      <c r="E296" s="3262"/>
      <c r="F296" s="3262">
        <v>0</v>
      </c>
      <c r="G296" s="3262"/>
      <c r="H296" s="3262"/>
      <c r="I296" s="3262"/>
      <c r="J296" s="3262">
        <v>10</v>
      </c>
      <c r="K296" s="3262">
        <v>0</v>
      </c>
      <c r="L296" s="3262"/>
      <c r="M296" s="4674"/>
      <c r="N296" s="4674"/>
      <c r="O296" s="4674">
        <v>10</v>
      </c>
      <c r="P296" s="73"/>
      <c r="R296" s="74"/>
      <c r="S296" s="74"/>
      <c r="T296" s="74"/>
      <c r="U296" s="74" t="s">
        <v>1292</v>
      </c>
      <c r="V296" s="3229"/>
      <c r="W296" s="3229"/>
      <c r="X296" s="3229">
        <v>0</v>
      </c>
      <c r="Y296" s="3229"/>
      <c r="Z296" s="3229"/>
      <c r="AA296" s="3229">
        <v>0</v>
      </c>
      <c r="AB296" s="3229">
        <v>0</v>
      </c>
      <c r="AC296" s="3229">
        <v>1</v>
      </c>
      <c r="AD296" s="3229"/>
      <c r="AE296" s="121"/>
      <c r="AF296" s="121"/>
      <c r="AG296" s="121">
        <v>1</v>
      </c>
      <c r="AJ296" s="161"/>
      <c r="AK296" s="161"/>
      <c r="AL296" s="73"/>
      <c r="AM296" s="73" t="s">
        <v>1293</v>
      </c>
      <c r="AN296" s="2600"/>
      <c r="AO296" s="2600"/>
      <c r="AP296" s="2600"/>
      <c r="AQ296" s="2600"/>
      <c r="AR296" s="2600"/>
      <c r="AS296" s="2600"/>
      <c r="AT296" s="2600">
        <v>2</v>
      </c>
      <c r="AU296" s="2600"/>
      <c r="AV296" s="2600"/>
      <c r="AW296" s="161"/>
      <c r="AX296" s="161"/>
      <c r="AY296" s="161">
        <v>2</v>
      </c>
      <c r="AZ296" s="161"/>
      <c r="BB296" s="2191"/>
      <c r="BC296" s="2191" t="s">
        <v>869</v>
      </c>
      <c r="BD296" s="2192" t="s">
        <v>870</v>
      </c>
      <c r="BE296" s="2193" t="s">
        <v>1283</v>
      </c>
      <c r="BF296" s="2195">
        <v>0</v>
      </c>
      <c r="BG296" s="2194"/>
      <c r="BH296" s="2194"/>
      <c r="BI296" s="2194"/>
      <c r="BJ296" s="2194"/>
      <c r="BK296" s="2195">
        <v>1</v>
      </c>
      <c r="BL296" s="2195">
        <v>0</v>
      </c>
      <c r="BM296" s="2194"/>
      <c r="BN296" s="963"/>
      <c r="BO296" s="963"/>
      <c r="BP296" s="964">
        <v>1</v>
      </c>
      <c r="BQ296" s="73"/>
      <c r="BS296" s="879"/>
      <c r="BT296" s="879" t="s">
        <v>869</v>
      </c>
      <c r="BU296" s="880" t="s">
        <v>870</v>
      </c>
      <c r="BV296" s="881" t="s">
        <v>1283</v>
      </c>
      <c r="BW296" s="882"/>
      <c r="BX296" s="883">
        <v>0</v>
      </c>
      <c r="BY296" s="882"/>
      <c r="BZ296" s="882"/>
      <c r="CA296" s="882"/>
      <c r="CB296" s="883">
        <v>1</v>
      </c>
      <c r="CC296" s="882"/>
      <c r="CD296" s="882"/>
      <c r="CE296" s="879"/>
      <c r="CF296" s="879"/>
      <c r="CG296" s="884">
        <v>1</v>
      </c>
      <c r="CH296" s="161"/>
      <c r="EI296" s="74"/>
    </row>
    <row r="297" spans="1:157">
      <c r="A297" s="73"/>
      <c r="B297" s="73"/>
      <c r="C297" s="738"/>
      <c r="D297" s="738" t="s">
        <v>1398</v>
      </c>
      <c r="E297" s="3262"/>
      <c r="F297" s="3262">
        <v>0</v>
      </c>
      <c r="G297" s="3262"/>
      <c r="H297" s="3262"/>
      <c r="I297" s="3262"/>
      <c r="J297" s="3262">
        <v>1</v>
      </c>
      <c r="K297" s="3262">
        <v>0</v>
      </c>
      <c r="L297" s="3262"/>
      <c r="M297" s="4674"/>
      <c r="N297" s="4674"/>
      <c r="O297" s="4674">
        <v>1</v>
      </c>
      <c r="P297" s="73"/>
      <c r="R297" s="74"/>
      <c r="S297" s="74"/>
      <c r="T297" s="74"/>
      <c r="U297" s="74" t="s">
        <v>1293</v>
      </c>
      <c r="V297" s="3229"/>
      <c r="W297" s="3229"/>
      <c r="X297" s="3229">
        <v>0</v>
      </c>
      <c r="Y297" s="3229"/>
      <c r="Z297" s="3229"/>
      <c r="AA297" s="3229">
        <v>0</v>
      </c>
      <c r="AB297" s="3229">
        <v>1</v>
      </c>
      <c r="AC297" s="3229">
        <v>0</v>
      </c>
      <c r="AD297" s="3229"/>
      <c r="AE297" s="121"/>
      <c r="AF297" s="121"/>
      <c r="AG297" s="121">
        <v>1</v>
      </c>
      <c r="AJ297" s="161"/>
      <c r="AK297" s="161"/>
      <c r="AL297" s="73"/>
      <c r="AM297" s="73" t="s">
        <v>1398</v>
      </c>
      <c r="AN297" s="2600"/>
      <c r="AO297" s="2600"/>
      <c r="AP297" s="2600"/>
      <c r="AQ297" s="2600"/>
      <c r="AR297" s="2600"/>
      <c r="AS297" s="2600"/>
      <c r="AT297" s="2600">
        <v>1</v>
      </c>
      <c r="AU297" s="2600"/>
      <c r="AV297" s="2600"/>
      <c r="AW297" s="161"/>
      <c r="AX297" s="161"/>
      <c r="AY297" s="161">
        <v>1</v>
      </c>
      <c r="AZ297" s="161"/>
      <c r="BB297" s="2191"/>
      <c r="BC297" s="2191"/>
      <c r="BD297" s="2192"/>
      <c r="BE297" s="2193" t="s">
        <v>1284</v>
      </c>
      <c r="BF297" s="2195">
        <v>1</v>
      </c>
      <c r="BG297" s="2194"/>
      <c r="BH297" s="2194"/>
      <c r="BI297" s="2194"/>
      <c r="BJ297" s="2194"/>
      <c r="BK297" s="2195">
        <v>0</v>
      </c>
      <c r="BL297" s="2195">
        <v>0</v>
      </c>
      <c r="BM297" s="2194"/>
      <c r="BN297" s="963"/>
      <c r="BO297" s="963"/>
      <c r="BP297" s="964">
        <v>1</v>
      </c>
      <c r="BQ297" s="73"/>
      <c r="BS297" s="879"/>
      <c r="BT297" s="879"/>
      <c r="BU297" s="880"/>
      <c r="BV297" s="881" t="s">
        <v>1284</v>
      </c>
      <c r="BW297" s="882"/>
      <c r="BX297" s="883">
        <v>1</v>
      </c>
      <c r="BY297" s="882"/>
      <c r="BZ297" s="882"/>
      <c r="CA297" s="882"/>
      <c r="CB297" s="883">
        <v>2</v>
      </c>
      <c r="CC297" s="882"/>
      <c r="CD297" s="882"/>
      <c r="CE297" s="879"/>
      <c r="CF297" s="879"/>
      <c r="CG297" s="884">
        <v>3</v>
      </c>
      <c r="CH297" s="161"/>
      <c r="EI297" s="74"/>
    </row>
    <row r="298" spans="1:157">
      <c r="A298" s="73"/>
      <c r="B298" s="73"/>
      <c r="C298" s="738"/>
      <c r="D298" s="738" t="s">
        <v>574</v>
      </c>
      <c r="E298" s="3262"/>
      <c r="F298" s="3262">
        <v>1</v>
      </c>
      <c r="G298" s="3262"/>
      <c r="H298" s="3262"/>
      <c r="I298" s="3262"/>
      <c r="J298" s="3262">
        <v>24</v>
      </c>
      <c r="K298" s="3262">
        <v>1</v>
      </c>
      <c r="L298" s="3262"/>
      <c r="M298" s="4674"/>
      <c r="N298" s="4674"/>
      <c r="O298" s="4674">
        <v>26</v>
      </c>
      <c r="P298" s="912">
        <f>+(O297+O296+O295)/O298</f>
        <v>0.76923076923076927</v>
      </c>
      <c r="Q298" s="3197"/>
      <c r="R298" s="74"/>
      <c r="S298" s="74"/>
      <c r="T298" s="74"/>
      <c r="U298" s="761" t="s">
        <v>15</v>
      </c>
      <c r="V298" s="3230"/>
      <c r="W298" s="3230"/>
      <c r="X298" s="3230">
        <v>1</v>
      </c>
      <c r="Y298" s="3230"/>
      <c r="Z298" s="3230"/>
      <c r="AA298" s="3230">
        <v>1</v>
      </c>
      <c r="AB298" s="3230">
        <v>13</v>
      </c>
      <c r="AC298" s="3230">
        <v>6</v>
      </c>
      <c r="AD298" s="3230"/>
      <c r="AE298" s="729"/>
      <c r="AF298" s="729"/>
      <c r="AG298" s="729">
        <v>21</v>
      </c>
      <c r="AH298" s="4681">
        <f>+(AG294+AG297)/AG298</f>
        <v>0.14285714285714285</v>
      </c>
      <c r="AJ298" s="161"/>
      <c r="AK298" s="161"/>
      <c r="AL298" s="73"/>
      <c r="AM298" s="738" t="s">
        <v>15</v>
      </c>
      <c r="AN298" s="2601"/>
      <c r="AO298" s="2601"/>
      <c r="AP298" s="2601"/>
      <c r="AQ298" s="2601"/>
      <c r="AR298" s="2601"/>
      <c r="AS298" s="2601"/>
      <c r="AT298" s="2601">
        <v>12</v>
      </c>
      <c r="AU298" s="2601"/>
      <c r="AV298" s="2601"/>
      <c r="AW298" s="151"/>
      <c r="AX298" s="151"/>
      <c r="AY298" s="151">
        <v>12</v>
      </c>
      <c r="AZ298" s="912">
        <f>+(AY294+AY296+AY297)/AY298</f>
        <v>0.41666666666666669</v>
      </c>
      <c r="BB298" s="2191"/>
      <c r="BC298" s="2191"/>
      <c r="BD298" s="2192"/>
      <c r="BE298" s="2193" t="s">
        <v>1288</v>
      </c>
      <c r="BF298" s="2195">
        <v>0</v>
      </c>
      <c r="BG298" s="2194"/>
      <c r="BH298" s="2194"/>
      <c r="BI298" s="2194"/>
      <c r="BJ298" s="2194"/>
      <c r="BK298" s="2195">
        <v>7</v>
      </c>
      <c r="BL298" s="2195">
        <v>2</v>
      </c>
      <c r="BM298" s="2194"/>
      <c r="BN298" s="963"/>
      <c r="BO298" s="963"/>
      <c r="BP298" s="964">
        <v>9</v>
      </c>
      <c r="BQ298" s="73"/>
      <c r="BS298" s="879"/>
      <c r="BT298" s="879"/>
      <c r="BU298" s="880"/>
      <c r="BV298" s="881" t="s">
        <v>1288</v>
      </c>
      <c r="BW298" s="882"/>
      <c r="BX298" s="883">
        <v>0</v>
      </c>
      <c r="BY298" s="882"/>
      <c r="BZ298" s="882"/>
      <c r="CA298" s="882"/>
      <c r="CB298" s="883">
        <v>6</v>
      </c>
      <c r="CC298" s="882"/>
      <c r="CD298" s="882"/>
      <c r="CE298" s="879"/>
      <c r="CF298" s="879"/>
      <c r="CG298" s="884">
        <v>6</v>
      </c>
      <c r="CH298" s="161"/>
    </row>
    <row r="299" spans="1:157">
      <c r="A299" s="73"/>
      <c r="B299" s="73"/>
      <c r="C299" s="738" t="s">
        <v>461</v>
      </c>
      <c r="D299" s="738" t="s">
        <v>1283</v>
      </c>
      <c r="E299" s="3262">
        <v>0</v>
      </c>
      <c r="F299" s="3262">
        <v>0</v>
      </c>
      <c r="G299" s="3262">
        <v>1</v>
      </c>
      <c r="H299" s="3262">
        <v>0</v>
      </c>
      <c r="I299" s="3262">
        <v>1</v>
      </c>
      <c r="J299" s="3262">
        <v>1</v>
      </c>
      <c r="K299" s="3262">
        <v>2</v>
      </c>
      <c r="L299" s="3262">
        <v>0</v>
      </c>
      <c r="M299" s="4674">
        <v>0</v>
      </c>
      <c r="N299" s="4674"/>
      <c r="O299" s="4674">
        <v>5</v>
      </c>
      <c r="P299" s="73"/>
      <c r="R299" s="74"/>
      <c r="S299" s="74"/>
      <c r="T299" s="74" t="s">
        <v>573</v>
      </c>
      <c r="U299" s="74" t="s">
        <v>1284</v>
      </c>
      <c r="V299" s="3229"/>
      <c r="W299" s="3229"/>
      <c r="X299" s="3229">
        <v>0</v>
      </c>
      <c r="Y299" s="3229"/>
      <c r="Z299" s="3229"/>
      <c r="AA299" s="3229">
        <v>0</v>
      </c>
      <c r="AB299" s="3229">
        <v>10</v>
      </c>
      <c r="AC299" s="3229">
        <v>5</v>
      </c>
      <c r="AD299" s="3229"/>
      <c r="AE299" s="121"/>
      <c r="AF299" s="121"/>
      <c r="AG299" s="121">
        <v>15</v>
      </c>
      <c r="AJ299" s="161"/>
      <c r="AK299" s="161"/>
      <c r="AL299" s="73" t="s">
        <v>15</v>
      </c>
      <c r="AM299" s="73" t="s">
        <v>1284</v>
      </c>
      <c r="AN299" s="2600"/>
      <c r="AO299" s="2600"/>
      <c r="AP299" s="2600"/>
      <c r="AQ299" s="2600"/>
      <c r="AR299" s="2600"/>
      <c r="AS299" s="2600"/>
      <c r="AT299" s="2600">
        <v>6</v>
      </c>
      <c r="AU299" s="2600"/>
      <c r="AV299" s="2600"/>
      <c r="AW299" s="161"/>
      <c r="AX299" s="161"/>
      <c r="AY299" s="161">
        <v>6</v>
      </c>
      <c r="AZ299" s="161"/>
      <c r="BB299" s="2191"/>
      <c r="BC299" s="2191"/>
      <c r="BD299" s="2192"/>
      <c r="BE299" s="2193" t="s">
        <v>1293</v>
      </c>
      <c r="BF299" s="2195">
        <v>0</v>
      </c>
      <c r="BG299" s="2194"/>
      <c r="BH299" s="2194"/>
      <c r="BI299" s="2194"/>
      <c r="BJ299" s="2194"/>
      <c r="BK299" s="2195">
        <v>1</v>
      </c>
      <c r="BL299" s="2195">
        <v>0</v>
      </c>
      <c r="BM299" s="2194"/>
      <c r="BN299" s="963"/>
      <c r="BO299" s="963"/>
      <c r="BP299" s="964">
        <v>1</v>
      </c>
      <c r="BQ299" s="73"/>
      <c r="BS299" s="879"/>
      <c r="BT299" s="879"/>
      <c r="BU299" s="880"/>
      <c r="BV299" s="881" t="s">
        <v>1293</v>
      </c>
      <c r="BW299" s="882"/>
      <c r="BX299" s="883">
        <v>0</v>
      </c>
      <c r="BY299" s="882"/>
      <c r="BZ299" s="882"/>
      <c r="CA299" s="882"/>
      <c r="CB299" s="883">
        <v>1</v>
      </c>
      <c r="CC299" s="882"/>
      <c r="CD299" s="882"/>
      <c r="CE299" s="879"/>
      <c r="CF299" s="879"/>
      <c r="CG299" s="884">
        <v>1</v>
      </c>
      <c r="CH299" s="161"/>
    </row>
    <row r="300" spans="1:157">
      <c r="A300" s="73"/>
      <c r="B300" s="73"/>
      <c r="C300" s="738"/>
      <c r="D300" s="738" t="s">
        <v>1284</v>
      </c>
      <c r="E300" s="3262">
        <v>4</v>
      </c>
      <c r="F300" s="3262">
        <v>8</v>
      </c>
      <c r="G300" s="3262">
        <v>3</v>
      </c>
      <c r="H300" s="3262">
        <v>4</v>
      </c>
      <c r="I300" s="3262">
        <v>4</v>
      </c>
      <c r="J300" s="3262">
        <v>79</v>
      </c>
      <c r="K300" s="3262">
        <v>13</v>
      </c>
      <c r="L300" s="3262">
        <v>5</v>
      </c>
      <c r="M300" s="4674">
        <v>0</v>
      </c>
      <c r="N300" s="4674"/>
      <c r="O300" s="4674">
        <v>120</v>
      </c>
      <c r="P300" s="73"/>
      <c r="R300" s="74"/>
      <c r="S300" s="74"/>
      <c r="T300" s="74"/>
      <c r="U300" s="74" t="s">
        <v>1288</v>
      </c>
      <c r="V300" s="3229"/>
      <c r="W300" s="3229"/>
      <c r="X300" s="3229">
        <v>0</v>
      </c>
      <c r="Y300" s="3229"/>
      <c r="Z300" s="3229"/>
      <c r="AA300" s="3229">
        <v>0</v>
      </c>
      <c r="AB300" s="3229">
        <v>2</v>
      </c>
      <c r="AC300" s="3229">
        <v>0</v>
      </c>
      <c r="AD300" s="3229"/>
      <c r="AE300" s="121"/>
      <c r="AF300" s="121"/>
      <c r="AG300" s="121">
        <v>2</v>
      </c>
      <c r="AJ300" s="161"/>
      <c r="AK300" s="161"/>
      <c r="AL300" s="73"/>
      <c r="AM300" s="73" t="s">
        <v>1288</v>
      </c>
      <c r="AN300" s="2600"/>
      <c r="AO300" s="2600"/>
      <c r="AP300" s="2600"/>
      <c r="AQ300" s="2600"/>
      <c r="AR300" s="2600"/>
      <c r="AS300" s="2600"/>
      <c r="AT300" s="2600">
        <v>2</v>
      </c>
      <c r="AU300" s="2600"/>
      <c r="AV300" s="2600"/>
      <c r="AW300" s="161"/>
      <c r="AX300" s="161"/>
      <c r="AY300" s="161">
        <v>2</v>
      </c>
      <c r="AZ300" s="161"/>
      <c r="BB300" s="2191"/>
      <c r="BC300" s="2191"/>
      <c r="BD300" s="2192"/>
      <c r="BE300" s="760" t="s">
        <v>15</v>
      </c>
      <c r="BF300" s="2197">
        <v>1</v>
      </c>
      <c r="BG300" s="2196"/>
      <c r="BH300" s="2196"/>
      <c r="BI300" s="2196"/>
      <c r="BJ300" s="2196"/>
      <c r="BK300" s="2197">
        <v>9</v>
      </c>
      <c r="BL300" s="2197">
        <v>2</v>
      </c>
      <c r="BM300" s="2196"/>
      <c r="BN300" s="972"/>
      <c r="BO300" s="972"/>
      <c r="BP300" s="973">
        <v>12</v>
      </c>
      <c r="BQ300" s="2154">
        <f>+(BP298+BP299)/BP300</f>
        <v>0.83333333333333337</v>
      </c>
      <c r="BS300" s="879"/>
      <c r="BT300" s="879"/>
      <c r="BU300" s="880"/>
      <c r="BV300" s="881" t="s">
        <v>1398</v>
      </c>
      <c r="BW300" s="882"/>
      <c r="BX300" s="883">
        <v>0</v>
      </c>
      <c r="BY300" s="882"/>
      <c r="BZ300" s="882"/>
      <c r="CA300" s="882"/>
      <c r="CB300" s="883">
        <v>1</v>
      </c>
      <c r="CC300" s="882"/>
      <c r="CD300" s="882"/>
      <c r="CE300" s="879"/>
      <c r="CF300" s="879"/>
      <c r="CG300" s="884">
        <v>1</v>
      </c>
      <c r="CH300" s="161"/>
    </row>
    <row r="301" spans="1:157">
      <c r="A301" s="73"/>
      <c r="B301" s="73"/>
      <c r="C301" s="738"/>
      <c r="D301" s="738" t="s">
        <v>1286</v>
      </c>
      <c r="E301" s="3262">
        <v>1</v>
      </c>
      <c r="F301" s="3262">
        <v>0</v>
      </c>
      <c r="G301" s="3262">
        <v>0</v>
      </c>
      <c r="H301" s="3262">
        <v>1</v>
      </c>
      <c r="I301" s="3262">
        <v>1</v>
      </c>
      <c r="J301" s="3262">
        <v>0</v>
      </c>
      <c r="K301" s="3262">
        <v>0</v>
      </c>
      <c r="L301" s="3262">
        <v>0</v>
      </c>
      <c r="M301" s="4674">
        <v>0</v>
      </c>
      <c r="N301" s="4674"/>
      <c r="O301" s="4674">
        <v>3</v>
      </c>
      <c r="P301" s="73"/>
      <c r="R301" s="74"/>
      <c r="S301" s="74"/>
      <c r="T301" s="74"/>
      <c r="U301" s="74" t="s">
        <v>1289</v>
      </c>
      <c r="V301" s="3229"/>
      <c r="W301" s="3229"/>
      <c r="X301" s="3229">
        <v>1</v>
      </c>
      <c r="Y301" s="3229"/>
      <c r="Z301" s="3229"/>
      <c r="AA301" s="3229">
        <v>1</v>
      </c>
      <c r="AB301" s="3229">
        <v>0</v>
      </c>
      <c r="AC301" s="3229">
        <v>0</v>
      </c>
      <c r="AD301" s="3229"/>
      <c r="AE301" s="121"/>
      <c r="AF301" s="121"/>
      <c r="AG301" s="121">
        <v>2</v>
      </c>
      <c r="AJ301" s="161"/>
      <c r="AK301" s="161"/>
      <c r="AL301" s="73"/>
      <c r="AM301" s="73" t="s">
        <v>1289</v>
      </c>
      <c r="AN301" s="2600"/>
      <c r="AO301" s="2600"/>
      <c r="AP301" s="2600"/>
      <c r="AQ301" s="2600"/>
      <c r="AR301" s="2600"/>
      <c r="AS301" s="2600"/>
      <c r="AT301" s="2600">
        <v>1</v>
      </c>
      <c r="AU301" s="2600"/>
      <c r="AV301" s="2600"/>
      <c r="AW301" s="161"/>
      <c r="AX301" s="161"/>
      <c r="AY301" s="161">
        <v>1</v>
      </c>
      <c r="AZ301" s="161"/>
      <c r="BB301" s="2191"/>
      <c r="BC301" s="2191"/>
      <c r="BD301" s="2192" t="s">
        <v>893</v>
      </c>
      <c r="BE301" s="2193" t="s">
        <v>1283</v>
      </c>
      <c r="BF301" s="2195">
        <v>0</v>
      </c>
      <c r="BG301" s="2194"/>
      <c r="BH301" s="2194"/>
      <c r="BI301" s="2194"/>
      <c r="BJ301" s="2194"/>
      <c r="BK301" s="2195">
        <v>1</v>
      </c>
      <c r="BL301" s="2195">
        <v>0</v>
      </c>
      <c r="BM301" s="2194"/>
      <c r="BN301" s="963"/>
      <c r="BO301" s="963"/>
      <c r="BP301" s="964">
        <v>1</v>
      </c>
      <c r="BQ301" s="73"/>
      <c r="BS301" s="879"/>
      <c r="BT301" s="879"/>
      <c r="BU301" s="880"/>
      <c r="BV301" s="907" t="s">
        <v>15</v>
      </c>
      <c r="BW301" s="908"/>
      <c r="BX301" s="909">
        <v>1</v>
      </c>
      <c r="BY301" s="908"/>
      <c r="BZ301" s="908"/>
      <c r="CA301" s="908"/>
      <c r="CB301" s="909">
        <v>11</v>
      </c>
      <c r="CC301" s="908"/>
      <c r="CD301" s="908"/>
      <c r="CE301" s="910"/>
      <c r="CF301" s="910"/>
      <c r="CG301" s="911">
        <v>12</v>
      </c>
      <c r="CH301" s="912">
        <f>+(CG298+CG299+CG300)/CG301</f>
        <v>0.66666666666666663</v>
      </c>
    </row>
    <row r="302" spans="1:157">
      <c r="A302" s="73"/>
      <c r="B302" s="73"/>
      <c r="C302" s="738"/>
      <c r="D302" s="738" t="s">
        <v>1288</v>
      </c>
      <c r="E302" s="3262">
        <v>0</v>
      </c>
      <c r="F302" s="3262">
        <v>0</v>
      </c>
      <c r="G302" s="3262">
        <v>0</v>
      </c>
      <c r="H302" s="3262">
        <v>0</v>
      </c>
      <c r="I302" s="3262">
        <v>1</v>
      </c>
      <c r="J302" s="3262">
        <v>33</v>
      </c>
      <c r="K302" s="3262">
        <v>16</v>
      </c>
      <c r="L302" s="3262">
        <v>1</v>
      </c>
      <c r="M302" s="4674">
        <v>1</v>
      </c>
      <c r="N302" s="4674"/>
      <c r="O302" s="4674">
        <v>52</v>
      </c>
      <c r="P302" s="73"/>
      <c r="R302" s="74"/>
      <c r="S302" s="74"/>
      <c r="T302" s="74"/>
      <c r="U302" s="74" t="s">
        <v>1292</v>
      </c>
      <c r="V302" s="3229"/>
      <c r="W302" s="3229"/>
      <c r="X302" s="3229">
        <v>0</v>
      </c>
      <c r="Y302" s="3229"/>
      <c r="Z302" s="3229"/>
      <c r="AA302" s="3229">
        <v>0</v>
      </c>
      <c r="AB302" s="3229">
        <v>0</v>
      </c>
      <c r="AC302" s="3229">
        <v>1</v>
      </c>
      <c r="AD302" s="3229"/>
      <c r="AE302" s="121"/>
      <c r="AF302" s="121"/>
      <c r="AG302" s="121">
        <v>1</v>
      </c>
      <c r="AJ302" s="161"/>
      <c r="AK302" s="161"/>
      <c r="AL302" s="73"/>
      <c r="AM302" s="73" t="s">
        <v>1293</v>
      </c>
      <c r="AN302" s="2600"/>
      <c r="AO302" s="2600"/>
      <c r="AP302" s="2600"/>
      <c r="AQ302" s="2600"/>
      <c r="AR302" s="2600"/>
      <c r="AS302" s="2600"/>
      <c r="AT302" s="2600">
        <v>2</v>
      </c>
      <c r="AU302" s="2600"/>
      <c r="AV302" s="2600"/>
      <c r="AW302" s="161"/>
      <c r="AX302" s="161"/>
      <c r="AY302" s="161">
        <v>2</v>
      </c>
      <c r="AZ302" s="161"/>
      <c r="BB302" s="2191"/>
      <c r="BC302" s="2191"/>
      <c r="BD302" s="2192"/>
      <c r="BE302" s="2193" t="s">
        <v>1284</v>
      </c>
      <c r="BF302" s="2195">
        <v>1</v>
      </c>
      <c r="BG302" s="2194"/>
      <c r="BH302" s="2194"/>
      <c r="BI302" s="2194"/>
      <c r="BJ302" s="2194"/>
      <c r="BK302" s="2195">
        <v>0</v>
      </c>
      <c r="BL302" s="2195">
        <v>0</v>
      </c>
      <c r="BM302" s="2194"/>
      <c r="BN302" s="963"/>
      <c r="BO302" s="963"/>
      <c r="BP302" s="964">
        <v>1</v>
      </c>
      <c r="BQ302" s="73"/>
      <c r="BS302" s="879"/>
      <c r="BT302" s="879"/>
      <c r="BU302" s="880" t="s">
        <v>893</v>
      </c>
      <c r="BV302" s="881" t="s">
        <v>1283</v>
      </c>
      <c r="BW302" s="882"/>
      <c r="BX302" s="883">
        <v>0</v>
      </c>
      <c r="BY302" s="882"/>
      <c r="BZ302" s="882"/>
      <c r="CA302" s="882"/>
      <c r="CB302" s="883">
        <v>1</v>
      </c>
      <c r="CC302" s="882"/>
      <c r="CD302" s="882"/>
      <c r="CE302" s="879"/>
      <c r="CF302" s="879"/>
      <c r="CG302" s="884">
        <v>1</v>
      </c>
      <c r="CH302" s="161"/>
    </row>
    <row r="303" spans="1:157">
      <c r="A303" s="73"/>
      <c r="B303" s="73"/>
      <c r="C303" s="738"/>
      <c r="D303" s="738" t="s">
        <v>1292</v>
      </c>
      <c r="E303" s="3262">
        <v>0</v>
      </c>
      <c r="F303" s="3262">
        <v>0</v>
      </c>
      <c r="G303" s="3262">
        <v>0</v>
      </c>
      <c r="H303" s="3262">
        <v>0</v>
      </c>
      <c r="I303" s="3262">
        <v>0</v>
      </c>
      <c r="J303" s="3262">
        <v>0</v>
      </c>
      <c r="K303" s="3262">
        <v>2</v>
      </c>
      <c r="L303" s="3262">
        <v>13</v>
      </c>
      <c r="M303" s="4674">
        <v>2</v>
      </c>
      <c r="N303" s="4674"/>
      <c r="O303" s="4674">
        <v>17</v>
      </c>
      <c r="P303" s="73"/>
      <c r="R303" s="74"/>
      <c r="S303" s="74"/>
      <c r="T303" s="74"/>
      <c r="U303" s="74" t="s">
        <v>1293</v>
      </c>
      <c r="V303" s="3229"/>
      <c r="W303" s="3229"/>
      <c r="X303" s="3229">
        <v>0</v>
      </c>
      <c r="Y303" s="3229"/>
      <c r="Z303" s="3229"/>
      <c r="AA303" s="3229">
        <v>0</v>
      </c>
      <c r="AB303" s="3229">
        <v>1</v>
      </c>
      <c r="AC303" s="3229">
        <v>0</v>
      </c>
      <c r="AD303" s="3229"/>
      <c r="AE303" s="121"/>
      <c r="AF303" s="121"/>
      <c r="AG303" s="121">
        <v>1</v>
      </c>
      <c r="AJ303" s="161"/>
      <c r="AK303" s="161"/>
      <c r="AL303" s="73"/>
      <c r="AM303" s="73" t="s">
        <v>1398</v>
      </c>
      <c r="AN303" s="2600"/>
      <c r="AO303" s="2600"/>
      <c r="AP303" s="2600"/>
      <c r="AQ303" s="2600"/>
      <c r="AR303" s="2600"/>
      <c r="AS303" s="2600"/>
      <c r="AT303" s="2600">
        <v>1</v>
      </c>
      <c r="AU303" s="2600"/>
      <c r="AV303" s="2600"/>
      <c r="AW303" s="161"/>
      <c r="AX303" s="161"/>
      <c r="AY303" s="161">
        <v>1</v>
      </c>
      <c r="AZ303" s="161"/>
      <c r="BB303" s="2191"/>
      <c r="BC303" s="2191"/>
      <c r="BD303" s="2192"/>
      <c r="BE303" s="2193" t="s">
        <v>1288</v>
      </c>
      <c r="BF303" s="2195">
        <v>0</v>
      </c>
      <c r="BG303" s="2194"/>
      <c r="BH303" s="2194"/>
      <c r="BI303" s="2194"/>
      <c r="BJ303" s="2194"/>
      <c r="BK303" s="2195">
        <v>7</v>
      </c>
      <c r="BL303" s="2195">
        <v>2</v>
      </c>
      <c r="BM303" s="2194"/>
      <c r="BN303" s="963"/>
      <c r="BO303" s="963"/>
      <c r="BP303" s="964">
        <v>9</v>
      </c>
      <c r="BQ303" s="73"/>
      <c r="BS303" s="879"/>
      <c r="BT303" s="879"/>
      <c r="BU303" s="880"/>
      <c r="BV303" s="881" t="s">
        <v>1284</v>
      </c>
      <c r="BW303" s="882"/>
      <c r="BX303" s="883">
        <v>1</v>
      </c>
      <c r="BY303" s="882"/>
      <c r="BZ303" s="882"/>
      <c r="CA303" s="882"/>
      <c r="CB303" s="883">
        <v>2</v>
      </c>
      <c r="CC303" s="882"/>
      <c r="CD303" s="882"/>
      <c r="CE303" s="879"/>
      <c r="CF303" s="879"/>
      <c r="CG303" s="884">
        <v>3</v>
      </c>
      <c r="CH303" s="161"/>
    </row>
    <row r="304" spans="1:157">
      <c r="A304" s="73"/>
      <c r="B304" s="73"/>
      <c r="C304" s="738"/>
      <c r="D304" s="738" t="s">
        <v>1293</v>
      </c>
      <c r="E304" s="3262">
        <v>0</v>
      </c>
      <c r="F304" s="3262">
        <v>0</v>
      </c>
      <c r="G304" s="3262">
        <v>0</v>
      </c>
      <c r="H304" s="3262">
        <v>0</v>
      </c>
      <c r="I304" s="3262">
        <v>3</v>
      </c>
      <c r="J304" s="3262">
        <v>26</v>
      </c>
      <c r="K304" s="3262">
        <v>8</v>
      </c>
      <c r="L304" s="3262">
        <v>2</v>
      </c>
      <c r="M304" s="4674">
        <v>0</v>
      </c>
      <c r="N304" s="4674"/>
      <c r="O304" s="4674">
        <v>39</v>
      </c>
      <c r="P304" s="73"/>
      <c r="R304" s="74"/>
      <c r="S304" s="74"/>
      <c r="T304" s="74"/>
      <c r="U304" s="761" t="s">
        <v>573</v>
      </c>
      <c r="V304" s="3230"/>
      <c r="W304" s="3230"/>
      <c r="X304" s="3230">
        <v>1</v>
      </c>
      <c r="Y304" s="3230"/>
      <c r="Z304" s="3230"/>
      <c r="AA304" s="3230">
        <v>1</v>
      </c>
      <c r="AB304" s="3230">
        <v>13</v>
      </c>
      <c r="AC304" s="3230">
        <v>6</v>
      </c>
      <c r="AD304" s="3230"/>
      <c r="AE304" s="729"/>
      <c r="AF304" s="729"/>
      <c r="AG304" s="729">
        <v>21</v>
      </c>
      <c r="AH304" s="4681">
        <f>+(AG300+AG303)/AG304</f>
        <v>0.14285714285714285</v>
      </c>
      <c r="AJ304" s="161"/>
      <c r="AK304" s="161"/>
      <c r="AL304" s="73"/>
      <c r="AM304" s="738" t="s">
        <v>15</v>
      </c>
      <c r="AN304" s="2601"/>
      <c r="AO304" s="2601"/>
      <c r="AP304" s="2601"/>
      <c r="AQ304" s="2601"/>
      <c r="AR304" s="2601"/>
      <c r="AS304" s="2601"/>
      <c r="AT304" s="2601">
        <v>12</v>
      </c>
      <c r="AU304" s="2601"/>
      <c r="AV304" s="2601"/>
      <c r="AW304" s="151"/>
      <c r="AX304" s="151"/>
      <c r="AY304" s="151">
        <v>12</v>
      </c>
      <c r="AZ304" s="912">
        <f>+(AY300+AY302+AY303)/AY304</f>
        <v>0.41666666666666669</v>
      </c>
      <c r="BB304" s="2191"/>
      <c r="BC304" s="2191"/>
      <c r="BD304" s="2192"/>
      <c r="BE304" s="2193" t="s">
        <v>1293</v>
      </c>
      <c r="BF304" s="2195">
        <v>0</v>
      </c>
      <c r="BG304" s="2194"/>
      <c r="BH304" s="2194"/>
      <c r="BI304" s="2194"/>
      <c r="BJ304" s="2194"/>
      <c r="BK304" s="2195">
        <v>1</v>
      </c>
      <c r="BL304" s="2195">
        <v>0</v>
      </c>
      <c r="BM304" s="2194"/>
      <c r="BN304" s="963"/>
      <c r="BO304" s="963"/>
      <c r="BP304" s="964">
        <v>1</v>
      </c>
      <c r="BQ304" s="73"/>
      <c r="BS304" s="879"/>
      <c r="BT304" s="879"/>
      <c r="BU304" s="880"/>
      <c r="BV304" s="881" t="s">
        <v>1288</v>
      </c>
      <c r="BW304" s="882"/>
      <c r="BX304" s="883">
        <v>0</v>
      </c>
      <c r="BY304" s="882"/>
      <c r="BZ304" s="882"/>
      <c r="CA304" s="882"/>
      <c r="CB304" s="883">
        <v>6</v>
      </c>
      <c r="CC304" s="882"/>
      <c r="CD304" s="882"/>
      <c r="CE304" s="879"/>
      <c r="CF304" s="879"/>
      <c r="CG304" s="884">
        <v>6</v>
      </c>
      <c r="CH304" s="161"/>
    </row>
    <row r="305" spans="1:86">
      <c r="A305" s="73"/>
      <c r="B305" s="73"/>
      <c r="C305" s="738"/>
      <c r="D305" s="738" t="s">
        <v>1398</v>
      </c>
      <c r="E305" s="3262">
        <v>0</v>
      </c>
      <c r="F305" s="3262">
        <v>0</v>
      </c>
      <c r="G305" s="3262">
        <v>1</v>
      </c>
      <c r="H305" s="3262">
        <v>0</v>
      </c>
      <c r="I305" s="3262">
        <v>0</v>
      </c>
      <c r="J305" s="3262">
        <v>18</v>
      </c>
      <c r="K305" s="3262">
        <v>6</v>
      </c>
      <c r="L305" s="3262">
        <v>0</v>
      </c>
      <c r="M305" s="4674">
        <v>0</v>
      </c>
      <c r="N305" s="4674"/>
      <c r="O305" s="4674">
        <v>25</v>
      </c>
      <c r="P305" s="73"/>
      <c r="R305" s="74"/>
      <c r="S305" s="74" t="s">
        <v>61</v>
      </c>
      <c r="T305" s="74" t="s">
        <v>870</v>
      </c>
      <c r="U305" s="74" t="s">
        <v>1284</v>
      </c>
      <c r="V305" s="3229"/>
      <c r="W305" s="3229"/>
      <c r="X305" s="3229"/>
      <c r="Y305" s="3229"/>
      <c r="Z305" s="3229"/>
      <c r="AA305" s="3229">
        <v>1</v>
      </c>
      <c r="AB305" s="3229"/>
      <c r="AC305" s="3229">
        <v>10</v>
      </c>
      <c r="AD305" s="3229"/>
      <c r="AE305" s="121"/>
      <c r="AF305" s="121"/>
      <c r="AG305" s="121">
        <v>11</v>
      </c>
      <c r="AJ305" s="161"/>
      <c r="AK305" s="161" t="s">
        <v>869</v>
      </c>
      <c r="AL305" s="73" t="s">
        <v>870</v>
      </c>
      <c r="AM305" s="73" t="s">
        <v>1284</v>
      </c>
      <c r="AN305" s="2600"/>
      <c r="AO305" s="2600"/>
      <c r="AP305" s="2600"/>
      <c r="AQ305" s="2600"/>
      <c r="AR305" s="2600"/>
      <c r="AS305" s="2600"/>
      <c r="AT305" s="2600">
        <v>0</v>
      </c>
      <c r="AU305" s="2600">
        <v>2</v>
      </c>
      <c r="AV305" s="2600"/>
      <c r="AW305" s="161"/>
      <c r="AX305" s="161"/>
      <c r="AY305" s="161">
        <v>2</v>
      </c>
      <c r="AZ305" s="161"/>
      <c r="BB305" s="2191"/>
      <c r="BC305" s="2191"/>
      <c r="BD305" s="2192"/>
      <c r="BE305" s="760" t="s">
        <v>893</v>
      </c>
      <c r="BF305" s="2197">
        <v>1</v>
      </c>
      <c r="BG305" s="2196"/>
      <c r="BH305" s="2196"/>
      <c r="BI305" s="2196"/>
      <c r="BJ305" s="2196"/>
      <c r="BK305" s="2197">
        <v>9</v>
      </c>
      <c r="BL305" s="2197">
        <v>2</v>
      </c>
      <c r="BM305" s="2196"/>
      <c r="BN305" s="972"/>
      <c r="BO305" s="972"/>
      <c r="BP305" s="973">
        <v>12</v>
      </c>
      <c r="BQ305" s="2154">
        <f>+(BP303+BP304)/BP305</f>
        <v>0.83333333333333337</v>
      </c>
      <c r="BS305" s="879"/>
      <c r="BT305" s="879"/>
      <c r="BU305" s="880"/>
      <c r="BV305" s="881" t="s">
        <v>1293</v>
      </c>
      <c r="BW305" s="882"/>
      <c r="BX305" s="883">
        <v>0</v>
      </c>
      <c r="BY305" s="882"/>
      <c r="BZ305" s="882"/>
      <c r="CA305" s="882"/>
      <c r="CB305" s="883">
        <v>1</v>
      </c>
      <c r="CC305" s="882"/>
      <c r="CD305" s="882"/>
      <c r="CE305" s="879"/>
      <c r="CF305" s="879"/>
      <c r="CG305" s="884">
        <v>1</v>
      </c>
      <c r="CH305" s="161"/>
    </row>
    <row r="306" spans="1:86">
      <c r="A306" s="73"/>
      <c r="B306" s="73"/>
      <c r="C306" s="738"/>
      <c r="D306" s="738" t="s">
        <v>461</v>
      </c>
      <c r="E306" s="3262">
        <v>5</v>
      </c>
      <c r="F306" s="3262">
        <v>8</v>
      </c>
      <c r="G306" s="3262">
        <v>5</v>
      </c>
      <c r="H306" s="3262">
        <v>5</v>
      </c>
      <c r="I306" s="3262">
        <v>10</v>
      </c>
      <c r="J306" s="3262">
        <v>157</v>
      </c>
      <c r="K306" s="3262">
        <v>47</v>
      </c>
      <c r="L306" s="3262">
        <v>21</v>
      </c>
      <c r="M306" s="4674">
        <v>3</v>
      </c>
      <c r="N306" s="4674"/>
      <c r="O306" s="4674">
        <v>261</v>
      </c>
      <c r="P306" s="912">
        <f>+(O305+O304+O302-M302)/O306</f>
        <v>0.44061302681992337</v>
      </c>
      <c r="Q306" s="3197"/>
      <c r="R306" s="74"/>
      <c r="S306" s="74"/>
      <c r="T306" s="74"/>
      <c r="U306" s="74" t="s">
        <v>1288</v>
      </c>
      <c r="V306" s="3229"/>
      <c r="W306" s="3229"/>
      <c r="X306" s="3229"/>
      <c r="Y306" s="3229"/>
      <c r="Z306" s="3229"/>
      <c r="AA306" s="3229">
        <v>0</v>
      </c>
      <c r="AB306" s="3229"/>
      <c r="AC306" s="3229">
        <v>1</v>
      </c>
      <c r="AD306" s="3229"/>
      <c r="AE306" s="121"/>
      <c r="AF306" s="121"/>
      <c r="AG306" s="121">
        <v>1</v>
      </c>
      <c r="AJ306" s="161"/>
      <c r="AK306" s="161"/>
      <c r="AL306" s="73"/>
      <c r="AM306" s="73" t="s">
        <v>1288</v>
      </c>
      <c r="AN306" s="2600"/>
      <c r="AO306" s="2600"/>
      <c r="AP306" s="2600"/>
      <c r="AQ306" s="2600"/>
      <c r="AR306" s="2600"/>
      <c r="AS306" s="2600"/>
      <c r="AT306" s="2600">
        <v>0</v>
      </c>
      <c r="AU306" s="2600">
        <v>7</v>
      </c>
      <c r="AV306" s="2600"/>
      <c r="AW306" s="161"/>
      <c r="AX306" s="161"/>
      <c r="AY306" s="161">
        <v>7</v>
      </c>
      <c r="AZ306" s="161"/>
      <c r="BB306" s="2191"/>
      <c r="BC306" s="2191" t="s">
        <v>64</v>
      </c>
      <c r="BD306" s="2192" t="s">
        <v>710</v>
      </c>
      <c r="BE306" s="2193" t="s">
        <v>1284</v>
      </c>
      <c r="BF306" s="2195">
        <v>1</v>
      </c>
      <c r="BG306" s="2194"/>
      <c r="BH306" s="2194"/>
      <c r="BI306" s="2194"/>
      <c r="BJ306" s="2195">
        <v>1</v>
      </c>
      <c r="BK306" s="2195">
        <v>2</v>
      </c>
      <c r="BL306" s="2195">
        <v>2</v>
      </c>
      <c r="BM306" s="2195">
        <v>0</v>
      </c>
      <c r="BN306" s="963"/>
      <c r="BO306" s="963"/>
      <c r="BP306" s="964">
        <v>6</v>
      </c>
      <c r="BQ306" s="73"/>
      <c r="BS306" s="879"/>
      <c r="BT306" s="879"/>
      <c r="BU306" s="880"/>
      <c r="BV306" s="881" t="s">
        <v>1398</v>
      </c>
      <c r="BW306" s="882"/>
      <c r="BX306" s="883">
        <v>0</v>
      </c>
      <c r="BY306" s="882"/>
      <c r="BZ306" s="882"/>
      <c r="CA306" s="882"/>
      <c r="CB306" s="883">
        <v>1</v>
      </c>
      <c r="CC306" s="882"/>
      <c r="CD306" s="882"/>
      <c r="CE306" s="879"/>
      <c r="CF306" s="879"/>
      <c r="CG306" s="884">
        <v>1</v>
      </c>
      <c r="CH306" s="161"/>
    </row>
    <row r="307" spans="1:86">
      <c r="A307" s="73" t="s">
        <v>59</v>
      </c>
      <c r="B307" s="73" t="s">
        <v>16</v>
      </c>
      <c r="C307" s="73" t="s">
        <v>709</v>
      </c>
      <c r="D307" s="73" t="s">
        <v>1284</v>
      </c>
      <c r="E307" s="3261"/>
      <c r="F307" s="3261"/>
      <c r="G307" s="3261"/>
      <c r="H307" s="3261"/>
      <c r="I307" s="3261"/>
      <c r="J307" s="3261">
        <v>7</v>
      </c>
      <c r="K307" s="3261"/>
      <c r="L307" s="3261">
        <v>0</v>
      </c>
      <c r="M307" s="161"/>
      <c r="N307" s="161"/>
      <c r="O307" s="161">
        <v>7</v>
      </c>
      <c r="P307" s="73"/>
      <c r="R307" s="74"/>
      <c r="S307" s="74"/>
      <c r="T307" s="74"/>
      <c r="U307" s="74" t="s">
        <v>1293</v>
      </c>
      <c r="V307" s="3229"/>
      <c r="W307" s="3229"/>
      <c r="X307" s="3229"/>
      <c r="Y307" s="3229"/>
      <c r="Z307" s="3229"/>
      <c r="AA307" s="3229">
        <v>0</v>
      </c>
      <c r="AB307" s="3229"/>
      <c r="AC307" s="3229">
        <v>6</v>
      </c>
      <c r="AD307" s="3229"/>
      <c r="AE307" s="121"/>
      <c r="AF307" s="121"/>
      <c r="AG307" s="121">
        <v>6</v>
      </c>
      <c r="AJ307" s="161"/>
      <c r="AK307" s="161"/>
      <c r="AL307" s="73"/>
      <c r="AM307" s="73" t="s">
        <v>1293</v>
      </c>
      <c r="AN307" s="2600"/>
      <c r="AO307" s="2600"/>
      <c r="AP307" s="2600"/>
      <c r="AQ307" s="2600"/>
      <c r="AR307" s="2600"/>
      <c r="AS307" s="2600"/>
      <c r="AT307" s="2600">
        <v>0</v>
      </c>
      <c r="AU307" s="2600">
        <v>7</v>
      </c>
      <c r="AV307" s="2600"/>
      <c r="AW307" s="161"/>
      <c r="AX307" s="161"/>
      <c r="AY307" s="161">
        <v>7</v>
      </c>
      <c r="AZ307" s="161"/>
      <c r="BB307" s="2191"/>
      <c r="BC307" s="2191"/>
      <c r="BD307" s="2192"/>
      <c r="BE307" s="2193" t="s">
        <v>1288</v>
      </c>
      <c r="BF307" s="2195">
        <v>0</v>
      </c>
      <c r="BG307" s="2194"/>
      <c r="BH307" s="2194"/>
      <c r="BI307" s="2194"/>
      <c r="BJ307" s="2195">
        <v>0</v>
      </c>
      <c r="BK307" s="2195">
        <v>2</v>
      </c>
      <c r="BL307" s="2195">
        <v>0</v>
      </c>
      <c r="BM307" s="2195">
        <v>0</v>
      </c>
      <c r="BN307" s="963"/>
      <c r="BO307" s="963"/>
      <c r="BP307" s="964">
        <v>2</v>
      </c>
      <c r="BQ307" s="73"/>
      <c r="BS307" s="879"/>
      <c r="BT307" s="879"/>
      <c r="BU307" s="880"/>
      <c r="BV307" s="907" t="s">
        <v>893</v>
      </c>
      <c r="BW307" s="908"/>
      <c r="BX307" s="909">
        <v>1</v>
      </c>
      <c r="BY307" s="908"/>
      <c r="BZ307" s="908"/>
      <c r="CA307" s="908"/>
      <c r="CB307" s="909">
        <v>11</v>
      </c>
      <c r="CC307" s="908"/>
      <c r="CD307" s="908"/>
      <c r="CE307" s="910"/>
      <c r="CF307" s="910"/>
      <c r="CG307" s="911">
        <v>12</v>
      </c>
      <c r="CH307" s="912">
        <f>+(CG304+CG305+CG306)/CG307</f>
        <v>0.66666666666666663</v>
      </c>
    </row>
    <row r="308" spans="1:86">
      <c r="A308" s="73"/>
      <c r="B308" s="73"/>
      <c r="C308" s="73"/>
      <c r="D308" s="73" t="s">
        <v>1292</v>
      </c>
      <c r="E308" s="3261"/>
      <c r="F308" s="3261"/>
      <c r="G308" s="3261"/>
      <c r="H308" s="3261"/>
      <c r="I308" s="3261"/>
      <c r="J308" s="3261">
        <v>0</v>
      </c>
      <c r="K308" s="3261"/>
      <c r="L308" s="3261">
        <v>1</v>
      </c>
      <c r="M308" s="161"/>
      <c r="N308" s="161"/>
      <c r="O308" s="161">
        <v>1</v>
      </c>
      <c r="P308" s="73"/>
      <c r="R308" s="74"/>
      <c r="S308" s="74"/>
      <c r="T308" s="74"/>
      <c r="U308" s="761" t="s">
        <v>15</v>
      </c>
      <c r="V308" s="3230"/>
      <c r="W308" s="3230"/>
      <c r="X308" s="3230"/>
      <c r="Y308" s="3230"/>
      <c r="Z308" s="3230"/>
      <c r="AA308" s="3230">
        <v>1</v>
      </c>
      <c r="AB308" s="3230"/>
      <c r="AC308" s="3230">
        <v>17</v>
      </c>
      <c r="AD308" s="3230"/>
      <c r="AE308" s="729"/>
      <c r="AF308" s="729"/>
      <c r="AG308" s="729">
        <v>18</v>
      </c>
      <c r="AH308" s="4681">
        <f>+(AG306+AG307)/AG308</f>
        <v>0.3888888888888889</v>
      </c>
      <c r="AJ308" s="161"/>
      <c r="AK308" s="161"/>
      <c r="AL308" s="73"/>
      <c r="AM308" s="73" t="s">
        <v>1398</v>
      </c>
      <c r="AN308" s="2600"/>
      <c r="AO308" s="2600"/>
      <c r="AP308" s="2600"/>
      <c r="AQ308" s="2600"/>
      <c r="AR308" s="2600"/>
      <c r="AS308" s="2600"/>
      <c r="AT308" s="2600">
        <v>3</v>
      </c>
      <c r="AU308" s="2600">
        <v>1</v>
      </c>
      <c r="AV308" s="2600"/>
      <c r="AW308" s="161"/>
      <c r="AX308" s="161"/>
      <c r="AY308" s="161">
        <v>4</v>
      </c>
      <c r="AZ308" s="161"/>
      <c r="BB308" s="2191"/>
      <c r="BC308" s="2191"/>
      <c r="BD308" s="2192"/>
      <c r="BE308" s="2193" t="s">
        <v>1292</v>
      </c>
      <c r="BF308" s="2195">
        <v>0</v>
      </c>
      <c r="BG308" s="2194"/>
      <c r="BH308" s="2194"/>
      <c r="BI308" s="2194"/>
      <c r="BJ308" s="2195">
        <v>0</v>
      </c>
      <c r="BK308" s="2195">
        <v>0</v>
      </c>
      <c r="BL308" s="2195">
        <v>0</v>
      </c>
      <c r="BM308" s="2195">
        <v>6</v>
      </c>
      <c r="BN308" s="963"/>
      <c r="BO308" s="963"/>
      <c r="BP308" s="964">
        <v>6</v>
      </c>
      <c r="BQ308" s="73"/>
      <c r="BS308" s="879"/>
      <c r="BT308" s="879" t="s">
        <v>64</v>
      </c>
      <c r="BU308" s="880" t="s">
        <v>710</v>
      </c>
      <c r="BV308" s="881" t="s">
        <v>1284</v>
      </c>
      <c r="BW308" s="882"/>
      <c r="BX308" s="883">
        <v>0</v>
      </c>
      <c r="BY308" s="882"/>
      <c r="BZ308" s="883">
        <v>2</v>
      </c>
      <c r="CA308" s="882"/>
      <c r="CB308" s="883">
        <v>3</v>
      </c>
      <c r="CC308" s="883">
        <v>2</v>
      </c>
      <c r="CD308" s="882"/>
      <c r="CE308" s="879"/>
      <c r="CF308" s="879"/>
      <c r="CG308" s="884">
        <v>7</v>
      </c>
      <c r="CH308" s="161"/>
    </row>
    <row r="309" spans="1:86">
      <c r="A309" s="73"/>
      <c r="B309" s="73"/>
      <c r="C309" s="73"/>
      <c r="D309" s="738" t="s">
        <v>15</v>
      </c>
      <c r="E309" s="3262"/>
      <c r="F309" s="3262"/>
      <c r="G309" s="3262"/>
      <c r="H309" s="3262"/>
      <c r="I309" s="3262"/>
      <c r="J309" s="3262">
        <v>7</v>
      </c>
      <c r="K309" s="3262"/>
      <c r="L309" s="3262">
        <v>1</v>
      </c>
      <c r="M309" s="4674"/>
      <c r="N309" s="4674"/>
      <c r="O309" s="4674">
        <v>8</v>
      </c>
      <c r="P309" s="912">
        <v>0</v>
      </c>
      <c r="Q309" s="3197"/>
      <c r="R309" s="74"/>
      <c r="S309" s="74"/>
      <c r="T309" s="74" t="s">
        <v>576</v>
      </c>
      <c r="U309" s="74" t="s">
        <v>1284</v>
      </c>
      <c r="V309" s="3229"/>
      <c r="W309" s="3229"/>
      <c r="X309" s="3229"/>
      <c r="Y309" s="3229"/>
      <c r="Z309" s="3229"/>
      <c r="AA309" s="3229">
        <v>1</v>
      </c>
      <c r="AB309" s="3229"/>
      <c r="AC309" s="3229">
        <v>10</v>
      </c>
      <c r="AD309" s="3229"/>
      <c r="AE309" s="121"/>
      <c r="AF309" s="121"/>
      <c r="AG309" s="121">
        <v>11</v>
      </c>
      <c r="AJ309" s="161"/>
      <c r="AK309" s="161"/>
      <c r="AL309" s="73"/>
      <c r="AM309" s="738" t="s">
        <v>15</v>
      </c>
      <c r="AN309" s="2601"/>
      <c r="AO309" s="2601"/>
      <c r="AP309" s="2601"/>
      <c r="AQ309" s="2601"/>
      <c r="AR309" s="2601"/>
      <c r="AS309" s="2601"/>
      <c r="AT309" s="2601">
        <v>3</v>
      </c>
      <c r="AU309" s="2601">
        <v>17</v>
      </c>
      <c r="AV309" s="2601"/>
      <c r="AW309" s="151"/>
      <c r="AX309" s="151"/>
      <c r="AY309" s="151">
        <v>20</v>
      </c>
      <c r="AZ309" s="912">
        <f>+(AY306+AY307+AY308)/AY309</f>
        <v>0.9</v>
      </c>
      <c r="BB309" s="2191"/>
      <c r="BC309" s="2191"/>
      <c r="BD309" s="2192"/>
      <c r="BE309" s="2193" t="s">
        <v>1293</v>
      </c>
      <c r="BF309" s="2195">
        <v>0</v>
      </c>
      <c r="BG309" s="2194"/>
      <c r="BH309" s="2194"/>
      <c r="BI309" s="2194"/>
      <c r="BJ309" s="2195">
        <v>0</v>
      </c>
      <c r="BK309" s="2195">
        <v>0</v>
      </c>
      <c r="BL309" s="2195">
        <v>1</v>
      </c>
      <c r="BM309" s="2195">
        <v>0</v>
      </c>
      <c r="BN309" s="963"/>
      <c r="BO309" s="963"/>
      <c r="BP309" s="964">
        <v>1</v>
      </c>
      <c r="BQ309" s="73"/>
      <c r="BS309" s="879"/>
      <c r="BT309" s="879"/>
      <c r="BU309" s="880"/>
      <c r="BV309" s="881" t="s">
        <v>1286</v>
      </c>
      <c r="BW309" s="882"/>
      <c r="BX309" s="883">
        <v>1</v>
      </c>
      <c r="BY309" s="882"/>
      <c r="BZ309" s="883">
        <v>0</v>
      </c>
      <c r="CA309" s="882"/>
      <c r="CB309" s="883">
        <v>0</v>
      </c>
      <c r="CC309" s="883">
        <v>0</v>
      </c>
      <c r="CD309" s="882"/>
      <c r="CE309" s="879"/>
      <c r="CF309" s="879"/>
      <c r="CG309" s="884">
        <v>1</v>
      </c>
      <c r="CH309" s="161"/>
    </row>
    <row r="310" spans="1:86">
      <c r="A310" s="73"/>
      <c r="B310" s="73"/>
      <c r="C310" s="738" t="s">
        <v>573</v>
      </c>
      <c r="D310" s="738" t="s">
        <v>1284</v>
      </c>
      <c r="E310" s="3262"/>
      <c r="F310" s="3262"/>
      <c r="G310" s="3262"/>
      <c r="H310" s="3262"/>
      <c r="I310" s="3262"/>
      <c r="J310" s="3262">
        <v>7</v>
      </c>
      <c r="K310" s="3262"/>
      <c r="L310" s="3262">
        <v>0</v>
      </c>
      <c r="M310" s="4674"/>
      <c r="N310" s="4674"/>
      <c r="O310" s="4674">
        <v>7</v>
      </c>
      <c r="P310" s="73"/>
      <c r="R310" s="74"/>
      <c r="S310" s="74"/>
      <c r="T310" s="74"/>
      <c r="U310" s="74" t="s">
        <v>1288</v>
      </c>
      <c r="V310" s="3229"/>
      <c r="W310" s="3229"/>
      <c r="X310" s="3229"/>
      <c r="Y310" s="3229"/>
      <c r="Z310" s="3229"/>
      <c r="AA310" s="3229">
        <v>0</v>
      </c>
      <c r="AB310" s="3229"/>
      <c r="AC310" s="3229">
        <v>1</v>
      </c>
      <c r="AD310" s="3229"/>
      <c r="AE310" s="121"/>
      <c r="AF310" s="121"/>
      <c r="AG310" s="121">
        <v>1</v>
      </c>
      <c r="AJ310" s="161"/>
      <c r="AK310" s="161"/>
      <c r="AL310" s="73" t="s">
        <v>15</v>
      </c>
      <c r="AM310" s="73" t="s">
        <v>1284</v>
      </c>
      <c r="AN310" s="2600"/>
      <c r="AO310" s="2600"/>
      <c r="AP310" s="2600"/>
      <c r="AQ310" s="2600"/>
      <c r="AR310" s="2600"/>
      <c r="AS310" s="2600"/>
      <c r="AT310" s="2600">
        <v>0</v>
      </c>
      <c r="AU310" s="2600">
        <v>2</v>
      </c>
      <c r="AV310" s="2600"/>
      <c r="AW310" s="161"/>
      <c r="AX310" s="161"/>
      <c r="AY310" s="161">
        <v>2</v>
      </c>
      <c r="AZ310" s="161"/>
      <c r="BB310" s="2191"/>
      <c r="BC310" s="2191"/>
      <c r="BD310" s="2192"/>
      <c r="BE310" s="760" t="s">
        <v>15</v>
      </c>
      <c r="BF310" s="2197">
        <v>1</v>
      </c>
      <c r="BG310" s="2196"/>
      <c r="BH310" s="2196"/>
      <c r="BI310" s="2196"/>
      <c r="BJ310" s="2197">
        <v>1</v>
      </c>
      <c r="BK310" s="2197">
        <v>4</v>
      </c>
      <c r="BL310" s="2197">
        <v>3</v>
      </c>
      <c r="BM310" s="2197">
        <v>6</v>
      </c>
      <c r="BN310" s="972"/>
      <c r="BO310" s="972"/>
      <c r="BP310" s="973">
        <v>15</v>
      </c>
      <c r="BQ310" s="2154">
        <f>+(BP307+BP309)/BP310</f>
        <v>0.2</v>
      </c>
      <c r="BS310" s="879"/>
      <c r="BT310" s="879"/>
      <c r="BU310" s="880"/>
      <c r="BV310" s="881" t="s">
        <v>1293</v>
      </c>
      <c r="BW310" s="882"/>
      <c r="BX310" s="883">
        <v>0</v>
      </c>
      <c r="BY310" s="882"/>
      <c r="BZ310" s="883">
        <v>0</v>
      </c>
      <c r="CA310" s="882"/>
      <c r="CB310" s="883">
        <v>0</v>
      </c>
      <c r="CC310" s="883">
        <v>1</v>
      </c>
      <c r="CD310" s="882"/>
      <c r="CE310" s="879"/>
      <c r="CF310" s="879"/>
      <c r="CG310" s="884">
        <v>1</v>
      </c>
      <c r="CH310" s="161"/>
    </row>
    <row r="311" spans="1:86">
      <c r="A311" s="73"/>
      <c r="B311" s="73"/>
      <c r="C311" s="738"/>
      <c r="D311" s="738" t="s">
        <v>1292</v>
      </c>
      <c r="E311" s="3262"/>
      <c r="F311" s="3262"/>
      <c r="G311" s="3262"/>
      <c r="H311" s="3262"/>
      <c r="I311" s="3262"/>
      <c r="J311" s="3262">
        <v>0</v>
      </c>
      <c r="K311" s="3262"/>
      <c r="L311" s="3262">
        <v>1</v>
      </c>
      <c r="M311" s="4674"/>
      <c r="N311" s="4674"/>
      <c r="O311" s="4674">
        <v>1</v>
      </c>
      <c r="P311" s="73"/>
      <c r="R311" s="74"/>
      <c r="S311" s="74"/>
      <c r="T311" s="74"/>
      <c r="U311" s="74" t="s">
        <v>1293</v>
      </c>
      <c r="V311" s="3229"/>
      <c r="W311" s="3229"/>
      <c r="X311" s="3229"/>
      <c r="Y311" s="3229"/>
      <c r="Z311" s="3229"/>
      <c r="AA311" s="3229">
        <v>0</v>
      </c>
      <c r="AB311" s="3229"/>
      <c r="AC311" s="3229">
        <v>6</v>
      </c>
      <c r="AD311" s="3229"/>
      <c r="AE311" s="121"/>
      <c r="AF311" s="121"/>
      <c r="AG311" s="121">
        <v>6</v>
      </c>
      <c r="AJ311" s="161"/>
      <c r="AK311" s="161"/>
      <c r="AL311" s="73"/>
      <c r="AM311" s="73" t="s">
        <v>1288</v>
      </c>
      <c r="AN311" s="2600"/>
      <c r="AO311" s="2600"/>
      <c r="AP311" s="2600"/>
      <c r="AQ311" s="2600"/>
      <c r="AR311" s="2600"/>
      <c r="AS311" s="2600"/>
      <c r="AT311" s="2600">
        <v>0</v>
      </c>
      <c r="AU311" s="2600">
        <v>7</v>
      </c>
      <c r="AV311" s="2600"/>
      <c r="AW311" s="161"/>
      <c r="AX311" s="161"/>
      <c r="AY311" s="161">
        <v>7</v>
      </c>
      <c r="AZ311" s="161"/>
      <c r="BB311" s="2191"/>
      <c r="BC311" s="2191"/>
      <c r="BD311" s="2192" t="s">
        <v>577</v>
      </c>
      <c r="BE311" s="2193" t="s">
        <v>1284</v>
      </c>
      <c r="BF311" s="2195">
        <v>1</v>
      </c>
      <c r="BG311" s="2194"/>
      <c r="BH311" s="2194"/>
      <c r="BI311" s="2194"/>
      <c r="BJ311" s="2195">
        <v>1</v>
      </c>
      <c r="BK311" s="2195">
        <v>2</v>
      </c>
      <c r="BL311" s="2195">
        <v>2</v>
      </c>
      <c r="BM311" s="2195">
        <v>0</v>
      </c>
      <c r="BN311" s="963"/>
      <c r="BO311" s="963"/>
      <c r="BP311" s="964">
        <v>6</v>
      </c>
      <c r="BQ311" s="73"/>
      <c r="BS311" s="879"/>
      <c r="BT311" s="879"/>
      <c r="BU311" s="880"/>
      <c r="BV311" s="907" t="s">
        <v>15</v>
      </c>
      <c r="BW311" s="908"/>
      <c r="BX311" s="909">
        <v>1</v>
      </c>
      <c r="BY311" s="908"/>
      <c r="BZ311" s="909">
        <v>2</v>
      </c>
      <c r="CA311" s="908"/>
      <c r="CB311" s="909">
        <v>3</v>
      </c>
      <c r="CC311" s="909">
        <v>3</v>
      </c>
      <c r="CD311" s="908"/>
      <c r="CE311" s="910"/>
      <c r="CF311" s="910"/>
      <c r="CG311" s="911">
        <v>9</v>
      </c>
      <c r="CH311" s="912">
        <f>+CG310/CG311</f>
        <v>0.1111111111111111</v>
      </c>
    </row>
    <row r="312" spans="1:86">
      <c r="A312" s="73"/>
      <c r="B312" s="73"/>
      <c r="C312" s="738"/>
      <c r="D312" s="738" t="s">
        <v>573</v>
      </c>
      <c r="E312" s="3262"/>
      <c r="F312" s="3262"/>
      <c r="G312" s="3262"/>
      <c r="H312" s="3262"/>
      <c r="I312" s="3262"/>
      <c r="J312" s="3262">
        <v>7</v>
      </c>
      <c r="K312" s="3262"/>
      <c r="L312" s="3262">
        <v>1</v>
      </c>
      <c r="M312" s="4674"/>
      <c r="N312" s="4674"/>
      <c r="O312" s="4674">
        <v>8</v>
      </c>
      <c r="P312" s="912">
        <v>0</v>
      </c>
      <c r="Q312" s="3197"/>
      <c r="R312" s="74"/>
      <c r="S312" s="74"/>
      <c r="T312" s="74"/>
      <c r="U312" s="761" t="s">
        <v>576</v>
      </c>
      <c r="V312" s="3230"/>
      <c r="W312" s="3230"/>
      <c r="X312" s="3230"/>
      <c r="Y312" s="3230"/>
      <c r="Z312" s="3230"/>
      <c r="AA312" s="3230">
        <v>1</v>
      </c>
      <c r="AB312" s="3230"/>
      <c r="AC312" s="3230">
        <v>17</v>
      </c>
      <c r="AD312" s="3230"/>
      <c r="AE312" s="729"/>
      <c r="AF312" s="729"/>
      <c r="AG312" s="729">
        <v>18</v>
      </c>
      <c r="AH312" s="4681">
        <f>+(AG310+AG311)/AG312</f>
        <v>0.3888888888888889</v>
      </c>
      <c r="AJ312" s="161"/>
      <c r="AK312" s="161"/>
      <c r="AL312" s="73"/>
      <c r="AM312" s="73" t="s">
        <v>1293</v>
      </c>
      <c r="AN312" s="2600"/>
      <c r="AO312" s="2600"/>
      <c r="AP312" s="2600"/>
      <c r="AQ312" s="2600"/>
      <c r="AR312" s="2600"/>
      <c r="AS312" s="2600"/>
      <c r="AT312" s="2600">
        <v>0</v>
      </c>
      <c r="AU312" s="2600">
        <v>7</v>
      </c>
      <c r="AV312" s="2600"/>
      <c r="AW312" s="161"/>
      <c r="AX312" s="161"/>
      <c r="AY312" s="161">
        <v>7</v>
      </c>
      <c r="AZ312" s="161"/>
      <c r="BB312" s="2191"/>
      <c r="BC312" s="2191"/>
      <c r="BD312" s="2192"/>
      <c r="BE312" s="2193" t="s">
        <v>1288</v>
      </c>
      <c r="BF312" s="2195">
        <v>0</v>
      </c>
      <c r="BG312" s="2194"/>
      <c r="BH312" s="2194"/>
      <c r="BI312" s="2194"/>
      <c r="BJ312" s="2195">
        <v>0</v>
      </c>
      <c r="BK312" s="2195">
        <v>2</v>
      </c>
      <c r="BL312" s="2195">
        <v>0</v>
      </c>
      <c r="BM312" s="2195">
        <v>0</v>
      </c>
      <c r="BN312" s="963"/>
      <c r="BO312" s="963"/>
      <c r="BP312" s="964">
        <v>2</v>
      </c>
      <c r="BQ312" s="73"/>
      <c r="BS312" s="879"/>
      <c r="BT312" s="879"/>
      <c r="BU312" s="880" t="s">
        <v>577</v>
      </c>
      <c r="BV312" s="881" t="s">
        <v>1284</v>
      </c>
      <c r="BW312" s="882"/>
      <c r="BX312" s="883">
        <v>0</v>
      </c>
      <c r="BY312" s="882"/>
      <c r="BZ312" s="883">
        <v>2</v>
      </c>
      <c r="CA312" s="882"/>
      <c r="CB312" s="883">
        <v>3</v>
      </c>
      <c r="CC312" s="883">
        <v>2</v>
      </c>
      <c r="CD312" s="882"/>
      <c r="CE312" s="879"/>
      <c r="CF312" s="879"/>
      <c r="CG312" s="884">
        <v>7</v>
      </c>
      <c r="CH312" s="161"/>
    </row>
    <row r="313" spans="1:86">
      <c r="A313" s="73"/>
      <c r="B313" s="73" t="s">
        <v>61</v>
      </c>
      <c r="C313" s="73" t="s">
        <v>870</v>
      </c>
      <c r="D313" s="73" t="s">
        <v>1292</v>
      </c>
      <c r="E313" s="3261"/>
      <c r="F313" s="3261"/>
      <c r="G313" s="3261"/>
      <c r="H313" s="3261"/>
      <c r="I313" s="3261"/>
      <c r="J313" s="3261"/>
      <c r="K313" s="3261">
        <v>21</v>
      </c>
      <c r="L313" s="3261">
        <v>1</v>
      </c>
      <c r="M313" s="161"/>
      <c r="N313" s="161"/>
      <c r="O313" s="161">
        <v>22</v>
      </c>
      <c r="P313" s="73"/>
      <c r="R313" s="74"/>
      <c r="S313" s="74" t="s">
        <v>64</v>
      </c>
      <c r="T313" s="74" t="s">
        <v>710</v>
      </c>
      <c r="U313" s="74" t="s">
        <v>1284</v>
      </c>
      <c r="V313" s="3229"/>
      <c r="W313" s="3229"/>
      <c r="X313" s="3229"/>
      <c r="Y313" s="3229">
        <v>1</v>
      </c>
      <c r="Z313" s="3229"/>
      <c r="AA313" s="3229"/>
      <c r="AB313" s="3229">
        <v>2</v>
      </c>
      <c r="AC313" s="3229">
        <v>2</v>
      </c>
      <c r="AD313" s="3229">
        <v>0</v>
      </c>
      <c r="AE313" s="121"/>
      <c r="AF313" s="121"/>
      <c r="AG313" s="121">
        <v>5</v>
      </c>
      <c r="AJ313" s="161"/>
      <c r="AK313" s="161"/>
      <c r="AL313" s="73"/>
      <c r="AM313" s="73" t="s">
        <v>1398</v>
      </c>
      <c r="AN313" s="2600"/>
      <c r="AO313" s="2600"/>
      <c r="AP313" s="2600"/>
      <c r="AQ313" s="2600"/>
      <c r="AR313" s="2600"/>
      <c r="AS313" s="2600"/>
      <c r="AT313" s="2600">
        <v>3</v>
      </c>
      <c r="AU313" s="2600">
        <v>1</v>
      </c>
      <c r="AV313" s="2600"/>
      <c r="AW313" s="161"/>
      <c r="AX313" s="161"/>
      <c r="AY313" s="161">
        <v>4</v>
      </c>
      <c r="AZ313" s="161"/>
      <c r="BB313" s="2191"/>
      <c r="BC313" s="2191"/>
      <c r="BD313" s="2192"/>
      <c r="BE313" s="2193" t="s">
        <v>1292</v>
      </c>
      <c r="BF313" s="2195">
        <v>0</v>
      </c>
      <c r="BG313" s="2194"/>
      <c r="BH313" s="2194"/>
      <c r="BI313" s="2194"/>
      <c r="BJ313" s="2195">
        <v>0</v>
      </c>
      <c r="BK313" s="2195">
        <v>0</v>
      </c>
      <c r="BL313" s="2195">
        <v>0</v>
      </c>
      <c r="BM313" s="2195">
        <v>6</v>
      </c>
      <c r="BN313" s="963"/>
      <c r="BO313" s="963"/>
      <c r="BP313" s="964">
        <v>6</v>
      </c>
      <c r="BQ313" s="73"/>
      <c r="BS313" s="879"/>
      <c r="BT313" s="879"/>
      <c r="BU313" s="880"/>
      <c r="BV313" s="881" t="s">
        <v>1286</v>
      </c>
      <c r="BW313" s="882"/>
      <c r="BX313" s="883">
        <v>1</v>
      </c>
      <c r="BY313" s="882"/>
      <c r="BZ313" s="883">
        <v>0</v>
      </c>
      <c r="CA313" s="882"/>
      <c r="CB313" s="883">
        <v>0</v>
      </c>
      <c r="CC313" s="883">
        <v>0</v>
      </c>
      <c r="CD313" s="882"/>
      <c r="CE313" s="879"/>
      <c r="CF313" s="879"/>
      <c r="CG313" s="884">
        <v>1</v>
      </c>
      <c r="CH313" s="161"/>
    </row>
    <row r="314" spans="1:86">
      <c r="A314" s="73"/>
      <c r="B314" s="73"/>
      <c r="C314" s="73"/>
      <c r="D314" s="738" t="s">
        <v>15</v>
      </c>
      <c r="E314" s="3262"/>
      <c r="F314" s="3262"/>
      <c r="G314" s="3262"/>
      <c r="H314" s="3262"/>
      <c r="I314" s="3262"/>
      <c r="J314" s="3262"/>
      <c r="K314" s="3262">
        <v>21</v>
      </c>
      <c r="L314" s="3262">
        <v>1</v>
      </c>
      <c r="M314" s="4674"/>
      <c r="N314" s="4674"/>
      <c r="O314" s="4674">
        <v>22</v>
      </c>
      <c r="P314" s="912">
        <v>0</v>
      </c>
      <c r="Q314" s="3197"/>
      <c r="R314" s="74"/>
      <c r="S314" s="74"/>
      <c r="T314" s="74"/>
      <c r="U314" s="74" t="s">
        <v>1288</v>
      </c>
      <c r="V314" s="3229"/>
      <c r="W314" s="3229"/>
      <c r="X314" s="3229"/>
      <c r="Y314" s="3229">
        <v>0</v>
      </c>
      <c r="Z314" s="3229"/>
      <c r="AA314" s="3229"/>
      <c r="AB314" s="3229">
        <v>1</v>
      </c>
      <c r="AC314" s="3229">
        <v>1</v>
      </c>
      <c r="AD314" s="3229">
        <v>0</v>
      </c>
      <c r="AE314" s="121"/>
      <c r="AF314" s="121"/>
      <c r="AG314" s="121">
        <v>2</v>
      </c>
      <c r="AJ314" s="161"/>
      <c r="AK314" s="161"/>
      <c r="AL314" s="73"/>
      <c r="AM314" s="738" t="s">
        <v>15</v>
      </c>
      <c r="AN314" s="2601"/>
      <c r="AO314" s="2601"/>
      <c r="AP314" s="2601"/>
      <c r="AQ314" s="2601"/>
      <c r="AR314" s="2601"/>
      <c r="AS314" s="2601"/>
      <c r="AT314" s="2601">
        <v>3</v>
      </c>
      <c r="AU314" s="2601">
        <v>17</v>
      </c>
      <c r="AV314" s="2601"/>
      <c r="AW314" s="151"/>
      <c r="AX314" s="151"/>
      <c r="AY314" s="151">
        <v>20</v>
      </c>
      <c r="AZ314" s="912">
        <f>+(AY311+AY312+AY313)/AY314</f>
        <v>0.9</v>
      </c>
      <c r="BB314" s="2191"/>
      <c r="BC314" s="2191"/>
      <c r="BD314" s="2192"/>
      <c r="BE314" s="2193" t="s">
        <v>1293</v>
      </c>
      <c r="BF314" s="2195">
        <v>0</v>
      </c>
      <c r="BG314" s="2194"/>
      <c r="BH314" s="2194"/>
      <c r="BI314" s="2194"/>
      <c r="BJ314" s="2195">
        <v>0</v>
      </c>
      <c r="BK314" s="2195">
        <v>0</v>
      </c>
      <c r="BL314" s="2195">
        <v>1</v>
      </c>
      <c r="BM314" s="2195">
        <v>0</v>
      </c>
      <c r="BN314" s="963"/>
      <c r="BO314" s="963"/>
      <c r="BP314" s="964">
        <v>1</v>
      </c>
      <c r="BQ314" s="73"/>
      <c r="BS314" s="879"/>
      <c r="BT314" s="879"/>
      <c r="BU314" s="880"/>
      <c r="BV314" s="881" t="s">
        <v>1293</v>
      </c>
      <c r="BW314" s="882"/>
      <c r="BX314" s="883">
        <v>0</v>
      </c>
      <c r="BY314" s="882"/>
      <c r="BZ314" s="883">
        <v>0</v>
      </c>
      <c r="CA314" s="882"/>
      <c r="CB314" s="883">
        <v>0</v>
      </c>
      <c r="CC314" s="883">
        <v>1</v>
      </c>
      <c r="CD314" s="882"/>
      <c r="CE314" s="879"/>
      <c r="CF314" s="879"/>
      <c r="CG314" s="884">
        <v>1</v>
      </c>
      <c r="CH314" s="161"/>
    </row>
    <row r="315" spans="1:86">
      <c r="A315" s="73"/>
      <c r="B315" s="73"/>
      <c r="C315" s="738" t="s">
        <v>576</v>
      </c>
      <c r="D315" s="738" t="s">
        <v>1292</v>
      </c>
      <c r="E315" s="3262"/>
      <c r="F315" s="3262"/>
      <c r="G315" s="3262"/>
      <c r="H315" s="3262"/>
      <c r="I315" s="3262"/>
      <c r="J315" s="3262"/>
      <c r="K315" s="3262">
        <v>21</v>
      </c>
      <c r="L315" s="3262">
        <v>1</v>
      </c>
      <c r="M315" s="4674"/>
      <c r="N315" s="4674"/>
      <c r="O315" s="4674">
        <v>22</v>
      </c>
      <c r="P315" s="73"/>
      <c r="R315" s="74"/>
      <c r="S315" s="74"/>
      <c r="T315" s="74"/>
      <c r="U315" s="74" t="s">
        <v>1292</v>
      </c>
      <c r="V315" s="3229"/>
      <c r="W315" s="3229"/>
      <c r="X315" s="3229"/>
      <c r="Y315" s="3229">
        <v>0</v>
      </c>
      <c r="Z315" s="3229"/>
      <c r="AA315" s="3229"/>
      <c r="AB315" s="3229">
        <v>0</v>
      </c>
      <c r="AC315" s="3229">
        <v>0</v>
      </c>
      <c r="AD315" s="3229">
        <v>5</v>
      </c>
      <c r="AE315" s="121"/>
      <c r="AF315" s="121"/>
      <c r="AG315" s="121">
        <v>5</v>
      </c>
      <c r="AJ315" s="161"/>
      <c r="AK315" s="161" t="s">
        <v>64</v>
      </c>
      <c r="AL315" s="73" t="s">
        <v>710</v>
      </c>
      <c r="AM315" s="73" t="s">
        <v>1284</v>
      </c>
      <c r="AN315" s="2600">
        <v>1</v>
      </c>
      <c r="AO315" s="2600">
        <v>0</v>
      </c>
      <c r="AP315" s="2600"/>
      <c r="AQ315" s="2600"/>
      <c r="AR315" s="2600">
        <v>1</v>
      </c>
      <c r="AS315" s="2600"/>
      <c r="AT315" s="2600">
        <v>1</v>
      </c>
      <c r="AU315" s="2600">
        <v>5</v>
      </c>
      <c r="AV315" s="2600">
        <v>0</v>
      </c>
      <c r="AW315" s="161"/>
      <c r="AX315" s="161"/>
      <c r="AY315" s="161">
        <v>8</v>
      </c>
      <c r="AZ315" s="161"/>
      <c r="BB315" s="2191"/>
      <c r="BC315" s="2191"/>
      <c r="BD315" s="2192"/>
      <c r="BE315" s="760" t="s">
        <v>577</v>
      </c>
      <c r="BF315" s="2197">
        <v>1</v>
      </c>
      <c r="BG315" s="2196"/>
      <c r="BH315" s="2196"/>
      <c r="BI315" s="2196"/>
      <c r="BJ315" s="2197">
        <v>1</v>
      </c>
      <c r="BK315" s="2197">
        <v>4</v>
      </c>
      <c r="BL315" s="2197">
        <v>3</v>
      </c>
      <c r="BM315" s="2197">
        <v>6</v>
      </c>
      <c r="BN315" s="972"/>
      <c r="BO315" s="972"/>
      <c r="BP315" s="973">
        <v>15</v>
      </c>
      <c r="BQ315" s="2154">
        <f>+(BP312+BP314)/BP315</f>
        <v>0.2</v>
      </c>
      <c r="BS315" s="879"/>
      <c r="BT315" s="879"/>
      <c r="BU315" s="880"/>
      <c r="BV315" s="907" t="s">
        <v>577</v>
      </c>
      <c r="BW315" s="908"/>
      <c r="BX315" s="909">
        <v>1</v>
      </c>
      <c r="BY315" s="908"/>
      <c r="BZ315" s="909">
        <v>2</v>
      </c>
      <c r="CA315" s="908"/>
      <c r="CB315" s="909">
        <v>3</v>
      </c>
      <c r="CC315" s="909">
        <v>3</v>
      </c>
      <c r="CD315" s="908"/>
      <c r="CE315" s="910"/>
      <c r="CF315" s="910"/>
      <c r="CG315" s="911">
        <v>9</v>
      </c>
      <c r="CH315" s="912">
        <f>+CG314/CG315</f>
        <v>0.1111111111111111</v>
      </c>
    </row>
    <row r="316" spans="1:86">
      <c r="A316" s="73"/>
      <c r="B316" s="73"/>
      <c r="C316" s="738"/>
      <c r="D316" s="738" t="s">
        <v>576</v>
      </c>
      <c r="E316" s="3262"/>
      <c r="F316" s="3262"/>
      <c r="G316" s="3262"/>
      <c r="H316" s="3262"/>
      <c r="I316" s="3262"/>
      <c r="J316" s="3262"/>
      <c r="K316" s="3262">
        <v>21</v>
      </c>
      <c r="L316" s="3262">
        <v>1</v>
      </c>
      <c r="M316" s="4674"/>
      <c r="N316" s="4674"/>
      <c r="O316" s="4674">
        <v>22</v>
      </c>
      <c r="P316" s="912">
        <v>0</v>
      </c>
      <c r="Q316" s="3197"/>
      <c r="R316" s="74"/>
      <c r="S316" s="74"/>
      <c r="T316" s="74"/>
      <c r="U316" s="74" t="s">
        <v>1293</v>
      </c>
      <c r="V316" s="3229"/>
      <c r="W316" s="3229"/>
      <c r="X316" s="3229"/>
      <c r="Y316" s="3229">
        <v>0</v>
      </c>
      <c r="Z316" s="3229"/>
      <c r="AA316" s="3229"/>
      <c r="AB316" s="3229">
        <v>0</v>
      </c>
      <c r="AC316" s="3229">
        <v>1</v>
      </c>
      <c r="AD316" s="3229">
        <v>0</v>
      </c>
      <c r="AE316" s="121"/>
      <c r="AF316" s="121"/>
      <c r="AG316" s="121">
        <v>1</v>
      </c>
      <c r="AJ316" s="161"/>
      <c r="AK316" s="161"/>
      <c r="AL316" s="73"/>
      <c r="AM316" s="73" t="s">
        <v>1286</v>
      </c>
      <c r="AN316" s="2600">
        <v>0</v>
      </c>
      <c r="AO316" s="2600">
        <v>1</v>
      </c>
      <c r="AP316" s="2600"/>
      <c r="AQ316" s="2600"/>
      <c r="AR316" s="2600">
        <v>0</v>
      </c>
      <c r="AS316" s="2600"/>
      <c r="AT316" s="2600">
        <v>0</v>
      </c>
      <c r="AU316" s="2600">
        <v>0</v>
      </c>
      <c r="AV316" s="2600">
        <v>0</v>
      </c>
      <c r="AW316" s="161"/>
      <c r="AX316" s="161"/>
      <c r="AY316" s="161">
        <v>1</v>
      </c>
      <c r="AZ316" s="161"/>
      <c r="BB316" s="2191"/>
      <c r="BC316" s="2191"/>
      <c r="BD316" s="2192" t="s">
        <v>265</v>
      </c>
      <c r="BE316" s="2193" t="s">
        <v>1283</v>
      </c>
      <c r="BF316" s="2195">
        <v>0</v>
      </c>
      <c r="BG316" s="2195">
        <v>0</v>
      </c>
      <c r="BH316" s="2195">
        <v>0</v>
      </c>
      <c r="BI316" s="2194"/>
      <c r="BJ316" s="2195">
        <v>0</v>
      </c>
      <c r="BK316" s="2195">
        <v>1</v>
      </c>
      <c r="BL316" s="2195">
        <v>0</v>
      </c>
      <c r="BM316" s="2195">
        <v>0</v>
      </c>
      <c r="BN316" s="963"/>
      <c r="BO316" s="963"/>
      <c r="BP316" s="964">
        <v>1</v>
      </c>
      <c r="BQ316" s="73"/>
      <c r="BS316" s="879"/>
      <c r="BT316" s="879"/>
      <c r="BU316" s="907" t="s">
        <v>265</v>
      </c>
      <c r="BV316" s="881" t="s">
        <v>1283</v>
      </c>
      <c r="BW316" s="883">
        <v>0</v>
      </c>
      <c r="BX316" s="883">
        <v>0</v>
      </c>
      <c r="BY316" s="882"/>
      <c r="BZ316" s="883">
        <v>0</v>
      </c>
      <c r="CA316" s="882"/>
      <c r="CB316" s="883">
        <v>1</v>
      </c>
      <c r="CC316" s="883">
        <v>0</v>
      </c>
      <c r="CD316" s="882"/>
      <c r="CE316" s="879"/>
      <c r="CF316" s="879"/>
      <c r="CG316" s="884">
        <v>1</v>
      </c>
      <c r="CH316" s="161"/>
    </row>
    <row r="317" spans="1:86">
      <c r="A317" s="73"/>
      <c r="B317" s="73" t="s">
        <v>64</v>
      </c>
      <c r="C317" s="73" t="s">
        <v>710</v>
      </c>
      <c r="D317" s="73" t="s">
        <v>1284</v>
      </c>
      <c r="E317" s="3261"/>
      <c r="F317" s="3261"/>
      <c r="G317" s="3261"/>
      <c r="H317" s="3261"/>
      <c r="I317" s="3261"/>
      <c r="J317" s="3261">
        <v>1</v>
      </c>
      <c r="K317" s="3261">
        <v>0</v>
      </c>
      <c r="L317" s="3261">
        <v>0</v>
      </c>
      <c r="M317" s="161"/>
      <c r="N317" s="161"/>
      <c r="O317" s="161">
        <v>1</v>
      </c>
      <c r="P317" s="73"/>
      <c r="R317" s="74"/>
      <c r="S317" s="74"/>
      <c r="T317" s="74"/>
      <c r="U317" s="761" t="s">
        <v>15</v>
      </c>
      <c r="V317" s="3230"/>
      <c r="W317" s="3230"/>
      <c r="X317" s="3230"/>
      <c r="Y317" s="3230">
        <v>1</v>
      </c>
      <c r="Z317" s="3230"/>
      <c r="AA317" s="3230"/>
      <c r="AB317" s="3230">
        <v>3</v>
      </c>
      <c r="AC317" s="3230">
        <v>4</v>
      </c>
      <c r="AD317" s="3230">
        <v>5</v>
      </c>
      <c r="AE317" s="729"/>
      <c r="AF317" s="729"/>
      <c r="AG317" s="729">
        <v>13</v>
      </c>
      <c r="AH317" s="813">
        <f>+(AG314+AG316)/AG317</f>
        <v>0.23076923076923078</v>
      </c>
      <c r="AJ317" s="161"/>
      <c r="AK317" s="161"/>
      <c r="AL317" s="73"/>
      <c r="AM317" s="73" t="s">
        <v>1288</v>
      </c>
      <c r="AN317" s="2600">
        <v>0</v>
      </c>
      <c r="AO317" s="2600">
        <v>0</v>
      </c>
      <c r="AP317" s="2600"/>
      <c r="AQ317" s="2600"/>
      <c r="AR317" s="2600">
        <v>0</v>
      </c>
      <c r="AS317" s="2600"/>
      <c r="AT317" s="2600">
        <v>1</v>
      </c>
      <c r="AU317" s="2600">
        <v>1</v>
      </c>
      <c r="AV317" s="2600">
        <v>0</v>
      </c>
      <c r="AW317" s="161"/>
      <c r="AX317" s="161"/>
      <c r="AY317" s="161">
        <v>2</v>
      </c>
      <c r="AZ317" s="161"/>
      <c r="BB317" s="2191"/>
      <c r="BC317" s="2191"/>
      <c r="BD317" s="2192"/>
      <c r="BE317" s="2193" t="s">
        <v>1284</v>
      </c>
      <c r="BF317" s="2195">
        <v>2</v>
      </c>
      <c r="BG317" s="2195">
        <v>0</v>
      </c>
      <c r="BH317" s="2195">
        <v>0</v>
      </c>
      <c r="BI317" s="2194"/>
      <c r="BJ317" s="2195">
        <v>1</v>
      </c>
      <c r="BK317" s="2195">
        <v>12</v>
      </c>
      <c r="BL317" s="2195">
        <v>3</v>
      </c>
      <c r="BM317" s="2195">
        <v>1</v>
      </c>
      <c r="BN317" s="963"/>
      <c r="BO317" s="963"/>
      <c r="BP317" s="964">
        <v>19</v>
      </c>
      <c r="BQ317" s="73"/>
      <c r="BS317" s="879"/>
      <c r="BT317" s="879"/>
      <c r="BU317" s="880"/>
      <c r="BV317" s="881" t="s">
        <v>1284</v>
      </c>
      <c r="BW317" s="883">
        <v>0</v>
      </c>
      <c r="BX317" s="883">
        <v>1</v>
      </c>
      <c r="BY317" s="882"/>
      <c r="BZ317" s="883">
        <v>2</v>
      </c>
      <c r="CA317" s="882"/>
      <c r="CB317" s="883">
        <v>10</v>
      </c>
      <c r="CC317" s="883">
        <v>2</v>
      </c>
      <c r="CD317" s="882"/>
      <c r="CE317" s="879"/>
      <c r="CF317" s="879"/>
      <c r="CG317" s="884">
        <v>15</v>
      </c>
      <c r="CH317" s="161"/>
    </row>
    <row r="318" spans="1:86">
      <c r="A318" s="73"/>
      <c r="B318" s="73"/>
      <c r="C318" s="73"/>
      <c r="D318" s="73" t="s">
        <v>1288</v>
      </c>
      <c r="E318" s="3261"/>
      <c r="F318" s="3261"/>
      <c r="G318" s="3261"/>
      <c r="H318" s="3261"/>
      <c r="I318" s="3261"/>
      <c r="J318" s="3261">
        <v>0</v>
      </c>
      <c r="K318" s="3261">
        <v>1</v>
      </c>
      <c r="L318" s="3261">
        <v>0</v>
      </c>
      <c r="M318" s="161"/>
      <c r="N318" s="161"/>
      <c r="O318" s="161">
        <v>1</v>
      </c>
      <c r="P318" s="73"/>
      <c r="R318" s="74"/>
      <c r="S318" s="74"/>
      <c r="T318" s="74" t="s">
        <v>577</v>
      </c>
      <c r="U318" s="74" t="s">
        <v>1284</v>
      </c>
      <c r="V318" s="3229"/>
      <c r="W318" s="3229"/>
      <c r="X318" s="3229"/>
      <c r="Y318" s="3229">
        <v>1</v>
      </c>
      <c r="Z318" s="3229"/>
      <c r="AA318" s="3229"/>
      <c r="AB318" s="3229">
        <v>2</v>
      </c>
      <c r="AC318" s="3229">
        <v>2</v>
      </c>
      <c r="AD318" s="3229">
        <v>0</v>
      </c>
      <c r="AE318" s="121"/>
      <c r="AF318" s="121"/>
      <c r="AG318" s="121">
        <v>5</v>
      </c>
      <c r="AJ318" s="161"/>
      <c r="AK318" s="161"/>
      <c r="AL318" s="73"/>
      <c r="AM318" s="73" t="s">
        <v>1292</v>
      </c>
      <c r="AN318" s="2600">
        <v>0</v>
      </c>
      <c r="AO318" s="2600">
        <v>0</v>
      </c>
      <c r="AP318" s="2600"/>
      <c r="AQ318" s="2600"/>
      <c r="AR318" s="2600">
        <v>0</v>
      </c>
      <c r="AS318" s="2600"/>
      <c r="AT318" s="2600">
        <v>0</v>
      </c>
      <c r="AU318" s="2600">
        <v>0</v>
      </c>
      <c r="AV318" s="2600">
        <v>1</v>
      </c>
      <c r="AW318" s="161"/>
      <c r="AX318" s="161"/>
      <c r="AY318" s="161">
        <v>1</v>
      </c>
      <c r="AZ318" s="161"/>
      <c r="BB318" s="2191"/>
      <c r="BC318" s="2191"/>
      <c r="BD318" s="2192"/>
      <c r="BE318" s="2193" t="s">
        <v>1286</v>
      </c>
      <c r="BF318" s="2195">
        <v>1</v>
      </c>
      <c r="BG318" s="2195">
        <v>0</v>
      </c>
      <c r="BH318" s="2195">
        <v>0</v>
      </c>
      <c r="BI318" s="2194"/>
      <c r="BJ318" s="2195">
        <v>0</v>
      </c>
      <c r="BK318" s="2195">
        <v>0</v>
      </c>
      <c r="BL318" s="2195">
        <v>0</v>
      </c>
      <c r="BM318" s="2195">
        <v>0</v>
      </c>
      <c r="BN318" s="963"/>
      <c r="BO318" s="963"/>
      <c r="BP318" s="964">
        <v>1</v>
      </c>
      <c r="BQ318" s="73"/>
      <c r="BS318" s="879"/>
      <c r="BT318" s="879"/>
      <c r="BU318" s="880"/>
      <c r="BV318" s="881" t="s">
        <v>1286</v>
      </c>
      <c r="BW318" s="883">
        <v>1</v>
      </c>
      <c r="BX318" s="883">
        <v>2</v>
      </c>
      <c r="BY318" s="882"/>
      <c r="BZ318" s="883">
        <v>0</v>
      </c>
      <c r="CA318" s="882"/>
      <c r="CB318" s="883">
        <v>0</v>
      </c>
      <c r="CC318" s="883">
        <v>0</v>
      </c>
      <c r="CD318" s="882"/>
      <c r="CE318" s="879"/>
      <c r="CF318" s="879"/>
      <c r="CG318" s="884">
        <v>3</v>
      </c>
      <c r="CH318" s="161"/>
    </row>
    <row r="319" spans="1:86">
      <c r="A319" s="73"/>
      <c r="B319" s="73"/>
      <c r="C319" s="73"/>
      <c r="D319" s="73" t="s">
        <v>1292</v>
      </c>
      <c r="E319" s="3261"/>
      <c r="F319" s="3261"/>
      <c r="G319" s="3261"/>
      <c r="H319" s="3261"/>
      <c r="I319" s="3261"/>
      <c r="J319" s="3261">
        <v>0</v>
      </c>
      <c r="K319" s="3261">
        <v>3</v>
      </c>
      <c r="L319" s="3261">
        <v>5</v>
      </c>
      <c r="M319" s="161"/>
      <c r="N319" s="161"/>
      <c r="O319" s="161">
        <v>8</v>
      </c>
      <c r="P319" s="73"/>
      <c r="R319" s="74"/>
      <c r="S319" s="74"/>
      <c r="T319" s="74"/>
      <c r="U319" s="74" t="s">
        <v>1288</v>
      </c>
      <c r="V319" s="3229"/>
      <c r="W319" s="3229"/>
      <c r="X319" s="3229"/>
      <c r="Y319" s="3229">
        <v>0</v>
      </c>
      <c r="Z319" s="3229"/>
      <c r="AA319" s="3229"/>
      <c r="AB319" s="3229">
        <v>1</v>
      </c>
      <c r="AC319" s="3229">
        <v>1</v>
      </c>
      <c r="AD319" s="3229">
        <v>0</v>
      </c>
      <c r="AE319" s="121"/>
      <c r="AF319" s="121"/>
      <c r="AG319" s="121">
        <v>2</v>
      </c>
      <c r="AJ319" s="161"/>
      <c r="AK319" s="161"/>
      <c r="AL319" s="73"/>
      <c r="AM319" s="73" t="s">
        <v>1293</v>
      </c>
      <c r="AN319" s="2600">
        <v>0</v>
      </c>
      <c r="AO319" s="2600">
        <v>0</v>
      </c>
      <c r="AP319" s="2600"/>
      <c r="AQ319" s="2600"/>
      <c r="AR319" s="2600">
        <v>0</v>
      </c>
      <c r="AS319" s="2600"/>
      <c r="AT319" s="2600">
        <v>0</v>
      </c>
      <c r="AU319" s="2600">
        <v>1</v>
      </c>
      <c r="AV319" s="2600">
        <v>0</v>
      </c>
      <c r="AW319" s="161"/>
      <c r="AX319" s="161"/>
      <c r="AY319" s="161">
        <v>1</v>
      </c>
      <c r="AZ319" s="161"/>
      <c r="BB319" s="2191"/>
      <c r="BC319" s="2191"/>
      <c r="BD319" s="2192"/>
      <c r="BE319" s="2193" t="s">
        <v>1288</v>
      </c>
      <c r="BF319" s="2195">
        <v>0</v>
      </c>
      <c r="BG319" s="2195">
        <v>0</v>
      </c>
      <c r="BH319" s="2195">
        <v>0</v>
      </c>
      <c r="BI319" s="2194"/>
      <c r="BJ319" s="2195">
        <v>0</v>
      </c>
      <c r="BK319" s="2195">
        <v>12</v>
      </c>
      <c r="BL319" s="2195">
        <v>2</v>
      </c>
      <c r="BM319" s="2195">
        <v>0</v>
      </c>
      <c r="BN319" s="963"/>
      <c r="BO319" s="963"/>
      <c r="BP319" s="964">
        <v>14</v>
      </c>
      <c r="BQ319" s="73"/>
      <c r="BS319" s="879"/>
      <c r="BT319" s="879"/>
      <c r="BU319" s="880"/>
      <c r="BV319" s="881" t="s">
        <v>1288</v>
      </c>
      <c r="BW319" s="883">
        <v>0</v>
      </c>
      <c r="BX319" s="883">
        <v>0</v>
      </c>
      <c r="BY319" s="882"/>
      <c r="BZ319" s="883">
        <v>0</v>
      </c>
      <c r="CA319" s="882"/>
      <c r="CB319" s="883">
        <v>6</v>
      </c>
      <c r="CC319" s="883">
        <v>0</v>
      </c>
      <c r="CD319" s="882"/>
      <c r="CE319" s="879"/>
      <c r="CF319" s="879"/>
      <c r="CG319" s="884">
        <v>6</v>
      </c>
      <c r="CH319" s="161"/>
    </row>
    <row r="320" spans="1:86">
      <c r="A320" s="73"/>
      <c r="B320" s="73"/>
      <c r="C320" s="73"/>
      <c r="D320" s="73" t="s">
        <v>1398</v>
      </c>
      <c r="E320" s="3261"/>
      <c r="F320" s="3261"/>
      <c r="G320" s="3261"/>
      <c r="H320" s="3261"/>
      <c r="I320" s="3261"/>
      <c r="J320" s="3261">
        <v>2</v>
      </c>
      <c r="K320" s="3261">
        <v>0</v>
      </c>
      <c r="L320" s="3261">
        <v>0</v>
      </c>
      <c r="M320" s="161"/>
      <c r="N320" s="161"/>
      <c r="O320" s="161">
        <v>2</v>
      </c>
      <c r="P320" s="73"/>
      <c r="R320" s="74"/>
      <c r="S320" s="74"/>
      <c r="T320" s="74"/>
      <c r="U320" s="74" t="s">
        <v>1292</v>
      </c>
      <c r="V320" s="3229"/>
      <c r="W320" s="3229"/>
      <c r="X320" s="3229"/>
      <c r="Y320" s="3229">
        <v>0</v>
      </c>
      <c r="Z320" s="3229"/>
      <c r="AA320" s="3229"/>
      <c r="AB320" s="3229">
        <v>0</v>
      </c>
      <c r="AC320" s="3229">
        <v>0</v>
      </c>
      <c r="AD320" s="3229">
        <v>5</v>
      </c>
      <c r="AE320" s="121"/>
      <c r="AF320" s="121"/>
      <c r="AG320" s="121">
        <v>5</v>
      </c>
      <c r="AJ320" s="161"/>
      <c r="AK320" s="161"/>
      <c r="AL320" s="73"/>
      <c r="AM320" s="73" t="s">
        <v>1398</v>
      </c>
      <c r="AN320" s="2600">
        <v>0</v>
      </c>
      <c r="AO320" s="2600">
        <v>0</v>
      </c>
      <c r="AP320" s="2600"/>
      <c r="AQ320" s="2600"/>
      <c r="AR320" s="2600">
        <v>0</v>
      </c>
      <c r="AS320" s="2600"/>
      <c r="AT320" s="2600">
        <v>1</v>
      </c>
      <c r="AU320" s="2600">
        <v>0</v>
      </c>
      <c r="AV320" s="2600">
        <v>0</v>
      </c>
      <c r="AW320" s="161"/>
      <c r="AX320" s="161"/>
      <c r="AY320" s="161">
        <v>1</v>
      </c>
      <c r="AZ320" s="161"/>
      <c r="BB320" s="2191"/>
      <c r="BC320" s="2191"/>
      <c r="BD320" s="2192"/>
      <c r="BE320" s="2193" t="s">
        <v>1289</v>
      </c>
      <c r="BF320" s="2195">
        <v>0</v>
      </c>
      <c r="BG320" s="2195">
        <v>1</v>
      </c>
      <c r="BH320" s="2195">
        <v>1</v>
      </c>
      <c r="BI320" s="2194"/>
      <c r="BJ320" s="2195">
        <v>0</v>
      </c>
      <c r="BK320" s="2195">
        <v>0</v>
      </c>
      <c r="BL320" s="2195">
        <v>0</v>
      </c>
      <c r="BM320" s="2195">
        <v>0</v>
      </c>
      <c r="BN320" s="963"/>
      <c r="BO320" s="963"/>
      <c r="BP320" s="964">
        <v>2</v>
      </c>
      <c r="BQ320" s="73"/>
      <c r="BS320" s="879"/>
      <c r="BT320" s="879"/>
      <c r="BU320" s="880"/>
      <c r="BV320" s="881" t="s">
        <v>1289</v>
      </c>
      <c r="BW320" s="883">
        <v>0</v>
      </c>
      <c r="BX320" s="883">
        <v>0</v>
      </c>
      <c r="BY320" s="882"/>
      <c r="BZ320" s="883">
        <v>0</v>
      </c>
      <c r="CA320" s="882"/>
      <c r="CB320" s="883">
        <v>0</v>
      </c>
      <c r="CC320" s="883">
        <v>1</v>
      </c>
      <c r="CD320" s="882"/>
      <c r="CE320" s="879"/>
      <c r="CF320" s="879"/>
      <c r="CG320" s="884">
        <v>1</v>
      </c>
      <c r="CH320" s="161"/>
    </row>
    <row r="321" spans="1:86">
      <c r="A321" s="73"/>
      <c r="B321" s="73"/>
      <c r="C321" s="73"/>
      <c r="D321" s="738" t="s">
        <v>15</v>
      </c>
      <c r="E321" s="3262"/>
      <c r="F321" s="3262"/>
      <c r="G321" s="3262"/>
      <c r="H321" s="3262"/>
      <c r="I321" s="3262"/>
      <c r="J321" s="3262">
        <v>3</v>
      </c>
      <c r="K321" s="3262">
        <v>4</v>
      </c>
      <c r="L321" s="3262">
        <v>5</v>
      </c>
      <c r="M321" s="4674"/>
      <c r="N321" s="4674"/>
      <c r="O321" s="4674">
        <v>12</v>
      </c>
      <c r="P321" s="912">
        <f>+(O320+O318)/O321</f>
        <v>0.25</v>
      </c>
      <c r="Q321" s="3197"/>
      <c r="R321" s="74"/>
      <c r="S321" s="74"/>
      <c r="T321" s="74"/>
      <c r="U321" s="74" t="s">
        <v>1293</v>
      </c>
      <c r="V321" s="3229"/>
      <c r="W321" s="3229"/>
      <c r="X321" s="3229"/>
      <c r="Y321" s="3229">
        <v>0</v>
      </c>
      <c r="Z321" s="3229"/>
      <c r="AA321" s="3229"/>
      <c r="AB321" s="3229">
        <v>0</v>
      </c>
      <c r="AC321" s="3229">
        <v>1</v>
      </c>
      <c r="AD321" s="3229">
        <v>0</v>
      </c>
      <c r="AE321" s="121"/>
      <c r="AF321" s="121"/>
      <c r="AG321" s="121">
        <v>1</v>
      </c>
      <c r="AJ321" s="161"/>
      <c r="AK321" s="161"/>
      <c r="AL321" s="73"/>
      <c r="AM321" s="738" t="s">
        <v>15</v>
      </c>
      <c r="AN321" s="2601">
        <v>1</v>
      </c>
      <c r="AO321" s="2601">
        <v>1</v>
      </c>
      <c r="AP321" s="2601"/>
      <c r="AQ321" s="2601"/>
      <c r="AR321" s="2601">
        <v>1</v>
      </c>
      <c r="AS321" s="2601"/>
      <c r="AT321" s="2601">
        <v>3</v>
      </c>
      <c r="AU321" s="2601">
        <v>7</v>
      </c>
      <c r="AV321" s="2601">
        <v>1</v>
      </c>
      <c r="AW321" s="151"/>
      <c r="AX321" s="151"/>
      <c r="AY321" s="151">
        <v>14</v>
      </c>
      <c r="AZ321" s="912">
        <f>+(AY317+AY319+AY320)/AY321</f>
        <v>0.2857142857142857</v>
      </c>
      <c r="BB321" s="2191"/>
      <c r="BC321" s="2191"/>
      <c r="BD321" s="2192"/>
      <c r="BE321" s="2193" t="s">
        <v>1292</v>
      </c>
      <c r="BF321" s="2195">
        <v>0</v>
      </c>
      <c r="BG321" s="2195">
        <v>0</v>
      </c>
      <c r="BH321" s="2195">
        <v>0</v>
      </c>
      <c r="BI321" s="2194"/>
      <c r="BJ321" s="2195">
        <v>0</v>
      </c>
      <c r="BK321" s="2195">
        <v>0</v>
      </c>
      <c r="BL321" s="2195">
        <v>0</v>
      </c>
      <c r="BM321" s="2195">
        <v>6</v>
      </c>
      <c r="BN321" s="963"/>
      <c r="BO321" s="963"/>
      <c r="BP321" s="964">
        <v>6</v>
      </c>
      <c r="BQ321" s="73"/>
      <c r="BS321" s="879"/>
      <c r="BT321" s="879"/>
      <c r="BU321" s="880"/>
      <c r="BV321" s="881" t="s">
        <v>1292</v>
      </c>
      <c r="BW321" s="883">
        <v>0</v>
      </c>
      <c r="BX321" s="883">
        <v>0</v>
      </c>
      <c r="BY321" s="882"/>
      <c r="BZ321" s="883">
        <v>0</v>
      </c>
      <c r="CA321" s="882"/>
      <c r="CB321" s="883">
        <v>0</v>
      </c>
      <c r="CC321" s="883">
        <v>1</v>
      </c>
      <c r="CD321" s="882"/>
      <c r="CE321" s="879"/>
      <c r="CF321" s="879"/>
      <c r="CG321" s="884">
        <v>1</v>
      </c>
      <c r="CH321" s="161"/>
    </row>
    <row r="322" spans="1:86">
      <c r="A322" s="73"/>
      <c r="B322" s="73"/>
      <c r="C322" s="738" t="s">
        <v>577</v>
      </c>
      <c r="D322" s="738" t="s">
        <v>1284</v>
      </c>
      <c r="E322" s="3262"/>
      <c r="F322" s="3262"/>
      <c r="G322" s="3262"/>
      <c r="H322" s="3262"/>
      <c r="I322" s="3262"/>
      <c r="J322" s="3262">
        <v>1</v>
      </c>
      <c r="K322" s="3262">
        <v>0</v>
      </c>
      <c r="L322" s="3262">
        <v>0</v>
      </c>
      <c r="M322" s="4674"/>
      <c r="N322" s="4674"/>
      <c r="O322" s="4674">
        <v>1</v>
      </c>
      <c r="P322" s="73"/>
      <c r="R322" s="74"/>
      <c r="S322" s="74"/>
      <c r="T322" s="74"/>
      <c r="U322" s="761" t="s">
        <v>577</v>
      </c>
      <c r="V322" s="3230"/>
      <c r="W322" s="3230"/>
      <c r="X322" s="3230"/>
      <c r="Y322" s="3230">
        <v>1</v>
      </c>
      <c r="Z322" s="3230"/>
      <c r="AA322" s="3230"/>
      <c r="AB322" s="3230">
        <v>3</v>
      </c>
      <c r="AC322" s="3230">
        <v>4</v>
      </c>
      <c r="AD322" s="3230">
        <v>5</v>
      </c>
      <c r="AE322" s="729"/>
      <c r="AF322" s="729"/>
      <c r="AG322" s="729">
        <v>13</v>
      </c>
      <c r="AH322" s="813">
        <f>+(AG319+AG321)/AG322</f>
        <v>0.23076923076923078</v>
      </c>
      <c r="AJ322" s="161"/>
      <c r="AK322" s="161"/>
      <c r="AL322" s="73" t="s">
        <v>15</v>
      </c>
      <c r="AM322" s="73" t="s">
        <v>1284</v>
      </c>
      <c r="AN322" s="2600">
        <v>1</v>
      </c>
      <c r="AO322" s="2600">
        <v>0</v>
      </c>
      <c r="AP322" s="2600"/>
      <c r="AQ322" s="2600"/>
      <c r="AR322" s="2600">
        <v>1</v>
      </c>
      <c r="AS322" s="2600"/>
      <c r="AT322" s="2600">
        <v>1</v>
      </c>
      <c r="AU322" s="2600">
        <v>5</v>
      </c>
      <c r="AV322" s="2600">
        <v>0</v>
      </c>
      <c r="AW322" s="161"/>
      <c r="AX322" s="161"/>
      <c r="AY322" s="161">
        <v>8</v>
      </c>
      <c r="AZ322" s="161"/>
      <c r="BB322" s="2191"/>
      <c r="BC322" s="2191"/>
      <c r="BD322" s="2192"/>
      <c r="BE322" s="2193" t="s">
        <v>1293</v>
      </c>
      <c r="BF322" s="2195">
        <v>0</v>
      </c>
      <c r="BG322" s="2195">
        <v>0</v>
      </c>
      <c r="BH322" s="2195">
        <v>0</v>
      </c>
      <c r="BI322" s="2194"/>
      <c r="BJ322" s="2195">
        <v>0</v>
      </c>
      <c r="BK322" s="2195">
        <v>4</v>
      </c>
      <c r="BL322" s="2195">
        <v>1</v>
      </c>
      <c r="BM322" s="2195">
        <v>0</v>
      </c>
      <c r="BN322" s="963"/>
      <c r="BO322" s="963"/>
      <c r="BP322" s="964">
        <v>5</v>
      </c>
      <c r="BQ322" s="73"/>
      <c r="BS322" s="879"/>
      <c r="BT322" s="879"/>
      <c r="BU322" s="880"/>
      <c r="BV322" s="881" t="s">
        <v>1293</v>
      </c>
      <c r="BW322" s="883">
        <v>0</v>
      </c>
      <c r="BX322" s="883">
        <v>0</v>
      </c>
      <c r="BY322" s="882"/>
      <c r="BZ322" s="883">
        <v>0</v>
      </c>
      <c r="CA322" s="882"/>
      <c r="CB322" s="883">
        <v>1</v>
      </c>
      <c r="CC322" s="883">
        <v>1</v>
      </c>
      <c r="CD322" s="882"/>
      <c r="CE322" s="879"/>
      <c r="CF322" s="879"/>
      <c r="CG322" s="884">
        <v>2</v>
      </c>
      <c r="CH322" s="161"/>
    </row>
    <row r="323" spans="1:86">
      <c r="A323" s="73"/>
      <c r="B323" s="73"/>
      <c r="C323" s="738"/>
      <c r="D323" s="738" t="s">
        <v>1288</v>
      </c>
      <c r="E323" s="3262"/>
      <c r="F323" s="3262"/>
      <c r="G323" s="3262"/>
      <c r="H323" s="3262"/>
      <c r="I323" s="3262"/>
      <c r="J323" s="3262">
        <v>0</v>
      </c>
      <c r="K323" s="3262">
        <v>1</v>
      </c>
      <c r="L323" s="3262">
        <v>0</v>
      </c>
      <c r="M323" s="4674"/>
      <c r="N323" s="4674"/>
      <c r="O323" s="4674">
        <v>1</v>
      </c>
      <c r="P323" s="73"/>
      <c r="R323" s="74"/>
      <c r="S323" s="74"/>
      <c r="T323" s="74" t="s">
        <v>265</v>
      </c>
      <c r="U323" s="74" t="s">
        <v>1284</v>
      </c>
      <c r="V323" s="3229"/>
      <c r="W323" s="3229"/>
      <c r="X323" s="3229">
        <v>0</v>
      </c>
      <c r="Y323" s="3229">
        <v>1</v>
      </c>
      <c r="Z323" s="3229"/>
      <c r="AA323" s="3229">
        <v>1</v>
      </c>
      <c r="AB323" s="3229">
        <v>12</v>
      </c>
      <c r="AC323" s="3229">
        <v>17</v>
      </c>
      <c r="AD323" s="3229">
        <v>0</v>
      </c>
      <c r="AE323" s="121"/>
      <c r="AF323" s="121"/>
      <c r="AG323" s="121">
        <v>31</v>
      </c>
      <c r="AJ323" s="161"/>
      <c r="AK323" s="161"/>
      <c r="AL323" s="73"/>
      <c r="AM323" s="73" t="s">
        <v>1286</v>
      </c>
      <c r="AN323" s="2600">
        <v>0</v>
      </c>
      <c r="AO323" s="2600">
        <v>1</v>
      </c>
      <c r="AP323" s="2600"/>
      <c r="AQ323" s="2600"/>
      <c r="AR323" s="2600">
        <v>0</v>
      </c>
      <c r="AS323" s="2600"/>
      <c r="AT323" s="2600">
        <v>0</v>
      </c>
      <c r="AU323" s="2600">
        <v>0</v>
      </c>
      <c r="AV323" s="2600">
        <v>0</v>
      </c>
      <c r="AW323" s="161"/>
      <c r="AX323" s="161"/>
      <c r="AY323" s="161">
        <v>1</v>
      </c>
      <c r="AZ323" s="161"/>
      <c r="BB323" s="2191"/>
      <c r="BC323" s="2191"/>
      <c r="BD323" s="2192"/>
      <c r="BE323" s="2193" t="s">
        <v>1398</v>
      </c>
      <c r="BF323" s="2195">
        <v>0</v>
      </c>
      <c r="BG323" s="2195">
        <v>0</v>
      </c>
      <c r="BH323" s="2195">
        <v>0</v>
      </c>
      <c r="BI323" s="2194"/>
      <c r="BJ323" s="2195">
        <v>0</v>
      </c>
      <c r="BK323" s="2195">
        <v>2</v>
      </c>
      <c r="BL323" s="2195">
        <v>0</v>
      </c>
      <c r="BM323" s="2195">
        <v>0</v>
      </c>
      <c r="BN323" s="963"/>
      <c r="BO323" s="963"/>
      <c r="BP323" s="964">
        <v>2</v>
      </c>
      <c r="BQ323" s="73"/>
      <c r="BS323" s="879"/>
      <c r="BT323" s="879"/>
      <c r="BU323" s="880"/>
      <c r="BV323" s="881" t="s">
        <v>1398</v>
      </c>
      <c r="BW323" s="883">
        <v>0</v>
      </c>
      <c r="BX323" s="883">
        <v>0</v>
      </c>
      <c r="BY323" s="882"/>
      <c r="BZ323" s="883">
        <v>0</v>
      </c>
      <c r="CA323" s="882"/>
      <c r="CB323" s="883">
        <v>4</v>
      </c>
      <c r="CC323" s="883">
        <v>1</v>
      </c>
      <c r="CD323" s="882"/>
      <c r="CE323" s="879"/>
      <c r="CF323" s="879"/>
      <c r="CG323" s="884">
        <v>5</v>
      </c>
      <c r="CH323" s="161"/>
    </row>
    <row r="324" spans="1:86">
      <c r="A324" s="73"/>
      <c r="B324" s="73"/>
      <c r="C324" s="738"/>
      <c r="D324" s="738" t="s">
        <v>1292</v>
      </c>
      <c r="E324" s="3262"/>
      <c r="F324" s="3262"/>
      <c r="G324" s="3262"/>
      <c r="H324" s="3262"/>
      <c r="I324" s="3262"/>
      <c r="J324" s="3262">
        <v>0</v>
      </c>
      <c r="K324" s="3262">
        <v>3</v>
      </c>
      <c r="L324" s="3262">
        <v>5</v>
      </c>
      <c r="M324" s="4674"/>
      <c r="N324" s="4674"/>
      <c r="O324" s="4674">
        <v>8</v>
      </c>
      <c r="P324" s="73"/>
      <c r="R324" s="74"/>
      <c r="S324" s="74"/>
      <c r="T324" s="74"/>
      <c r="U324" s="74" t="s">
        <v>1288</v>
      </c>
      <c r="V324" s="3229"/>
      <c r="W324" s="3229"/>
      <c r="X324" s="3229">
        <v>0</v>
      </c>
      <c r="Y324" s="3229">
        <v>0</v>
      </c>
      <c r="Z324" s="3229"/>
      <c r="AA324" s="3229">
        <v>0</v>
      </c>
      <c r="AB324" s="3229">
        <v>3</v>
      </c>
      <c r="AC324" s="3229">
        <v>2</v>
      </c>
      <c r="AD324" s="3229">
        <v>0</v>
      </c>
      <c r="AE324" s="121"/>
      <c r="AF324" s="121"/>
      <c r="AG324" s="121">
        <v>5</v>
      </c>
      <c r="AJ324" s="161"/>
      <c r="AK324" s="161"/>
      <c r="AL324" s="73"/>
      <c r="AM324" s="73" t="s">
        <v>1288</v>
      </c>
      <c r="AN324" s="2600">
        <v>0</v>
      </c>
      <c r="AO324" s="2600">
        <v>0</v>
      </c>
      <c r="AP324" s="2600"/>
      <c r="AQ324" s="2600"/>
      <c r="AR324" s="2600">
        <v>0</v>
      </c>
      <c r="AS324" s="2600"/>
      <c r="AT324" s="2600">
        <v>1</v>
      </c>
      <c r="AU324" s="2600">
        <v>1</v>
      </c>
      <c r="AV324" s="2600">
        <v>0</v>
      </c>
      <c r="AW324" s="161"/>
      <c r="AX324" s="161"/>
      <c r="AY324" s="161">
        <v>2</v>
      </c>
      <c r="AZ324" s="161"/>
      <c r="BB324" s="2191"/>
      <c r="BC324" s="2191"/>
      <c r="BD324" s="2192"/>
      <c r="BE324" s="760" t="s">
        <v>265</v>
      </c>
      <c r="BF324" s="2197">
        <v>3</v>
      </c>
      <c r="BG324" s="2197">
        <v>1</v>
      </c>
      <c r="BH324" s="2197">
        <v>1</v>
      </c>
      <c r="BI324" s="2196"/>
      <c r="BJ324" s="2197">
        <v>1</v>
      </c>
      <c r="BK324" s="2197">
        <v>31</v>
      </c>
      <c r="BL324" s="2197">
        <v>6</v>
      </c>
      <c r="BM324" s="2197">
        <v>7</v>
      </c>
      <c r="BN324" s="972"/>
      <c r="BO324" s="972"/>
      <c r="BP324" s="973">
        <v>50</v>
      </c>
      <c r="BQ324" s="2154">
        <f>+(BP319+BP322+BP323)/BP324</f>
        <v>0.42</v>
      </c>
      <c r="BS324" s="879"/>
      <c r="BT324" s="879"/>
      <c r="BU324" s="880"/>
      <c r="BV324" s="907" t="s">
        <v>265</v>
      </c>
      <c r="BW324" s="909">
        <v>1</v>
      </c>
      <c r="BX324" s="909">
        <v>3</v>
      </c>
      <c r="BY324" s="908"/>
      <c r="BZ324" s="909">
        <v>2</v>
      </c>
      <c r="CA324" s="908"/>
      <c r="CB324" s="909">
        <v>22</v>
      </c>
      <c r="CC324" s="909">
        <v>6</v>
      </c>
      <c r="CD324" s="908"/>
      <c r="CE324" s="910"/>
      <c r="CF324" s="910"/>
      <c r="CG324" s="911">
        <v>34</v>
      </c>
      <c r="CH324" s="912">
        <f>+(CG319+CG322+CG323)/CG324</f>
        <v>0.38235294117647056</v>
      </c>
    </row>
    <row r="325" spans="1:86">
      <c r="A325" s="73"/>
      <c r="B325" s="73"/>
      <c r="C325" s="738"/>
      <c r="D325" s="738" t="s">
        <v>1398</v>
      </c>
      <c r="E325" s="3262"/>
      <c r="F325" s="3262"/>
      <c r="G325" s="3262"/>
      <c r="H325" s="3262"/>
      <c r="I325" s="3262"/>
      <c r="J325" s="3262">
        <v>2</v>
      </c>
      <c r="K325" s="3262">
        <v>0</v>
      </c>
      <c r="L325" s="3262">
        <v>0</v>
      </c>
      <c r="M325" s="4674"/>
      <c r="N325" s="4674"/>
      <c r="O325" s="4674">
        <v>2</v>
      </c>
      <c r="P325" s="73"/>
      <c r="R325" s="74"/>
      <c r="S325" s="74"/>
      <c r="T325" s="74"/>
      <c r="U325" s="74" t="s">
        <v>1289</v>
      </c>
      <c r="V325" s="3229"/>
      <c r="W325" s="3229"/>
      <c r="X325" s="3229">
        <v>1</v>
      </c>
      <c r="Y325" s="3229">
        <v>0</v>
      </c>
      <c r="Z325" s="3229"/>
      <c r="AA325" s="3229">
        <v>1</v>
      </c>
      <c r="AB325" s="3229">
        <v>0</v>
      </c>
      <c r="AC325" s="3229">
        <v>0</v>
      </c>
      <c r="AD325" s="3229">
        <v>0</v>
      </c>
      <c r="AE325" s="121"/>
      <c r="AF325" s="121"/>
      <c r="AG325" s="121">
        <v>2</v>
      </c>
      <c r="AJ325" s="161"/>
      <c r="AK325" s="161"/>
      <c r="AL325" s="73"/>
      <c r="AM325" s="73" t="s">
        <v>1292</v>
      </c>
      <c r="AN325" s="2600">
        <v>0</v>
      </c>
      <c r="AO325" s="2600">
        <v>0</v>
      </c>
      <c r="AP325" s="2600"/>
      <c r="AQ325" s="2600"/>
      <c r="AR325" s="2600">
        <v>0</v>
      </c>
      <c r="AS325" s="2600"/>
      <c r="AT325" s="2600">
        <v>0</v>
      </c>
      <c r="AU325" s="2600">
        <v>0</v>
      </c>
      <c r="AV325" s="2600">
        <v>1</v>
      </c>
      <c r="AW325" s="161"/>
      <c r="AX325" s="161"/>
      <c r="AY325" s="161">
        <v>1</v>
      </c>
      <c r="AZ325" s="161"/>
      <c r="BB325" s="2191"/>
      <c r="BC325" s="2191"/>
      <c r="BD325" s="2192" t="s">
        <v>114</v>
      </c>
      <c r="BE325" s="2193" t="s">
        <v>1283</v>
      </c>
      <c r="BF325" s="2195">
        <v>0</v>
      </c>
      <c r="BG325" s="2195">
        <v>0</v>
      </c>
      <c r="BH325" s="2195">
        <v>0</v>
      </c>
      <c r="BI325" s="2195">
        <v>0</v>
      </c>
      <c r="BJ325" s="2195">
        <v>1</v>
      </c>
      <c r="BK325" s="2195">
        <v>3</v>
      </c>
      <c r="BL325" s="2195">
        <v>4</v>
      </c>
      <c r="BM325" s="2195">
        <v>14</v>
      </c>
      <c r="BN325" s="964">
        <v>2</v>
      </c>
      <c r="BO325" s="964">
        <v>11</v>
      </c>
      <c r="BP325" s="964">
        <v>35</v>
      </c>
      <c r="BQ325" s="73"/>
      <c r="BS325" s="879"/>
      <c r="BT325" s="879"/>
      <c r="BU325" s="880" t="s">
        <v>114</v>
      </c>
      <c r="BV325" s="881" t="s">
        <v>1283</v>
      </c>
      <c r="BW325" s="883">
        <v>0</v>
      </c>
      <c r="BX325" s="883">
        <v>0</v>
      </c>
      <c r="BY325" s="883">
        <v>1</v>
      </c>
      <c r="BZ325" s="883">
        <v>1</v>
      </c>
      <c r="CA325" s="883">
        <v>0</v>
      </c>
      <c r="CB325" s="883">
        <v>1</v>
      </c>
      <c r="CC325" s="883">
        <v>4</v>
      </c>
      <c r="CD325" s="883">
        <v>26</v>
      </c>
      <c r="CE325" s="884">
        <v>3</v>
      </c>
      <c r="CF325" s="884">
        <v>7</v>
      </c>
      <c r="CG325" s="884">
        <v>43</v>
      </c>
      <c r="CH325" s="161"/>
    </row>
    <row r="326" spans="1:86">
      <c r="A326" s="73"/>
      <c r="B326" s="73"/>
      <c r="C326" s="738"/>
      <c r="D326" s="738" t="s">
        <v>577</v>
      </c>
      <c r="E326" s="3262"/>
      <c r="F326" s="3262"/>
      <c r="G326" s="3262"/>
      <c r="H326" s="3262"/>
      <c r="I326" s="3262"/>
      <c r="J326" s="3262">
        <v>3</v>
      </c>
      <c r="K326" s="3262">
        <v>4</v>
      </c>
      <c r="L326" s="3262">
        <v>5</v>
      </c>
      <c r="M326" s="4674"/>
      <c r="N326" s="4674"/>
      <c r="O326" s="4674">
        <v>12</v>
      </c>
      <c r="P326" s="912">
        <f>+(O325+O323)/O326</f>
        <v>0.25</v>
      </c>
      <c r="Q326" s="3197"/>
      <c r="R326" s="74"/>
      <c r="S326" s="74"/>
      <c r="T326" s="74"/>
      <c r="U326" s="74" t="s">
        <v>1292</v>
      </c>
      <c r="V326" s="3229"/>
      <c r="W326" s="3229"/>
      <c r="X326" s="3229">
        <v>0</v>
      </c>
      <c r="Y326" s="3229">
        <v>0</v>
      </c>
      <c r="Z326" s="3229"/>
      <c r="AA326" s="3229">
        <v>0</v>
      </c>
      <c r="AB326" s="3229">
        <v>0</v>
      </c>
      <c r="AC326" s="3229">
        <v>1</v>
      </c>
      <c r="AD326" s="3229">
        <v>5</v>
      </c>
      <c r="AE326" s="121"/>
      <c r="AF326" s="121"/>
      <c r="AG326" s="121">
        <v>6</v>
      </c>
      <c r="AJ326" s="161"/>
      <c r="AK326" s="161"/>
      <c r="AL326" s="73"/>
      <c r="AM326" s="73" t="s">
        <v>1293</v>
      </c>
      <c r="AN326" s="2600">
        <v>0</v>
      </c>
      <c r="AO326" s="2600">
        <v>0</v>
      </c>
      <c r="AP326" s="2600"/>
      <c r="AQ326" s="2600"/>
      <c r="AR326" s="2600">
        <v>0</v>
      </c>
      <c r="AS326" s="2600"/>
      <c r="AT326" s="2600">
        <v>0</v>
      </c>
      <c r="AU326" s="2600">
        <v>1</v>
      </c>
      <c r="AV326" s="2600">
        <v>0</v>
      </c>
      <c r="AW326" s="161"/>
      <c r="AX326" s="161"/>
      <c r="AY326" s="161">
        <v>1</v>
      </c>
      <c r="AZ326" s="161"/>
      <c r="BB326" s="2191"/>
      <c r="BC326" s="2191"/>
      <c r="BD326" s="2192"/>
      <c r="BE326" s="2193" t="s">
        <v>1284</v>
      </c>
      <c r="BF326" s="2195">
        <v>10</v>
      </c>
      <c r="BG326" s="2195">
        <v>6</v>
      </c>
      <c r="BH326" s="2195">
        <v>7</v>
      </c>
      <c r="BI326" s="2195">
        <v>7</v>
      </c>
      <c r="BJ326" s="2195">
        <v>9</v>
      </c>
      <c r="BK326" s="2195">
        <v>91</v>
      </c>
      <c r="BL326" s="2195">
        <v>39</v>
      </c>
      <c r="BM326" s="2195">
        <v>7</v>
      </c>
      <c r="BN326" s="964">
        <v>3</v>
      </c>
      <c r="BO326" s="964">
        <v>0</v>
      </c>
      <c r="BP326" s="964">
        <v>179</v>
      </c>
      <c r="BQ326" s="73"/>
      <c r="BS326" s="879"/>
      <c r="BT326" s="879"/>
      <c r="BU326" s="880"/>
      <c r="BV326" s="881" t="s">
        <v>1284</v>
      </c>
      <c r="BW326" s="883">
        <v>12</v>
      </c>
      <c r="BX326" s="883">
        <v>9</v>
      </c>
      <c r="BY326" s="883">
        <v>41</v>
      </c>
      <c r="BZ326" s="883">
        <v>7</v>
      </c>
      <c r="CA326" s="883">
        <v>3</v>
      </c>
      <c r="CB326" s="883">
        <v>123</v>
      </c>
      <c r="CC326" s="883">
        <v>53</v>
      </c>
      <c r="CD326" s="883">
        <v>5</v>
      </c>
      <c r="CE326" s="884">
        <v>6</v>
      </c>
      <c r="CF326" s="884">
        <v>0</v>
      </c>
      <c r="CG326" s="884">
        <v>259</v>
      </c>
      <c r="CH326" s="161"/>
    </row>
    <row r="327" spans="1:86">
      <c r="A327" s="73"/>
      <c r="B327" s="73"/>
      <c r="C327" s="738" t="s">
        <v>265</v>
      </c>
      <c r="D327" s="738" t="s">
        <v>1284</v>
      </c>
      <c r="E327" s="3262"/>
      <c r="F327" s="3262"/>
      <c r="G327" s="3262"/>
      <c r="H327" s="3262"/>
      <c r="I327" s="3262"/>
      <c r="J327" s="3262">
        <v>8</v>
      </c>
      <c r="K327" s="3262">
        <v>0</v>
      </c>
      <c r="L327" s="3262">
        <v>0</v>
      </c>
      <c r="M327" s="4674"/>
      <c r="N327" s="4674"/>
      <c r="O327" s="4674">
        <v>8</v>
      </c>
      <c r="P327" s="73"/>
      <c r="R327" s="74"/>
      <c r="S327" s="74"/>
      <c r="T327" s="74"/>
      <c r="U327" s="74" t="s">
        <v>1293</v>
      </c>
      <c r="V327" s="3229"/>
      <c r="W327" s="3229"/>
      <c r="X327" s="3229">
        <v>0</v>
      </c>
      <c r="Y327" s="3229">
        <v>0</v>
      </c>
      <c r="Z327" s="3229"/>
      <c r="AA327" s="3229">
        <v>0</v>
      </c>
      <c r="AB327" s="3229">
        <v>1</v>
      </c>
      <c r="AC327" s="3229">
        <v>7</v>
      </c>
      <c r="AD327" s="3229">
        <v>0</v>
      </c>
      <c r="AE327" s="121"/>
      <c r="AF327" s="121"/>
      <c r="AG327" s="121">
        <v>8</v>
      </c>
      <c r="AJ327" s="161"/>
      <c r="AK327" s="161"/>
      <c r="AL327" s="73"/>
      <c r="AM327" s="73" t="s">
        <v>1398</v>
      </c>
      <c r="AN327" s="2600">
        <v>0</v>
      </c>
      <c r="AO327" s="2600">
        <v>0</v>
      </c>
      <c r="AP327" s="2600"/>
      <c r="AQ327" s="2600"/>
      <c r="AR327" s="2600">
        <v>0</v>
      </c>
      <c r="AS327" s="2600"/>
      <c r="AT327" s="2600">
        <v>1</v>
      </c>
      <c r="AU327" s="2600">
        <v>0</v>
      </c>
      <c r="AV327" s="2600">
        <v>0</v>
      </c>
      <c r="AW327" s="161"/>
      <c r="AX327" s="161"/>
      <c r="AY327" s="161">
        <v>1</v>
      </c>
      <c r="AZ327" s="161"/>
      <c r="BB327" s="2191"/>
      <c r="BC327" s="2191"/>
      <c r="BD327" s="2192"/>
      <c r="BE327" s="2193" t="s">
        <v>1286</v>
      </c>
      <c r="BF327" s="2195">
        <v>10</v>
      </c>
      <c r="BG327" s="2195">
        <v>7</v>
      </c>
      <c r="BH327" s="2195">
        <v>3</v>
      </c>
      <c r="BI327" s="2195">
        <v>1</v>
      </c>
      <c r="BJ327" s="2195">
        <v>1</v>
      </c>
      <c r="BK327" s="2195">
        <v>0</v>
      </c>
      <c r="BL327" s="2195">
        <v>0</v>
      </c>
      <c r="BM327" s="2195">
        <v>0</v>
      </c>
      <c r="BN327" s="964">
        <v>0</v>
      </c>
      <c r="BO327" s="964">
        <v>0</v>
      </c>
      <c r="BP327" s="964">
        <v>22</v>
      </c>
      <c r="BQ327" s="73"/>
      <c r="BS327" s="879"/>
      <c r="BT327" s="879"/>
      <c r="BU327" s="880"/>
      <c r="BV327" s="881" t="s">
        <v>1286</v>
      </c>
      <c r="BW327" s="883">
        <v>11</v>
      </c>
      <c r="BX327" s="883">
        <v>4</v>
      </c>
      <c r="BY327" s="883">
        <v>0</v>
      </c>
      <c r="BZ327" s="883">
        <v>0</v>
      </c>
      <c r="CA327" s="883">
        <v>0</v>
      </c>
      <c r="CB327" s="883">
        <v>0</v>
      </c>
      <c r="CC327" s="883">
        <v>0</v>
      </c>
      <c r="CD327" s="883">
        <v>0</v>
      </c>
      <c r="CE327" s="884">
        <v>0</v>
      </c>
      <c r="CF327" s="884">
        <v>0</v>
      </c>
      <c r="CG327" s="884">
        <v>15</v>
      </c>
      <c r="CH327" s="161"/>
    </row>
    <row r="328" spans="1:86">
      <c r="A328" s="73"/>
      <c r="B328" s="73"/>
      <c r="C328" s="738"/>
      <c r="D328" s="738" t="s">
        <v>1288</v>
      </c>
      <c r="E328" s="3262"/>
      <c r="F328" s="3262"/>
      <c r="G328" s="3262"/>
      <c r="H328" s="3262"/>
      <c r="I328" s="3262"/>
      <c r="J328" s="3262">
        <v>0</v>
      </c>
      <c r="K328" s="3262">
        <v>1</v>
      </c>
      <c r="L328" s="3262">
        <v>0</v>
      </c>
      <c r="M328" s="4674"/>
      <c r="N328" s="4674"/>
      <c r="O328" s="4674">
        <v>1</v>
      </c>
      <c r="P328" s="73"/>
      <c r="R328" s="74"/>
      <c r="S328" s="74"/>
      <c r="T328" s="74"/>
      <c r="U328" s="761" t="s">
        <v>265</v>
      </c>
      <c r="V328" s="3230"/>
      <c r="W328" s="3230"/>
      <c r="X328" s="3230">
        <v>1</v>
      </c>
      <c r="Y328" s="3230">
        <v>1</v>
      </c>
      <c r="Z328" s="3230"/>
      <c r="AA328" s="3230">
        <v>2</v>
      </c>
      <c r="AB328" s="3230">
        <v>16</v>
      </c>
      <c r="AC328" s="3230">
        <v>27</v>
      </c>
      <c r="AD328" s="3230">
        <v>5</v>
      </c>
      <c r="AE328" s="729"/>
      <c r="AF328" s="729"/>
      <c r="AG328" s="729">
        <v>52</v>
      </c>
      <c r="AH328" s="813">
        <f>+(AG324+AG327)/AG328</f>
        <v>0.25</v>
      </c>
      <c r="AJ328" s="161"/>
      <c r="AK328" s="161"/>
      <c r="AL328" s="73"/>
      <c r="AM328" s="738" t="s">
        <v>15</v>
      </c>
      <c r="AN328" s="2601">
        <v>1</v>
      </c>
      <c r="AO328" s="2601">
        <v>1</v>
      </c>
      <c r="AP328" s="2601"/>
      <c r="AQ328" s="2601"/>
      <c r="AR328" s="2601">
        <v>1</v>
      </c>
      <c r="AS328" s="2601"/>
      <c r="AT328" s="2601">
        <v>3</v>
      </c>
      <c r="AU328" s="2601">
        <v>7</v>
      </c>
      <c r="AV328" s="2601">
        <v>1</v>
      </c>
      <c r="AW328" s="151"/>
      <c r="AX328" s="151"/>
      <c r="AY328" s="151">
        <v>14</v>
      </c>
      <c r="AZ328" s="912">
        <f>+(AY324+AY326+AY327)/AY328</f>
        <v>0.2857142857142857</v>
      </c>
      <c r="BB328" s="2191"/>
      <c r="BC328" s="2191"/>
      <c r="BD328" s="2192"/>
      <c r="BE328" s="2193" t="s">
        <v>1288</v>
      </c>
      <c r="BF328" s="2195">
        <v>0</v>
      </c>
      <c r="BG328" s="2195">
        <v>0</v>
      </c>
      <c r="BH328" s="2195">
        <v>8</v>
      </c>
      <c r="BI328" s="2195">
        <v>3</v>
      </c>
      <c r="BJ328" s="2195">
        <v>3</v>
      </c>
      <c r="BK328" s="2195">
        <v>31</v>
      </c>
      <c r="BL328" s="2195">
        <v>19</v>
      </c>
      <c r="BM328" s="2195">
        <v>1</v>
      </c>
      <c r="BN328" s="964">
        <v>0</v>
      </c>
      <c r="BO328" s="964">
        <v>0</v>
      </c>
      <c r="BP328" s="964">
        <v>65</v>
      </c>
      <c r="BQ328" s="73"/>
      <c r="BS328" s="879"/>
      <c r="BT328" s="879"/>
      <c r="BU328" s="880"/>
      <c r="BV328" s="881" t="s">
        <v>1288</v>
      </c>
      <c r="BW328" s="883">
        <v>0</v>
      </c>
      <c r="BX328" s="883">
        <v>0</v>
      </c>
      <c r="BY328" s="883">
        <v>1</v>
      </c>
      <c r="BZ328" s="883">
        <v>0</v>
      </c>
      <c r="CA328" s="883">
        <v>1</v>
      </c>
      <c r="CB328" s="883">
        <v>26</v>
      </c>
      <c r="CC328" s="883">
        <v>70</v>
      </c>
      <c r="CD328" s="883">
        <v>10</v>
      </c>
      <c r="CE328" s="884">
        <v>2</v>
      </c>
      <c r="CF328" s="884">
        <v>0</v>
      </c>
      <c r="CG328" s="884">
        <v>110</v>
      </c>
      <c r="CH328" s="161"/>
    </row>
    <row r="329" spans="1:86">
      <c r="A329" s="73"/>
      <c r="B329" s="73"/>
      <c r="C329" s="738"/>
      <c r="D329" s="738" t="s">
        <v>1292</v>
      </c>
      <c r="E329" s="3262"/>
      <c r="F329" s="3262"/>
      <c r="G329" s="3262"/>
      <c r="H329" s="3262"/>
      <c r="I329" s="3262"/>
      <c r="J329" s="3262">
        <v>0</v>
      </c>
      <c r="K329" s="3262">
        <v>24</v>
      </c>
      <c r="L329" s="3262">
        <v>7</v>
      </c>
      <c r="M329" s="4674"/>
      <c r="N329" s="4674"/>
      <c r="O329" s="4674">
        <v>31</v>
      </c>
      <c r="P329" s="73"/>
      <c r="R329" s="74"/>
      <c r="S329" s="74"/>
      <c r="T329" s="74" t="s">
        <v>114</v>
      </c>
      <c r="U329" s="74" t="s">
        <v>1283</v>
      </c>
      <c r="V329" s="3229">
        <v>0</v>
      </c>
      <c r="W329" s="3229">
        <v>0</v>
      </c>
      <c r="X329" s="3229">
        <v>0</v>
      </c>
      <c r="Y329" s="3229">
        <v>0</v>
      </c>
      <c r="Z329" s="3229">
        <v>0</v>
      </c>
      <c r="AA329" s="3229">
        <v>1</v>
      </c>
      <c r="AB329" s="3229">
        <v>0</v>
      </c>
      <c r="AC329" s="3229">
        <v>5</v>
      </c>
      <c r="AD329" s="3229">
        <v>11</v>
      </c>
      <c r="AE329" s="121">
        <v>4</v>
      </c>
      <c r="AF329" s="121">
        <v>4</v>
      </c>
      <c r="AG329" s="121">
        <v>25</v>
      </c>
      <c r="AJ329" s="161"/>
      <c r="AK329" s="161"/>
      <c r="AL329" s="73" t="s">
        <v>265</v>
      </c>
      <c r="AM329" s="73" t="s">
        <v>1284</v>
      </c>
      <c r="AN329" s="2600">
        <v>1</v>
      </c>
      <c r="AO329" s="2600">
        <v>0</v>
      </c>
      <c r="AP329" s="2600"/>
      <c r="AQ329" s="2600"/>
      <c r="AR329" s="2600">
        <v>1</v>
      </c>
      <c r="AS329" s="2600"/>
      <c r="AT329" s="2600">
        <v>7</v>
      </c>
      <c r="AU329" s="2600">
        <v>7</v>
      </c>
      <c r="AV329" s="2600">
        <v>0</v>
      </c>
      <c r="AW329" s="161"/>
      <c r="AX329" s="161"/>
      <c r="AY329" s="161">
        <v>16</v>
      </c>
      <c r="AZ329" s="161"/>
      <c r="BB329" s="2191"/>
      <c r="BC329" s="2191"/>
      <c r="BD329" s="2192"/>
      <c r="BE329" s="2193" t="s">
        <v>1289</v>
      </c>
      <c r="BF329" s="2195">
        <v>0</v>
      </c>
      <c r="BG329" s="2195">
        <v>2</v>
      </c>
      <c r="BH329" s="2195">
        <v>8</v>
      </c>
      <c r="BI329" s="2195">
        <v>9</v>
      </c>
      <c r="BJ329" s="2195">
        <v>8</v>
      </c>
      <c r="BK329" s="2195">
        <v>10</v>
      </c>
      <c r="BL329" s="2195">
        <v>1</v>
      </c>
      <c r="BM329" s="2195">
        <v>0</v>
      </c>
      <c r="BN329" s="964">
        <v>0</v>
      </c>
      <c r="BO329" s="964">
        <v>0</v>
      </c>
      <c r="BP329" s="964">
        <v>38</v>
      </c>
      <c r="BQ329" s="73"/>
      <c r="BS329" s="879"/>
      <c r="BT329" s="879"/>
      <c r="BU329" s="880"/>
      <c r="BV329" s="881" t="s">
        <v>1289</v>
      </c>
      <c r="BW329" s="883">
        <v>2</v>
      </c>
      <c r="BX329" s="883">
        <v>2</v>
      </c>
      <c r="BY329" s="883">
        <v>3</v>
      </c>
      <c r="BZ329" s="883">
        <v>2</v>
      </c>
      <c r="CA329" s="883">
        <v>3</v>
      </c>
      <c r="CB329" s="883">
        <v>2</v>
      </c>
      <c r="CC329" s="883">
        <v>2</v>
      </c>
      <c r="CD329" s="883">
        <v>0</v>
      </c>
      <c r="CE329" s="884">
        <v>0</v>
      </c>
      <c r="CF329" s="884">
        <v>0</v>
      </c>
      <c r="CG329" s="884">
        <v>16</v>
      </c>
      <c r="CH329" s="161"/>
    </row>
    <row r="330" spans="1:86">
      <c r="A330" s="73"/>
      <c r="B330" s="73"/>
      <c r="C330" s="738"/>
      <c r="D330" s="738" t="s">
        <v>1398</v>
      </c>
      <c r="E330" s="3262"/>
      <c r="F330" s="3262"/>
      <c r="G330" s="3262"/>
      <c r="H330" s="3262"/>
      <c r="I330" s="3262"/>
      <c r="J330" s="3262">
        <v>2</v>
      </c>
      <c r="K330" s="3262">
        <v>0</v>
      </c>
      <c r="L330" s="3262">
        <v>0</v>
      </c>
      <c r="M330" s="4674"/>
      <c r="N330" s="4674"/>
      <c r="O330" s="4674">
        <v>2</v>
      </c>
      <c r="P330" s="73"/>
      <c r="R330" s="74"/>
      <c r="S330" s="74"/>
      <c r="T330" s="74"/>
      <c r="U330" s="74" t="s">
        <v>1284</v>
      </c>
      <c r="V330" s="3229">
        <v>2</v>
      </c>
      <c r="W330" s="3229">
        <v>14</v>
      </c>
      <c r="X330" s="3229">
        <v>8</v>
      </c>
      <c r="Y330" s="3229">
        <v>4</v>
      </c>
      <c r="Z330" s="3229">
        <v>8</v>
      </c>
      <c r="AA330" s="3229">
        <v>12</v>
      </c>
      <c r="AB330" s="3229">
        <v>126</v>
      </c>
      <c r="AC330" s="3229">
        <v>61</v>
      </c>
      <c r="AD330" s="3229">
        <v>7</v>
      </c>
      <c r="AE330" s="121">
        <v>1</v>
      </c>
      <c r="AF330" s="121">
        <v>0</v>
      </c>
      <c r="AG330" s="121">
        <v>243</v>
      </c>
      <c r="AJ330" s="161"/>
      <c r="AK330" s="161"/>
      <c r="AL330" s="73"/>
      <c r="AM330" s="73" t="s">
        <v>1286</v>
      </c>
      <c r="AN330" s="2600">
        <v>0</v>
      </c>
      <c r="AO330" s="2600">
        <v>1</v>
      </c>
      <c r="AP330" s="2600"/>
      <c r="AQ330" s="2600"/>
      <c r="AR330" s="2600">
        <v>0</v>
      </c>
      <c r="AS330" s="2600"/>
      <c r="AT330" s="2600">
        <v>0</v>
      </c>
      <c r="AU330" s="2600">
        <v>0</v>
      </c>
      <c r="AV330" s="2600">
        <v>0</v>
      </c>
      <c r="AW330" s="161"/>
      <c r="AX330" s="161"/>
      <c r="AY330" s="161">
        <v>1</v>
      </c>
      <c r="AZ330" s="161"/>
      <c r="BB330" s="2191"/>
      <c r="BC330" s="2191"/>
      <c r="BD330" s="2192"/>
      <c r="BE330" s="2193" t="s">
        <v>1292</v>
      </c>
      <c r="BF330" s="2195">
        <v>0</v>
      </c>
      <c r="BG330" s="2195">
        <v>0</v>
      </c>
      <c r="BH330" s="2195">
        <v>0</v>
      </c>
      <c r="BI330" s="2195">
        <v>2</v>
      </c>
      <c r="BJ330" s="2195">
        <v>4</v>
      </c>
      <c r="BK330" s="2195">
        <v>1</v>
      </c>
      <c r="BL330" s="2195">
        <v>8</v>
      </c>
      <c r="BM330" s="2195">
        <v>87</v>
      </c>
      <c r="BN330" s="964">
        <v>5</v>
      </c>
      <c r="BO330" s="964">
        <v>15</v>
      </c>
      <c r="BP330" s="964">
        <v>122</v>
      </c>
      <c r="BQ330" s="73"/>
      <c r="BS330" s="879"/>
      <c r="BT330" s="879"/>
      <c r="BU330" s="880"/>
      <c r="BV330" s="881" t="s">
        <v>1292</v>
      </c>
      <c r="BW330" s="883">
        <v>0</v>
      </c>
      <c r="BX330" s="883">
        <v>0</v>
      </c>
      <c r="BY330" s="883">
        <v>0</v>
      </c>
      <c r="BZ330" s="883">
        <v>0</v>
      </c>
      <c r="CA330" s="883">
        <v>0</v>
      </c>
      <c r="CB330" s="883">
        <v>0</v>
      </c>
      <c r="CC330" s="883">
        <v>8</v>
      </c>
      <c r="CD330" s="883">
        <v>95</v>
      </c>
      <c r="CE330" s="884">
        <v>4</v>
      </c>
      <c r="CF330" s="884">
        <v>3</v>
      </c>
      <c r="CG330" s="884">
        <v>110</v>
      </c>
      <c r="CH330" s="161"/>
    </row>
    <row r="331" spans="1:86">
      <c r="A331" s="73"/>
      <c r="B331" s="73"/>
      <c r="C331" s="738"/>
      <c r="D331" s="738" t="s">
        <v>265</v>
      </c>
      <c r="E331" s="3262"/>
      <c r="F331" s="3262"/>
      <c r="G331" s="3262"/>
      <c r="H331" s="3262"/>
      <c r="I331" s="3262"/>
      <c r="J331" s="3262">
        <v>10</v>
      </c>
      <c r="K331" s="3262">
        <v>25</v>
      </c>
      <c r="L331" s="3262">
        <v>7</v>
      </c>
      <c r="M331" s="4674"/>
      <c r="N331" s="4674"/>
      <c r="O331" s="4674">
        <v>42</v>
      </c>
      <c r="P331" s="912">
        <f>+(O330+O328)/O331</f>
        <v>7.1428571428571425E-2</v>
      </c>
      <c r="Q331" s="3197"/>
      <c r="R331" s="74"/>
      <c r="S331" s="74"/>
      <c r="T331" s="74"/>
      <c r="U331" s="74" t="s">
        <v>1286</v>
      </c>
      <c r="V331" s="3229">
        <v>1</v>
      </c>
      <c r="W331" s="3229">
        <v>4</v>
      </c>
      <c r="X331" s="3229">
        <v>2</v>
      </c>
      <c r="Y331" s="3229">
        <v>1</v>
      </c>
      <c r="Z331" s="3229">
        <v>0</v>
      </c>
      <c r="AA331" s="3229">
        <v>0</v>
      </c>
      <c r="AB331" s="3229">
        <v>0</v>
      </c>
      <c r="AC331" s="3229">
        <v>0</v>
      </c>
      <c r="AD331" s="3229">
        <v>0</v>
      </c>
      <c r="AE331" s="121">
        <v>0</v>
      </c>
      <c r="AF331" s="121">
        <v>0</v>
      </c>
      <c r="AG331" s="121">
        <v>8</v>
      </c>
      <c r="AJ331" s="161"/>
      <c r="AK331" s="161"/>
      <c r="AL331" s="73"/>
      <c r="AM331" s="73" t="s">
        <v>1288</v>
      </c>
      <c r="AN331" s="2600">
        <v>0</v>
      </c>
      <c r="AO331" s="2600">
        <v>0</v>
      </c>
      <c r="AP331" s="2600"/>
      <c r="AQ331" s="2600"/>
      <c r="AR331" s="2600">
        <v>0</v>
      </c>
      <c r="AS331" s="2600"/>
      <c r="AT331" s="2600">
        <v>3</v>
      </c>
      <c r="AU331" s="2600">
        <v>8</v>
      </c>
      <c r="AV331" s="2600">
        <v>0</v>
      </c>
      <c r="AW331" s="161"/>
      <c r="AX331" s="161"/>
      <c r="AY331" s="161">
        <v>11</v>
      </c>
      <c r="AZ331" s="161"/>
      <c r="BB331" s="2191"/>
      <c r="BC331" s="2191"/>
      <c r="BD331" s="2192"/>
      <c r="BE331" s="2193" t="s">
        <v>1293</v>
      </c>
      <c r="BF331" s="2195">
        <v>0</v>
      </c>
      <c r="BG331" s="2195">
        <v>0</v>
      </c>
      <c r="BH331" s="2195">
        <v>0</v>
      </c>
      <c r="BI331" s="2195">
        <v>1</v>
      </c>
      <c r="BJ331" s="2195">
        <v>2</v>
      </c>
      <c r="BK331" s="2195">
        <v>43</v>
      </c>
      <c r="BL331" s="2195">
        <v>6</v>
      </c>
      <c r="BM331" s="2195">
        <v>1</v>
      </c>
      <c r="BN331" s="964">
        <v>0</v>
      </c>
      <c r="BO331" s="964">
        <v>1</v>
      </c>
      <c r="BP331" s="964">
        <v>54</v>
      </c>
      <c r="BQ331" s="73"/>
      <c r="BS331" s="879"/>
      <c r="BT331" s="879"/>
      <c r="BU331" s="880"/>
      <c r="BV331" s="881" t="s">
        <v>1293</v>
      </c>
      <c r="BW331" s="883">
        <v>0</v>
      </c>
      <c r="BX331" s="883">
        <v>0</v>
      </c>
      <c r="BY331" s="883">
        <v>7</v>
      </c>
      <c r="BZ331" s="883">
        <v>0</v>
      </c>
      <c r="CA331" s="883">
        <v>2</v>
      </c>
      <c r="CB331" s="883">
        <v>23</v>
      </c>
      <c r="CC331" s="883">
        <v>9</v>
      </c>
      <c r="CD331" s="883">
        <v>2</v>
      </c>
      <c r="CE331" s="884">
        <v>0</v>
      </c>
      <c r="CF331" s="884">
        <v>0</v>
      </c>
      <c r="CG331" s="884">
        <v>43</v>
      </c>
      <c r="CH331" s="161"/>
    </row>
    <row r="332" spans="1:86">
      <c r="A332" s="73"/>
      <c r="B332" s="73"/>
      <c r="C332" s="738" t="s">
        <v>114</v>
      </c>
      <c r="D332" s="738" t="s">
        <v>1283</v>
      </c>
      <c r="E332" s="3262">
        <v>0</v>
      </c>
      <c r="F332" s="3262">
        <v>0</v>
      </c>
      <c r="G332" s="3262">
        <v>1</v>
      </c>
      <c r="H332" s="3262">
        <v>0</v>
      </c>
      <c r="I332" s="3262">
        <v>2</v>
      </c>
      <c r="J332" s="3262">
        <v>2</v>
      </c>
      <c r="K332" s="3262">
        <v>6</v>
      </c>
      <c r="L332" s="3262">
        <v>14</v>
      </c>
      <c r="M332" s="4674">
        <v>0</v>
      </c>
      <c r="N332" s="4674">
        <v>0</v>
      </c>
      <c r="O332" s="4674">
        <v>25</v>
      </c>
      <c r="P332" s="73"/>
      <c r="R332" s="74"/>
      <c r="S332" s="74"/>
      <c r="T332" s="74"/>
      <c r="U332" s="74" t="s">
        <v>1288</v>
      </c>
      <c r="V332" s="3229">
        <v>0</v>
      </c>
      <c r="W332" s="3229">
        <v>0</v>
      </c>
      <c r="X332" s="3229">
        <v>0</v>
      </c>
      <c r="Y332" s="3229">
        <v>0</v>
      </c>
      <c r="Z332" s="3229">
        <v>5</v>
      </c>
      <c r="AA332" s="3229">
        <v>2</v>
      </c>
      <c r="AB332" s="3229">
        <v>47</v>
      </c>
      <c r="AC332" s="3229">
        <v>33</v>
      </c>
      <c r="AD332" s="3229">
        <v>8</v>
      </c>
      <c r="AE332" s="121">
        <v>2</v>
      </c>
      <c r="AF332" s="121">
        <v>0</v>
      </c>
      <c r="AG332" s="121">
        <v>97</v>
      </c>
      <c r="AJ332" s="161"/>
      <c r="AK332" s="161"/>
      <c r="AL332" s="73"/>
      <c r="AM332" s="73" t="s">
        <v>1289</v>
      </c>
      <c r="AN332" s="2600">
        <v>0</v>
      </c>
      <c r="AO332" s="2600">
        <v>0</v>
      </c>
      <c r="AP332" s="2600"/>
      <c r="AQ332" s="2600"/>
      <c r="AR332" s="2600">
        <v>0</v>
      </c>
      <c r="AS332" s="2600"/>
      <c r="AT332" s="2600">
        <v>1</v>
      </c>
      <c r="AU332" s="2600">
        <v>0</v>
      </c>
      <c r="AV332" s="2600">
        <v>0</v>
      </c>
      <c r="AW332" s="161"/>
      <c r="AX332" s="161"/>
      <c r="AY332" s="161">
        <v>1</v>
      </c>
      <c r="AZ332" s="161"/>
      <c r="BB332" s="2191"/>
      <c r="BC332" s="2191"/>
      <c r="BD332" s="2192"/>
      <c r="BE332" s="2193" t="s">
        <v>1398</v>
      </c>
      <c r="BF332" s="2195">
        <v>0</v>
      </c>
      <c r="BG332" s="2195">
        <v>0</v>
      </c>
      <c r="BH332" s="2195">
        <v>8</v>
      </c>
      <c r="BI332" s="2195">
        <v>5</v>
      </c>
      <c r="BJ332" s="2195">
        <v>4</v>
      </c>
      <c r="BK332" s="2195">
        <v>57</v>
      </c>
      <c r="BL332" s="2195">
        <v>12</v>
      </c>
      <c r="BM332" s="2195">
        <v>7</v>
      </c>
      <c r="BN332" s="964">
        <v>0</v>
      </c>
      <c r="BO332" s="964">
        <v>0</v>
      </c>
      <c r="BP332" s="964">
        <v>93</v>
      </c>
      <c r="BQ332" s="73"/>
      <c r="BS332" s="879"/>
      <c r="BT332" s="879"/>
      <c r="BU332" s="880"/>
      <c r="BV332" s="881" t="s">
        <v>1398</v>
      </c>
      <c r="BW332" s="883">
        <v>0</v>
      </c>
      <c r="BX332" s="883">
        <v>0</v>
      </c>
      <c r="BY332" s="883">
        <v>13</v>
      </c>
      <c r="BZ332" s="883">
        <v>6</v>
      </c>
      <c r="CA332" s="883">
        <v>0</v>
      </c>
      <c r="CB332" s="883">
        <v>57</v>
      </c>
      <c r="CC332" s="883">
        <v>28</v>
      </c>
      <c r="CD332" s="883">
        <v>9</v>
      </c>
      <c r="CE332" s="884">
        <v>0</v>
      </c>
      <c r="CF332" s="884">
        <v>0</v>
      </c>
      <c r="CG332" s="884">
        <v>113</v>
      </c>
      <c r="CH332" s="161"/>
    </row>
    <row r="333" spans="1:86" ht="15.75" thickBot="1">
      <c r="A333" s="73"/>
      <c r="B333" s="73"/>
      <c r="C333" s="738"/>
      <c r="D333" s="738" t="s">
        <v>1284</v>
      </c>
      <c r="E333" s="3262">
        <v>8</v>
      </c>
      <c r="F333" s="3262">
        <v>11</v>
      </c>
      <c r="G333" s="3262">
        <v>5</v>
      </c>
      <c r="H333" s="3262">
        <v>6</v>
      </c>
      <c r="I333" s="3262">
        <v>5</v>
      </c>
      <c r="J333" s="3262">
        <v>117</v>
      </c>
      <c r="K333" s="3262">
        <v>45</v>
      </c>
      <c r="L333" s="3262">
        <v>7</v>
      </c>
      <c r="M333" s="4674">
        <v>1</v>
      </c>
      <c r="N333" s="4674">
        <v>0</v>
      </c>
      <c r="O333" s="4674">
        <v>205</v>
      </c>
      <c r="P333" s="73"/>
      <c r="R333" s="74"/>
      <c r="S333" s="74"/>
      <c r="T333" s="74"/>
      <c r="U333" s="74" t="s">
        <v>1289</v>
      </c>
      <c r="V333" s="3229">
        <v>0</v>
      </c>
      <c r="W333" s="3229">
        <v>1</v>
      </c>
      <c r="X333" s="3229">
        <v>4</v>
      </c>
      <c r="Y333" s="3229">
        <v>1</v>
      </c>
      <c r="Z333" s="3229">
        <v>5</v>
      </c>
      <c r="AA333" s="3229">
        <v>3</v>
      </c>
      <c r="AB333" s="3229">
        <v>0</v>
      </c>
      <c r="AC333" s="3229">
        <v>0</v>
      </c>
      <c r="AD333" s="3229">
        <v>0</v>
      </c>
      <c r="AE333" s="121">
        <v>0</v>
      </c>
      <c r="AF333" s="121">
        <v>0</v>
      </c>
      <c r="AG333" s="121">
        <v>14</v>
      </c>
      <c r="AJ333" s="161"/>
      <c r="AK333" s="161"/>
      <c r="AL333" s="73"/>
      <c r="AM333" s="73" t="s">
        <v>1292</v>
      </c>
      <c r="AN333" s="2600">
        <v>0</v>
      </c>
      <c r="AO333" s="2600">
        <v>0</v>
      </c>
      <c r="AP333" s="2600"/>
      <c r="AQ333" s="2600"/>
      <c r="AR333" s="2600">
        <v>0</v>
      </c>
      <c r="AS333" s="2600"/>
      <c r="AT333" s="2600">
        <v>0</v>
      </c>
      <c r="AU333" s="2600">
        <v>0</v>
      </c>
      <c r="AV333" s="2600">
        <v>1</v>
      </c>
      <c r="AW333" s="161"/>
      <c r="AX333" s="161"/>
      <c r="AY333" s="161">
        <v>1</v>
      </c>
      <c r="AZ333" s="161"/>
      <c r="BB333" s="2198"/>
      <c r="BC333" s="2198"/>
      <c r="BD333" s="2199"/>
      <c r="BE333" s="2200" t="s">
        <v>114</v>
      </c>
      <c r="BF333" s="2201">
        <v>20</v>
      </c>
      <c r="BG333" s="2201">
        <v>15</v>
      </c>
      <c r="BH333" s="2201">
        <v>34</v>
      </c>
      <c r="BI333" s="2201">
        <v>28</v>
      </c>
      <c r="BJ333" s="2201">
        <v>32</v>
      </c>
      <c r="BK333" s="2201">
        <v>236</v>
      </c>
      <c r="BL333" s="2201">
        <v>89</v>
      </c>
      <c r="BM333" s="2201">
        <v>117</v>
      </c>
      <c r="BN333" s="1012">
        <v>10</v>
      </c>
      <c r="BO333" s="1012">
        <v>27</v>
      </c>
      <c r="BP333" s="1012">
        <v>608</v>
      </c>
      <c r="BQ333" s="2161">
        <f>+(BP328+BP331-BO331+BP332)/BP333</f>
        <v>0.34703947368421051</v>
      </c>
      <c r="BS333" s="934"/>
      <c r="BT333" s="934"/>
      <c r="BU333" s="935"/>
      <c r="BV333" s="936" t="s">
        <v>114</v>
      </c>
      <c r="BW333" s="937">
        <v>25</v>
      </c>
      <c r="BX333" s="937">
        <v>15</v>
      </c>
      <c r="BY333" s="937">
        <v>66</v>
      </c>
      <c r="BZ333" s="937">
        <v>16</v>
      </c>
      <c r="CA333" s="937">
        <v>9</v>
      </c>
      <c r="CB333" s="937">
        <v>232</v>
      </c>
      <c r="CC333" s="937">
        <v>174</v>
      </c>
      <c r="CD333" s="937">
        <v>147</v>
      </c>
      <c r="CE333" s="938">
        <v>15</v>
      </c>
      <c r="CF333" s="938">
        <v>10</v>
      </c>
      <c r="CG333" s="938">
        <v>709</v>
      </c>
      <c r="CH333" s="939">
        <f>+(CG328-CE328+CG331+CG332)/CG333</f>
        <v>0.37235543018335682</v>
      </c>
    </row>
    <row r="334" spans="1:86">
      <c r="A334" s="73"/>
      <c r="B334" s="73"/>
      <c r="C334" s="738"/>
      <c r="D334" s="738" t="s">
        <v>1286</v>
      </c>
      <c r="E334" s="3262">
        <v>4</v>
      </c>
      <c r="F334" s="3262">
        <v>0</v>
      </c>
      <c r="G334" s="3262">
        <v>0</v>
      </c>
      <c r="H334" s="3262">
        <v>1</v>
      </c>
      <c r="I334" s="3262">
        <v>1</v>
      </c>
      <c r="J334" s="3262">
        <v>0</v>
      </c>
      <c r="K334" s="3262">
        <v>0</v>
      </c>
      <c r="L334" s="3262">
        <v>0</v>
      </c>
      <c r="M334" s="4674">
        <v>0</v>
      </c>
      <c r="N334" s="4674">
        <v>0</v>
      </c>
      <c r="O334" s="4674">
        <v>6</v>
      </c>
      <c r="P334" s="73"/>
      <c r="R334" s="74"/>
      <c r="S334" s="74"/>
      <c r="T334" s="74"/>
      <c r="U334" s="74" t="s">
        <v>1292</v>
      </c>
      <c r="V334" s="3229">
        <v>0</v>
      </c>
      <c r="W334" s="3229">
        <v>0</v>
      </c>
      <c r="X334" s="3229">
        <v>0</v>
      </c>
      <c r="Y334" s="3229">
        <v>0</v>
      </c>
      <c r="Z334" s="3229">
        <v>0</v>
      </c>
      <c r="AA334" s="3229">
        <v>1</v>
      </c>
      <c r="AB334" s="3229">
        <v>0</v>
      </c>
      <c r="AC334" s="3229">
        <v>4</v>
      </c>
      <c r="AD334" s="3229">
        <v>115</v>
      </c>
      <c r="AE334" s="121">
        <v>11</v>
      </c>
      <c r="AF334" s="121">
        <v>8</v>
      </c>
      <c r="AG334" s="121">
        <v>139</v>
      </c>
      <c r="AJ334" s="161"/>
      <c r="AK334" s="161"/>
      <c r="AL334" s="73"/>
      <c r="AM334" s="73" t="s">
        <v>1293</v>
      </c>
      <c r="AN334" s="2600">
        <v>0</v>
      </c>
      <c r="AO334" s="2600">
        <v>0</v>
      </c>
      <c r="AP334" s="2600"/>
      <c r="AQ334" s="2600"/>
      <c r="AR334" s="2600">
        <v>0</v>
      </c>
      <c r="AS334" s="2600"/>
      <c r="AT334" s="2600">
        <v>2</v>
      </c>
      <c r="AU334" s="2600">
        <v>8</v>
      </c>
      <c r="AV334" s="2600">
        <v>0</v>
      </c>
      <c r="AW334" s="161"/>
      <c r="AX334" s="161"/>
      <c r="AY334" s="161">
        <v>10</v>
      </c>
      <c r="AZ334" s="161"/>
      <c r="BB334" s="2465" t="s">
        <v>1402</v>
      </c>
    </row>
    <row r="335" spans="1:86">
      <c r="A335" s="73"/>
      <c r="B335" s="73"/>
      <c r="C335" s="738"/>
      <c r="D335" s="738" t="s">
        <v>1288</v>
      </c>
      <c r="E335" s="3262">
        <v>0</v>
      </c>
      <c r="F335" s="3262">
        <v>0</v>
      </c>
      <c r="G335" s="3262">
        <v>0</v>
      </c>
      <c r="H335" s="3262">
        <v>0</v>
      </c>
      <c r="I335" s="3262">
        <v>2</v>
      </c>
      <c r="J335" s="3262">
        <v>42</v>
      </c>
      <c r="K335" s="3262">
        <v>57</v>
      </c>
      <c r="L335" s="3262">
        <v>7</v>
      </c>
      <c r="M335" s="4674">
        <v>3</v>
      </c>
      <c r="N335" s="4674">
        <v>0</v>
      </c>
      <c r="O335" s="4674">
        <v>111</v>
      </c>
      <c r="P335" s="73"/>
      <c r="R335" s="74"/>
      <c r="S335" s="74"/>
      <c r="T335" s="74"/>
      <c r="U335" s="74" t="s">
        <v>1293</v>
      </c>
      <c r="V335" s="3229">
        <v>0</v>
      </c>
      <c r="W335" s="3229">
        <v>0</v>
      </c>
      <c r="X335" s="3229">
        <v>0</v>
      </c>
      <c r="Y335" s="3229">
        <v>0</v>
      </c>
      <c r="Z335" s="3229">
        <v>1</v>
      </c>
      <c r="AA335" s="3229">
        <v>4</v>
      </c>
      <c r="AB335" s="3229">
        <v>59</v>
      </c>
      <c r="AC335" s="3229">
        <v>17</v>
      </c>
      <c r="AD335" s="3229">
        <v>6</v>
      </c>
      <c r="AE335" s="121">
        <v>1</v>
      </c>
      <c r="AF335" s="121">
        <v>0</v>
      </c>
      <c r="AG335" s="121">
        <v>88</v>
      </c>
      <c r="AJ335" s="161"/>
      <c r="AK335" s="161"/>
      <c r="AL335" s="73"/>
      <c r="AM335" s="73" t="s">
        <v>1398</v>
      </c>
      <c r="AN335" s="2600">
        <v>0</v>
      </c>
      <c r="AO335" s="2600">
        <v>0</v>
      </c>
      <c r="AP335" s="2600"/>
      <c r="AQ335" s="2600"/>
      <c r="AR335" s="2600">
        <v>0</v>
      </c>
      <c r="AS335" s="2600"/>
      <c r="AT335" s="2600">
        <v>5</v>
      </c>
      <c r="AU335" s="2600">
        <v>1</v>
      </c>
      <c r="AV335" s="2600">
        <v>0</v>
      </c>
      <c r="AW335" s="161"/>
      <c r="AX335" s="161"/>
      <c r="AY335" s="161">
        <v>6</v>
      </c>
      <c r="AZ335" s="161"/>
      <c r="BS335" s="930" t="s">
        <v>1402</v>
      </c>
    </row>
    <row r="336" spans="1:86">
      <c r="A336" s="73"/>
      <c r="B336" s="73"/>
      <c r="C336" s="738"/>
      <c r="D336" s="738" t="s">
        <v>1289</v>
      </c>
      <c r="E336" s="3262">
        <v>1</v>
      </c>
      <c r="F336" s="3262">
        <v>0</v>
      </c>
      <c r="G336" s="3262">
        <v>2</v>
      </c>
      <c r="H336" s="3262">
        <v>3</v>
      </c>
      <c r="I336" s="3262">
        <v>3</v>
      </c>
      <c r="J336" s="3262">
        <v>2</v>
      </c>
      <c r="K336" s="3262">
        <v>0</v>
      </c>
      <c r="L336" s="3262">
        <v>0</v>
      </c>
      <c r="M336" s="4674">
        <v>0</v>
      </c>
      <c r="N336" s="4674">
        <v>0</v>
      </c>
      <c r="O336" s="4674">
        <v>11</v>
      </c>
      <c r="P336" s="73"/>
      <c r="R336" s="74"/>
      <c r="S336" s="74"/>
      <c r="T336" s="74"/>
      <c r="U336" s="74" t="s">
        <v>1398</v>
      </c>
      <c r="V336" s="3229">
        <v>0</v>
      </c>
      <c r="W336" s="3229">
        <v>0</v>
      </c>
      <c r="X336" s="3229">
        <v>0</v>
      </c>
      <c r="Y336" s="3229">
        <v>10</v>
      </c>
      <c r="Z336" s="3229">
        <v>3</v>
      </c>
      <c r="AA336" s="3229">
        <v>5</v>
      </c>
      <c r="AB336" s="3229">
        <v>37</v>
      </c>
      <c r="AC336" s="3229">
        <v>6</v>
      </c>
      <c r="AD336" s="3229">
        <v>3</v>
      </c>
      <c r="AE336" s="121">
        <v>0</v>
      </c>
      <c r="AF336" s="121">
        <v>0</v>
      </c>
      <c r="AG336" s="121">
        <v>64</v>
      </c>
      <c r="AJ336" s="161"/>
      <c r="AK336" s="161"/>
      <c r="AL336" s="73"/>
      <c r="AM336" s="73" t="s">
        <v>265</v>
      </c>
      <c r="AN336" s="2600">
        <v>1</v>
      </c>
      <c r="AO336" s="2600">
        <v>1</v>
      </c>
      <c r="AP336" s="2600"/>
      <c r="AQ336" s="2600"/>
      <c r="AR336" s="2600">
        <v>1</v>
      </c>
      <c r="AS336" s="2600"/>
      <c r="AT336" s="2600">
        <v>18</v>
      </c>
      <c r="AU336" s="2600">
        <v>24</v>
      </c>
      <c r="AV336" s="2600">
        <v>1</v>
      </c>
      <c r="AW336" s="161"/>
      <c r="AX336" s="161"/>
      <c r="AY336" s="161">
        <v>46</v>
      </c>
      <c r="AZ336" s="161"/>
    </row>
    <row r="337" spans="1:52" ht="15.75" thickBot="1">
      <c r="A337" s="73"/>
      <c r="B337" s="73"/>
      <c r="C337" s="738"/>
      <c r="D337" s="738" t="s">
        <v>1292</v>
      </c>
      <c r="E337" s="3262">
        <v>0</v>
      </c>
      <c r="F337" s="3262">
        <v>0</v>
      </c>
      <c r="G337" s="3262">
        <v>0</v>
      </c>
      <c r="H337" s="3262">
        <v>0</v>
      </c>
      <c r="I337" s="3262">
        <v>0</v>
      </c>
      <c r="J337" s="3262">
        <v>0</v>
      </c>
      <c r="K337" s="3262">
        <v>27</v>
      </c>
      <c r="L337" s="3262">
        <v>107</v>
      </c>
      <c r="M337" s="4674">
        <v>10</v>
      </c>
      <c r="N337" s="4674">
        <v>8</v>
      </c>
      <c r="O337" s="4674">
        <v>152</v>
      </c>
      <c r="P337" s="73"/>
      <c r="R337" s="820"/>
      <c r="S337" s="820"/>
      <c r="T337" s="820"/>
      <c r="U337" s="821" t="s">
        <v>114</v>
      </c>
      <c r="V337" s="3227">
        <v>3</v>
      </c>
      <c r="W337" s="3227">
        <v>19</v>
      </c>
      <c r="X337" s="3227">
        <v>14</v>
      </c>
      <c r="Y337" s="3227">
        <v>16</v>
      </c>
      <c r="Z337" s="3227">
        <v>22</v>
      </c>
      <c r="AA337" s="3227">
        <v>28</v>
      </c>
      <c r="AB337" s="3227">
        <v>269</v>
      </c>
      <c r="AC337" s="3227">
        <v>126</v>
      </c>
      <c r="AD337" s="3227">
        <v>150</v>
      </c>
      <c r="AE337" s="768">
        <v>19</v>
      </c>
      <c r="AF337" s="768">
        <v>12</v>
      </c>
      <c r="AG337" s="768">
        <v>678</v>
      </c>
      <c r="AH337" s="920">
        <f>+(AG332-AE332+AG335-AE335+AG336)/AG337</f>
        <v>0.36283185840707965</v>
      </c>
      <c r="AJ337" s="161"/>
      <c r="AK337" s="161"/>
      <c r="AL337" s="73" t="s">
        <v>114</v>
      </c>
      <c r="AM337" s="738" t="s">
        <v>1283</v>
      </c>
      <c r="AN337" s="2601">
        <v>0</v>
      </c>
      <c r="AO337" s="2601">
        <v>0</v>
      </c>
      <c r="AP337" s="2601">
        <v>0</v>
      </c>
      <c r="AQ337" s="2601">
        <v>0</v>
      </c>
      <c r="AR337" s="2601">
        <v>0</v>
      </c>
      <c r="AS337" s="2601">
        <v>1</v>
      </c>
      <c r="AT337" s="2601">
        <v>0</v>
      </c>
      <c r="AU337" s="2601">
        <v>5</v>
      </c>
      <c r="AV337" s="2601">
        <v>15</v>
      </c>
      <c r="AW337" s="151">
        <v>4</v>
      </c>
      <c r="AX337" s="151">
        <v>2</v>
      </c>
      <c r="AY337" s="151">
        <v>27</v>
      </c>
      <c r="AZ337" s="912">
        <f>+(AY331+AY334+AY335)/AY336</f>
        <v>0.58695652173913049</v>
      </c>
    </row>
    <row r="338" spans="1:52">
      <c r="A338" s="73"/>
      <c r="B338" s="73"/>
      <c r="C338" s="738"/>
      <c r="D338" s="738" t="s">
        <v>1293</v>
      </c>
      <c r="E338" s="3262">
        <v>0</v>
      </c>
      <c r="F338" s="3262">
        <v>0</v>
      </c>
      <c r="G338" s="3262">
        <v>0</v>
      </c>
      <c r="H338" s="3262">
        <v>0</v>
      </c>
      <c r="I338" s="3262">
        <v>3</v>
      </c>
      <c r="J338" s="3262">
        <v>29</v>
      </c>
      <c r="K338" s="3262">
        <v>19</v>
      </c>
      <c r="L338" s="3262">
        <v>7</v>
      </c>
      <c r="M338" s="4674">
        <v>0</v>
      </c>
      <c r="N338" s="4674">
        <v>0</v>
      </c>
      <c r="O338" s="4674">
        <v>58</v>
      </c>
      <c r="P338" s="73"/>
      <c r="AJ338" s="161"/>
      <c r="AK338" s="161"/>
      <c r="AL338" s="73"/>
      <c r="AM338" s="73" t="s">
        <v>1284</v>
      </c>
      <c r="AN338" s="2600">
        <v>1</v>
      </c>
      <c r="AO338" s="2600">
        <v>10</v>
      </c>
      <c r="AP338" s="2600">
        <v>7</v>
      </c>
      <c r="AQ338" s="2600">
        <v>15</v>
      </c>
      <c r="AR338" s="2600">
        <v>3</v>
      </c>
      <c r="AS338" s="2600">
        <v>4</v>
      </c>
      <c r="AT338" s="2600">
        <v>164</v>
      </c>
      <c r="AU338" s="2600">
        <v>66</v>
      </c>
      <c r="AV338" s="2600">
        <v>5</v>
      </c>
      <c r="AW338" s="161">
        <v>2</v>
      </c>
      <c r="AX338" s="161">
        <v>0</v>
      </c>
      <c r="AY338" s="161">
        <v>277</v>
      </c>
      <c r="AZ338" s="161"/>
    </row>
    <row r="339" spans="1:52">
      <c r="A339" s="73"/>
      <c r="B339" s="73"/>
      <c r="C339" s="738"/>
      <c r="D339" s="738" t="s">
        <v>1398</v>
      </c>
      <c r="E339" s="3262">
        <v>0</v>
      </c>
      <c r="F339" s="3262">
        <v>0</v>
      </c>
      <c r="G339" s="3262">
        <v>1</v>
      </c>
      <c r="H339" s="3262">
        <v>0</v>
      </c>
      <c r="I339" s="3262">
        <v>0</v>
      </c>
      <c r="J339" s="3262">
        <v>60</v>
      </c>
      <c r="K339" s="3262">
        <v>24</v>
      </c>
      <c r="L339" s="3262">
        <v>17</v>
      </c>
      <c r="M339" s="4674">
        <v>0</v>
      </c>
      <c r="N339" s="4674">
        <v>0</v>
      </c>
      <c r="O339" s="4674">
        <v>102</v>
      </c>
      <c r="P339" s="73"/>
      <c r="AJ339" s="161"/>
      <c r="AK339" s="161"/>
      <c r="AL339" s="73"/>
      <c r="AM339" s="73" t="s">
        <v>1286</v>
      </c>
      <c r="AN339" s="2600">
        <v>0</v>
      </c>
      <c r="AO339" s="2600">
        <v>8</v>
      </c>
      <c r="AP339" s="2600">
        <v>1</v>
      </c>
      <c r="AQ339" s="2600">
        <v>1</v>
      </c>
      <c r="AR339" s="2600">
        <v>0</v>
      </c>
      <c r="AS339" s="2600">
        <v>0</v>
      </c>
      <c r="AT339" s="2600">
        <v>0</v>
      </c>
      <c r="AU339" s="2600">
        <v>0</v>
      </c>
      <c r="AV339" s="2600">
        <v>0</v>
      </c>
      <c r="AW339" s="161">
        <v>0</v>
      </c>
      <c r="AX339" s="161">
        <v>0</v>
      </c>
      <c r="AY339" s="161">
        <v>10</v>
      </c>
      <c r="AZ339" s="161"/>
    </row>
    <row r="340" spans="1:52">
      <c r="A340" s="73"/>
      <c r="B340" s="73"/>
      <c r="C340" s="738"/>
      <c r="D340" s="738" t="s">
        <v>3964</v>
      </c>
      <c r="E340" s="3262">
        <v>0</v>
      </c>
      <c r="F340" s="3262">
        <v>0</v>
      </c>
      <c r="G340" s="3262">
        <v>0</v>
      </c>
      <c r="H340" s="3262">
        <v>0</v>
      </c>
      <c r="I340" s="3262">
        <v>0</v>
      </c>
      <c r="J340" s="3262">
        <v>0</v>
      </c>
      <c r="K340" s="3262">
        <v>0</v>
      </c>
      <c r="L340" s="3262">
        <v>0</v>
      </c>
      <c r="M340" s="4674">
        <v>3</v>
      </c>
      <c r="N340" s="4674">
        <v>4</v>
      </c>
      <c r="O340" s="4674">
        <v>7</v>
      </c>
      <c r="P340" s="73"/>
      <c r="AJ340" s="161"/>
      <c r="AK340" s="161"/>
      <c r="AL340" s="73"/>
      <c r="AM340" s="73" t="s">
        <v>1288</v>
      </c>
      <c r="AN340" s="2600">
        <v>0</v>
      </c>
      <c r="AO340" s="2600">
        <v>0</v>
      </c>
      <c r="AP340" s="2600">
        <v>0</v>
      </c>
      <c r="AQ340" s="2600">
        <v>3</v>
      </c>
      <c r="AR340" s="2600">
        <v>3</v>
      </c>
      <c r="AS340" s="2600">
        <v>0</v>
      </c>
      <c r="AT340" s="2600">
        <v>42</v>
      </c>
      <c r="AU340" s="2600">
        <v>47</v>
      </c>
      <c r="AV340" s="2600">
        <v>3</v>
      </c>
      <c r="AW340" s="161">
        <v>3</v>
      </c>
      <c r="AX340" s="161">
        <v>0</v>
      </c>
      <c r="AY340" s="161">
        <v>101</v>
      </c>
      <c r="AZ340" s="161"/>
    </row>
    <row r="341" spans="1:52" ht="15.75" thickBot="1">
      <c r="A341" s="746"/>
      <c r="B341" s="746"/>
      <c r="C341" s="742"/>
      <c r="D341" s="742" t="s">
        <v>114</v>
      </c>
      <c r="E341" s="3260">
        <v>13</v>
      </c>
      <c r="F341" s="3260">
        <v>11</v>
      </c>
      <c r="G341" s="3260">
        <v>9</v>
      </c>
      <c r="H341" s="3260">
        <v>10</v>
      </c>
      <c r="I341" s="3260">
        <v>16</v>
      </c>
      <c r="J341" s="3260">
        <v>252</v>
      </c>
      <c r="K341" s="3260">
        <v>178</v>
      </c>
      <c r="L341" s="3260">
        <v>159</v>
      </c>
      <c r="M341" s="743">
        <v>17</v>
      </c>
      <c r="N341" s="743">
        <v>12</v>
      </c>
      <c r="O341" s="743">
        <v>677</v>
      </c>
      <c r="P341" s="2586">
        <f>+(O339+O338+O335-M335)/O341</f>
        <v>0.39586410635155095</v>
      </c>
      <c r="Q341" s="4688"/>
      <c r="AJ341" s="161"/>
      <c r="AK341" s="161"/>
      <c r="AL341" s="73"/>
      <c r="AM341" s="73" t="s">
        <v>1289</v>
      </c>
      <c r="AN341" s="2600">
        <v>0</v>
      </c>
      <c r="AO341" s="2600">
        <v>3</v>
      </c>
      <c r="AP341" s="2600">
        <v>1</v>
      </c>
      <c r="AQ341" s="2600">
        <v>2</v>
      </c>
      <c r="AR341" s="2600">
        <v>3</v>
      </c>
      <c r="AS341" s="2600">
        <v>3</v>
      </c>
      <c r="AT341" s="2600">
        <v>1</v>
      </c>
      <c r="AU341" s="2600">
        <v>1</v>
      </c>
      <c r="AV341" s="2600">
        <v>0</v>
      </c>
      <c r="AW341" s="161">
        <v>0</v>
      </c>
      <c r="AX341" s="161">
        <v>0</v>
      </c>
      <c r="AY341" s="161">
        <v>14</v>
      </c>
      <c r="AZ341" s="161"/>
    </row>
    <row r="342" spans="1:52">
      <c r="AJ342" s="161"/>
      <c r="AK342" s="161"/>
      <c r="AL342" s="73"/>
      <c r="AM342" s="73" t="s">
        <v>1292</v>
      </c>
      <c r="AN342" s="2600">
        <v>0</v>
      </c>
      <c r="AO342" s="2600">
        <v>0</v>
      </c>
      <c r="AP342" s="2600">
        <v>0</v>
      </c>
      <c r="AQ342" s="2600">
        <v>0</v>
      </c>
      <c r="AR342" s="2600">
        <v>1</v>
      </c>
      <c r="AS342" s="2600">
        <v>0</v>
      </c>
      <c r="AT342" s="2600">
        <v>0</v>
      </c>
      <c r="AU342" s="2600">
        <v>3</v>
      </c>
      <c r="AV342" s="2600">
        <v>70</v>
      </c>
      <c r="AW342" s="161">
        <v>7</v>
      </c>
      <c r="AX342" s="161">
        <v>10</v>
      </c>
      <c r="AY342" s="161">
        <v>91</v>
      </c>
      <c r="AZ342" s="161"/>
    </row>
    <row r="343" spans="1:52">
      <c r="AJ343" s="161"/>
      <c r="AK343" s="161"/>
      <c r="AL343" s="73"/>
      <c r="AM343" s="73" t="s">
        <v>1936</v>
      </c>
      <c r="AN343" s="2600">
        <v>4</v>
      </c>
      <c r="AO343" s="2600">
        <v>0</v>
      </c>
      <c r="AP343" s="2600">
        <v>0</v>
      </c>
      <c r="AQ343" s="2600">
        <v>0</v>
      </c>
      <c r="AR343" s="2600">
        <v>0</v>
      </c>
      <c r="AS343" s="2600">
        <v>0</v>
      </c>
      <c r="AT343" s="2600">
        <v>0</v>
      </c>
      <c r="AU343" s="2600">
        <v>0</v>
      </c>
      <c r="AV343" s="2600">
        <v>0</v>
      </c>
      <c r="AW343" s="161">
        <v>0</v>
      </c>
      <c r="AX343" s="161">
        <v>0</v>
      </c>
      <c r="AY343" s="161">
        <v>4</v>
      </c>
      <c r="AZ343" s="161"/>
    </row>
    <row r="344" spans="1:52">
      <c r="AJ344" s="161"/>
      <c r="AK344" s="161"/>
      <c r="AL344" s="73"/>
      <c r="AM344" s="73" t="s">
        <v>1293</v>
      </c>
      <c r="AN344" s="2600">
        <v>0</v>
      </c>
      <c r="AO344" s="2600">
        <v>0</v>
      </c>
      <c r="AP344" s="2600">
        <v>0</v>
      </c>
      <c r="AQ344" s="2600">
        <v>2</v>
      </c>
      <c r="AR344" s="2600">
        <v>1</v>
      </c>
      <c r="AS344" s="2600">
        <v>0</v>
      </c>
      <c r="AT344" s="2600">
        <v>43</v>
      </c>
      <c r="AU344" s="2600">
        <v>23</v>
      </c>
      <c r="AV344" s="2600">
        <v>3</v>
      </c>
      <c r="AW344" s="161">
        <v>0</v>
      </c>
      <c r="AX344" s="161">
        <v>0</v>
      </c>
      <c r="AY344" s="161">
        <v>72</v>
      </c>
      <c r="AZ344" s="161"/>
    </row>
    <row r="345" spans="1:52">
      <c r="AJ345" s="161"/>
      <c r="AK345" s="161"/>
      <c r="AL345" s="73"/>
      <c r="AM345" s="73" t="s">
        <v>1398</v>
      </c>
      <c r="AN345" s="2600">
        <v>0</v>
      </c>
      <c r="AO345" s="2600">
        <v>0</v>
      </c>
      <c r="AP345" s="2600">
        <v>0</v>
      </c>
      <c r="AQ345" s="2600">
        <v>11</v>
      </c>
      <c r="AR345" s="2600">
        <v>2</v>
      </c>
      <c r="AS345" s="2600">
        <v>0</v>
      </c>
      <c r="AT345" s="2600">
        <v>71</v>
      </c>
      <c r="AU345" s="2600">
        <v>48</v>
      </c>
      <c r="AV345" s="2600">
        <v>7</v>
      </c>
      <c r="AW345" s="161">
        <v>0</v>
      </c>
      <c r="AX345" s="161">
        <v>0</v>
      </c>
      <c r="AY345" s="161">
        <v>139</v>
      </c>
      <c r="AZ345" s="161"/>
    </row>
    <row r="346" spans="1:52" ht="15.75" thickBot="1">
      <c r="AJ346" s="741"/>
      <c r="AK346" s="741"/>
      <c r="AL346" s="746"/>
      <c r="AM346" s="742" t="s">
        <v>114</v>
      </c>
      <c r="AN346" s="2599">
        <v>5</v>
      </c>
      <c r="AO346" s="2599">
        <v>21</v>
      </c>
      <c r="AP346" s="2599">
        <v>9</v>
      </c>
      <c r="AQ346" s="2599">
        <v>34</v>
      </c>
      <c r="AR346" s="2599">
        <v>13</v>
      </c>
      <c r="AS346" s="2599">
        <v>8</v>
      </c>
      <c r="AT346" s="2599">
        <v>321</v>
      </c>
      <c r="AU346" s="2599">
        <v>193</v>
      </c>
      <c r="AV346" s="2599">
        <v>103</v>
      </c>
      <c r="AW346" s="743">
        <v>16</v>
      </c>
      <c r="AX346" s="743">
        <v>12</v>
      </c>
      <c r="AY346" s="743">
        <v>735</v>
      </c>
      <c r="AZ346" s="2586">
        <f>+(AY340+AY344+AY345-AW340)/AY346</f>
        <v>0.42040816326530611</v>
      </c>
    </row>
  </sheetData>
  <mergeCells count="22">
    <mergeCell ref="E5:L5"/>
    <mergeCell ref="V5:AF5"/>
    <mergeCell ref="AN5:AX5"/>
    <mergeCell ref="DF276:DO276"/>
    <mergeCell ref="DW276:EF276"/>
    <mergeCell ref="BF5:BP5"/>
    <mergeCell ref="EN276:EX276"/>
    <mergeCell ref="DF181:DO181"/>
    <mergeCell ref="DW181:EF181"/>
    <mergeCell ref="EN181:EX181"/>
    <mergeCell ref="DF248:DO248"/>
    <mergeCell ref="DW248:EF248"/>
    <mergeCell ref="EN248:EX248"/>
    <mergeCell ref="DS1:EH1"/>
    <mergeCell ref="DS2:EH2"/>
    <mergeCell ref="DS3:EH3"/>
    <mergeCell ref="EJ3:FA3"/>
    <mergeCell ref="BW5:CF5"/>
    <mergeCell ref="CN5:CX5"/>
    <mergeCell ref="DF5:DO5"/>
    <mergeCell ref="DW5:EF5"/>
    <mergeCell ref="EN5:EX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tabColor theme="9" tint="-0.499984740745262"/>
  </sheetPr>
  <dimension ref="A2:L61"/>
  <sheetViews>
    <sheetView workbookViewId="0">
      <pane ySplit="5" topLeftCell="A6" activePane="bottomLeft" state="frozen"/>
      <selection activeCell="I78" sqref="I78"/>
      <selection pane="bottomLeft" activeCell="L61" sqref="L61"/>
    </sheetView>
  </sheetViews>
  <sheetFormatPr baseColWidth="10" defaultRowHeight="14.25"/>
  <cols>
    <col min="1" max="1" width="2.7109375" style="42" customWidth="1"/>
    <col min="2" max="2" width="8.140625" style="42" bestFit="1" customWidth="1"/>
    <col min="3" max="3" width="60.140625" style="42" bestFit="1" customWidth="1"/>
    <col min="4" max="16384" width="11.42578125" style="42"/>
  </cols>
  <sheetData>
    <row r="2" spans="2:12" ht="15">
      <c r="B2" s="1316" t="s">
        <v>2016</v>
      </c>
    </row>
    <row r="3" spans="2:12">
      <c r="B3" s="1317" t="s">
        <v>871</v>
      </c>
    </row>
    <row r="5" spans="2:12" ht="24">
      <c r="B5" s="4097" t="s">
        <v>2763</v>
      </c>
      <c r="C5" s="474" t="s">
        <v>2</v>
      </c>
      <c r="D5" s="1363">
        <v>2010</v>
      </c>
      <c r="E5" s="1363">
        <v>2011</v>
      </c>
      <c r="F5" s="1363">
        <v>2012</v>
      </c>
      <c r="G5" s="1363">
        <v>2013</v>
      </c>
      <c r="H5" s="1363">
        <v>2014</v>
      </c>
      <c r="I5" s="1363">
        <v>2015</v>
      </c>
      <c r="J5" s="1363">
        <v>2016</v>
      </c>
      <c r="K5" s="1363">
        <v>2017</v>
      </c>
      <c r="L5" s="1363">
        <v>2018</v>
      </c>
    </row>
    <row r="6" spans="2:12" ht="15" customHeight="1">
      <c r="B6" s="4927" t="s">
        <v>4</v>
      </c>
      <c r="C6" s="3267" t="s">
        <v>116</v>
      </c>
      <c r="D6" s="3256">
        <v>0.83333333333333337</v>
      </c>
      <c r="E6" s="3268">
        <v>0.5</v>
      </c>
      <c r="F6" s="3265">
        <v>0.27272727272727271</v>
      </c>
      <c r="G6" s="3268">
        <v>1</v>
      </c>
      <c r="H6" s="3269">
        <v>0.8</v>
      </c>
      <c r="I6" s="3269">
        <v>0.7142857142857143</v>
      </c>
      <c r="J6" s="3269">
        <v>0.8</v>
      </c>
      <c r="K6" s="3269">
        <v>0.75</v>
      </c>
      <c r="L6" s="3269">
        <v>1</v>
      </c>
    </row>
    <row r="7" spans="2:12" ht="15" customHeight="1">
      <c r="B7" s="4928"/>
      <c r="C7" s="3270" t="s">
        <v>117</v>
      </c>
      <c r="D7" s="2610">
        <v>0.33333333333333331</v>
      </c>
      <c r="E7" s="711"/>
      <c r="F7" s="2611">
        <v>0.5</v>
      </c>
      <c r="G7" s="710">
        <v>0</v>
      </c>
      <c r="H7" s="708"/>
      <c r="I7" s="708"/>
      <c r="J7" s="708"/>
      <c r="K7" s="708">
        <v>0</v>
      </c>
      <c r="L7" s="708">
        <v>0</v>
      </c>
    </row>
    <row r="8" spans="2:12" ht="15" customHeight="1">
      <c r="B8" s="4925"/>
      <c r="C8" s="3271" t="s">
        <v>708</v>
      </c>
      <c r="D8" s="2610"/>
      <c r="E8" s="711"/>
      <c r="F8" s="2611"/>
      <c r="G8" s="709"/>
      <c r="H8" s="3195"/>
      <c r="I8" s="3195"/>
      <c r="J8" s="3195"/>
      <c r="K8" s="3195">
        <v>0.33333333333333331</v>
      </c>
      <c r="L8" s="3195"/>
    </row>
    <row r="9" spans="2:12" ht="15" customHeight="1">
      <c r="B9" s="4925"/>
      <c r="C9" s="3271" t="s">
        <v>707</v>
      </c>
      <c r="D9" s="2610"/>
      <c r="E9" s="711"/>
      <c r="F9" s="2611"/>
      <c r="G9" s="709"/>
      <c r="H9" s="3195"/>
      <c r="I9" s="3195"/>
      <c r="J9" s="3195"/>
      <c r="K9" s="3195">
        <v>1</v>
      </c>
      <c r="L9" s="3195"/>
    </row>
    <row r="10" spans="2:12" ht="15" customHeight="1">
      <c r="B10" s="4925"/>
      <c r="C10" s="3271" t="s">
        <v>2713</v>
      </c>
      <c r="D10" s="2610"/>
      <c r="E10" s="711"/>
      <c r="F10" s="2611"/>
      <c r="G10" s="709"/>
      <c r="H10" s="3195"/>
      <c r="I10" s="3195"/>
      <c r="J10" s="3195"/>
      <c r="K10" s="3195">
        <v>0</v>
      </c>
      <c r="L10" s="3195">
        <v>0.75</v>
      </c>
    </row>
    <row r="11" spans="2:12" ht="15" customHeight="1">
      <c r="B11" s="4929"/>
      <c r="C11" s="3272" t="s">
        <v>572</v>
      </c>
      <c r="D11" s="3194">
        <v>0.66666666666666663</v>
      </c>
      <c r="E11" s="711">
        <v>0.5</v>
      </c>
      <c r="F11" s="3199">
        <v>0.30769230769230771</v>
      </c>
      <c r="G11" s="711">
        <v>0.5</v>
      </c>
      <c r="H11" s="712">
        <v>0.8</v>
      </c>
      <c r="I11" s="712">
        <v>0.7142857142857143</v>
      </c>
      <c r="J11" s="712">
        <v>0.8</v>
      </c>
      <c r="K11" s="712">
        <v>0.54545454545454541</v>
      </c>
      <c r="L11" s="712">
        <v>0.63636363636363635</v>
      </c>
    </row>
    <row r="12" spans="2:12" ht="15" customHeight="1">
      <c r="B12" s="4927" t="s">
        <v>16</v>
      </c>
      <c r="C12" s="706" t="s">
        <v>129</v>
      </c>
      <c r="D12" s="2610">
        <v>0</v>
      </c>
      <c r="E12" s="709">
        <v>0.2</v>
      </c>
      <c r="F12" s="3199"/>
      <c r="G12" s="711"/>
      <c r="H12" s="712"/>
      <c r="I12" s="712"/>
      <c r="J12" s="712"/>
      <c r="K12" s="712"/>
      <c r="L12" s="712"/>
    </row>
    <row r="13" spans="2:12" ht="15" customHeight="1">
      <c r="B13" s="4928"/>
      <c r="C13" s="3270" t="s">
        <v>120</v>
      </c>
      <c r="D13" s="3258"/>
      <c r="E13" s="709">
        <v>0.35714285714285715</v>
      </c>
      <c r="F13" s="3194"/>
      <c r="G13" s="710">
        <v>0</v>
      </c>
      <c r="H13" s="708"/>
      <c r="I13" s="708">
        <v>0.27272727272727271</v>
      </c>
      <c r="J13" s="708"/>
      <c r="K13" s="708">
        <v>0.22222222222222221</v>
      </c>
      <c r="L13" s="708"/>
    </row>
    <row r="14" spans="2:12" ht="15" customHeight="1">
      <c r="B14" s="4928"/>
      <c r="C14" s="3273" t="s">
        <v>119</v>
      </c>
      <c r="D14" s="3258"/>
      <c r="E14" s="709">
        <v>0.15384615384615385</v>
      </c>
      <c r="F14" s="3194"/>
      <c r="G14" s="3274"/>
      <c r="H14" s="708">
        <v>0.5</v>
      </c>
      <c r="I14" s="708"/>
      <c r="J14" s="708">
        <v>0.27272727272727271</v>
      </c>
      <c r="K14" s="708"/>
      <c r="L14" s="708">
        <v>0.23076923076923078</v>
      </c>
    </row>
    <row r="15" spans="2:12" ht="15" customHeight="1">
      <c r="B15" s="4929"/>
      <c r="C15" s="3272" t="s">
        <v>573</v>
      </c>
      <c r="D15" s="3194">
        <v>0</v>
      </c>
      <c r="E15" s="711">
        <v>0.25</v>
      </c>
      <c r="F15" s="3194"/>
      <c r="G15" s="711">
        <v>0</v>
      </c>
      <c r="H15" s="712">
        <v>0.5</v>
      </c>
      <c r="I15" s="712">
        <v>0.27272727272727271</v>
      </c>
      <c r="J15" s="712">
        <v>0.27272727272727271</v>
      </c>
      <c r="K15" s="712">
        <v>0.22222222222222221</v>
      </c>
      <c r="L15" s="712">
        <v>0.23076923076923078</v>
      </c>
    </row>
    <row r="16" spans="2:12" ht="15" customHeight="1">
      <c r="B16" s="4928" t="s">
        <v>21</v>
      </c>
      <c r="C16" s="3275" t="s">
        <v>106</v>
      </c>
      <c r="D16" s="2610">
        <v>0.2</v>
      </c>
      <c r="E16" s="709">
        <v>0</v>
      </c>
      <c r="F16" s="2611">
        <v>0</v>
      </c>
      <c r="G16" s="709">
        <v>0.17647058823529413</v>
      </c>
      <c r="H16" s="708">
        <v>9.0909090909090912E-2</v>
      </c>
      <c r="I16" s="708">
        <v>0</v>
      </c>
      <c r="J16" s="708">
        <v>1</v>
      </c>
      <c r="K16" s="708"/>
      <c r="L16" s="708"/>
    </row>
    <row r="17" spans="2:12" ht="15" customHeight="1">
      <c r="B17" s="4925"/>
      <c r="C17" s="3275" t="s">
        <v>1692</v>
      </c>
      <c r="D17" s="2610"/>
      <c r="E17" s="709"/>
      <c r="F17" s="2611"/>
      <c r="G17" s="709"/>
      <c r="H17" s="3195"/>
      <c r="I17" s="3195"/>
      <c r="J17" s="3195">
        <v>1</v>
      </c>
      <c r="K17" s="3195"/>
      <c r="L17" s="3195">
        <v>0</v>
      </c>
    </row>
    <row r="18" spans="2:12" ht="15" customHeight="1">
      <c r="B18" s="4925"/>
      <c r="C18" s="3275" t="s">
        <v>1693</v>
      </c>
      <c r="D18" s="2610"/>
      <c r="E18" s="709"/>
      <c r="F18" s="2611"/>
      <c r="G18" s="709"/>
      <c r="H18" s="3195"/>
      <c r="I18" s="3195"/>
      <c r="J18" s="3195">
        <v>0</v>
      </c>
      <c r="K18" s="3195"/>
      <c r="L18" s="3195">
        <v>0</v>
      </c>
    </row>
    <row r="19" spans="2:12" ht="15" customHeight="1">
      <c r="B19" s="4925"/>
      <c r="C19" s="3275" t="s">
        <v>1694</v>
      </c>
      <c r="D19" s="2610"/>
      <c r="E19" s="709"/>
      <c r="F19" s="2611"/>
      <c r="G19" s="709"/>
      <c r="H19" s="3195"/>
      <c r="I19" s="3195"/>
      <c r="J19" s="3195">
        <v>0.27272727272727271</v>
      </c>
      <c r="K19" s="3195"/>
      <c r="L19" s="3195">
        <v>0.16666666666666666</v>
      </c>
    </row>
    <row r="20" spans="2:12" ht="15" customHeight="1">
      <c r="B20" s="4925"/>
      <c r="C20" s="3275" t="s">
        <v>1691</v>
      </c>
      <c r="D20" s="2610"/>
      <c r="E20" s="709"/>
      <c r="F20" s="2611"/>
      <c r="G20" s="709"/>
      <c r="H20" s="3195"/>
      <c r="I20" s="3195"/>
      <c r="J20" s="3195"/>
      <c r="K20" s="3195"/>
      <c r="L20" s="3195">
        <v>0</v>
      </c>
    </row>
    <row r="21" spans="2:12" ht="15" customHeight="1">
      <c r="B21" s="4925"/>
      <c r="C21" s="3275" t="s">
        <v>1695</v>
      </c>
      <c r="D21" s="2610"/>
      <c r="E21" s="709"/>
      <c r="F21" s="2611"/>
      <c r="G21" s="709"/>
      <c r="H21" s="3195"/>
      <c r="I21" s="3195"/>
      <c r="J21" s="3195">
        <v>0.125</v>
      </c>
      <c r="K21" s="3195"/>
      <c r="L21" s="3195">
        <v>0.2857142857142857</v>
      </c>
    </row>
    <row r="22" spans="2:12" ht="15" customHeight="1">
      <c r="B22" s="4929"/>
      <c r="C22" s="3276" t="s">
        <v>574</v>
      </c>
      <c r="D22" s="3264">
        <v>0.2</v>
      </c>
      <c r="E22" s="3263">
        <v>0</v>
      </c>
      <c r="F22" s="3266">
        <v>0</v>
      </c>
      <c r="G22" s="3263">
        <v>0.17647058823529413</v>
      </c>
      <c r="H22" s="1368">
        <v>9.0909090909090912E-2</v>
      </c>
      <c r="I22" s="1368">
        <v>0</v>
      </c>
      <c r="J22" s="1368">
        <v>0.29166666666666669</v>
      </c>
      <c r="K22" s="1368"/>
      <c r="L22" s="1368">
        <v>0.15384615384615385</v>
      </c>
    </row>
    <row r="23" spans="2:12" ht="15" customHeight="1">
      <c r="B23" s="3277"/>
      <c r="C23" s="1370" t="s">
        <v>107</v>
      </c>
      <c r="D23" s="1368">
        <v>0.4375</v>
      </c>
      <c r="E23" s="713">
        <v>0.26923076923076922</v>
      </c>
      <c r="F23" s="1369">
        <v>0.14814814814814814</v>
      </c>
      <c r="G23" s="713">
        <v>0.20689655172413793</v>
      </c>
      <c r="H23" s="1368">
        <v>0.29310344827586204</v>
      </c>
      <c r="I23" s="1368">
        <v>0.38095238095238093</v>
      </c>
      <c r="J23" s="1368">
        <v>0.35</v>
      </c>
      <c r="K23" s="1368">
        <v>0.4</v>
      </c>
      <c r="L23" s="1368">
        <v>0.25396825396825395</v>
      </c>
    </row>
    <row r="24" spans="2:12" ht="15" customHeight="1">
      <c r="B24" s="4927" t="s">
        <v>4</v>
      </c>
      <c r="C24" s="3275" t="s">
        <v>121</v>
      </c>
      <c r="D24" s="1367">
        <v>0</v>
      </c>
      <c r="E24" s="709">
        <v>0.5</v>
      </c>
      <c r="F24" s="725">
        <v>0</v>
      </c>
      <c r="G24" s="709">
        <v>0.2</v>
      </c>
      <c r="H24" s="708">
        <v>0.5</v>
      </c>
      <c r="I24" s="708">
        <v>0</v>
      </c>
      <c r="J24" s="708">
        <v>1</v>
      </c>
      <c r="K24" s="708">
        <v>0</v>
      </c>
      <c r="L24" s="708">
        <v>0.375</v>
      </c>
    </row>
    <row r="25" spans="2:12" ht="15" customHeight="1">
      <c r="B25" s="4925"/>
      <c r="C25" s="3275" t="s">
        <v>122</v>
      </c>
      <c r="D25" s="1367">
        <v>0.5</v>
      </c>
      <c r="E25" s="709">
        <v>0</v>
      </c>
      <c r="F25" s="725">
        <v>0.2857142857142857</v>
      </c>
      <c r="G25" s="709">
        <v>0.22222222222222221</v>
      </c>
      <c r="H25" s="708">
        <v>0.16666666666666666</v>
      </c>
      <c r="I25" s="708">
        <v>0</v>
      </c>
      <c r="J25" s="708">
        <v>0.2</v>
      </c>
      <c r="K25" s="708">
        <v>0.22222222222222221</v>
      </c>
      <c r="L25" s="708">
        <v>0.4</v>
      </c>
    </row>
    <row r="26" spans="2:12" ht="15" customHeight="1">
      <c r="B26" s="4925"/>
      <c r="C26" s="3275" t="s">
        <v>123</v>
      </c>
      <c r="D26" s="1367">
        <v>0.21428571428571427</v>
      </c>
      <c r="E26" s="709">
        <v>0.15384615384615385</v>
      </c>
      <c r="F26" s="725">
        <v>0</v>
      </c>
      <c r="G26" s="709">
        <v>0.29411764705882354</v>
      </c>
      <c r="H26" s="708">
        <v>9.5238095238095233E-2</v>
      </c>
      <c r="I26" s="708">
        <v>0</v>
      </c>
      <c r="J26" s="708">
        <v>0.11764705882352941</v>
      </c>
      <c r="K26" s="708">
        <v>0.5</v>
      </c>
      <c r="L26" s="708">
        <v>0.27272727272727271</v>
      </c>
    </row>
    <row r="27" spans="2:12" ht="15" customHeight="1">
      <c r="B27" s="4925"/>
      <c r="C27" s="3275" t="s">
        <v>124</v>
      </c>
      <c r="D27" s="1367">
        <v>0.3</v>
      </c>
      <c r="E27" s="709">
        <v>0.5</v>
      </c>
      <c r="F27" s="725">
        <v>0.5</v>
      </c>
      <c r="G27" s="709">
        <v>0.33333333333333331</v>
      </c>
      <c r="H27" s="708">
        <v>0.25</v>
      </c>
      <c r="I27" s="708">
        <v>0.13333333333333333</v>
      </c>
      <c r="J27" s="708">
        <v>0.33333333333333331</v>
      </c>
      <c r="K27" s="708">
        <v>0.5</v>
      </c>
      <c r="L27" s="708">
        <v>0.25</v>
      </c>
    </row>
    <row r="28" spans="2:12" ht="15" customHeight="1">
      <c r="B28" s="4928"/>
      <c r="C28" s="3275" t="s">
        <v>125</v>
      </c>
      <c r="D28" s="1367">
        <v>0.2</v>
      </c>
      <c r="E28" s="709">
        <v>0</v>
      </c>
      <c r="F28" s="725">
        <v>0</v>
      </c>
      <c r="G28" s="709">
        <v>0</v>
      </c>
      <c r="H28" s="708">
        <v>0</v>
      </c>
      <c r="I28" s="708">
        <v>0.33333333333333331</v>
      </c>
      <c r="J28" s="708">
        <v>0</v>
      </c>
      <c r="K28" s="708">
        <v>0.33333333333333331</v>
      </c>
      <c r="L28" s="708">
        <v>0</v>
      </c>
    </row>
    <row r="29" spans="2:12" ht="15" customHeight="1">
      <c r="B29" s="4928"/>
      <c r="C29" s="3278" t="s">
        <v>424</v>
      </c>
      <c r="D29" s="1718"/>
      <c r="E29" s="708"/>
      <c r="F29" s="725"/>
      <c r="G29" s="708"/>
      <c r="H29" s="708"/>
      <c r="I29" s="708">
        <v>0</v>
      </c>
      <c r="J29" s="708">
        <v>0.18181818181818182</v>
      </c>
      <c r="K29" s="708">
        <v>0.14285714285714285</v>
      </c>
      <c r="L29" s="708">
        <v>0.14285714285714285</v>
      </c>
    </row>
    <row r="30" spans="2:12" ht="15" customHeight="1">
      <c r="B30" s="4925"/>
      <c r="C30" s="3283" t="s">
        <v>834</v>
      </c>
      <c r="D30" s="1364"/>
      <c r="E30" s="3195"/>
      <c r="F30" s="1365"/>
      <c r="G30" s="3195"/>
      <c r="H30" s="3195"/>
      <c r="I30" s="3195"/>
      <c r="J30" s="3195"/>
      <c r="K30" s="3195">
        <v>0</v>
      </c>
      <c r="L30" s="3195">
        <v>0</v>
      </c>
    </row>
    <row r="31" spans="2:12" ht="15" customHeight="1">
      <c r="B31" s="4929"/>
      <c r="C31" s="3279" t="s">
        <v>572</v>
      </c>
      <c r="D31" s="711">
        <v>0.26315789473684209</v>
      </c>
      <c r="E31" s="712">
        <v>0.22857142857142856</v>
      </c>
      <c r="F31" s="1371">
        <v>0.14814814814814814</v>
      </c>
      <c r="G31" s="712">
        <v>0.22500000000000001</v>
      </c>
      <c r="H31" s="712">
        <v>0.13953488372093023</v>
      </c>
      <c r="I31" s="712">
        <v>7.8431372549019607E-2</v>
      </c>
      <c r="J31" s="712">
        <v>0.18367346938775511</v>
      </c>
      <c r="K31" s="712">
        <v>0.32075471698113206</v>
      </c>
      <c r="L31" s="712">
        <v>0.2608695652173913</v>
      </c>
    </row>
    <row r="32" spans="2:12" ht="15" customHeight="1">
      <c r="B32" s="4927" t="s">
        <v>16</v>
      </c>
      <c r="C32" s="3275" t="s">
        <v>108</v>
      </c>
      <c r="D32" s="1367">
        <v>0.25</v>
      </c>
      <c r="E32" s="709">
        <v>0.23809523809523808</v>
      </c>
      <c r="F32" s="725">
        <v>0.30769230769230771</v>
      </c>
      <c r="G32" s="709">
        <v>0.2413793103448276</v>
      </c>
      <c r="H32" s="708">
        <v>0.1111111111111111</v>
      </c>
      <c r="I32" s="708">
        <v>9.0909090909090912E-2</v>
      </c>
      <c r="J32" s="708">
        <v>0.3</v>
      </c>
      <c r="K32" s="708"/>
      <c r="L32" s="708">
        <v>0.1</v>
      </c>
    </row>
    <row r="33" spans="2:12" ht="15" customHeight="1">
      <c r="B33" s="4928"/>
      <c r="C33" s="3275" t="s">
        <v>126</v>
      </c>
      <c r="D33" s="1367">
        <v>0.5</v>
      </c>
      <c r="E33" s="709">
        <v>0.2</v>
      </c>
      <c r="F33" s="725">
        <v>0.13333333333333333</v>
      </c>
      <c r="G33" s="709">
        <v>0.6</v>
      </c>
      <c r="H33" s="708">
        <v>0.5</v>
      </c>
      <c r="I33" s="708">
        <v>0.46666666666666667</v>
      </c>
      <c r="J33" s="708">
        <v>0.63636363636363635</v>
      </c>
      <c r="K33" s="708"/>
      <c r="L33" s="708">
        <v>0.8</v>
      </c>
    </row>
    <row r="34" spans="2:12" ht="15" customHeight="1">
      <c r="B34" s="4925"/>
      <c r="C34" s="3275" t="s">
        <v>127</v>
      </c>
      <c r="D34" s="1367">
        <v>0.41666666666666669</v>
      </c>
      <c r="E34" s="709">
        <v>0.36842105263157893</v>
      </c>
      <c r="F34" s="725">
        <v>0.55555555555555558</v>
      </c>
      <c r="G34" s="709">
        <v>0.58333333333333337</v>
      </c>
      <c r="H34" s="708">
        <v>0.55000000000000004</v>
      </c>
      <c r="I34" s="708">
        <v>0.63157894736842102</v>
      </c>
      <c r="J34" s="708">
        <v>0.6</v>
      </c>
      <c r="K34" s="708">
        <v>0.31818181818181818</v>
      </c>
      <c r="L34" s="708">
        <v>0.25</v>
      </c>
    </row>
    <row r="35" spans="2:12" ht="15" customHeight="1">
      <c r="B35" s="4928"/>
      <c r="C35" s="3275" t="s">
        <v>128</v>
      </c>
      <c r="D35" s="1367">
        <v>0.8125</v>
      </c>
      <c r="E35" s="709">
        <v>1</v>
      </c>
      <c r="F35" s="725">
        <v>0.77272727272727271</v>
      </c>
      <c r="G35" s="709">
        <v>0.7142857142857143</v>
      </c>
      <c r="H35" s="708">
        <v>0.45454545454545453</v>
      </c>
      <c r="I35" s="708">
        <v>1</v>
      </c>
      <c r="J35" s="708">
        <v>0.51724137931034486</v>
      </c>
      <c r="K35" s="708"/>
      <c r="L35" s="708">
        <v>0.5</v>
      </c>
    </row>
    <row r="36" spans="2:12" ht="15" customHeight="1">
      <c r="B36" s="4925"/>
      <c r="C36" s="3275" t="s">
        <v>129</v>
      </c>
      <c r="D36" s="1367">
        <v>0</v>
      </c>
      <c r="E36" s="709">
        <v>0.125</v>
      </c>
      <c r="F36" s="725">
        <v>0</v>
      </c>
      <c r="G36" s="709">
        <v>8.3333333333333329E-2</v>
      </c>
      <c r="H36" s="708">
        <v>6.6666666666666666E-2</v>
      </c>
      <c r="I36" s="708">
        <v>6.6666666666666666E-2</v>
      </c>
      <c r="J36" s="708">
        <v>0.13333333333333333</v>
      </c>
      <c r="K36" s="708">
        <v>0.35714285714285715</v>
      </c>
      <c r="L36" s="708">
        <v>0.375</v>
      </c>
    </row>
    <row r="37" spans="2:12" ht="15" customHeight="1">
      <c r="B37" s="4929"/>
      <c r="C37" s="3272" t="s">
        <v>573</v>
      </c>
      <c r="D37" s="712">
        <v>0.53191489361702127</v>
      </c>
      <c r="E37" s="711">
        <v>0.328125</v>
      </c>
      <c r="F37" s="1366">
        <v>0.4942528735632184</v>
      </c>
      <c r="G37" s="711">
        <v>0.40229885057471265</v>
      </c>
      <c r="H37" s="712">
        <v>0.41666666666666669</v>
      </c>
      <c r="I37" s="712">
        <v>0.43209876543209874</v>
      </c>
      <c r="J37" s="712">
        <v>0.47368421052631576</v>
      </c>
      <c r="K37" s="712">
        <v>0.33333333333333331</v>
      </c>
      <c r="L37" s="712">
        <v>0.39393939393939392</v>
      </c>
    </row>
    <row r="38" spans="2:12" ht="15" customHeight="1">
      <c r="B38" s="4924" t="s">
        <v>41</v>
      </c>
      <c r="C38" s="3278" t="s">
        <v>130</v>
      </c>
      <c r="D38" s="1364">
        <v>0.56521739130434778</v>
      </c>
      <c r="E38" s="708">
        <v>0.6</v>
      </c>
      <c r="F38" s="1365">
        <v>0.54545454545454541</v>
      </c>
      <c r="G38" s="708">
        <v>0.63636363636363635</v>
      </c>
      <c r="H38" s="708">
        <v>0.63636363636363635</v>
      </c>
      <c r="I38" s="708">
        <v>0.30434782608695654</v>
      </c>
      <c r="J38" s="708">
        <v>0.17391304347826086</v>
      </c>
      <c r="K38" s="708">
        <v>0.22222222222222221</v>
      </c>
      <c r="L38" s="708">
        <v>0.33333333333333331</v>
      </c>
    </row>
    <row r="39" spans="2:12" ht="15" customHeight="1">
      <c r="B39" s="4925"/>
      <c r="C39" s="3278" t="s">
        <v>131</v>
      </c>
      <c r="D39" s="1364">
        <v>0.25</v>
      </c>
      <c r="E39" s="708">
        <v>0.3</v>
      </c>
      <c r="F39" s="1365">
        <v>0.14285714285714285</v>
      </c>
      <c r="G39" s="708">
        <v>0.42857142857142855</v>
      </c>
      <c r="H39" s="708">
        <v>0.5</v>
      </c>
      <c r="I39" s="708">
        <v>0.66666666666666663</v>
      </c>
      <c r="J39" s="708">
        <v>0.5</v>
      </c>
      <c r="K39" s="708">
        <v>0.73333333333333328</v>
      </c>
      <c r="L39" s="708">
        <v>0.38461538461538464</v>
      </c>
    </row>
    <row r="40" spans="2:12" ht="15" customHeight="1">
      <c r="B40" s="4925"/>
      <c r="C40" s="3278" t="s">
        <v>338</v>
      </c>
      <c r="D40" s="1364">
        <v>0</v>
      </c>
      <c r="E40" s="708">
        <v>0</v>
      </c>
      <c r="F40" s="1365">
        <v>0.15384615384615385</v>
      </c>
      <c r="G40" s="708">
        <v>0.27272727272727271</v>
      </c>
      <c r="H40" s="708">
        <v>0.2857142857142857</v>
      </c>
      <c r="I40" s="708">
        <v>7.6923076923076927E-2</v>
      </c>
      <c r="J40" s="708">
        <v>0.05</v>
      </c>
      <c r="K40" s="708">
        <v>0.2</v>
      </c>
      <c r="L40" s="708">
        <v>0.2</v>
      </c>
    </row>
    <row r="41" spans="2:12" ht="15" customHeight="1">
      <c r="B41" s="4925"/>
      <c r="C41" s="3280" t="s">
        <v>890</v>
      </c>
      <c r="D41" s="1364">
        <v>0.5</v>
      </c>
      <c r="E41" s="708">
        <v>1</v>
      </c>
      <c r="F41" s="1365"/>
      <c r="G41" s="708"/>
      <c r="H41" s="708"/>
      <c r="I41" s="708"/>
      <c r="J41" s="708"/>
      <c r="K41" s="708"/>
      <c r="L41" s="708"/>
    </row>
    <row r="42" spans="2:12" ht="15" customHeight="1">
      <c r="B42" s="4926"/>
      <c r="C42" s="3281" t="s">
        <v>575</v>
      </c>
      <c r="D42" s="1368">
        <v>0.4838709677419355</v>
      </c>
      <c r="E42" s="713">
        <v>0.38461538461538464</v>
      </c>
      <c r="F42" s="1369">
        <v>0.35714285714285715</v>
      </c>
      <c r="G42" s="713">
        <v>0.44444444444444442</v>
      </c>
      <c r="H42" s="1368">
        <v>0.5</v>
      </c>
      <c r="I42" s="1368">
        <v>0.33333333333333331</v>
      </c>
      <c r="J42" s="1368">
        <v>0.22807017543859648</v>
      </c>
      <c r="K42" s="1368">
        <v>0.375</v>
      </c>
      <c r="L42" s="1368">
        <v>0.28813559322033899</v>
      </c>
    </row>
    <row r="43" spans="2:12" ht="15" customHeight="1">
      <c r="B43" s="3277"/>
      <c r="C43" s="1370" t="s">
        <v>111</v>
      </c>
      <c r="D43" s="1368">
        <v>0.43103448275862066</v>
      </c>
      <c r="E43" s="713">
        <v>0.312</v>
      </c>
      <c r="F43" s="1369">
        <v>0.39743589743589741</v>
      </c>
      <c r="G43" s="713">
        <v>0.36809815950920244</v>
      </c>
      <c r="H43" s="1368">
        <v>0.38604651162790699</v>
      </c>
      <c r="I43" s="1368">
        <v>0.30555555555555558</v>
      </c>
      <c r="J43" s="1368">
        <v>0.32835820895522388</v>
      </c>
      <c r="K43" s="1368">
        <v>0.34306569343065696</v>
      </c>
      <c r="L43" s="1368">
        <v>0.33333333333333331</v>
      </c>
    </row>
    <row r="44" spans="2:12" ht="15" customHeight="1">
      <c r="B44" s="4934" t="s">
        <v>16</v>
      </c>
      <c r="C44" s="3270" t="s">
        <v>145</v>
      </c>
      <c r="D44" s="3285"/>
      <c r="E44" s="709">
        <v>0.3</v>
      </c>
      <c r="F44" s="3265">
        <v>7.6923076923076927E-2</v>
      </c>
      <c r="G44" s="710">
        <v>0.21739130434782608</v>
      </c>
      <c r="H44" s="712"/>
      <c r="I44" s="708">
        <v>0.34693877551020408</v>
      </c>
      <c r="J44" s="708"/>
      <c r="K44" s="708">
        <v>0.25925925925925924</v>
      </c>
      <c r="L44" s="708"/>
    </row>
    <row r="45" spans="2:12" ht="15" customHeight="1">
      <c r="B45" s="4935"/>
      <c r="C45" s="3271" t="s">
        <v>112</v>
      </c>
      <c r="D45" s="2610"/>
      <c r="E45" s="709">
        <v>5.8823529411764705E-2</v>
      </c>
      <c r="F45" s="3194"/>
      <c r="G45" s="709">
        <v>7.1428571428571425E-2</v>
      </c>
      <c r="H45" s="712"/>
      <c r="I45" s="708">
        <v>0.17391304347826086</v>
      </c>
      <c r="J45" s="708"/>
      <c r="K45" s="708">
        <v>0.29411764705882354</v>
      </c>
      <c r="L45" s="708"/>
    </row>
    <row r="46" spans="2:12" ht="15" customHeight="1">
      <c r="B46" s="4935"/>
      <c r="C46" s="3271" t="s">
        <v>129</v>
      </c>
      <c r="D46" s="2610">
        <v>0</v>
      </c>
      <c r="E46" s="709"/>
      <c r="F46" s="2611">
        <v>0</v>
      </c>
      <c r="G46" s="709">
        <v>1</v>
      </c>
      <c r="H46" s="712"/>
      <c r="I46" s="712"/>
      <c r="J46" s="712"/>
      <c r="K46" s="712"/>
      <c r="L46" s="708">
        <v>0.22222222222222221</v>
      </c>
    </row>
    <row r="47" spans="2:12" ht="15" customHeight="1">
      <c r="B47" s="4936"/>
      <c r="C47" s="3282" t="s">
        <v>573</v>
      </c>
      <c r="D47" s="3194">
        <v>0</v>
      </c>
      <c r="E47" s="711">
        <v>0.25773195876288657</v>
      </c>
      <c r="F47" s="3199">
        <v>6.6666666666666666E-2</v>
      </c>
      <c r="G47" s="711">
        <v>0.20967741935483872</v>
      </c>
      <c r="H47" s="712"/>
      <c r="I47" s="712">
        <v>0.29166666666666669</v>
      </c>
      <c r="J47" s="712"/>
      <c r="K47" s="712">
        <v>0.26760563380281688</v>
      </c>
      <c r="L47" s="712">
        <v>0.22222222222222221</v>
      </c>
    </row>
    <row r="48" spans="2:12" ht="15" customHeight="1">
      <c r="B48" s="4924" t="s">
        <v>41</v>
      </c>
      <c r="C48" s="3275" t="s">
        <v>146</v>
      </c>
      <c r="D48" s="2610">
        <v>0.2</v>
      </c>
      <c r="E48" s="709">
        <v>0.16666666666666666</v>
      </c>
      <c r="F48" s="3194"/>
      <c r="G48" s="709">
        <v>0.23076923076923078</v>
      </c>
      <c r="H48" s="708">
        <v>0.30769230769230771</v>
      </c>
      <c r="I48" s="708"/>
      <c r="J48" s="708">
        <v>0.15384615384615385</v>
      </c>
      <c r="K48" s="708"/>
      <c r="L48" s="708">
        <v>0.6428571428571429</v>
      </c>
    </row>
    <row r="49" spans="1:12" ht="15" customHeight="1">
      <c r="B49" s="4925"/>
      <c r="C49" s="3275" t="s">
        <v>338</v>
      </c>
      <c r="D49" s="2610">
        <v>0</v>
      </c>
      <c r="E49" s="709">
        <v>0.5</v>
      </c>
      <c r="F49" s="2611">
        <v>0.5</v>
      </c>
      <c r="G49" s="709">
        <v>0.23076923076923078</v>
      </c>
      <c r="H49" s="708">
        <v>0.54545454545454541</v>
      </c>
      <c r="I49" s="708">
        <v>0.35294117647058826</v>
      </c>
      <c r="J49" s="708">
        <v>0.42857142857142855</v>
      </c>
      <c r="K49" s="708">
        <v>0.41666666666666669</v>
      </c>
      <c r="L49" s="708">
        <v>0.38461538461538464</v>
      </c>
    </row>
    <row r="50" spans="1:12" ht="15" customHeight="1">
      <c r="B50" s="4925"/>
      <c r="C50" s="706" t="s">
        <v>890</v>
      </c>
      <c r="D50" s="2610">
        <v>1</v>
      </c>
      <c r="E50" s="709">
        <v>1</v>
      </c>
      <c r="F50" s="2611"/>
      <c r="G50" s="709"/>
      <c r="H50" s="708"/>
      <c r="I50" s="708"/>
      <c r="J50" s="708"/>
      <c r="K50" s="708"/>
      <c r="L50" s="708"/>
    </row>
    <row r="51" spans="1:12" ht="15" customHeight="1">
      <c r="B51" s="4925"/>
      <c r="C51" s="706" t="s">
        <v>2024</v>
      </c>
      <c r="D51" s="2610"/>
      <c r="E51" s="709"/>
      <c r="F51" s="2611"/>
      <c r="G51" s="709"/>
      <c r="H51" s="3195"/>
      <c r="I51" s="3195"/>
      <c r="J51" s="3195"/>
      <c r="K51" s="3195">
        <v>0.33333333333333331</v>
      </c>
      <c r="L51" s="3195">
        <v>0.14285714285714285</v>
      </c>
    </row>
    <row r="52" spans="1:12" ht="15" customHeight="1">
      <c r="B52" s="4926"/>
      <c r="C52" s="3284" t="s">
        <v>575</v>
      </c>
      <c r="D52" s="3194">
        <v>0.32</v>
      </c>
      <c r="E52" s="711">
        <v>0.40740740740740738</v>
      </c>
      <c r="F52" s="3199">
        <v>0.5</v>
      </c>
      <c r="G52" s="3274">
        <v>0.23076923076923078</v>
      </c>
      <c r="H52" s="712">
        <v>0.41666666666666669</v>
      </c>
      <c r="I52" s="712">
        <v>0.35294117647058826</v>
      </c>
      <c r="J52" s="712">
        <v>0.29629629629629628</v>
      </c>
      <c r="K52" s="712">
        <v>0.38095238095238093</v>
      </c>
      <c r="L52" s="712">
        <v>0.44117647058823528</v>
      </c>
    </row>
    <row r="53" spans="1:12" ht="15" customHeight="1">
      <c r="B53" s="4927" t="s">
        <v>21</v>
      </c>
      <c r="C53" s="3275" t="s">
        <v>147</v>
      </c>
      <c r="D53" s="2610">
        <v>0.1875</v>
      </c>
      <c r="E53" s="709">
        <v>0</v>
      </c>
      <c r="F53" s="2611">
        <v>0.27272727272727271</v>
      </c>
      <c r="G53" s="709">
        <v>0.1</v>
      </c>
      <c r="H53" s="708">
        <v>0.27272727272727271</v>
      </c>
      <c r="I53" s="708">
        <v>0.5</v>
      </c>
      <c r="J53" s="708">
        <v>0.2</v>
      </c>
      <c r="K53" s="708">
        <v>0.25</v>
      </c>
      <c r="L53" s="708">
        <v>0.42857142857142855</v>
      </c>
    </row>
    <row r="54" spans="1:12" ht="15" customHeight="1">
      <c r="B54" s="4929"/>
      <c r="C54" s="3276" t="s">
        <v>574</v>
      </c>
      <c r="D54" s="3264">
        <v>0.1875</v>
      </c>
      <c r="E54" s="3263">
        <v>0</v>
      </c>
      <c r="F54" s="3266">
        <v>0.27272727272727271</v>
      </c>
      <c r="G54" s="3263">
        <v>0.1</v>
      </c>
      <c r="H54" s="1368">
        <v>0.27272727272727271</v>
      </c>
      <c r="I54" s="1368">
        <v>0.5</v>
      </c>
      <c r="J54" s="1368">
        <v>0.2</v>
      </c>
      <c r="K54" s="1368">
        <v>0.25</v>
      </c>
      <c r="L54" s="1368">
        <v>0.42857142857142855</v>
      </c>
    </row>
    <row r="55" spans="1:12" ht="15" customHeight="1">
      <c r="B55" s="3277"/>
      <c r="C55" s="1370" t="s">
        <v>461</v>
      </c>
      <c r="D55" s="1368">
        <v>0.2558139534883721</v>
      </c>
      <c r="E55" s="713">
        <v>0.27692307692307694</v>
      </c>
      <c r="F55" s="1369">
        <v>0.26315789473684209</v>
      </c>
      <c r="G55" s="713">
        <v>0.20408163265306123</v>
      </c>
      <c r="H55" s="1368">
        <v>0.37142857142857144</v>
      </c>
      <c r="I55" s="1368">
        <v>0.31958762886597936</v>
      </c>
      <c r="J55" s="1368">
        <v>0.27027027027027029</v>
      </c>
      <c r="K55" s="1368">
        <v>0.28999999999999998</v>
      </c>
      <c r="L55" s="1368">
        <v>0.4</v>
      </c>
    </row>
    <row r="56" spans="1:12" s="1287" customFormat="1" ht="15" customHeight="1">
      <c r="A56" s="42"/>
      <c r="B56" s="4932" t="s">
        <v>16</v>
      </c>
      <c r="C56" s="1719" t="s">
        <v>709</v>
      </c>
      <c r="D56" s="715"/>
      <c r="E56" s="1365"/>
      <c r="F56" s="725"/>
      <c r="G56" s="1720"/>
      <c r="H56" s="725"/>
      <c r="I56" s="725">
        <v>0.16666666666666666</v>
      </c>
      <c r="J56" s="725">
        <v>0.3</v>
      </c>
      <c r="K56" s="725">
        <v>0.41176470588235292</v>
      </c>
      <c r="L56" s="725">
        <v>0.29411764705882354</v>
      </c>
    </row>
    <row r="57" spans="1:12" s="1287" customFormat="1" ht="15" customHeight="1">
      <c r="A57" s="42"/>
      <c r="B57" s="4933"/>
      <c r="C57" s="1721" t="s">
        <v>573</v>
      </c>
      <c r="D57" s="1722"/>
      <c r="E57" s="713"/>
      <c r="F57" s="1723"/>
      <c r="G57" s="1724"/>
      <c r="H57" s="1369"/>
      <c r="I57" s="1369">
        <v>0.16666666666666666</v>
      </c>
      <c r="J57" s="1369">
        <v>0.3</v>
      </c>
      <c r="K57" s="1369">
        <v>0.41176470588235292</v>
      </c>
      <c r="L57" s="1369">
        <v>0.29411764705882354</v>
      </c>
    </row>
    <row r="58" spans="1:12" s="1287" customFormat="1" ht="15" customHeight="1">
      <c r="A58" s="42"/>
      <c r="B58" s="4932" t="s">
        <v>64</v>
      </c>
      <c r="C58" s="1719" t="s">
        <v>710</v>
      </c>
      <c r="D58" s="715"/>
      <c r="E58" s="1365"/>
      <c r="F58" s="725"/>
      <c r="G58" s="1720"/>
      <c r="H58" s="725"/>
      <c r="I58" s="725"/>
      <c r="J58" s="725">
        <v>0.14285714285714285</v>
      </c>
      <c r="K58" s="725">
        <v>0.33333333333333331</v>
      </c>
      <c r="L58" s="725">
        <v>0</v>
      </c>
    </row>
    <row r="59" spans="1:12" s="1287" customFormat="1" ht="15" customHeight="1">
      <c r="A59" s="42"/>
      <c r="B59" s="4933"/>
      <c r="C59" s="1721" t="s">
        <v>577</v>
      </c>
      <c r="D59" s="1722"/>
      <c r="E59" s="713"/>
      <c r="F59" s="1723"/>
      <c r="G59" s="1724"/>
      <c r="H59" s="1369"/>
      <c r="I59" s="1369"/>
      <c r="J59" s="1369">
        <v>0.14285714285714285</v>
      </c>
      <c r="K59" s="1369">
        <v>0.33333333333333331</v>
      </c>
      <c r="L59" s="1369">
        <v>0</v>
      </c>
    </row>
    <row r="60" spans="1:12" s="1287" customFormat="1" ht="15" customHeight="1">
      <c r="A60" s="42"/>
      <c r="B60" s="1725"/>
      <c r="C60" s="1726" t="s">
        <v>265</v>
      </c>
      <c r="D60" s="1727"/>
      <c r="E60" s="711"/>
      <c r="F60" s="1728"/>
      <c r="G60" s="1371"/>
      <c r="H60" s="1366"/>
      <c r="I60" s="1366">
        <v>0.16666666666666666</v>
      </c>
      <c r="J60" s="1366">
        <v>0.23529411764705882</v>
      </c>
      <c r="K60" s="1366">
        <v>0.39130434782608697</v>
      </c>
      <c r="L60" s="1366">
        <v>0.2</v>
      </c>
    </row>
    <row r="61" spans="1:12" ht="15" customHeight="1">
      <c r="B61" s="4930" t="s">
        <v>883</v>
      </c>
      <c r="C61" s="4931"/>
      <c r="D61" s="714">
        <v>0.38857142857142857</v>
      </c>
      <c r="E61" s="714">
        <v>0.28990228013029318</v>
      </c>
      <c r="F61" s="714">
        <v>0.34389140271493213</v>
      </c>
      <c r="G61" s="714">
        <v>0.29655172413793102</v>
      </c>
      <c r="H61" s="714">
        <v>0.36688311688311687</v>
      </c>
      <c r="I61" s="714">
        <v>0.30967741935483872</v>
      </c>
      <c r="J61" s="714">
        <v>0.32881355932203388</v>
      </c>
      <c r="K61" s="714">
        <v>0.33214285714285713</v>
      </c>
      <c r="L61" s="1712">
        <v>0.31871345029239767</v>
      </c>
    </row>
  </sheetData>
  <mergeCells count="12">
    <mergeCell ref="B61:C61"/>
    <mergeCell ref="B58:B59"/>
    <mergeCell ref="B44:B47"/>
    <mergeCell ref="B53:B54"/>
    <mergeCell ref="B56:B57"/>
    <mergeCell ref="B38:B42"/>
    <mergeCell ref="B48:B52"/>
    <mergeCell ref="B6:B11"/>
    <mergeCell ref="B12:B15"/>
    <mergeCell ref="B16:B22"/>
    <mergeCell ref="B24:B31"/>
    <mergeCell ref="B32:B3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HB442"/>
  <sheetViews>
    <sheetView zoomScale="110" zoomScaleNormal="110" workbookViewId="0">
      <selection activeCell="W253" activeCellId="5" sqref="W224 W231 W234 W237 W244 W253"/>
    </sheetView>
  </sheetViews>
  <sheetFormatPr baseColWidth="10" defaultRowHeight="15"/>
  <cols>
    <col min="1" max="1" width="12.42578125" style="4676" customWidth="1"/>
    <col min="2" max="2" width="6.7109375" style="4676" bestFit="1" customWidth="1"/>
    <col min="3" max="3" width="58.28515625" style="4676" bestFit="1" customWidth="1"/>
    <col min="4" max="4" width="16.5703125" style="4676" bestFit="1" customWidth="1"/>
    <col min="5" max="5" width="4.5703125" style="4676" bestFit="1" customWidth="1"/>
    <col min="6" max="13" width="1.85546875" style="4676" bestFit="1" customWidth="1"/>
    <col min="14" max="21" width="2.7109375" style="4676" bestFit="1" customWidth="1"/>
    <col min="22" max="22" width="4.5703125" style="4676" bestFit="1" customWidth="1"/>
    <col min="23" max="23" width="8.140625" style="4676" bestFit="1" customWidth="1"/>
    <col min="24" max="24" width="11.42578125" style="4676"/>
    <col min="27" max="27" width="51.85546875" bestFit="1" customWidth="1"/>
    <col min="28" max="28" width="16.5703125" bestFit="1" customWidth="1"/>
    <col min="29" max="29" width="4.140625" bestFit="1" customWidth="1"/>
    <col min="30" max="37" width="2" bestFit="1" customWidth="1"/>
    <col min="38" max="45" width="3" bestFit="1" customWidth="1"/>
    <col min="46" max="46" width="5" bestFit="1" customWidth="1"/>
    <col min="49" max="49" width="11.42578125" style="161"/>
    <col min="50" max="50" width="6.7109375" style="161" bestFit="1" customWidth="1"/>
    <col min="51" max="51" width="43.85546875" style="2604" bestFit="1" customWidth="1"/>
    <col min="52" max="52" width="16.5703125" style="2604" bestFit="1" customWidth="1"/>
    <col min="53" max="53" width="4.28515625" style="161" bestFit="1" customWidth="1"/>
    <col min="54" max="61" width="2" style="161" bestFit="1" customWidth="1"/>
    <col min="62" max="62" width="2.7109375" style="161" customWidth="1"/>
    <col min="63" max="69" width="3" style="161" bestFit="1" customWidth="1"/>
    <col min="70" max="70" width="5.140625" style="161" bestFit="1" customWidth="1"/>
    <col min="71" max="71" width="11.42578125" style="161" customWidth="1"/>
    <col min="73" max="73" width="11.85546875" customWidth="1"/>
    <col min="74" max="74" width="8.7109375" customWidth="1"/>
    <col min="75" max="75" width="43.5703125" bestFit="1" customWidth="1"/>
    <col min="76" max="76" width="16.5703125" bestFit="1" customWidth="1"/>
    <col min="77" max="77" width="1.85546875" bestFit="1" customWidth="1"/>
    <col min="78" max="78" width="2.7109375" bestFit="1" customWidth="1"/>
    <col min="79" max="83" width="1.85546875" bestFit="1" customWidth="1"/>
    <col min="84" max="91" width="2.7109375" bestFit="1" customWidth="1"/>
    <col min="92" max="92" width="4.5703125" bestFit="1" customWidth="1"/>
    <col min="93" max="94" width="8.7109375" customWidth="1"/>
    <col min="95" max="95" width="11.140625" customWidth="1"/>
    <col min="96" max="96" width="6.7109375" bestFit="1" customWidth="1"/>
    <col min="97" max="97" width="33.85546875" bestFit="1" customWidth="1"/>
    <col min="98" max="98" width="16.5703125" bestFit="1" customWidth="1"/>
    <col min="99" max="115" width="2.7109375" customWidth="1"/>
    <col min="116" max="116" width="4.5703125" bestFit="1" customWidth="1"/>
    <col min="117" max="117" width="9.85546875" customWidth="1"/>
    <col min="118" max="118" width="10.85546875" customWidth="1"/>
    <col min="119" max="119" width="10.7109375" customWidth="1"/>
    <col min="120" max="120" width="6.7109375" bestFit="1" customWidth="1"/>
    <col min="121" max="121" width="33.85546875" bestFit="1" customWidth="1"/>
    <col min="122" max="122" width="15.7109375" bestFit="1" customWidth="1"/>
    <col min="123" max="123" width="16.5703125" bestFit="1" customWidth="1"/>
    <col min="124" max="129" width="1.85546875" bestFit="1" customWidth="1"/>
    <col min="130" max="130" width="2.7109375" bestFit="1" customWidth="1"/>
    <col min="131" max="132" width="1.85546875" bestFit="1" customWidth="1"/>
    <col min="133" max="140" width="2.7109375" bestFit="1" customWidth="1"/>
    <col min="141" max="141" width="4.5703125" bestFit="1" customWidth="1"/>
    <col min="142" max="142" width="7.7109375" bestFit="1" customWidth="1"/>
    <col min="143" max="143" width="10.7109375" customWidth="1"/>
    <col min="144" max="144" width="11.42578125" customWidth="1"/>
    <col min="145" max="145" width="6.7109375" bestFit="1" customWidth="1"/>
    <col min="146" max="146" width="33.85546875" bestFit="1" customWidth="1"/>
    <col min="147" max="147" width="16.5703125" bestFit="1" customWidth="1"/>
    <col min="148" max="152" width="1.85546875" bestFit="1" customWidth="1"/>
    <col min="153" max="160" width="2.7109375" bestFit="1" customWidth="1"/>
    <col min="161" max="161" width="4.42578125" customWidth="1"/>
    <col min="162" max="162" width="10.42578125" customWidth="1"/>
    <col min="163" max="163" width="4.42578125" customWidth="1"/>
    <col min="164" max="164" width="8.7109375" customWidth="1"/>
    <col min="165" max="165" width="11.42578125" style="191" customWidth="1"/>
    <col min="166" max="166" width="11.28515625" style="191" bestFit="1" customWidth="1"/>
    <col min="167" max="167" width="34.5703125" bestFit="1" customWidth="1"/>
    <col min="168" max="168" width="20.7109375" bestFit="1" customWidth="1"/>
    <col min="169" max="176" width="1.85546875" bestFit="1" customWidth="1"/>
    <col min="177" max="184" width="2.7109375" bestFit="1" customWidth="1"/>
    <col min="185" max="185" width="7.42578125" customWidth="1"/>
    <col min="186" max="186" width="10.28515625" customWidth="1"/>
    <col min="188" max="188" width="12.28515625" bestFit="1" customWidth="1"/>
    <col min="189" max="189" width="8.7109375" bestFit="1" customWidth="1"/>
    <col min="190" max="190" width="34.85546875" customWidth="1"/>
    <col min="191" max="191" width="24.42578125" bestFit="1" customWidth="1"/>
    <col min="192" max="199" width="2.42578125" bestFit="1" customWidth="1"/>
    <col min="200" max="207" width="3.28515625" bestFit="1" customWidth="1"/>
    <col min="210" max="210" width="28.42578125" customWidth="1"/>
    <col min="419" max="419" width="4.42578125" customWidth="1"/>
    <col min="420" max="420" width="14.7109375" customWidth="1"/>
    <col min="421" max="421" width="13.7109375" customWidth="1"/>
    <col min="422" max="422" width="42.42578125" bestFit="1" customWidth="1"/>
    <col min="423" max="423" width="20.7109375" bestFit="1" customWidth="1"/>
    <col min="424" max="439" width="3.7109375" customWidth="1"/>
    <col min="440" max="440" width="7.42578125" customWidth="1"/>
    <col min="441" max="441" width="18.140625" bestFit="1" customWidth="1"/>
    <col min="675" max="675" width="4.42578125" customWidth="1"/>
    <col min="676" max="676" width="14.7109375" customWidth="1"/>
    <col min="677" max="677" width="13.7109375" customWidth="1"/>
    <col min="678" max="678" width="42.42578125" bestFit="1" customWidth="1"/>
    <col min="679" max="679" width="20.7109375" bestFit="1" customWidth="1"/>
    <col min="680" max="695" width="3.7109375" customWidth="1"/>
    <col min="696" max="696" width="7.42578125" customWidth="1"/>
    <col min="697" max="697" width="18.140625" bestFit="1" customWidth="1"/>
    <col min="931" max="931" width="4.42578125" customWidth="1"/>
    <col min="932" max="932" width="14.7109375" customWidth="1"/>
    <col min="933" max="933" width="13.7109375" customWidth="1"/>
    <col min="934" max="934" width="42.42578125" bestFit="1" customWidth="1"/>
    <col min="935" max="935" width="20.7109375" bestFit="1" customWidth="1"/>
    <col min="936" max="951" width="3.7109375" customWidth="1"/>
    <col min="952" max="952" width="7.42578125" customWidth="1"/>
    <col min="953" max="953" width="18.140625" bestFit="1" customWidth="1"/>
    <col min="1187" max="1187" width="4.42578125" customWidth="1"/>
    <col min="1188" max="1188" width="14.7109375" customWidth="1"/>
    <col min="1189" max="1189" width="13.7109375" customWidth="1"/>
    <col min="1190" max="1190" width="42.42578125" bestFit="1" customWidth="1"/>
    <col min="1191" max="1191" width="20.7109375" bestFit="1" customWidth="1"/>
    <col min="1192" max="1207" width="3.7109375" customWidth="1"/>
    <col min="1208" max="1208" width="7.42578125" customWidth="1"/>
    <col min="1209" max="1209" width="18.140625" bestFit="1" customWidth="1"/>
    <col min="1443" max="1443" width="4.42578125" customWidth="1"/>
    <col min="1444" max="1444" width="14.7109375" customWidth="1"/>
    <col min="1445" max="1445" width="13.7109375" customWidth="1"/>
    <col min="1446" max="1446" width="42.42578125" bestFit="1" customWidth="1"/>
    <col min="1447" max="1447" width="20.7109375" bestFit="1" customWidth="1"/>
    <col min="1448" max="1463" width="3.7109375" customWidth="1"/>
    <col min="1464" max="1464" width="7.42578125" customWidth="1"/>
    <col min="1465" max="1465" width="18.140625" bestFit="1" customWidth="1"/>
    <col min="1699" max="1699" width="4.42578125" customWidth="1"/>
    <col min="1700" max="1700" width="14.7109375" customWidth="1"/>
    <col min="1701" max="1701" width="13.7109375" customWidth="1"/>
    <col min="1702" max="1702" width="42.42578125" bestFit="1" customWidth="1"/>
    <col min="1703" max="1703" width="20.7109375" bestFit="1" customWidth="1"/>
    <col min="1704" max="1719" width="3.7109375" customWidth="1"/>
    <col min="1720" max="1720" width="7.42578125" customWidth="1"/>
    <col min="1721" max="1721" width="18.140625" bestFit="1" customWidth="1"/>
    <col min="1955" max="1955" width="4.42578125" customWidth="1"/>
    <col min="1956" max="1956" width="14.7109375" customWidth="1"/>
    <col min="1957" max="1957" width="13.7109375" customWidth="1"/>
    <col min="1958" max="1958" width="42.42578125" bestFit="1" customWidth="1"/>
    <col min="1959" max="1959" width="20.7109375" bestFit="1" customWidth="1"/>
    <col min="1960" max="1975" width="3.7109375" customWidth="1"/>
    <col min="1976" max="1976" width="7.42578125" customWidth="1"/>
    <col min="1977" max="1977" width="18.140625" bestFit="1" customWidth="1"/>
    <col min="2211" max="2211" width="4.42578125" customWidth="1"/>
    <col min="2212" max="2212" width="14.7109375" customWidth="1"/>
    <col min="2213" max="2213" width="13.7109375" customWidth="1"/>
    <col min="2214" max="2214" width="42.42578125" bestFit="1" customWidth="1"/>
    <col min="2215" max="2215" width="20.7109375" bestFit="1" customWidth="1"/>
    <col min="2216" max="2231" width="3.7109375" customWidth="1"/>
    <col min="2232" max="2232" width="7.42578125" customWidth="1"/>
    <col min="2233" max="2233" width="18.140625" bestFit="1" customWidth="1"/>
    <col min="2467" max="2467" width="4.42578125" customWidth="1"/>
    <col min="2468" max="2468" width="14.7109375" customWidth="1"/>
    <col min="2469" max="2469" width="13.7109375" customWidth="1"/>
    <col min="2470" max="2470" width="42.42578125" bestFit="1" customWidth="1"/>
    <col min="2471" max="2471" width="20.7109375" bestFit="1" customWidth="1"/>
    <col min="2472" max="2487" width="3.7109375" customWidth="1"/>
    <col min="2488" max="2488" width="7.42578125" customWidth="1"/>
    <col min="2489" max="2489" width="18.140625" bestFit="1" customWidth="1"/>
    <col min="2723" max="2723" width="4.42578125" customWidth="1"/>
    <col min="2724" max="2724" width="14.7109375" customWidth="1"/>
    <col min="2725" max="2725" width="13.7109375" customWidth="1"/>
    <col min="2726" max="2726" width="42.42578125" bestFit="1" customWidth="1"/>
    <col min="2727" max="2727" width="20.7109375" bestFit="1" customWidth="1"/>
    <col min="2728" max="2743" width="3.7109375" customWidth="1"/>
    <col min="2744" max="2744" width="7.42578125" customWidth="1"/>
    <col min="2745" max="2745" width="18.140625" bestFit="1" customWidth="1"/>
    <col min="2979" max="2979" width="4.42578125" customWidth="1"/>
    <col min="2980" max="2980" width="14.7109375" customWidth="1"/>
    <col min="2981" max="2981" width="13.7109375" customWidth="1"/>
    <col min="2982" max="2982" width="42.42578125" bestFit="1" customWidth="1"/>
    <col min="2983" max="2983" width="20.7109375" bestFit="1" customWidth="1"/>
    <col min="2984" max="2999" width="3.7109375" customWidth="1"/>
    <col min="3000" max="3000" width="7.42578125" customWidth="1"/>
    <col min="3001" max="3001" width="18.140625" bestFit="1" customWidth="1"/>
    <col min="3235" max="3235" width="4.42578125" customWidth="1"/>
    <col min="3236" max="3236" width="14.7109375" customWidth="1"/>
    <col min="3237" max="3237" width="13.7109375" customWidth="1"/>
    <col min="3238" max="3238" width="42.42578125" bestFit="1" customWidth="1"/>
    <col min="3239" max="3239" width="20.7109375" bestFit="1" customWidth="1"/>
    <col min="3240" max="3255" width="3.7109375" customWidth="1"/>
    <col min="3256" max="3256" width="7.42578125" customWidth="1"/>
    <col min="3257" max="3257" width="18.140625" bestFit="1" customWidth="1"/>
    <col min="3491" max="3491" width="4.42578125" customWidth="1"/>
    <col min="3492" max="3492" width="14.7109375" customWidth="1"/>
    <col min="3493" max="3493" width="13.7109375" customWidth="1"/>
    <col min="3494" max="3494" width="42.42578125" bestFit="1" customWidth="1"/>
    <col min="3495" max="3495" width="20.7109375" bestFit="1" customWidth="1"/>
    <col min="3496" max="3511" width="3.7109375" customWidth="1"/>
    <col min="3512" max="3512" width="7.42578125" customWidth="1"/>
    <col min="3513" max="3513" width="18.140625" bestFit="1" customWidth="1"/>
    <col min="3747" max="3747" width="4.42578125" customWidth="1"/>
    <col min="3748" max="3748" width="14.7109375" customWidth="1"/>
    <col min="3749" max="3749" width="13.7109375" customWidth="1"/>
    <col min="3750" max="3750" width="42.42578125" bestFit="1" customWidth="1"/>
    <col min="3751" max="3751" width="20.7109375" bestFit="1" customWidth="1"/>
    <col min="3752" max="3767" width="3.7109375" customWidth="1"/>
    <col min="3768" max="3768" width="7.42578125" customWidth="1"/>
    <col min="3769" max="3769" width="18.140625" bestFit="1" customWidth="1"/>
    <col min="4003" max="4003" width="4.42578125" customWidth="1"/>
    <col min="4004" max="4004" width="14.7109375" customWidth="1"/>
    <col min="4005" max="4005" width="13.7109375" customWidth="1"/>
    <col min="4006" max="4006" width="42.42578125" bestFit="1" customWidth="1"/>
    <col min="4007" max="4007" width="20.7109375" bestFit="1" customWidth="1"/>
    <col min="4008" max="4023" width="3.7109375" customWidth="1"/>
    <col min="4024" max="4024" width="7.42578125" customWidth="1"/>
    <col min="4025" max="4025" width="18.140625" bestFit="1" customWidth="1"/>
    <col min="4259" max="4259" width="4.42578125" customWidth="1"/>
    <col min="4260" max="4260" width="14.7109375" customWidth="1"/>
    <col min="4261" max="4261" width="13.7109375" customWidth="1"/>
    <col min="4262" max="4262" width="42.42578125" bestFit="1" customWidth="1"/>
    <col min="4263" max="4263" width="20.7109375" bestFit="1" customWidth="1"/>
    <col min="4264" max="4279" width="3.7109375" customWidth="1"/>
    <col min="4280" max="4280" width="7.42578125" customWidth="1"/>
    <col min="4281" max="4281" width="18.140625" bestFit="1" customWidth="1"/>
    <col min="4515" max="4515" width="4.42578125" customWidth="1"/>
    <col min="4516" max="4516" width="14.7109375" customWidth="1"/>
    <col min="4517" max="4517" width="13.7109375" customWidth="1"/>
    <col min="4518" max="4518" width="42.42578125" bestFit="1" customWidth="1"/>
    <col min="4519" max="4519" width="20.7109375" bestFit="1" customWidth="1"/>
    <col min="4520" max="4535" width="3.7109375" customWidth="1"/>
    <col min="4536" max="4536" width="7.42578125" customWidth="1"/>
    <col min="4537" max="4537" width="18.140625" bestFit="1" customWidth="1"/>
    <col min="4771" max="4771" width="4.42578125" customWidth="1"/>
    <col min="4772" max="4772" width="14.7109375" customWidth="1"/>
    <col min="4773" max="4773" width="13.7109375" customWidth="1"/>
    <col min="4774" max="4774" width="42.42578125" bestFit="1" customWidth="1"/>
    <col min="4775" max="4775" width="20.7109375" bestFit="1" customWidth="1"/>
    <col min="4776" max="4791" width="3.7109375" customWidth="1"/>
    <col min="4792" max="4792" width="7.42578125" customWidth="1"/>
    <col min="4793" max="4793" width="18.140625" bestFit="1" customWidth="1"/>
    <col min="5027" max="5027" width="4.42578125" customWidth="1"/>
    <col min="5028" max="5028" width="14.7109375" customWidth="1"/>
    <col min="5029" max="5029" width="13.7109375" customWidth="1"/>
    <col min="5030" max="5030" width="42.42578125" bestFit="1" customWidth="1"/>
    <col min="5031" max="5031" width="20.7109375" bestFit="1" customWidth="1"/>
    <col min="5032" max="5047" width="3.7109375" customWidth="1"/>
    <col min="5048" max="5048" width="7.42578125" customWidth="1"/>
    <col min="5049" max="5049" width="18.140625" bestFit="1" customWidth="1"/>
    <col min="5283" max="5283" width="4.42578125" customWidth="1"/>
    <col min="5284" max="5284" width="14.7109375" customWidth="1"/>
    <col min="5285" max="5285" width="13.7109375" customWidth="1"/>
    <col min="5286" max="5286" width="42.42578125" bestFit="1" customWidth="1"/>
    <col min="5287" max="5287" width="20.7109375" bestFit="1" customWidth="1"/>
    <col min="5288" max="5303" width="3.7109375" customWidth="1"/>
    <col min="5304" max="5304" width="7.42578125" customWidth="1"/>
    <col min="5305" max="5305" width="18.140625" bestFit="1" customWidth="1"/>
    <col min="5539" max="5539" width="4.42578125" customWidth="1"/>
    <col min="5540" max="5540" width="14.7109375" customWidth="1"/>
    <col min="5541" max="5541" width="13.7109375" customWidth="1"/>
    <col min="5542" max="5542" width="42.42578125" bestFit="1" customWidth="1"/>
    <col min="5543" max="5543" width="20.7109375" bestFit="1" customWidth="1"/>
    <col min="5544" max="5559" width="3.7109375" customWidth="1"/>
    <col min="5560" max="5560" width="7.42578125" customWidth="1"/>
    <col min="5561" max="5561" width="18.140625" bestFit="1" customWidth="1"/>
    <col min="5795" max="5795" width="4.42578125" customWidth="1"/>
    <col min="5796" max="5796" width="14.7109375" customWidth="1"/>
    <col min="5797" max="5797" width="13.7109375" customWidth="1"/>
    <col min="5798" max="5798" width="42.42578125" bestFit="1" customWidth="1"/>
    <col min="5799" max="5799" width="20.7109375" bestFit="1" customWidth="1"/>
    <col min="5800" max="5815" width="3.7109375" customWidth="1"/>
    <col min="5816" max="5816" width="7.42578125" customWidth="1"/>
    <col min="5817" max="5817" width="18.140625" bestFit="1" customWidth="1"/>
    <col min="6051" max="6051" width="4.42578125" customWidth="1"/>
    <col min="6052" max="6052" width="14.7109375" customWidth="1"/>
    <col min="6053" max="6053" width="13.7109375" customWidth="1"/>
    <col min="6054" max="6054" width="42.42578125" bestFit="1" customWidth="1"/>
    <col min="6055" max="6055" width="20.7109375" bestFit="1" customWidth="1"/>
    <col min="6056" max="6071" width="3.7109375" customWidth="1"/>
    <col min="6072" max="6072" width="7.42578125" customWidth="1"/>
    <col min="6073" max="6073" width="18.140625" bestFit="1" customWidth="1"/>
    <col min="6307" max="6307" width="4.42578125" customWidth="1"/>
    <col min="6308" max="6308" width="14.7109375" customWidth="1"/>
    <col min="6309" max="6309" width="13.7109375" customWidth="1"/>
    <col min="6310" max="6310" width="42.42578125" bestFit="1" customWidth="1"/>
    <col min="6311" max="6311" width="20.7109375" bestFit="1" customWidth="1"/>
    <col min="6312" max="6327" width="3.7109375" customWidth="1"/>
    <col min="6328" max="6328" width="7.42578125" customWidth="1"/>
    <col min="6329" max="6329" width="18.140625" bestFit="1" customWidth="1"/>
    <col min="6563" max="6563" width="4.42578125" customWidth="1"/>
    <col min="6564" max="6564" width="14.7109375" customWidth="1"/>
    <col min="6565" max="6565" width="13.7109375" customWidth="1"/>
    <col min="6566" max="6566" width="42.42578125" bestFit="1" customWidth="1"/>
    <col min="6567" max="6567" width="20.7109375" bestFit="1" customWidth="1"/>
    <col min="6568" max="6583" width="3.7109375" customWidth="1"/>
    <col min="6584" max="6584" width="7.42578125" customWidth="1"/>
    <col min="6585" max="6585" width="18.140625" bestFit="1" customWidth="1"/>
    <col min="6819" max="6819" width="4.42578125" customWidth="1"/>
    <col min="6820" max="6820" width="14.7109375" customWidth="1"/>
    <col min="6821" max="6821" width="13.7109375" customWidth="1"/>
    <col min="6822" max="6822" width="42.42578125" bestFit="1" customWidth="1"/>
    <col min="6823" max="6823" width="20.7109375" bestFit="1" customWidth="1"/>
    <col min="6824" max="6839" width="3.7109375" customWidth="1"/>
    <col min="6840" max="6840" width="7.42578125" customWidth="1"/>
    <col min="6841" max="6841" width="18.140625" bestFit="1" customWidth="1"/>
    <col min="7075" max="7075" width="4.42578125" customWidth="1"/>
    <col min="7076" max="7076" width="14.7109375" customWidth="1"/>
    <col min="7077" max="7077" width="13.7109375" customWidth="1"/>
    <col min="7078" max="7078" width="42.42578125" bestFit="1" customWidth="1"/>
    <col min="7079" max="7079" width="20.7109375" bestFit="1" customWidth="1"/>
    <col min="7080" max="7095" width="3.7109375" customWidth="1"/>
    <col min="7096" max="7096" width="7.42578125" customWidth="1"/>
    <col min="7097" max="7097" width="18.140625" bestFit="1" customWidth="1"/>
    <col min="7331" max="7331" width="4.42578125" customWidth="1"/>
    <col min="7332" max="7332" width="14.7109375" customWidth="1"/>
    <col min="7333" max="7333" width="13.7109375" customWidth="1"/>
    <col min="7334" max="7334" width="42.42578125" bestFit="1" customWidth="1"/>
    <col min="7335" max="7335" width="20.7109375" bestFit="1" customWidth="1"/>
    <col min="7336" max="7351" width="3.7109375" customWidth="1"/>
    <col min="7352" max="7352" width="7.42578125" customWidth="1"/>
    <col min="7353" max="7353" width="18.140625" bestFit="1" customWidth="1"/>
    <col min="7587" max="7587" width="4.42578125" customWidth="1"/>
    <col min="7588" max="7588" width="14.7109375" customWidth="1"/>
    <col min="7589" max="7589" width="13.7109375" customWidth="1"/>
    <col min="7590" max="7590" width="42.42578125" bestFit="1" customWidth="1"/>
    <col min="7591" max="7591" width="20.7109375" bestFit="1" customWidth="1"/>
    <col min="7592" max="7607" width="3.7109375" customWidth="1"/>
    <col min="7608" max="7608" width="7.42578125" customWidth="1"/>
    <col min="7609" max="7609" width="18.140625" bestFit="1" customWidth="1"/>
    <col min="7843" max="7843" width="4.42578125" customWidth="1"/>
    <col min="7844" max="7844" width="14.7109375" customWidth="1"/>
    <col min="7845" max="7845" width="13.7109375" customWidth="1"/>
    <col min="7846" max="7846" width="42.42578125" bestFit="1" customWidth="1"/>
    <col min="7847" max="7847" width="20.7109375" bestFit="1" customWidth="1"/>
    <col min="7848" max="7863" width="3.7109375" customWidth="1"/>
    <col min="7864" max="7864" width="7.42578125" customWidth="1"/>
    <col min="7865" max="7865" width="18.140625" bestFit="1" customWidth="1"/>
    <col min="8099" max="8099" width="4.42578125" customWidth="1"/>
    <col min="8100" max="8100" width="14.7109375" customWidth="1"/>
    <col min="8101" max="8101" width="13.7109375" customWidth="1"/>
    <col min="8102" max="8102" width="42.42578125" bestFit="1" customWidth="1"/>
    <col min="8103" max="8103" width="20.7109375" bestFit="1" customWidth="1"/>
    <col min="8104" max="8119" width="3.7109375" customWidth="1"/>
    <col min="8120" max="8120" width="7.42578125" customWidth="1"/>
    <col min="8121" max="8121" width="18.140625" bestFit="1" customWidth="1"/>
    <col min="8355" max="8355" width="4.42578125" customWidth="1"/>
    <col min="8356" max="8356" width="14.7109375" customWidth="1"/>
    <col min="8357" max="8357" width="13.7109375" customWidth="1"/>
    <col min="8358" max="8358" width="42.42578125" bestFit="1" customWidth="1"/>
    <col min="8359" max="8359" width="20.7109375" bestFit="1" customWidth="1"/>
    <col min="8360" max="8375" width="3.7109375" customWidth="1"/>
    <col min="8376" max="8376" width="7.42578125" customWidth="1"/>
    <col min="8377" max="8377" width="18.140625" bestFit="1" customWidth="1"/>
    <col min="8611" max="8611" width="4.42578125" customWidth="1"/>
    <col min="8612" max="8612" width="14.7109375" customWidth="1"/>
    <col min="8613" max="8613" width="13.7109375" customWidth="1"/>
    <col min="8614" max="8614" width="42.42578125" bestFit="1" customWidth="1"/>
    <col min="8615" max="8615" width="20.7109375" bestFit="1" customWidth="1"/>
    <col min="8616" max="8631" width="3.7109375" customWidth="1"/>
    <col min="8632" max="8632" width="7.42578125" customWidth="1"/>
    <col min="8633" max="8633" width="18.140625" bestFit="1" customWidth="1"/>
    <col min="8867" max="8867" width="4.42578125" customWidth="1"/>
    <col min="8868" max="8868" width="14.7109375" customWidth="1"/>
    <col min="8869" max="8869" width="13.7109375" customWidth="1"/>
    <col min="8870" max="8870" width="42.42578125" bestFit="1" customWidth="1"/>
    <col min="8871" max="8871" width="20.7109375" bestFit="1" customWidth="1"/>
    <col min="8872" max="8887" width="3.7109375" customWidth="1"/>
    <col min="8888" max="8888" width="7.42578125" customWidth="1"/>
    <col min="8889" max="8889" width="18.140625" bestFit="1" customWidth="1"/>
    <col min="9123" max="9123" width="4.42578125" customWidth="1"/>
    <col min="9124" max="9124" width="14.7109375" customWidth="1"/>
    <col min="9125" max="9125" width="13.7109375" customWidth="1"/>
    <col min="9126" max="9126" width="42.42578125" bestFit="1" customWidth="1"/>
    <col min="9127" max="9127" width="20.7109375" bestFit="1" customWidth="1"/>
    <col min="9128" max="9143" width="3.7109375" customWidth="1"/>
    <col min="9144" max="9144" width="7.42578125" customWidth="1"/>
    <col min="9145" max="9145" width="18.140625" bestFit="1" customWidth="1"/>
    <col min="9379" max="9379" width="4.42578125" customWidth="1"/>
    <col min="9380" max="9380" width="14.7109375" customWidth="1"/>
    <col min="9381" max="9381" width="13.7109375" customWidth="1"/>
    <col min="9382" max="9382" width="42.42578125" bestFit="1" customWidth="1"/>
    <col min="9383" max="9383" width="20.7109375" bestFit="1" customWidth="1"/>
    <col min="9384" max="9399" width="3.7109375" customWidth="1"/>
    <col min="9400" max="9400" width="7.42578125" customWidth="1"/>
    <col min="9401" max="9401" width="18.140625" bestFit="1" customWidth="1"/>
    <col min="9635" max="9635" width="4.42578125" customWidth="1"/>
    <col min="9636" max="9636" width="14.7109375" customWidth="1"/>
    <col min="9637" max="9637" width="13.7109375" customWidth="1"/>
    <col min="9638" max="9638" width="42.42578125" bestFit="1" customWidth="1"/>
    <col min="9639" max="9639" width="20.7109375" bestFit="1" customWidth="1"/>
    <col min="9640" max="9655" width="3.7109375" customWidth="1"/>
    <col min="9656" max="9656" width="7.42578125" customWidth="1"/>
    <col min="9657" max="9657" width="18.140625" bestFit="1" customWidth="1"/>
    <col min="9891" max="9891" width="4.42578125" customWidth="1"/>
    <col min="9892" max="9892" width="14.7109375" customWidth="1"/>
    <col min="9893" max="9893" width="13.7109375" customWidth="1"/>
    <col min="9894" max="9894" width="42.42578125" bestFit="1" customWidth="1"/>
    <col min="9895" max="9895" width="20.7109375" bestFit="1" customWidth="1"/>
    <col min="9896" max="9911" width="3.7109375" customWidth="1"/>
    <col min="9912" max="9912" width="7.42578125" customWidth="1"/>
    <col min="9913" max="9913" width="18.140625" bestFit="1" customWidth="1"/>
    <col min="10147" max="10147" width="4.42578125" customWidth="1"/>
    <col min="10148" max="10148" width="14.7109375" customWidth="1"/>
    <col min="10149" max="10149" width="13.7109375" customWidth="1"/>
    <col min="10150" max="10150" width="42.42578125" bestFit="1" customWidth="1"/>
    <col min="10151" max="10151" width="20.7109375" bestFit="1" customWidth="1"/>
    <col min="10152" max="10167" width="3.7109375" customWidth="1"/>
    <col min="10168" max="10168" width="7.42578125" customWidth="1"/>
    <col min="10169" max="10169" width="18.140625" bestFit="1" customWidth="1"/>
    <col min="10403" max="10403" width="4.42578125" customWidth="1"/>
    <col min="10404" max="10404" width="14.7109375" customWidth="1"/>
    <col min="10405" max="10405" width="13.7109375" customWidth="1"/>
    <col min="10406" max="10406" width="42.42578125" bestFit="1" customWidth="1"/>
    <col min="10407" max="10407" width="20.7109375" bestFit="1" customWidth="1"/>
    <col min="10408" max="10423" width="3.7109375" customWidth="1"/>
    <col min="10424" max="10424" width="7.42578125" customWidth="1"/>
    <col min="10425" max="10425" width="18.140625" bestFit="1" customWidth="1"/>
    <col min="10659" max="10659" width="4.42578125" customWidth="1"/>
    <col min="10660" max="10660" width="14.7109375" customWidth="1"/>
    <col min="10661" max="10661" width="13.7109375" customWidth="1"/>
    <col min="10662" max="10662" width="42.42578125" bestFit="1" customWidth="1"/>
    <col min="10663" max="10663" width="20.7109375" bestFit="1" customWidth="1"/>
    <col min="10664" max="10679" width="3.7109375" customWidth="1"/>
    <col min="10680" max="10680" width="7.42578125" customWidth="1"/>
    <col min="10681" max="10681" width="18.140625" bestFit="1" customWidth="1"/>
    <col min="10915" max="10915" width="4.42578125" customWidth="1"/>
    <col min="10916" max="10916" width="14.7109375" customWidth="1"/>
    <col min="10917" max="10917" width="13.7109375" customWidth="1"/>
    <col min="10918" max="10918" width="42.42578125" bestFit="1" customWidth="1"/>
    <col min="10919" max="10919" width="20.7109375" bestFit="1" customWidth="1"/>
    <col min="10920" max="10935" width="3.7109375" customWidth="1"/>
    <col min="10936" max="10936" width="7.42578125" customWidth="1"/>
    <col min="10937" max="10937" width="18.140625" bestFit="1" customWidth="1"/>
    <col min="11171" max="11171" width="4.42578125" customWidth="1"/>
    <col min="11172" max="11172" width="14.7109375" customWidth="1"/>
    <col min="11173" max="11173" width="13.7109375" customWidth="1"/>
    <col min="11174" max="11174" width="42.42578125" bestFit="1" customWidth="1"/>
    <col min="11175" max="11175" width="20.7109375" bestFit="1" customWidth="1"/>
    <col min="11176" max="11191" width="3.7109375" customWidth="1"/>
    <col min="11192" max="11192" width="7.42578125" customWidth="1"/>
    <col min="11193" max="11193" width="18.140625" bestFit="1" customWidth="1"/>
    <col min="11427" max="11427" width="4.42578125" customWidth="1"/>
    <col min="11428" max="11428" width="14.7109375" customWidth="1"/>
    <col min="11429" max="11429" width="13.7109375" customWidth="1"/>
    <col min="11430" max="11430" width="42.42578125" bestFit="1" customWidth="1"/>
    <col min="11431" max="11431" width="20.7109375" bestFit="1" customWidth="1"/>
    <col min="11432" max="11447" width="3.7109375" customWidth="1"/>
    <col min="11448" max="11448" width="7.42578125" customWidth="1"/>
    <col min="11449" max="11449" width="18.140625" bestFit="1" customWidth="1"/>
    <col min="11683" max="11683" width="4.42578125" customWidth="1"/>
    <col min="11684" max="11684" width="14.7109375" customWidth="1"/>
    <col min="11685" max="11685" width="13.7109375" customWidth="1"/>
    <col min="11686" max="11686" width="42.42578125" bestFit="1" customWidth="1"/>
    <col min="11687" max="11687" width="20.7109375" bestFit="1" customWidth="1"/>
    <col min="11688" max="11703" width="3.7109375" customWidth="1"/>
    <col min="11704" max="11704" width="7.42578125" customWidth="1"/>
    <col min="11705" max="11705" width="18.140625" bestFit="1" customWidth="1"/>
    <col min="11939" max="11939" width="4.42578125" customWidth="1"/>
    <col min="11940" max="11940" width="14.7109375" customWidth="1"/>
    <col min="11941" max="11941" width="13.7109375" customWidth="1"/>
    <col min="11942" max="11942" width="42.42578125" bestFit="1" customWidth="1"/>
    <col min="11943" max="11943" width="20.7109375" bestFit="1" customWidth="1"/>
    <col min="11944" max="11959" width="3.7109375" customWidth="1"/>
    <col min="11960" max="11960" width="7.42578125" customWidth="1"/>
    <col min="11961" max="11961" width="18.140625" bestFit="1" customWidth="1"/>
    <col min="12195" max="12195" width="4.42578125" customWidth="1"/>
    <col min="12196" max="12196" width="14.7109375" customWidth="1"/>
    <col min="12197" max="12197" width="13.7109375" customWidth="1"/>
    <col min="12198" max="12198" width="42.42578125" bestFit="1" customWidth="1"/>
    <col min="12199" max="12199" width="20.7109375" bestFit="1" customWidth="1"/>
    <col min="12200" max="12215" width="3.7109375" customWidth="1"/>
    <col min="12216" max="12216" width="7.42578125" customWidth="1"/>
    <col min="12217" max="12217" width="18.140625" bestFit="1" customWidth="1"/>
    <col min="12451" max="12451" width="4.42578125" customWidth="1"/>
    <col min="12452" max="12452" width="14.7109375" customWidth="1"/>
    <col min="12453" max="12453" width="13.7109375" customWidth="1"/>
    <col min="12454" max="12454" width="42.42578125" bestFit="1" customWidth="1"/>
    <col min="12455" max="12455" width="20.7109375" bestFit="1" customWidth="1"/>
    <col min="12456" max="12471" width="3.7109375" customWidth="1"/>
    <col min="12472" max="12472" width="7.42578125" customWidth="1"/>
    <col min="12473" max="12473" width="18.140625" bestFit="1" customWidth="1"/>
    <col min="12707" max="12707" width="4.42578125" customWidth="1"/>
    <col min="12708" max="12708" width="14.7109375" customWidth="1"/>
    <col min="12709" max="12709" width="13.7109375" customWidth="1"/>
    <col min="12710" max="12710" width="42.42578125" bestFit="1" customWidth="1"/>
    <col min="12711" max="12711" width="20.7109375" bestFit="1" customWidth="1"/>
    <col min="12712" max="12727" width="3.7109375" customWidth="1"/>
    <col min="12728" max="12728" width="7.42578125" customWidth="1"/>
    <col min="12729" max="12729" width="18.140625" bestFit="1" customWidth="1"/>
    <col min="12963" max="12963" width="4.42578125" customWidth="1"/>
    <col min="12964" max="12964" width="14.7109375" customWidth="1"/>
    <col min="12965" max="12965" width="13.7109375" customWidth="1"/>
    <col min="12966" max="12966" width="42.42578125" bestFit="1" customWidth="1"/>
    <col min="12967" max="12967" width="20.7109375" bestFit="1" customWidth="1"/>
    <col min="12968" max="12983" width="3.7109375" customWidth="1"/>
    <col min="12984" max="12984" width="7.42578125" customWidth="1"/>
    <col min="12985" max="12985" width="18.140625" bestFit="1" customWidth="1"/>
    <col min="13219" max="13219" width="4.42578125" customWidth="1"/>
    <col min="13220" max="13220" width="14.7109375" customWidth="1"/>
    <col min="13221" max="13221" width="13.7109375" customWidth="1"/>
    <col min="13222" max="13222" width="42.42578125" bestFit="1" customWidth="1"/>
    <col min="13223" max="13223" width="20.7109375" bestFit="1" customWidth="1"/>
    <col min="13224" max="13239" width="3.7109375" customWidth="1"/>
    <col min="13240" max="13240" width="7.42578125" customWidth="1"/>
    <col min="13241" max="13241" width="18.140625" bestFit="1" customWidth="1"/>
    <col min="13475" max="13475" width="4.42578125" customWidth="1"/>
    <col min="13476" max="13476" width="14.7109375" customWidth="1"/>
    <col min="13477" max="13477" width="13.7109375" customWidth="1"/>
    <col min="13478" max="13478" width="42.42578125" bestFit="1" customWidth="1"/>
    <col min="13479" max="13479" width="20.7109375" bestFit="1" customWidth="1"/>
    <col min="13480" max="13495" width="3.7109375" customWidth="1"/>
    <col min="13496" max="13496" width="7.42578125" customWidth="1"/>
    <col min="13497" max="13497" width="18.140625" bestFit="1" customWidth="1"/>
    <col min="13731" max="13731" width="4.42578125" customWidth="1"/>
    <col min="13732" max="13732" width="14.7109375" customWidth="1"/>
    <col min="13733" max="13733" width="13.7109375" customWidth="1"/>
    <col min="13734" max="13734" width="42.42578125" bestFit="1" customWidth="1"/>
    <col min="13735" max="13735" width="20.7109375" bestFit="1" customWidth="1"/>
    <col min="13736" max="13751" width="3.7109375" customWidth="1"/>
    <col min="13752" max="13752" width="7.42578125" customWidth="1"/>
    <col min="13753" max="13753" width="18.140625" bestFit="1" customWidth="1"/>
    <col min="13987" max="13987" width="4.42578125" customWidth="1"/>
    <col min="13988" max="13988" width="14.7109375" customWidth="1"/>
    <col min="13989" max="13989" width="13.7109375" customWidth="1"/>
    <col min="13990" max="13990" width="42.42578125" bestFit="1" customWidth="1"/>
    <col min="13991" max="13991" width="20.7109375" bestFit="1" customWidth="1"/>
    <col min="13992" max="14007" width="3.7109375" customWidth="1"/>
    <col min="14008" max="14008" width="7.42578125" customWidth="1"/>
    <col min="14009" max="14009" width="18.140625" bestFit="1" customWidth="1"/>
    <col min="14243" max="14243" width="4.42578125" customWidth="1"/>
    <col min="14244" max="14244" width="14.7109375" customWidth="1"/>
    <col min="14245" max="14245" width="13.7109375" customWidth="1"/>
    <col min="14246" max="14246" width="42.42578125" bestFit="1" customWidth="1"/>
    <col min="14247" max="14247" width="20.7109375" bestFit="1" customWidth="1"/>
    <col min="14248" max="14263" width="3.7109375" customWidth="1"/>
    <col min="14264" max="14264" width="7.42578125" customWidth="1"/>
    <col min="14265" max="14265" width="18.140625" bestFit="1" customWidth="1"/>
    <col min="14499" max="14499" width="4.42578125" customWidth="1"/>
    <col min="14500" max="14500" width="14.7109375" customWidth="1"/>
    <col min="14501" max="14501" width="13.7109375" customWidth="1"/>
    <col min="14502" max="14502" width="42.42578125" bestFit="1" customWidth="1"/>
    <col min="14503" max="14503" width="20.7109375" bestFit="1" customWidth="1"/>
    <col min="14504" max="14519" width="3.7109375" customWidth="1"/>
    <col min="14520" max="14520" width="7.42578125" customWidth="1"/>
    <col min="14521" max="14521" width="18.140625" bestFit="1" customWidth="1"/>
    <col min="14755" max="14755" width="4.42578125" customWidth="1"/>
    <col min="14756" max="14756" width="14.7109375" customWidth="1"/>
    <col min="14757" max="14757" width="13.7109375" customWidth="1"/>
    <col min="14758" max="14758" width="42.42578125" bestFit="1" customWidth="1"/>
    <col min="14759" max="14759" width="20.7109375" bestFit="1" customWidth="1"/>
    <col min="14760" max="14775" width="3.7109375" customWidth="1"/>
    <col min="14776" max="14776" width="7.42578125" customWidth="1"/>
    <col min="14777" max="14777" width="18.140625" bestFit="1" customWidth="1"/>
    <col min="15011" max="15011" width="4.42578125" customWidth="1"/>
    <col min="15012" max="15012" width="14.7109375" customWidth="1"/>
    <col min="15013" max="15013" width="13.7109375" customWidth="1"/>
    <col min="15014" max="15014" width="42.42578125" bestFit="1" customWidth="1"/>
    <col min="15015" max="15015" width="20.7109375" bestFit="1" customWidth="1"/>
    <col min="15016" max="15031" width="3.7109375" customWidth="1"/>
    <col min="15032" max="15032" width="7.42578125" customWidth="1"/>
    <col min="15033" max="15033" width="18.140625" bestFit="1" customWidth="1"/>
    <col min="15267" max="15267" width="4.42578125" customWidth="1"/>
    <col min="15268" max="15268" width="14.7109375" customWidth="1"/>
    <col min="15269" max="15269" width="13.7109375" customWidth="1"/>
    <col min="15270" max="15270" width="42.42578125" bestFit="1" customWidth="1"/>
    <col min="15271" max="15271" width="20.7109375" bestFit="1" customWidth="1"/>
    <col min="15272" max="15287" width="3.7109375" customWidth="1"/>
    <col min="15288" max="15288" width="7.42578125" customWidth="1"/>
    <col min="15289" max="15289" width="18.140625" bestFit="1" customWidth="1"/>
    <col min="15523" max="15523" width="4.42578125" customWidth="1"/>
    <col min="15524" max="15524" width="14.7109375" customWidth="1"/>
    <col min="15525" max="15525" width="13.7109375" customWidth="1"/>
    <col min="15526" max="15526" width="42.42578125" bestFit="1" customWidth="1"/>
    <col min="15527" max="15527" width="20.7109375" bestFit="1" customWidth="1"/>
    <col min="15528" max="15543" width="3.7109375" customWidth="1"/>
    <col min="15544" max="15544" width="7.42578125" customWidth="1"/>
    <col min="15545" max="15545" width="18.140625" bestFit="1" customWidth="1"/>
    <col min="15779" max="15779" width="4.42578125" customWidth="1"/>
    <col min="15780" max="15780" width="14.7109375" customWidth="1"/>
    <col min="15781" max="15781" width="13.7109375" customWidth="1"/>
    <col min="15782" max="15782" width="42.42578125" bestFit="1" customWidth="1"/>
    <col min="15783" max="15783" width="20.7109375" bestFit="1" customWidth="1"/>
    <col min="15784" max="15799" width="3.7109375" customWidth="1"/>
    <col min="15800" max="15800" width="7.42578125" customWidth="1"/>
    <col min="15801" max="15801" width="18.140625" bestFit="1" customWidth="1"/>
    <col min="16035" max="16035" width="4.42578125" customWidth="1"/>
    <col min="16036" max="16036" width="14.7109375" customWidth="1"/>
    <col min="16037" max="16037" width="13.7109375" customWidth="1"/>
    <col min="16038" max="16038" width="42.42578125" bestFit="1" customWidth="1"/>
    <col min="16039" max="16039" width="20.7109375" bestFit="1" customWidth="1"/>
    <col min="16040" max="16055" width="3.7109375" customWidth="1"/>
    <col min="16056" max="16056" width="7.42578125" customWidth="1"/>
    <col min="16057" max="16057" width="18.140625" bestFit="1" customWidth="1"/>
    <col min="16291" max="16291" width="4.42578125" customWidth="1"/>
    <col min="16292" max="16292" width="14.7109375" customWidth="1"/>
    <col min="16293" max="16293" width="13.7109375" customWidth="1"/>
    <col min="16294" max="16294" width="42.42578125" bestFit="1" customWidth="1"/>
    <col min="16295" max="16295" width="20.7109375" bestFit="1" customWidth="1"/>
    <col min="16296" max="16311" width="3.7109375" customWidth="1"/>
    <col min="16312" max="16312" width="7.42578125" customWidth="1"/>
    <col min="16313" max="16313" width="18.140625" bestFit="1" customWidth="1"/>
  </cols>
  <sheetData>
    <row r="1" spans="1:210" ht="15.75">
      <c r="A1" s="865" t="s">
        <v>3965</v>
      </c>
      <c r="Y1" s="43" t="s">
        <v>2716</v>
      </c>
      <c r="AX1"/>
      <c r="AY1"/>
      <c r="AZ1"/>
      <c r="BA1"/>
      <c r="BB1"/>
      <c r="BC1"/>
      <c r="BD1"/>
      <c r="BE1"/>
      <c r="BF1"/>
      <c r="BG1"/>
      <c r="BH1"/>
      <c r="BI1"/>
      <c r="BJ1"/>
      <c r="BK1"/>
      <c r="BL1"/>
      <c r="BM1"/>
      <c r="BN1"/>
      <c r="BO1"/>
      <c r="BP1"/>
      <c r="BQ1"/>
      <c r="BR1"/>
      <c r="BS1"/>
      <c r="FI1" s="4912" t="s">
        <v>1361</v>
      </c>
      <c r="FJ1" s="4912"/>
      <c r="FK1" s="4912"/>
      <c r="FL1" s="4912"/>
      <c r="FM1" s="4912"/>
      <c r="FN1" s="4912"/>
      <c r="FO1" s="4912"/>
      <c r="FP1" s="4912"/>
      <c r="FQ1" s="4912"/>
      <c r="FR1" s="4912"/>
      <c r="FS1" s="4912"/>
      <c r="FT1" s="4912"/>
      <c r="FU1" s="4912"/>
      <c r="FV1" s="4912"/>
      <c r="FW1" s="4912"/>
      <c r="FX1" s="4912"/>
      <c r="FY1" s="4912"/>
      <c r="FZ1" s="4912"/>
      <c r="GA1" s="4912"/>
      <c r="GB1" s="4912"/>
      <c r="GC1" s="4912"/>
      <c r="GD1" s="4912"/>
    </row>
    <row r="2" spans="1:210" ht="15.75">
      <c r="A2" s="31" t="s">
        <v>3958</v>
      </c>
      <c r="Y2" s="2165" t="s">
        <v>2704</v>
      </c>
      <c r="AW2" s="43" t="s">
        <v>2011</v>
      </c>
      <c r="AX2"/>
      <c r="AY2"/>
      <c r="AZ2"/>
      <c r="BA2"/>
      <c r="BB2"/>
      <c r="BC2"/>
      <c r="BD2"/>
      <c r="BE2"/>
      <c r="BF2"/>
      <c r="BG2"/>
      <c r="BH2"/>
      <c r="BI2"/>
      <c r="BJ2"/>
      <c r="BK2"/>
      <c r="BL2"/>
      <c r="BM2"/>
      <c r="BN2"/>
      <c r="BO2"/>
      <c r="BP2"/>
      <c r="BQ2"/>
      <c r="BR2"/>
      <c r="BS2"/>
      <c r="BU2" s="160" t="s">
        <v>1940</v>
      </c>
      <c r="BV2" s="73"/>
      <c r="BW2" s="73"/>
      <c r="BX2" s="73"/>
      <c r="BY2" s="73"/>
      <c r="BZ2" s="73"/>
      <c r="CA2" s="73"/>
      <c r="CB2" s="73"/>
      <c r="CC2" s="73"/>
      <c r="CD2" s="73"/>
      <c r="CE2" s="73"/>
      <c r="CF2" s="73"/>
      <c r="CG2" s="73"/>
      <c r="CH2" s="73"/>
      <c r="CI2" s="73"/>
      <c r="CJ2" s="73"/>
      <c r="CK2" s="73"/>
      <c r="CL2" s="73"/>
      <c r="CM2" s="73"/>
      <c r="CN2" s="73"/>
      <c r="CO2" s="73"/>
      <c r="CQ2" s="865" t="s">
        <v>1403</v>
      </c>
      <c r="CR2" s="73"/>
      <c r="CS2" s="73"/>
      <c r="CT2" s="73"/>
      <c r="CU2" s="73"/>
      <c r="CV2" s="73"/>
      <c r="CW2" s="73"/>
      <c r="CX2" s="73"/>
      <c r="CY2" s="73"/>
      <c r="CZ2" s="73"/>
      <c r="DA2" s="73"/>
      <c r="DB2" s="73"/>
      <c r="DC2" s="73"/>
      <c r="DD2" s="73"/>
      <c r="DE2" s="73"/>
      <c r="DF2" s="73"/>
      <c r="DG2" s="73"/>
      <c r="DH2" s="73"/>
      <c r="DI2" s="73"/>
      <c r="DJ2" s="73"/>
      <c r="DK2" s="73"/>
      <c r="DL2" s="73"/>
      <c r="DM2" s="73"/>
      <c r="DO2" s="43" t="s">
        <v>1404</v>
      </c>
      <c r="EN2" s="308" t="s">
        <v>1405</v>
      </c>
      <c r="EO2" s="747"/>
      <c r="EP2" s="747"/>
      <c r="EQ2" s="747"/>
      <c r="ER2" s="747"/>
      <c r="ES2" s="747"/>
      <c r="ET2" s="747"/>
      <c r="EU2" s="747"/>
      <c r="EV2" s="747"/>
      <c r="EW2" s="747"/>
      <c r="EX2" s="747"/>
      <c r="EY2" s="747"/>
      <c r="EZ2" s="747"/>
      <c r="FA2" s="747"/>
      <c r="FB2" s="747"/>
      <c r="FC2" s="747"/>
      <c r="FD2" s="747"/>
      <c r="FE2" s="747"/>
      <c r="FI2" s="4913" t="s">
        <v>1406</v>
      </c>
      <c r="FJ2" s="4913"/>
      <c r="FK2" s="4913"/>
      <c r="FL2" s="4913"/>
      <c r="FM2" s="4913"/>
      <c r="FN2" s="4913"/>
      <c r="FO2" s="4913"/>
      <c r="FP2" s="4913"/>
      <c r="FQ2" s="4913"/>
      <c r="FR2" s="4913"/>
      <c r="FS2" s="4913"/>
      <c r="FT2" s="4913"/>
      <c r="FU2" s="4913"/>
      <c r="FV2" s="4913"/>
      <c r="FW2" s="4913"/>
      <c r="FX2" s="4913"/>
      <c r="FY2" s="4913"/>
      <c r="FZ2" s="4913"/>
      <c r="GA2" s="4913"/>
      <c r="GB2" s="4913"/>
      <c r="GC2" s="4913"/>
      <c r="GD2" s="4913"/>
    </row>
    <row r="3" spans="1:210" ht="15.75">
      <c r="A3" s="1287" t="s">
        <v>3966</v>
      </c>
      <c r="Y3" s="1287" t="s">
        <v>2717</v>
      </c>
      <c r="Z3" s="74"/>
      <c r="AA3" s="74"/>
      <c r="AB3" s="74"/>
      <c r="AC3" s="74"/>
      <c r="AD3" s="74"/>
      <c r="AE3" s="74"/>
      <c r="AF3" s="74"/>
      <c r="AG3" s="74"/>
      <c r="AH3" s="74"/>
      <c r="AI3" s="74"/>
      <c r="AJ3" s="74"/>
      <c r="AK3" s="74"/>
      <c r="AL3" s="74"/>
      <c r="AM3" s="74"/>
      <c r="AN3" s="74"/>
      <c r="AO3" s="74"/>
      <c r="AP3" s="74"/>
      <c r="AQ3" s="74"/>
      <c r="AR3" s="74"/>
      <c r="AS3" s="74"/>
      <c r="AT3" s="74"/>
      <c r="AW3" s="2221" t="s">
        <v>2003</v>
      </c>
      <c r="AX3" s="1287"/>
      <c r="AY3" s="1287"/>
      <c r="AZ3" s="1287"/>
      <c r="BA3" s="1287"/>
      <c r="BB3" s="1287"/>
      <c r="BC3" s="1287"/>
      <c r="BD3" s="1287"/>
      <c r="BE3" s="1287"/>
      <c r="BF3" s="1287"/>
      <c r="BG3" s="1287"/>
      <c r="BH3" s="1287"/>
      <c r="BI3" s="1287"/>
      <c r="BJ3" s="1287"/>
      <c r="BK3" s="1287"/>
      <c r="BL3" s="1287"/>
      <c r="BM3" s="1287"/>
      <c r="BN3" s="1287"/>
      <c r="BO3" s="1287"/>
      <c r="BP3" s="1287"/>
      <c r="BQ3" s="1287"/>
      <c r="BR3" s="1287"/>
      <c r="BS3"/>
      <c r="BU3" s="2221" t="s">
        <v>1934</v>
      </c>
      <c r="BV3" s="2202"/>
      <c r="BW3" s="2202"/>
      <c r="BX3" s="2202"/>
      <c r="BY3" s="2202"/>
      <c r="BZ3" s="2202"/>
      <c r="CA3" s="2202"/>
      <c r="CB3" s="2202"/>
      <c r="CC3" s="2202"/>
      <c r="CD3" s="2202"/>
      <c r="CE3" s="2202"/>
      <c r="CF3" s="2202"/>
      <c r="CG3" s="2202"/>
      <c r="CH3" s="2202"/>
      <c r="CI3" s="2202"/>
      <c r="CJ3" s="2202"/>
      <c r="CK3" s="2202"/>
      <c r="CL3" s="2202"/>
      <c r="CM3" s="2202"/>
      <c r="CN3" s="2202"/>
      <c r="CO3" s="73"/>
      <c r="CQ3" s="43" t="s">
        <v>871</v>
      </c>
      <c r="CR3" s="940"/>
      <c r="CS3" s="940"/>
      <c r="CT3" s="940"/>
      <c r="CU3" s="940"/>
      <c r="CV3" s="940"/>
      <c r="CW3" s="940"/>
      <c r="CX3" s="940"/>
      <c r="CY3" s="940"/>
      <c r="CZ3" s="940"/>
      <c r="DA3" s="940"/>
      <c r="DB3" s="940"/>
      <c r="DC3" s="940"/>
      <c r="DD3" s="940"/>
      <c r="DE3" s="940"/>
      <c r="DF3" s="940"/>
      <c r="DG3" s="940"/>
      <c r="DH3" s="940"/>
      <c r="DI3" s="940"/>
      <c r="DJ3" s="940"/>
      <c r="DK3" s="940"/>
      <c r="DL3" s="940"/>
      <c r="DM3" s="73"/>
      <c r="DO3" s="1023" t="s">
        <v>1365</v>
      </c>
      <c r="DP3" s="941"/>
      <c r="DQ3" s="941"/>
      <c r="DR3" s="941"/>
      <c r="DS3" s="941"/>
      <c r="DT3" s="941"/>
      <c r="DU3" s="941"/>
      <c r="DV3" s="941"/>
      <c r="DW3" s="941"/>
      <c r="DX3" s="941"/>
      <c r="DY3" s="941"/>
      <c r="DZ3" s="941"/>
      <c r="EA3" s="941"/>
      <c r="EB3" s="941"/>
      <c r="EC3" s="941"/>
      <c r="ED3" s="941"/>
      <c r="EE3" s="941"/>
      <c r="EF3" s="941"/>
      <c r="EG3" s="941"/>
      <c r="EH3" s="941"/>
      <c r="EI3" s="941"/>
      <c r="EJ3" s="941"/>
      <c r="EK3" s="941"/>
      <c r="EN3" s="749" t="s">
        <v>1407</v>
      </c>
      <c r="EO3" s="749"/>
      <c r="EP3" s="749"/>
      <c r="EQ3" s="749"/>
      <c r="ER3" s="749"/>
      <c r="ES3" s="749"/>
      <c r="ET3" s="749"/>
      <c r="EU3" s="749"/>
      <c r="EV3" s="749"/>
      <c r="EW3" s="749"/>
      <c r="EX3" s="749"/>
      <c r="EY3" s="749"/>
      <c r="EZ3" s="749"/>
      <c r="FA3" s="749"/>
      <c r="FB3" s="749"/>
      <c r="FC3" s="749"/>
      <c r="FD3" s="749"/>
      <c r="FE3" s="749"/>
      <c r="FI3" s="4893" t="s">
        <v>1367</v>
      </c>
      <c r="FJ3" s="4893"/>
      <c r="FK3" s="4893"/>
      <c r="FL3" s="4893"/>
      <c r="FM3" s="4893"/>
      <c r="FN3" s="4893"/>
      <c r="FO3" s="4893"/>
      <c r="FP3" s="4893"/>
      <c r="FQ3" s="4893"/>
      <c r="FR3" s="4893"/>
      <c r="FS3" s="4893"/>
      <c r="FT3" s="4893"/>
      <c r="FU3" s="4893"/>
      <c r="FV3" s="4893"/>
      <c r="FW3" s="4893"/>
      <c r="FX3" s="4893"/>
      <c r="FY3" s="4893"/>
      <c r="FZ3" s="4893"/>
      <c r="GA3" s="4893"/>
      <c r="GB3" s="4893"/>
      <c r="GC3" s="4893"/>
      <c r="GD3" s="4893"/>
      <c r="GF3" s="4894" t="s">
        <v>1408</v>
      </c>
      <c r="GG3" s="4894"/>
      <c r="GH3" s="4894"/>
      <c r="GI3" s="4894"/>
      <c r="GJ3" s="4894"/>
      <c r="GK3" s="4894"/>
      <c r="GL3" s="4894"/>
      <c r="GM3" s="4894"/>
      <c r="GN3" s="4894"/>
      <c r="GO3" s="4894"/>
      <c r="GP3" s="4894"/>
      <c r="GQ3" s="4894"/>
      <c r="GR3" s="4894"/>
      <c r="GS3" s="4894"/>
      <c r="GT3" s="4894"/>
      <c r="GU3" s="4894"/>
      <c r="GV3" s="4894"/>
      <c r="GW3" s="4894"/>
      <c r="GX3" s="4894"/>
      <c r="GY3" s="4894"/>
      <c r="GZ3" s="4894"/>
      <c r="HA3" s="4894"/>
      <c r="HB3" s="4894"/>
    </row>
    <row r="4" spans="1:210">
      <c r="A4" s="74" t="s">
        <v>3967</v>
      </c>
      <c r="Y4" s="74" t="s">
        <v>2718</v>
      </c>
      <c r="Z4" s="74"/>
      <c r="AA4" s="74"/>
      <c r="AB4" s="74"/>
      <c r="AC4" s="74"/>
      <c r="AD4" s="74"/>
      <c r="AE4" s="74"/>
      <c r="AF4" s="74"/>
      <c r="AG4" s="74"/>
      <c r="AH4" s="74"/>
      <c r="AI4" s="74"/>
      <c r="AJ4" s="74"/>
      <c r="AK4" s="74"/>
      <c r="AL4" s="74"/>
      <c r="AM4" s="74"/>
      <c r="AN4" s="74"/>
      <c r="AO4" s="74"/>
      <c r="AP4" s="74"/>
      <c r="AQ4" s="74"/>
      <c r="AR4" s="74"/>
      <c r="AS4" s="74"/>
      <c r="AT4" s="74"/>
      <c r="AW4" s="1287" t="s">
        <v>2012</v>
      </c>
      <c r="AX4" s="1287"/>
      <c r="AY4" s="1287"/>
      <c r="AZ4" s="1287"/>
      <c r="BA4" s="1287"/>
      <c r="BB4" s="1287"/>
      <c r="BC4" s="1287"/>
      <c r="BD4" s="1287"/>
      <c r="BE4" s="1287"/>
      <c r="BF4" s="1287"/>
      <c r="BG4" s="1287"/>
      <c r="BH4" s="1287"/>
      <c r="BI4" s="1287"/>
      <c r="BJ4" s="1287"/>
      <c r="BK4" s="1287"/>
      <c r="BL4" s="1287"/>
      <c r="BM4" s="1287"/>
      <c r="BN4" s="1287"/>
      <c r="BO4" s="1287"/>
      <c r="BP4" s="1287"/>
      <c r="BQ4" s="1287"/>
      <c r="BR4" s="1287"/>
      <c r="BS4"/>
      <c r="BU4" s="1287" t="s">
        <v>1941</v>
      </c>
      <c r="BV4" s="2203"/>
      <c r="BW4" s="2203"/>
      <c r="BX4" s="2203"/>
      <c r="BY4" s="2203"/>
      <c r="BZ4" s="2203"/>
      <c r="CA4" s="2203"/>
      <c r="CB4" s="2203"/>
      <c r="CC4" s="2203"/>
      <c r="CD4" s="2203"/>
      <c r="CE4" s="2203"/>
      <c r="CF4" s="2203"/>
      <c r="CG4" s="2203"/>
      <c r="CH4" s="2203"/>
      <c r="CI4" s="2203"/>
      <c r="CJ4" s="2203"/>
      <c r="CK4" s="2203"/>
      <c r="CL4" s="2203"/>
      <c r="CM4" s="2203"/>
      <c r="CN4" s="2203"/>
      <c r="CO4" s="73"/>
      <c r="CQ4" s="118" t="s">
        <v>1369</v>
      </c>
      <c r="CR4" s="942"/>
      <c r="CS4" s="942"/>
      <c r="CT4" s="942"/>
      <c r="CU4" s="942"/>
      <c r="CV4" s="942"/>
      <c r="CW4" s="942"/>
      <c r="CX4" s="942"/>
      <c r="CY4" s="942"/>
      <c r="CZ4" s="942"/>
      <c r="DA4" s="942"/>
      <c r="DB4" s="942"/>
      <c r="DC4" s="942"/>
      <c r="DD4" s="942"/>
      <c r="DE4" s="942"/>
      <c r="DF4" s="942"/>
      <c r="DG4" s="942"/>
      <c r="DH4" s="942"/>
      <c r="DI4" s="942"/>
      <c r="DJ4" s="942"/>
      <c r="DK4" s="942"/>
      <c r="DL4" s="942"/>
      <c r="DM4" s="73"/>
      <c r="DO4" s="943" t="s">
        <v>1409</v>
      </c>
      <c r="DP4" s="944"/>
      <c r="DQ4" s="944"/>
      <c r="DR4" s="944"/>
      <c r="DS4" s="944"/>
      <c r="DT4" s="944"/>
      <c r="DU4" s="944"/>
      <c r="DV4" s="944"/>
      <c r="DW4" s="944"/>
      <c r="DX4" s="944"/>
      <c r="DY4" s="944"/>
      <c r="DZ4" s="944"/>
      <c r="EA4" s="944"/>
      <c r="EB4" s="944"/>
      <c r="EC4" s="944"/>
      <c r="ED4" s="944"/>
      <c r="EE4" s="944"/>
      <c r="EF4" s="944"/>
      <c r="EG4" s="944"/>
      <c r="EH4" s="944"/>
      <c r="EI4" s="944"/>
      <c r="EJ4" s="944"/>
      <c r="EK4" s="944"/>
      <c r="GD4" s="118"/>
    </row>
    <row r="5" spans="1:210">
      <c r="A5" s="4687"/>
      <c r="B5" s="4687"/>
      <c r="C5" s="4687"/>
      <c r="D5" s="4687"/>
      <c r="E5" s="4943" t="s">
        <v>1371</v>
      </c>
      <c r="F5" s="4943"/>
      <c r="G5" s="4943"/>
      <c r="H5" s="4943"/>
      <c r="I5" s="4943"/>
      <c r="J5" s="4943"/>
      <c r="K5" s="4943"/>
      <c r="L5" s="4943"/>
      <c r="M5" s="4943"/>
      <c r="N5" s="4943"/>
      <c r="O5" s="4943"/>
      <c r="P5" s="4943"/>
      <c r="Q5" s="4943"/>
      <c r="R5" s="4943"/>
      <c r="S5" s="4943"/>
      <c r="T5" s="4687"/>
      <c r="U5" s="4687"/>
      <c r="V5" s="4687"/>
      <c r="Y5" s="43"/>
      <c r="Z5" s="43"/>
      <c r="AA5" s="43"/>
      <c r="AB5" s="761"/>
      <c r="AC5" s="4901" t="s">
        <v>1371</v>
      </c>
      <c r="AD5" s="4901"/>
      <c r="AE5" s="4901"/>
      <c r="AF5" s="4901"/>
      <c r="AG5" s="4901"/>
      <c r="AH5" s="4901"/>
      <c r="AI5" s="4901"/>
      <c r="AJ5" s="4901"/>
      <c r="AK5" s="4901"/>
      <c r="AL5" s="4901"/>
      <c r="AM5" s="4901"/>
      <c r="AN5" s="4901"/>
      <c r="AO5" s="4901"/>
      <c r="AP5" s="4901"/>
      <c r="AQ5" s="4901"/>
      <c r="AR5" s="4901"/>
      <c r="AS5" s="4901"/>
      <c r="AT5" s="43"/>
      <c r="AW5" s="43"/>
      <c r="AX5" s="43"/>
      <c r="AY5" s="43"/>
      <c r="AZ5" s="2165"/>
      <c r="BA5" s="4944" t="s">
        <v>1371</v>
      </c>
      <c r="BB5" s="4944"/>
      <c r="BC5" s="4944"/>
      <c r="BD5" s="4944"/>
      <c r="BE5" s="4944"/>
      <c r="BF5" s="4944"/>
      <c r="BG5" s="4944"/>
      <c r="BH5" s="4944"/>
      <c r="BI5" s="4944"/>
      <c r="BJ5" s="4944"/>
      <c r="BK5" s="4944"/>
      <c r="BL5" s="4944"/>
      <c r="BM5" s="4944"/>
      <c r="BN5" s="4944"/>
      <c r="BO5" s="4944"/>
      <c r="BP5" s="4944"/>
      <c r="BQ5" s="4944"/>
      <c r="BR5" s="43"/>
      <c r="BS5" s="43"/>
      <c r="BU5" s="738"/>
      <c r="BV5" s="2204"/>
      <c r="BW5" s="2204"/>
      <c r="BX5" s="2204"/>
      <c r="BY5" s="4945" t="s">
        <v>1371</v>
      </c>
      <c r="BZ5" s="4946"/>
      <c r="CA5" s="4946"/>
      <c r="CB5" s="4946"/>
      <c r="CC5" s="4946"/>
      <c r="CD5" s="4946"/>
      <c r="CE5" s="4946"/>
      <c r="CF5" s="4946"/>
      <c r="CG5" s="4946"/>
      <c r="CH5" s="4946"/>
      <c r="CI5" s="4946"/>
      <c r="CJ5" s="4946"/>
      <c r="CK5" s="4946"/>
      <c r="CL5" s="4946"/>
      <c r="CM5" s="4946"/>
      <c r="CN5" s="4947"/>
      <c r="CO5" s="73"/>
      <c r="CQ5" s="738"/>
      <c r="CR5" s="945"/>
      <c r="CS5" s="945"/>
      <c r="CT5" s="945"/>
      <c r="CU5" s="4937" t="s">
        <v>1371</v>
      </c>
      <c r="CV5" s="4937"/>
      <c r="CW5" s="4937"/>
      <c r="CX5" s="4937"/>
      <c r="CY5" s="4937"/>
      <c r="CZ5" s="4937"/>
      <c r="DA5" s="4937"/>
      <c r="DB5" s="4937"/>
      <c r="DC5" s="4937"/>
      <c r="DD5" s="4937"/>
      <c r="DE5" s="4937"/>
      <c r="DF5" s="4937"/>
      <c r="DG5" s="4937"/>
      <c r="DH5" s="4937"/>
      <c r="DI5" s="4937"/>
      <c r="DJ5" s="4937"/>
      <c r="DK5" s="4937"/>
      <c r="DL5" s="738"/>
      <c r="DM5" s="73"/>
      <c r="DO5" s="738"/>
      <c r="DP5" s="760"/>
      <c r="DQ5" s="760"/>
      <c r="DR5" s="760"/>
      <c r="DS5" s="760"/>
      <c r="DT5" s="4938" t="s">
        <v>1371</v>
      </c>
      <c r="DU5" s="4938"/>
      <c r="DV5" s="4938"/>
      <c r="DW5" s="4938"/>
      <c r="DX5" s="4938"/>
      <c r="DY5" s="4938"/>
      <c r="DZ5" s="4938"/>
      <c r="EA5" s="4938"/>
      <c r="EB5" s="4938"/>
      <c r="EC5" s="4938"/>
      <c r="ED5" s="4938"/>
      <c r="EE5" s="4938"/>
      <c r="EF5" s="4938"/>
      <c r="EG5" s="4938"/>
      <c r="EH5" s="4938"/>
      <c r="EI5" s="4938"/>
      <c r="EJ5" s="4938"/>
      <c r="EK5" s="738"/>
      <c r="EL5" s="73"/>
      <c r="EM5" s="73"/>
      <c r="EN5" s="946"/>
      <c r="EO5" s="947"/>
      <c r="EP5" s="947"/>
      <c r="EQ5" s="947"/>
      <c r="ER5" s="4939" t="s">
        <v>1372</v>
      </c>
      <c r="ES5" s="4939"/>
      <c r="ET5" s="4939"/>
      <c r="EU5" s="4939"/>
      <c r="EV5" s="4939"/>
      <c r="EW5" s="4939"/>
      <c r="EX5" s="4939"/>
      <c r="EY5" s="4939"/>
      <c r="EZ5" s="4939"/>
      <c r="FA5" s="4939"/>
      <c r="FB5" s="4939"/>
      <c r="FC5" s="4939"/>
      <c r="FD5" s="4939"/>
      <c r="FE5" s="946"/>
      <c r="FF5" s="73"/>
      <c r="FG5" s="73"/>
      <c r="FH5" s="73"/>
      <c r="FI5" s="151"/>
      <c r="FJ5" s="151"/>
      <c r="FK5" s="738"/>
      <c r="FL5" s="738" t="s">
        <v>332</v>
      </c>
      <c r="FM5" s="4842" t="s">
        <v>1373</v>
      </c>
      <c r="FN5" s="4842"/>
      <c r="FO5" s="4842"/>
      <c r="FP5" s="4842"/>
      <c r="FQ5" s="4842"/>
      <c r="FR5" s="4842"/>
      <c r="FS5" s="4842"/>
      <c r="FT5" s="4842"/>
      <c r="FU5" s="4842"/>
      <c r="FV5" s="4842"/>
      <c r="FW5" s="4842"/>
      <c r="FX5" s="4842"/>
      <c r="FY5" s="4842"/>
      <c r="FZ5" s="4842"/>
      <c r="GA5" s="4842"/>
      <c r="GB5" s="4842"/>
      <c r="GC5" s="738"/>
      <c r="GD5" s="73"/>
      <c r="GE5" s="73"/>
      <c r="GF5" s="73"/>
      <c r="GG5" s="73"/>
      <c r="GH5" s="73"/>
      <c r="GI5" s="73"/>
      <c r="GJ5" s="4940" t="s">
        <v>1373</v>
      </c>
      <c r="GK5" s="4940"/>
      <c r="GL5" s="4940"/>
      <c r="GM5" s="4940"/>
      <c r="GN5" s="4940"/>
      <c r="GO5" s="4940"/>
      <c r="GP5" s="4940"/>
      <c r="GQ5" s="4940"/>
      <c r="GR5" s="4940"/>
      <c r="GS5" s="4940"/>
      <c r="GT5" s="4940"/>
      <c r="GU5" s="4940"/>
      <c r="GV5" s="4940"/>
      <c r="GW5" s="4940"/>
      <c r="GX5" s="4940"/>
      <c r="GY5" s="4940"/>
      <c r="GZ5" s="73"/>
      <c r="HA5" s="73"/>
      <c r="HB5" s="73"/>
    </row>
    <row r="6" spans="1:210" ht="25.5" thickBot="1">
      <c r="A6" s="742" t="s">
        <v>0</v>
      </c>
      <c r="B6" s="742" t="s">
        <v>1</v>
      </c>
      <c r="C6" s="742" t="s">
        <v>2</v>
      </c>
      <c r="D6" s="742" t="s">
        <v>1282</v>
      </c>
      <c r="E6" s="3260">
        <v>0</v>
      </c>
      <c r="F6" s="3260">
        <v>1</v>
      </c>
      <c r="G6" s="3260">
        <v>2</v>
      </c>
      <c r="H6" s="3260">
        <v>3</v>
      </c>
      <c r="I6" s="3260">
        <v>4</v>
      </c>
      <c r="J6" s="3260">
        <v>5</v>
      </c>
      <c r="K6" s="3260">
        <v>6</v>
      </c>
      <c r="L6" s="3260">
        <v>7</v>
      </c>
      <c r="M6" s="3260">
        <v>8</v>
      </c>
      <c r="N6" s="3260">
        <v>9</v>
      </c>
      <c r="O6" s="3260">
        <v>10</v>
      </c>
      <c r="P6" s="3260">
        <v>11</v>
      </c>
      <c r="Q6" s="3260">
        <v>12</v>
      </c>
      <c r="R6" s="3260">
        <v>13</v>
      </c>
      <c r="S6" s="3260">
        <v>14</v>
      </c>
      <c r="T6" s="743">
        <v>15</v>
      </c>
      <c r="U6" s="743">
        <v>16</v>
      </c>
      <c r="V6" s="743" t="s">
        <v>15</v>
      </c>
      <c r="W6" s="2584" t="s">
        <v>66</v>
      </c>
      <c r="Y6" s="742" t="s">
        <v>0</v>
      </c>
      <c r="Z6" s="742" t="s">
        <v>1</v>
      </c>
      <c r="AA6" s="742" t="s">
        <v>2</v>
      </c>
      <c r="AB6" s="742" t="s">
        <v>1282</v>
      </c>
      <c r="AC6" s="3260">
        <v>0</v>
      </c>
      <c r="AD6" s="3260">
        <v>1</v>
      </c>
      <c r="AE6" s="3260">
        <v>2</v>
      </c>
      <c r="AF6" s="3260">
        <v>3</v>
      </c>
      <c r="AG6" s="3260">
        <v>4</v>
      </c>
      <c r="AH6" s="3260">
        <v>5</v>
      </c>
      <c r="AI6" s="3260">
        <v>6</v>
      </c>
      <c r="AJ6" s="3260">
        <v>7</v>
      </c>
      <c r="AK6" s="3260">
        <v>8</v>
      </c>
      <c r="AL6" s="3260">
        <v>9</v>
      </c>
      <c r="AM6" s="3260">
        <v>10</v>
      </c>
      <c r="AN6" s="3260">
        <v>11</v>
      </c>
      <c r="AO6" s="3260">
        <v>12</v>
      </c>
      <c r="AP6" s="3260">
        <v>13</v>
      </c>
      <c r="AQ6" s="3260">
        <v>14</v>
      </c>
      <c r="AR6" s="743">
        <v>15</v>
      </c>
      <c r="AS6" s="743">
        <v>16</v>
      </c>
      <c r="AT6" s="743" t="s">
        <v>15</v>
      </c>
      <c r="AU6" s="1005" t="s">
        <v>66</v>
      </c>
      <c r="AW6" s="743" t="s">
        <v>0</v>
      </c>
      <c r="AX6" s="743" t="s">
        <v>1</v>
      </c>
      <c r="AY6" s="743" t="s">
        <v>2</v>
      </c>
      <c r="AZ6" s="743" t="s">
        <v>1282</v>
      </c>
      <c r="BA6" s="2599">
        <v>0</v>
      </c>
      <c r="BB6" s="2599">
        <v>1</v>
      </c>
      <c r="BC6" s="2599">
        <v>2</v>
      </c>
      <c r="BD6" s="2599">
        <v>3</v>
      </c>
      <c r="BE6" s="2599">
        <v>4</v>
      </c>
      <c r="BF6" s="2599">
        <v>5</v>
      </c>
      <c r="BG6" s="2599">
        <v>6</v>
      </c>
      <c r="BH6" s="2599">
        <v>7</v>
      </c>
      <c r="BI6" s="2599">
        <v>8</v>
      </c>
      <c r="BJ6" s="2599">
        <v>9</v>
      </c>
      <c r="BK6" s="2599">
        <v>10</v>
      </c>
      <c r="BL6" s="2599">
        <v>11</v>
      </c>
      <c r="BM6" s="2599">
        <v>12</v>
      </c>
      <c r="BN6" s="2599">
        <v>13</v>
      </c>
      <c r="BO6" s="2599">
        <v>14</v>
      </c>
      <c r="BP6" s="743">
        <v>15</v>
      </c>
      <c r="BQ6" s="743">
        <v>16</v>
      </c>
      <c r="BR6" s="743" t="s">
        <v>15</v>
      </c>
      <c r="BS6" s="2606" t="s">
        <v>66</v>
      </c>
      <c r="BU6" s="2205" t="s">
        <v>0</v>
      </c>
      <c r="BV6" s="2205" t="s">
        <v>1</v>
      </c>
      <c r="BW6" s="2205" t="s">
        <v>2</v>
      </c>
      <c r="BX6" s="2205" t="s">
        <v>1282</v>
      </c>
      <c r="BY6" s="2205">
        <v>0</v>
      </c>
      <c r="BZ6" s="2205">
        <v>1</v>
      </c>
      <c r="CA6" s="2205">
        <v>2</v>
      </c>
      <c r="CB6" s="2205">
        <v>4</v>
      </c>
      <c r="CC6" s="2205">
        <v>5</v>
      </c>
      <c r="CD6" s="2205">
        <v>6</v>
      </c>
      <c r="CE6" s="2205">
        <v>8</v>
      </c>
      <c r="CF6" s="2205">
        <v>9</v>
      </c>
      <c r="CG6" s="2205">
        <v>10</v>
      </c>
      <c r="CH6" s="2205">
        <v>11</v>
      </c>
      <c r="CI6" s="2205">
        <v>12</v>
      </c>
      <c r="CJ6" s="2205">
        <v>13</v>
      </c>
      <c r="CK6" s="2205">
        <v>14</v>
      </c>
      <c r="CL6" s="2205">
        <v>15</v>
      </c>
      <c r="CM6" s="2205">
        <v>16</v>
      </c>
      <c r="CN6" s="2206" t="s">
        <v>15</v>
      </c>
      <c r="CO6" s="2147" t="s">
        <v>66</v>
      </c>
      <c r="CQ6" s="948" t="s">
        <v>0</v>
      </c>
      <c r="CR6" s="948" t="s">
        <v>1</v>
      </c>
      <c r="CS6" s="948" t="s">
        <v>2</v>
      </c>
      <c r="CT6" s="948" t="s">
        <v>1282</v>
      </c>
      <c r="CU6" s="948">
        <v>0</v>
      </c>
      <c r="CV6" s="948">
        <v>1</v>
      </c>
      <c r="CW6" s="948">
        <v>2</v>
      </c>
      <c r="CX6" s="948">
        <v>3</v>
      </c>
      <c r="CY6" s="948">
        <v>4</v>
      </c>
      <c r="CZ6" s="948">
        <v>5</v>
      </c>
      <c r="DA6" s="948">
        <v>6</v>
      </c>
      <c r="DB6" s="948">
        <v>7</v>
      </c>
      <c r="DC6" s="948">
        <v>8</v>
      </c>
      <c r="DD6" s="948">
        <v>9</v>
      </c>
      <c r="DE6" s="948">
        <v>10</v>
      </c>
      <c r="DF6" s="948">
        <v>11</v>
      </c>
      <c r="DG6" s="948">
        <v>12</v>
      </c>
      <c r="DH6" s="948">
        <v>13</v>
      </c>
      <c r="DI6" s="948">
        <v>14</v>
      </c>
      <c r="DJ6" s="948">
        <v>15</v>
      </c>
      <c r="DK6" s="948">
        <v>16</v>
      </c>
      <c r="DL6" s="948" t="s">
        <v>15</v>
      </c>
      <c r="DM6" s="874" t="s">
        <v>66</v>
      </c>
      <c r="DO6" s="766" t="s">
        <v>0</v>
      </c>
      <c r="DP6" s="766" t="s">
        <v>1</v>
      </c>
      <c r="DQ6" s="766" t="s">
        <v>2</v>
      </c>
      <c r="DR6" s="766"/>
      <c r="DS6" s="766" t="s">
        <v>1282</v>
      </c>
      <c r="DT6" s="766">
        <v>0</v>
      </c>
      <c r="DU6" s="766">
        <v>1</v>
      </c>
      <c r="DV6" s="766">
        <v>2</v>
      </c>
      <c r="DW6" s="766">
        <v>3</v>
      </c>
      <c r="DX6" s="766">
        <v>4</v>
      </c>
      <c r="DY6" s="766">
        <v>5</v>
      </c>
      <c r="DZ6" s="766">
        <v>6</v>
      </c>
      <c r="EA6" s="766">
        <v>7</v>
      </c>
      <c r="EB6" s="766">
        <v>8</v>
      </c>
      <c r="EC6" s="766">
        <v>9</v>
      </c>
      <c r="ED6" s="766">
        <v>10</v>
      </c>
      <c r="EE6" s="766">
        <v>11</v>
      </c>
      <c r="EF6" s="766">
        <v>12</v>
      </c>
      <c r="EG6" s="766">
        <v>13</v>
      </c>
      <c r="EH6" s="766">
        <v>14</v>
      </c>
      <c r="EI6" s="766">
        <v>15</v>
      </c>
      <c r="EJ6" s="766">
        <v>16</v>
      </c>
      <c r="EK6" s="766" t="s">
        <v>15</v>
      </c>
      <c r="EL6" s="876" t="s">
        <v>1374</v>
      </c>
      <c r="EM6" s="73"/>
      <c r="EN6" s="949" t="s">
        <v>0</v>
      </c>
      <c r="EO6" s="949" t="s">
        <v>1</v>
      </c>
      <c r="EP6" s="949" t="s">
        <v>2</v>
      </c>
      <c r="EQ6" s="949" t="s">
        <v>1282</v>
      </c>
      <c r="ER6" s="949">
        <v>1</v>
      </c>
      <c r="ES6" s="949">
        <v>5</v>
      </c>
      <c r="ET6" s="949">
        <v>6</v>
      </c>
      <c r="EU6" s="949">
        <v>7</v>
      </c>
      <c r="EV6" s="949">
        <v>8</v>
      </c>
      <c r="EW6" s="949">
        <v>9</v>
      </c>
      <c r="EX6" s="949">
        <v>10</v>
      </c>
      <c r="EY6" s="949">
        <v>11</v>
      </c>
      <c r="EZ6" s="949">
        <v>12</v>
      </c>
      <c r="FA6" s="949">
        <v>13</v>
      </c>
      <c r="FB6" s="949">
        <v>14</v>
      </c>
      <c r="FC6" s="949">
        <v>15</v>
      </c>
      <c r="FD6" s="949">
        <v>16</v>
      </c>
      <c r="FE6" s="949" t="s">
        <v>15</v>
      </c>
      <c r="FF6" s="950" t="s">
        <v>66</v>
      </c>
      <c r="FG6" s="73"/>
      <c r="FH6" s="73"/>
      <c r="FI6" s="743" t="s">
        <v>0</v>
      </c>
      <c r="FJ6" s="743" t="s">
        <v>1</v>
      </c>
      <c r="FK6" s="743" t="s">
        <v>2</v>
      </c>
      <c r="FL6" s="743" t="s">
        <v>1282</v>
      </c>
      <c r="FM6" s="743">
        <v>1</v>
      </c>
      <c r="FN6" s="743">
        <v>2</v>
      </c>
      <c r="FO6" s="743">
        <v>3</v>
      </c>
      <c r="FP6" s="743">
        <v>4</v>
      </c>
      <c r="FQ6" s="743">
        <v>5</v>
      </c>
      <c r="FR6" s="743">
        <v>6</v>
      </c>
      <c r="FS6" s="743">
        <v>7</v>
      </c>
      <c r="FT6" s="743">
        <v>8</v>
      </c>
      <c r="FU6" s="743">
        <v>9</v>
      </c>
      <c r="FV6" s="743">
        <v>10</v>
      </c>
      <c r="FW6" s="743">
        <v>11</v>
      </c>
      <c r="FX6" s="743">
        <v>12</v>
      </c>
      <c r="FY6" s="743">
        <v>13</v>
      </c>
      <c r="FZ6" s="743">
        <v>14</v>
      </c>
      <c r="GA6" s="743">
        <v>15</v>
      </c>
      <c r="GB6" s="743">
        <v>16</v>
      </c>
      <c r="GC6" s="743" t="s">
        <v>15</v>
      </c>
      <c r="GD6" s="951" t="s">
        <v>66</v>
      </c>
      <c r="GE6" s="73"/>
      <c r="GF6" s="952" t="s">
        <v>0</v>
      </c>
      <c r="GG6" s="952" t="s">
        <v>1</v>
      </c>
      <c r="GH6" s="952" t="s">
        <v>2</v>
      </c>
      <c r="GI6" s="952" t="s">
        <v>1375</v>
      </c>
      <c r="GJ6" s="952">
        <v>0</v>
      </c>
      <c r="GK6" s="952">
        <v>1</v>
      </c>
      <c r="GL6" s="952">
        <v>2</v>
      </c>
      <c r="GM6" s="952">
        <v>3</v>
      </c>
      <c r="GN6" s="952">
        <v>5</v>
      </c>
      <c r="GO6" s="952">
        <v>6</v>
      </c>
      <c r="GP6" s="952">
        <v>7</v>
      </c>
      <c r="GQ6" s="952">
        <v>8</v>
      </c>
      <c r="GR6" s="952">
        <v>9</v>
      </c>
      <c r="GS6" s="952">
        <v>10</v>
      </c>
      <c r="GT6" s="952">
        <v>11</v>
      </c>
      <c r="GU6" s="952">
        <v>12</v>
      </c>
      <c r="GV6" s="952">
        <v>13</v>
      </c>
      <c r="GW6" s="952">
        <v>14</v>
      </c>
      <c r="GX6" s="952">
        <v>15</v>
      </c>
      <c r="GY6" s="952">
        <v>16</v>
      </c>
      <c r="GZ6" s="952" t="s">
        <v>15</v>
      </c>
      <c r="HA6" s="953" t="s">
        <v>66</v>
      </c>
      <c r="HB6" s="954" t="s">
        <v>1376</v>
      </c>
    </row>
    <row r="7" spans="1:210">
      <c r="A7" s="73" t="s">
        <v>3</v>
      </c>
      <c r="B7" s="73" t="s">
        <v>4</v>
      </c>
      <c r="C7" s="73" t="s">
        <v>116</v>
      </c>
      <c r="D7" s="73" t="s">
        <v>1288</v>
      </c>
      <c r="E7" s="967"/>
      <c r="F7" s="967"/>
      <c r="G7" s="967"/>
      <c r="H7" s="967"/>
      <c r="I7" s="967"/>
      <c r="J7" s="967"/>
      <c r="K7" s="967"/>
      <c r="L7" s="967"/>
      <c r="M7" s="967"/>
      <c r="N7" s="967">
        <v>1</v>
      </c>
      <c r="O7" s="967"/>
      <c r="P7" s="967"/>
      <c r="Q7" s="967"/>
      <c r="R7" s="967"/>
      <c r="S7" s="967"/>
      <c r="T7" s="73"/>
      <c r="U7" s="73"/>
      <c r="V7" s="73">
        <v>1</v>
      </c>
      <c r="W7" s="73"/>
      <c r="Y7" s="73" t="s">
        <v>3</v>
      </c>
      <c r="Z7" s="73" t="s">
        <v>4</v>
      </c>
      <c r="AA7" s="73" t="s">
        <v>116</v>
      </c>
      <c r="AB7" s="73" t="s">
        <v>1289</v>
      </c>
      <c r="AC7" s="3261"/>
      <c r="AD7" s="3261"/>
      <c r="AE7" s="3261"/>
      <c r="AF7" s="3261"/>
      <c r="AG7" s="3261"/>
      <c r="AH7" s="3261"/>
      <c r="AI7" s="3261"/>
      <c r="AJ7" s="3261">
        <v>1</v>
      </c>
      <c r="AK7" s="3261">
        <v>0</v>
      </c>
      <c r="AL7" s="3261"/>
      <c r="AM7" s="3261">
        <v>0</v>
      </c>
      <c r="AN7" s="3261"/>
      <c r="AO7" s="3261"/>
      <c r="AP7" s="3261"/>
      <c r="AQ7" s="3261"/>
      <c r="AR7" s="161"/>
      <c r="AS7" s="161"/>
      <c r="AT7" s="161">
        <v>1</v>
      </c>
      <c r="AU7" s="73"/>
      <c r="AW7" s="161" t="s">
        <v>3</v>
      </c>
      <c r="AX7" s="161" t="s">
        <v>4</v>
      </c>
      <c r="AY7" s="73" t="s">
        <v>116</v>
      </c>
      <c r="AZ7" s="73" t="s">
        <v>1289</v>
      </c>
      <c r="BA7" s="2607"/>
      <c r="BB7" s="2607"/>
      <c r="BC7" s="2607"/>
      <c r="BD7" s="2607"/>
      <c r="BE7" s="2607"/>
      <c r="BF7" s="2607"/>
      <c r="BG7" s="2607">
        <v>1</v>
      </c>
      <c r="BH7" s="2607">
        <v>0</v>
      </c>
      <c r="BI7" s="2607"/>
      <c r="BJ7" s="2607">
        <v>0</v>
      </c>
      <c r="BK7" s="2607"/>
      <c r="BL7" s="2607"/>
      <c r="BM7" s="2607"/>
      <c r="BN7" s="2607"/>
      <c r="BO7" s="2607"/>
      <c r="BP7" s="73"/>
      <c r="BQ7" s="73"/>
      <c r="BR7" s="73">
        <v>1</v>
      </c>
      <c r="BS7" s="73"/>
      <c r="BU7" s="2207" t="s">
        <v>3</v>
      </c>
      <c r="BV7" s="2207" t="s">
        <v>4</v>
      </c>
      <c r="BW7" s="2207" t="s">
        <v>116</v>
      </c>
      <c r="BX7" s="2208" t="s">
        <v>1292</v>
      </c>
      <c r="BY7" s="2209"/>
      <c r="BZ7" s="2209"/>
      <c r="CA7" s="2209"/>
      <c r="CB7" s="2209"/>
      <c r="CC7" s="2209"/>
      <c r="CD7" s="2209"/>
      <c r="CE7" s="2210">
        <v>0</v>
      </c>
      <c r="CF7" s="2210">
        <v>0</v>
      </c>
      <c r="CG7" s="2209"/>
      <c r="CH7" s="2209"/>
      <c r="CI7" s="2209"/>
      <c r="CJ7" s="2210">
        <v>1</v>
      </c>
      <c r="CK7" s="2210">
        <v>1</v>
      </c>
      <c r="CL7" s="2211"/>
      <c r="CM7" s="2211"/>
      <c r="CN7" s="2212">
        <v>2</v>
      </c>
      <c r="CO7" s="73"/>
      <c r="CQ7" s="955" t="s">
        <v>3</v>
      </c>
      <c r="CR7" s="955" t="s">
        <v>4</v>
      </c>
      <c r="CS7" s="955" t="s">
        <v>116</v>
      </c>
      <c r="CT7" s="956" t="s">
        <v>1289</v>
      </c>
      <c r="CU7" s="957"/>
      <c r="CV7" s="957"/>
      <c r="CW7" s="957"/>
      <c r="CX7" s="957"/>
      <c r="CY7" s="957"/>
      <c r="CZ7" s="958">
        <v>1</v>
      </c>
      <c r="DA7" s="958">
        <v>0</v>
      </c>
      <c r="DB7" s="957"/>
      <c r="DC7" s="957"/>
      <c r="DD7" s="957"/>
      <c r="DE7" s="958">
        <v>0</v>
      </c>
      <c r="DF7" s="958">
        <v>0</v>
      </c>
      <c r="DG7" s="957"/>
      <c r="DH7" s="957"/>
      <c r="DI7" s="957"/>
      <c r="DJ7" s="959"/>
      <c r="DK7" s="959"/>
      <c r="DL7" s="960">
        <v>1</v>
      </c>
      <c r="DM7" s="161"/>
      <c r="DO7" s="788" t="s">
        <v>3</v>
      </c>
      <c r="DP7" s="788" t="s">
        <v>4</v>
      </c>
      <c r="DQ7" s="788" t="s">
        <v>116</v>
      </c>
      <c r="DR7" s="73"/>
      <c r="DS7" s="789" t="s">
        <v>1288</v>
      </c>
      <c r="DT7" s="961"/>
      <c r="DU7" s="961"/>
      <c r="DV7" s="961"/>
      <c r="DW7" s="961"/>
      <c r="DX7" s="961"/>
      <c r="DY7" s="961"/>
      <c r="DZ7" s="961"/>
      <c r="EA7" s="961"/>
      <c r="EB7" s="961"/>
      <c r="EC7" s="961"/>
      <c r="ED7" s="962">
        <v>0</v>
      </c>
      <c r="EE7" s="961"/>
      <c r="EF7" s="961"/>
      <c r="EG7" s="962">
        <v>1</v>
      </c>
      <c r="EH7" s="961"/>
      <c r="EI7" s="963"/>
      <c r="EJ7" s="963"/>
      <c r="EK7" s="964">
        <v>1</v>
      </c>
      <c r="EL7" s="912"/>
      <c r="EM7" s="73"/>
      <c r="EN7" s="965" t="s">
        <v>3</v>
      </c>
      <c r="EO7" s="965" t="s">
        <v>4</v>
      </c>
      <c r="EP7" s="965" t="s">
        <v>116</v>
      </c>
      <c r="EQ7" s="734" t="s">
        <v>1284</v>
      </c>
      <c r="ER7" s="966"/>
      <c r="ES7" s="966"/>
      <c r="ET7" s="966"/>
      <c r="EU7" s="735">
        <v>0</v>
      </c>
      <c r="EV7" s="735">
        <v>0</v>
      </c>
      <c r="EW7" s="735">
        <v>0</v>
      </c>
      <c r="EX7" s="735">
        <v>0</v>
      </c>
      <c r="EY7" s="735">
        <v>0</v>
      </c>
      <c r="EZ7" s="735">
        <v>1</v>
      </c>
      <c r="FA7" s="735">
        <v>1</v>
      </c>
      <c r="FB7" s="735">
        <v>0</v>
      </c>
      <c r="FC7" s="966"/>
      <c r="FD7" s="966"/>
      <c r="FE7" s="735">
        <v>2</v>
      </c>
      <c r="FF7" s="967"/>
      <c r="FG7" s="73"/>
      <c r="FH7" s="73"/>
      <c r="FI7" s="161" t="s">
        <v>3</v>
      </c>
      <c r="FJ7" s="161" t="s">
        <v>4</v>
      </c>
      <c r="FK7" s="73" t="s">
        <v>116</v>
      </c>
      <c r="FL7" s="73" t="s">
        <v>1286</v>
      </c>
      <c r="FM7" s="161"/>
      <c r="FN7" s="161"/>
      <c r="FO7" s="161">
        <v>1</v>
      </c>
      <c r="FP7" s="161"/>
      <c r="FQ7" s="161"/>
      <c r="FR7" s="161">
        <v>0</v>
      </c>
      <c r="FS7" s="161"/>
      <c r="FT7" s="161"/>
      <c r="FU7" s="161">
        <v>0</v>
      </c>
      <c r="FV7" s="161">
        <v>0</v>
      </c>
      <c r="FW7" s="161">
        <v>0</v>
      </c>
      <c r="FX7" s="161">
        <v>0</v>
      </c>
      <c r="FY7" s="161">
        <v>0</v>
      </c>
      <c r="FZ7" s="161"/>
      <c r="GA7" s="161"/>
      <c r="GB7" s="161"/>
      <c r="GC7" s="161">
        <v>1</v>
      </c>
      <c r="GD7" s="73"/>
      <c r="GE7" s="73"/>
      <c r="GF7" s="968" t="s">
        <v>3</v>
      </c>
      <c r="GG7" s="968" t="s">
        <v>4</v>
      </c>
      <c r="GH7" s="968" t="s">
        <v>116</v>
      </c>
      <c r="GI7" s="968" t="s">
        <v>1288</v>
      </c>
      <c r="GJ7" s="968">
        <v>0</v>
      </c>
      <c r="GK7" s="968">
        <v>0</v>
      </c>
      <c r="GL7" s="968">
        <v>0</v>
      </c>
      <c r="GM7" s="968">
        <v>0</v>
      </c>
      <c r="GN7" s="968">
        <v>0</v>
      </c>
      <c r="GO7" s="968">
        <v>0</v>
      </c>
      <c r="GP7" s="968">
        <v>0</v>
      </c>
      <c r="GQ7" s="968">
        <v>0</v>
      </c>
      <c r="GR7" s="968">
        <v>1</v>
      </c>
      <c r="GS7" s="968">
        <v>0</v>
      </c>
      <c r="GT7" s="968">
        <v>0</v>
      </c>
      <c r="GU7" s="968">
        <v>0</v>
      </c>
      <c r="GV7" s="968">
        <v>0</v>
      </c>
      <c r="GW7" s="968">
        <v>0</v>
      </c>
      <c r="GX7" s="968">
        <v>0</v>
      </c>
      <c r="GY7" s="968">
        <v>0</v>
      </c>
      <c r="GZ7" s="968">
        <v>1</v>
      </c>
      <c r="HA7" s="968"/>
      <c r="HB7" s="969"/>
    </row>
    <row r="8" spans="1:210">
      <c r="A8" s="73"/>
      <c r="B8" s="73"/>
      <c r="C8" s="73"/>
      <c r="D8" s="738" t="s">
        <v>15</v>
      </c>
      <c r="E8" s="4694"/>
      <c r="F8" s="4694"/>
      <c r="G8" s="4694"/>
      <c r="H8" s="4694"/>
      <c r="I8" s="4694"/>
      <c r="J8" s="4694"/>
      <c r="K8" s="4694"/>
      <c r="L8" s="4694"/>
      <c r="M8" s="4694"/>
      <c r="N8" s="4694">
        <v>1</v>
      </c>
      <c r="O8" s="4694"/>
      <c r="P8" s="4694"/>
      <c r="Q8" s="4694"/>
      <c r="R8" s="4694"/>
      <c r="S8" s="4694"/>
      <c r="T8" s="738"/>
      <c r="U8" s="738"/>
      <c r="V8" s="738">
        <v>1</v>
      </c>
      <c r="W8" s="912">
        <f>+V7/V8</f>
        <v>1</v>
      </c>
      <c r="Y8" s="73"/>
      <c r="Z8" s="73"/>
      <c r="AA8" s="73"/>
      <c r="AB8" s="73" t="s">
        <v>1398</v>
      </c>
      <c r="AC8" s="3261"/>
      <c r="AD8" s="3261"/>
      <c r="AE8" s="3261"/>
      <c r="AF8" s="3261"/>
      <c r="AG8" s="3261"/>
      <c r="AH8" s="3261"/>
      <c r="AI8" s="3261"/>
      <c r="AJ8" s="3261">
        <v>0</v>
      </c>
      <c r="AK8" s="3261">
        <v>1</v>
      </c>
      <c r="AL8" s="3261"/>
      <c r="AM8" s="3261">
        <v>2</v>
      </c>
      <c r="AN8" s="3261"/>
      <c r="AO8" s="3261"/>
      <c r="AP8" s="3261"/>
      <c r="AQ8" s="3261"/>
      <c r="AR8" s="161"/>
      <c r="AS8" s="161"/>
      <c r="AT8" s="161">
        <v>3</v>
      </c>
      <c r="AU8" s="73"/>
      <c r="AY8" s="73"/>
      <c r="AZ8" s="73" t="s">
        <v>1398</v>
      </c>
      <c r="BA8" s="2607"/>
      <c r="BB8" s="2607"/>
      <c r="BC8" s="2607"/>
      <c r="BD8" s="2607"/>
      <c r="BE8" s="2607"/>
      <c r="BF8" s="2607"/>
      <c r="BG8" s="2607">
        <v>1</v>
      </c>
      <c r="BH8" s="2607">
        <v>2</v>
      </c>
      <c r="BI8" s="2607"/>
      <c r="BJ8" s="2607">
        <v>1</v>
      </c>
      <c r="BK8" s="2607"/>
      <c r="BL8" s="2607"/>
      <c r="BM8" s="2607"/>
      <c r="BN8" s="2607"/>
      <c r="BO8" s="2607"/>
      <c r="BP8" s="73"/>
      <c r="BQ8" s="73"/>
      <c r="BR8" s="73">
        <v>4</v>
      </c>
      <c r="BS8" s="73"/>
      <c r="BU8" s="2207"/>
      <c r="BV8" s="2207"/>
      <c r="BW8" s="2207"/>
      <c r="BX8" s="2208" t="s">
        <v>1398</v>
      </c>
      <c r="BY8" s="2209"/>
      <c r="BZ8" s="2209"/>
      <c r="CA8" s="2209"/>
      <c r="CB8" s="2209"/>
      <c r="CC8" s="2209"/>
      <c r="CD8" s="2209"/>
      <c r="CE8" s="2210">
        <v>2</v>
      </c>
      <c r="CF8" s="2210">
        <v>3</v>
      </c>
      <c r="CG8" s="2209"/>
      <c r="CH8" s="2209"/>
      <c r="CI8" s="2209"/>
      <c r="CJ8" s="2210">
        <v>0</v>
      </c>
      <c r="CK8" s="2210">
        <v>0</v>
      </c>
      <c r="CL8" s="2211"/>
      <c r="CM8" s="2211"/>
      <c r="CN8" s="2212">
        <v>5</v>
      </c>
      <c r="CO8" s="73"/>
      <c r="CQ8" s="955"/>
      <c r="CR8" s="955"/>
      <c r="CS8" s="955"/>
      <c r="CT8" s="956" t="s">
        <v>1293</v>
      </c>
      <c r="CU8" s="957"/>
      <c r="CV8" s="957"/>
      <c r="CW8" s="957"/>
      <c r="CX8" s="957"/>
      <c r="CY8" s="957"/>
      <c r="CZ8" s="958">
        <v>0</v>
      </c>
      <c r="DA8" s="958">
        <v>0</v>
      </c>
      <c r="DB8" s="957"/>
      <c r="DC8" s="957"/>
      <c r="DD8" s="957"/>
      <c r="DE8" s="958">
        <v>0</v>
      </c>
      <c r="DF8" s="958">
        <v>1</v>
      </c>
      <c r="DG8" s="957"/>
      <c r="DH8" s="957"/>
      <c r="DI8" s="957"/>
      <c r="DJ8" s="959"/>
      <c r="DK8" s="959"/>
      <c r="DL8" s="960">
        <v>1</v>
      </c>
      <c r="DM8" s="161"/>
      <c r="DO8" s="788"/>
      <c r="DP8" s="788"/>
      <c r="DQ8" s="788"/>
      <c r="DR8" s="788"/>
      <c r="DS8" s="789" t="s">
        <v>1398</v>
      </c>
      <c r="DT8" s="961"/>
      <c r="DU8" s="961"/>
      <c r="DV8" s="961"/>
      <c r="DW8" s="961"/>
      <c r="DX8" s="961"/>
      <c r="DY8" s="961"/>
      <c r="DZ8" s="961"/>
      <c r="EA8" s="961"/>
      <c r="EB8" s="961"/>
      <c r="EC8" s="961"/>
      <c r="ED8" s="962">
        <v>2</v>
      </c>
      <c r="EE8" s="961"/>
      <c r="EF8" s="961"/>
      <c r="EG8" s="962">
        <v>0</v>
      </c>
      <c r="EH8" s="961"/>
      <c r="EI8" s="963"/>
      <c r="EJ8" s="963"/>
      <c r="EK8" s="964">
        <v>2</v>
      </c>
      <c r="EL8" s="912"/>
      <c r="EM8" s="73"/>
      <c r="EN8" s="965"/>
      <c r="EO8" s="965"/>
      <c r="EP8" s="965"/>
      <c r="EQ8" s="734" t="s">
        <v>1288</v>
      </c>
      <c r="ER8" s="966"/>
      <c r="ES8" s="966"/>
      <c r="ET8" s="966"/>
      <c r="EU8" s="735">
        <v>0</v>
      </c>
      <c r="EV8" s="735">
        <v>1</v>
      </c>
      <c r="EW8" s="735">
        <v>0</v>
      </c>
      <c r="EX8" s="735">
        <v>0</v>
      </c>
      <c r="EY8" s="735">
        <v>0</v>
      </c>
      <c r="EZ8" s="735">
        <v>0</v>
      </c>
      <c r="FA8" s="735">
        <v>0</v>
      </c>
      <c r="FB8" s="735">
        <v>0</v>
      </c>
      <c r="FC8" s="966"/>
      <c r="FD8" s="966"/>
      <c r="FE8" s="735">
        <v>1</v>
      </c>
      <c r="FF8" s="967"/>
      <c r="FG8" s="73"/>
      <c r="FH8" s="73"/>
      <c r="FI8" s="161"/>
      <c r="FJ8" s="161"/>
      <c r="FK8" s="73"/>
      <c r="FL8" s="73" t="s">
        <v>1288</v>
      </c>
      <c r="FM8" s="161"/>
      <c r="FN8" s="161"/>
      <c r="FO8" s="161">
        <v>0</v>
      </c>
      <c r="FP8" s="161"/>
      <c r="FQ8" s="161"/>
      <c r="FR8" s="161">
        <v>0</v>
      </c>
      <c r="FS8" s="161"/>
      <c r="FT8" s="161"/>
      <c r="FU8" s="161">
        <v>1</v>
      </c>
      <c r="FV8" s="161">
        <v>0</v>
      </c>
      <c r="FW8" s="161">
        <v>0</v>
      </c>
      <c r="FX8" s="161">
        <v>0</v>
      </c>
      <c r="FY8" s="161">
        <v>0</v>
      </c>
      <c r="FZ8" s="161"/>
      <c r="GA8" s="161"/>
      <c r="GB8" s="161"/>
      <c r="GC8" s="161">
        <v>1</v>
      </c>
      <c r="GD8" s="73"/>
      <c r="GE8" s="73"/>
      <c r="GF8" s="968"/>
      <c r="GG8" s="968"/>
      <c r="GH8" s="968"/>
      <c r="GI8" s="968" t="s">
        <v>1292</v>
      </c>
      <c r="GJ8" s="968">
        <v>0</v>
      </c>
      <c r="GK8" s="968">
        <v>0</v>
      </c>
      <c r="GL8" s="968">
        <v>0</v>
      </c>
      <c r="GM8" s="968">
        <v>0</v>
      </c>
      <c r="GN8" s="968">
        <v>0</v>
      </c>
      <c r="GO8" s="968">
        <v>0</v>
      </c>
      <c r="GP8" s="968">
        <v>0</v>
      </c>
      <c r="GQ8" s="968">
        <v>0</v>
      </c>
      <c r="GR8" s="968">
        <v>0</v>
      </c>
      <c r="GS8" s="968">
        <v>0</v>
      </c>
      <c r="GT8" s="968">
        <v>0</v>
      </c>
      <c r="GU8" s="968">
        <v>0</v>
      </c>
      <c r="GV8" s="968">
        <v>1</v>
      </c>
      <c r="GW8" s="968">
        <v>0</v>
      </c>
      <c r="GX8" s="968">
        <v>0</v>
      </c>
      <c r="GY8" s="968">
        <v>0</v>
      </c>
      <c r="GZ8" s="968">
        <v>1</v>
      </c>
      <c r="HA8" s="968"/>
      <c r="HB8" s="969"/>
    </row>
    <row r="9" spans="1:210">
      <c r="A9" s="73"/>
      <c r="B9" s="73"/>
      <c r="C9" s="73" t="s">
        <v>117</v>
      </c>
      <c r="D9" s="73" t="s">
        <v>1292</v>
      </c>
      <c r="E9" s="967"/>
      <c r="F9" s="967"/>
      <c r="G9" s="967"/>
      <c r="H9" s="967"/>
      <c r="I9" s="967"/>
      <c r="J9" s="967"/>
      <c r="K9" s="967"/>
      <c r="L9" s="967"/>
      <c r="M9" s="967"/>
      <c r="N9" s="967"/>
      <c r="O9" s="967"/>
      <c r="P9" s="967"/>
      <c r="Q9" s="967"/>
      <c r="R9" s="967"/>
      <c r="S9" s="967">
        <v>1</v>
      </c>
      <c r="T9" s="73"/>
      <c r="U9" s="73">
        <v>1</v>
      </c>
      <c r="V9" s="73">
        <v>2</v>
      </c>
      <c r="W9" s="73"/>
      <c r="Y9" s="73"/>
      <c r="Z9" s="73"/>
      <c r="AA9" s="73"/>
      <c r="AB9" s="738" t="s">
        <v>15</v>
      </c>
      <c r="AC9" s="3262"/>
      <c r="AD9" s="3262"/>
      <c r="AE9" s="3262"/>
      <c r="AF9" s="3262"/>
      <c r="AG9" s="3262"/>
      <c r="AH9" s="3262"/>
      <c r="AI9" s="3262"/>
      <c r="AJ9" s="3262">
        <v>1</v>
      </c>
      <c r="AK9" s="3262">
        <v>1</v>
      </c>
      <c r="AL9" s="3262"/>
      <c r="AM9" s="3262">
        <v>2</v>
      </c>
      <c r="AN9" s="3262"/>
      <c r="AO9" s="3262"/>
      <c r="AP9" s="3262"/>
      <c r="AQ9" s="3262"/>
      <c r="AR9" s="151"/>
      <c r="AS9" s="151"/>
      <c r="AT9" s="151">
        <v>4</v>
      </c>
      <c r="AU9" s="912">
        <f>+AT8/AT9</f>
        <v>0.75</v>
      </c>
      <c r="AY9" s="73"/>
      <c r="AZ9" s="738" t="s">
        <v>15</v>
      </c>
      <c r="BA9" s="2608"/>
      <c r="BB9" s="2608"/>
      <c r="BC9" s="2608"/>
      <c r="BD9" s="2608"/>
      <c r="BE9" s="2608"/>
      <c r="BF9" s="2608"/>
      <c r="BG9" s="2608">
        <v>2</v>
      </c>
      <c r="BH9" s="2608">
        <v>2</v>
      </c>
      <c r="BI9" s="2608"/>
      <c r="BJ9" s="2608">
        <v>1</v>
      </c>
      <c r="BK9" s="2608"/>
      <c r="BL9" s="2608"/>
      <c r="BM9" s="2608"/>
      <c r="BN9" s="2608"/>
      <c r="BO9" s="2608"/>
      <c r="BP9" s="738"/>
      <c r="BQ9" s="738"/>
      <c r="BR9" s="738">
        <v>5</v>
      </c>
      <c r="BS9" s="912">
        <f>+BR8/BR9</f>
        <v>0.8</v>
      </c>
      <c r="BU9" s="2207"/>
      <c r="BV9" s="2207"/>
      <c r="BW9" s="2207"/>
      <c r="BX9" s="2204" t="s">
        <v>15</v>
      </c>
      <c r="BY9" s="2213"/>
      <c r="BZ9" s="2213"/>
      <c r="CA9" s="2213"/>
      <c r="CB9" s="2213"/>
      <c r="CC9" s="2213"/>
      <c r="CD9" s="2213"/>
      <c r="CE9" s="2214">
        <v>2</v>
      </c>
      <c r="CF9" s="2214">
        <v>3</v>
      </c>
      <c r="CG9" s="2213"/>
      <c r="CH9" s="2213"/>
      <c r="CI9" s="2213"/>
      <c r="CJ9" s="2214">
        <v>1</v>
      </c>
      <c r="CK9" s="2214">
        <v>1</v>
      </c>
      <c r="CL9" s="2215"/>
      <c r="CM9" s="2215"/>
      <c r="CN9" s="2216">
        <v>7</v>
      </c>
      <c r="CO9" s="2154">
        <f>+CN8/CN9</f>
        <v>0.7142857142857143</v>
      </c>
      <c r="CQ9" s="955"/>
      <c r="CR9" s="955"/>
      <c r="CS9" s="955"/>
      <c r="CT9" s="956" t="s">
        <v>1398</v>
      </c>
      <c r="CU9" s="957"/>
      <c r="CV9" s="957"/>
      <c r="CW9" s="957"/>
      <c r="CX9" s="957"/>
      <c r="CY9" s="957"/>
      <c r="CZ9" s="958">
        <v>0</v>
      </c>
      <c r="DA9" s="958">
        <v>1</v>
      </c>
      <c r="DB9" s="957"/>
      <c r="DC9" s="957"/>
      <c r="DD9" s="957"/>
      <c r="DE9" s="958">
        <v>1</v>
      </c>
      <c r="DF9" s="958">
        <v>1</v>
      </c>
      <c r="DG9" s="957"/>
      <c r="DH9" s="957"/>
      <c r="DI9" s="957"/>
      <c r="DJ9" s="959"/>
      <c r="DK9" s="959"/>
      <c r="DL9" s="960">
        <v>3</v>
      </c>
      <c r="DM9" s="161"/>
      <c r="DO9" s="788"/>
      <c r="DP9" s="788"/>
      <c r="DQ9" s="788"/>
      <c r="DR9" s="73"/>
      <c r="DS9" s="809" t="s">
        <v>15</v>
      </c>
      <c r="DT9" s="970"/>
      <c r="DU9" s="970"/>
      <c r="DV9" s="970"/>
      <c r="DW9" s="970"/>
      <c r="DX9" s="970"/>
      <c r="DY9" s="970"/>
      <c r="DZ9" s="970"/>
      <c r="EA9" s="970"/>
      <c r="EB9" s="970"/>
      <c r="EC9" s="970"/>
      <c r="ED9" s="971">
        <v>2</v>
      </c>
      <c r="EE9" s="970"/>
      <c r="EF9" s="970"/>
      <c r="EG9" s="971">
        <v>1</v>
      </c>
      <c r="EH9" s="970"/>
      <c r="EI9" s="972"/>
      <c r="EJ9" s="972"/>
      <c r="EK9" s="973">
        <v>3</v>
      </c>
      <c r="EL9" s="912">
        <f>+(EK8+EK7)/EK9</f>
        <v>1</v>
      </c>
      <c r="EM9" s="73"/>
      <c r="EN9" s="965"/>
      <c r="EO9" s="965"/>
      <c r="EP9" s="965"/>
      <c r="EQ9" s="734" t="s">
        <v>1289</v>
      </c>
      <c r="ER9" s="966"/>
      <c r="ES9" s="966"/>
      <c r="ET9" s="966"/>
      <c r="EU9" s="735">
        <v>1</v>
      </c>
      <c r="EV9" s="735">
        <v>1</v>
      </c>
      <c r="EW9" s="735">
        <v>0</v>
      </c>
      <c r="EX9" s="735">
        <v>1</v>
      </c>
      <c r="EY9" s="735">
        <v>1</v>
      </c>
      <c r="EZ9" s="735">
        <v>0</v>
      </c>
      <c r="FA9" s="735">
        <v>0</v>
      </c>
      <c r="FB9" s="735">
        <v>0</v>
      </c>
      <c r="FC9" s="966"/>
      <c r="FD9" s="966"/>
      <c r="FE9" s="735">
        <v>4</v>
      </c>
      <c r="FF9" s="967"/>
      <c r="FG9" s="73"/>
      <c r="FH9" s="73"/>
      <c r="FI9" s="161"/>
      <c r="FJ9" s="161"/>
      <c r="FK9" s="73"/>
      <c r="FL9" s="73" t="s">
        <v>1289</v>
      </c>
      <c r="FM9" s="161"/>
      <c r="FN9" s="161"/>
      <c r="FO9" s="161">
        <v>0</v>
      </c>
      <c r="FP9" s="161"/>
      <c r="FQ9" s="161"/>
      <c r="FR9" s="161">
        <v>1</v>
      </c>
      <c r="FS9" s="161"/>
      <c r="FT9" s="161"/>
      <c r="FU9" s="161">
        <v>0</v>
      </c>
      <c r="FV9" s="161">
        <v>0</v>
      </c>
      <c r="FW9" s="161">
        <v>0</v>
      </c>
      <c r="FX9" s="161">
        <v>3</v>
      </c>
      <c r="FY9" s="161">
        <v>0</v>
      </c>
      <c r="FZ9" s="161"/>
      <c r="GA9" s="161"/>
      <c r="GB9" s="161"/>
      <c r="GC9" s="161">
        <v>4</v>
      </c>
      <c r="GD9" s="73"/>
      <c r="GE9" s="73"/>
      <c r="GF9" s="968"/>
      <c r="GG9" s="968"/>
      <c r="GH9" s="968"/>
      <c r="GI9" s="968" t="s">
        <v>1398</v>
      </c>
      <c r="GJ9" s="968">
        <v>0</v>
      </c>
      <c r="GK9" s="968">
        <v>0</v>
      </c>
      <c r="GL9" s="968">
        <v>0</v>
      </c>
      <c r="GM9" s="968">
        <v>0</v>
      </c>
      <c r="GN9" s="968">
        <v>0</v>
      </c>
      <c r="GO9" s="968">
        <v>0</v>
      </c>
      <c r="GP9" s="968">
        <v>0</v>
      </c>
      <c r="GQ9" s="968">
        <v>0</v>
      </c>
      <c r="GR9" s="968">
        <v>0</v>
      </c>
      <c r="GS9" s="968">
        <v>0</v>
      </c>
      <c r="GT9" s="968">
        <v>1</v>
      </c>
      <c r="GU9" s="968">
        <v>3</v>
      </c>
      <c r="GV9" s="968">
        <v>0</v>
      </c>
      <c r="GW9" s="968">
        <v>0</v>
      </c>
      <c r="GX9" s="968">
        <v>0</v>
      </c>
      <c r="GY9" s="968">
        <v>0</v>
      </c>
      <c r="GZ9" s="968">
        <v>4</v>
      </c>
      <c r="HA9" s="968"/>
      <c r="HB9" s="969"/>
    </row>
    <row r="10" spans="1:210">
      <c r="A10" s="73"/>
      <c r="B10" s="73"/>
      <c r="C10" s="73"/>
      <c r="D10" s="738" t="s">
        <v>15</v>
      </c>
      <c r="E10" s="4694"/>
      <c r="F10" s="4694"/>
      <c r="G10" s="4694"/>
      <c r="H10" s="4694"/>
      <c r="I10" s="4694"/>
      <c r="J10" s="4694"/>
      <c r="K10" s="4694"/>
      <c r="L10" s="4694"/>
      <c r="M10" s="4694"/>
      <c r="N10" s="4694"/>
      <c r="O10" s="4694"/>
      <c r="P10" s="4694"/>
      <c r="Q10" s="4694"/>
      <c r="R10" s="4694"/>
      <c r="S10" s="4694">
        <v>1</v>
      </c>
      <c r="T10" s="738"/>
      <c r="U10" s="738">
        <v>1</v>
      </c>
      <c r="V10" s="738">
        <v>2</v>
      </c>
      <c r="W10" s="912">
        <v>0</v>
      </c>
      <c r="Y10" s="73"/>
      <c r="Z10" s="73"/>
      <c r="AA10" s="73" t="s">
        <v>117</v>
      </c>
      <c r="AB10" s="73" t="s">
        <v>1292</v>
      </c>
      <c r="AC10" s="3261"/>
      <c r="AD10" s="3261"/>
      <c r="AE10" s="3261"/>
      <c r="AF10" s="3261"/>
      <c r="AG10" s="3261"/>
      <c r="AH10" s="3261"/>
      <c r="AI10" s="3261"/>
      <c r="AJ10" s="3261"/>
      <c r="AK10" s="3261"/>
      <c r="AL10" s="3261"/>
      <c r="AM10" s="3261"/>
      <c r="AN10" s="3261"/>
      <c r="AO10" s="3261"/>
      <c r="AP10" s="3261"/>
      <c r="AQ10" s="3261">
        <v>1</v>
      </c>
      <c r="AR10" s="161"/>
      <c r="AS10" s="161"/>
      <c r="AT10" s="161">
        <v>1</v>
      </c>
      <c r="AU10" s="73"/>
      <c r="AY10" s="73" t="s">
        <v>572</v>
      </c>
      <c r="AZ10" s="73" t="s">
        <v>1289</v>
      </c>
      <c r="BA10" s="2607"/>
      <c r="BB10" s="2607"/>
      <c r="BC10" s="2607"/>
      <c r="BD10" s="2607"/>
      <c r="BE10" s="2607"/>
      <c r="BF10" s="2607"/>
      <c r="BG10" s="2607">
        <v>1</v>
      </c>
      <c r="BH10" s="2607">
        <v>0</v>
      </c>
      <c r="BI10" s="2607"/>
      <c r="BJ10" s="2607">
        <v>0</v>
      </c>
      <c r="BK10" s="2607"/>
      <c r="BL10" s="2607"/>
      <c r="BM10" s="2607"/>
      <c r="BN10" s="2607"/>
      <c r="BO10" s="2607"/>
      <c r="BP10" s="73"/>
      <c r="BQ10" s="73"/>
      <c r="BR10" s="73">
        <v>1</v>
      </c>
      <c r="BS10" s="73"/>
      <c r="BU10" s="2207"/>
      <c r="BV10" s="2207"/>
      <c r="BW10" s="2207" t="s">
        <v>572</v>
      </c>
      <c r="BX10" s="2208" t="s">
        <v>1292</v>
      </c>
      <c r="BY10" s="2209"/>
      <c r="BZ10" s="2209"/>
      <c r="CA10" s="2209"/>
      <c r="CB10" s="2209"/>
      <c r="CC10" s="2209"/>
      <c r="CD10" s="2209"/>
      <c r="CE10" s="2210">
        <v>0</v>
      </c>
      <c r="CF10" s="2210">
        <v>0</v>
      </c>
      <c r="CG10" s="2209"/>
      <c r="CH10" s="2209"/>
      <c r="CI10" s="2209"/>
      <c r="CJ10" s="2210">
        <v>1</v>
      </c>
      <c r="CK10" s="2210">
        <v>1</v>
      </c>
      <c r="CL10" s="2211"/>
      <c r="CM10" s="2211"/>
      <c r="CN10" s="2212">
        <v>2</v>
      </c>
      <c r="CO10" s="73"/>
      <c r="CQ10" s="955"/>
      <c r="CR10" s="955"/>
      <c r="CS10" s="955"/>
      <c r="CT10" s="974" t="s">
        <v>15</v>
      </c>
      <c r="CU10" s="975"/>
      <c r="CV10" s="975"/>
      <c r="CW10" s="975"/>
      <c r="CX10" s="975"/>
      <c r="CY10" s="975"/>
      <c r="CZ10" s="976">
        <v>1</v>
      </c>
      <c r="DA10" s="976">
        <v>1</v>
      </c>
      <c r="DB10" s="975"/>
      <c r="DC10" s="975"/>
      <c r="DD10" s="975"/>
      <c r="DE10" s="976">
        <v>1</v>
      </c>
      <c r="DF10" s="976">
        <v>2</v>
      </c>
      <c r="DG10" s="975"/>
      <c r="DH10" s="975"/>
      <c r="DI10" s="975"/>
      <c r="DJ10" s="977"/>
      <c r="DK10" s="977"/>
      <c r="DL10" s="978">
        <v>5</v>
      </c>
      <c r="DM10" s="912">
        <f>+(DL8+DL9)/DL10</f>
        <v>0.8</v>
      </c>
      <c r="DO10" s="788"/>
      <c r="DP10" s="788"/>
      <c r="DQ10" s="788" t="s">
        <v>117</v>
      </c>
      <c r="DR10" s="788" t="s">
        <v>1282</v>
      </c>
      <c r="DS10" s="789" t="s">
        <v>1284</v>
      </c>
      <c r="DT10" s="962">
        <v>1</v>
      </c>
      <c r="DU10" s="961"/>
      <c r="DV10" s="961"/>
      <c r="DW10" s="962">
        <v>1</v>
      </c>
      <c r="DX10" s="961"/>
      <c r="DY10" s="961"/>
      <c r="DZ10" s="961"/>
      <c r="EA10" s="961"/>
      <c r="EB10" s="961"/>
      <c r="EC10" s="961"/>
      <c r="ED10" s="961"/>
      <c r="EE10" s="961"/>
      <c r="EF10" s="961"/>
      <c r="EG10" s="961"/>
      <c r="EH10" s="962">
        <v>0</v>
      </c>
      <c r="EI10" s="963"/>
      <c r="EJ10" s="963"/>
      <c r="EK10" s="964">
        <v>2</v>
      </c>
      <c r="EL10" s="912"/>
      <c r="EM10" s="73"/>
      <c r="EN10" s="965"/>
      <c r="EO10" s="965"/>
      <c r="EP10" s="965"/>
      <c r="EQ10" s="734" t="s">
        <v>1292</v>
      </c>
      <c r="ER10" s="966"/>
      <c r="ES10" s="966"/>
      <c r="ET10" s="966"/>
      <c r="EU10" s="735">
        <v>0</v>
      </c>
      <c r="EV10" s="735">
        <v>0</v>
      </c>
      <c r="EW10" s="735">
        <v>0</v>
      </c>
      <c r="EX10" s="735">
        <v>0</v>
      </c>
      <c r="EY10" s="735">
        <v>0</v>
      </c>
      <c r="EZ10" s="735">
        <v>0</v>
      </c>
      <c r="FA10" s="735">
        <v>0</v>
      </c>
      <c r="FB10" s="735">
        <v>2</v>
      </c>
      <c r="FC10" s="966"/>
      <c r="FD10" s="966"/>
      <c r="FE10" s="735">
        <v>2</v>
      </c>
      <c r="FF10" s="967"/>
      <c r="FG10" s="73"/>
      <c r="FH10" s="73"/>
      <c r="FI10" s="161"/>
      <c r="FJ10" s="161"/>
      <c r="FK10" s="73"/>
      <c r="FL10" s="73" t="s">
        <v>1292</v>
      </c>
      <c r="FM10" s="161"/>
      <c r="FN10" s="161"/>
      <c r="FO10" s="161">
        <v>0</v>
      </c>
      <c r="FP10" s="161"/>
      <c r="FQ10" s="161"/>
      <c r="FR10" s="161">
        <v>0</v>
      </c>
      <c r="FS10" s="161"/>
      <c r="FT10" s="161"/>
      <c r="FU10" s="161">
        <v>0</v>
      </c>
      <c r="FV10" s="161">
        <v>0</v>
      </c>
      <c r="FW10" s="161">
        <v>1</v>
      </c>
      <c r="FX10" s="161">
        <v>0</v>
      </c>
      <c r="FY10" s="161">
        <v>0</v>
      </c>
      <c r="FZ10" s="161"/>
      <c r="GA10" s="161"/>
      <c r="GB10" s="161"/>
      <c r="GC10" s="161">
        <v>1</v>
      </c>
      <c r="GD10" s="73"/>
      <c r="GE10" s="73"/>
      <c r="GF10" s="968"/>
      <c r="GG10" s="968"/>
      <c r="GH10" s="968"/>
      <c r="GI10" s="979" t="s">
        <v>15</v>
      </c>
      <c r="GJ10" s="979">
        <v>0</v>
      </c>
      <c r="GK10" s="979">
        <v>0</v>
      </c>
      <c r="GL10" s="979">
        <v>0</v>
      </c>
      <c r="GM10" s="979">
        <v>0</v>
      </c>
      <c r="GN10" s="979">
        <v>0</v>
      </c>
      <c r="GO10" s="979">
        <v>0</v>
      </c>
      <c r="GP10" s="979">
        <v>0</v>
      </c>
      <c r="GQ10" s="979">
        <v>0</v>
      </c>
      <c r="GR10" s="979">
        <v>1</v>
      </c>
      <c r="GS10" s="979">
        <v>0</v>
      </c>
      <c r="GT10" s="979">
        <v>1</v>
      </c>
      <c r="GU10" s="979">
        <v>3</v>
      </c>
      <c r="GV10" s="979">
        <v>1</v>
      </c>
      <c r="GW10" s="979">
        <v>0</v>
      </c>
      <c r="GX10" s="979">
        <v>0</v>
      </c>
      <c r="GY10" s="979">
        <v>0</v>
      </c>
      <c r="GZ10" s="979">
        <v>6</v>
      </c>
      <c r="HA10" s="980">
        <f>+(GZ9+GZ7)/GZ10</f>
        <v>0.83333333333333337</v>
      </c>
      <c r="HB10" s="969">
        <f>+GZ7+GZ9</f>
        <v>5</v>
      </c>
    </row>
    <row r="11" spans="1:210">
      <c r="A11" s="73"/>
      <c r="B11" s="73"/>
      <c r="C11" s="73" t="s">
        <v>2713</v>
      </c>
      <c r="D11" s="73" t="s">
        <v>1284</v>
      </c>
      <c r="E11" s="967"/>
      <c r="F11" s="967"/>
      <c r="G11" s="967"/>
      <c r="H11" s="967"/>
      <c r="I11" s="967">
        <v>1</v>
      </c>
      <c r="J11" s="967"/>
      <c r="K11" s="967"/>
      <c r="L11" s="967"/>
      <c r="M11" s="967"/>
      <c r="N11" s="967">
        <v>0</v>
      </c>
      <c r="O11" s="967"/>
      <c r="P11" s="967">
        <v>0</v>
      </c>
      <c r="Q11" s="967"/>
      <c r="R11" s="967">
        <v>1</v>
      </c>
      <c r="S11" s="967"/>
      <c r="T11" s="73"/>
      <c r="U11" s="73"/>
      <c r="V11" s="73">
        <v>2</v>
      </c>
      <c r="W11" s="73"/>
      <c r="Y11" s="73"/>
      <c r="Z11" s="73"/>
      <c r="AA11" s="73"/>
      <c r="AB11" s="738" t="s">
        <v>15</v>
      </c>
      <c r="AC11" s="3262"/>
      <c r="AD11" s="3262"/>
      <c r="AE11" s="3262"/>
      <c r="AF11" s="3262"/>
      <c r="AG11" s="3262"/>
      <c r="AH11" s="3262"/>
      <c r="AI11" s="3262"/>
      <c r="AJ11" s="3262"/>
      <c r="AK11" s="3262"/>
      <c r="AL11" s="3262"/>
      <c r="AM11" s="3262"/>
      <c r="AN11" s="3262"/>
      <c r="AO11" s="3262"/>
      <c r="AP11" s="3262"/>
      <c r="AQ11" s="3262">
        <v>1</v>
      </c>
      <c r="AR11" s="151"/>
      <c r="AS11" s="151"/>
      <c r="AT11" s="151">
        <v>1</v>
      </c>
      <c r="AU11" s="912">
        <v>0</v>
      </c>
      <c r="AY11" s="73"/>
      <c r="AZ11" s="73" t="s">
        <v>1398</v>
      </c>
      <c r="BA11" s="2607"/>
      <c r="BB11" s="2607"/>
      <c r="BC11" s="2607"/>
      <c r="BD11" s="2607"/>
      <c r="BE11" s="2607"/>
      <c r="BF11" s="2607"/>
      <c r="BG11" s="2607">
        <v>1</v>
      </c>
      <c r="BH11" s="2607">
        <v>2</v>
      </c>
      <c r="BI11" s="2607"/>
      <c r="BJ11" s="2607">
        <v>1</v>
      </c>
      <c r="BK11" s="2607"/>
      <c r="BL11" s="2607"/>
      <c r="BM11" s="2607"/>
      <c r="BN11" s="2607"/>
      <c r="BO11" s="2607"/>
      <c r="BP11" s="73"/>
      <c r="BQ11" s="73"/>
      <c r="BR11" s="73">
        <v>4</v>
      </c>
      <c r="BS11" s="73"/>
      <c r="BU11" s="2207"/>
      <c r="BV11" s="2207"/>
      <c r="BW11" s="2207"/>
      <c r="BX11" s="2208" t="s">
        <v>1398</v>
      </c>
      <c r="BY11" s="2209"/>
      <c r="BZ11" s="2209"/>
      <c r="CA11" s="2209"/>
      <c r="CB11" s="2209"/>
      <c r="CC11" s="2209"/>
      <c r="CD11" s="2209"/>
      <c r="CE11" s="2210">
        <v>2</v>
      </c>
      <c r="CF11" s="2210">
        <v>3</v>
      </c>
      <c r="CG11" s="2209"/>
      <c r="CH11" s="2209"/>
      <c r="CI11" s="2209"/>
      <c r="CJ11" s="2210">
        <v>0</v>
      </c>
      <c r="CK11" s="2210">
        <v>0</v>
      </c>
      <c r="CL11" s="2211"/>
      <c r="CM11" s="2211"/>
      <c r="CN11" s="2212">
        <v>5</v>
      </c>
      <c r="CO11" s="73"/>
      <c r="CQ11" s="955"/>
      <c r="CR11" s="955"/>
      <c r="CS11" s="955" t="s">
        <v>572</v>
      </c>
      <c r="CT11" s="956" t="s">
        <v>1289</v>
      </c>
      <c r="CU11" s="957"/>
      <c r="CV11" s="957"/>
      <c r="CW11" s="957"/>
      <c r="CX11" s="957"/>
      <c r="CY11" s="957"/>
      <c r="CZ11" s="958">
        <v>1</v>
      </c>
      <c r="DA11" s="958">
        <v>0</v>
      </c>
      <c r="DB11" s="957"/>
      <c r="DC11" s="957"/>
      <c r="DD11" s="957"/>
      <c r="DE11" s="958">
        <v>0</v>
      </c>
      <c r="DF11" s="958">
        <v>0</v>
      </c>
      <c r="DG11" s="957"/>
      <c r="DH11" s="957"/>
      <c r="DI11" s="957"/>
      <c r="DJ11" s="959"/>
      <c r="DK11" s="959"/>
      <c r="DL11" s="960">
        <v>1</v>
      </c>
      <c r="DM11" s="161"/>
      <c r="DO11" s="788"/>
      <c r="DP11" s="788"/>
      <c r="DQ11" s="788"/>
      <c r="DR11" s="788"/>
      <c r="DS11" s="789" t="s">
        <v>1292</v>
      </c>
      <c r="DT11" s="962">
        <v>0</v>
      </c>
      <c r="DU11" s="961"/>
      <c r="DV11" s="961"/>
      <c r="DW11" s="962">
        <v>0</v>
      </c>
      <c r="DX11" s="961"/>
      <c r="DY11" s="961"/>
      <c r="DZ11" s="961"/>
      <c r="EA11" s="961"/>
      <c r="EB11" s="961"/>
      <c r="EC11" s="961"/>
      <c r="ED11" s="961"/>
      <c r="EE11" s="961"/>
      <c r="EF11" s="961"/>
      <c r="EG11" s="961"/>
      <c r="EH11" s="962">
        <v>1</v>
      </c>
      <c r="EI11" s="963"/>
      <c r="EJ11" s="963"/>
      <c r="EK11" s="964">
        <v>1</v>
      </c>
      <c r="EL11" s="912"/>
      <c r="EM11" s="73"/>
      <c r="EN11" s="965"/>
      <c r="EO11" s="965"/>
      <c r="EP11" s="965"/>
      <c r="EQ11" s="734" t="s">
        <v>1293</v>
      </c>
      <c r="ER11" s="966"/>
      <c r="ES11" s="966"/>
      <c r="ET11" s="966"/>
      <c r="EU11" s="735">
        <v>0</v>
      </c>
      <c r="EV11" s="735">
        <v>0</v>
      </c>
      <c r="EW11" s="735">
        <v>1</v>
      </c>
      <c r="EX11" s="735">
        <v>0</v>
      </c>
      <c r="EY11" s="735">
        <v>0</v>
      </c>
      <c r="EZ11" s="735">
        <v>0</v>
      </c>
      <c r="FA11" s="735">
        <v>0</v>
      </c>
      <c r="FB11" s="735">
        <v>0</v>
      </c>
      <c r="FC11" s="966"/>
      <c r="FD11" s="966"/>
      <c r="FE11" s="735">
        <v>1</v>
      </c>
      <c r="FF11" s="967"/>
      <c r="FG11" s="73"/>
      <c r="FH11" s="73"/>
      <c r="FI11" s="161"/>
      <c r="FJ11" s="161"/>
      <c r="FK11" s="73"/>
      <c r="FL11" s="73" t="s">
        <v>1293</v>
      </c>
      <c r="FM11" s="161"/>
      <c r="FN11" s="161"/>
      <c r="FO11" s="161">
        <v>0</v>
      </c>
      <c r="FP11" s="161"/>
      <c r="FQ11" s="161"/>
      <c r="FR11" s="161">
        <v>0</v>
      </c>
      <c r="FS11" s="161"/>
      <c r="FT11" s="161"/>
      <c r="FU11" s="161">
        <v>0</v>
      </c>
      <c r="FV11" s="161">
        <v>2</v>
      </c>
      <c r="FW11" s="161">
        <v>1</v>
      </c>
      <c r="FX11" s="161">
        <v>0</v>
      </c>
      <c r="FY11" s="161">
        <v>0</v>
      </c>
      <c r="FZ11" s="161"/>
      <c r="GA11" s="161"/>
      <c r="GB11" s="161"/>
      <c r="GC11" s="161">
        <v>3</v>
      </c>
      <c r="GD11" s="73"/>
      <c r="GE11" s="73"/>
      <c r="GF11" s="968"/>
      <c r="GG11" s="968"/>
      <c r="GH11" s="968" t="s">
        <v>117</v>
      </c>
      <c r="GI11" s="968" t="s">
        <v>1286</v>
      </c>
      <c r="GJ11" s="968">
        <v>0</v>
      </c>
      <c r="GK11" s="968">
        <v>0</v>
      </c>
      <c r="GL11" s="968">
        <v>1</v>
      </c>
      <c r="GM11" s="968">
        <v>0</v>
      </c>
      <c r="GN11" s="968">
        <v>0</v>
      </c>
      <c r="GO11" s="968">
        <v>0</v>
      </c>
      <c r="GP11" s="968">
        <v>0</v>
      </c>
      <c r="GQ11" s="968">
        <v>0</v>
      </c>
      <c r="GR11" s="968">
        <v>0</v>
      </c>
      <c r="GS11" s="968">
        <v>0</v>
      </c>
      <c r="GT11" s="968">
        <v>0</v>
      </c>
      <c r="GU11" s="968">
        <v>0</v>
      </c>
      <c r="GV11" s="968">
        <v>0</v>
      </c>
      <c r="GW11" s="968">
        <v>0</v>
      </c>
      <c r="GX11" s="968">
        <v>0</v>
      </c>
      <c r="GY11" s="968">
        <v>0</v>
      </c>
      <c r="GZ11" s="968">
        <v>1</v>
      </c>
      <c r="HA11" s="968"/>
      <c r="HB11" s="969"/>
    </row>
    <row r="12" spans="1:210">
      <c r="A12" s="73"/>
      <c r="B12" s="73"/>
      <c r="C12" s="73"/>
      <c r="D12" s="73" t="s">
        <v>1288</v>
      </c>
      <c r="E12" s="967"/>
      <c r="F12" s="967"/>
      <c r="G12" s="967"/>
      <c r="H12" s="967"/>
      <c r="I12" s="967">
        <v>0</v>
      </c>
      <c r="J12" s="967"/>
      <c r="K12" s="967"/>
      <c r="L12" s="967"/>
      <c r="M12" s="967"/>
      <c r="N12" s="967">
        <v>1</v>
      </c>
      <c r="O12" s="967"/>
      <c r="P12" s="967">
        <v>0</v>
      </c>
      <c r="Q12" s="967"/>
      <c r="R12" s="967">
        <v>0</v>
      </c>
      <c r="S12" s="967"/>
      <c r="T12" s="73"/>
      <c r="U12" s="73"/>
      <c r="V12" s="73">
        <v>1</v>
      </c>
      <c r="W12" s="73"/>
      <c r="Y12" s="73"/>
      <c r="Z12" s="73"/>
      <c r="AA12" s="73" t="s">
        <v>708</v>
      </c>
      <c r="AB12" s="73" t="s">
        <v>1284</v>
      </c>
      <c r="AC12" s="3261"/>
      <c r="AD12" s="3261"/>
      <c r="AE12" s="3261"/>
      <c r="AF12" s="3261"/>
      <c r="AG12" s="3261"/>
      <c r="AH12" s="3261"/>
      <c r="AI12" s="3261"/>
      <c r="AJ12" s="3261"/>
      <c r="AK12" s="3261"/>
      <c r="AL12" s="3261">
        <v>1</v>
      </c>
      <c r="AM12" s="3261"/>
      <c r="AN12" s="3261">
        <v>1</v>
      </c>
      <c r="AO12" s="3261"/>
      <c r="AP12" s="3261"/>
      <c r="AQ12" s="3261"/>
      <c r="AR12" s="161"/>
      <c r="AS12" s="161"/>
      <c r="AT12" s="161">
        <v>2</v>
      </c>
      <c r="AU12" s="73"/>
      <c r="AY12" s="73"/>
      <c r="AZ12" s="738" t="s">
        <v>572</v>
      </c>
      <c r="BA12" s="2608"/>
      <c r="BB12" s="2608"/>
      <c r="BC12" s="2608"/>
      <c r="BD12" s="2608"/>
      <c r="BE12" s="2608"/>
      <c r="BF12" s="2608"/>
      <c r="BG12" s="2608">
        <v>2</v>
      </c>
      <c r="BH12" s="2608">
        <v>2</v>
      </c>
      <c r="BI12" s="2608"/>
      <c r="BJ12" s="2608">
        <v>1</v>
      </c>
      <c r="BK12" s="2608"/>
      <c r="BL12" s="2608"/>
      <c r="BM12" s="2608"/>
      <c r="BN12" s="2608"/>
      <c r="BO12" s="2608"/>
      <c r="BP12" s="738"/>
      <c r="BQ12" s="738"/>
      <c r="BR12" s="738">
        <v>5</v>
      </c>
      <c r="BS12" s="912">
        <f>+BR11/BR12</f>
        <v>0.8</v>
      </c>
      <c r="BU12" s="2207"/>
      <c r="BV12" s="2207"/>
      <c r="BW12" s="2207"/>
      <c r="BX12" s="2204" t="s">
        <v>572</v>
      </c>
      <c r="BY12" s="2213"/>
      <c r="BZ12" s="2213"/>
      <c r="CA12" s="2213"/>
      <c r="CB12" s="2213"/>
      <c r="CC12" s="2213"/>
      <c r="CD12" s="2213"/>
      <c r="CE12" s="2214">
        <v>2</v>
      </c>
      <c r="CF12" s="2214">
        <v>3</v>
      </c>
      <c r="CG12" s="2213"/>
      <c r="CH12" s="2213"/>
      <c r="CI12" s="2213"/>
      <c r="CJ12" s="2214">
        <v>1</v>
      </c>
      <c r="CK12" s="2214">
        <v>1</v>
      </c>
      <c r="CL12" s="2215"/>
      <c r="CM12" s="2215"/>
      <c r="CN12" s="2216">
        <v>7</v>
      </c>
      <c r="CO12" s="2154">
        <f>+CN11/CN12</f>
        <v>0.7142857142857143</v>
      </c>
      <c r="CQ12" s="955"/>
      <c r="CR12" s="955"/>
      <c r="CS12" s="955"/>
      <c r="CT12" s="956" t="s">
        <v>1293</v>
      </c>
      <c r="CU12" s="957"/>
      <c r="CV12" s="957"/>
      <c r="CW12" s="957"/>
      <c r="CX12" s="957"/>
      <c r="CY12" s="957"/>
      <c r="CZ12" s="958">
        <v>0</v>
      </c>
      <c r="DA12" s="958">
        <v>0</v>
      </c>
      <c r="DB12" s="957"/>
      <c r="DC12" s="957"/>
      <c r="DD12" s="957"/>
      <c r="DE12" s="958">
        <v>0</v>
      </c>
      <c r="DF12" s="958">
        <v>1</v>
      </c>
      <c r="DG12" s="957"/>
      <c r="DH12" s="957"/>
      <c r="DI12" s="957"/>
      <c r="DJ12" s="959"/>
      <c r="DK12" s="959"/>
      <c r="DL12" s="960">
        <v>1</v>
      </c>
      <c r="DM12" s="161"/>
      <c r="DO12" s="788"/>
      <c r="DP12" s="788"/>
      <c r="DQ12" s="788"/>
      <c r="DR12" s="73"/>
      <c r="DS12" s="809" t="s">
        <v>15</v>
      </c>
      <c r="DT12" s="971">
        <v>1</v>
      </c>
      <c r="DU12" s="970"/>
      <c r="DV12" s="970"/>
      <c r="DW12" s="971">
        <v>1</v>
      </c>
      <c r="DX12" s="970"/>
      <c r="DY12" s="970"/>
      <c r="DZ12" s="970"/>
      <c r="EA12" s="970"/>
      <c r="EB12" s="970"/>
      <c r="EC12" s="970"/>
      <c r="ED12" s="970"/>
      <c r="EE12" s="970"/>
      <c r="EF12" s="970"/>
      <c r="EG12" s="970"/>
      <c r="EH12" s="971">
        <v>1</v>
      </c>
      <c r="EI12" s="972"/>
      <c r="EJ12" s="972"/>
      <c r="EK12" s="973">
        <v>3</v>
      </c>
      <c r="EL12" s="912">
        <v>0</v>
      </c>
      <c r="EM12" s="73"/>
      <c r="EN12" s="965"/>
      <c r="EO12" s="965"/>
      <c r="EP12" s="965"/>
      <c r="EQ12" s="734" t="s">
        <v>1398</v>
      </c>
      <c r="ER12" s="966"/>
      <c r="ES12" s="966"/>
      <c r="ET12" s="966"/>
      <c r="EU12" s="735">
        <v>0</v>
      </c>
      <c r="EV12" s="735">
        <v>0</v>
      </c>
      <c r="EW12" s="735">
        <v>1</v>
      </c>
      <c r="EX12" s="735">
        <v>0</v>
      </c>
      <c r="EY12" s="735">
        <v>0</v>
      </c>
      <c r="EZ12" s="735">
        <v>0</v>
      </c>
      <c r="FA12" s="735">
        <v>0</v>
      </c>
      <c r="FB12" s="735">
        <v>0</v>
      </c>
      <c r="FC12" s="966"/>
      <c r="FD12" s="966"/>
      <c r="FE12" s="735">
        <v>1</v>
      </c>
      <c r="FF12" s="967"/>
      <c r="FG12" s="73"/>
      <c r="FH12" s="73"/>
      <c r="FI12" s="161"/>
      <c r="FJ12" s="161"/>
      <c r="FK12" s="73"/>
      <c r="FL12" s="73" t="s">
        <v>1398</v>
      </c>
      <c r="FM12" s="161"/>
      <c r="FN12" s="161"/>
      <c r="FO12" s="161">
        <v>0</v>
      </c>
      <c r="FP12" s="161"/>
      <c r="FQ12" s="161"/>
      <c r="FR12" s="161">
        <v>0</v>
      </c>
      <c r="FS12" s="161"/>
      <c r="FT12" s="161"/>
      <c r="FU12" s="161">
        <v>0</v>
      </c>
      <c r="FV12" s="161">
        <v>1</v>
      </c>
      <c r="FW12" s="161">
        <v>0</v>
      </c>
      <c r="FX12" s="161">
        <v>0</v>
      </c>
      <c r="FY12" s="161">
        <v>1</v>
      </c>
      <c r="FZ12" s="161"/>
      <c r="GA12" s="161"/>
      <c r="GB12" s="161"/>
      <c r="GC12" s="161">
        <v>2</v>
      </c>
      <c r="GD12" s="73"/>
      <c r="GE12" s="73"/>
      <c r="GF12" s="968"/>
      <c r="GG12" s="968"/>
      <c r="GH12" s="968"/>
      <c r="GI12" s="968" t="s">
        <v>1288</v>
      </c>
      <c r="GJ12" s="968">
        <v>0</v>
      </c>
      <c r="GK12" s="968">
        <v>0</v>
      </c>
      <c r="GL12" s="968">
        <v>0</v>
      </c>
      <c r="GM12" s="968">
        <v>0</v>
      </c>
      <c r="GN12" s="968">
        <v>0</v>
      </c>
      <c r="GO12" s="968">
        <v>0</v>
      </c>
      <c r="GP12" s="968">
        <v>0</v>
      </c>
      <c r="GQ12" s="968">
        <v>0</v>
      </c>
      <c r="GR12" s="968">
        <v>0</v>
      </c>
      <c r="GS12" s="968">
        <v>0</v>
      </c>
      <c r="GT12" s="968">
        <v>0</v>
      </c>
      <c r="GU12" s="968">
        <v>0</v>
      </c>
      <c r="GV12" s="968">
        <v>1</v>
      </c>
      <c r="GW12" s="968">
        <v>0</v>
      </c>
      <c r="GX12" s="968">
        <v>0</v>
      </c>
      <c r="GY12" s="968">
        <v>0</v>
      </c>
      <c r="GZ12" s="968">
        <v>1</v>
      </c>
      <c r="HA12" s="968"/>
      <c r="HB12" s="969"/>
    </row>
    <row r="13" spans="1:210">
      <c r="A13" s="73"/>
      <c r="B13" s="73"/>
      <c r="C13" s="73"/>
      <c r="D13" s="73" t="s">
        <v>1293</v>
      </c>
      <c r="E13" s="967"/>
      <c r="F13" s="967"/>
      <c r="G13" s="967"/>
      <c r="H13" s="967"/>
      <c r="I13" s="967">
        <v>0</v>
      </c>
      <c r="J13" s="967"/>
      <c r="K13" s="967"/>
      <c r="L13" s="967"/>
      <c r="M13" s="967"/>
      <c r="N13" s="967">
        <v>3</v>
      </c>
      <c r="O13" s="967"/>
      <c r="P13" s="967">
        <v>1</v>
      </c>
      <c r="Q13" s="967"/>
      <c r="R13" s="967">
        <v>0</v>
      </c>
      <c r="S13" s="967"/>
      <c r="T13" s="73"/>
      <c r="U13" s="73"/>
      <c r="V13" s="73">
        <v>4</v>
      </c>
      <c r="W13" s="73"/>
      <c r="Y13" s="73"/>
      <c r="Z13" s="73"/>
      <c r="AA13" s="73"/>
      <c r="AB13" s="73" t="s">
        <v>1288</v>
      </c>
      <c r="AC13" s="3261"/>
      <c r="AD13" s="3261"/>
      <c r="AE13" s="3261"/>
      <c r="AF13" s="3261"/>
      <c r="AG13" s="3261"/>
      <c r="AH13" s="3261"/>
      <c r="AI13" s="3261"/>
      <c r="AJ13" s="3261"/>
      <c r="AK13" s="3261"/>
      <c r="AL13" s="3261">
        <v>1</v>
      </c>
      <c r="AM13" s="3261"/>
      <c r="AN13" s="3261">
        <v>0</v>
      </c>
      <c r="AO13" s="3261"/>
      <c r="AP13" s="3261"/>
      <c r="AQ13" s="3261"/>
      <c r="AR13" s="161"/>
      <c r="AS13" s="161"/>
      <c r="AT13" s="161">
        <v>1</v>
      </c>
      <c r="AU13" s="73"/>
      <c r="AX13" s="161" t="s">
        <v>16</v>
      </c>
      <c r="AY13" s="73" t="s">
        <v>119</v>
      </c>
      <c r="AZ13" s="73" t="s">
        <v>1283</v>
      </c>
      <c r="BA13" s="2607"/>
      <c r="BB13" s="2607"/>
      <c r="BC13" s="2607">
        <v>0</v>
      </c>
      <c r="BD13" s="2607"/>
      <c r="BE13" s="2607"/>
      <c r="BF13" s="2607"/>
      <c r="BG13" s="2607"/>
      <c r="BH13" s="2607"/>
      <c r="BI13" s="2607"/>
      <c r="BJ13" s="2607">
        <v>0</v>
      </c>
      <c r="BK13" s="2607">
        <v>1</v>
      </c>
      <c r="BL13" s="2607">
        <v>1</v>
      </c>
      <c r="BM13" s="2607">
        <v>1</v>
      </c>
      <c r="BN13" s="2607">
        <v>2</v>
      </c>
      <c r="BO13" s="2607">
        <v>1</v>
      </c>
      <c r="BP13" s="73"/>
      <c r="BQ13" s="73"/>
      <c r="BR13" s="73">
        <v>6</v>
      </c>
      <c r="BS13" s="73"/>
      <c r="BU13" s="2207"/>
      <c r="BV13" s="2207" t="s">
        <v>16</v>
      </c>
      <c r="BW13" s="2207" t="s">
        <v>120</v>
      </c>
      <c r="BX13" s="2208" t="s">
        <v>1284</v>
      </c>
      <c r="BY13" s="2209"/>
      <c r="BZ13" s="2209"/>
      <c r="CA13" s="2209"/>
      <c r="CB13" s="2209"/>
      <c r="CC13" s="2209"/>
      <c r="CD13" s="2209"/>
      <c r="CE13" s="2209"/>
      <c r="CF13" s="2209"/>
      <c r="CG13" s="2209"/>
      <c r="CH13" s="2209"/>
      <c r="CI13" s="2210">
        <v>4</v>
      </c>
      <c r="CJ13" s="2210">
        <v>1</v>
      </c>
      <c r="CK13" s="2210">
        <v>0</v>
      </c>
      <c r="CL13" s="2211"/>
      <c r="CM13" s="2211"/>
      <c r="CN13" s="2212">
        <v>5</v>
      </c>
      <c r="CO13" s="73"/>
      <c r="CQ13" s="955"/>
      <c r="CR13" s="955"/>
      <c r="CS13" s="955"/>
      <c r="CT13" s="956" t="s">
        <v>1398</v>
      </c>
      <c r="CU13" s="957"/>
      <c r="CV13" s="957"/>
      <c r="CW13" s="957"/>
      <c r="CX13" s="957"/>
      <c r="CY13" s="957"/>
      <c r="CZ13" s="958">
        <v>0</v>
      </c>
      <c r="DA13" s="958">
        <v>1</v>
      </c>
      <c r="DB13" s="957"/>
      <c r="DC13" s="957"/>
      <c r="DD13" s="957"/>
      <c r="DE13" s="958">
        <v>1</v>
      </c>
      <c r="DF13" s="958">
        <v>1</v>
      </c>
      <c r="DG13" s="957"/>
      <c r="DH13" s="957"/>
      <c r="DI13" s="957"/>
      <c r="DJ13" s="959"/>
      <c r="DK13" s="959"/>
      <c r="DL13" s="960">
        <v>3</v>
      </c>
      <c r="DM13" s="161"/>
      <c r="DO13" s="788"/>
      <c r="DP13" s="788"/>
      <c r="DQ13" s="809" t="s">
        <v>572</v>
      </c>
      <c r="DR13" s="788" t="s">
        <v>1282</v>
      </c>
      <c r="DS13" s="789" t="s">
        <v>1284</v>
      </c>
      <c r="DT13" s="962">
        <v>1</v>
      </c>
      <c r="DU13" s="961"/>
      <c r="DV13" s="961"/>
      <c r="DW13" s="962">
        <v>1</v>
      </c>
      <c r="DX13" s="961"/>
      <c r="DY13" s="961"/>
      <c r="DZ13" s="961"/>
      <c r="EA13" s="961"/>
      <c r="EB13" s="961"/>
      <c r="EC13" s="961"/>
      <c r="ED13" s="962">
        <v>0</v>
      </c>
      <c r="EE13" s="961"/>
      <c r="EF13" s="961"/>
      <c r="EG13" s="962">
        <v>0</v>
      </c>
      <c r="EH13" s="962">
        <v>0</v>
      </c>
      <c r="EI13" s="963"/>
      <c r="EJ13" s="963"/>
      <c r="EK13" s="964">
        <v>2</v>
      </c>
      <c r="EL13" s="912"/>
      <c r="EM13" s="73"/>
      <c r="EN13" s="965"/>
      <c r="EO13" s="965"/>
      <c r="EP13" s="965"/>
      <c r="EQ13" s="981" t="s">
        <v>15</v>
      </c>
      <c r="ER13" s="982"/>
      <c r="ES13" s="982"/>
      <c r="ET13" s="982"/>
      <c r="EU13" s="740">
        <v>1</v>
      </c>
      <c r="EV13" s="740">
        <v>2</v>
      </c>
      <c r="EW13" s="740">
        <v>2</v>
      </c>
      <c r="EX13" s="740">
        <v>1</v>
      </c>
      <c r="EY13" s="740">
        <v>1</v>
      </c>
      <c r="EZ13" s="740">
        <v>1</v>
      </c>
      <c r="FA13" s="740">
        <v>1</v>
      </c>
      <c r="FB13" s="740">
        <v>2</v>
      </c>
      <c r="FC13" s="982"/>
      <c r="FD13" s="982"/>
      <c r="FE13" s="740">
        <v>11</v>
      </c>
      <c r="FF13" s="905">
        <f>+(FE12+FE11+FE8)/FE13</f>
        <v>0.27272727272727271</v>
      </c>
      <c r="FG13" s="73"/>
      <c r="FH13" s="73"/>
      <c r="FI13" s="161"/>
      <c r="FJ13" s="161"/>
      <c r="FK13" s="73"/>
      <c r="FL13" s="738" t="s">
        <v>15</v>
      </c>
      <c r="FM13" s="151"/>
      <c r="FN13" s="151"/>
      <c r="FO13" s="151">
        <v>1</v>
      </c>
      <c r="FP13" s="151"/>
      <c r="FQ13" s="151"/>
      <c r="FR13" s="151">
        <v>1</v>
      </c>
      <c r="FS13" s="151"/>
      <c r="FT13" s="151"/>
      <c r="FU13" s="151">
        <v>1</v>
      </c>
      <c r="FV13" s="151">
        <v>3</v>
      </c>
      <c r="FW13" s="151">
        <v>2</v>
      </c>
      <c r="FX13" s="151">
        <v>3</v>
      </c>
      <c r="FY13" s="151">
        <v>1</v>
      </c>
      <c r="FZ13" s="151"/>
      <c r="GA13" s="151"/>
      <c r="GB13" s="151"/>
      <c r="GC13" s="151">
        <v>12</v>
      </c>
      <c r="GD13" s="983">
        <f>+(GC8+GC11+GC12)/GC13</f>
        <v>0.5</v>
      </c>
      <c r="GE13" s="73"/>
      <c r="GF13" s="968"/>
      <c r="GG13" s="968"/>
      <c r="GH13" s="968"/>
      <c r="GI13" s="968" t="s">
        <v>1289</v>
      </c>
      <c r="GJ13" s="968">
        <v>0</v>
      </c>
      <c r="GK13" s="968">
        <v>0</v>
      </c>
      <c r="GL13" s="968">
        <v>0</v>
      </c>
      <c r="GM13" s="968">
        <v>0</v>
      </c>
      <c r="GN13" s="968">
        <v>0</v>
      </c>
      <c r="GO13" s="968">
        <v>0</v>
      </c>
      <c r="GP13" s="968">
        <v>1</v>
      </c>
      <c r="GQ13" s="968">
        <v>0</v>
      </c>
      <c r="GR13" s="968">
        <v>0</v>
      </c>
      <c r="GS13" s="968">
        <v>0</v>
      </c>
      <c r="GT13" s="968">
        <v>0</v>
      </c>
      <c r="GU13" s="968">
        <v>0</v>
      </c>
      <c r="GV13" s="968">
        <v>0</v>
      </c>
      <c r="GW13" s="968">
        <v>0</v>
      </c>
      <c r="GX13" s="968">
        <v>0</v>
      </c>
      <c r="GY13" s="968">
        <v>0</v>
      </c>
      <c r="GZ13" s="968">
        <v>1</v>
      </c>
      <c r="HA13" s="968"/>
      <c r="HB13" s="969"/>
    </row>
    <row r="14" spans="1:210">
      <c r="A14" s="73"/>
      <c r="B14" s="73"/>
      <c r="C14" s="73"/>
      <c r="D14" s="73" t="s">
        <v>1398</v>
      </c>
      <c r="E14" s="967"/>
      <c r="F14" s="967"/>
      <c r="G14" s="967"/>
      <c r="H14" s="967"/>
      <c r="I14" s="967">
        <v>0</v>
      </c>
      <c r="J14" s="967"/>
      <c r="K14" s="967"/>
      <c r="L14" s="967"/>
      <c r="M14" s="967"/>
      <c r="N14" s="967">
        <v>0</v>
      </c>
      <c r="O14" s="967"/>
      <c r="P14" s="967">
        <v>1</v>
      </c>
      <c r="Q14" s="967"/>
      <c r="R14" s="967">
        <v>0</v>
      </c>
      <c r="S14" s="967"/>
      <c r="T14" s="73"/>
      <c r="U14" s="73"/>
      <c r="V14" s="73">
        <v>1</v>
      </c>
      <c r="W14" s="73"/>
      <c r="Y14" s="73"/>
      <c r="Z14" s="73"/>
      <c r="AA14" s="73"/>
      <c r="AB14" s="738" t="s">
        <v>15</v>
      </c>
      <c r="AC14" s="3262"/>
      <c r="AD14" s="3262"/>
      <c r="AE14" s="3262"/>
      <c r="AF14" s="3262"/>
      <c r="AG14" s="3262"/>
      <c r="AH14" s="3262"/>
      <c r="AI14" s="3262"/>
      <c r="AJ14" s="3262"/>
      <c r="AK14" s="3262"/>
      <c r="AL14" s="3262">
        <v>2</v>
      </c>
      <c r="AM14" s="3262"/>
      <c r="AN14" s="3262">
        <v>1</v>
      </c>
      <c r="AO14" s="3262"/>
      <c r="AP14" s="3262"/>
      <c r="AQ14" s="3262"/>
      <c r="AR14" s="151"/>
      <c r="AS14" s="151"/>
      <c r="AT14" s="151">
        <v>3</v>
      </c>
      <c r="AU14" s="912">
        <f>+AT13/AT14</f>
        <v>0.33333333333333331</v>
      </c>
      <c r="AY14" s="73"/>
      <c r="AZ14" s="73" t="s">
        <v>1284</v>
      </c>
      <c r="BA14" s="2607"/>
      <c r="BB14" s="2607"/>
      <c r="BC14" s="2607">
        <v>1</v>
      </c>
      <c r="BD14" s="2607"/>
      <c r="BE14" s="2607"/>
      <c r="BF14" s="2607"/>
      <c r="BG14" s="2607"/>
      <c r="BH14" s="2607"/>
      <c r="BI14" s="2607"/>
      <c r="BJ14" s="2607">
        <v>0</v>
      </c>
      <c r="BK14" s="2607">
        <v>0</v>
      </c>
      <c r="BL14" s="2607">
        <v>0</v>
      </c>
      <c r="BM14" s="2607">
        <v>0</v>
      </c>
      <c r="BN14" s="2607">
        <v>1</v>
      </c>
      <c r="BO14" s="2607">
        <v>0</v>
      </c>
      <c r="BP14" s="73"/>
      <c r="BQ14" s="73"/>
      <c r="BR14" s="73">
        <v>2</v>
      </c>
      <c r="BS14" s="73"/>
      <c r="BU14" s="2207"/>
      <c r="BV14" s="2207"/>
      <c r="BW14" s="2207"/>
      <c r="BX14" s="2208" t="s">
        <v>1292</v>
      </c>
      <c r="BY14" s="2209"/>
      <c r="BZ14" s="2209"/>
      <c r="CA14" s="2209"/>
      <c r="CB14" s="2209"/>
      <c r="CC14" s="2209"/>
      <c r="CD14" s="2209"/>
      <c r="CE14" s="2209"/>
      <c r="CF14" s="2209"/>
      <c r="CG14" s="2209"/>
      <c r="CH14" s="2209"/>
      <c r="CI14" s="2210">
        <v>0</v>
      </c>
      <c r="CJ14" s="2210">
        <v>1</v>
      </c>
      <c r="CK14" s="2210">
        <v>2</v>
      </c>
      <c r="CL14" s="2211"/>
      <c r="CM14" s="2211"/>
      <c r="CN14" s="2212">
        <v>3</v>
      </c>
      <c r="CO14" s="73"/>
      <c r="CQ14" s="955"/>
      <c r="CR14" s="955"/>
      <c r="CS14" s="955"/>
      <c r="CT14" s="974" t="s">
        <v>572</v>
      </c>
      <c r="CU14" s="975"/>
      <c r="CV14" s="975"/>
      <c r="CW14" s="975"/>
      <c r="CX14" s="975"/>
      <c r="CY14" s="975"/>
      <c r="CZ14" s="976">
        <v>1</v>
      </c>
      <c r="DA14" s="976">
        <v>1</v>
      </c>
      <c r="DB14" s="975"/>
      <c r="DC14" s="975"/>
      <c r="DD14" s="975"/>
      <c r="DE14" s="976">
        <v>1</v>
      </c>
      <c r="DF14" s="976">
        <v>2</v>
      </c>
      <c r="DG14" s="975"/>
      <c r="DH14" s="975"/>
      <c r="DI14" s="975"/>
      <c r="DJ14" s="977"/>
      <c r="DK14" s="977"/>
      <c r="DL14" s="978">
        <v>5</v>
      </c>
      <c r="DM14" s="912">
        <f>+(DL12+DL13)/DL14</f>
        <v>0.8</v>
      </c>
      <c r="DO14" s="788"/>
      <c r="DP14" s="788"/>
      <c r="DQ14" s="788"/>
      <c r="DR14" s="788"/>
      <c r="DS14" s="789" t="s">
        <v>1288</v>
      </c>
      <c r="DT14" s="962">
        <v>0</v>
      </c>
      <c r="DU14" s="961"/>
      <c r="DV14" s="961"/>
      <c r="DW14" s="962">
        <v>0</v>
      </c>
      <c r="DX14" s="961"/>
      <c r="DY14" s="961"/>
      <c r="DZ14" s="961"/>
      <c r="EA14" s="961"/>
      <c r="EB14" s="961"/>
      <c r="EC14" s="961"/>
      <c r="ED14" s="962">
        <v>0</v>
      </c>
      <c r="EE14" s="961"/>
      <c r="EF14" s="961"/>
      <c r="EG14" s="962">
        <v>1</v>
      </c>
      <c r="EH14" s="962">
        <v>0</v>
      </c>
      <c r="EI14" s="963"/>
      <c r="EJ14" s="963"/>
      <c r="EK14" s="964">
        <v>1</v>
      </c>
      <c r="EL14" s="912"/>
      <c r="EM14" s="73"/>
      <c r="EN14" s="965"/>
      <c r="EO14" s="965"/>
      <c r="EP14" s="965" t="s">
        <v>117</v>
      </c>
      <c r="EQ14" s="734" t="s">
        <v>1292</v>
      </c>
      <c r="ER14" s="966"/>
      <c r="ES14" s="966"/>
      <c r="ET14" s="966"/>
      <c r="EU14" s="966"/>
      <c r="EV14" s="966"/>
      <c r="EW14" s="966"/>
      <c r="EX14" s="966"/>
      <c r="EY14" s="966"/>
      <c r="EZ14" s="966"/>
      <c r="FA14" s="735">
        <v>0</v>
      </c>
      <c r="FB14" s="735">
        <v>1</v>
      </c>
      <c r="FC14" s="966"/>
      <c r="FD14" s="966"/>
      <c r="FE14" s="735">
        <v>1</v>
      </c>
      <c r="FF14" s="967"/>
      <c r="FG14" s="73"/>
      <c r="FH14" s="73"/>
      <c r="FI14" s="161"/>
      <c r="FJ14" s="161" t="s">
        <v>16</v>
      </c>
      <c r="FK14" s="73" t="s">
        <v>129</v>
      </c>
      <c r="FL14" s="73" t="s">
        <v>1284</v>
      </c>
      <c r="FM14" s="161"/>
      <c r="FN14" s="161"/>
      <c r="FO14" s="161"/>
      <c r="FP14" s="161"/>
      <c r="FQ14" s="161"/>
      <c r="FR14" s="161"/>
      <c r="FS14" s="161"/>
      <c r="FT14" s="161"/>
      <c r="FU14" s="161">
        <v>1</v>
      </c>
      <c r="FV14" s="161"/>
      <c r="FW14" s="161"/>
      <c r="FX14" s="161">
        <v>1</v>
      </c>
      <c r="FY14" s="161"/>
      <c r="FZ14" s="161"/>
      <c r="GA14" s="161"/>
      <c r="GB14" s="161">
        <v>0</v>
      </c>
      <c r="GC14" s="161">
        <v>2</v>
      </c>
      <c r="GD14" s="73"/>
      <c r="GE14" s="73"/>
      <c r="GF14" s="968"/>
      <c r="GG14" s="968"/>
      <c r="GH14" s="968"/>
      <c r="GI14" s="979" t="s">
        <v>15</v>
      </c>
      <c r="GJ14" s="979">
        <v>0</v>
      </c>
      <c r="GK14" s="979">
        <v>0</v>
      </c>
      <c r="GL14" s="979">
        <v>1</v>
      </c>
      <c r="GM14" s="979">
        <v>0</v>
      </c>
      <c r="GN14" s="979">
        <v>0</v>
      </c>
      <c r="GO14" s="979">
        <v>0</v>
      </c>
      <c r="GP14" s="979">
        <v>1</v>
      </c>
      <c r="GQ14" s="979">
        <v>0</v>
      </c>
      <c r="GR14" s="979">
        <v>0</v>
      </c>
      <c r="GS14" s="979">
        <v>0</v>
      </c>
      <c r="GT14" s="979">
        <v>0</v>
      </c>
      <c r="GU14" s="979">
        <v>0</v>
      </c>
      <c r="GV14" s="979">
        <v>1</v>
      </c>
      <c r="GW14" s="979">
        <v>0</v>
      </c>
      <c r="GX14" s="979">
        <v>0</v>
      </c>
      <c r="GY14" s="979">
        <v>0</v>
      </c>
      <c r="GZ14" s="979">
        <v>3</v>
      </c>
      <c r="HA14" s="980">
        <f>+GZ12/GZ14</f>
        <v>0.33333333333333331</v>
      </c>
      <c r="HB14" s="969">
        <f>+GZ12</f>
        <v>1</v>
      </c>
    </row>
    <row r="15" spans="1:210">
      <c r="A15" s="73"/>
      <c r="B15" s="73"/>
      <c r="C15" s="73"/>
      <c r="D15" s="738" t="s">
        <v>15</v>
      </c>
      <c r="E15" s="4694"/>
      <c r="F15" s="4694"/>
      <c r="G15" s="4694"/>
      <c r="H15" s="4694"/>
      <c r="I15" s="4694">
        <v>1</v>
      </c>
      <c r="J15" s="4694"/>
      <c r="K15" s="4694"/>
      <c r="L15" s="4694"/>
      <c r="M15" s="4694"/>
      <c r="N15" s="4694">
        <v>4</v>
      </c>
      <c r="O15" s="4694"/>
      <c r="P15" s="4694">
        <v>2</v>
      </c>
      <c r="Q15" s="4694"/>
      <c r="R15" s="4694">
        <v>1</v>
      </c>
      <c r="S15" s="4694"/>
      <c r="T15" s="738"/>
      <c r="U15" s="738"/>
      <c r="V15" s="738">
        <v>8</v>
      </c>
      <c r="W15" s="912">
        <f>+(V14+V13+V12)/V15</f>
        <v>0.75</v>
      </c>
      <c r="X15" s="3197"/>
      <c r="Y15" s="73"/>
      <c r="Z15" s="73"/>
      <c r="AA15" s="73" t="s">
        <v>707</v>
      </c>
      <c r="AB15" s="73" t="s">
        <v>1288</v>
      </c>
      <c r="AC15" s="3261"/>
      <c r="AD15" s="3261"/>
      <c r="AE15" s="3261"/>
      <c r="AF15" s="3261"/>
      <c r="AG15" s="3261"/>
      <c r="AH15" s="3261"/>
      <c r="AI15" s="3261"/>
      <c r="AJ15" s="3261"/>
      <c r="AK15" s="3261"/>
      <c r="AL15" s="3261"/>
      <c r="AM15" s="3261"/>
      <c r="AN15" s="3261">
        <v>1</v>
      </c>
      <c r="AO15" s="3261"/>
      <c r="AP15" s="3261">
        <v>1</v>
      </c>
      <c r="AQ15" s="3261"/>
      <c r="AR15" s="161"/>
      <c r="AS15" s="161"/>
      <c r="AT15" s="161">
        <v>2</v>
      </c>
      <c r="AU15" s="73"/>
      <c r="AY15" s="73"/>
      <c r="AZ15" s="73" t="s">
        <v>1293</v>
      </c>
      <c r="BA15" s="2607"/>
      <c r="BB15" s="2607"/>
      <c r="BC15" s="2607">
        <v>0</v>
      </c>
      <c r="BD15" s="2607"/>
      <c r="BE15" s="2607"/>
      <c r="BF15" s="2607"/>
      <c r="BG15" s="2607"/>
      <c r="BH15" s="2607"/>
      <c r="BI15" s="2607"/>
      <c r="BJ15" s="2607">
        <v>2</v>
      </c>
      <c r="BK15" s="2607">
        <v>1</v>
      </c>
      <c r="BL15" s="2607">
        <v>0</v>
      </c>
      <c r="BM15" s="2607">
        <v>0</v>
      </c>
      <c r="BN15" s="2607">
        <v>0</v>
      </c>
      <c r="BO15" s="2607">
        <v>0</v>
      </c>
      <c r="BP15" s="73"/>
      <c r="BQ15" s="73"/>
      <c r="BR15" s="73">
        <v>3</v>
      </c>
      <c r="BS15" s="73"/>
      <c r="BU15" s="2207"/>
      <c r="BV15" s="2207"/>
      <c r="BW15" s="2207"/>
      <c r="BX15" s="2208" t="s">
        <v>1293</v>
      </c>
      <c r="BY15" s="2209"/>
      <c r="BZ15" s="2209"/>
      <c r="CA15" s="2209"/>
      <c r="CB15" s="2209"/>
      <c r="CC15" s="2209"/>
      <c r="CD15" s="2209"/>
      <c r="CE15" s="2209"/>
      <c r="CF15" s="2209"/>
      <c r="CG15" s="2209"/>
      <c r="CH15" s="2209"/>
      <c r="CI15" s="2210">
        <v>2</v>
      </c>
      <c r="CJ15" s="2210">
        <v>0</v>
      </c>
      <c r="CK15" s="2210">
        <v>0</v>
      </c>
      <c r="CL15" s="2211"/>
      <c r="CM15" s="2211"/>
      <c r="CN15" s="2212">
        <v>2</v>
      </c>
      <c r="CO15" s="73"/>
      <c r="CQ15" s="955"/>
      <c r="CR15" s="955" t="s">
        <v>16</v>
      </c>
      <c r="CS15" s="955" t="s">
        <v>119</v>
      </c>
      <c r="CT15" s="956" t="s">
        <v>1284</v>
      </c>
      <c r="CU15" s="957"/>
      <c r="CV15" s="958">
        <v>1</v>
      </c>
      <c r="CW15" s="958">
        <v>0</v>
      </c>
      <c r="CX15" s="957"/>
      <c r="CY15" s="957"/>
      <c r="CZ15" s="957"/>
      <c r="DA15" s="957"/>
      <c r="DB15" s="958">
        <v>1</v>
      </c>
      <c r="DC15" s="957"/>
      <c r="DD15" s="958">
        <v>2</v>
      </c>
      <c r="DE15" s="958">
        <v>2</v>
      </c>
      <c r="DF15" s="958">
        <v>0</v>
      </c>
      <c r="DG15" s="958">
        <v>1</v>
      </c>
      <c r="DH15" s="958">
        <v>1</v>
      </c>
      <c r="DI15" s="957"/>
      <c r="DJ15" s="959"/>
      <c r="DK15" s="959"/>
      <c r="DL15" s="960">
        <v>8</v>
      </c>
      <c r="DM15" s="161"/>
      <c r="DO15" s="788"/>
      <c r="DP15" s="788"/>
      <c r="DQ15" s="788"/>
      <c r="DR15" s="788"/>
      <c r="DS15" s="789" t="s">
        <v>1292</v>
      </c>
      <c r="DT15" s="962">
        <v>0</v>
      </c>
      <c r="DU15" s="961"/>
      <c r="DV15" s="961"/>
      <c r="DW15" s="962">
        <v>0</v>
      </c>
      <c r="DX15" s="961"/>
      <c r="DY15" s="961"/>
      <c r="DZ15" s="961"/>
      <c r="EA15" s="961"/>
      <c r="EB15" s="961"/>
      <c r="EC15" s="961"/>
      <c r="ED15" s="962">
        <v>0</v>
      </c>
      <c r="EE15" s="961"/>
      <c r="EF15" s="961"/>
      <c r="EG15" s="962">
        <v>0</v>
      </c>
      <c r="EH15" s="962">
        <v>1</v>
      </c>
      <c r="EI15" s="963"/>
      <c r="EJ15" s="963"/>
      <c r="EK15" s="964">
        <v>1</v>
      </c>
      <c r="EL15" s="912"/>
      <c r="EM15" s="73"/>
      <c r="EN15" s="965"/>
      <c r="EO15" s="965"/>
      <c r="EP15" s="965"/>
      <c r="EQ15" s="734" t="s">
        <v>1293</v>
      </c>
      <c r="ER15" s="966"/>
      <c r="ES15" s="966"/>
      <c r="ET15" s="966"/>
      <c r="EU15" s="966"/>
      <c r="EV15" s="966"/>
      <c r="EW15" s="966"/>
      <c r="EX15" s="966"/>
      <c r="EY15" s="966"/>
      <c r="EZ15" s="966"/>
      <c r="FA15" s="735">
        <v>1</v>
      </c>
      <c r="FB15" s="735">
        <v>0</v>
      </c>
      <c r="FC15" s="966"/>
      <c r="FD15" s="966"/>
      <c r="FE15" s="735">
        <v>1</v>
      </c>
      <c r="FF15" s="967"/>
      <c r="FG15" s="73"/>
      <c r="FH15" s="73"/>
      <c r="FI15" s="161"/>
      <c r="FJ15" s="161"/>
      <c r="FK15" s="73"/>
      <c r="FL15" s="73" t="s">
        <v>1292</v>
      </c>
      <c r="FM15" s="161"/>
      <c r="FN15" s="161"/>
      <c r="FO15" s="161"/>
      <c r="FP15" s="161"/>
      <c r="FQ15" s="161"/>
      <c r="FR15" s="161"/>
      <c r="FS15" s="161"/>
      <c r="FT15" s="161"/>
      <c r="FU15" s="161">
        <v>0</v>
      </c>
      <c r="FV15" s="161"/>
      <c r="FW15" s="161"/>
      <c r="FX15" s="161">
        <v>0</v>
      </c>
      <c r="FY15" s="161"/>
      <c r="FZ15" s="161"/>
      <c r="GA15" s="161"/>
      <c r="GB15" s="161">
        <v>2</v>
      </c>
      <c r="GC15" s="161">
        <v>2</v>
      </c>
      <c r="GD15" s="73"/>
      <c r="GE15" s="73"/>
      <c r="GF15" s="968"/>
      <c r="GG15" s="968" t="s">
        <v>16</v>
      </c>
      <c r="GH15" s="968" t="s">
        <v>129</v>
      </c>
      <c r="GI15" s="968" t="s">
        <v>1284</v>
      </c>
      <c r="GJ15" s="968">
        <v>0</v>
      </c>
      <c r="GK15" s="968">
        <v>0</v>
      </c>
      <c r="GL15" s="968">
        <v>0</v>
      </c>
      <c r="GM15" s="968">
        <v>0</v>
      </c>
      <c r="GN15" s="968">
        <v>0</v>
      </c>
      <c r="GO15" s="968">
        <v>0</v>
      </c>
      <c r="GP15" s="968">
        <v>0</v>
      </c>
      <c r="GQ15" s="968">
        <v>0</v>
      </c>
      <c r="GR15" s="968">
        <v>0</v>
      </c>
      <c r="GS15" s="968">
        <v>0</v>
      </c>
      <c r="GT15" s="968">
        <v>2</v>
      </c>
      <c r="GU15" s="968">
        <v>0</v>
      </c>
      <c r="GV15" s="968">
        <v>0</v>
      </c>
      <c r="GW15" s="968">
        <v>0</v>
      </c>
      <c r="GX15" s="968">
        <v>0</v>
      </c>
      <c r="GY15" s="968">
        <v>0</v>
      </c>
      <c r="GZ15" s="968">
        <v>2</v>
      </c>
      <c r="HA15" s="968"/>
      <c r="HB15" s="969"/>
    </row>
    <row r="16" spans="1:210">
      <c r="A16" s="73"/>
      <c r="B16" s="73"/>
      <c r="C16" s="738" t="s">
        <v>572</v>
      </c>
      <c r="D16" s="738" t="s">
        <v>1284</v>
      </c>
      <c r="E16" s="4694"/>
      <c r="F16" s="4694"/>
      <c r="G16" s="4694"/>
      <c r="H16" s="4694"/>
      <c r="I16" s="4694">
        <v>1</v>
      </c>
      <c r="J16" s="4694"/>
      <c r="K16" s="4694"/>
      <c r="L16" s="4694"/>
      <c r="M16" s="4694"/>
      <c r="N16" s="4694">
        <v>0</v>
      </c>
      <c r="O16" s="4694"/>
      <c r="P16" s="4694">
        <v>0</v>
      </c>
      <c r="Q16" s="4694"/>
      <c r="R16" s="4694">
        <v>1</v>
      </c>
      <c r="S16" s="4694">
        <v>0</v>
      </c>
      <c r="T16" s="738"/>
      <c r="U16" s="738">
        <v>0</v>
      </c>
      <c r="V16" s="738">
        <v>2</v>
      </c>
      <c r="W16" s="73"/>
      <c r="Y16" s="73"/>
      <c r="Z16" s="73"/>
      <c r="AA16" s="73"/>
      <c r="AB16" s="738" t="s">
        <v>15</v>
      </c>
      <c r="AC16" s="3262"/>
      <c r="AD16" s="3262"/>
      <c r="AE16" s="3262"/>
      <c r="AF16" s="3262"/>
      <c r="AG16" s="3262"/>
      <c r="AH16" s="3262"/>
      <c r="AI16" s="3262"/>
      <c r="AJ16" s="3262"/>
      <c r="AK16" s="3262"/>
      <c r="AL16" s="3262"/>
      <c r="AM16" s="3262"/>
      <c r="AN16" s="3262">
        <v>1</v>
      </c>
      <c r="AO16" s="3262"/>
      <c r="AP16" s="3262">
        <v>1</v>
      </c>
      <c r="AQ16" s="3262"/>
      <c r="AR16" s="151"/>
      <c r="AS16" s="151"/>
      <c r="AT16" s="151">
        <v>2</v>
      </c>
      <c r="AU16" s="912">
        <f>+AT15/AT16</f>
        <v>1</v>
      </c>
      <c r="AY16" s="73"/>
      <c r="AZ16" s="738" t="s">
        <v>15</v>
      </c>
      <c r="BA16" s="2608"/>
      <c r="BB16" s="2608"/>
      <c r="BC16" s="2608">
        <v>1</v>
      </c>
      <c r="BD16" s="2608"/>
      <c r="BE16" s="2608"/>
      <c r="BF16" s="2608"/>
      <c r="BG16" s="2608"/>
      <c r="BH16" s="2608"/>
      <c r="BI16" s="2608"/>
      <c r="BJ16" s="2608">
        <v>2</v>
      </c>
      <c r="BK16" s="2608">
        <v>2</v>
      </c>
      <c r="BL16" s="2608">
        <v>1</v>
      </c>
      <c r="BM16" s="2608">
        <v>1</v>
      </c>
      <c r="BN16" s="2608">
        <v>3</v>
      </c>
      <c r="BO16" s="2608">
        <v>1</v>
      </c>
      <c r="BP16" s="738"/>
      <c r="BQ16" s="738"/>
      <c r="BR16" s="738">
        <v>11</v>
      </c>
      <c r="BS16" s="912">
        <f>+BR15/BR16</f>
        <v>0.27272727272727271</v>
      </c>
      <c r="BU16" s="2207"/>
      <c r="BV16" s="2207"/>
      <c r="BW16" s="2207"/>
      <c r="BX16" s="2208" t="s">
        <v>1398</v>
      </c>
      <c r="BY16" s="2209"/>
      <c r="BZ16" s="2209"/>
      <c r="CA16" s="2209"/>
      <c r="CB16" s="2209"/>
      <c r="CC16" s="2209"/>
      <c r="CD16" s="2209"/>
      <c r="CE16" s="2209"/>
      <c r="CF16" s="2209"/>
      <c r="CG16" s="2209"/>
      <c r="CH16" s="2209"/>
      <c r="CI16" s="2210">
        <v>1</v>
      </c>
      <c r="CJ16" s="2210">
        <v>0</v>
      </c>
      <c r="CK16" s="2210">
        <v>0</v>
      </c>
      <c r="CL16" s="2211"/>
      <c r="CM16" s="2211"/>
      <c r="CN16" s="2212">
        <v>1</v>
      </c>
      <c r="CO16" s="73"/>
      <c r="CQ16" s="955"/>
      <c r="CR16" s="955"/>
      <c r="CS16" s="955"/>
      <c r="CT16" s="956" t="s">
        <v>1286</v>
      </c>
      <c r="CU16" s="957"/>
      <c r="CV16" s="958">
        <v>0</v>
      </c>
      <c r="CW16" s="958">
        <v>1</v>
      </c>
      <c r="CX16" s="957"/>
      <c r="CY16" s="957"/>
      <c r="CZ16" s="957"/>
      <c r="DA16" s="957"/>
      <c r="DB16" s="958">
        <v>0</v>
      </c>
      <c r="DC16" s="957"/>
      <c r="DD16" s="958">
        <v>1</v>
      </c>
      <c r="DE16" s="958">
        <v>0</v>
      </c>
      <c r="DF16" s="958">
        <v>0</v>
      </c>
      <c r="DG16" s="958">
        <v>0</v>
      </c>
      <c r="DH16" s="958">
        <v>0</v>
      </c>
      <c r="DI16" s="957"/>
      <c r="DJ16" s="959"/>
      <c r="DK16" s="959"/>
      <c r="DL16" s="960">
        <v>2</v>
      </c>
      <c r="DM16" s="161"/>
      <c r="DO16" s="788"/>
      <c r="DP16" s="788"/>
      <c r="DQ16" s="788"/>
      <c r="DR16" s="788"/>
      <c r="DS16" s="789" t="s">
        <v>1398</v>
      </c>
      <c r="DT16" s="962">
        <v>0</v>
      </c>
      <c r="DU16" s="961"/>
      <c r="DV16" s="961"/>
      <c r="DW16" s="962">
        <v>0</v>
      </c>
      <c r="DX16" s="961"/>
      <c r="DY16" s="961"/>
      <c r="DZ16" s="961"/>
      <c r="EA16" s="961"/>
      <c r="EB16" s="961"/>
      <c r="EC16" s="961"/>
      <c r="ED16" s="962">
        <v>2</v>
      </c>
      <c r="EE16" s="961"/>
      <c r="EF16" s="961"/>
      <c r="EG16" s="962">
        <v>0</v>
      </c>
      <c r="EH16" s="962">
        <v>0</v>
      </c>
      <c r="EI16" s="963"/>
      <c r="EJ16" s="963"/>
      <c r="EK16" s="964">
        <v>2</v>
      </c>
      <c r="EL16" s="912"/>
      <c r="EM16" s="73"/>
      <c r="EN16" s="965"/>
      <c r="EO16" s="965"/>
      <c r="EP16" s="965"/>
      <c r="EQ16" s="981" t="s">
        <v>15</v>
      </c>
      <c r="ER16" s="982"/>
      <c r="ES16" s="982"/>
      <c r="ET16" s="982"/>
      <c r="EU16" s="982"/>
      <c r="EV16" s="982"/>
      <c r="EW16" s="982"/>
      <c r="EX16" s="982"/>
      <c r="EY16" s="982"/>
      <c r="EZ16" s="982"/>
      <c r="FA16" s="740">
        <v>1</v>
      </c>
      <c r="FB16" s="740">
        <v>1</v>
      </c>
      <c r="FC16" s="982"/>
      <c r="FD16" s="982"/>
      <c r="FE16" s="740">
        <v>2</v>
      </c>
      <c r="FF16" s="905">
        <f>+FE15/FE16</f>
        <v>0.5</v>
      </c>
      <c r="FG16" s="73"/>
      <c r="FH16" s="73"/>
      <c r="FI16" s="161"/>
      <c r="FJ16" s="161"/>
      <c r="FK16" s="73"/>
      <c r="FL16" s="73" t="s">
        <v>1398</v>
      </c>
      <c r="FM16" s="161"/>
      <c r="FN16" s="161"/>
      <c r="FO16" s="161"/>
      <c r="FP16" s="161"/>
      <c r="FQ16" s="161"/>
      <c r="FR16" s="161"/>
      <c r="FS16" s="161"/>
      <c r="FT16" s="161"/>
      <c r="FU16" s="161">
        <v>1</v>
      </c>
      <c r="FV16" s="161"/>
      <c r="FW16" s="161"/>
      <c r="FX16" s="161">
        <v>0</v>
      </c>
      <c r="FY16" s="161"/>
      <c r="FZ16" s="161"/>
      <c r="GA16" s="161"/>
      <c r="GB16" s="161">
        <v>0</v>
      </c>
      <c r="GC16" s="161">
        <v>1</v>
      </c>
      <c r="GD16" s="73"/>
      <c r="GE16" s="73"/>
      <c r="GF16" s="968"/>
      <c r="GG16" s="968"/>
      <c r="GH16" s="968"/>
      <c r="GI16" s="979" t="s">
        <v>15</v>
      </c>
      <c r="GJ16" s="979">
        <v>0</v>
      </c>
      <c r="GK16" s="979">
        <v>0</v>
      </c>
      <c r="GL16" s="979">
        <v>0</v>
      </c>
      <c r="GM16" s="979">
        <v>0</v>
      </c>
      <c r="GN16" s="979">
        <v>0</v>
      </c>
      <c r="GO16" s="979">
        <v>0</v>
      </c>
      <c r="GP16" s="979">
        <v>0</v>
      </c>
      <c r="GQ16" s="979">
        <v>0</v>
      </c>
      <c r="GR16" s="979">
        <v>0</v>
      </c>
      <c r="GS16" s="979">
        <v>0</v>
      </c>
      <c r="GT16" s="979">
        <v>2</v>
      </c>
      <c r="GU16" s="979">
        <v>0</v>
      </c>
      <c r="GV16" s="979">
        <v>0</v>
      </c>
      <c r="GW16" s="979">
        <v>0</v>
      </c>
      <c r="GX16" s="979">
        <v>0</v>
      </c>
      <c r="GY16" s="979">
        <v>0</v>
      </c>
      <c r="GZ16" s="979">
        <v>2</v>
      </c>
      <c r="HA16" s="980">
        <f>0/GZ16</f>
        <v>0</v>
      </c>
      <c r="HB16" s="969">
        <v>0</v>
      </c>
    </row>
    <row r="17" spans="1:210">
      <c r="A17" s="73"/>
      <c r="B17" s="73"/>
      <c r="C17" s="738"/>
      <c r="D17" s="738" t="s">
        <v>1288</v>
      </c>
      <c r="E17" s="4694"/>
      <c r="F17" s="4694"/>
      <c r="G17" s="4694"/>
      <c r="H17" s="4694"/>
      <c r="I17" s="4694">
        <v>0</v>
      </c>
      <c r="J17" s="4694"/>
      <c r="K17" s="4694"/>
      <c r="L17" s="4694"/>
      <c r="M17" s="4694"/>
      <c r="N17" s="4694">
        <v>2</v>
      </c>
      <c r="O17" s="4694"/>
      <c r="P17" s="4694">
        <v>0</v>
      </c>
      <c r="Q17" s="4694"/>
      <c r="R17" s="4694">
        <v>0</v>
      </c>
      <c r="S17" s="4694">
        <v>0</v>
      </c>
      <c r="T17" s="738"/>
      <c r="U17" s="738">
        <v>0</v>
      </c>
      <c r="V17" s="738">
        <v>2</v>
      </c>
      <c r="W17" s="73"/>
      <c r="Y17" s="73"/>
      <c r="Z17" s="73"/>
      <c r="AA17" s="73" t="s">
        <v>2713</v>
      </c>
      <c r="AB17" s="73" t="s">
        <v>1292</v>
      </c>
      <c r="AC17" s="3261"/>
      <c r="AD17" s="3261"/>
      <c r="AE17" s="3261"/>
      <c r="AF17" s="3261"/>
      <c r="AG17" s="3261"/>
      <c r="AH17" s="3261"/>
      <c r="AI17" s="3261"/>
      <c r="AJ17" s="3261"/>
      <c r="AK17" s="3261"/>
      <c r="AL17" s="3261"/>
      <c r="AM17" s="3261"/>
      <c r="AN17" s="3261">
        <v>1</v>
      </c>
      <c r="AO17" s="3261"/>
      <c r="AP17" s="3261"/>
      <c r="AQ17" s="3261"/>
      <c r="AR17" s="161"/>
      <c r="AS17" s="161"/>
      <c r="AT17" s="161">
        <v>1</v>
      </c>
      <c r="AU17" s="73"/>
      <c r="AY17" s="73" t="s">
        <v>573</v>
      </c>
      <c r="AZ17" s="73" t="s">
        <v>1283</v>
      </c>
      <c r="BA17" s="2607"/>
      <c r="BB17" s="2607"/>
      <c r="BC17" s="2607">
        <v>0</v>
      </c>
      <c r="BD17" s="2607"/>
      <c r="BE17" s="2607"/>
      <c r="BF17" s="2607"/>
      <c r="BG17" s="2607"/>
      <c r="BH17" s="2607"/>
      <c r="BI17" s="2607"/>
      <c r="BJ17" s="2607">
        <v>0</v>
      </c>
      <c r="BK17" s="2607">
        <v>1</v>
      </c>
      <c r="BL17" s="2607">
        <v>1</v>
      </c>
      <c r="BM17" s="2607">
        <v>1</v>
      </c>
      <c r="BN17" s="2607">
        <v>2</v>
      </c>
      <c r="BO17" s="2607">
        <v>1</v>
      </c>
      <c r="BP17" s="73"/>
      <c r="BQ17" s="73"/>
      <c r="BR17" s="73">
        <v>6</v>
      </c>
      <c r="BS17" s="73"/>
      <c r="BU17" s="2207"/>
      <c r="BV17" s="2207"/>
      <c r="BW17" s="2207"/>
      <c r="BX17" s="2204" t="s">
        <v>15</v>
      </c>
      <c r="BY17" s="2213"/>
      <c r="BZ17" s="2213"/>
      <c r="CA17" s="2213"/>
      <c r="CB17" s="2213"/>
      <c r="CC17" s="2213"/>
      <c r="CD17" s="2213"/>
      <c r="CE17" s="2213"/>
      <c r="CF17" s="2213"/>
      <c r="CG17" s="2213"/>
      <c r="CH17" s="2213"/>
      <c r="CI17" s="2214">
        <v>7</v>
      </c>
      <c r="CJ17" s="2214">
        <v>2</v>
      </c>
      <c r="CK17" s="2214">
        <v>2</v>
      </c>
      <c r="CL17" s="2215"/>
      <c r="CM17" s="2215"/>
      <c r="CN17" s="2216">
        <v>11</v>
      </c>
      <c r="CO17" s="2154">
        <f>+(CN15+CN16)/CN17</f>
        <v>0.27272727272727271</v>
      </c>
      <c r="CQ17" s="955"/>
      <c r="CR17" s="955"/>
      <c r="CS17" s="955"/>
      <c r="CT17" s="956" t="s">
        <v>1288</v>
      </c>
      <c r="CU17" s="957"/>
      <c r="CV17" s="958">
        <v>0</v>
      </c>
      <c r="CW17" s="958">
        <v>0</v>
      </c>
      <c r="CX17" s="957"/>
      <c r="CY17" s="957"/>
      <c r="CZ17" s="957"/>
      <c r="DA17" s="957"/>
      <c r="DB17" s="958">
        <v>0</v>
      </c>
      <c r="DC17" s="957"/>
      <c r="DD17" s="958">
        <v>0</v>
      </c>
      <c r="DE17" s="958">
        <v>1</v>
      </c>
      <c r="DF17" s="958">
        <v>0</v>
      </c>
      <c r="DG17" s="958">
        <v>0</v>
      </c>
      <c r="DH17" s="958">
        <v>0</v>
      </c>
      <c r="DI17" s="957"/>
      <c r="DJ17" s="959"/>
      <c r="DK17" s="959"/>
      <c r="DL17" s="960">
        <v>1</v>
      </c>
      <c r="DM17" s="161"/>
      <c r="DO17" s="788"/>
      <c r="DP17" s="788"/>
      <c r="DQ17" s="788"/>
      <c r="DR17" s="73"/>
      <c r="DS17" s="809" t="s">
        <v>572</v>
      </c>
      <c r="DT17" s="971">
        <v>1</v>
      </c>
      <c r="DU17" s="970"/>
      <c r="DV17" s="970"/>
      <c r="DW17" s="971">
        <v>1</v>
      </c>
      <c r="DX17" s="970"/>
      <c r="DY17" s="970"/>
      <c r="DZ17" s="970"/>
      <c r="EA17" s="970"/>
      <c r="EB17" s="970"/>
      <c r="EC17" s="970"/>
      <c r="ED17" s="971">
        <v>2</v>
      </c>
      <c r="EE17" s="970"/>
      <c r="EF17" s="970"/>
      <c r="EG17" s="971">
        <v>1</v>
      </c>
      <c r="EH17" s="971">
        <v>1</v>
      </c>
      <c r="EI17" s="972"/>
      <c r="EJ17" s="972"/>
      <c r="EK17" s="973">
        <v>6</v>
      </c>
      <c r="EL17" s="912">
        <f>+(EK16+EK14)/EK17</f>
        <v>0.5</v>
      </c>
      <c r="EM17" s="73"/>
      <c r="EN17" s="965"/>
      <c r="EO17" s="965"/>
      <c r="EP17" s="73"/>
      <c r="EQ17" s="73"/>
      <c r="ER17" s="73"/>
      <c r="ES17" s="73"/>
      <c r="ET17" s="73"/>
      <c r="EU17" s="73"/>
      <c r="EV17" s="73"/>
      <c r="EW17" s="73"/>
      <c r="EX17" s="73"/>
      <c r="EY17" s="73"/>
      <c r="EZ17" s="73"/>
      <c r="FA17" s="73"/>
      <c r="FB17" s="73"/>
      <c r="FC17" s="73"/>
      <c r="FD17" s="73"/>
      <c r="FE17" s="73"/>
      <c r="FF17" s="73"/>
      <c r="FG17" s="73"/>
      <c r="FH17" s="73"/>
      <c r="FI17" s="161"/>
      <c r="FJ17" s="161"/>
      <c r="FK17" s="73"/>
      <c r="FL17" s="738" t="s">
        <v>15</v>
      </c>
      <c r="FM17" s="151"/>
      <c r="FN17" s="151"/>
      <c r="FO17" s="151"/>
      <c r="FP17" s="151"/>
      <c r="FQ17" s="151"/>
      <c r="FR17" s="151"/>
      <c r="FS17" s="151"/>
      <c r="FT17" s="151"/>
      <c r="FU17" s="151">
        <v>2</v>
      </c>
      <c r="FV17" s="151"/>
      <c r="FW17" s="151"/>
      <c r="FX17" s="151">
        <v>1</v>
      </c>
      <c r="FY17" s="151"/>
      <c r="FZ17" s="151"/>
      <c r="GA17" s="151"/>
      <c r="GB17" s="151">
        <v>2</v>
      </c>
      <c r="GC17" s="151">
        <v>5</v>
      </c>
      <c r="GD17" s="983">
        <f>+GC16/GC17</f>
        <v>0.2</v>
      </c>
      <c r="GE17" s="73"/>
      <c r="GF17" s="968"/>
      <c r="GG17" s="968" t="s">
        <v>105</v>
      </c>
      <c r="GH17" s="968" t="s">
        <v>106</v>
      </c>
      <c r="GI17" s="968" t="s">
        <v>1284</v>
      </c>
      <c r="GJ17" s="968">
        <v>0</v>
      </c>
      <c r="GK17" s="968">
        <v>0</v>
      </c>
      <c r="GL17" s="968">
        <v>0</v>
      </c>
      <c r="GM17" s="968">
        <v>0</v>
      </c>
      <c r="GN17" s="968">
        <v>0</v>
      </c>
      <c r="GO17" s="968">
        <v>1</v>
      </c>
      <c r="GP17" s="968">
        <v>0</v>
      </c>
      <c r="GQ17" s="968">
        <v>0</v>
      </c>
      <c r="GR17" s="968">
        <v>0</v>
      </c>
      <c r="GS17" s="968">
        <v>0</v>
      </c>
      <c r="GT17" s="968">
        <v>0</v>
      </c>
      <c r="GU17" s="968">
        <v>0</v>
      </c>
      <c r="GV17" s="968">
        <v>0</v>
      </c>
      <c r="GW17" s="968">
        <v>0</v>
      </c>
      <c r="GX17" s="968">
        <v>0</v>
      </c>
      <c r="GY17" s="968">
        <v>0</v>
      </c>
      <c r="GZ17" s="968">
        <v>1</v>
      </c>
      <c r="HA17" s="968"/>
      <c r="HB17" s="969"/>
    </row>
    <row r="18" spans="1:210">
      <c r="A18" s="73"/>
      <c r="B18" s="73"/>
      <c r="C18" s="738"/>
      <c r="D18" s="738" t="s">
        <v>1292</v>
      </c>
      <c r="E18" s="4694"/>
      <c r="F18" s="4694"/>
      <c r="G18" s="4694"/>
      <c r="H18" s="4694"/>
      <c r="I18" s="4694">
        <v>0</v>
      </c>
      <c r="J18" s="4694"/>
      <c r="K18" s="4694"/>
      <c r="L18" s="4694"/>
      <c r="M18" s="4694"/>
      <c r="N18" s="4694">
        <v>0</v>
      </c>
      <c r="O18" s="4694"/>
      <c r="P18" s="4694">
        <v>0</v>
      </c>
      <c r="Q18" s="4694"/>
      <c r="R18" s="4694">
        <v>0</v>
      </c>
      <c r="S18" s="4694">
        <v>1</v>
      </c>
      <c r="T18" s="738"/>
      <c r="U18" s="738">
        <v>1</v>
      </c>
      <c r="V18" s="738">
        <v>2</v>
      </c>
      <c r="W18" s="73"/>
      <c r="Y18" s="73"/>
      <c r="Z18" s="73"/>
      <c r="AA18" s="73"/>
      <c r="AB18" s="738" t="s">
        <v>15</v>
      </c>
      <c r="AC18" s="3262"/>
      <c r="AD18" s="3262"/>
      <c r="AE18" s="3262"/>
      <c r="AF18" s="3262"/>
      <c r="AG18" s="3262"/>
      <c r="AH18" s="3262"/>
      <c r="AI18" s="3262"/>
      <c r="AJ18" s="3262"/>
      <c r="AK18" s="3262"/>
      <c r="AL18" s="3262"/>
      <c r="AM18" s="3262"/>
      <c r="AN18" s="3262">
        <v>1</v>
      </c>
      <c r="AO18" s="3262"/>
      <c r="AP18" s="3262"/>
      <c r="AQ18" s="3262"/>
      <c r="AR18" s="151"/>
      <c r="AS18" s="151"/>
      <c r="AT18" s="151">
        <v>1</v>
      </c>
      <c r="AU18" s="912">
        <v>0</v>
      </c>
      <c r="AY18" s="73"/>
      <c r="AZ18" s="73" t="s">
        <v>1284</v>
      </c>
      <c r="BA18" s="2607"/>
      <c r="BB18" s="2607"/>
      <c r="BC18" s="2607">
        <v>1</v>
      </c>
      <c r="BD18" s="2607"/>
      <c r="BE18" s="2607"/>
      <c r="BF18" s="2607"/>
      <c r="BG18" s="2607"/>
      <c r="BH18" s="2607"/>
      <c r="BI18" s="2607"/>
      <c r="BJ18" s="2607">
        <v>0</v>
      </c>
      <c r="BK18" s="2607">
        <v>0</v>
      </c>
      <c r="BL18" s="2607">
        <v>0</v>
      </c>
      <c r="BM18" s="2607">
        <v>0</v>
      </c>
      <c r="BN18" s="2607">
        <v>1</v>
      </c>
      <c r="BO18" s="2607">
        <v>0</v>
      </c>
      <c r="BP18" s="73"/>
      <c r="BQ18" s="73"/>
      <c r="BR18" s="73">
        <v>2</v>
      </c>
      <c r="BS18" s="73"/>
      <c r="BU18" s="2207"/>
      <c r="BV18" s="2207"/>
      <c r="BW18" s="2207" t="s">
        <v>573</v>
      </c>
      <c r="BX18" s="2208" t="s">
        <v>1284</v>
      </c>
      <c r="BY18" s="2209"/>
      <c r="BZ18" s="2209"/>
      <c r="CA18" s="2209"/>
      <c r="CB18" s="2209"/>
      <c r="CC18" s="2209"/>
      <c r="CD18" s="2209"/>
      <c r="CE18" s="2209"/>
      <c r="CF18" s="2209"/>
      <c r="CG18" s="2209"/>
      <c r="CH18" s="2209"/>
      <c r="CI18" s="2210">
        <v>4</v>
      </c>
      <c r="CJ18" s="2210">
        <v>1</v>
      </c>
      <c r="CK18" s="2210">
        <v>0</v>
      </c>
      <c r="CL18" s="2211"/>
      <c r="CM18" s="2211"/>
      <c r="CN18" s="2212">
        <v>5</v>
      </c>
      <c r="CO18" s="73"/>
      <c r="CQ18" s="955"/>
      <c r="CR18" s="955"/>
      <c r="CS18" s="955"/>
      <c r="CT18" s="956" t="s">
        <v>1293</v>
      </c>
      <c r="CU18" s="957"/>
      <c r="CV18" s="958">
        <v>0</v>
      </c>
      <c r="CW18" s="958">
        <v>0</v>
      </c>
      <c r="CX18" s="957"/>
      <c r="CY18" s="957"/>
      <c r="CZ18" s="957"/>
      <c r="DA18" s="957"/>
      <c r="DB18" s="958">
        <v>0</v>
      </c>
      <c r="DC18" s="957"/>
      <c r="DD18" s="958">
        <v>0</v>
      </c>
      <c r="DE18" s="958">
        <v>1</v>
      </c>
      <c r="DF18" s="958">
        <v>1</v>
      </c>
      <c r="DG18" s="958">
        <v>0</v>
      </c>
      <c r="DH18" s="958">
        <v>0</v>
      </c>
      <c r="DI18" s="957"/>
      <c r="DJ18" s="959"/>
      <c r="DK18" s="959"/>
      <c r="DL18" s="960">
        <v>2</v>
      </c>
      <c r="DM18" s="161"/>
      <c r="DO18" s="788"/>
      <c r="DP18" s="788" t="s">
        <v>16</v>
      </c>
      <c r="DQ18" s="788" t="s">
        <v>120</v>
      </c>
      <c r="DR18" s="788" t="s">
        <v>1282</v>
      </c>
      <c r="DS18" s="789" t="s">
        <v>1284</v>
      </c>
      <c r="DT18" s="961"/>
      <c r="DU18" s="961"/>
      <c r="DV18" s="961"/>
      <c r="DW18" s="961"/>
      <c r="DX18" s="961"/>
      <c r="DY18" s="961"/>
      <c r="DZ18" s="962">
        <v>1</v>
      </c>
      <c r="EA18" s="961"/>
      <c r="EB18" s="962">
        <v>0</v>
      </c>
      <c r="EC18" s="961"/>
      <c r="ED18" s="961"/>
      <c r="EE18" s="961"/>
      <c r="EF18" s="962">
        <v>0</v>
      </c>
      <c r="EG18" s="962">
        <v>0</v>
      </c>
      <c r="EH18" s="961"/>
      <c r="EI18" s="963"/>
      <c r="EJ18" s="963"/>
      <c r="EK18" s="964">
        <v>1</v>
      </c>
      <c r="EL18" s="912"/>
      <c r="EM18" s="73"/>
      <c r="EN18" s="965"/>
      <c r="EO18" s="965"/>
      <c r="EP18" s="73"/>
      <c r="EQ18" s="73"/>
      <c r="ER18" s="73"/>
      <c r="ES18" s="73"/>
      <c r="ET18" s="73"/>
      <c r="EU18" s="73"/>
      <c r="EV18" s="73"/>
      <c r="EW18" s="73"/>
      <c r="EX18" s="73"/>
      <c r="EY18" s="73"/>
      <c r="EZ18" s="73"/>
      <c r="FA18" s="73"/>
      <c r="FB18" s="73"/>
      <c r="FC18" s="73"/>
      <c r="FD18" s="73"/>
      <c r="FE18" s="73"/>
      <c r="FF18" s="73"/>
      <c r="FG18" s="73"/>
      <c r="FH18" s="73"/>
      <c r="FI18" s="161"/>
      <c r="FJ18" s="161"/>
      <c r="FK18" s="73" t="s">
        <v>119</v>
      </c>
      <c r="FL18" s="73" t="s">
        <v>1284</v>
      </c>
      <c r="FM18" s="161"/>
      <c r="FN18" s="161"/>
      <c r="FO18" s="161"/>
      <c r="FP18" s="161"/>
      <c r="FQ18" s="161"/>
      <c r="FR18" s="161"/>
      <c r="FS18" s="161"/>
      <c r="FT18" s="161"/>
      <c r="FU18" s="161">
        <v>4</v>
      </c>
      <c r="FV18" s="161">
        <v>6</v>
      </c>
      <c r="FW18" s="161">
        <v>1</v>
      </c>
      <c r="FX18" s="161"/>
      <c r="FY18" s="161"/>
      <c r="FZ18" s="161"/>
      <c r="GA18" s="161"/>
      <c r="GB18" s="161"/>
      <c r="GC18" s="161">
        <v>11</v>
      </c>
      <c r="GD18" s="73"/>
      <c r="GE18" s="73"/>
      <c r="GF18" s="968"/>
      <c r="GG18" s="968"/>
      <c r="GH18" s="968"/>
      <c r="GI18" s="968" t="s">
        <v>1288</v>
      </c>
      <c r="GJ18" s="968">
        <v>0</v>
      </c>
      <c r="GK18" s="968">
        <v>0</v>
      </c>
      <c r="GL18" s="968">
        <v>0</v>
      </c>
      <c r="GM18" s="968">
        <v>0</v>
      </c>
      <c r="GN18" s="968">
        <v>0</v>
      </c>
      <c r="GO18" s="968">
        <v>1</v>
      </c>
      <c r="GP18" s="968">
        <v>0</v>
      </c>
      <c r="GQ18" s="968">
        <v>0</v>
      </c>
      <c r="GR18" s="968">
        <v>0</v>
      </c>
      <c r="GS18" s="968">
        <v>0</v>
      </c>
      <c r="GT18" s="968">
        <v>0</v>
      </c>
      <c r="GU18" s="968">
        <v>0</v>
      </c>
      <c r="GV18" s="968">
        <v>0</v>
      </c>
      <c r="GW18" s="968">
        <v>0</v>
      </c>
      <c r="GX18" s="968">
        <v>0</v>
      </c>
      <c r="GY18" s="968">
        <v>0</v>
      </c>
      <c r="GZ18" s="968">
        <v>1</v>
      </c>
      <c r="HA18" s="968"/>
      <c r="HB18" s="969"/>
    </row>
    <row r="19" spans="1:210">
      <c r="A19" s="73"/>
      <c r="B19" s="73"/>
      <c r="C19" s="738"/>
      <c r="D19" s="738" t="s">
        <v>1293</v>
      </c>
      <c r="E19" s="4694"/>
      <c r="F19" s="4694"/>
      <c r="G19" s="4694"/>
      <c r="H19" s="4694"/>
      <c r="I19" s="4694">
        <v>0</v>
      </c>
      <c r="J19" s="4694"/>
      <c r="K19" s="4694"/>
      <c r="L19" s="4694"/>
      <c r="M19" s="4694"/>
      <c r="N19" s="4694">
        <v>3</v>
      </c>
      <c r="O19" s="4694"/>
      <c r="P19" s="4694">
        <v>1</v>
      </c>
      <c r="Q19" s="4694"/>
      <c r="R19" s="4694">
        <v>0</v>
      </c>
      <c r="S19" s="4694">
        <v>0</v>
      </c>
      <c r="T19" s="738"/>
      <c r="U19" s="738">
        <v>0</v>
      </c>
      <c r="V19" s="738">
        <v>4</v>
      </c>
      <c r="W19" s="73"/>
      <c r="Y19" s="73"/>
      <c r="Z19" s="73"/>
      <c r="AA19" s="73" t="s">
        <v>572</v>
      </c>
      <c r="AB19" s="73" t="s">
        <v>1284</v>
      </c>
      <c r="AC19" s="3261"/>
      <c r="AD19" s="3261"/>
      <c r="AE19" s="3261"/>
      <c r="AF19" s="3261"/>
      <c r="AG19" s="3261"/>
      <c r="AH19" s="3261"/>
      <c r="AI19" s="3261"/>
      <c r="AJ19" s="3261">
        <v>0</v>
      </c>
      <c r="AK19" s="3261">
        <v>0</v>
      </c>
      <c r="AL19" s="3261">
        <v>1</v>
      </c>
      <c r="AM19" s="3261">
        <v>0</v>
      </c>
      <c r="AN19" s="3261">
        <v>1</v>
      </c>
      <c r="AO19" s="3261"/>
      <c r="AP19" s="3261">
        <v>0</v>
      </c>
      <c r="AQ19" s="3261">
        <v>0</v>
      </c>
      <c r="AR19" s="161"/>
      <c r="AS19" s="161"/>
      <c r="AT19" s="161">
        <v>2</v>
      </c>
      <c r="AU19" s="73"/>
      <c r="AY19" s="73"/>
      <c r="AZ19" s="73" t="s">
        <v>1293</v>
      </c>
      <c r="BA19" s="2607"/>
      <c r="BB19" s="2607"/>
      <c r="BC19" s="2607">
        <v>0</v>
      </c>
      <c r="BD19" s="2607"/>
      <c r="BE19" s="2607"/>
      <c r="BF19" s="2607"/>
      <c r="BG19" s="2607"/>
      <c r="BH19" s="2607"/>
      <c r="BI19" s="2607"/>
      <c r="BJ19" s="2607">
        <v>2</v>
      </c>
      <c r="BK19" s="2607">
        <v>1</v>
      </c>
      <c r="BL19" s="2607">
        <v>0</v>
      </c>
      <c r="BM19" s="2607">
        <v>0</v>
      </c>
      <c r="BN19" s="2607">
        <v>0</v>
      </c>
      <c r="BO19" s="2607">
        <v>0</v>
      </c>
      <c r="BP19" s="73"/>
      <c r="BQ19" s="73"/>
      <c r="BR19" s="73">
        <v>3</v>
      </c>
      <c r="BS19" s="73"/>
      <c r="BU19" s="2207"/>
      <c r="BV19" s="2207"/>
      <c r="BW19" s="2207"/>
      <c r="BX19" s="2208" t="s">
        <v>1292</v>
      </c>
      <c r="BY19" s="2209"/>
      <c r="BZ19" s="2209"/>
      <c r="CA19" s="2209"/>
      <c r="CB19" s="2209"/>
      <c r="CC19" s="2209"/>
      <c r="CD19" s="2209"/>
      <c r="CE19" s="2209"/>
      <c r="CF19" s="2209"/>
      <c r="CG19" s="2209"/>
      <c r="CH19" s="2209"/>
      <c r="CI19" s="2210">
        <v>0</v>
      </c>
      <c r="CJ19" s="2210">
        <v>1</v>
      </c>
      <c r="CK19" s="2210">
        <v>2</v>
      </c>
      <c r="CL19" s="2211"/>
      <c r="CM19" s="2211"/>
      <c r="CN19" s="2212">
        <v>3</v>
      </c>
      <c r="CO19" s="73"/>
      <c r="CQ19" s="955"/>
      <c r="CR19" s="955"/>
      <c r="CS19" s="955"/>
      <c r="CT19" s="956" t="s">
        <v>1398</v>
      </c>
      <c r="CU19" s="957"/>
      <c r="CV19" s="958">
        <v>0</v>
      </c>
      <c r="CW19" s="958">
        <v>0</v>
      </c>
      <c r="CX19" s="957"/>
      <c r="CY19" s="957"/>
      <c r="CZ19" s="957"/>
      <c r="DA19" s="957"/>
      <c r="DB19" s="958">
        <v>0</v>
      </c>
      <c r="DC19" s="957"/>
      <c r="DD19" s="958">
        <v>4</v>
      </c>
      <c r="DE19" s="958">
        <v>2</v>
      </c>
      <c r="DF19" s="958">
        <v>1</v>
      </c>
      <c r="DG19" s="958">
        <v>0</v>
      </c>
      <c r="DH19" s="958">
        <v>0</v>
      </c>
      <c r="DI19" s="957"/>
      <c r="DJ19" s="959"/>
      <c r="DK19" s="959"/>
      <c r="DL19" s="960">
        <v>7</v>
      </c>
      <c r="DM19" s="161"/>
      <c r="DO19" s="788"/>
      <c r="DP19" s="788"/>
      <c r="DQ19" s="788"/>
      <c r="DR19" s="788"/>
      <c r="DS19" s="789" t="s">
        <v>1289</v>
      </c>
      <c r="DT19" s="961"/>
      <c r="DU19" s="961"/>
      <c r="DV19" s="961"/>
      <c r="DW19" s="961"/>
      <c r="DX19" s="961"/>
      <c r="DY19" s="961"/>
      <c r="DZ19" s="962">
        <v>0</v>
      </c>
      <c r="EA19" s="961"/>
      <c r="EB19" s="962">
        <v>1</v>
      </c>
      <c r="EC19" s="961"/>
      <c r="ED19" s="961"/>
      <c r="EE19" s="961"/>
      <c r="EF19" s="962">
        <v>0</v>
      </c>
      <c r="EG19" s="962">
        <v>0</v>
      </c>
      <c r="EH19" s="961"/>
      <c r="EI19" s="963"/>
      <c r="EJ19" s="963"/>
      <c r="EK19" s="964">
        <v>1</v>
      </c>
      <c r="EL19" s="912"/>
      <c r="EM19" s="73"/>
      <c r="EN19" s="965"/>
      <c r="EO19" s="965"/>
      <c r="EP19" s="73"/>
      <c r="EQ19" s="73"/>
      <c r="ER19" s="73"/>
      <c r="ES19" s="73"/>
      <c r="ET19" s="73"/>
      <c r="EU19" s="73"/>
      <c r="EV19" s="73"/>
      <c r="EW19" s="73"/>
      <c r="EX19" s="73"/>
      <c r="EY19" s="73"/>
      <c r="EZ19" s="73"/>
      <c r="FA19" s="73"/>
      <c r="FB19" s="73"/>
      <c r="FC19" s="73"/>
      <c r="FD19" s="73"/>
      <c r="FE19" s="73"/>
      <c r="FF19" s="73"/>
      <c r="FG19" s="73"/>
      <c r="FH19" s="73"/>
      <c r="FI19" s="161"/>
      <c r="FJ19" s="161"/>
      <c r="FK19" s="73"/>
      <c r="FL19" s="73" t="s">
        <v>1288</v>
      </c>
      <c r="FM19" s="161"/>
      <c r="FN19" s="161"/>
      <c r="FO19" s="161"/>
      <c r="FP19" s="161"/>
      <c r="FQ19" s="161"/>
      <c r="FR19" s="161"/>
      <c r="FS19" s="161"/>
      <c r="FT19" s="161"/>
      <c r="FU19" s="161">
        <v>1</v>
      </c>
      <c r="FV19" s="161">
        <v>0</v>
      </c>
      <c r="FW19" s="161">
        <v>0</v>
      </c>
      <c r="FX19" s="161"/>
      <c r="FY19" s="161"/>
      <c r="FZ19" s="161"/>
      <c r="GA19" s="161"/>
      <c r="GB19" s="161"/>
      <c r="GC19" s="161">
        <v>1</v>
      </c>
      <c r="GD19" s="73"/>
      <c r="GE19" s="73"/>
      <c r="GF19" s="968"/>
      <c r="GG19" s="968"/>
      <c r="GH19" s="968"/>
      <c r="GI19" s="968" t="s">
        <v>1289</v>
      </c>
      <c r="GJ19" s="968">
        <v>0</v>
      </c>
      <c r="GK19" s="968">
        <v>0</v>
      </c>
      <c r="GL19" s="968">
        <v>0</v>
      </c>
      <c r="GM19" s="968">
        <v>0</v>
      </c>
      <c r="GN19" s="968">
        <v>2</v>
      </c>
      <c r="GO19" s="968">
        <v>0</v>
      </c>
      <c r="GP19" s="968">
        <v>0</v>
      </c>
      <c r="GQ19" s="968">
        <v>0</v>
      </c>
      <c r="GR19" s="968">
        <v>1</v>
      </c>
      <c r="GS19" s="968">
        <v>0</v>
      </c>
      <c r="GT19" s="968">
        <v>0</v>
      </c>
      <c r="GU19" s="968">
        <v>0</v>
      </c>
      <c r="GV19" s="968">
        <v>0</v>
      </c>
      <c r="GW19" s="968">
        <v>0</v>
      </c>
      <c r="GX19" s="968">
        <v>0</v>
      </c>
      <c r="GY19" s="968">
        <v>0</v>
      </c>
      <c r="GZ19" s="968">
        <v>3</v>
      </c>
      <c r="HA19" s="968"/>
      <c r="HB19" s="969"/>
    </row>
    <row r="20" spans="1:210">
      <c r="A20" s="73"/>
      <c r="B20" s="73"/>
      <c r="C20" s="738"/>
      <c r="D20" s="738" t="s">
        <v>1398</v>
      </c>
      <c r="E20" s="4694"/>
      <c r="F20" s="4694"/>
      <c r="G20" s="4694"/>
      <c r="H20" s="4694"/>
      <c r="I20" s="4694">
        <v>0</v>
      </c>
      <c r="J20" s="4694"/>
      <c r="K20" s="4694"/>
      <c r="L20" s="4694"/>
      <c r="M20" s="4694"/>
      <c r="N20" s="4694">
        <v>0</v>
      </c>
      <c r="O20" s="4694"/>
      <c r="P20" s="4694">
        <v>1</v>
      </c>
      <c r="Q20" s="4694"/>
      <c r="R20" s="4694">
        <v>0</v>
      </c>
      <c r="S20" s="4694">
        <v>0</v>
      </c>
      <c r="T20" s="738"/>
      <c r="U20" s="738">
        <v>0</v>
      </c>
      <c r="V20" s="738">
        <v>1</v>
      </c>
      <c r="W20" s="73"/>
      <c r="Y20" s="73"/>
      <c r="Z20" s="73"/>
      <c r="AA20" s="73"/>
      <c r="AB20" s="73" t="s">
        <v>1288</v>
      </c>
      <c r="AC20" s="3261"/>
      <c r="AD20" s="3261"/>
      <c r="AE20" s="3261"/>
      <c r="AF20" s="3261"/>
      <c r="AG20" s="3261"/>
      <c r="AH20" s="3261"/>
      <c r="AI20" s="3261"/>
      <c r="AJ20" s="3261">
        <v>0</v>
      </c>
      <c r="AK20" s="3261">
        <v>0</v>
      </c>
      <c r="AL20" s="3261">
        <v>1</v>
      </c>
      <c r="AM20" s="3261">
        <v>0</v>
      </c>
      <c r="AN20" s="3261">
        <v>1</v>
      </c>
      <c r="AO20" s="3261"/>
      <c r="AP20" s="3261">
        <v>1</v>
      </c>
      <c r="AQ20" s="3261">
        <v>0</v>
      </c>
      <c r="AR20" s="161"/>
      <c r="AS20" s="161"/>
      <c r="AT20" s="161">
        <v>3</v>
      </c>
      <c r="AU20" s="73"/>
      <c r="AY20" s="73"/>
      <c r="AZ20" s="738" t="s">
        <v>573</v>
      </c>
      <c r="BA20" s="2608"/>
      <c r="BB20" s="2608"/>
      <c r="BC20" s="2608">
        <v>1</v>
      </c>
      <c r="BD20" s="2608"/>
      <c r="BE20" s="2608"/>
      <c r="BF20" s="2608"/>
      <c r="BG20" s="2608"/>
      <c r="BH20" s="2608"/>
      <c r="BI20" s="2608"/>
      <c r="BJ20" s="2608">
        <v>2</v>
      </c>
      <c r="BK20" s="2608">
        <v>2</v>
      </c>
      <c r="BL20" s="2608">
        <v>1</v>
      </c>
      <c r="BM20" s="2608">
        <v>1</v>
      </c>
      <c r="BN20" s="2608">
        <v>3</v>
      </c>
      <c r="BO20" s="2608">
        <v>1</v>
      </c>
      <c r="BP20" s="738"/>
      <c r="BQ20" s="738"/>
      <c r="BR20" s="738">
        <v>11</v>
      </c>
      <c r="BS20" s="912">
        <f>+BR19/BR20</f>
        <v>0.27272727272727271</v>
      </c>
      <c r="BU20" s="2207"/>
      <c r="BV20" s="2207"/>
      <c r="BW20" s="2207"/>
      <c r="BX20" s="2208" t="s">
        <v>1293</v>
      </c>
      <c r="BY20" s="2209"/>
      <c r="BZ20" s="2209"/>
      <c r="CA20" s="2209"/>
      <c r="CB20" s="2209"/>
      <c r="CC20" s="2209"/>
      <c r="CD20" s="2209"/>
      <c r="CE20" s="2209"/>
      <c r="CF20" s="2209"/>
      <c r="CG20" s="2209"/>
      <c r="CH20" s="2209"/>
      <c r="CI20" s="2210">
        <v>2</v>
      </c>
      <c r="CJ20" s="2210">
        <v>0</v>
      </c>
      <c r="CK20" s="2210">
        <v>0</v>
      </c>
      <c r="CL20" s="2211"/>
      <c r="CM20" s="2211"/>
      <c r="CN20" s="2212">
        <v>2</v>
      </c>
      <c r="CO20" s="73"/>
      <c r="CQ20" s="955"/>
      <c r="CR20" s="955"/>
      <c r="CS20" s="955"/>
      <c r="CT20" s="974" t="s">
        <v>15</v>
      </c>
      <c r="CU20" s="975"/>
      <c r="CV20" s="976">
        <v>1</v>
      </c>
      <c r="CW20" s="976">
        <v>1</v>
      </c>
      <c r="CX20" s="975"/>
      <c r="CY20" s="975"/>
      <c r="CZ20" s="975"/>
      <c r="DA20" s="975"/>
      <c r="DB20" s="976">
        <v>1</v>
      </c>
      <c r="DC20" s="975"/>
      <c r="DD20" s="976">
        <v>7</v>
      </c>
      <c r="DE20" s="976">
        <v>6</v>
      </c>
      <c r="DF20" s="976">
        <v>2</v>
      </c>
      <c r="DG20" s="976">
        <v>1</v>
      </c>
      <c r="DH20" s="976">
        <v>1</v>
      </c>
      <c r="DI20" s="975"/>
      <c r="DJ20" s="977"/>
      <c r="DK20" s="977"/>
      <c r="DL20" s="978">
        <v>20</v>
      </c>
      <c r="DM20" s="912">
        <f>+(DL17+DL18+DL19)/DL20</f>
        <v>0.5</v>
      </c>
      <c r="DO20" s="788"/>
      <c r="DP20" s="788"/>
      <c r="DQ20" s="788"/>
      <c r="DR20" s="788"/>
      <c r="DS20" s="789" t="s">
        <v>1292</v>
      </c>
      <c r="DT20" s="961"/>
      <c r="DU20" s="961"/>
      <c r="DV20" s="961"/>
      <c r="DW20" s="961"/>
      <c r="DX20" s="961"/>
      <c r="DY20" s="961"/>
      <c r="DZ20" s="962">
        <v>0</v>
      </c>
      <c r="EA20" s="961"/>
      <c r="EB20" s="962">
        <v>0</v>
      </c>
      <c r="EC20" s="961"/>
      <c r="ED20" s="961"/>
      <c r="EE20" s="961"/>
      <c r="EF20" s="962">
        <v>2</v>
      </c>
      <c r="EG20" s="962">
        <v>2</v>
      </c>
      <c r="EH20" s="961"/>
      <c r="EI20" s="963"/>
      <c r="EJ20" s="963"/>
      <c r="EK20" s="964">
        <v>4</v>
      </c>
      <c r="EL20" s="912"/>
      <c r="EM20" s="73"/>
      <c r="EN20" s="965"/>
      <c r="EO20" s="965"/>
      <c r="EP20" s="73"/>
      <c r="EQ20" s="73"/>
      <c r="ER20" s="73"/>
      <c r="ES20" s="73"/>
      <c r="ET20" s="73"/>
      <c r="EU20" s="73"/>
      <c r="EV20" s="73"/>
      <c r="EW20" s="73"/>
      <c r="EX20" s="73"/>
      <c r="EY20" s="73"/>
      <c r="EZ20" s="73"/>
      <c r="FA20" s="73"/>
      <c r="FB20" s="73"/>
      <c r="FC20" s="73"/>
      <c r="FD20" s="73"/>
      <c r="FE20" s="73"/>
      <c r="FF20" s="73"/>
      <c r="FG20" s="73"/>
      <c r="FH20" s="73"/>
      <c r="FI20" s="161"/>
      <c r="FJ20" s="161"/>
      <c r="FK20" s="73"/>
      <c r="FL20" s="73" t="s">
        <v>1398</v>
      </c>
      <c r="FM20" s="161"/>
      <c r="FN20" s="161"/>
      <c r="FO20" s="161"/>
      <c r="FP20" s="161"/>
      <c r="FQ20" s="161"/>
      <c r="FR20" s="161"/>
      <c r="FS20" s="161"/>
      <c r="FT20" s="161"/>
      <c r="FU20" s="161">
        <v>1</v>
      </c>
      <c r="FV20" s="161">
        <v>0</v>
      </c>
      <c r="FW20" s="161">
        <v>0</v>
      </c>
      <c r="FX20" s="161"/>
      <c r="FY20" s="161"/>
      <c r="FZ20" s="161"/>
      <c r="GA20" s="161"/>
      <c r="GB20" s="161"/>
      <c r="GC20" s="161">
        <v>1</v>
      </c>
      <c r="GD20" s="73"/>
      <c r="GE20" s="73"/>
      <c r="GF20" s="968"/>
      <c r="GG20" s="968"/>
      <c r="GH20" s="968"/>
      <c r="GI20" s="979" t="s">
        <v>15</v>
      </c>
      <c r="GJ20" s="979">
        <v>0</v>
      </c>
      <c r="GK20" s="979">
        <v>0</v>
      </c>
      <c r="GL20" s="979">
        <v>0</v>
      </c>
      <c r="GM20" s="979">
        <v>0</v>
      </c>
      <c r="GN20" s="979">
        <v>2</v>
      </c>
      <c r="GO20" s="979">
        <v>2</v>
      </c>
      <c r="GP20" s="979">
        <v>0</v>
      </c>
      <c r="GQ20" s="979">
        <v>0</v>
      </c>
      <c r="GR20" s="979">
        <v>1</v>
      </c>
      <c r="GS20" s="979">
        <v>0</v>
      </c>
      <c r="GT20" s="979">
        <v>0</v>
      </c>
      <c r="GU20" s="979">
        <v>0</v>
      </c>
      <c r="GV20" s="979">
        <v>0</v>
      </c>
      <c r="GW20" s="979">
        <v>0</v>
      </c>
      <c r="GX20" s="979">
        <v>0</v>
      </c>
      <c r="GY20" s="979">
        <v>0</v>
      </c>
      <c r="GZ20" s="979">
        <v>5</v>
      </c>
      <c r="HA20" s="980">
        <f>+GZ18/GZ20</f>
        <v>0.2</v>
      </c>
      <c r="HB20" s="969">
        <f>+GZ18</f>
        <v>1</v>
      </c>
    </row>
    <row r="21" spans="1:210">
      <c r="A21" s="73"/>
      <c r="B21" s="73"/>
      <c r="C21" s="738"/>
      <c r="D21" s="738" t="s">
        <v>572</v>
      </c>
      <c r="E21" s="4694"/>
      <c r="F21" s="4694"/>
      <c r="G21" s="4694"/>
      <c r="H21" s="4694"/>
      <c r="I21" s="4694">
        <v>1</v>
      </c>
      <c r="J21" s="4694"/>
      <c r="K21" s="4694"/>
      <c r="L21" s="4694"/>
      <c r="M21" s="4694"/>
      <c r="N21" s="4694">
        <v>5</v>
      </c>
      <c r="O21" s="4694"/>
      <c r="P21" s="4694">
        <v>2</v>
      </c>
      <c r="Q21" s="4694"/>
      <c r="R21" s="4694">
        <v>1</v>
      </c>
      <c r="S21" s="4694">
        <v>1</v>
      </c>
      <c r="T21" s="738"/>
      <c r="U21" s="738">
        <v>1</v>
      </c>
      <c r="V21" s="738">
        <v>11</v>
      </c>
      <c r="W21" s="912">
        <f>+(V20+V19+V17)/V21</f>
        <v>0.63636363636363635</v>
      </c>
      <c r="X21" s="3197"/>
      <c r="Y21" s="73"/>
      <c r="Z21" s="73"/>
      <c r="AA21" s="73"/>
      <c r="AB21" s="73" t="s">
        <v>1289</v>
      </c>
      <c r="AC21" s="3261"/>
      <c r="AD21" s="3261"/>
      <c r="AE21" s="3261"/>
      <c r="AF21" s="3261"/>
      <c r="AG21" s="3261"/>
      <c r="AH21" s="3261"/>
      <c r="AI21" s="3261"/>
      <c r="AJ21" s="3261">
        <v>1</v>
      </c>
      <c r="AK21" s="3261">
        <v>0</v>
      </c>
      <c r="AL21" s="3261">
        <v>0</v>
      </c>
      <c r="AM21" s="3261">
        <v>0</v>
      </c>
      <c r="AN21" s="3261">
        <v>0</v>
      </c>
      <c r="AO21" s="3261"/>
      <c r="AP21" s="3261">
        <v>0</v>
      </c>
      <c r="AQ21" s="3261">
        <v>0</v>
      </c>
      <c r="AR21" s="161"/>
      <c r="AS21" s="161"/>
      <c r="AT21" s="161">
        <v>1</v>
      </c>
      <c r="AU21" s="73"/>
      <c r="AX21" s="161" t="s">
        <v>105</v>
      </c>
      <c r="AY21" s="73" t="s">
        <v>106</v>
      </c>
      <c r="AZ21" s="73" t="s">
        <v>1398</v>
      </c>
      <c r="BA21" s="2607"/>
      <c r="BB21" s="2607"/>
      <c r="BC21" s="2607"/>
      <c r="BD21" s="2607"/>
      <c r="BE21" s="2607"/>
      <c r="BF21" s="2607"/>
      <c r="BG21" s="2607">
        <v>1</v>
      </c>
      <c r="BH21" s="2607"/>
      <c r="BI21" s="2607"/>
      <c r="BJ21" s="2607">
        <v>1</v>
      </c>
      <c r="BK21" s="2607"/>
      <c r="BL21" s="2607"/>
      <c r="BM21" s="2607"/>
      <c r="BN21" s="2607"/>
      <c r="BO21" s="2607"/>
      <c r="BP21" s="73"/>
      <c r="BQ21" s="73"/>
      <c r="BR21" s="73">
        <v>2</v>
      </c>
      <c r="BS21" s="73"/>
      <c r="BU21" s="2207"/>
      <c r="BV21" s="2207"/>
      <c r="BW21" s="2207"/>
      <c r="BX21" s="2208" t="s">
        <v>1398</v>
      </c>
      <c r="BY21" s="2209"/>
      <c r="BZ21" s="2209"/>
      <c r="CA21" s="2209"/>
      <c r="CB21" s="2209"/>
      <c r="CC21" s="2209"/>
      <c r="CD21" s="2209"/>
      <c r="CE21" s="2209"/>
      <c r="CF21" s="2209"/>
      <c r="CG21" s="2209"/>
      <c r="CH21" s="2209"/>
      <c r="CI21" s="2210">
        <v>1</v>
      </c>
      <c r="CJ21" s="2210">
        <v>0</v>
      </c>
      <c r="CK21" s="2210">
        <v>0</v>
      </c>
      <c r="CL21" s="2211"/>
      <c r="CM21" s="2211"/>
      <c r="CN21" s="2212">
        <v>1</v>
      </c>
      <c r="CO21" s="73"/>
      <c r="CQ21" s="955"/>
      <c r="CR21" s="955"/>
      <c r="CS21" s="955" t="s">
        <v>573</v>
      </c>
      <c r="CT21" s="956" t="s">
        <v>1284</v>
      </c>
      <c r="CU21" s="957"/>
      <c r="CV21" s="958">
        <v>1</v>
      </c>
      <c r="CW21" s="958">
        <v>0</v>
      </c>
      <c r="CX21" s="957"/>
      <c r="CY21" s="957"/>
      <c r="CZ21" s="957"/>
      <c r="DA21" s="957"/>
      <c r="DB21" s="958">
        <v>1</v>
      </c>
      <c r="DC21" s="957"/>
      <c r="DD21" s="958">
        <v>2</v>
      </c>
      <c r="DE21" s="958">
        <v>2</v>
      </c>
      <c r="DF21" s="958">
        <v>0</v>
      </c>
      <c r="DG21" s="958">
        <v>1</v>
      </c>
      <c r="DH21" s="958">
        <v>1</v>
      </c>
      <c r="DI21" s="957"/>
      <c r="DJ21" s="959"/>
      <c r="DK21" s="959"/>
      <c r="DL21" s="960">
        <v>8</v>
      </c>
      <c r="DM21" s="161"/>
      <c r="DO21" s="788"/>
      <c r="DP21" s="788"/>
      <c r="DQ21" s="788"/>
      <c r="DR21" s="73"/>
      <c r="DS21" s="809" t="s">
        <v>15</v>
      </c>
      <c r="DT21" s="970"/>
      <c r="DU21" s="970"/>
      <c r="DV21" s="970"/>
      <c r="DW21" s="970"/>
      <c r="DX21" s="970"/>
      <c r="DY21" s="970"/>
      <c r="DZ21" s="971">
        <v>1</v>
      </c>
      <c r="EA21" s="970"/>
      <c r="EB21" s="971">
        <v>1</v>
      </c>
      <c r="EC21" s="970"/>
      <c r="ED21" s="970"/>
      <c r="EE21" s="970"/>
      <c r="EF21" s="971">
        <v>2</v>
      </c>
      <c r="EG21" s="971">
        <v>2</v>
      </c>
      <c r="EH21" s="970"/>
      <c r="EI21" s="972"/>
      <c r="EJ21" s="972"/>
      <c r="EK21" s="973">
        <v>6</v>
      </c>
      <c r="EL21" s="912">
        <v>0</v>
      </c>
      <c r="EM21" s="73"/>
      <c r="EN21" s="965"/>
      <c r="EO21" s="965"/>
      <c r="EP21" s="73"/>
      <c r="EQ21" s="73"/>
      <c r="ER21" s="73"/>
      <c r="ES21" s="73"/>
      <c r="ET21" s="73"/>
      <c r="EU21" s="73"/>
      <c r="EV21" s="73"/>
      <c r="EW21" s="73"/>
      <c r="EX21" s="73"/>
      <c r="EY21" s="73"/>
      <c r="EZ21" s="73"/>
      <c r="FA21" s="73"/>
      <c r="FB21" s="73"/>
      <c r="FC21" s="73"/>
      <c r="FD21" s="73"/>
      <c r="FE21" s="73"/>
      <c r="FF21" s="73"/>
      <c r="FG21" s="73"/>
      <c r="FH21" s="73"/>
      <c r="FI21" s="161"/>
      <c r="FJ21" s="161"/>
      <c r="FK21" s="73"/>
      <c r="FL21" s="738" t="s">
        <v>15</v>
      </c>
      <c r="FM21" s="151"/>
      <c r="FN21" s="151"/>
      <c r="FO21" s="151"/>
      <c r="FP21" s="151"/>
      <c r="FQ21" s="151"/>
      <c r="FR21" s="151"/>
      <c r="FS21" s="151"/>
      <c r="FT21" s="151"/>
      <c r="FU21" s="151">
        <v>6</v>
      </c>
      <c r="FV21" s="151">
        <v>6</v>
      </c>
      <c r="FW21" s="151">
        <v>1</v>
      </c>
      <c r="FX21" s="151"/>
      <c r="FY21" s="151"/>
      <c r="FZ21" s="151"/>
      <c r="GA21" s="151"/>
      <c r="GB21" s="151"/>
      <c r="GC21" s="151">
        <v>13</v>
      </c>
      <c r="GD21" s="983">
        <f>+(GC19+GC20)/GC21</f>
        <v>0.15384615384615385</v>
      </c>
      <c r="GE21" s="73"/>
      <c r="GF21" s="968" t="s">
        <v>25</v>
      </c>
      <c r="GG21" s="968" t="s">
        <v>4</v>
      </c>
      <c r="GH21" s="968" t="s">
        <v>121</v>
      </c>
      <c r="GI21" s="968" t="s">
        <v>1292</v>
      </c>
      <c r="GJ21" s="968">
        <v>0</v>
      </c>
      <c r="GK21" s="968">
        <v>0</v>
      </c>
      <c r="GL21" s="968">
        <v>0</v>
      </c>
      <c r="GM21" s="968">
        <v>0</v>
      </c>
      <c r="GN21" s="968">
        <v>0</v>
      </c>
      <c r="GO21" s="968">
        <v>0</v>
      </c>
      <c r="GP21" s="968">
        <v>0</v>
      </c>
      <c r="GQ21" s="968">
        <v>0</v>
      </c>
      <c r="GR21" s="968">
        <v>0</v>
      </c>
      <c r="GS21" s="968">
        <v>0</v>
      </c>
      <c r="GT21" s="968">
        <v>0</v>
      </c>
      <c r="GU21" s="968">
        <v>0</v>
      </c>
      <c r="GV21" s="968">
        <v>1</v>
      </c>
      <c r="GW21" s="968">
        <v>0</v>
      </c>
      <c r="GX21" s="968">
        <v>2</v>
      </c>
      <c r="GY21" s="968">
        <v>0</v>
      </c>
      <c r="GZ21" s="968">
        <v>3</v>
      </c>
      <c r="HA21" s="968"/>
      <c r="HB21" s="969"/>
    </row>
    <row r="22" spans="1:210">
      <c r="A22" s="73"/>
      <c r="B22" s="73" t="s">
        <v>16</v>
      </c>
      <c r="C22" s="73" t="s">
        <v>119</v>
      </c>
      <c r="D22" s="73" t="s">
        <v>1284</v>
      </c>
      <c r="E22" s="967">
        <v>1</v>
      </c>
      <c r="F22" s="967"/>
      <c r="G22" s="967"/>
      <c r="H22" s="967"/>
      <c r="I22" s="967"/>
      <c r="J22" s="967"/>
      <c r="K22" s="967"/>
      <c r="L22" s="967"/>
      <c r="M22" s="967"/>
      <c r="N22" s="967"/>
      <c r="O22" s="967">
        <v>0</v>
      </c>
      <c r="P22" s="967"/>
      <c r="Q22" s="967">
        <v>0</v>
      </c>
      <c r="R22" s="967">
        <v>3</v>
      </c>
      <c r="S22" s="967">
        <v>0</v>
      </c>
      <c r="T22" s="73"/>
      <c r="U22" s="73"/>
      <c r="V22" s="73">
        <v>4</v>
      </c>
      <c r="W22" s="73"/>
      <c r="Y22" s="73"/>
      <c r="Z22" s="73"/>
      <c r="AA22" s="73"/>
      <c r="AB22" s="73" t="s">
        <v>1292</v>
      </c>
      <c r="AC22" s="3261"/>
      <c r="AD22" s="3261"/>
      <c r="AE22" s="3261"/>
      <c r="AF22" s="3261"/>
      <c r="AG22" s="3261"/>
      <c r="AH22" s="3261"/>
      <c r="AI22" s="3261"/>
      <c r="AJ22" s="3261">
        <v>0</v>
      </c>
      <c r="AK22" s="3261">
        <v>0</v>
      </c>
      <c r="AL22" s="3261">
        <v>0</v>
      </c>
      <c r="AM22" s="3261">
        <v>0</v>
      </c>
      <c r="AN22" s="3261">
        <v>1</v>
      </c>
      <c r="AO22" s="3261"/>
      <c r="AP22" s="3261">
        <v>0</v>
      </c>
      <c r="AQ22" s="3261">
        <v>1</v>
      </c>
      <c r="AR22" s="161"/>
      <c r="AS22" s="161"/>
      <c r="AT22" s="161">
        <v>2</v>
      </c>
      <c r="AU22" s="73"/>
      <c r="AY22" s="73"/>
      <c r="AZ22" s="738" t="s">
        <v>15</v>
      </c>
      <c r="BA22" s="2608"/>
      <c r="BB22" s="2608"/>
      <c r="BC22" s="2608"/>
      <c r="BD22" s="2608"/>
      <c r="BE22" s="2608"/>
      <c r="BF22" s="2608"/>
      <c r="BG22" s="2608">
        <v>1</v>
      </c>
      <c r="BH22" s="2608"/>
      <c r="BI22" s="2608"/>
      <c r="BJ22" s="2608">
        <v>1</v>
      </c>
      <c r="BK22" s="2608"/>
      <c r="BL22" s="2608"/>
      <c r="BM22" s="2608"/>
      <c r="BN22" s="2608"/>
      <c r="BO22" s="2608"/>
      <c r="BP22" s="738"/>
      <c r="BQ22" s="738"/>
      <c r="BR22" s="738">
        <v>2</v>
      </c>
      <c r="BS22" s="912">
        <f>+BR21/BR22</f>
        <v>1</v>
      </c>
      <c r="BU22" s="2207"/>
      <c r="BV22" s="2207"/>
      <c r="BW22" s="2207"/>
      <c r="BX22" s="2204" t="s">
        <v>573</v>
      </c>
      <c r="BY22" s="2213"/>
      <c r="BZ22" s="2213"/>
      <c r="CA22" s="2213"/>
      <c r="CB22" s="2213"/>
      <c r="CC22" s="2213"/>
      <c r="CD22" s="2213"/>
      <c r="CE22" s="2213"/>
      <c r="CF22" s="2213"/>
      <c r="CG22" s="2213"/>
      <c r="CH22" s="2213"/>
      <c r="CI22" s="2214">
        <v>7</v>
      </c>
      <c r="CJ22" s="2214">
        <v>2</v>
      </c>
      <c r="CK22" s="2214">
        <v>2</v>
      </c>
      <c r="CL22" s="2215"/>
      <c r="CM22" s="2215"/>
      <c r="CN22" s="2216">
        <v>11</v>
      </c>
      <c r="CO22" s="2154">
        <f>+(CN20+CN21)/CN22</f>
        <v>0.27272727272727271</v>
      </c>
      <c r="CQ22" s="955"/>
      <c r="CR22" s="955"/>
      <c r="CS22" s="955"/>
      <c r="CT22" s="956" t="s">
        <v>1286</v>
      </c>
      <c r="CU22" s="957"/>
      <c r="CV22" s="958">
        <v>0</v>
      </c>
      <c r="CW22" s="958">
        <v>1</v>
      </c>
      <c r="CX22" s="957"/>
      <c r="CY22" s="957"/>
      <c r="CZ22" s="957"/>
      <c r="DA22" s="957"/>
      <c r="DB22" s="958">
        <v>0</v>
      </c>
      <c r="DC22" s="957"/>
      <c r="DD22" s="958">
        <v>1</v>
      </c>
      <c r="DE22" s="958">
        <v>0</v>
      </c>
      <c r="DF22" s="958">
        <v>0</v>
      </c>
      <c r="DG22" s="958">
        <v>0</v>
      </c>
      <c r="DH22" s="958">
        <v>0</v>
      </c>
      <c r="DI22" s="957"/>
      <c r="DJ22" s="959"/>
      <c r="DK22" s="959"/>
      <c r="DL22" s="960">
        <v>2</v>
      </c>
      <c r="DM22" s="161"/>
      <c r="DO22" s="788"/>
      <c r="DP22" s="788"/>
      <c r="DQ22" s="809" t="s">
        <v>573</v>
      </c>
      <c r="DR22" s="788" t="s">
        <v>1282</v>
      </c>
      <c r="DS22" s="789" t="s">
        <v>1284</v>
      </c>
      <c r="DT22" s="961"/>
      <c r="DU22" s="961"/>
      <c r="DV22" s="961"/>
      <c r="DW22" s="961"/>
      <c r="DX22" s="961"/>
      <c r="DY22" s="961"/>
      <c r="DZ22" s="962">
        <v>1</v>
      </c>
      <c r="EA22" s="961"/>
      <c r="EB22" s="962">
        <v>0</v>
      </c>
      <c r="EC22" s="961"/>
      <c r="ED22" s="961"/>
      <c r="EE22" s="961"/>
      <c r="EF22" s="962">
        <v>0</v>
      </c>
      <c r="EG22" s="962">
        <v>0</v>
      </c>
      <c r="EH22" s="961"/>
      <c r="EI22" s="963"/>
      <c r="EJ22" s="963"/>
      <c r="EK22" s="964">
        <v>1</v>
      </c>
      <c r="EL22" s="912"/>
      <c r="EM22" s="73"/>
      <c r="EN22" s="965"/>
      <c r="EO22" s="965"/>
      <c r="EP22" s="73"/>
      <c r="EQ22" s="73"/>
      <c r="ER22" s="73"/>
      <c r="ES22" s="73"/>
      <c r="ET22" s="73"/>
      <c r="EU22" s="73"/>
      <c r="EV22" s="73"/>
      <c r="EW22" s="73"/>
      <c r="EX22" s="73"/>
      <c r="EY22" s="73"/>
      <c r="EZ22" s="73"/>
      <c r="FA22" s="73"/>
      <c r="FB22" s="73"/>
      <c r="FC22" s="73"/>
      <c r="FD22" s="73"/>
      <c r="FE22" s="73"/>
      <c r="FF22" s="73"/>
      <c r="FG22" s="73"/>
      <c r="FH22" s="73"/>
      <c r="FI22" s="161"/>
      <c r="FJ22" s="161"/>
      <c r="FK22" s="73" t="s">
        <v>120</v>
      </c>
      <c r="FL22" s="73" t="s">
        <v>1284</v>
      </c>
      <c r="FM22" s="161">
        <v>2</v>
      </c>
      <c r="FN22" s="161"/>
      <c r="FO22" s="161"/>
      <c r="FP22" s="161"/>
      <c r="FQ22" s="161"/>
      <c r="FR22" s="161"/>
      <c r="FS22" s="161">
        <v>0</v>
      </c>
      <c r="FT22" s="161">
        <v>1</v>
      </c>
      <c r="FU22" s="161">
        <v>6</v>
      </c>
      <c r="FV22" s="161"/>
      <c r="FW22" s="161"/>
      <c r="FX22" s="161"/>
      <c r="FY22" s="161"/>
      <c r="FZ22" s="161"/>
      <c r="GA22" s="161"/>
      <c r="GB22" s="161"/>
      <c r="GC22" s="161">
        <v>9</v>
      </c>
      <c r="GD22" s="73"/>
      <c r="GE22" s="73"/>
      <c r="GF22" s="968"/>
      <c r="GG22" s="968"/>
      <c r="GH22" s="968"/>
      <c r="GI22" s="979" t="s">
        <v>15</v>
      </c>
      <c r="GJ22" s="979">
        <v>0</v>
      </c>
      <c r="GK22" s="979">
        <v>0</v>
      </c>
      <c r="GL22" s="979">
        <v>0</v>
      </c>
      <c r="GM22" s="979">
        <v>0</v>
      </c>
      <c r="GN22" s="979">
        <v>0</v>
      </c>
      <c r="GO22" s="979">
        <v>0</v>
      </c>
      <c r="GP22" s="979">
        <v>0</v>
      </c>
      <c r="GQ22" s="979">
        <v>0</v>
      </c>
      <c r="GR22" s="979">
        <v>0</v>
      </c>
      <c r="GS22" s="979">
        <v>0</v>
      </c>
      <c r="GT22" s="979">
        <v>0</v>
      </c>
      <c r="GU22" s="979">
        <v>0</v>
      </c>
      <c r="GV22" s="979">
        <v>1</v>
      </c>
      <c r="GW22" s="979">
        <v>0</v>
      </c>
      <c r="GX22" s="979">
        <v>2</v>
      </c>
      <c r="GY22" s="979">
        <v>0</v>
      </c>
      <c r="GZ22" s="979">
        <v>3</v>
      </c>
      <c r="HA22" s="980">
        <f>0/GZ22</f>
        <v>0</v>
      </c>
      <c r="HB22" s="969">
        <v>0</v>
      </c>
    </row>
    <row r="23" spans="1:210">
      <c r="A23" s="73"/>
      <c r="B23" s="73"/>
      <c r="C23" s="73"/>
      <c r="D23" s="73" t="s">
        <v>1292</v>
      </c>
      <c r="E23" s="967">
        <v>0</v>
      </c>
      <c r="F23" s="967"/>
      <c r="G23" s="967"/>
      <c r="H23" s="967"/>
      <c r="I23" s="967"/>
      <c r="J23" s="967"/>
      <c r="K23" s="967"/>
      <c r="L23" s="967"/>
      <c r="M23" s="967"/>
      <c r="N23" s="967"/>
      <c r="O23" s="967">
        <v>0</v>
      </c>
      <c r="P23" s="967"/>
      <c r="Q23" s="967">
        <v>0</v>
      </c>
      <c r="R23" s="967">
        <v>0</v>
      </c>
      <c r="S23" s="967">
        <v>6</v>
      </c>
      <c r="T23" s="73"/>
      <c r="U23" s="73"/>
      <c r="V23" s="73">
        <v>6</v>
      </c>
      <c r="W23" s="73"/>
      <c r="Y23" s="73"/>
      <c r="Z23" s="73"/>
      <c r="AA23" s="73"/>
      <c r="AB23" s="73" t="s">
        <v>1398</v>
      </c>
      <c r="AC23" s="3261"/>
      <c r="AD23" s="3261"/>
      <c r="AE23" s="3261"/>
      <c r="AF23" s="3261"/>
      <c r="AG23" s="3261"/>
      <c r="AH23" s="3261"/>
      <c r="AI23" s="3261"/>
      <c r="AJ23" s="3261">
        <v>0</v>
      </c>
      <c r="AK23" s="3261">
        <v>1</v>
      </c>
      <c r="AL23" s="3261">
        <v>0</v>
      </c>
      <c r="AM23" s="3261">
        <v>2</v>
      </c>
      <c r="AN23" s="3261">
        <v>0</v>
      </c>
      <c r="AO23" s="3261"/>
      <c r="AP23" s="3261">
        <v>0</v>
      </c>
      <c r="AQ23" s="3261">
        <v>0</v>
      </c>
      <c r="AR23" s="161"/>
      <c r="AS23" s="161"/>
      <c r="AT23" s="161">
        <v>3</v>
      </c>
      <c r="AU23" s="73"/>
      <c r="AY23" s="73" t="s">
        <v>1692</v>
      </c>
      <c r="AZ23" s="73" t="s">
        <v>1398</v>
      </c>
      <c r="BA23" s="2607"/>
      <c r="BB23" s="2607"/>
      <c r="BC23" s="2607"/>
      <c r="BD23" s="2607"/>
      <c r="BE23" s="2607"/>
      <c r="BF23" s="2607"/>
      <c r="BG23" s="2607"/>
      <c r="BH23" s="2607"/>
      <c r="BI23" s="2607"/>
      <c r="BJ23" s="2607">
        <v>1</v>
      </c>
      <c r="BK23" s="2607"/>
      <c r="BL23" s="2607"/>
      <c r="BM23" s="2607"/>
      <c r="BN23" s="2607"/>
      <c r="BO23" s="2607"/>
      <c r="BP23" s="73"/>
      <c r="BQ23" s="73"/>
      <c r="BR23" s="73">
        <v>1</v>
      </c>
      <c r="BS23" s="73"/>
      <c r="BU23" s="2207"/>
      <c r="BV23" s="2207" t="s">
        <v>105</v>
      </c>
      <c r="BW23" s="2207" t="s">
        <v>106</v>
      </c>
      <c r="BX23" s="2208" t="s">
        <v>1289</v>
      </c>
      <c r="BY23" s="2209"/>
      <c r="BZ23" s="2209"/>
      <c r="CA23" s="2209"/>
      <c r="CB23" s="2209"/>
      <c r="CC23" s="2209"/>
      <c r="CD23" s="2210">
        <v>3</v>
      </c>
      <c r="CE23" s="2209"/>
      <c r="CF23" s="2209"/>
      <c r="CG23" s="2209"/>
      <c r="CH23" s="2209"/>
      <c r="CI23" s="2209"/>
      <c r="CJ23" s="2209"/>
      <c r="CK23" s="2209"/>
      <c r="CL23" s="2211"/>
      <c r="CM23" s="2211"/>
      <c r="CN23" s="2212">
        <v>3</v>
      </c>
      <c r="CO23" s="73"/>
      <c r="CQ23" s="955"/>
      <c r="CR23" s="955"/>
      <c r="CS23" s="955"/>
      <c r="CT23" s="956" t="s">
        <v>1288</v>
      </c>
      <c r="CU23" s="957"/>
      <c r="CV23" s="958">
        <v>0</v>
      </c>
      <c r="CW23" s="958">
        <v>0</v>
      </c>
      <c r="CX23" s="957"/>
      <c r="CY23" s="957"/>
      <c r="CZ23" s="957"/>
      <c r="DA23" s="957"/>
      <c r="DB23" s="958">
        <v>0</v>
      </c>
      <c r="DC23" s="957"/>
      <c r="DD23" s="958">
        <v>0</v>
      </c>
      <c r="DE23" s="958">
        <v>1</v>
      </c>
      <c r="DF23" s="958">
        <v>0</v>
      </c>
      <c r="DG23" s="958">
        <v>0</v>
      </c>
      <c r="DH23" s="958">
        <v>0</v>
      </c>
      <c r="DI23" s="957"/>
      <c r="DJ23" s="959"/>
      <c r="DK23" s="959"/>
      <c r="DL23" s="960">
        <v>1</v>
      </c>
      <c r="DM23" s="161"/>
      <c r="DO23" s="788"/>
      <c r="DP23" s="788"/>
      <c r="DQ23" s="788"/>
      <c r="DR23" s="788"/>
      <c r="DS23" s="789" t="s">
        <v>1289</v>
      </c>
      <c r="DT23" s="961"/>
      <c r="DU23" s="961"/>
      <c r="DV23" s="961"/>
      <c r="DW23" s="961"/>
      <c r="DX23" s="961"/>
      <c r="DY23" s="961"/>
      <c r="DZ23" s="962">
        <v>0</v>
      </c>
      <c r="EA23" s="961"/>
      <c r="EB23" s="962">
        <v>1</v>
      </c>
      <c r="EC23" s="961"/>
      <c r="ED23" s="961"/>
      <c r="EE23" s="961"/>
      <c r="EF23" s="962">
        <v>0</v>
      </c>
      <c r="EG23" s="962">
        <v>0</v>
      </c>
      <c r="EH23" s="961"/>
      <c r="EI23" s="963"/>
      <c r="EJ23" s="963"/>
      <c r="EK23" s="964">
        <v>1</v>
      </c>
      <c r="EL23" s="912"/>
      <c r="EM23" s="73"/>
      <c r="EN23" s="965"/>
      <c r="EO23" s="965"/>
      <c r="EP23" s="73"/>
      <c r="EQ23" s="73"/>
      <c r="ER23" s="73"/>
      <c r="ES23" s="73"/>
      <c r="ET23" s="73"/>
      <c r="EU23" s="73"/>
      <c r="EV23" s="73"/>
      <c r="EW23" s="73"/>
      <c r="EX23" s="73"/>
      <c r="EY23" s="73"/>
      <c r="EZ23" s="73"/>
      <c r="FA23" s="73"/>
      <c r="FB23" s="73"/>
      <c r="FC23" s="73"/>
      <c r="FD23" s="73"/>
      <c r="FE23" s="73"/>
      <c r="FF23" s="73"/>
      <c r="FG23" s="73"/>
      <c r="FH23" s="73"/>
      <c r="FI23" s="161"/>
      <c r="FJ23" s="161"/>
      <c r="FK23" s="73"/>
      <c r="FL23" s="73" t="s">
        <v>1288</v>
      </c>
      <c r="FM23" s="161">
        <v>0</v>
      </c>
      <c r="FN23" s="161"/>
      <c r="FO23" s="161"/>
      <c r="FP23" s="161"/>
      <c r="FQ23" s="161"/>
      <c r="FR23" s="161"/>
      <c r="FS23" s="161">
        <v>0</v>
      </c>
      <c r="FT23" s="161">
        <v>0</v>
      </c>
      <c r="FU23" s="161">
        <v>2</v>
      </c>
      <c r="FV23" s="161"/>
      <c r="FW23" s="161"/>
      <c r="FX23" s="161"/>
      <c r="FY23" s="161"/>
      <c r="FZ23" s="161"/>
      <c r="GA23" s="161"/>
      <c r="GB23" s="161"/>
      <c r="GC23" s="161">
        <v>2</v>
      </c>
      <c r="GD23" s="73"/>
      <c r="GE23" s="73"/>
      <c r="GF23" s="968"/>
      <c r="GG23" s="968"/>
      <c r="GH23" s="968" t="s">
        <v>122</v>
      </c>
      <c r="GI23" s="968" t="s">
        <v>1284</v>
      </c>
      <c r="GJ23" s="968">
        <v>0</v>
      </c>
      <c r="GK23" s="968">
        <v>0</v>
      </c>
      <c r="GL23" s="968">
        <v>0</v>
      </c>
      <c r="GM23" s="968">
        <v>0</v>
      </c>
      <c r="GN23" s="968">
        <v>0</v>
      </c>
      <c r="GO23" s="968">
        <v>0</v>
      </c>
      <c r="GP23" s="968">
        <v>0</v>
      </c>
      <c r="GQ23" s="968">
        <v>0</v>
      </c>
      <c r="GR23" s="968">
        <v>0</v>
      </c>
      <c r="GS23" s="968">
        <v>0</v>
      </c>
      <c r="GT23" s="968">
        <v>0</v>
      </c>
      <c r="GU23" s="968">
        <v>0</v>
      </c>
      <c r="GV23" s="968">
        <v>0</v>
      </c>
      <c r="GW23" s="968">
        <v>1</v>
      </c>
      <c r="GX23" s="968">
        <v>0</v>
      </c>
      <c r="GY23" s="968">
        <v>0</v>
      </c>
      <c r="GZ23" s="968">
        <v>1</v>
      </c>
      <c r="HA23" s="968"/>
      <c r="HB23" s="969"/>
    </row>
    <row r="24" spans="1:210">
      <c r="A24" s="73"/>
      <c r="B24" s="73"/>
      <c r="C24" s="73"/>
      <c r="D24" s="73" t="s">
        <v>1293</v>
      </c>
      <c r="E24" s="967">
        <v>0</v>
      </c>
      <c r="F24" s="967"/>
      <c r="G24" s="967"/>
      <c r="H24" s="967"/>
      <c r="I24" s="967"/>
      <c r="J24" s="967"/>
      <c r="K24" s="967"/>
      <c r="L24" s="967"/>
      <c r="M24" s="967"/>
      <c r="N24" s="967"/>
      <c r="O24" s="967">
        <v>0</v>
      </c>
      <c r="P24" s="967"/>
      <c r="Q24" s="967">
        <v>0</v>
      </c>
      <c r="R24" s="967">
        <v>1</v>
      </c>
      <c r="S24" s="967">
        <v>0</v>
      </c>
      <c r="T24" s="73"/>
      <c r="U24" s="73"/>
      <c r="V24" s="73">
        <v>1</v>
      </c>
      <c r="W24" s="73"/>
      <c r="Y24" s="73"/>
      <c r="Z24" s="73"/>
      <c r="AA24" s="73"/>
      <c r="AB24" s="738" t="s">
        <v>572</v>
      </c>
      <c r="AC24" s="3262"/>
      <c r="AD24" s="3262"/>
      <c r="AE24" s="3262"/>
      <c r="AF24" s="3262"/>
      <c r="AG24" s="3262"/>
      <c r="AH24" s="3262"/>
      <c r="AI24" s="3262"/>
      <c r="AJ24" s="3262">
        <v>1</v>
      </c>
      <c r="AK24" s="3262">
        <v>1</v>
      </c>
      <c r="AL24" s="3262">
        <v>2</v>
      </c>
      <c r="AM24" s="3262">
        <v>2</v>
      </c>
      <c r="AN24" s="3262">
        <v>3</v>
      </c>
      <c r="AO24" s="3262"/>
      <c r="AP24" s="3262">
        <v>1</v>
      </c>
      <c r="AQ24" s="3262">
        <v>1</v>
      </c>
      <c r="AR24" s="151"/>
      <c r="AS24" s="151"/>
      <c r="AT24" s="151">
        <v>11</v>
      </c>
      <c r="AU24" s="912">
        <f>+(AT20+AT23)/AT24</f>
        <v>0.54545454545454541</v>
      </c>
      <c r="AY24" s="73"/>
      <c r="AZ24" s="738" t="s">
        <v>15</v>
      </c>
      <c r="BA24" s="2608"/>
      <c r="BB24" s="2608"/>
      <c r="BC24" s="2608"/>
      <c r="BD24" s="2608"/>
      <c r="BE24" s="2608"/>
      <c r="BF24" s="2608"/>
      <c r="BG24" s="2608"/>
      <c r="BH24" s="2608"/>
      <c r="BI24" s="2608"/>
      <c r="BJ24" s="2608">
        <v>1</v>
      </c>
      <c r="BK24" s="2608"/>
      <c r="BL24" s="2608"/>
      <c r="BM24" s="2608"/>
      <c r="BN24" s="2608"/>
      <c r="BO24" s="2608"/>
      <c r="BP24" s="738"/>
      <c r="BQ24" s="738"/>
      <c r="BR24" s="738">
        <v>1</v>
      </c>
      <c r="BS24" s="912">
        <f>+BR23/BR24</f>
        <v>1</v>
      </c>
      <c r="BU24" s="2207"/>
      <c r="BV24" s="2207"/>
      <c r="BW24" s="2207"/>
      <c r="BX24" s="2204" t="s">
        <v>15</v>
      </c>
      <c r="BY24" s="2213"/>
      <c r="BZ24" s="2213"/>
      <c r="CA24" s="2213"/>
      <c r="CB24" s="2213"/>
      <c r="CC24" s="2213"/>
      <c r="CD24" s="2214">
        <v>3</v>
      </c>
      <c r="CE24" s="2213"/>
      <c r="CF24" s="2213"/>
      <c r="CG24" s="2213"/>
      <c r="CH24" s="2213"/>
      <c r="CI24" s="2213"/>
      <c r="CJ24" s="2213"/>
      <c r="CK24" s="2213"/>
      <c r="CL24" s="2215"/>
      <c r="CM24" s="2215"/>
      <c r="CN24" s="2216">
        <v>3</v>
      </c>
      <c r="CO24" s="2154">
        <v>0</v>
      </c>
      <c r="CQ24" s="955"/>
      <c r="CR24" s="955"/>
      <c r="CS24" s="955"/>
      <c r="CT24" s="956" t="s">
        <v>1293</v>
      </c>
      <c r="CU24" s="957"/>
      <c r="CV24" s="958">
        <v>0</v>
      </c>
      <c r="CW24" s="958">
        <v>0</v>
      </c>
      <c r="CX24" s="957"/>
      <c r="CY24" s="957"/>
      <c r="CZ24" s="957"/>
      <c r="DA24" s="957"/>
      <c r="DB24" s="958">
        <v>0</v>
      </c>
      <c r="DC24" s="957"/>
      <c r="DD24" s="958">
        <v>0</v>
      </c>
      <c r="DE24" s="958">
        <v>1</v>
      </c>
      <c r="DF24" s="958">
        <v>1</v>
      </c>
      <c r="DG24" s="958">
        <v>0</v>
      </c>
      <c r="DH24" s="958">
        <v>0</v>
      </c>
      <c r="DI24" s="957"/>
      <c r="DJ24" s="959"/>
      <c r="DK24" s="959"/>
      <c r="DL24" s="960">
        <v>2</v>
      </c>
      <c r="DM24" s="161"/>
      <c r="DO24" s="788"/>
      <c r="DP24" s="788"/>
      <c r="DQ24" s="788"/>
      <c r="DR24" s="788"/>
      <c r="DS24" s="789" t="s">
        <v>1292</v>
      </c>
      <c r="DT24" s="961"/>
      <c r="DU24" s="961"/>
      <c r="DV24" s="961"/>
      <c r="DW24" s="961"/>
      <c r="DX24" s="961"/>
      <c r="DY24" s="961"/>
      <c r="DZ24" s="962">
        <v>0</v>
      </c>
      <c r="EA24" s="961"/>
      <c r="EB24" s="962">
        <v>0</v>
      </c>
      <c r="EC24" s="961"/>
      <c r="ED24" s="961"/>
      <c r="EE24" s="961"/>
      <c r="EF24" s="962">
        <v>2</v>
      </c>
      <c r="EG24" s="962">
        <v>2</v>
      </c>
      <c r="EH24" s="961"/>
      <c r="EI24" s="963"/>
      <c r="EJ24" s="963"/>
      <c r="EK24" s="964">
        <v>4</v>
      </c>
      <c r="EL24" s="912"/>
      <c r="EM24" s="73"/>
      <c r="EN24" s="965"/>
      <c r="EO24" s="965" t="s">
        <v>105</v>
      </c>
      <c r="EP24" s="965" t="s">
        <v>106</v>
      </c>
      <c r="EQ24" s="734" t="s">
        <v>1286</v>
      </c>
      <c r="ER24" s="735">
        <v>1</v>
      </c>
      <c r="ES24" s="966"/>
      <c r="ET24" s="735">
        <v>0</v>
      </c>
      <c r="EU24" s="735">
        <v>0</v>
      </c>
      <c r="EV24" s="735">
        <v>0</v>
      </c>
      <c r="EW24" s="735">
        <v>0</v>
      </c>
      <c r="EX24" s="966"/>
      <c r="EY24" s="966"/>
      <c r="EZ24" s="966"/>
      <c r="FA24" s="966"/>
      <c r="FB24" s="735">
        <v>0</v>
      </c>
      <c r="FC24" s="966"/>
      <c r="FD24" s="966"/>
      <c r="FE24" s="735">
        <v>1</v>
      </c>
      <c r="FF24" s="967"/>
      <c r="FG24" s="73"/>
      <c r="FH24" s="73"/>
      <c r="FI24" s="161"/>
      <c r="FJ24" s="161"/>
      <c r="FK24" s="73"/>
      <c r="FL24" s="73" t="s">
        <v>1293</v>
      </c>
      <c r="FM24" s="161">
        <v>0</v>
      </c>
      <c r="FN24" s="161"/>
      <c r="FO24" s="161"/>
      <c r="FP24" s="161"/>
      <c r="FQ24" s="161"/>
      <c r="FR24" s="161"/>
      <c r="FS24" s="161">
        <v>0</v>
      </c>
      <c r="FT24" s="161">
        <v>0</v>
      </c>
      <c r="FU24" s="161">
        <v>2</v>
      </c>
      <c r="FV24" s="161"/>
      <c r="FW24" s="161"/>
      <c r="FX24" s="161"/>
      <c r="FY24" s="161"/>
      <c r="FZ24" s="161"/>
      <c r="GA24" s="161"/>
      <c r="GB24" s="161"/>
      <c r="GC24" s="161">
        <v>2</v>
      </c>
      <c r="GD24" s="73"/>
      <c r="GE24" s="73"/>
      <c r="GF24" s="968"/>
      <c r="GG24" s="968"/>
      <c r="GH24" s="968"/>
      <c r="GI24" s="968" t="s">
        <v>1292</v>
      </c>
      <c r="GJ24" s="968">
        <v>0</v>
      </c>
      <c r="GK24" s="968">
        <v>0</v>
      </c>
      <c r="GL24" s="968">
        <v>0</v>
      </c>
      <c r="GM24" s="968">
        <v>0</v>
      </c>
      <c r="GN24" s="968">
        <v>0</v>
      </c>
      <c r="GO24" s="968">
        <v>0</v>
      </c>
      <c r="GP24" s="968">
        <v>0</v>
      </c>
      <c r="GQ24" s="968">
        <v>0</v>
      </c>
      <c r="GR24" s="968">
        <v>0</v>
      </c>
      <c r="GS24" s="968">
        <v>0</v>
      </c>
      <c r="GT24" s="968">
        <v>0</v>
      </c>
      <c r="GU24" s="968">
        <v>0</v>
      </c>
      <c r="GV24" s="968">
        <v>0</v>
      </c>
      <c r="GW24" s="968">
        <v>0</v>
      </c>
      <c r="GX24" s="968">
        <v>1</v>
      </c>
      <c r="GY24" s="968">
        <v>1</v>
      </c>
      <c r="GZ24" s="968">
        <v>2</v>
      </c>
      <c r="HA24" s="968"/>
      <c r="HB24" s="969"/>
    </row>
    <row r="25" spans="1:210">
      <c r="A25" s="73"/>
      <c r="B25" s="73"/>
      <c r="C25" s="73"/>
      <c r="D25" s="73" t="s">
        <v>1398</v>
      </c>
      <c r="E25" s="967">
        <v>0</v>
      </c>
      <c r="F25" s="967"/>
      <c r="G25" s="967"/>
      <c r="H25" s="967"/>
      <c r="I25" s="967"/>
      <c r="J25" s="967"/>
      <c r="K25" s="967"/>
      <c r="L25" s="967"/>
      <c r="M25" s="967"/>
      <c r="N25" s="967"/>
      <c r="O25" s="967">
        <v>1</v>
      </c>
      <c r="P25" s="967"/>
      <c r="Q25" s="967">
        <v>1</v>
      </c>
      <c r="R25" s="967">
        <v>0</v>
      </c>
      <c r="S25" s="967">
        <v>0</v>
      </c>
      <c r="T25" s="73"/>
      <c r="U25" s="73"/>
      <c r="V25" s="73">
        <v>2</v>
      </c>
      <c r="W25" s="73"/>
      <c r="Y25" s="73"/>
      <c r="Z25" s="73" t="s">
        <v>16</v>
      </c>
      <c r="AA25" s="73" t="s">
        <v>120</v>
      </c>
      <c r="AB25" s="73" t="s">
        <v>1284</v>
      </c>
      <c r="AC25" s="3261"/>
      <c r="AD25" s="3261"/>
      <c r="AE25" s="3261">
        <v>1</v>
      </c>
      <c r="AF25" s="3261"/>
      <c r="AG25" s="3261"/>
      <c r="AH25" s="3261"/>
      <c r="AI25" s="3261"/>
      <c r="AJ25" s="3261"/>
      <c r="AK25" s="3261"/>
      <c r="AL25" s="3261">
        <v>0</v>
      </c>
      <c r="AM25" s="3261"/>
      <c r="AN25" s="3261">
        <v>0</v>
      </c>
      <c r="AO25" s="3261">
        <v>1</v>
      </c>
      <c r="AP25" s="3261">
        <v>1</v>
      </c>
      <c r="AQ25" s="3261">
        <v>0</v>
      </c>
      <c r="AR25" s="161"/>
      <c r="AS25" s="161"/>
      <c r="AT25" s="161">
        <v>3</v>
      </c>
      <c r="AU25" s="73"/>
      <c r="AY25" s="73" t="s">
        <v>1693</v>
      </c>
      <c r="AZ25" s="73" t="s">
        <v>1284</v>
      </c>
      <c r="BA25" s="2607"/>
      <c r="BB25" s="2607"/>
      <c r="BC25" s="2607"/>
      <c r="BD25" s="2607"/>
      <c r="BE25" s="2607"/>
      <c r="BF25" s="2607"/>
      <c r="BG25" s="2607">
        <v>1</v>
      </c>
      <c r="BH25" s="2607">
        <v>0</v>
      </c>
      <c r="BI25" s="2607"/>
      <c r="BJ25" s="2607"/>
      <c r="BK25" s="2607"/>
      <c r="BL25" s="2607"/>
      <c r="BM25" s="2607"/>
      <c r="BN25" s="2607"/>
      <c r="BO25" s="2607"/>
      <c r="BP25" s="73"/>
      <c r="BQ25" s="73"/>
      <c r="BR25" s="73">
        <v>1</v>
      </c>
      <c r="BS25" s="73"/>
      <c r="BU25" s="2207"/>
      <c r="BV25" s="2207"/>
      <c r="BW25" s="2207" t="s">
        <v>888</v>
      </c>
      <c r="BX25" s="2208" t="s">
        <v>1289</v>
      </c>
      <c r="BY25" s="2209"/>
      <c r="BZ25" s="2209"/>
      <c r="CA25" s="2209"/>
      <c r="CB25" s="2209"/>
      <c r="CC25" s="2209"/>
      <c r="CD25" s="2210">
        <v>3</v>
      </c>
      <c r="CE25" s="2209"/>
      <c r="CF25" s="2209"/>
      <c r="CG25" s="2209"/>
      <c r="CH25" s="2209"/>
      <c r="CI25" s="2209"/>
      <c r="CJ25" s="2209"/>
      <c r="CK25" s="2209"/>
      <c r="CL25" s="2211"/>
      <c r="CM25" s="2211"/>
      <c r="CN25" s="2212">
        <v>3</v>
      </c>
      <c r="CO25" s="73"/>
      <c r="CQ25" s="955"/>
      <c r="CR25" s="955"/>
      <c r="CS25" s="955"/>
      <c r="CT25" s="956" t="s">
        <v>1398</v>
      </c>
      <c r="CU25" s="957"/>
      <c r="CV25" s="958">
        <v>0</v>
      </c>
      <c r="CW25" s="958">
        <v>0</v>
      </c>
      <c r="CX25" s="957"/>
      <c r="CY25" s="957"/>
      <c r="CZ25" s="957"/>
      <c r="DA25" s="957"/>
      <c r="DB25" s="958">
        <v>0</v>
      </c>
      <c r="DC25" s="957"/>
      <c r="DD25" s="958">
        <v>4</v>
      </c>
      <c r="DE25" s="958">
        <v>2</v>
      </c>
      <c r="DF25" s="958">
        <v>1</v>
      </c>
      <c r="DG25" s="958">
        <v>0</v>
      </c>
      <c r="DH25" s="958">
        <v>0</v>
      </c>
      <c r="DI25" s="957"/>
      <c r="DJ25" s="959"/>
      <c r="DK25" s="959"/>
      <c r="DL25" s="960">
        <v>7</v>
      </c>
      <c r="DM25" s="161"/>
      <c r="DO25" s="788"/>
      <c r="DP25" s="788"/>
      <c r="DQ25" s="788"/>
      <c r="DR25" s="73"/>
      <c r="DS25" s="809" t="s">
        <v>573</v>
      </c>
      <c r="DT25" s="970"/>
      <c r="DU25" s="970"/>
      <c r="DV25" s="970"/>
      <c r="DW25" s="970"/>
      <c r="DX25" s="970"/>
      <c r="DY25" s="970"/>
      <c r="DZ25" s="971">
        <v>1</v>
      </c>
      <c r="EA25" s="970"/>
      <c r="EB25" s="971">
        <v>1</v>
      </c>
      <c r="EC25" s="970"/>
      <c r="ED25" s="970"/>
      <c r="EE25" s="970"/>
      <c r="EF25" s="971">
        <v>2</v>
      </c>
      <c r="EG25" s="971">
        <v>2</v>
      </c>
      <c r="EH25" s="970"/>
      <c r="EI25" s="972"/>
      <c r="EJ25" s="972"/>
      <c r="EK25" s="973">
        <v>6</v>
      </c>
      <c r="EL25" s="912">
        <v>0</v>
      </c>
      <c r="EM25" s="73"/>
      <c r="EN25" s="965"/>
      <c r="EO25" s="965"/>
      <c r="EP25" s="965"/>
      <c r="EQ25" s="734" t="s">
        <v>1289</v>
      </c>
      <c r="ER25" s="735">
        <v>0</v>
      </c>
      <c r="ES25" s="966"/>
      <c r="ET25" s="735">
        <v>6</v>
      </c>
      <c r="EU25" s="735">
        <v>2</v>
      </c>
      <c r="EV25" s="735">
        <v>2</v>
      </c>
      <c r="EW25" s="735">
        <v>0</v>
      </c>
      <c r="EX25" s="966"/>
      <c r="EY25" s="966"/>
      <c r="EZ25" s="966"/>
      <c r="FA25" s="966"/>
      <c r="FB25" s="735">
        <v>0</v>
      </c>
      <c r="FC25" s="966"/>
      <c r="FD25" s="966"/>
      <c r="FE25" s="735">
        <v>10</v>
      </c>
      <c r="FF25" s="967"/>
      <c r="FG25" s="73"/>
      <c r="FH25" s="73"/>
      <c r="FI25" s="161"/>
      <c r="FJ25" s="161"/>
      <c r="FK25" s="73"/>
      <c r="FL25" s="73" t="s">
        <v>1398</v>
      </c>
      <c r="FM25" s="161">
        <v>0</v>
      </c>
      <c r="FN25" s="161"/>
      <c r="FO25" s="161"/>
      <c r="FP25" s="161"/>
      <c r="FQ25" s="161"/>
      <c r="FR25" s="161"/>
      <c r="FS25" s="161">
        <v>1</v>
      </c>
      <c r="FT25" s="161">
        <v>0</v>
      </c>
      <c r="FU25" s="161">
        <v>0</v>
      </c>
      <c r="FV25" s="161"/>
      <c r="FW25" s="161"/>
      <c r="FX25" s="161"/>
      <c r="FY25" s="161"/>
      <c r="FZ25" s="161"/>
      <c r="GA25" s="161"/>
      <c r="GB25" s="161"/>
      <c r="GC25" s="161">
        <v>1</v>
      </c>
      <c r="GD25" s="73"/>
      <c r="GE25" s="73"/>
      <c r="GF25" s="968"/>
      <c r="GG25" s="968"/>
      <c r="GH25" s="968"/>
      <c r="GI25" s="968" t="s">
        <v>1398</v>
      </c>
      <c r="GJ25" s="968">
        <v>0</v>
      </c>
      <c r="GK25" s="968">
        <v>0</v>
      </c>
      <c r="GL25" s="968">
        <v>0</v>
      </c>
      <c r="GM25" s="968">
        <v>0</v>
      </c>
      <c r="GN25" s="968">
        <v>0</v>
      </c>
      <c r="GO25" s="968">
        <v>0</v>
      </c>
      <c r="GP25" s="968">
        <v>0</v>
      </c>
      <c r="GQ25" s="968">
        <v>0</v>
      </c>
      <c r="GR25" s="968">
        <v>0</v>
      </c>
      <c r="GS25" s="968">
        <v>0</v>
      </c>
      <c r="GT25" s="968">
        <v>0</v>
      </c>
      <c r="GU25" s="968">
        <v>1</v>
      </c>
      <c r="GV25" s="968">
        <v>2</v>
      </c>
      <c r="GW25" s="968">
        <v>0</v>
      </c>
      <c r="GX25" s="968">
        <v>0</v>
      </c>
      <c r="GY25" s="968">
        <v>0</v>
      </c>
      <c r="GZ25" s="968">
        <v>3</v>
      </c>
      <c r="HA25" s="968"/>
      <c r="HB25" s="969"/>
    </row>
    <row r="26" spans="1:210">
      <c r="A26" s="73"/>
      <c r="B26" s="73"/>
      <c r="C26" s="73"/>
      <c r="D26" s="738" t="s">
        <v>15</v>
      </c>
      <c r="E26" s="4694">
        <v>1</v>
      </c>
      <c r="F26" s="4694"/>
      <c r="G26" s="4694"/>
      <c r="H26" s="4694"/>
      <c r="I26" s="4694"/>
      <c r="J26" s="4694"/>
      <c r="K26" s="4694"/>
      <c r="L26" s="4694"/>
      <c r="M26" s="4694"/>
      <c r="N26" s="4694"/>
      <c r="O26" s="4694">
        <v>1</v>
      </c>
      <c r="P26" s="4694"/>
      <c r="Q26" s="4694">
        <v>1</v>
      </c>
      <c r="R26" s="4694">
        <v>4</v>
      </c>
      <c r="S26" s="4694">
        <v>6</v>
      </c>
      <c r="T26" s="738"/>
      <c r="U26" s="738"/>
      <c r="V26" s="738">
        <v>13</v>
      </c>
      <c r="W26" s="912">
        <f>+(V25+V24)/V26</f>
        <v>0.23076923076923078</v>
      </c>
      <c r="X26" s="3197"/>
      <c r="Y26" s="73"/>
      <c r="Z26" s="73"/>
      <c r="AA26" s="73"/>
      <c r="AB26" s="73" t="s">
        <v>1288</v>
      </c>
      <c r="AC26" s="3261"/>
      <c r="AD26" s="3261"/>
      <c r="AE26" s="3261">
        <v>0</v>
      </c>
      <c r="AF26" s="3261"/>
      <c r="AG26" s="3261"/>
      <c r="AH26" s="3261"/>
      <c r="AI26" s="3261"/>
      <c r="AJ26" s="3261"/>
      <c r="AK26" s="3261"/>
      <c r="AL26" s="3261">
        <v>0</v>
      </c>
      <c r="AM26" s="3261"/>
      <c r="AN26" s="3261">
        <v>0</v>
      </c>
      <c r="AO26" s="3261">
        <v>1</v>
      </c>
      <c r="AP26" s="3261">
        <v>0</v>
      </c>
      <c r="AQ26" s="3261">
        <v>0</v>
      </c>
      <c r="AR26" s="161"/>
      <c r="AS26" s="161"/>
      <c r="AT26" s="161">
        <v>1</v>
      </c>
      <c r="AU26" s="73"/>
      <c r="AY26" s="73"/>
      <c r="AZ26" s="73" t="s">
        <v>1292</v>
      </c>
      <c r="BA26" s="2607"/>
      <c r="BB26" s="2607"/>
      <c r="BC26" s="2607"/>
      <c r="BD26" s="2607"/>
      <c r="BE26" s="2607"/>
      <c r="BF26" s="2607"/>
      <c r="BG26" s="2607">
        <v>0</v>
      </c>
      <c r="BH26" s="2607">
        <v>1</v>
      </c>
      <c r="BI26" s="2607"/>
      <c r="BJ26" s="2607"/>
      <c r="BK26" s="2607"/>
      <c r="BL26" s="2607"/>
      <c r="BM26" s="2607"/>
      <c r="BN26" s="2607"/>
      <c r="BO26" s="2607"/>
      <c r="BP26" s="73"/>
      <c r="BQ26" s="73"/>
      <c r="BR26" s="73">
        <v>1</v>
      </c>
      <c r="BS26" s="73"/>
      <c r="BU26" s="2207"/>
      <c r="BV26" s="2207"/>
      <c r="BW26" s="2207"/>
      <c r="BX26" s="2204" t="s">
        <v>888</v>
      </c>
      <c r="BY26" s="2213"/>
      <c r="BZ26" s="2213"/>
      <c r="CA26" s="2213"/>
      <c r="CB26" s="2213"/>
      <c r="CC26" s="2213"/>
      <c r="CD26" s="2214">
        <v>3</v>
      </c>
      <c r="CE26" s="2213"/>
      <c r="CF26" s="2213"/>
      <c r="CG26" s="2213"/>
      <c r="CH26" s="2213"/>
      <c r="CI26" s="2213"/>
      <c r="CJ26" s="2213"/>
      <c r="CK26" s="2213"/>
      <c r="CL26" s="2215"/>
      <c r="CM26" s="2215"/>
      <c r="CN26" s="2216">
        <v>3</v>
      </c>
      <c r="CO26" s="2154">
        <v>0</v>
      </c>
      <c r="CQ26" s="955"/>
      <c r="CR26" s="955"/>
      <c r="CS26" s="955"/>
      <c r="CT26" s="974" t="s">
        <v>573</v>
      </c>
      <c r="CU26" s="975"/>
      <c r="CV26" s="976">
        <v>1</v>
      </c>
      <c r="CW26" s="976">
        <v>1</v>
      </c>
      <c r="CX26" s="975"/>
      <c r="CY26" s="975"/>
      <c r="CZ26" s="975"/>
      <c r="DA26" s="975"/>
      <c r="DB26" s="976">
        <v>1</v>
      </c>
      <c r="DC26" s="975"/>
      <c r="DD26" s="976">
        <v>7</v>
      </c>
      <c r="DE26" s="976">
        <v>6</v>
      </c>
      <c r="DF26" s="976">
        <v>2</v>
      </c>
      <c r="DG26" s="976">
        <v>1</v>
      </c>
      <c r="DH26" s="976">
        <v>1</v>
      </c>
      <c r="DI26" s="975"/>
      <c r="DJ26" s="977"/>
      <c r="DK26" s="977"/>
      <c r="DL26" s="978">
        <v>20</v>
      </c>
      <c r="DM26" s="912">
        <f>+(DL23+DL24+DL25)/DL26</f>
        <v>0.5</v>
      </c>
      <c r="DO26" s="788"/>
      <c r="DP26" s="788" t="s">
        <v>105</v>
      </c>
      <c r="DQ26" s="788" t="s">
        <v>106</v>
      </c>
      <c r="DR26" s="788" t="s">
        <v>1282</v>
      </c>
      <c r="DS26" s="789" t="s">
        <v>1284</v>
      </c>
      <c r="DT26" s="962">
        <v>2</v>
      </c>
      <c r="DU26" s="961"/>
      <c r="DV26" s="961"/>
      <c r="DW26" s="961"/>
      <c r="DX26" s="961"/>
      <c r="DY26" s="962">
        <v>0</v>
      </c>
      <c r="DZ26" s="962">
        <v>2</v>
      </c>
      <c r="EA26" s="962">
        <v>0</v>
      </c>
      <c r="EB26" s="961"/>
      <c r="EC26" s="961"/>
      <c r="ED26" s="961"/>
      <c r="EE26" s="962">
        <v>0</v>
      </c>
      <c r="EF26" s="962">
        <v>1</v>
      </c>
      <c r="EG26" s="962">
        <v>0</v>
      </c>
      <c r="EH26" s="961"/>
      <c r="EI26" s="963"/>
      <c r="EJ26" s="963"/>
      <c r="EK26" s="964">
        <v>5</v>
      </c>
      <c r="EL26" s="912"/>
      <c r="EM26" s="73"/>
      <c r="EN26" s="965"/>
      <c r="EO26" s="965"/>
      <c r="EP26" s="965"/>
      <c r="EQ26" s="734" t="s">
        <v>1292</v>
      </c>
      <c r="ER26" s="735">
        <v>0</v>
      </c>
      <c r="ES26" s="966"/>
      <c r="ET26" s="735">
        <v>0</v>
      </c>
      <c r="EU26" s="735">
        <v>0</v>
      </c>
      <c r="EV26" s="735">
        <v>1</v>
      </c>
      <c r="EW26" s="735">
        <v>1</v>
      </c>
      <c r="EX26" s="966"/>
      <c r="EY26" s="966"/>
      <c r="EZ26" s="966"/>
      <c r="FA26" s="966"/>
      <c r="FB26" s="735">
        <v>1</v>
      </c>
      <c r="FC26" s="966"/>
      <c r="FD26" s="966"/>
      <c r="FE26" s="735">
        <v>3</v>
      </c>
      <c r="FF26" s="967"/>
      <c r="FG26" s="73"/>
      <c r="FH26" s="73"/>
      <c r="FI26" s="161"/>
      <c r="FJ26" s="161"/>
      <c r="FK26" s="73"/>
      <c r="FL26" s="738" t="s">
        <v>15</v>
      </c>
      <c r="FM26" s="151">
        <v>2</v>
      </c>
      <c r="FN26" s="151"/>
      <c r="FO26" s="151"/>
      <c r="FP26" s="151"/>
      <c r="FQ26" s="151"/>
      <c r="FR26" s="151"/>
      <c r="FS26" s="151">
        <v>1</v>
      </c>
      <c r="FT26" s="151">
        <v>1</v>
      </c>
      <c r="FU26" s="151">
        <v>10</v>
      </c>
      <c r="FV26" s="151"/>
      <c r="FW26" s="151"/>
      <c r="FX26" s="151"/>
      <c r="FY26" s="151"/>
      <c r="FZ26" s="151"/>
      <c r="GA26" s="151"/>
      <c r="GB26" s="151"/>
      <c r="GC26" s="151">
        <v>14</v>
      </c>
      <c r="GD26" s="983">
        <f>+(GC23+GC24+GC25)/GC26</f>
        <v>0.35714285714285715</v>
      </c>
      <c r="GE26" s="73"/>
      <c r="GF26" s="968"/>
      <c r="GG26" s="968"/>
      <c r="GH26" s="968"/>
      <c r="GI26" s="979" t="s">
        <v>15</v>
      </c>
      <c r="GJ26" s="979">
        <v>0</v>
      </c>
      <c r="GK26" s="979">
        <v>0</v>
      </c>
      <c r="GL26" s="979">
        <v>0</v>
      </c>
      <c r="GM26" s="979">
        <v>0</v>
      </c>
      <c r="GN26" s="979">
        <v>0</v>
      </c>
      <c r="GO26" s="979">
        <v>0</v>
      </c>
      <c r="GP26" s="979">
        <v>0</v>
      </c>
      <c r="GQ26" s="979">
        <v>0</v>
      </c>
      <c r="GR26" s="979">
        <v>0</v>
      </c>
      <c r="GS26" s="979">
        <v>0</v>
      </c>
      <c r="GT26" s="979">
        <v>0</v>
      </c>
      <c r="GU26" s="979">
        <v>1</v>
      </c>
      <c r="GV26" s="979">
        <v>2</v>
      </c>
      <c r="GW26" s="979">
        <v>1</v>
      </c>
      <c r="GX26" s="979">
        <v>1</v>
      </c>
      <c r="GY26" s="979">
        <v>1</v>
      </c>
      <c r="GZ26" s="979">
        <v>6</v>
      </c>
      <c r="HA26" s="980">
        <f>+GZ25/GZ26</f>
        <v>0.5</v>
      </c>
      <c r="HB26" s="969">
        <f>+GZ25</f>
        <v>3</v>
      </c>
    </row>
    <row r="27" spans="1:210">
      <c r="A27" s="73"/>
      <c r="B27" s="73"/>
      <c r="C27" s="738" t="s">
        <v>573</v>
      </c>
      <c r="D27" s="738" t="s">
        <v>1284</v>
      </c>
      <c r="E27" s="4694">
        <v>1</v>
      </c>
      <c r="F27" s="4694"/>
      <c r="G27" s="4694"/>
      <c r="H27" s="4694"/>
      <c r="I27" s="4694"/>
      <c r="J27" s="4694"/>
      <c r="K27" s="4694"/>
      <c r="L27" s="4694"/>
      <c r="M27" s="4694"/>
      <c r="N27" s="4694"/>
      <c r="O27" s="4694">
        <v>0</v>
      </c>
      <c r="P27" s="4694"/>
      <c r="Q27" s="4694">
        <v>0</v>
      </c>
      <c r="R27" s="4694">
        <v>3</v>
      </c>
      <c r="S27" s="4694">
        <v>0</v>
      </c>
      <c r="T27" s="738"/>
      <c r="U27" s="738"/>
      <c r="V27" s="738">
        <v>4</v>
      </c>
      <c r="W27" s="73"/>
      <c r="Y27" s="73"/>
      <c r="Z27" s="73"/>
      <c r="AA27" s="73"/>
      <c r="AB27" s="73" t="s">
        <v>1289</v>
      </c>
      <c r="AC27" s="3261"/>
      <c r="AD27" s="3261"/>
      <c r="AE27" s="3261">
        <v>0</v>
      </c>
      <c r="AF27" s="3261"/>
      <c r="AG27" s="3261"/>
      <c r="AH27" s="3261"/>
      <c r="AI27" s="3261"/>
      <c r="AJ27" s="3261"/>
      <c r="AK27" s="3261"/>
      <c r="AL27" s="3261">
        <v>1</v>
      </c>
      <c r="AM27" s="3261"/>
      <c r="AN27" s="3261">
        <v>0</v>
      </c>
      <c r="AO27" s="3261">
        <v>0</v>
      </c>
      <c r="AP27" s="3261">
        <v>0</v>
      </c>
      <c r="AQ27" s="3261">
        <v>0</v>
      </c>
      <c r="AR27" s="161"/>
      <c r="AS27" s="161"/>
      <c r="AT27" s="161">
        <v>1</v>
      </c>
      <c r="AU27" s="73"/>
      <c r="AY27" s="73"/>
      <c r="AZ27" s="738" t="s">
        <v>15</v>
      </c>
      <c r="BA27" s="2608"/>
      <c r="BB27" s="2608"/>
      <c r="BC27" s="2608"/>
      <c r="BD27" s="2608"/>
      <c r="BE27" s="2608"/>
      <c r="BF27" s="2608"/>
      <c r="BG27" s="2608">
        <v>1</v>
      </c>
      <c r="BH27" s="2608">
        <v>1</v>
      </c>
      <c r="BI27" s="2608"/>
      <c r="BJ27" s="2608"/>
      <c r="BK27" s="2608"/>
      <c r="BL27" s="2608"/>
      <c r="BM27" s="2608"/>
      <c r="BN27" s="2608"/>
      <c r="BO27" s="2608"/>
      <c r="BP27" s="738"/>
      <c r="BQ27" s="738"/>
      <c r="BR27" s="738">
        <v>2</v>
      </c>
      <c r="BS27" s="912">
        <v>0</v>
      </c>
      <c r="BU27" s="2207"/>
      <c r="BV27" s="2207"/>
      <c r="BW27" s="2207" t="s">
        <v>107</v>
      </c>
      <c r="BX27" s="2208" t="s">
        <v>1284</v>
      </c>
      <c r="BY27" s="2209"/>
      <c r="BZ27" s="2209"/>
      <c r="CA27" s="2209"/>
      <c r="CB27" s="2209"/>
      <c r="CC27" s="2209"/>
      <c r="CD27" s="2210">
        <v>0</v>
      </c>
      <c r="CE27" s="2210">
        <v>0</v>
      </c>
      <c r="CF27" s="2210">
        <v>0</v>
      </c>
      <c r="CG27" s="2209"/>
      <c r="CH27" s="2209"/>
      <c r="CI27" s="2210">
        <v>4</v>
      </c>
      <c r="CJ27" s="2210">
        <v>1</v>
      </c>
      <c r="CK27" s="2210">
        <v>0</v>
      </c>
      <c r="CL27" s="2211"/>
      <c r="CM27" s="2211"/>
      <c r="CN27" s="2212">
        <v>5</v>
      </c>
      <c r="CO27" s="73"/>
      <c r="CQ27" s="955"/>
      <c r="CR27" s="955" t="s">
        <v>105</v>
      </c>
      <c r="CS27" s="955" t="s">
        <v>106</v>
      </c>
      <c r="CT27" s="956" t="s">
        <v>1284</v>
      </c>
      <c r="CU27" s="958">
        <v>1</v>
      </c>
      <c r="CV27" s="957"/>
      <c r="CW27" s="958">
        <v>0</v>
      </c>
      <c r="CX27" s="958">
        <v>0</v>
      </c>
      <c r="CY27" s="958">
        <v>0</v>
      </c>
      <c r="CZ27" s="957"/>
      <c r="DA27" s="958">
        <v>0</v>
      </c>
      <c r="DB27" s="958">
        <v>0</v>
      </c>
      <c r="DC27" s="958">
        <v>0</v>
      </c>
      <c r="DD27" s="958">
        <v>0</v>
      </c>
      <c r="DE27" s="958">
        <v>0</v>
      </c>
      <c r="DF27" s="958">
        <v>0</v>
      </c>
      <c r="DG27" s="958">
        <v>0</v>
      </c>
      <c r="DH27" s="957"/>
      <c r="DI27" s="957"/>
      <c r="DJ27" s="959"/>
      <c r="DK27" s="959"/>
      <c r="DL27" s="960">
        <v>1</v>
      </c>
      <c r="DM27" s="161"/>
      <c r="DO27" s="788"/>
      <c r="DP27" s="788"/>
      <c r="DQ27" s="788"/>
      <c r="DR27" s="788"/>
      <c r="DS27" s="789" t="s">
        <v>1289</v>
      </c>
      <c r="DT27" s="962">
        <v>0</v>
      </c>
      <c r="DU27" s="961"/>
      <c r="DV27" s="961"/>
      <c r="DW27" s="961"/>
      <c r="DX27" s="961"/>
      <c r="DY27" s="962">
        <v>1</v>
      </c>
      <c r="DZ27" s="962">
        <v>5</v>
      </c>
      <c r="EA27" s="962">
        <v>2</v>
      </c>
      <c r="EB27" s="961"/>
      <c r="EC27" s="961"/>
      <c r="ED27" s="961"/>
      <c r="EE27" s="962">
        <v>0</v>
      </c>
      <c r="EF27" s="962">
        <v>0</v>
      </c>
      <c r="EG27" s="962">
        <v>0</v>
      </c>
      <c r="EH27" s="961"/>
      <c r="EI27" s="963"/>
      <c r="EJ27" s="963"/>
      <c r="EK27" s="964">
        <v>8</v>
      </c>
      <c r="EL27" s="912"/>
      <c r="EM27" s="73"/>
      <c r="EN27" s="965"/>
      <c r="EO27" s="965"/>
      <c r="EP27" s="965"/>
      <c r="EQ27" s="981" t="s">
        <v>15</v>
      </c>
      <c r="ER27" s="740">
        <v>1</v>
      </c>
      <c r="ES27" s="982"/>
      <c r="ET27" s="740">
        <v>6</v>
      </c>
      <c r="EU27" s="740">
        <v>2</v>
      </c>
      <c r="EV27" s="740">
        <v>3</v>
      </c>
      <c r="EW27" s="740">
        <v>1</v>
      </c>
      <c r="EX27" s="982"/>
      <c r="EY27" s="982"/>
      <c r="EZ27" s="982"/>
      <c r="FA27" s="982"/>
      <c r="FB27" s="740">
        <v>1</v>
      </c>
      <c r="FC27" s="982"/>
      <c r="FD27" s="982"/>
      <c r="FE27" s="740">
        <v>14</v>
      </c>
      <c r="FF27" s="905">
        <v>0</v>
      </c>
      <c r="FG27" s="73"/>
      <c r="FH27" s="73"/>
      <c r="FI27" s="161"/>
      <c r="FJ27" s="161" t="s">
        <v>105</v>
      </c>
      <c r="FK27" s="73" t="s">
        <v>106</v>
      </c>
      <c r="FL27" s="73" t="s">
        <v>1284</v>
      </c>
      <c r="FM27" s="161"/>
      <c r="FN27" s="161">
        <v>0</v>
      </c>
      <c r="FO27" s="161">
        <v>0</v>
      </c>
      <c r="FP27" s="161"/>
      <c r="FQ27" s="161"/>
      <c r="FR27" s="161">
        <v>1</v>
      </c>
      <c r="FS27" s="161">
        <v>2</v>
      </c>
      <c r="FT27" s="161">
        <v>0</v>
      </c>
      <c r="FU27" s="161"/>
      <c r="FV27" s="161"/>
      <c r="FW27" s="161"/>
      <c r="FX27" s="161"/>
      <c r="FY27" s="161"/>
      <c r="FZ27" s="161"/>
      <c r="GA27" s="161"/>
      <c r="GB27" s="161"/>
      <c r="GC27" s="161">
        <v>3</v>
      </c>
      <c r="GD27" s="73"/>
      <c r="GE27" s="73"/>
      <c r="GF27" s="968"/>
      <c r="GG27" s="968"/>
      <c r="GH27" s="968" t="s">
        <v>123</v>
      </c>
      <c r="GI27" s="968" t="s">
        <v>1284</v>
      </c>
      <c r="GJ27" s="968">
        <v>0</v>
      </c>
      <c r="GK27" s="968">
        <v>0</v>
      </c>
      <c r="GL27" s="968">
        <v>0</v>
      </c>
      <c r="GM27" s="968">
        <v>0</v>
      </c>
      <c r="GN27" s="968">
        <v>0</v>
      </c>
      <c r="GO27" s="968">
        <v>0</v>
      </c>
      <c r="GP27" s="968">
        <v>0</v>
      </c>
      <c r="GQ27" s="968">
        <v>0</v>
      </c>
      <c r="GR27" s="968">
        <v>0</v>
      </c>
      <c r="GS27" s="968">
        <v>0</v>
      </c>
      <c r="GT27" s="968">
        <v>1</v>
      </c>
      <c r="GU27" s="968">
        <v>0</v>
      </c>
      <c r="GV27" s="968">
        <v>0</v>
      </c>
      <c r="GW27" s="968">
        <v>0</v>
      </c>
      <c r="GX27" s="968">
        <v>0</v>
      </c>
      <c r="GY27" s="968">
        <v>0</v>
      </c>
      <c r="GZ27" s="968">
        <v>1</v>
      </c>
      <c r="HA27" s="968"/>
      <c r="HB27" s="969"/>
    </row>
    <row r="28" spans="1:210">
      <c r="A28" s="73"/>
      <c r="B28" s="73"/>
      <c r="C28" s="738"/>
      <c r="D28" s="738" t="s">
        <v>1292</v>
      </c>
      <c r="E28" s="4694">
        <v>0</v>
      </c>
      <c r="F28" s="4694"/>
      <c r="G28" s="4694"/>
      <c r="H28" s="4694"/>
      <c r="I28" s="4694"/>
      <c r="J28" s="4694"/>
      <c r="K28" s="4694"/>
      <c r="L28" s="4694"/>
      <c r="M28" s="4694"/>
      <c r="N28" s="4694"/>
      <c r="O28" s="4694">
        <v>0</v>
      </c>
      <c r="P28" s="4694"/>
      <c r="Q28" s="4694">
        <v>0</v>
      </c>
      <c r="R28" s="4694">
        <v>0</v>
      </c>
      <c r="S28" s="4694">
        <v>6</v>
      </c>
      <c r="T28" s="738"/>
      <c r="U28" s="738"/>
      <c r="V28" s="738">
        <v>6</v>
      </c>
      <c r="W28" s="73"/>
      <c r="Y28" s="73"/>
      <c r="Z28" s="73"/>
      <c r="AA28" s="73"/>
      <c r="AB28" s="73" t="s">
        <v>1292</v>
      </c>
      <c r="AC28" s="3261"/>
      <c r="AD28" s="3261"/>
      <c r="AE28" s="3261">
        <v>0</v>
      </c>
      <c r="AF28" s="3261"/>
      <c r="AG28" s="3261"/>
      <c r="AH28" s="3261"/>
      <c r="AI28" s="3261"/>
      <c r="AJ28" s="3261"/>
      <c r="AK28" s="3261"/>
      <c r="AL28" s="3261">
        <v>0</v>
      </c>
      <c r="AM28" s="3261"/>
      <c r="AN28" s="3261">
        <v>0</v>
      </c>
      <c r="AO28" s="3261">
        <v>0</v>
      </c>
      <c r="AP28" s="3261">
        <v>0</v>
      </c>
      <c r="AQ28" s="3261">
        <v>3</v>
      </c>
      <c r="AR28" s="161"/>
      <c r="AS28" s="161"/>
      <c r="AT28" s="161">
        <v>3</v>
      </c>
      <c r="AU28" s="73"/>
      <c r="AY28" s="73" t="s">
        <v>1694</v>
      </c>
      <c r="AZ28" s="73" t="s">
        <v>1284</v>
      </c>
      <c r="BA28" s="2607"/>
      <c r="BB28" s="2607"/>
      <c r="BC28" s="2607"/>
      <c r="BD28" s="2607"/>
      <c r="BE28" s="2607">
        <v>1</v>
      </c>
      <c r="BF28" s="2607"/>
      <c r="BG28" s="2607"/>
      <c r="BH28" s="2607"/>
      <c r="BI28" s="2607"/>
      <c r="BJ28" s="2607">
        <v>1</v>
      </c>
      <c r="BK28" s="2607">
        <v>1</v>
      </c>
      <c r="BL28" s="2607"/>
      <c r="BM28" s="2607">
        <v>1</v>
      </c>
      <c r="BN28" s="2607">
        <v>1</v>
      </c>
      <c r="BO28" s="2607">
        <v>0</v>
      </c>
      <c r="BP28" s="73"/>
      <c r="BQ28" s="73"/>
      <c r="BR28" s="73">
        <v>5</v>
      </c>
      <c r="BS28" s="73"/>
      <c r="BU28" s="2207"/>
      <c r="BV28" s="2207"/>
      <c r="BW28" s="2207"/>
      <c r="BX28" s="2208" t="s">
        <v>1289</v>
      </c>
      <c r="BY28" s="2209"/>
      <c r="BZ28" s="2209"/>
      <c r="CA28" s="2209"/>
      <c r="CB28" s="2209"/>
      <c r="CC28" s="2209"/>
      <c r="CD28" s="2210">
        <v>3</v>
      </c>
      <c r="CE28" s="2210">
        <v>0</v>
      </c>
      <c r="CF28" s="2210">
        <v>0</v>
      </c>
      <c r="CG28" s="2209"/>
      <c r="CH28" s="2209"/>
      <c r="CI28" s="2210">
        <v>0</v>
      </c>
      <c r="CJ28" s="2210">
        <v>0</v>
      </c>
      <c r="CK28" s="2210">
        <v>0</v>
      </c>
      <c r="CL28" s="2211"/>
      <c r="CM28" s="2211"/>
      <c r="CN28" s="2212">
        <v>3</v>
      </c>
      <c r="CO28" s="73"/>
      <c r="CQ28" s="955"/>
      <c r="CR28" s="955"/>
      <c r="CS28" s="955"/>
      <c r="CT28" s="956" t="s">
        <v>1286</v>
      </c>
      <c r="CU28" s="958">
        <v>0</v>
      </c>
      <c r="CV28" s="957"/>
      <c r="CW28" s="958">
        <v>0</v>
      </c>
      <c r="CX28" s="958">
        <v>0</v>
      </c>
      <c r="CY28" s="958">
        <v>1</v>
      </c>
      <c r="CZ28" s="957"/>
      <c r="DA28" s="958">
        <v>0</v>
      </c>
      <c r="DB28" s="958">
        <v>0</v>
      </c>
      <c r="DC28" s="958">
        <v>0</v>
      </c>
      <c r="DD28" s="958">
        <v>0</v>
      </c>
      <c r="DE28" s="958">
        <v>0</v>
      </c>
      <c r="DF28" s="958">
        <v>0</v>
      </c>
      <c r="DG28" s="958">
        <v>0</v>
      </c>
      <c r="DH28" s="957"/>
      <c r="DI28" s="957"/>
      <c r="DJ28" s="959"/>
      <c r="DK28" s="959"/>
      <c r="DL28" s="960">
        <v>1</v>
      </c>
      <c r="DM28" s="161"/>
      <c r="DO28" s="788"/>
      <c r="DP28" s="788"/>
      <c r="DQ28" s="788"/>
      <c r="DR28" s="788"/>
      <c r="DS28" s="789" t="s">
        <v>1292</v>
      </c>
      <c r="DT28" s="962">
        <v>0</v>
      </c>
      <c r="DU28" s="961"/>
      <c r="DV28" s="961"/>
      <c r="DW28" s="961"/>
      <c r="DX28" s="961"/>
      <c r="DY28" s="962">
        <v>0</v>
      </c>
      <c r="DZ28" s="962">
        <v>0</v>
      </c>
      <c r="EA28" s="962">
        <v>0</v>
      </c>
      <c r="EB28" s="961"/>
      <c r="EC28" s="961"/>
      <c r="ED28" s="961"/>
      <c r="EE28" s="962">
        <v>0</v>
      </c>
      <c r="EF28" s="962">
        <v>0</v>
      </c>
      <c r="EG28" s="962">
        <v>1</v>
      </c>
      <c r="EH28" s="961"/>
      <c r="EI28" s="963"/>
      <c r="EJ28" s="963"/>
      <c r="EK28" s="964">
        <v>1</v>
      </c>
      <c r="EL28" s="912"/>
      <c r="EM28" s="73"/>
      <c r="EN28" s="965"/>
      <c r="EO28" s="965"/>
      <c r="EP28" s="73"/>
      <c r="EQ28" s="73"/>
      <c r="ER28" s="73"/>
      <c r="ES28" s="73"/>
      <c r="ET28" s="73"/>
      <c r="EU28" s="73"/>
      <c r="EV28" s="73"/>
      <c r="EW28" s="73"/>
      <c r="EX28" s="73"/>
      <c r="EY28" s="73"/>
      <c r="EZ28" s="73"/>
      <c r="FA28" s="73"/>
      <c r="FB28" s="73"/>
      <c r="FC28" s="73"/>
      <c r="FD28" s="73"/>
      <c r="FE28" s="73"/>
      <c r="FF28" s="73"/>
      <c r="FG28" s="73"/>
      <c r="FH28" s="73"/>
      <c r="FI28" s="161"/>
      <c r="FJ28" s="161"/>
      <c r="FK28" s="73"/>
      <c r="FL28" s="73" t="s">
        <v>1289</v>
      </c>
      <c r="FM28" s="161"/>
      <c r="FN28" s="161">
        <v>1</v>
      </c>
      <c r="FO28" s="161">
        <v>1</v>
      </c>
      <c r="FP28" s="161"/>
      <c r="FQ28" s="161"/>
      <c r="FR28" s="161">
        <v>0</v>
      </c>
      <c r="FS28" s="161">
        <v>2</v>
      </c>
      <c r="FT28" s="161">
        <v>1</v>
      </c>
      <c r="FU28" s="161"/>
      <c r="FV28" s="161"/>
      <c r="FW28" s="161"/>
      <c r="FX28" s="161"/>
      <c r="FY28" s="161"/>
      <c r="FZ28" s="161"/>
      <c r="GA28" s="161"/>
      <c r="GB28" s="161"/>
      <c r="GC28" s="161">
        <v>5</v>
      </c>
      <c r="GD28" s="73"/>
      <c r="GE28" s="73"/>
      <c r="GF28" s="968"/>
      <c r="GG28" s="968"/>
      <c r="GH28" s="968"/>
      <c r="GI28" s="968" t="s">
        <v>1288</v>
      </c>
      <c r="GJ28" s="968">
        <v>0</v>
      </c>
      <c r="GK28" s="968">
        <v>0</v>
      </c>
      <c r="GL28" s="968">
        <v>0</v>
      </c>
      <c r="GM28" s="968">
        <v>0</v>
      </c>
      <c r="GN28" s="968">
        <v>0</v>
      </c>
      <c r="GO28" s="968">
        <v>0</v>
      </c>
      <c r="GP28" s="968">
        <v>0</v>
      </c>
      <c r="GQ28" s="968">
        <v>0</v>
      </c>
      <c r="GR28" s="968">
        <v>0</v>
      </c>
      <c r="GS28" s="968">
        <v>1</v>
      </c>
      <c r="GT28" s="968">
        <v>0</v>
      </c>
      <c r="GU28" s="968">
        <v>0</v>
      </c>
      <c r="GV28" s="968">
        <v>1</v>
      </c>
      <c r="GW28" s="968">
        <v>1</v>
      </c>
      <c r="GX28" s="968">
        <v>0</v>
      </c>
      <c r="GY28" s="968">
        <v>0</v>
      </c>
      <c r="GZ28" s="968">
        <v>3</v>
      </c>
      <c r="HA28" s="968"/>
      <c r="HB28" s="969"/>
    </row>
    <row r="29" spans="1:210">
      <c r="A29" s="73"/>
      <c r="B29" s="73"/>
      <c r="C29" s="738"/>
      <c r="D29" s="738" t="s">
        <v>1293</v>
      </c>
      <c r="E29" s="4694">
        <v>0</v>
      </c>
      <c r="F29" s="4694"/>
      <c r="G29" s="4694"/>
      <c r="H29" s="4694"/>
      <c r="I29" s="4694"/>
      <c r="J29" s="4694"/>
      <c r="K29" s="4694"/>
      <c r="L29" s="4694"/>
      <c r="M29" s="4694"/>
      <c r="N29" s="4694"/>
      <c r="O29" s="4694">
        <v>0</v>
      </c>
      <c r="P29" s="4694"/>
      <c r="Q29" s="4694">
        <v>0</v>
      </c>
      <c r="R29" s="4694">
        <v>1</v>
      </c>
      <c r="S29" s="4694">
        <v>0</v>
      </c>
      <c r="T29" s="738"/>
      <c r="U29" s="738"/>
      <c r="V29" s="738">
        <v>1</v>
      </c>
      <c r="W29" s="73"/>
      <c r="Y29" s="73"/>
      <c r="Z29" s="73"/>
      <c r="AA29" s="73"/>
      <c r="AB29" s="73" t="s">
        <v>1293</v>
      </c>
      <c r="AC29" s="3261"/>
      <c r="AD29" s="3261"/>
      <c r="AE29" s="3261">
        <v>0</v>
      </c>
      <c r="AF29" s="3261"/>
      <c r="AG29" s="3261"/>
      <c r="AH29" s="3261"/>
      <c r="AI29" s="3261"/>
      <c r="AJ29" s="3261"/>
      <c r="AK29" s="3261"/>
      <c r="AL29" s="3261">
        <v>0</v>
      </c>
      <c r="AM29" s="3261"/>
      <c r="AN29" s="3261">
        <v>1</v>
      </c>
      <c r="AO29" s="3261">
        <v>0</v>
      </c>
      <c r="AP29" s="3261">
        <v>0</v>
      </c>
      <c r="AQ29" s="3261">
        <v>0</v>
      </c>
      <c r="AR29" s="161"/>
      <c r="AS29" s="161"/>
      <c r="AT29" s="161">
        <v>1</v>
      </c>
      <c r="AU29" s="73"/>
      <c r="AY29" s="73"/>
      <c r="AZ29" s="73" t="s">
        <v>1292</v>
      </c>
      <c r="BA29" s="2607"/>
      <c r="BB29" s="2607"/>
      <c r="BC29" s="2607"/>
      <c r="BD29" s="2607"/>
      <c r="BE29" s="2607">
        <v>0</v>
      </c>
      <c r="BF29" s="2607"/>
      <c r="BG29" s="2607"/>
      <c r="BH29" s="2607"/>
      <c r="BI29" s="2607"/>
      <c r="BJ29" s="2607">
        <v>0</v>
      </c>
      <c r="BK29" s="2607">
        <v>1</v>
      </c>
      <c r="BL29" s="2607"/>
      <c r="BM29" s="2607">
        <v>0</v>
      </c>
      <c r="BN29" s="2607">
        <v>1</v>
      </c>
      <c r="BO29" s="2607">
        <v>1</v>
      </c>
      <c r="BP29" s="73"/>
      <c r="BQ29" s="73"/>
      <c r="BR29" s="73">
        <v>3</v>
      </c>
      <c r="BS29" s="73"/>
      <c r="BU29" s="2207"/>
      <c r="BV29" s="2207"/>
      <c r="BW29" s="2207"/>
      <c r="BX29" s="2208" t="s">
        <v>1292</v>
      </c>
      <c r="BY29" s="2209"/>
      <c r="BZ29" s="2209"/>
      <c r="CA29" s="2209"/>
      <c r="CB29" s="2209"/>
      <c r="CC29" s="2209"/>
      <c r="CD29" s="2210">
        <v>0</v>
      </c>
      <c r="CE29" s="2210">
        <v>0</v>
      </c>
      <c r="CF29" s="2210">
        <v>0</v>
      </c>
      <c r="CG29" s="2209"/>
      <c r="CH29" s="2209"/>
      <c r="CI29" s="2210">
        <v>0</v>
      </c>
      <c r="CJ29" s="2210">
        <v>2</v>
      </c>
      <c r="CK29" s="2210">
        <v>3</v>
      </c>
      <c r="CL29" s="2211"/>
      <c r="CM29" s="2211"/>
      <c r="CN29" s="2212">
        <v>5</v>
      </c>
      <c r="CO29" s="73"/>
      <c r="CQ29" s="955"/>
      <c r="CR29" s="955"/>
      <c r="CS29" s="955"/>
      <c r="CT29" s="956" t="s">
        <v>1289</v>
      </c>
      <c r="CU29" s="958">
        <v>0</v>
      </c>
      <c r="CV29" s="957"/>
      <c r="CW29" s="958">
        <v>1</v>
      </c>
      <c r="CX29" s="958">
        <v>3</v>
      </c>
      <c r="CY29" s="958">
        <v>0</v>
      </c>
      <c r="CZ29" s="957"/>
      <c r="DA29" s="958">
        <v>10</v>
      </c>
      <c r="DB29" s="958">
        <v>5</v>
      </c>
      <c r="DC29" s="958">
        <v>3</v>
      </c>
      <c r="DD29" s="958">
        <v>0</v>
      </c>
      <c r="DE29" s="958">
        <v>2</v>
      </c>
      <c r="DF29" s="958">
        <v>0</v>
      </c>
      <c r="DG29" s="958">
        <v>4</v>
      </c>
      <c r="DH29" s="957"/>
      <c r="DI29" s="957"/>
      <c r="DJ29" s="959"/>
      <c r="DK29" s="959"/>
      <c r="DL29" s="960">
        <v>28</v>
      </c>
      <c r="DM29" s="161"/>
      <c r="DO29" s="788"/>
      <c r="DP29" s="788"/>
      <c r="DQ29" s="788"/>
      <c r="DR29" s="788"/>
      <c r="DS29" s="789" t="s">
        <v>1398</v>
      </c>
      <c r="DT29" s="962">
        <v>0</v>
      </c>
      <c r="DU29" s="961"/>
      <c r="DV29" s="961"/>
      <c r="DW29" s="961"/>
      <c r="DX29" s="961"/>
      <c r="DY29" s="962">
        <v>0</v>
      </c>
      <c r="DZ29" s="962">
        <v>2</v>
      </c>
      <c r="EA29" s="962">
        <v>0</v>
      </c>
      <c r="EB29" s="961"/>
      <c r="EC29" s="961"/>
      <c r="ED29" s="961"/>
      <c r="EE29" s="962">
        <v>1</v>
      </c>
      <c r="EF29" s="962">
        <v>0</v>
      </c>
      <c r="EG29" s="962">
        <v>0</v>
      </c>
      <c r="EH29" s="961"/>
      <c r="EI29" s="963"/>
      <c r="EJ29" s="963"/>
      <c r="EK29" s="964">
        <v>3</v>
      </c>
      <c r="EL29" s="912"/>
      <c r="EM29" s="73"/>
      <c r="EN29" s="965"/>
      <c r="EO29" s="965"/>
      <c r="EP29" s="73"/>
      <c r="EQ29" s="73"/>
      <c r="ER29" s="73"/>
      <c r="ES29" s="73"/>
      <c r="ET29" s="73"/>
      <c r="EU29" s="73"/>
      <c r="EV29" s="73"/>
      <c r="EW29" s="73"/>
      <c r="EX29" s="73"/>
      <c r="EY29" s="73"/>
      <c r="EZ29" s="73"/>
      <c r="FA29" s="73"/>
      <c r="FB29" s="73"/>
      <c r="FC29" s="73"/>
      <c r="FD29" s="73"/>
      <c r="FE29" s="73"/>
      <c r="FF29" s="73"/>
      <c r="FG29" s="73"/>
      <c r="FH29" s="73"/>
      <c r="FI29" s="161"/>
      <c r="FJ29" s="161"/>
      <c r="FK29" s="73"/>
      <c r="FL29" s="738" t="s">
        <v>15</v>
      </c>
      <c r="FM29" s="151"/>
      <c r="FN29" s="151">
        <v>1</v>
      </c>
      <c r="FO29" s="151">
        <v>1</v>
      </c>
      <c r="FP29" s="151"/>
      <c r="FQ29" s="151"/>
      <c r="FR29" s="151">
        <v>1</v>
      </c>
      <c r="FS29" s="151">
        <v>4</v>
      </c>
      <c r="FT29" s="151">
        <v>1</v>
      </c>
      <c r="FU29" s="151"/>
      <c r="FV29" s="151"/>
      <c r="FW29" s="151"/>
      <c r="FX29" s="151"/>
      <c r="FY29" s="151"/>
      <c r="FZ29" s="151"/>
      <c r="GA29" s="151"/>
      <c r="GB29" s="151"/>
      <c r="GC29" s="151">
        <v>8</v>
      </c>
      <c r="GD29" s="984">
        <v>0</v>
      </c>
      <c r="GE29" s="73"/>
      <c r="GF29" s="968"/>
      <c r="GG29" s="968"/>
      <c r="GH29" s="968"/>
      <c r="GI29" s="968" t="s">
        <v>1292</v>
      </c>
      <c r="GJ29" s="968">
        <v>0</v>
      </c>
      <c r="GK29" s="968">
        <v>0</v>
      </c>
      <c r="GL29" s="968">
        <v>0</v>
      </c>
      <c r="GM29" s="968">
        <v>0</v>
      </c>
      <c r="GN29" s="968">
        <v>0</v>
      </c>
      <c r="GO29" s="968">
        <v>0</v>
      </c>
      <c r="GP29" s="968">
        <v>0</v>
      </c>
      <c r="GQ29" s="968">
        <v>0</v>
      </c>
      <c r="GR29" s="968">
        <v>0</v>
      </c>
      <c r="GS29" s="968">
        <v>0</v>
      </c>
      <c r="GT29" s="968">
        <v>0</v>
      </c>
      <c r="GU29" s="968">
        <v>0</v>
      </c>
      <c r="GV29" s="968">
        <v>1</v>
      </c>
      <c r="GW29" s="968">
        <v>2</v>
      </c>
      <c r="GX29" s="968">
        <v>2</v>
      </c>
      <c r="GY29" s="968">
        <v>5</v>
      </c>
      <c r="GZ29" s="968">
        <v>10</v>
      </c>
      <c r="HA29" s="968"/>
      <c r="HB29" s="969"/>
    </row>
    <row r="30" spans="1:210">
      <c r="A30" s="73"/>
      <c r="B30" s="73"/>
      <c r="C30" s="738"/>
      <c r="D30" s="738" t="s">
        <v>1398</v>
      </c>
      <c r="E30" s="4694">
        <v>0</v>
      </c>
      <c r="F30" s="4694"/>
      <c r="G30" s="4694"/>
      <c r="H30" s="4694"/>
      <c r="I30" s="4694"/>
      <c r="J30" s="4694"/>
      <c r="K30" s="4694"/>
      <c r="L30" s="4694"/>
      <c r="M30" s="4694"/>
      <c r="N30" s="4694"/>
      <c r="O30" s="4694">
        <v>1</v>
      </c>
      <c r="P30" s="4694"/>
      <c r="Q30" s="4694">
        <v>1</v>
      </c>
      <c r="R30" s="4694">
        <v>0</v>
      </c>
      <c r="S30" s="4694">
        <v>0</v>
      </c>
      <c r="T30" s="738"/>
      <c r="U30" s="738"/>
      <c r="V30" s="738">
        <v>2</v>
      </c>
      <c r="W30" s="73"/>
      <c r="Y30" s="73"/>
      <c r="Z30" s="73"/>
      <c r="AA30" s="73"/>
      <c r="AB30" s="738" t="s">
        <v>15</v>
      </c>
      <c r="AC30" s="3262"/>
      <c r="AD30" s="3262"/>
      <c r="AE30" s="3262">
        <v>1</v>
      </c>
      <c r="AF30" s="3262"/>
      <c r="AG30" s="3262"/>
      <c r="AH30" s="3262"/>
      <c r="AI30" s="3262"/>
      <c r="AJ30" s="3262"/>
      <c r="AK30" s="3262"/>
      <c r="AL30" s="3262">
        <v>1</v>
      </c>
      <c r="AM30" s="3262"/>
      <c r="AN30" s="3262">
        <v>1</v>
      </c>
      <c r="AO30" s="3262">
        <v>2</v>
      </c>
      <c r="AP30" s="3262">
        <v>1</v>
      </c>
      <c r="AQ30" s="3262">
        <v>3</v>
      </c>
      <c r="AR30" s="151"/>
      <c r="AS30" s="151"/>
      <c r="AT30" s="151">
        <v>9</v>
      </c>
      <c r="AU30" s="912">
        <f>+(AT26+AT29)/AT30</f>
        <v>0.22222222222222221</v>
      </c>
      <c r="AY30" s="73"/>
      <c r="AZ30" s="73" t="s">
        <v>1398</v>
      </c>
      <c r="BA30" s="2607"/>
      <c r="BB30" s="2607"/>
      <c r="BC30" s="2607"/>
      <c r="BD30" s="2607"/>
      <c r="BE30" s="2607">
        <v>0</v>
      </c>
      <c r="BF30" s="2607"/>
      <c r="BG30" s="2607"/>
      <c r="BH30" s="2607"/>
      <c r="BI30" s="2607"/>
      <c r="BJ30" s="2607">
        <v>2</v>
      </c>
      <c r="BK30" s="2607">
        <v>0</v>
      </c>
      <c r="BL30" s="2607"/>
      <c r="BM30" s="2607">
        <v>1</v>
      </c>
      <c r="BN30" s="2607">
        <v>0</v>
      </c>
      <c r="BO30" s="2607">
        <v>0</v>
      </c>
      <c r="BP30" s="73"/>
      <c r="BQ30" s="73"/>
      <c r="BR30" s="73">
        <v>3</v>
      </c>
      <c r="BS30" s="73"/>
      <c r="BU30" s="2207"/>
      <c r="BV30" s="2207"/>
      <c r="BW30" s="2207"/>
      <c r="BX30" s="2208" t="s">
        <v>1293</v>
      </c>
      <c r="BY30" s="2209"/>
      <c r="BZ30" s="2209"/>
      <c r="CA30" s="2209"/>
      <c r="CB30" s="2209"/>
      <c r="CC30" s="2209"/>
      <c r="CD30" s="2210">
        <v>0</v>
      </c>
      <c r="CE30" s="2210">
        <v>0</v>
      </c>
      <c r="CF30" s="2210">
        <v>0</v>
      </c>
      <c r="CG30" s="2209"/>
      <c r="CH30" s="2209"/>
      <c r="CI30" s="2210">
        <v>2</v>
      </c>
      <c r="CJ30" s="2210">
        <v>0</v>
      </c>
      <c r="CK30" s="2210">
        <v>0</v>
      </c>
      <c r="CL30" s="2211"/>
      <c r="CM30" s="2211"/>
      <c r="CN30" s="2212">
        <v>2</v>
      </c>
      <c r="CO30" s="73"/>
      <c r="CQ30" s="955"/>
      <c r="CR30" s="955"/>
      <c r="CS30" s="955"/>
      <c r="CT30" s="956" t="s">
        <v>1398</v>
      </c>
      <c r="CU30" s="958">
        <v>0</v>
      </c>
      <c r="CV30" s="957"/>
      <c r="CW30" s="958">
        <v>0</v>
      </c>
      <c r="CX30" s="958">
        <v>0</v>
      </c>
      <c r="CY30" s="958">
        <v>0</v>
      </c>
      <c r="CZ30" s="957"/>
      <c r="DA30" s="958">
        <v>1</v>
      </c>
      <c r="DB30" s="958">
        <v>0</v>
      </c>
      <c r="DC30" s="958">
        <v>0</v>
      </c>
      <c r="DD30" s="958">
        <v>1</v>
      </c>
      <c r="DE30" s="958">
        <v>0</v>
      </c>
      <c r="DF30" s="958">
        <v>1</v>
      </c>
      <c r="DG30" s="958">
        <v>0</v>
      </c>
      <c r="DH30" s="957"/>
      <c r="DI30" s="957"/>
      <c r="DJ30" s="959"/>
      <c r="DK30" s="959"/>
      <c r="DL30" s="960">
        <v>3</v>
      </c>
      <c r="DM30" s="161"/>
      <c r="DO30" s="788"/>
      <c r="DP30" s="788"/>
      <c r="DQ30" s="788"/>
      <c r="DR30" s="73"/>
      <c r="DS30" s="809" t="s">
        <v>15</v>
      </c>
      <c r="DT30" s="971">
        <v>2</v>
      </c>
      <c r="DU30" s="970"/>
      <c r="DV30" s="970"/>
      <c r="DW30" s="970"/>
      <c r="DX30" s="970"/>
      <c r="DY30" s="971">
        <v>1</v>
      </c>
      <c r="DZ30" s="971">
        <v>9</v>
      </c>
      <c r="EA30" s="971">
        <v>2</v>
      </c>
      <c r="EB30" s="970"/>
      <c r="EC30" s="970"/>
      <c r="ED30" s="970"/>
      <c r="EE30" s="971">
        <v>1</v>
      </c>
      <c r="EF30" s="971">
        <v>1</v>
      </c>
      <c r="EG30" s="971">
        <v>1</v>
      </c>
      <c r="EH30" s="970"/>
      <c r="EI30" s="972"/>
      <c r="EJ30" s="972"/>
      <c r="EK30" s="973">
        <v>17</v>
      </c>
      <c r="EL30" s="912">
        <f>+EK29/EK30</f>
        <v>0.17647058823529413</v>
      </c>
      <c r="EM30" s="73"/>
      <c r="EN30" s="965" t="s">
        <v>25</v>
      </c>
      <c r="EO30" s="965" t="s">
        <v>4</v>
      </c>
      <c r="EP30" s="965" t="s">
        <v>121</v>
      </c>
      <c r="EQ30" s="734" t="s">
        <v>1292</v>
      </c>
      <c r="ER30" s="966"/>
      <c r="ES30" s="966"/>
      <c r="ET30" s="966"/>
      <c r="EU30" s="966"/>
      <c r="EV30" s="966"/>
      <c r="EW30" s="966"/>
      <c r="EX30" s="966"/>
      <c r="EY30" s="966"/>
      <c r="EZ30" s="966"/>
      <c r="FA30" s="735">
        <v>1</v>
      </c>
      <c r="FB30" s="735">
        <v>3</v>
      </c>
      <c r="FC30" s="966"/>
      <c r="FD30" s="966"/>
      <c r="FE30" s="735">
        <v>4</v>
      </c>
      <c r="FF30" s="967"/>
      <c r="FG30" s="73"/>
      <c r="FH30" s="73"/>
      <c r="FI30" s="161" t="s">
        <v>25</v>
      </c>
      <c r="FJ30" s="161" t="s">
        <v>4</v>
      </c>
      <c r="FK30" s="73" t="s">
        <v>121</v>
      </c>
      <c r="FL30" s="73" t="s">
        <v>1283</v>
      </c>
      <c r="FM30" s="161"/>
      <c r="FN30" s="161"/>
      <c r="FO30" s="161"/>
      <c r="FP30" s="161"/>
      <c r="FQ30" s="161"/>
      <c r="FR30" s="161"/>
      <c r="FS30" s="161"/>
      <c r="FT30" s="161"/>
      <c r="FU30" s="161"/>
      <c r="FV30" s="161"/>
      <c r="FW30" s="161"/>
      <c r="FX30" s="161"/>
      <c r="FY30" s="161">
        <v>0</v>
      </c>
      <c r="FZ30" s="161">
        <v>2</v>
      </c>
      <c r="GA30" s="161"/>
      <c r="GB30" s="161">
        <v>0</v>
      </c>
      <c r="GC30" s="161">
        <v>2</v>
      </c>
      <c r="GD30" s="73"/>
      <c r="GE30" s="73"/>
      <c r="GF30" s="968"/>
      <c r="GG30" s="968"/>
      <c r="GH30" s="968"/>
      <c r="GI30" s="979" t="s">
        <v>15</v>
      </c>
      <c r="GJ30" s="979">
        <v>0</v>
      </c>
      <c r="GK30" s="979">
        <v>0</v>
      </c>
      <c r="GL30" s="979">
        <v>0</v>
      </c>
      <c r="GM30" s="979">
        <v>0</v>
      </c>
      <c r="GN30" s="979">
        <v>0</v>
      </c>
      <c r="GO30" s="979">
        <v>0</v>
      </c>
      <c r="GP30" s="979">
        <v>0</v>
      </c>
      <c r="GQ30" s="979">
        <v>0</v>
      </c>
      <c r="GR30" s="979">
        <v>0</v>
      </c>
      <c r="GS30" s="979">
        <v>1</v>
      </c>
      <c r="GT30" s="979">
        <v>1</v>
      </c>
      <c r="GU30" s="979">
        <v>0</v>
      </c>
      <c r="GV30" s="979">
        <v>2</v>
      </c>
      <c r="GW30" s="979">
        <v>3</v>
      </c>
      <c r="GX30" s="979">
        <v>2</v>
      </c>
      <c r="GY30" s="979">
        <v>5</v>
      </c>
      <c r="GZ30" s="979">
        <v>14</v>
      </c>
      <c r="HA30" s="980">
        <f>+GZ28/GZ30</f>
        <v>0.21428571428571427</v>
      </c>
      <c r="HB30" s="969">
        <f>+GZ28</f>
        <v>3</v>
      </c>
    </row>
    <row r="31" spans="1:210">
      <c r="A31" s="73"/>
      <c r="B31" s="73"/>
      <c r="C31" s="738"/>
      <c r="D31" s="738" t="s">
        <v>573</v>
      </c>
      <c r="E31" s="4694">
        <v>1</v>
      </c>
      <c r="F31" s="4694"/>
      <c r="G31" s="4694"/>
      <c r="H31" s="4694"/>
      <c r="I31" s="4694"/>
      <c r="J31" s="4694"/>
      <c r="K31" s="4694"/>
      <c r="L31" s="4694"/>
      <c r="M31" s="4694"/>
      <c r="N31" s="4694"/>
      <c r="O31" s="4694">
        <v>1</v>
      </c>
      <c r="P31" s="4694"/>
      <c r="Q31" s="4694">
        <v>1</v>
      </c>
      <c r="R31" s="4694">
        <v>4</v>
      </c>
      <c r="S31" s="4694">
        <v>6</v>
      </c>
      <c r="T31" s="738"/>
      <c r="U31" s="738"/>
      <c r="V31" s="738">
        <v>13</v>
      </c>
      <c r="W31" s="912">
        <f>+(V30+V29)/V31</f>
        <v>0.23076923076923078</v>
      </c>
      <c r="X31" s="3197"/>
      <c r="Y31" s="73"/>
      <c r="Z31" s="73"/>
      <c r="AA31" s="73" t="s">
        <v>573</v>
      </c>
      <c r="AB31" s="73" t="s">
        <v>1284</v>
      </c>
      <c r="AC31" s="3261"/>
      <c r="AD31" s="3261"/>
      <c r="AE31" s="3261">
        <v>1</v>
      </c>
      <c r="AF31" s="3261"/>
      <c r="AG31" s="3261"/>
      <c r="AH31" s="3261"/>
      <c r="AI31" s="3261"/>
      <c r="AJ31" s="3261"/>
      <c r="AK31" s="3261"/>
      <c r="AL31" s="3261">
        <v>0</v>
      </c>
      <c r="AM31" s="3261"/>
      <c r="AN31" s="3261">
        <v>0</v>
      </c>
      <c r="AO31" s="3261">
        <v>1</v>
      </c>
      <c r="AP31" s="3261">
        <v>1</v>
      </c>
      <c r="AQ31" s="3261">
        <v>0</v>
      </c>
      <c r="AR31" s="161"/>
      <c r="AS31" s="161"/>
      <c r="AT31" s="161">
        <v>3</v>
      </c>
      <c r="AU31" s="73"/>
      <c r="AY31" s="73"/>
      <c r="AZ31" s="738" t="s">
        <v>15</v>
      </c>
      <c r="BA31" s="2608"/>
      <c r="BB31" s="2608"/>
      <c r="BC31" s="2608"/>
      <c r="BD31" s="2608"/>
      <c r="BE31" s="2608">
        <v>1</v>
      </c>
      <c r="BF31" s="2608"/>
      <c r="BG31" s="2608"/>
      <c r="BH31" s="2608"/>
      <c r="BI31" s="2608"/>
      <c r="BJ31" s="2608">
        <v>3</v>
      </c>
      <c r="BK31" s="2608">
        <v>2</v>
      </c>
      <c r="BL31" s="2608"/>
      <c r="BM31" s="2608">
        <v>2</v>
      </c>
      <c r="BN31" s="2608">
        <v>2</v>
      </c>
      <c r="BO31" s="2608">
        <v>1</v>
      </c>
      <c r="BP31" s="738"/>
      <c r="BQ31" s="738"/>
      <c r="BR31" s="738">
        <v>11</v>
      </c>
      <c r="BS31" s="912">
        <f>+BR30/BR31</f>
        <v>0.27272727272727271</v>
      </c>
      <c r="BU31" s="2207"/>
      <c r="BV31" s="2207"/>
      <c r="BW31" s="2207"/>
      <c r="BX31" s="2208" t="s">
        <v>1398</v>
      </c>
      <c r="BY31" s="2209"/>
      <c r="BZ31" s="2209"/>
      <c r="CA31" s="2209"/>
      <c r="CB31" s="2209"/>
      <c r="CC31" s="2209"/>
      <c r="CD31" s="2210">
        <v>0</v>
      </c>
      <c r="CE31" s="2210">
        <v>2</v>
      </c>
      <c r="CF31" s="2210">
        <v>3</v>
      </c>
      <c r="CG31" s="2209"/>
      <c r="CH31" s="2209"/>
      <c r="CI31" s="2210">
        <v>1</v>
      </c>
      <c r="CJ31" s="2210">
        <v>0</v>
      </c>
      <c r="CK31" s="2210">
        <v>0</v>
      </c>
      <c r="CL31" s="2211"/>
      <c r="CM31" s="2211"/>
      <c r="CN31" s="2212">
        <v>6</v>
      </c>
      <c r="CO31" s="73"/>
      <c r="CQ31" s="955"/>
      <c r="CR31" s="955"/>
      <c r="CS31" s="955"/>
      <c r="CT31" s="974" t="s">
        <v>15</v>
      </c>
      <c r="CU31" s="976">
        <v>1</v>
      </c>
      <c r="CV31" s="975"/>
      <c r="CW31" s="976">
        <v>1</v>
      </c>
      <c r="CX31" s="976">
        <v>3</v>
      </c>
      <c r="CY31" s="976">
        <v>1</v>
      </c>
      <c r="CZ31" s="975"/>
      <c r="DA31" s="976">
        <v>11</v>
      </c>
      <c r="DB31" s="976">
        <v>5</v>
      </c>
      <c r="DC31" s="976">
        <v>3</v>
      </c>
      <c r="DD31" s="976">
        <v>1</v>
      </c>
      <c r="DE31" s="976">
        <v>2</v>
      </c>
      <c r="DF31" s="976">
        <v>1</v>
      </c>
      <c r="DG31" s="976">
        <v>4</v>
      </c>
      <c r="DH31" s="975"/>
      <c r="DI31" s="975"/>
      <c r="DJ31" s="977"/>
      <c r="DK31" s="977"/>
      <c r="DL31" s="978">
        <v>33</v>
      </c>
      <c r="DM31" s="912">
        <f>+DL30/DL31</f>
        <v>9.0909090909090912E-2</v>
      </c>
      <c r="DO31" s="788"/>
      <c r="DP31" s="788"/>
      <c r="DQ31" s="809" t="s">
        <v>888</v>
      </c>
      <c r="DR31" s="788" t="s">
        <v>1282</v>
      </c>
      <c r="DS31" s="789" t="s">
        <v>1284</v>
      </c>
      <c r="DT31" s="962">
        <v>2</v>
      </c>
      <c r="DU31" s="961"/>
      <c r="DV31" s="961"/>
      <c r="DW31" s="961"/>
      <c r="DX31" s="961"/>
      <c r="DY31" s="962">
        <v>0</v>
      </c>
      <c r="DZ31" s="962">
        <v>2</v>
      </c>
      <c r="EA31" s="962">
        <v>0</v>
      </c>
      <c r="EB31" s="961"/>
      <c r="EC31" s="961"/>
      <c r="ED31" s="961"/>
      <c r="EE31" s="962">
        <v>0</v>
      </c>
      <c r="EF31" s="962">
        <v>1</v>
      </c>
      <c r="EG31" s="962">
        <v>0</v>
      </c>
      <c r="EH31" s="961"/>
      <c r="EI31" s="963"/>
      <c r="EJ31" s="963"/>
      <c r="EK31" s="964">
        <v>5</v>
      </c>
      <c r="EL31" s="912"/>
      <c r="EM31" s="73"/>
      <c r="EN31" s="965"/>
      <c r="EO31" s="965"/>
      <c r="EP31" s="965"/>
      <c r="EQ31" s="981" t="s">
        <v>15</v>
      </c>
      <c r="ER31" s="982"/>
      <c r="ES31" s="982"/>
      <c r="ET31" s="982"/>
      <c r="EU31" s="982"/>
      <c r="EV31" s="982"/>
      <c r="EW31" s="982"/>
      <c r="EX31" s="982"/>
      <c r="EY31" s="982"/>
      <c r="EZ31" s="982"/>
      <c r="FA31" s="740">
        <v>1</v>
      </c>
      <c r="FB31" s="740">
        <v>3</v>
      </c>
      <c r="FC31" s="982"/>
      <c r="FD31" s="982"/>
      <c r="FE31" s="740">
        <v>4</v>
      </c>
      <c r="FF31" s="905">
        <v>0</v>
      </c>
      <c r="FG31" s="73"/>
      <c r="FH31" s="73"/>
      <c r="FI31" s="161"/>
      <c r="FJ31" s="161"/>
      <c r="FK31" s="73"/>
      <c r="FL31" s="73" t="s">
        <v>1288</v>
      </c>
      <c r="FM31" s="161"/>
      <c r="FN31" s="161"/>
      <c r="FO31" s="161"/>
      <c r="FP31" s="161"/>
      <c r="FQ31" s="161"/>
      <c r="FR31" s="161"/>
      <c r="FS31" s="161"/>
      <c r="FT31" s="161"/>
      <c r="FU31" s="161"/>
      <c r="FV31" s="161"/>
      <c r="FW31" s="161"/>
      <c r="FX31" s="161"/>
      <c r="FY31" s="161">
        <v>1</v>
      </c>
      <c r="FZ31" s="161">
        <v>0</v>
      </c>
      <c r="GA31" s="161"/>
      <c r="GB31" s="161">
        <v>0</v>
      </c>
      <c r="GC31" s="161">
        <v>1</v>
      </c>
      <c r="GD31" s="73"/>
      <c r="GE31" s="73"/>
      <c r="GF31" s="968"/>
      <c r="GG31" s="968"/>
      <c r="GH31" s="968" t="s">
        <v>124</v>
      </c>
      <c r="GI31" s="968" t="s">
        <v>1283</v>
      </c>
      <c r="GJ31" s="968">
        <v>0</v>
      </c>
      <c r="GK31" s="968">
        <v>0</v>
      </c>
      <c r="GL31" s="968">
        <v>0</v>
      </c>
      <c r="GM31" s="968">
        <v>0</v>
      </c>
      <c r="GN31" s="968">
        <v>0</v>
      </c>
      <c r="GO31" s="968">
        <v>0</v>
      </c>
      <c r="GP31" s="968">
        <v>0</v>
      </c>
      <c r="GQ31" s="968">
        <v>0</v>
      </c>
      <c r="GR31" s="968">
        <v>0</v>
      </c>
      <c r="GS31" s="968">
        <v>0</v>
      </c>
      <c r="GT31" s="968">
        <v>0</v>
      </c>
      <c r="GU31" s="968">
        <v>0</v>
      </c>
      <c r="GV31" s="968">
        <v>0</v>
      </c>
      <c r="GW31" s="968">
        <v>1</v>
      </c>
      <c r="GX31" s="968">
        <v>0</v>
      </c>
      <c r="GY31" s="968">
        <v>0</v>
      </c>
      <c r="GZ31" s="968">
        <v>1</v>
      </c>
      <c r="HA31" s="968"/>
      <c r="HB31" s="969"/>
    </row>
    <row r="32" spans="1:210">
      <c r="A32" s="73"/>
      <c r="B32" s="73" t="s">
        <v>21</v>
      </c>
      <c r="C32" s="73" t="s">
        <v>1692</v>
      </c>
      <c r="D32" s="73" t="s">
        <v>1284</v>
      </c>
      <c r="E32" s="967"/>
      <c r="F32" s="967"/>
      <c r="G32" s="967"/>
      <c r="H32" s="967"/>
      <c r="I32" s="967"/>
      <c r="J32" s="967"/>
      <c r="K32" s="967"/>
      <c r="L32" s="967"/>
      <c r="M32" s="967"/>
      <c r="N32" s="967">
        <v>3</v>
      </c>
      <c r="O32" s="967"/>
      <c r="P32" s="967">
        <v>1</v>
      </c>
      <c r="Q32" s="967"/>
      <c r="R32" s="967"/>
      <c r="S32" s="967"/>
      <c r="T32" s="73"/>
      <c r="U32" s="73"/>
      <c r="V32" s="73">
        <v>4</v>
      </c>
      <c r="W32" s="73"/>
      <c r="Y32" s="73"/>
      <c r="Z32" s="73"/>
      <c r="AA32" s="73"/>
      <c r="AB32" s="73" t="s">
        <v>1288</v>
      </c>
      <c r="AC32" s="3261"/>
      <c r="AD32" s="3261"/>
      <c r="AE32" s="3261">
        <v>0</v>
      </c>
      <c r="AF32" s="3261"/>
      <c r="AG32" s="3261"/>
      <c r="AH32" s="3261"/>
      <c r="AI32" s="3261"/>
      <c r="AJ32" s="3261"/>
      <c r="AK32" s="3261"/>
      <c r="AL32" s="3261">
        <v>0</v>
      </c>
      <c r="AM32" s="3261"/>
      <c r="AN32" s="3261">
        <v>0</v>
      </c>
      <c r="AO32" s="3261">
        <v>1</v>
      </c>
      <c r="AP32" s="3261">
        <v>0</v>
      </c>
      <c r="AQ32" s="3261">
        <v>0</v>
      </c>
      <c r="AR32" s="161"/>
      <c r="AS32" s="161"/>
      <c r="AT32" s="161">
        <v>1</v>
      </c>
      <c r="AU32" s="73"/>
      <c r="AY32" s="73" t="s">
        <v>1695</v>
      </c>
      <c r="AZ32" s="73" t="s">
        <v>1284</v>
      </c>
      <c r="BA32" s="2607"/>
      <c r="BB32" s="2607"/>
      <c r="BC32" s="2607">
        <v>1</v>
      </c>
      <c r="BD32" s="2607"/>
      <c r="BE32" s="2607"/>
      <c r="BF32" s="2607"/>
      <c r="BG32" s="2607">
        <v>1</v>
      </c>
      <c r="BH32" s="2607"/>
      <c r="BI32" s="2607">
        <v>2</v>
      </c>
      <c r="BJ32" s="2607"/>
      <c r="BK32" s="2607">
        <v>1</v>
      </c>
      <c r="BL32" s="2607">
        <v>0</v>
      </c>
      <c r="BM32" s="2607">
        <v>2</v>
      </c>
      <c r="BN32" s="2607"/>
      <c r="BO32" s="2607"/>
      <c r="BP32" s="73"/>
      <c r="BQ32" s="73"/>
      <c r="BR32" s="73">
        <v>7</v>
      </c>
      <c r="BS32" s="73"/>
      <c r="BU32" s="2207"/>
      <c r="BV32" s="2207"/>
      <c r="BW32" s="2207"/>
      <c r="BX32" s="2204" t="s">
        <v>107</v>
      </c>
      <c r="BY32" s="2213"/>
      <c r="BZ32" s="2213"/>
      <c r="CA32" s="2213"/>
      <c r="CB32" s="2213"/>
      <c r="CC32" s="2213"/>
      <c r="CD32" s="2214">
        <v>3</v>
      </c>
      <c r="CE32" s="2214">
        <v>2</v>
      </c>
      <c r="CF32" s="2214">
        <v>3</v>
      </c>
      <c r="CG32" s="2213"/>
      <c r="CH32" s="2213"/>
      <c r="CI32" s="2214">
        <v>7</v>
      </c>
      <c r="CJ32" s="2214">
        <v>3</v>
      </c>
      <c r="CK32" s="2214">
        <v>3</v>
      </c>
      <c r="CL32" s="2215"/>
      <c r="CM32" s="2215"/>
      <c r="CN32" s="2216">
        <v>21</v>
      </c>
      <c r="CO32" s="2154">
        <f>+(CN30+CN31)/CN32</f>
        <v>0.38095238095238093</v>
      </c>
      <c r="CQ32" s="955"/>
      <c r="CR32" s="955"/>
      <c r="CS32" s="955" t="s">
        <v>888</v>
      </c>
      <c r="CT32" s="956" t="s">
        <v>1284</v>
      </c>
      <c r="CU32" s="958">
        <v>1</v>
      </c>
      <c r="CV32" s="957"/>
      <c r="CW32" s="958">
        <v>0</v>
      </c>
      <c r="CX32" s="958">
        <v>0</v>
      </c>
      <c r="CY32" s="958">
        <v>0</v>
      </c>
      <c r="CZ32" s="957"/>
      <c r="DA32" s="958">
        <v>0</v>
      </c>
      <c r="DB32" s="958">
        <v>0</v>
      </c>
      <c r="DC32" s="958">
        <v>0</v>
      </c>
      <c r="DD32" s="958">
        <v>0</v>
      </c>
      <c r="DE32" s="958">
        <v>0</v>
      </c>
      <c r="DF32" s="958">
        <v>0</v>
      </c>
      <c r="DG32" s="958">
        <v>0</v>
      </c>
      <c r="DH32" s="957"/>
      <c r="DI32" s="957"/>
      <c r="DJ32" s="959"/>
      <c r="DK32" s="959"/>
      <c r="DL32" s="960">
        <v>1</v>
      </c>
      <c r="DM32" s="161"/>
      <c r="DO32" s="788"/>
      <c r="DP32" s="788"/>
      <c r="DQ32" s="788"/>
      <c r="DR32" s="788"/>
      <c r="DS32" s="789" t="s">
        <v>1289</v>
      </c>
      <c r="DT32" s="962">
        <v>0</v>
      </c>
      <c r="DU32" s="961"/>
      <c r="DV32" s="961"/>
      <c r="DW32" s="961"/>
      <c r="DX32" s="961"/>
      <c r="DY32" s="962">
        <v>1</v>
      </c>
      <c r="DZ32" s="962">
        <v>5</v>
      </c>
      <c r="EA32" s="962">
        <v>2</v>
      </c>
      <c r="EB32" s="961"/>
      <c r="EC32" s="961"/>
      <c r="ED32" s="961"/>
      <c r="EE32" s="962">
        <v>0</v>
      </c>
      <c r="EF32" s="962">
        <v>0</v>
      </c>
      <c r="EG32" s="962">
        <v>0</v>
      </c>
      <c r="EH32" s="961"/>
      <c r="EI32" s="963"/>
      <c r="EJ32" s="963"/>
      <c r="EK32" s="964">
        <v>8</v>
      </c>
      <c r="EL32" s="912"/>
      <c r="EM32" s="73"/>
      <c r="EN32" s="965"/>
      <c r="EO32" s="965"/>
      <c r="EP32" s="965" t="s">
        <v>122</v>
      </c>
      <c r="EQ32" s="734" t="s">
        <v>1283</v>
      </c>
      <c r="ER32" s="966"/>
      <c r="ES32" s="966"/>
      <c r="ET32" s="966"/>
      <c r="EU32" s="966"/>
      <c r="EV32" s="966"/>
      <c r="EW32" s="966"/>
      <c r="EX32" s="966"/>
      <c r="EY32" s="735">
        <v>1</v>
      </c>
      <c r="EZ32" s="966"/>
      <c r="FA32" s="735">
        <v>0</v>
      </c>
      <c r="FB32" s="735">
        <v>0</v>
      </c>
      <c r="FC32" s="735">
        <v>0</v>
      </c>
      <c r="FD32" s="735">
        <v>0</v>
      </c>
      <c r="FE32" s="735">
        <v>1</v>
      </c>
      <c r="FF32" s="967"/>
      <c r="FG32" s="73"/>
      <c r="FH32" s="73"/>
      <c r="FI32" s="161"/>
      <c r="FJ32" s="161"/>
      <c r="FK32" s="73"/>
      <c r="FL32" s="73" t="s">
        <v>1292</v>
      </c>
      <c r="FM32" s="161"/>
      <c r="FN32" s="161"/>
      <c r="FO32" s="161"/>
      <c r="FP32" s="161"/>
      <c r="FQ32" s="161"/>
      <c r="FR32" s="161"/>
      <c r="FS32" s="161"/>
      <c r="FT32" s="161"/>
      <c r="FU32" s="161"/>
      <c r="FV32" s="161"/>
      <c r="FW32" s="161"/>
      <c r="FX32" s="161"/>
      <c r="FY32" s="161">
        <v>0</v>
      </c>
      <c r="FZ32" s="161">
        <v>0</v>
      </c>
      <c r="GA32" s="161"/>
      <c r="GB32" s="161">
        <v>1</v>
      </c>
      <c r="GC32" s="161">
        <v>1</v>
      </c>
      <c r="GD32" s="73"/>
      <c r="GE32" s="73"/>
      <c r="GF32" s="968"/>
      <c r="GG32" s="968"/>
      <c r="GH32" s="968"/>
      <c r="GI32" s="968" t="s">
        <v>1284</v>
      </c>
      <c r="GJ32" s="968">
        <v>0</v>
      </c>
      <c r="GK32" s="968">
        <v>0</v>
      </c>
      <c r="GL32" s="968">
        <v>0</v>
      </c>
      <c r="GM32" s="968">
        <v>0</v>
      </c>
      <c r="GN32" s="968">
        <v>0</v>
      </c>
      <c r="GO32" s="968">
        <v>0</v>
      </c>
      <c r="GP32" s="968">
        <v>0</v>
      </c>
      <c r="GQ32" s="968">
        <v>0</v>
      </c>
      <c r="GR32" s="968">
        <v>0</v>
      </c>
      <c r="GS32" s="968">
        <v>0</v>
      </c>
      <c r="GT32" s="968">
        <v>0</v>
      </c>
      <c r="GU32" s="968">
        <v>1</v>
      </c>
      <c r="GV32" s="968">
        <v>0</v>
      </c>
      <c r="GW32" s="968">
        <v>0</v>
      </c>
      <c r="GX32" s="968">
        <v>0</v>
      </c>
      <c r="GY32" s="968">
        <v>0</v>
      </c>
      <c r="GZ32" s="968">
        <v>1</v>
      </c>
      <c r="HA32" s="968"/>
      <c r="HB32" s="969"/>
    </row>
    <row r="33" spans="1:210">
      <c r="A33" s="73"/>
      <c r="B33" s="73"/>
      <c r="C33" s="73"/>
      <c r="D33" s="738" t="s">
        <v>15</v>
      </c>
      <c r="E33" s="4694"/>
      <c r="F33" s="4694"/>
      <c r="G33" s="4694"/>
      <c r="H33" s="4694"/>
      <c r="I33" s="4694"/>
      <c r="J33" s="4694"/>
      <c r="K33" s="4694"/>
      <c r="L33" s="4694"/>
      <c r="M33" s="4694"/>
      <c r="N33" s="4694">
        <v>3</v>
      </c>
      <c r="O33" s="4694"/>
      <c r="P33" s="4694">
        <v>1</v>
      </c>
      <c r="Q33" s="4694"/>
      <c r="R33" s="4694"/>
      <c r="S33" s="4694"/>
      <c r="T33" s="738"/>
      <c r="U33" s="738"/>
      <c r="V33" s="738">
        <v>4</v>
      </c>
      <c r="W33" s="912">
        <v>0</v>
      </c>
      <c r="X33" s="3197"/>
      <c r="Y33" s="73"/>
      <c r="Z33" s="73"/>
      <c r="AA33" s="73"/>
      <c r="AB33" s="73" t="s">
        <v>1289</v>
      </c>
      <c r="AC33" s="3261"/>
      <c r="AD33" s="3261"/>
      <c r="AE33" s="3261">
        <v>0</v>
      </c>
      <c r="AF33" s="3261"/>
      <c r="AG33" s="3261"/>
      <c r="AH33" s="3261"/>
      <c r="AI33" s="3261"/>
      <c r="AJ33" s="3261"/>
      <c r="AK33" s="3261"/>
      <c r="AL33" s="3261">
        <v>1</v>
      </c>
      <c r="AM33" s="3261"/>
      <c r="AN33" s="3261">
        <v>0</v>
      </c>
      <c r="AO33" s="3261">
        <v>0</v>
      </c>
      <c r="AP33" s="3261">
        <v>0</v>
      </c>
      <c r="AQ33" s="3261">
        <v>0</v>
      </c>
      <c r="AR33" s="161"/>
      <c r="AS33" s="161"/>
      <c r="AT33" s="161">
        <v>1</v>
      </c>
      <c r="AU33" s="73"/>
      <c r="AY33" s="73"/>
      <c r="AZ33" s="73" t="s">
        <v>1398</v>
      </c>
      <c r="BA33" s="2607"/>
      <c r="BB33" s="2607"/>
      <c r="BC33" s="2607">
        <v>0</v>
      </c>
      <c r="BD33" s="2607"/>
      <c r="BE33" s="2607"/>
      <c r="BF33" s="2607"/>
      <c r="BG33" s="2607">
        <v>0</v>
      </c>
      <c r="BH33" s="2607"/>
      <c r="BI33" s="2607">
        <v>0</v>
      </c>
      <c r="BJ33" s="2607"/>
      <c r="BK33" s="2607">
        <v>0</v>
      </c>
      <c r="BL33" s="2607">
        <v>1</v>
      </c>
      <c r="BM33" s="2607">
        <v>0</v>
      </c>
      <c r="BN33" s="2607"/>
      <c r="BO33" s="2607"/>
      <c r="BP33" s="73"/>
      <c r="BQ33" s="73"/>
      <c r="BR33" s="73">
        <v>1</v>
      </c>
      <c r="BS33" s="73"/>
      <c r="BU33" s="2207" t="s">
        <v>25</v>
      </c>
      <c r="BV33" s="2207" t="s">
        <v>4</v>
      </c>
      <c r="BW33" s="2207" t="s">
        <v>121</v>
      </c>
      <c r="BX33" s="2208" t="s">
        <v>1292</v>
      </c>
      <c r="BY33" s="2209"/>
      <c r="BZ33" s="2209"/>
      <c r="CA33" s="2209"/>
      <c r="CB33" s="2209"/>
      <c r="CC33" s="2209"/>
      <c r="CD33" s="2209"/>
      <c r="CE33" s="2209"/>
      <c r="CF33" s="2209"/>
      <c r="CG33" s="2209"/>
      <c r="CH33" s="2209"/>
      <c r="CI33" s="2209"/>
      <c r="CJ33" s="2209"/>
      <c r="CK33" s="2210">
        <v>1</v>
      </c>
      <c r="CL33" s="2211"/>
      <c r="CM33" s="2211"/>
      <c r="CN33" s="2212">
        <v>1</v>
      </c>
      <c r="CO33" s="73"/>
      <c r="CQ33" s="955"/>
      <c r="CR33" s="955"/>
      <c r="CS33" s="955"/>
      <c r="CT33" s="956" t="s">
        <v>1286</v>
      </c>
      <c r="CU33" s="958">
        <v>0</v>
      </c>
      <c r="CV33" s="957"/>
      <c r="CW33" s="958">
        <v>0</v>
      </c>
      <c r="CX33" s="958">
        <v>0</v>
      </c>
      <c r="CY33" s="958">
        <v>1</v>
      </c>
      <c r="CZ33" s="957"/>
      <c r="DA33" s="958">
        <v>0</v>
      </c>
      <c r="DB33" s="958">
        <v>0</v>
      </c>
      <c r="DC33" s="958">
        <v>0</v>
      </c>
      <c r="DD33" s="958">
        <v>0</v>
      </c>
      <c r="DE33" s="958">
        <v>0</v>
      </c>
      <c r="DF33" s="958">
        <v>0</v>
      </c>
      <c r="DG33" s="958">
        <v>0</v>
      </c>
      <c r="DH33" s="957"/>
      <c r="DI33" s="957"/>
      <c r="DJ33" s="959"/>
      <c r="DK33" s="959"/>
      <c r="DL33" s="960">
        <v>1</v>
      </c>
      <c r="DM33" s="161"/>
      <c r="DO33" s="788"/>
      <c r="DP33" s="788"/>
      <c r="DQ33" s="788"/>
      <c r="DR33" s="788"/>
      <c r="DS33" s="789" t="s">
        <v>1292</v>
      </c>
      <c r="DT33" s="962">
        <v>0</v>
      </c>
      <c r="DU33" s="961"/>
      <c r="DV33" s="961"/>
      <c r="DW33" s="961"/>
      <c r="DX33" s="961"/>
      <c r="DY33" s="962">
        <v>0</v>
      </c>
      <c r="DZ33" s="962">
        <v>0</v>
      </c>
      <c r="EA33" s="962">
        <v>0</v>
      </c>
      <c r="EB33" s="961"/>
      <c r="EC33" s="961"/>
      <c r="ED33" s="961"/>
      <c r="EE33" s="962">
        <v>0</v>
      </c>
      <c r="EF33" s="962">
        <v>0</v>
      </c>
      <c r="EG33" s="962">
        <v>1</v>
      </c>
      <c r="EH33" s="961"/>
      <c r="EI33" s="963"/>
      <c r="EJ33" s="963"/>
      <c r="EK33" s="964">
        <v>1</v>
      </c>
      <c r="EL33" s="912"/>
      <c r="EM33" s="73"/>
      <c r="EN33" s="965"/>
      <c r="EO33" s="965"/>
      <c r="EP33" s="965"/>
      <c r="EQ33" s="734" t="s">
        <v>1288</v>
      </c>
      <c r="ER33" s="966"/>
      <c r="ES33" s="966"/>
      <c r="ET33" s="966"/>
      <c r="EU33" s="966"/>
      <c r="EV33" s="966"/>
      <c r="EW33" s="966"/>
      <c r="EX33" s="966"/>
      <c r="EY33" s="735">
        <v>0</v>
      </c>
      <c r="EZ33" s="966"/>
      <c r="FA33" s="735">
        <v>2</v>
      </c>
      <c r="FB33" s="735">
        <v>0</v>
      </c>
      <c r="FC33" s="735">
        <v>0</v>
      </c>
      <c r="FD33" s="735">
        <v>0</v>
      </c>
      <c r="FE33" s="735">
        <v>2</v>
      </c>
      <c r="FF33" s="967"/>
      <c r="FG33" s="73"/>
      <c r="FH33" s="73"/>
      <c r="FI33" s="161"/>
      <c r="FJ33" s="161"/>
      <c r="FK33" s="73"/>
      <c r="FL33" s="73" t="s">
        <v>1398</v>
      </c>
      <c r="FM33" s="161"/>
      <c r="FN33" s="161"/>
      <c r="FO33" s="161"/>
      <c r="FP33" s="161"/>
      <c r="FQ33" s="161"/>
      <c r="FR33" s="161"/>
      <c r="FS33" s="161"/>
      <c r="FT33" s="161"/>
      <c r="FU33" s="161"/>
      <c r="FV33" s="161"/>
      <c r="FW33" s="161"/>
      <c r="FX33" s="161"/>
      <c r="FY33" s="161">
        <v>2</v>
      </c>
      <c r="FZ33" s="161">
        <v>0</v>
      </c>
      <c r="GA33" s="161"/>
      <c r="GB33" s="161">
        <v>0</v>
      </c>
      <c r="GC33" s="161">
        <v>2</v>
      </c>
      <c r="GD33" s="73"/>
      <c r="GE33" s="73"/>
      <c r="GF33" s="968"/>
      <c r="GG33" s="968"/>
      <c r="GH33" s="968"/>
      <c r="GI33" s="968" t="s">
        <v>1288</v>
      </c>
      <c r="GJ33" s="968">
        <v>0</v>
      </c>
      <c r="GK33" s="968">
        <v>0</v>
      </c>
      <c r="GL33" s="968">
        <v>0</v>
      </c>
      <c r="GM33" s="968">
        <v>0</v>
      </c>
      <c r="GN33" s="968">
        <v>0</v>
      </c>
      <c r="GO33" s="968">
        <v>0</v>
      </c>
      <c r="GP33" s="968">
        <v>0</v>
      </c>
      <c r="GQ33" s="968">
        <v>0</v>
      </c>
      <c r="GR33" s="968">
        <v>0</v>
      </c>
      <c r="GS33" s="968">
        <v>0</v>
      </c>
      <c r="GT33" s="968">
        <v>1</v>
      </c>
      <c r="GU33" s="968">
        <v>0</v>
      </c>
      <c r="GV33" s="968">
        <v>0</v>
      </c>
      <c r="GW33" s="968">
        <v>2</v>
      </c>
      <c r="GX33" s="968">
        <v>0</v>
      </c>
      <c r="GY33" s="968">
        <v>0</v>
      </c>
      <c r="GZ33" s="968">
        <v>3</v>
      </c>
      <c r="HA33" s="968"/>
      <c r="HB33" s="969"/>
    </row>
    <row r="34" spans="1:210">
      <c r="A34" s="73"/>
      <c r="B34" s="73"/>
      <c r="C34" s="73" t="s">
        <v>1693</v>
      </c>
      <c r="D34" s="73" t="s">
        <v>1284</v>
      </c>
      <c r="E34" s="967"/>
      <c r="F34" s="967"/>
      <c r="G34" s="967"/>
      <c r="H34" s="967"/>
      <c r="I34" s="967">
        <v>0</v>
      </c>
      <c r="J34" s="967"/>
      <c r="K34" s="967">
        <v>1</v>
      </c>
      <c r="L34" s="967"/>
      <c r="M34" s="967"/>
      <c r="N34" s="967">
        <v>2</v>
      </c>
      <c r="O34" s="967">
        <v>2</v>
      </c>
      <c r="P34" s="967"/>
      <c r="Q34" s="967"/>
      <c r="R34" s="967"/>
      <c r="S34" s="967">
        <v>0</v>
      </c>
      <c r="T34" s="73"/>
      <c r="U34" s="73"/>
      <c r="V34" s="73">
        <v>5</v>
      </c>
      <c r="W34" s="73"/>
      <c r="Y34" s="73"/>
      <c r="Z34" s="73"/>
      <c r="AA34" s="73"/>
      <c r="AB34" s="73" t="s">
        <v>1292</v>
      </c>
      <c r="AC34" s="3261"/>
      <c r="AD34" s="3261"/>
      <c r="AE34" s="3261">
        <v>0</v>
      </c>
      <c r="AF34" s="3261"/>
      <c r="AG34" s="3261"/>
      <c r="AH34" s="3261"/>
      <c r="AI34" s="3261"/>
      <c r="AJ34" s="3261"/>
      <c r="AK34" s="3261"/>
      <c r="AL34" s="3261">
        <v>0</v>
      </c>
      <c r="AM34" s="3261"/>
      <c r="AN34" s="3261">
        <v>0</v>
      </c>
      <c r="AO34" s="3261">
        <v>0</v>
      </c>
      <c r="AP34" s="3261">
        <v>0</v>
      </c>
      <c r="AQ34" s="3261">
        <v>3</v>
      </c>
      <c r="AR34" s="161"/>
      <c r="AS34" s="161"/>
      <c r="AT34" s="161">
        <v>3</v>
      </c>
      <c r="AU34" s="73"/>
      <c r="AY34" s="73"/>
      <c r="AZ34" s="738" t="s">
        <v>15</v>
      </c>
      <c r="BA34" s="2608"/>
      <c r="BB34" s="2608"/>
      <c r="BC34" s="2608">
        <v>1</v>
      </c>
      <c r="BD34" s="2608"/>
      <c r="BE34" s="2608"/>
      <c r="BF34" s="2608"/>
      <c r="BG34" s="2608">
        <v>1</v>
      </c>
      <c r="BH34" s="2608"/>
      <c r="BI34" s="2608">
        <v>2</v>
      </c>
      <c r="BJ34" s="2608"/>
      <c r="BK34" s="2608">
        <v>1</v>
      </c>
      <c r="BL34" s="2608">
        <v>1</v>
      </c>
      <c r="BM34" s="2608">
        <v>2</v>
      </c>
      <c r="BN34" s="2608"/>
      <c r="BO34" s="2608"/>
      <c r="BP34" s="738"/>
      <c r="BQ34" s="738"/>
      <c r="BR34" s="738">
        <v>8</v>
      </c>
      <c r="BS34" s="912">
        <f>+BR33/BR34</f>
        <v>0.125</v>
      </c>
      <c r="BU34" s="2207"/>
      <c r="BV34" s="2207"/>
      <c r="BW34" s="2207"/>
      <c r="BX34" s="2202" t="s">
        <v>15</v>
      </c>
      <c r="BY34" s="2209"/>
      <c r="BZ34" s="2209"/>
      <c r="CA34" s="2209"/>
      <c r="CB34" s="2209"/>
      <c r="CC34" s="2209"/>
      <c r="CD34" s="2209"/>
      <c r="CE34" s="2209"/>
      <c r="CF34" s="2209"/>
      <c r="CG34" s="2209"/>
      <c r="CH34" s="2209"/>
      <c r="CI34" s="2209"/>
      <c r="CJ34" s="2209"/>
      <c r="CK34" s="2210">
        <v>1</v>
      </c>
      <c r="CL34" s="2211"/>
      <c r="CM34" s="2211"/>
      <c r="CN34" s="2212">
        <v>1</v>
      </c>
      <c r="CO34" s="2154">
        <v>0</v>
      </c>
      <c r="CQ34" s="955"/>
      <c r="CR34" s="955"/>
      <c r="CS34" s="955"/>
      <c r="CT34" s="956" t="s">
        <v>1289</v>
      </c>
      <c r="CU34" s="958">
        <v>0</v>
      </c>
      <c r="CV34" s="957"/>
      <c r="CW34" s="958">
        <v>1</v>
      </c>
      <c r="CX34" s="958">
        <v>3</v>
      </c>
      <c r="CY34" s="958">
        <v>0</v>
      </c>
      <c r="CZ34" s="957"/>
      <c r="DA34" s="958">
        <v>10</v>
      </c>
      <c r="DB34" s="958">
        <v>5</v>
      </c>
      <c r="DC34" s="958">
        <v>3</v>
      </c>
      <c r="DD34" s="958">
        <v>0</v>
      </c>
      <c r="DE34" s="958">
        <v>2</v>
      </c>
      <c r="DF34" s="958">
        <v>0</v>
      </c>
      <c r="DG34" s="958">
        <v>4</v>
      </c>
      <c r="DH34" s="957"/>
      <c r="DI34" s="957"/>
      <c r="DJ34" s="959"/>
      <c r="DK34" s="959"/>
      <c r="DL34" s="960">
        <v>28</v>
      </c>
      <c r="DM34" s="161"/>
      <c r="DO34" s="788"/>
      <c r="DP34" s="788"/>
      <c r="DQ34" s="788"/>
      <c r="DR34" s="788"/>
      <c r="DS34" s="789" t="s">
        <v>1398</v>
      </c>
      <c r="DT34" s="962">
        <v>0</v>
      </c>
      <c r="DU34" s="961"/>
      <c r="DV34" s="961"/>
      <c r="DW34" s="961"/>
      <c r="DX34" s="961"/>
      <c r="DY34" s="962">
        <v>0</v>
      </c>
      <c r="DZ34" s="962">
        <v>2</v>
      </c>
      <c r="EA34" s="962">
        <v>0</v>
      </c>
      <c r="EB34" s="961"/>
      <c r="EC34" s="961"/>
      <c r="ED34" s="961"/>
      <c r="EE34" s="962">
        <v>1</v>
      </c>
      <c r="EF34" s="962">
        <v>0</v>
      </c>
      <c r="EG34" s="962">
        <v>0</v>
      </c>
      <c r="EH34" s="961"/>
      <c r="EI34" s="963"/>
      <c r="EJ34" s="963"/>
      <c r="EK34" s="964">
        <v>3</v>
      </c>
      <c r="EL34" s="912"/>
      <c r="EM34" s="73"/>
      <c r="EN34" s="965"/>
      <c r="EO34" s="965"/>
      <c r="EP34" s="965"/>
      <c r="EQ34" s="734" t="s">
        <v>1292</v>
      </c>
      <c r="ER34" s="966"/>
      <c r="ES34" s="966"/>
      <c r="ET34" s="966"/>
      <c r="EU34" s="966"/>
      <c r="EV34" s="966"/>
      <c r="EW34" s="966"/>
      <c r="EX34" s="966"/>
      <c r="EY34" s="735">
        <v>0</v>
      </c>
      <c r="EZ34" s="966"/>
      <c r="FA34" s="735">
        <v>0</v>
      </c>
      <c r="FB34" s="735">
        <v>1</v>
      </c>
      <c r="FC34" s="735">
        <v>2</v>
      </c>
      <c r="FD34" s="735">
        <v>1</v>
      </c>
      <c r="FE34" s="735">
        <v>4</v>
      </c>
      <c r="FF34" s="967"/>
      <c r="FG34" s="73"/>
      <c r="FH34" s="73"/>
      <c r="FI34" s="161"/>
      <c r="FJ34" s="161"/>
      <c r="FK34" s="73"/>
      <c r="FL34" s="738" t="s">
        <v>15</v>
      </c>
      <c r="FM34" s="151"/>
      <c r="FN34" s="151"/>
      <c r="FO34" s="151"/>
      <c r="FP34" s="151"/>
      <c r="FQ34" s="151"/>
      <c r="FR34" s="151"/>
      <c r="FS34" s="151"/>
      <c r="FT34" s="151"/>
      <c r="FU34" s="151"/>
      <c r="FV34" s="151"/>
      <c r="FW34" s="151"/>
      <c r="FX34" s="151"/>
      <c r="FY34" s="151">
        <v>3</v>
      </c>
      <c r="FZ34" s="151">
        <v>2</v>
      </c>
      <c r="GA34" s="151"/>
      <c r="GB34" s="151">
        <v>1</v>
      </c>
      <c r="GC34" s="151">
        <v>6</v>
      </c>
      <c r="GD34" s="983">
        <f>+(GC31+GC33)/GC34</f>
        <v>0.5</v>
      </c>
      <c r="GE34" s="73"/>
      <c r="GF34" s="968"/>
      <c r="GG34" s="968"/>
      <c r="GH34" s="968"/>
      <c r="GI34" s="968" t="s">
        <v>1292</v>
      </c>
      <c r="GJ34" s="968">
        <v>0</v>
      </c>
      <c r="GK34" s="968">
        <v>0</v>
      </c>
      <c r="GL34" s="968">
        <v>0</v>
      </c>
      <c r="GM34" s="968">
        <v>0</v>
      </c>
      <c r="GN34" s="968">
        <v>0</v>
      </c>
      <c r="GO34" s="968">
        <v>0</v>
      </c>
      <c r="GP34" s="968">
        <v>0</v>
      </c>
      <c r="GQ34" s="968">
        <v>0</v>
      </c>
      <c r="GR34" s="968">
        <v>0</v>
      </c>
      <c r="GS34" s="968">
        <v>0</v>
      </c>
      <c r="GT34" s="968">
        <v>0</v>
      </c>
      <c r="GU34" s="968">
        <v>0</v>
      </c>
      <c r="GV34" s="968">
        <v>1</v>
      </c>
      <c r="GW34" s="968">
        <v>1</v>
      </c>
      <c r="GX34" s="968">
        <v>0</v>
      </c>
      <c r="GY34" s="968">
        <v>3</v>
      </c>
      <c r="GZ34" s="968">
        <v>5</v>
      </c>
      <c r="HA34" s="968"/>
      <c r="HB34" s="969"/>
    </row>
    <row r="35" spans="1:210">
      <c r="A35" s="73"/>
      <c r="B35" s="73"/>
      <c r="C35" s="73"/>
      <c r="D35" s="73" t="s">
        <v>1286</v>
      </c>
      <c r="E35" s="967"/>
      <c r="F35" s="967"/>
      <c r="G35" s="967"/>
      <c r="H35" s="967"/>
      <c r="I35" s="967">
        <v>1</v>
      </c>
      <c r="J35" s="967"/>
      <c r="K35" s="967">
        <v>0</v>
      </c>
      <c r="L35" s="967"/>
      <c r="M35" s="967"/>
      <c r="N35" s="967">
        <v>0</v>
      </c>
      <c r="O35" s="967">
        <v>0</v>
      </c>
      <c r="P35" s="967"/>
      <c r="Q35" s="967"/>
      <c r="R35" s="967"/>
      <c r="S35" s="967">
        <v>0</v>
      </c>
      <c r="T35" s="73"/>
      <c r="U35" s="73"/>
      <c r="V35" s="73">
        <v>1</v>
      </c>
      <c r="W35" s="73"/>
      <c r="Y35" s="73"/>
      <c r="Z35" s="73"/>
      <c r="AA35" s="73"/>
      <c r="AB35" s="73" t="s">
        <v>1293</v>
      </c>
      <c r="AC35" s="3261"/>
      <c r="AD35" s="3261"/>
      <c r="AE35" s="3261">
        <v>0</v>
      </c>
      <c r="AF35" s="3261"/>
      <c r="AG35" s="3261"/>
      <c r="AH35" s="3261"/>
      <c r="AI35" s="3261"/>
      <c r="AJ35" s="3261"/>
      <c r="AK35" s="3261"/>
      <c r="AL35" s="3261">
        <v>0</v>
      </c>
      <c r="AM35" s="3261"/>
      <c r="AN35" s="3261">
        <v>1</v>
      </c>
      <c r="AO35" s="3261">
        <v>0</v>
      </c>
      <c r="AP35" s="3261">
        <v>0</v>
      </c>
      <c r="AQ35" s="3261">
        <v>0</v>
      </c>
      <c r="AR35" s="161"/>
      <c r="AS35" s="161"/>
      <c r="AT35" s="161">
        <v>1</v>
      </c>
      <c r="AU35" s="73"/>
      <c r="AY35" s="73" t="s">
        <v>888</v>
      </c>
      <c r="AZ35" s="73" t="s">
        <v>1284</v>
      </c>
      <c r="BA35" s="2607"/>
      <c r="BB35" s="2607"/>
      <c r="BC35" s="2607">
        <v>1</v>
      </c>
      <c r="BD35" s="2607"/>
      <c r="BE35" s="2607">
        <v>1</v>
      </c>
      <c r="BF35" s="2607"/>
      <c r="BG35" s="2607">
        <v>2</v>
      </c>
      <c r="BH35" s="2607">
        <v>0</v>
      </c>
      <c r="BI35" s="2607">
        <v>2</v>
      </c>
      <c r="BJ35" s="2607">
        <v>1</v>
      </c>
      <c r="BK35" s="2607">
        <v>2</v>
      </c>
      <c r="BL35" s="2607">
        <v>0</v>
      </c>
      <c r="BM35" s="2607">
        <v>3</v>
      </c>
      <c r="BN35" s="2607">
        <v>1</v>
      </c>
      <c r="BO35" s="2607">
        <v>0</v>
      </c>
      <c r="BP35" s="73"/>
      <c r="BQ35" s="73"/>
      <c r="BR35" s="73">
        <v>13</v>
      </c>
      <c r="BS35" s="73"/>
      <c r="BU35" s="2207"/>
      <c r="BV35" s="2207"/>
      <c r="BW35" s="2207" t="s">
        <v>122</v>
      </c>
      <c r="BX35" s="2208" t="s">
        <v>1284</v>
      </c>
      <c r="BY35" s="2209"/>
      <c r="BZ35" s="2210">
        <v>1</v>
      </c>
      <c r="CA35" s="2210">
        <v>0</v>
      </c>
      <c r="CB35" s="2209"/>
      <c r="CC35" s="2210">
        <v>1</v>
      </c>
      <c r="CD35" s="2209"/>
      <c r="CE35" s="2209"/>
      <c r="CF35" s="2209"/>
      <c r="CG35" s="2209"/>
      <c r="CH35" s="2209"/>
      <c r="CI35" s="2209"/>
      <c r="CJ35" s="2209"/>
      <c r="CK35" s="2210">
        <v>0</v>
      </c>
      <c r="CL35" s="2212">
        <v>0</v>
      </c>
      <c r="CM35" s="2212">
        <v>0</v>
      </c>
      <c r="CN35" s="2212">
        <v>2</v>
      </c>
      <c r="CO35" s="73"/>
      <c r="CQ35" s="955"/>
      <c r="CR35" s="955"/>
      <c r="CS35" s="955"/>
      <c r="CT35" s="956" t="s">
        <v>1398</v>
      </c>
      <c r="CU35" s="958">
        <v>0</v>
      </c>
      <c r="CV35" s="957"/>
      <c r="CW35" s="958">
        <v>0</v>
      </c>
      <c r="CX35" s="958">
        <v>0</v>
      </c>
      <c r="CY35" s="958">
        <v>0</v>
      </c>
      <c r="CZ35" s="957"/>
      <c r="DA35" s="958">
        <v>1</v>
      </c>
      <c r="DB35" s="958">
        <v>0</v>
      </c>
      <c r="DC35" s="958">
        <v>0</v>
      </c>
      <c r="DD35" s="958">
        <v>1</v>
      </c>
      <c r="DE35" s="958">
        <v>0</v>
      </c>
      <c r="DF35" s="958">
        <v>1</v>
      </c>
      <c r="DG35" s="958">
        <v>0</v>
      </c>
      <c r="DH35" s="957"/>
      <c r="DI35" s="957"/>
      <c r="DJ35" s="959"/>
      <c r="DK35" s="959"/>
      <c r="DL35" s="960">
        <v>3</v>
      </c>
      <c r="DM35" s="161"/>
      <c r="DO35" s="788"/>
      <c r="DP35" s="788"/>
      <c r="DQ35" s="788"/>
      <c r="DR35" s="73"/>
      <c r="DS35" s="809" t="s">
        <v>888</v>
      </c>
      <c r="DT35" s="971">
        <v>2</v>
      </c>
      <c r="DU35" s="970"/>
      <c r="DV35" s="970"/>
      <c r="DW35" s="970"/>
      <c r="DX35" s="970"/>
      <c r="DY35" s="971">
        <v>1</v>
      </c>
      <c r="DZ35" s="971">
        <v>9</v>
      </c>
      <c r="EA35" s="971">
        <v>2</v>
      </c>
      <c r="EB35" s="970"/>
      <c r="EC35" s="970"/>
      <c r="ED35" s="970"/>
      <c r="EE35" s="971">
        <v>1</v>
      </c>
      <c r="EF35" s="971">
        <v>1</v>
      </c>
      <c r="EG35" s="971">
        <v>1</v>
      </c>
      <c r="EH35" s="970"/>
      <c r="EI35" s="972"/>
      <c r="EJ35" s="972"/>
      <c r="EK35" s="973">
        <v>17</v>
      </c>
      <c r="EL35" s="912">
        <f>+EK34/EK35</f>
        <v>0.17647058823529413</v>
      </c>
      <c r="EM35" s="73"/>
      <c r="EN35" s="965"/>
      <c r="EO35" s="965"/>
      <c r="EP35" s="965"/>
      <c r="EQ35" s="981" t="s">
        <v>15</v>
      </c>
      <c r="ER35" s="982"/>
      <c r="ES35" s="982"/>
      <c r="ET35" s="982"/>
      <c r="EU35" s="982"/>
      <c r="EV35" s="982"/>
      <c r="EW35" s="982"/>
      <c r="EX35" s="982"/>
      <c r="EY35" s="740">
        <v>1</v>
      </c>
      <c r="EZ35" s="982"/>
      <c r="FA35" s="740">
        <v>2</v>
      </c>
      <c r="FB35" s="740">
        <v>1</v>
      </c>
      <c r="FC35" s="740">
        <v>2</v>
      </c>
      <c r="FD35" s="740">
        <v>1</v>
      </c>
      <c r="FE35" s="740">
        <v>7</v>
      </c>
      <c r="FF35" s="905">
        <f>+FE33/FE35</f>
        <v>0.2857142857142857</v>
      </c>
      <c r="FG35" s="73"/>
      <c r="FH35" s="73"/>
      <c r="FI35" s="161"/>
      <c r="FJ35" s="161"/>
      <c r="FK35" s="73" t="s">
        <v>122</v>
      </c>
      <c r="FL35" s="73" t="s">
        <v>1283</v>
      </c>
      <c r="FM35" s="161"/>
      <c r="FN35" s="161"/>
      <c r="FO35" s="161">
        <v>0</v>
      </c>
      <c r="FP35" s="161"/>
      <c r="FQ35" s="161"/>
      <c r="FR35" s="161"/>
      <c r="FS35" s="161"/>
      <c r="FT35" s="161"/>
      <c r="FU35" s="161"/>
      <c r="FV35" s="161"/>
      <c r="FW35" s="161"/>
      <c r="FX35" s="161"/>
      <c r="FY35" s="161">
        <v>1</v>
      </c>
      <c r="FZ35" s="161">
        <v>1</v>
      </c>
      <c r="GA35" s="161">
        <v>0</v>
      </c>
      <c r="GB35" s="161"/>
      <c r="GC35" s="161">
        <v>2</v>
      </c>
      <c r="GD35" s="73"/>
      <c r="GE35" s="73"/>
      <c r="GF35" s="968"/>
      <c r="GG35" s="968"/>
      <c r="GH35" s="968"/>
      <c r="GI35" s="979" t="s">
        <v>15</v>
      </c>
      <c r="GJ35" s="979">
        <v>0</v>
      </c>
      <c r="GK35" s="979">
        <v>0</v>
      </c>
      <c r="GL35" s="979">
        <v>0</v>
      </c>
      <c r="GM35" s="979">
        <v>0</v>
      </c>
      <c r="GN35" s="979">
        <v>0</v>
      </c>
      <c r="GO35" s="979">
        <v>0</v>
      </c>
      <c r="GP35" s="979">
        <v>0</v>
      </c>
      <c r="GQ35" s="979">
        <v>0</v>
      </c>
      <c r="GR35" s="979">
        <v>0</v>
      </c>
      <c r="GS35" s="979">
        <v>0</v>
      </c>
      <c r="GT35" s="979">
        <v>1</v>
      </c>
      <c r="GU35" s="979">
        <v>1</v>
      </c>
      <c r="GV35" s="979">
        <v>1</v>
      </c>
      <c r="GW35" s="979">
        <v>4</v>
      </c>
      <c r="GX35" s="979">
        <v>0</v>
      </c>
      <c r="GY35" s="979">
        <v>3</v>
      </c>
      <c r="GZ35" s="979">
        <v>10</v>
      </c>
      <c r="HA35" s="980">
        <f>+GZ33/GZ35</f>
        <v>0.3</v>
      </c>
      <c r="HB35" s="969">
        <f>+GZ33</f>
        <v>3</v>
      </c>
    </row>
    <row r="36" spans="1:210">
      <c r="A36" s="73"/>
      <c r="B36" s="73"/>
      <c r="C36" s="73"/>
      <c r="D36" s="73" t="s">
        <v>1292</v>
      </c>
      <c r="E36" s="967"/>
      <c r="F36" s="967"/>
      <c r="G36" s="967"/>
      <c r="H36" s="967"/>
      <c r="I36" s="967">
        <v>0</v>
      </c>
      <c r="J36" s="967"/>
      <c r="K36" s="967">
        <v>0</v>
      </c>
      <c r="L36" s="967"/>
      <c r="M36" s="967"/>
      <c r="N36" s="967">
        <v>0</v>
      </c>
      <c r="O36" s="967">
        <v>1</v>
      </c>
      <c r="P36" s="967"/>
      <c r="Q36" s="967"/>
      <c r="R36" s="967"/>
      <c r="S36" s="967">
        <v>1</v>
      </c>
      <c r="T36" s="73"/>
      <c r="U36" s="73"/>
      <c r="V36" s="73">
        <v>2</v>
      </c>
      <c r="W36" s="73"/>
      <c r="Y36" s="73"/>
      <c r="Z36" s="73"/>
      <c r="AA36" s="73"/>
      <c r="AB36" s="738" t="s">
        <v>573</v>
      </c>
      <c r="AC36" s="3262"/>
      <c r="AD36" s="3262"/>
      <c r="AE36" s="3262">
        <v>1</v>
      </c>
      <c r="AF36" s="3262"/>
      <c r="AG36" s="3262"/>
      <c r="AH36" s="3262"/>
      <c r="AI36" s="3262"/>
      <c r="AJ36" s="3262"/>
      <c r="AK36" s="3262"/>
      <c r="AL36" s="3262">
        <v>1</v>
      </c>
      <c r="AM36" s="3262"/>
      <c r="AN36" s="3262">
        <v>1</v>
      </c>
      <c r="AO36" s="3262">
        <v>2</v>
      </c>
      <c r="AP36" s="3262">
        <v>1</v>
      </c>
      <c r="AQ36" s="3262">
        <v>3</v>
      </c>
      <c r="AR36" s="151"/>
      <c r="AS36" s="151"/>
      <c r="AT36" s="151">
        <v>9</v>
      </c>
      <c r="AU36" s="912">
        <f>+(AT32+AT35)/AT36</f>
        <v>0.22222222222222221</v>
      </c>
      <c r="AY36" s="73"/>
      <c r="AZ36" s="73" t="s">
        <v>1292</v>
      </c>
      <c r="BA36" s="2607"/>
      <c r="BB36" s="2607"/>
      <c r="BC36" s="2607">
        <v>0</v>
      </c>
      <c r="BD36" s="2607"/>
      <c r="BE36" s="2607">
        <v>0</v>
      </c>
      <c r="BF36" s="2607"/>
      <c r="BG36" s="2607">
        <v>0</v>
      </c>
      <c r="BH36" s="2607">
        <v>1</v>
      </c>
      <c r="BI36" s="2607">
        <v>0</v>
      </c>
      <c r="BJ36" s="2607">
        <v>0</v>
      </c>
      <c r="BK36" s="2607">
        <v>1</v>
      </c>
      <c r="BL36" s="2607">
        <v>0</v>
      </c>
      <c r="BM36" s="2607">
        <v>0</v>
      </c>
      <c r="BN36" s="2607">
        <v>1</v>
      </c>
      <c r="BO36" s="2607">
        <v>1</v>
      </c>
      <c r="BP36" s="73"/>
      <c r="BQ36" s="73"/>
      <c r="BR36" s="73">
        <v>4</v>
      </c>
      <c r="BS36" s="73"/>
      <c r="BU36" s="2207"/>
      <c r="BV36" s="2207"/>
      <c r="BW36" s="2207"/>
      <c r="BX36" s="2208" t="s">
        <v>1286</v>
      </c>
      <c r="BY36" s="2209"/>
      <c r="BZ36" s="2210">
        <v>0</v>
      </c>
      <c r="CA36" s="2210">
        <v>1</v>
      </c>
      <c r="CB36" s="2209"/>
      <c r="CC36" s="2210">
        <v>0</v>
      </c>
      <c r="CD36" s="2209"/>
      <c r="CE36" s="2209"/>
      <c r="CF36" s="2209"/>
      <c r="CG36" s="2209"/>
      <c r="CH36" s="2209"/>
      <c r="CI36" s="2209"/>
      <c r="CJ36" s="2209"/>
      <c r="CK36" s="2210">
        <v>0</v>
      </c>
      <c r="CL36" s="2212">
        <v>0</v>
      </c>
      <c r="CM36" s="2212">
        <v>0</v>
      </c>
      <c r="CN36" s="2212">
        <v>1</v>
      </c>
      <c r="CO36" s="73"/>
      <c r="CQ36" s="955"/>
      <c r="CR36" s="955"/>
      <c r="CS36" s="955"/>
      <c r="CT36" s="974" t="s">
        <v>888</v>
      </c>
      <c r="CU36" s="976">
        <v>1</v>
      </c>
      <c r="CV36" s="975"/>
      <c r="CW36" s="976">
        <v>1</v>
      </c>
      <c r="CX36" s="976">
        <v>3</v>
      </c>
      <c r="CY36" s="976">
        <v>1</v>
      </c>
      <c r="CZ36" s="975"/>
      <c r="DA36" s="976">
        <v>11</v>
      </c>
      <c r="DB36" s="976">
        <v>5</v>
      </c>
      <c r="DC36" s="976">
        <v>3</v>
      </c>
      <c r="DD36" s="976">
        <v>1</v>
      </c>
      <c r="DE36" s="976">
        <v>2</v>
      </c>
      <c r="DF36" s="976">
        <v>1</v>
      </c>
      <c r="DG36" s="976">
        <v>4</v>
      </c>
      <c r="DH36" s="975"/>
      <c r="DI36" s="975"/>
      <c r="DJ36" s="977"/>
      <c r="DK36" s="977"/>
      <c r="DL36" s="978">
        <v>33</v>
      </c>
      <c r="DM36" s="912">
        <f>+DL35/DL36</f>
        <v>9.0909090909090912E-2</v>
      </c>
      <c r="DO36" s="788"/>
      <c r="DP36" s="788"/>
      <c r="DQ36" s="809" t="s">
        <v>107</v>
      </c>
      <c r="DR36" s="788" t="s">
        <v>1282</v>
      </c>
      <c r="DS36" s="789" t="s">
        <v>1284</v>
      </c>
      <c r="DT36" s="962">
        <v>3</v>
      </c>
      <c r="DU36" s="961"/>
      <c r="DV36" s="961"/>
      <c r="DW36" s="962">
        <v>1</v>
      </c>
      <c r="DX36" s="961"/>
      <c r="DY36" s="962">
        <v>0</v>
      </c>
      <c r="DZ36" s="962">
        <v>3</v>
      </c>
      <c r="EA36" s="962">
        <v>0</v>
      </c>
      <c r="EB36" s="962">
        <v>0</v>
      </c>
      <c r="EC36" s="961"/>
      <c r="ED36" s="962">
        <v>0</v>
      </c>
      <c r="EE36" s="962">
        <v>0</v>
      </c>
      <c r="EF36" s="962">
        <v>1</v>
      </c>
      <c r="EG36" s="962">
        <v>0</v>
      </c>
      <c r="EH36" s="962">
        <v>0</v>
      </c>
      <c r="EI36" s="963"/>
      <c r="EJ36" s="963"/>
      <c r="EK36" s="964">
        <v>8</v>
      </c>
      <c r="EL36" s="912"/>
      <c r="EM36" s="73"/>
      <c r="EN36" s="965"/>
      <c r="EO36" s="965"/>
      <c r="EP36" s="965" t="s">
        <v>123</v>
      </c>
      <c r="EQ36" s="734" t="s">
        <v>1284</v>
      </c>
      <c r="ER36" s="966"/>
      <c r="ES36" s="966"/>
      <c r="ET36" s="966"/>
      <c r="EU36" s="966"/>
      <c r="EV36" s="966"/>
      <c r="EW36" s="966"/>
      <c r="EX36" s="735">
        <v>1</v>
      </c>
      <c r="EY36" s="735">
        <v>1</v>
      </c>
      <c r="EZ36" s="966"/>
      <c r="FA36" s="735">
        <v>0</v>
      </c>
      <c r="FB36" s="735">
        <v>0</v>
      </c>
      <c r="FC36" s="735">
        <v>1</v>
      </c>
      <c r="FD36" s="735">
        <v>0</v>
      </c>
      <c r="FE36" s="735">
        <v>3</v>
      </c>
      <c r="FF36" s="967"/>
      <c r="FG36" s="73"/>
      <c r="FH36" s="73"/>
      <c r="FI36" s="161"/>
      <c r="FJ36" s="161"/>
      <c r="FK36" s="73"/>
      <c r="FL36" s="73" t="s">
        <v>1284</v>
      </c>
      <c r="FM36" s="161"/>
      <c r="FN36" s="161"/>
      <c r="FO36" s="161">
        <v>1</v>
      </c>
      <c r="FP36" s="161"/>
      <c r="FQ36" s="161"/>
      <c r="FR36" s="161"/>
      <c r="FS36" s="161"/>
      <c r="FT36" s="161"/>
      <c r="FU36" s="161"/>
      <c r="FV36" s="161"/>
      <c r="FW36" s="161"/>
      <c r="FX36" s="161"/>
      <c r="FY36" s="161">
        <v>0</v>
      </c>
      <c r="FZ36" s="161">
        <v>0</v>
      </c>
      <c r="GA36" s="161">
        <v>0</v>
      </c>
      <c r="GB36" s="161"/>
      <c r="GC36" s="161">
        <v>1</v>
      </c>
      <c r="GD36" s="73"/>
      <c r="GE36" s="73"/>
      <c r="GF36" s="968"/>
      <c r="GG36" s="968"/>
      <c r="GH36" s="968" t="s">
        <v>125</v>
      </c>
      <c r="GI36" s="968" t="s">
        <v>1284</v>
      </c>
      <c r="GJ36" s="968">
        <v>0</v>
      </c>
      <c r="GK36" s="968">
        <v>0</v>
      </c>
      <c r="GL36" s="968">
        <v>0</v>
      </c>
      <c r="GM36" s="968">
        <v>1</v>
      </c>
      <c r="GN36" s="968">
        <v>0</v>
      </c>
      <c r="GO36" s="968">
        <v>0</v>
      </c>
      <c r="GP36" s="968">
        <v>0</v>
      </c>
      <c r="GQ36" s="968">
        <v>1</v>
      </c>
      <c r="GR36" s="968">
        <v>0</v>
      </c>
      <c r="GS36" s="968">
        <v>0</v>
      </c>
      <c r="GT36" s="968">
        <v>1</v>
      </c>
      <c r="GU36" s="968">
        <v>0</v>
      </c>
      <c r="GV36" s="968">
        <v>0</v>
      </c>
      <c r="GW36" s="968">
        <v>0</v>
      </c>
      <c r="GX36" s="968">
        <v>0</v>
      </c>
      <c r="GY36" s="968">
        <v>0</v>
      </c>
      <c r="GZ36" s="968">
        <v>3</v>
      </c>
      <c r="HA36" s="968"/>
      <c r="HB36" s="969"/>
    </row>
    <row r="37" spans="1:210">
      <c r="A37" s="73"/>
      <c r="B37" s="73"/>
      <c r="C37" s="73"/>
      <c r="D37" s="738" t="s">
        <v>15</v>
      </c>
      <c r="E37" s="4694"/>
      <c r="F37" s="4694"/>
      <c r="G37" s="4694"/>
      <c r="H37" s="4694"/>
      <c r="I37" s="4694">
        <v>1</v>
      </c>
      <c r="J37" s="4694"/>
      <c r="K37" s="4694">
        <v>1</v>
      </c>
      <c r="L37" s="4694"/>
      <c r="M37" s="4694"/>
      <c r="N37" s="4694">
        <v>2</v>
      </c>
      <c r="O37" s="4694">
        <v>3</v>
      </c>
      <c r="P37" s="4694"/>
      <c r="Q37" s="4694"/>
      <c r="R37" s="4694"/>
      <c r="S37" s="4694">
        <v>1</v>
      </c>
      <c r="T37" s="738"/>
      <c r="U37" s="738"/>
      <c r="V37" s="738">
        <v>8</v>
      </c>
      <c r="W37" s="912">
        <v>0</v>
      </c>
      <c r="X37" s="3197"/>
      <c r="Y37" s="73"/>
      <c r="Z37" s="73"/>
      <c r="AA37" s="73" t="s">
        <v>107</v>
      </c>
      <c r="AB37" s="73" t="s">
        <v>1284</v>
      </c>
      <c r="AC37" s="3261"/>
      <c r="AD37" s="3261"/>
      <c r="AE37" s="3261">
        <v>1</v>
      </c>
      <c r="AF37" s="3261"/>
      <c r="AG37" s="3261"/>
      <c r="AH37" s="3261"/>
      <c r="AI37" s="3261"/>
      <c r="AJ37" s="3261">
        <v>0</v>
      </c>
      <c r="AK37" s="3261">
        <v>0</v>
      </c>
      <c r="AL37" s="3261">
        <v>1</v>
      </c>
      <c r="AM37" s="3261">
        <v>0</v>
      </c>
      <c r="AN37" s="3261">
        <v>1</v>
      </c>
      <c r="AO37" s="3261">
        <v>1</v>
      </c>
      <c r="AP37" s="3261">
        <v>1</v>
      </c>
      <c r="AQ37" s="3261">
        <v>0</v>
      </c>
      <c r="AR37" s="161"/>
      <c r="AS37" s="161"/>
      <c r="AT37" s="161">
        <v>5</v>
      </c>
      <c r="AU37" s="73"/>
      <c r="AY37" s="73"/>
      <c r="AZ37" s="73" t="s">
        <v>1398</v>
      </c>
      <c r="BA37" s="2607"/>
      <c r="BB37" s="2607"/>
      <c r="BC37" s="2607">
        <v>0</v>
      </c>
      <c r="BD37" s="2607"/>
      <c r="BE37" s="2607">
        <v>0</v>
      </c>
      <c r="BF37" s="2607"/>
      <c r="BG37" s="2607">
        <v>1</v>
      </c>
      <c r="BH37" s="2607">
        <v>0</v>
      </c>
      <c r="BI37" s="2607">
        <v>0</v>
      </c>
      <c r="BJ37" s="2607">
        <v>4</v>
      </c>
      <c r="BK37" s="2607">
        <v>0</v>
      </c>
      <c r="BL37" s="2607">
        <v>1</v>
      </c>
      <c r="BM37" s="2607">
        <v>1</v>
      </c>
      <c r="BN37" s="2607">
        <v>0</v>
      </c>
      <c r="BO37" s="2607">
        <v>0</v>
      </c>
      <c r="BP37" s="73"/>
      <c r="BQ37" s="73"/>
      <c r="BR37" s="73">
        <v>7</v>
      </c>
      <c r="BS37" s="73"/>
      <c r="BU37" s="2207"/>
      <c r="BV37" s="2207"/>
      <c r="BW37" s="2207"/>
      <c r="BX37" s="2208" t="s">
        <v>1292</v>
      </c>
      <c r="BY37" s="2209"/>
      <c r="BZ37" s="2210">
        <v>0</v>
      </c>
      <c r="CA37" s="2210">
        <v>0</v>
      </c>
      <c r="CB37" s="2209"/>
      <c r="CC37" s="2210">
        <v>0</v>
      </c>
      <c r="CD37" s="2209"/>
      <c r="CE37" s="2209"/>
      <c r="CF37" s="2209"/>
      <c r="CG37" s="2209"/>
      <c r="CH37" s="2209"/>
      <c r="CI37" s="2209"/>
      <c r="CJ37" s="2209"/>
      <c r="CK37" s="2210">
        <v>4</v>
      </c>
      <c r="CL37" s="2212">
        <v>2</v>
      </c>
      <c r="CM37" s="2212">
        <v>2</v>
      </c>
      <c r="CN37" s="2212">
        <v>8</v>
      </c>
      <c r="CO37" s="73"/>
      <c r="CQ37" s="955"/>
      <c r="CR37" s="955"/>
      <c r="CS37" s="955" t="s">
        <v>107</v>
      </c>
      <c r="CT37" s="956" t="s">
        <v>1284</v>
      </c>
      <c r="CU37" s="958">
        <v>1</v>
      </c>
      <c r="CV37" s="958">
        <v>1</v>
      </c>
      <c r="CW37" s="958">
        <v>0</v>
      </c>
      <c r="CX37" s="958">
        <v>0</v>
      </c>
      <c r="CY37" s="958">
        <v>0</v>
      </c>
      <c r="CZ37" s="958">
        <v>0</v>
      </c>
      <c r="DA37" s="958">
        <v>0</v>
      </c>
      <c r="DB37" s="958">
        <v>1</v>
      </c>
      <c r="DC37" s="958">
        <v>0</v>
      </c>
      <c r="DD37" s="958">
        <v>2</v>
      </c>
      <c r="DE37" s="958">
        <v>2</v>
      </c>
      <c r="DF37" s="958">
        <v>0</v>
      </c>
      <c r="DG37" s="958">
        <v>1</v>
      </c>
      <c r="DH37" s="958">
        <v>1</v>
      </c>
      <c r="DI37" s="957"/>
      <c r="DJ37" s="959"/>
      <c r="DK37" s="959"/>
      <c r="DL37" s="960">
        <v>9</v>
      </c>
      <c r="DM37" s="161"/>
      <c r="DO37" s="788"/>
      <c r="DP37" s="788"/>
      <c r="DQ37" s="788"/>
      <c r="DR37" s="788"/>
      <c r="DS37" s="789" t="s">
        <v>1288</v>
      </c>
      <c r="DT37" s="962">
        <v>0</v>
      </c>
      <c r="DU37" s="961"/>
      <c r="DV37" s="961"/>
      <c r="DW37" s="962">
        <v>0</v>
      </c>
      <c r="DX37" s="961"/>
      <c r="DY37" s="962">
        <v>0</v>
      </c>
      <c r="DZ37" s="962">
        <v>0</v>
      </c>
      <c r="EA37" s="962">
        <v>0</v>
      </c>
      <c r="EB37" s="962">
        <v>0</v>
      </c>
      <c r="EC37" s="961"/>
      <c r="ED37" s="962">
        <v>0</v>
      </c>
      <c r="EE37" s="962">
        <v>0</v>
      </c>
      <c r="EF37" s="962">
        <v>0</v>
      </c>
      <c r="EG37" s="962">
        <v>1</v>
      </c>
      <c r="EH37" s="962">
        <v>0</v>
      </c>
      <c r="EI37" s="963"/>
      <c r="EJ37" s="963"/>
      <c r="EK37" s="964">
        <v>1</v>
      </c>
      <c r="EL37" s="912"/>
      <c r="EM37" s="73"/>
      <c r="EN37" s="965"/>
      <c r="EO37" s="965"/>
      <c r="EP37" s="965"/>
      <c r="EQ37" s="734" t="s">
        <v>1292</v>
      </c>
      <c r="ER37" s="966"/>
      <c r="ES37" s="966"/>
      <c r="ET37" s="966"/>
      <c r="EU37" s="966"/>
      <c r="EV37" s="966"/>
      <c r="EW37" s="966"/>
      <c r="EX37" s="735">
        <v>0</v>
      </c>
      <c r="EY37" s="735">
        <v>0</v>
      </c>
      <c r="EZ37" s="966"/>
      <c r="FA37" s="735">
        <v>1</v>
      </c>
      <c r="FB37" s="735">
        <v>4</v>
      </c>
      <c r="FC37" s="735">
        <v>0</v>
      </c>
      <c r="FD37" s="735">
        <v>3</v>
      </c>
      <c r="FE37" s="735">
        <v>8</v>
      </c>
      <c r="FF37" s="967"/>
      <c r="FG37" s="73"/>
      <c r="FH37" s="73"/>
      <c r="FI37" s="161"/>
      <c r="FJ37" s="161"/>
      <c r="FK37" s="73"/>
      <c r="FL37" s="73" t="s">
        <v>1292</v>
      </c>
      <c r="FM37" s="161"/>
      <c r="FN37" s="161"/>
      <c r="FO37" s="161">
        <v>0</v>
      </c>
      <c r="FP37" s="161"/>
      <c r="FQ37" s="161"/>
      <c r="FR37" s="161"/>
      <c r="FS37" s="161"/>
      <c r="FT37" s="161"/>
      <c r="FU37" s="161"/>
      <c r="FV37" s="161"/>
      <c r="FW37" s="161"/>
      <c r="FX37" s="161"/>
      <c r="FY37" s="161">
        <v>0</v>
      </c>
      <c r="FZ37" s="161">
        <v>1</v>
      </c>
      <c r="GA37" s="161">
        <v>4</v>
      </c>
      <c r="GB37" s="161"/>
      <c r="GC37" s="161">
        <v>5</v>
      </c>
      <c r="GD37" s="73"/>
      <c r="GE37" s="73"/>
      <c r="GF37" s="968"/>
      <c r="GG37" s="968"/>
      <c r="GH37" s="968"/>
      <c r="GI37" s="968" t="s">
        <v>1292</v>
      </c>
      <c r="GJ37" s="968">
        <v>0</v>
      </c>
      <c r="GK37" s="968">
        <v>0</v>
      </c>
      <c r="GL37" s="968">
        <v>0</v>
      </c>
      <c r="GM37" s="968">
        <v>0</v>
      </c>
      <c r="GN37" s="968">
        <v>0</v>
      </c>
      <c r="GO37" s="968">
        <v>0</v>
      </c>
      <c r="GP37" s="968">
        <v>0</v>
      </c>
      <c r="GQ37" s="968">
        <v>0</v>
      </c>
      <c r="GR37" s="968">
        <v>0</v>
      </c>
      <c r="GS37" s="968">
        <v>0</v>
      </c>
      <c r="GT37" s="968">
        <v>0</v>
      </c>
      <c r="GU37" s="968">
        <v>0</v>
      </c>
      <c r="GV37" s="968">
        <v>0</v>
      </c>
      <c r="GW37" s="968">
        <v>1</v>
      </c>
      <c r="GX37" s="968">
        <v>0</v>
      </c>
      <c r="GY37" s="968">
        <v>0</v>
      </c>
      <c r="GZ37" s="968">
        <v>1</v>
      </c>
      <c r="HA37" s="968"/>
      <c r="HB37" s="969"/>
    </row>
    <row r="38" spans="1:210">
      <c r="A38" s="73"/>
      <c r="B38" s="73"/>
      <c r="C38" s="73" t="s">
        <v>1694</v>
      </c>
      <c r="D38" s="73" t="s">
        <v>1284</v>
      </c>
      <c r="E38" s="967"/>
      <c r="F38" s="967"/>
      <c r="G38" s="967"/>
      <c r="H38" s="967"/>
      <c r="I38" s="967"/>
      <c r="J38" s="967"/>
      <c r="K38" s="967"/>
      <c r="L38" s="967">
        <v>1</v>
      </c>
      <c r="M38" s="967">
        <v>1</v>
      </c>
      <c r="N38" s="967">
        <v>2</v>
      </c>
      <c r="O38" s="967"/>
      <c r="P38" s="967">
        <v>1</v>
      </c>
      <c r="Q38" s="967">
        <v>0</v>
      </c>
      <c r="R38" s="967">
        <v>2</v>
      </c>
      <c r="S38" s="967">
        <v>0</v>
      </c>
      <c r="T38" s="73"/>
      <c r="U38" s="73"/>
      <c r="V38" s="73">
        <v>7</v>
      </c>
      <c r="W38" s="73"/>
      <c r="Y38" s="73"/>
      <c r="Z38" s="73"/>
      <c r="AA38" s="73"/>
      <c r="AB38" s="73" t="s">
        <v>1288</v>
      </c>
      <c r="AC38" s="3261"/>
      <c r="AD38" s="3261"/>
      <c r="AE38" s="3261">
        <v>0</v>
      </c>
      <c r="AF38" s="3261"/>
      <c r="AG38" s="3261"/>
      <c r="AH38" s="3261"/>
      <c r="AI38" s="3261"/>
      <c r="AJ38" s="3261">
        <v>0</v>
      </c>
      <c r="AK38" s="3261">
        <v>0</v>
      </c>
      <c r="AL38" s="3261">
        <v>1</v>
      </c>
      <c r="AM38" s="3261">
        <v>0</v>
      </c>
      <c r="AN38" s="3261">
        <v>1</v>
      </c>
      <c r="AO38" s="3261">
        <v>1</v>
      </c>
      <c r="AP38" s="3261">
        <v>1</v>
      </c>
      <c r="AQ38" s="3261">
        <v>0</v>
      </c>
      <c r="AR38" s="161"/>
      <c r="AS38" s="161"/>
      <c r="AT38" s="161">
        <v>4</v>
      </c>
      <c r="AU38" s="73"/>
      <c r="AY38" s="73"/>
      <c r="AZ38" s="738" t="s">
        <v>888</v>
      </c>
      <c r="BA38" s="2608"/>
      <c r="BB38" s="2608"/>
      <c r="BC38" s="2608">
        <v>1</v>
      </c>
      <c r="BD38" s="2608"/>
      <c r="BE38" s="2608">
        <v>1</v>
      </c>
      <c r="BF38" s="2608"/>
      <c r="BG38" s="2608">
        <v>3</v>
      </c>
      <c r="BH38" s="2608">
        <v>1</v>
      </c>
      <c r="BI38" s="2608">
        <v>2</v>
      </c>
      <c r="BJ38" s="2608">
        <v>5</v>
      </c>
      <c r="BK38" s="2608">
        <v>3</v>
      </c>
      <c r="BL38" s="2608">
        <v>1</v>
      </c>
      <c r="BM38" s="2608">
        <v>4</v>
      </c>
      <c r="BN38" s="2608">
        <v>2</v>
      </c>
      <c r="BO38" s="2608">
        <v>1</v>
      </c>
      <c r="BP38" s="738"/>
      <c r="BQ38" s="738"/>
      <c r="BR38" s="738">
        <v>24</v>
      </c>
      <c r="BS38" s="912">
        <f>+BR37/BR38</f>
        <v>0.29166666666666669</v>
      </c>
      <c r="BU38" s="2207"/>
      <c r="BV38" s="2207"/>
      <c r="BW38" s="2207"/>
      <c r="BX38" s="2204" t="s">
        <v>15</v>
      </c>
      <c r="BY38" s="2213"/>
      <c r="BZ38" s="2214">
        <v>1</v>
      </c>
      <c r="CA38" s="2214">
        <v>1</v>
      </c>
      <c r="CB38" s="2213"/>
      <c r="CC38" s="2214">
        <v>1</v>
      </c>
      <c r="CD38" s="2213"/>
      <c r="CE38" s="2213"/>
      <c r="CF38" s="2213"/>
      <c r="CG38" s="2213"/>
      <c r="CH38" s="2213"/>
      <c r="CI38" s="2213"/>
      <c r="CJ38" s="2213"/>
      <c r="CK38" s="2214">
        <v>4</v>
      </c>
      <c r="CL38" s="2216">
        <v>2</v>
      </c>
      <c r="CM38" s="2216">
        <v>2</v>
      </c>
      <c r="CN38" s="2216">
        <v>11</v>
      </c>
      <c r="CO38" s="2154">
        <v>0</v>
      </c>
      <c r="CQ38" s="955"/>
      <c r="CR38" s="955"/>
      <c r="CS38" s="955"/>
      <c r="CT38" s="956" t="s">
        <v>1286</v>
      </c>
      <c r="CU38" s="958">
        <v>0</v>
      </c>
      <c r="CV38" s="958">
        <v>0</v>
      </c>
      <c r="CW38" s="958">
        <v>1</v>
      </c>
      <c r="CX38" s="958">
        <v>0</v>
      </c>
      <c r="CY38" s="958">
        <v>1</v>
      </c>
      <c r="CZ38" s="958">
        <v>0</v>
      </c>
      <c r="DA38" s="958">
        <v>0</v>
      </c>
      <c r="DB38" s="958">
        <v>0</v>
      </c>
      <c r="DC38" s="958">
        <v>0</v>
      </c>
      <c r="DD38" s="958">
        <v>1</v>
      </c>
      <c r="DE38" s="958">
        <v>0</v>
      </c>
      <c r="DF38" s="958">
        <v>0</v>
      </c>
      <c r="DG38" s="958">
        <v>0</v>
      </c>
      <c r="DH38" s="958">
        <v>0</v>
      </c>
      <c r="DI38" s="957"/>
      <c r="DJ38" s="959"/>
      <c r="DK38" s="959"/>
      <c r="DL38" s="960">
        <v>3</v>
      </c>
      <c r="DM38" s="161"/>
      <c r="DO38" s="788"/>
      <c r="DP38" s="788"/>
      <c r="DQ38" s="788"/>
      <c r="DR38" s="788"/>
      <c r="DS38" s="789" t="s">
        <v>1289</v>
      </c>
      <c r="DT38" s="962">
        <v>0</v>
      </c>
      <c r="DU38" s="961"/>
      <c r="DV38" s="961"/>
      <c r="DW38" s="962">
        <v>0</v>
      </c>
      <c r="DX38" s="961"/>
      <c r="DY38" s="962">
        <v>1</v>
      </c>
      <c r="DZ38" s="962">
        <v>5</v>
      </c>
      <c r="EA38" s="962">
        <v>2</v>
      </c>
      <c r="EB38" s="962">
        <v>1</v>
      </c>
      <c r="EC38" s="961"/>
      <c r="ED38" s="962">
        <v>0</v>
      </c>
      <c r="EE38" s="962">
        <v>0</v>
      </c>
      <c r="EF38" s="962">
        <v>0</v>
      </c>
      <c r="EG38" s="962">
        <v>0</v>
      </c>
      <c r="EH38" s="962">
        <v>0</v>
      </c>
      <c r="EI38" s="963"/>
      <c r="EJ38" s="963"/>
      <c r="EK38" s="964">
        <v>9</v>
      </c>
      <c r="EL38" s="912"/>
      <c r="EM38" s="73"/>
      <c r="EN38" s="965"/>
      <c r="EO38" s="965"/>
      <c r="EP38" s="965"/>
      <c r="EQ38" s="981" t="s">
        <v>15</v>
      </c>
      <c r="ER38" s="982"/>
      <c r="ES38" s="982"/>
      <c r="ET38" s="982"/>
      <c r="EU38" s="982"/>
      <c r="EV38" s="982"/>
      <c r="EW38" s="982"/>
      <c r="EX38" s="740">
        <v>1</v>
      </c>
      <c r="EY38" s="740">
        <v>1</v>
      </c>
      <c r="EZ38" s="982"/>
      <c r="FA38" s="740">
        <v>1</v>
      </c>
      <c r="FB38" s="740">
        <v>4</v>
      </c>
      <c r="FC38" s="740">
        <v>1</v>
      </c>
      <c r="FD38" s="740">
        <v>3</v>
      </c>
      <c r="FE38" s="740">
        <v>11</v>
      </c>
      <c r="FF38" s="905">
        <v>0</v>
      </c>
      <c r="FG38" s="73"/>
      <c r="FH38" s="73"/>
      <c r="FI38" s="161"/>
      <c r="FJ38" s="161"/>
      <c r="FK38" s="73"/>
      <c r="FL38" s="738" t="s">
        <v>15</v>
      </c>
      <c r="FM38" s="151"/>
      <c r="FN38" s="151"/>
      <c r="FO38" s="151">
        <v>1</v>
      </c>
      <c r="FP38" s="151"/>
      <c r="FQ38" s="151"/>
      <c r="FR38" s="151"/>
      <c r="FS38" s="151"/>
      <c r="FT38" s="151"/>
      <c r="FU38" s="151"/>
      <c r="FV38" s="151"/>
      <c r="FW38" s="151"/>
      <c r="FX38" s="151"/>
      <c r="FY38" s="151">
        <v>1</v>
      </c>
      <c r="FZ38" s="151">
        <v>2</v>
      </c>
      <c r="GA38" s="151">
        <v>4</v>
      </c>
      <c r="GB38" s="151"/>
      <c r="GC38" s="151">
        <v>8</v>
      </c>
      <c r="GD38" s="984">
        <v>0</v>
      </c>
      <c r="GE38" s="73"/>
      <c r="GF38" s="968"/>
      <c r="GG38" s="968"/>
      <c r="GH38" s="968"/>
      <c r="GI38" s="968" t="s">
        <v>1398</v>
      </c>
      <c r="GJ38" s="968">
        <v>0</v>
      </c>
      <c r="GK38" s="968">
        <v>0</v>
      </c>
      <c r="GL38" s="968">
        <v>0</v>
      </c>
      <c r="GM38" s="968">
        <v>0</v>
      </c>
      <c r="GN38" s="968">
        <v>0</v>
      </c>
      <c r="GO38" s="968">
        <v>0</v>
      </c>
      <c r="GP38" s="968">
        <v>0</v>
      </c>
      <c r="GQ38" s="968">
        <v>0</v>
      </c>
      <c r="GR38" s="968">
        <v>0</v>
      </c>
      <c r="GS38" s="968">
        <v>0</v>
      </c>
      <c r="GT38" s="968">
        <v>0</v>
      </c>
      <c r="GU38" s="968">
        <v>0</v>
      </c>
      <c r="GV38" s="968">
        <v>0</v>
      </c>
      <c r="GW38" s="968">
        <v>1</v>
      </c>
      <c r="GX38" s="968">
        <v>0</v>
      </c>
      <c r="GY38" s="968">
        <v>0</v>
      </c>
      <c r="GZ38" s="968">
        <v>1</v>
      </c>
      <c r="HA38" s="968"/>
      <c r="HB38" s="969"/>
    </row>
    <row r="39" spans="1:210">
      <c r="A39" s="73"/>
      <c r="B39" s="73"/>
      <c r="C39" s="73"/>
      <c r="D39" s="73" t="s">
        <v>1288</v>
      </c>
      <c r="E39" s="967"/>
      <c r="F39" s="967"/>
      <c r="G39" s="967"/>
      <c r="H39" s="967"/>
      <c r="I39" s="967"/>
      <c r="J39" s="967"/>
      <c r="K39" s="967"/>
      <c r="L39" s="967">
        <v>0</v>
      </c>
      <c r="M39" s="967">
        <v>0</v>
      </c>
      <c r="N39" s="967">
        <v>0</v>
      </c>
      <c r="O39" s="967"/>
      <c r="P39" s="967">
        <v>0</v>
      </c>
      <c r="Q39" s="967">
        <v>1</v>
      </c>
      <c r="R39" s="967">
        <v>0</v>
      </c>
      <c r="S39" s="967">
        <v>0</v>
      </c>
      <c r="T39" s="73"/>
      <c r="U39" s="73"/>
      <c r="V39" s="73">
        <v>1</v>
      </c>
      <c r="W39" s="73"/>
      <c r="Y39" s="73"/>
      <c r="Z39" s="73"/>
      <c r="AA39" s="73"/>
      <c r="AB39" s="73" t="s">
        <v>1289</v>
      </c>
      <c r="AC39" s="3261"/>
      <c r="AD39" s="3261"/>
      <c r="AE39" s="3261">
        <v>0</v>
      </c>
      <c r="AF39" s="3261"/>
      <c r="AG39" s="3261"/>
      <c r="AH39" s="3261"/>
      <c r="AI39" s="3261"/>
      <c r="AJ39" s="3261">
        <v>1</v>
      </c>
      <c r="AK39" s="3261">
        <v>0</v>
      </c>
      <c r="AL39" s="3261">
        <v>1</v>
      </c>
      <c r="AM39" s="3261">
        <v>0</v>
      </c>
      <c r="AN39" s="3261">
        <v>0</v>
      </c>
      <c r="AO39" s="3261">
        <v>0</v>
      </c>
      <c r="AP39" s="3261">
        <v>0</v>
      </c>
      <c r="AQ39" s="3261">
        <v>0</v>
      </c>
      <c r="AR39" s="161"/>
      <c r="AS39" s="161"/>
      <c r="AT39" s="161">
        <v>2</v>
      </c>
      <c r="AU39" s="73"/>
      <c r="AY39" s="73" t="s">
        <v>107</v>
      </c>
      <c r="AZ39" s="73" t="s">
        <v>1283</v>
      </c>
      <c r="BA39" s="2607"/>
      <c r="BB39" s="2607"/>
      <c r="BC39" s="2607">
        <v>0</v>
      </c>
      <c r="BD39" s="2607"/>
      <c r="BE39" s="2607">
        <v>0</v>
      </c>
      <c r="BF39" s="2607"/>
      <c r="BG39" s="2607">
        <v>0</v>
      </c>
      <c r="BH39" s="2607">
        <v>0</v>
      </c>
      <c r="BI39" s="2607">
        <v>0</v>
      </c>
      <c r="BJ39" s="2607">
        <v>0</v>
      </c>
      <c r="BK39" s="2607">
        <v>1</v>
      </c>
      <c r="BL39" s="2607">
        <v>1</v>
      </c>
      <c r="BM39" s="2607">
        <v>1</v>
      </c>
      <c r="BN39" s="2607">
        <v>2</v>
      </c>
      <c r="BO39" s="2607">
        <v>1</v>
      </c>
      <c r="BP39" s="73"/>
      <c r="BQ39" s="73"/>
      <c r="BR39" s="73">
        <v>6</v>
      </c>
      <c r="BS39" s="73"/>
      <c r="BU39" s="2207"/>
      <c r="BV39" s="2207"/>
      <c r="BW39" s="2207" t="s">
        <v>123</v>
      </c>
      <c r="BX39" s="2208" t="s">
        <v>1283</v>
      </c>
      <c r="BY39" s="2209"/>
      <c r="BZ39" s="2210">
        <v>0</v>
      </c>
      <c r="CA39" s="2209"/>
      <c r="CB39" s="2209"/>
      <c r="CC39" s="2209"/>
      <c r="CD39" s="2209"/>
      <c r="CE39" s="2209"/>
      <c r="CF39" s="2210">
        <v>0</v>
      </c>
      <c r="CG39" s="2209"/>
      <c r="CH39" s="2209"/>
      <c r="CI39" s="2209"/>
      <c r="CJ39" s="2210">
        <v>0</v>
      </c>
      <c r="CK39" s="2210">
        <v>1</v>
      </c>
      <c r="CL39" s="2212">
        <v>0</v>
      </c>
      <c r="CM39" s="2212">
        <v>0</v>
      </c>
      <c r="CN39" s="2212">
        <v>1</v>
      </c>
      <c r="CO39" s="73"/>
      <c r="CQ39" s="955"/>
      <c r="CR39" s="955"/>
      <c r="CS39" s="955"/>
      <c r="CT39" s="956" t="s">
        <v>1288</v>
      </c>
      <c r="CU39" s="958">
        <v>0</v>
      </c>
      <c r="CV39" s="958">
        <v>0</v>
      </c>
      <c r="CW39" s="958">
        <v>0</v>
      </c>
      <c r="CX39" s="958">
        <v>0</v>
      </c>
      <c r="CY39" s="958">
        <v>0</v>
      </c>
      <c r="CZ39" s="958">
        <v>0</v>
      </c>
      <c r="DA39" s="958">
        <v>0</v>
      </c>
      <c r="DB39" s="958">
        <v>0</v>
      </c>
      <c r="DC39" s="958">
        <v>0</v>
      </c>
      <c r="DD39" s="958">
        <v>0</v>
      </c>
      <c r="DE39" s="958">
        <v>1</v>
      </c>
      <c r="DF39" s="958">
        <v>0</v>
      </c>
      <c r="DG39" s="958">
        <v>0</v>
      </c>
      <c r="DH39" s="958">
        <v>0</v>
      </c>
      <c r="DI39" s="957"/>
      <c r="DJ39" s="959"/>
      <c r="DK39" s="959"/>
      <c r="DL39" s="960">
        <v>1</v>
      </c>
      <c r="DM39" s="161"/>
      <c r="DO39" s="788"/>
      <c r="DP39" s="788"/>
      <c r="DQ39" s="788"/>
      <c r="DR39" s="788"/>
      <c r="DS39" s="789" t="s">
        <v>1292</v>
      </c>
      <c r="DT39" s="962">
        <v>0</v>
      </c>
      <c r="DU39" s="961"/>
      <c r="DV39" s="961"/>
      <c r="DW39" s="962">
        <v>0</v>
      </c>
      <c r="DX39" s="961"/>
      <c r="DY39" s="962">
        <v>0</v>
      </c>
      <c r="DZ39" s="962">
        <v>0</v>
      </c>
      <c r="EA39" s="962">
        <v>0</v>
      </c>
      <c r="EB39" s="962">
        <v>0</v>
      </c>
      <c r="EC39" s="961"/>
      <c r="ED39" s="962">
        <v>0</v>
      </c>
      <c r="EE39" s="962">
        <v>0</v>
      </c>
      <c r="EF39" s="962">
        <v>2</v>
      </c>
      <c r="EG39" s="962">
        <v>3</v>
      </c>
      <c r="EH39" s="962">
        <v>1</v>
      </c>
      <c r="EI39" s="963"/>
      <c r="EJ39" s="963"/>
      <c r="EK39" s="964">
        <v>6</v>
      </c>
      <c r="EL39" s="912"/>
      <c r="EM39" s="73"/>
      <c r="EN39" s="965"/>
      <c r="EO39" s="965"/>
      <c r="EP39" s="965" t="s">
        <v>124</v>
      </c>
      <c r="EQ39" s="734" t="s">
        <v>1284</v>
      </c>
      <c r="ER39" s="966"/>
      <c r="ES39" s="966"/>
      <c r="ET39" s="966"/>
      <c r="EU39" s="966"/>
      <c r="EV39" s="966"/>
      <c r="EW39" s="735">
        <v>0</v>
      </c>
      <c r="EX39" s="966"/>
      <c r="EY39" s="966"/>
      <c r="EZ39" s="966"/>
      <c r="FA39" s="966"/>
      <c r="FB39" s="966"/>
      <c r="FC39" s="735">
        <v>1</v>
      </c>
      <c r="FD39" s="966"/>
      <c r="FE39" s="735">
        <v>1</v>
      </c>
      <c r="FF39" s="967"/>
      <c r="FG39" s="73"/>
      <c r="FH39" s="73"/>
      <c r="FI39" s="161"/>
      <c r="FJ39" s="161"/>
      <c r="FK39" s="73" t="s">
        <v>123</v>
      </c>
      <c r="FL39" s="73" t="s">
        <v>1283</v>
      </c>
      <c r="FM39" s="161"/>
      <c r="FN39" s="161"/>
      <c r="FO39" s="161"/>
      <c r="FP39" s="161"/>
      <c r="FQ39" s="161"/>
      <c r="FR39" s="161"/>
      <c r="FS39" s="161">
        <v>0</v>
      </c>
      <c r="FT39" s="161"/>
      <c r="FU39" s="161"/>
      <c r="FV39" s="161"/>
      <c r="FW39" s="161">
        <v>0</v>
      </c>
      <c r="FX39" s="161"/>
      <c r="FY39" s="161"/>
      <c r="FZ39" s="161">
        <v>1</v>
      </c>
      <c r="GA39" s="161">
        <v>1</v>
      </c>
      <c r="GB39" s="161">
        <v>1</v>
      </c>
      <c r="GC39" s="161">
        <v>3</v>
      </c>
      <c r="GD39" s="73"/>
      <c r="GE39" s="73"/>
      <c r="GF39" s="968"/>
      <c r="GG39" s="968"/>
      <c r="GH39" s="968"/>
      <c r="GI39" s="979" t="s">
        <v>15</v>
      </c>
      <c r="GJ39" s="979">
        <v>0</v>
      </c>
      <c r="GK39" s="979">
        <v>0</v>
      </c>
      <c r="GL39" s="979">
        <v>0</v>
      </c>
      <c r="GM39" s="979">
        <v>1</v>
      </c>
      <c r="GN39" s="979">
        <v>0</v>
      </c>
      <c r="GO39" s="979">
        <v>0</v>
      </c>
      <c r="GP39" s="979">
        <v>0</v>
      </c>
      <c r="GQ39" s="979">
        <v>1</v>
      </c>
      <c r="GR39" s="979">
        <v>0</v>
      </c>
      <c r="GS39" s="979">
        <v>0</v>
      </c>
      <c r="GT39" s="979">
        <v>1</v>
      </c>
      <c r="GU39" s="979">
        <v>0</v>
      </c>
      <c r="GV39" s="979">
        <v>0</v>
      </c>
      <c r="GW39" s="979">
        <v>2</v>
      </c>
      <c r="GX39" s="979">
        <v>0</v>
      </c>
      <c r="GY39" s="979">
        <v>0</v>
      </c>
      <c r="GZ39" s="979">
        <v>5</v>
      </c>
      <c r="HA39" s="980">
        <f>+GZ38/GZ39</f>
        <v>0.2</v>
      </c>
      <c r="HB39" s="969">
        <f>+GZ38</f>
        <v>1</v>
      </c>
    </row>
    <row r="40" spans="1:210">
      <c r="A40" s="73"/>
      <c r="B40" s="73"/>
      <c r="C40" s="73"/>
      <c r="D40" s="73" t="s">
        <v>1292</v>
      </c>
      <c r="E40" s="967"/>
      <c r="F40" s="967"/>
      <c r="G40" s="967"/>
      <c r="H40" s="967"/>
      <c r="I40" s="967"/>
      <c r="J40" s="967"/>
      <c r="K40" s="967"/>
      <c r="L40" s="967">
        <v>0</v>
      </c>
      <c r="M40" s="967">
        <v>0</v>
      </c>
      <c r="N40" s="967">
        <v>0</v>
      </c>
      <c r="O40" s="967"/>
      <c r="P40" s="967">
        <v>1</v>
      </c>
      <c r="Q40" s="967">
        <v>0</v>
      </c>
      <c r="R40" s="967">
        <v>0</v>
      </c>
      <c r="S40" s="967">
        <v>2</v>
      </c>
      <c r="T40" s="73"/>
      <c r="U40" s="73"/>
      <c r="V40" s="73">
        <v>3</v>
      </c>
      <c r="W40" s="73"/>
      <c r="Y40" s="73"/>
      <c r="Z40" s="73"/>
      <c r="AA40" s="73"/>
      <c r="AB40" s="73" t="s">
        <v>1292</v>
      </c>
      <c r="AC40" s="3261"/>
      <c r="AD40" s="3261"/>
      <c r="AE40" s="3261">
        <v>0</v>
      </c>
      <c r="AF40" s="3261"/>
      <c r="AG40" s="3261"/>
      <c r="AH40" s="3261"/>
      <c r="AI40" s="3261"/>
      <c r="AJ40" s="3261">
        <v>0</v>
      </c>
      <c r="AK40" s="3261">
        <v>0</v>
      </c>
      <c r="AL40" s="3261">
        <v>0</v>
      </c>
      <c r="AM40" s="3261">
        <v>0</v>
      </c>
      <c r="AN40" s="3261">
        <v>1</v>
      </c>
      <c r="AO40" s="3261">
        <v>0</v>
      </c>
      <c r="AP40" s="3261">
        <v>0</v>
      </c>
      <c r="AQ40" s="3261">
        <v>4</v>
      </c>
      <c r="AR40" s="161"/>
      <c r="AS40" s="161"/>
      <c r="AT40" s="161">
        <v>5</v>
      </c>
      <c r="AU40" s="73"/>
      <c r="AY40" s="73"/>
      <c r="AZ40" s="73" t="s">
        <v>1284</v>
      </c>
      <c r="BA40" s="2607"/>
      <c r="BB40" s="2607"/>
      <c r="BC40" s="2607">
        <v>2</v>
      </c>
      <c r="BD40" s="2607"/>
      <c r="BE40" s="2607">
        <v>1</v>
      </c>
      <c r="BF40" s="2607"/>
      <c r="BG40" s="2607">
        <v>2</v>
      </c>
      <c r="BH40" s="2607">
        <v>0</v>
      </c>
      <c r="BI40" s="2607">
        <v>2</v>
      </c>
      <c r="BJ40" s="2607">
        <v>1</v>
      </c>
      <c r="BK40" s="2607">
        <v>2</v>
      </c>
      <c r="BL40" s="2607">
        <v>0</v>
      </c>
      <c r="BM40" s="2607">
        <v>3</v>
      </c>
      <c r="BN40" s="2607">
        <v>2</v>
      </c>
      <c r="BO40" s="2607">
        <v>0</v>
      </c>
      <c r="BP40" s="73"/>
      <c r="BQ40" s="73"/>
      <c r="BR40" s="73">
        <v>15</v>
      </c>
      <c r="BS40" s="73"/>
      <c r="BU40" s="2207"/>
      <c r="BV40" s="2207"/>
      <c r="BW40" s="2207"/>
      <c r="BX40" s="2208" t="s">
        <v>1284</v>
      </c>
      <c r="BY40" s="2209"/>
      <c r="BZ40" s="2210">
        <v>1</v>
      </c>
      <c r="CA40" s="2209"/>
      <c r="CB40" s="2209"/>
      <c r="CC40" s="2209"/>
      <c r="CD40" s="2209"/>
      <c r="CE40" s="2209"/>
      <c r="CF40" s="2210">
        <v>1</v>
      </c>
      <c r="CG40" s="2209"/>
      <c r="CH40" s="2209"/>
      <c r="CI40" s="2209"/>
      <c r="CJ40" s="2210">
        <v>1</v>
      </c>
      <c r="CK40" s="2210">
        <v>0</v>
      </c>
      <c r="CL40" s="2212">
        <v>0</v>
      </c>
      <c r="CM40" s="2212">
        <v>0</v>
      </c>
      <c r="CN40" s="2212">
        <v>3</v>
      </c>
      <c r="CO40" s="73"/>
      <c r="CQ40" s="955"/>
      <c r="CR40" s="955"/>
      <c r="CS40" s="955"/>
      <c r="CT40" s="956" t="s">
        <v>1289</v>
      </c>
      <c r="CU40" s="958">
        <v>0</v>
      </c>
      <c r="CV40" s="958">
        <v>0</v>
      </c>
      <c r="CW40" s="958">
        <v>1</v>
      </c>
      <c r="CX40" s="958">
        <v>3</v>
      </c>
      <c r="CY40" s="958">
        <v>0</v>
      </c>
      <c r="CZ40" s="958">
        <v>1</v>
      </c>
      <c r="DA40" s="958">
        <v>10</v>
      </c>
      <c r="DB40" s="958">
        <v>5</v>
      </c>
      <c r="DC40" s="958">
        <v>3</v>
      </c>
      <c r="DD40" s="958">
        <v>0</v>
      </c>
      <c r="DE40" s="958">
        <v>2</v>
      </c>
      <c r="DF40" s="958">
        <v>0</v>
      </c>
      <c r="DG40" s="958">
        <v>4</v>
      </c>
      <c r="DH40" s="958">
        <v>0</v>
      </c>
      <c r="DI40" s="957"/>
      <c r="DJ40" s="959"/>
      <c r="DK40" s="959"/>
      <c r="DL40" s="960">
        <v>29</v>
      </c>
      <c r="DM40" s="161"/>
      <c r="DO40" s="788"/>
      <c r="DP40" s="788"/>
      <c r="DQ40" s="788"/>
      <c r="DR40" s="788"/>
      <c r="DS40" s="789" t="s">
        <v>1398</v>
      </c>
      <c r="DT40" s="962">
        <v>0</v>
      </c>
      <c r="DU40" s="961"/>
      <c r="DV40" s="961"/>
      <c r="DW40" s="962">
        <v>0</v>
      </c>
      <c r="DX40" s="961"/>
      <c r="DY40" s="962">
        <v>0</v>
      </c>
      <c r="DZ40" s="962">
        <v>2</v>
      </c>
      <c r="EA40" s="962">
        <v>0</v>
      </c>
      <c r="EB40" s="962">
        <v>0</v>
      </c>
      <c r="EC40" s="961"/>
      <c r="ED40" s="962">
        <v>2</v>
      </c>
      <c r="EE40" s="962">
        <v>1</v>
      </c>
      <c r="EF40" s="962">
        <v>0</v>
      </c>
      <c r="EG40" s="962">
        <v>0</v>
      </c>
      <c r="EH40" s="962">
        <v>0</v>
      </c>
      <c r="EI40" s="963"/>
      <c r="EJ40" s="963"/>
      <c r="EK40" s="964">
        <v>5</v>
      </c>
      <c r="EL40" s="912"/>
      <c r="EM40" s="73"/>
      <c r="EN40" s="965"/>
      <c r="EO40" s="965"/>
      <c r="EP40" s="965"/>
      <c r="EQ40" s="734" t="s">
        <v>1288</v>
      </c>
      <c r="ER40" s="966"/>
      <c r="ES40" s="966"/>
      <c r="ET40" s="966"/>
      <c r="EU40" s="966"/>
      <c r="EV40" s="966"/>
      <c r="EW40" s="735">
        <v>1</v>
      </c>
      <c r="EX40" s="966"/>
      <c r="EY40" s="966"/>
      <c r="EZ40" s="966"/>
      <c r="FA40" s="966"/>
      <c r="FB40" s="966"/>
      <c r="FC40" s="735">
        <v>1</v>
      </c>
      <c r="FD40" s="966"/>
      <c r="FE40" s="735">
        <v>2</v>
      </c>
      <c r="FF40" s="967"/>
      <c r="FG40" s="73"/>
      <c r="FH40" s="73"/>
      <c r="FI40" s="161"/>
      <c r="FJ40" s="161"/>
      <c r="FK40" s="73"/>
      <c r="FL40" s="73" t="s">
        <v>1284</v>
      </c>
      <c r="FM40" s="161"/>
      <c r="FN40" s="161"/>
      <c r="FO40" s="161"/>
      <c r="FP40" s="161"/>
      <c r="FQ40" s="161"/>
      <c r="FR40" s="161"/>
      <c r="FS40" s="161">
        <v>1</v>
      </c>
      <c r="FT40" s="161"/>
      <c r="FU40" s="161"/>
      <c r="FV40" s="161"/>
      <c r="FW40" s="161">
        <v>0</v>
      </c>
      <c r="FX40" s="161"/>
      <c r="FY40" s="161"/>
      <c r="FZ40" s="161">
        <v>0</v>
      </c>
      <c r="GA40" s="161">
        <v>0</v>
      </c>
      <c r="GB40" s="161">
        <v>0</v>
      </c>
      <c r="GC40" s="161">
        <v>1</v>
      </c>
      <c r="GD40" s="73"/>
      <c r="GE40" s="73"/>
      <c r="GF40" s="968"/>
      <c r="GG40" s="968" t="s">
        <v>16</v>
      </c>
      <c r="GH40" s="968" t="s">
        <v>108</v>
      </c>
      <c r="GI40" s="968" t="s">
        <v>1283</v>
      </c>
      <c r="GJ40" s="968">
        <v>0</v>
      </c>
      <c r="GK40" s="968">
        <v>0</v>
      </c>
      <c r="GL40" s="968">
        <v>0</v>
      </c>
      <c r="GM40" s="968">
        <v>0</v>
      </c>
      <c r="GN40" s="968">
        <v>0</v>
      </c>
      <c r="GO40" s="968">
        <v>1</v>
      </c>
      <c r="GP40" s="968">
        <v>0</v>
      </c>
      <c r="GQ40" s="968">
        <v>0</v>
      </c>
      <c r="GR40" s="968">
        <v>0</v>
      </c>
      <c r="GS40" s="968">
        <v>0</v>
      </c>
      <c r="GT40" s="968">
        <v>0</v>
      </c>
      <c r="GU40" s="968">
        <v>0</v>
      </c>
      <c r="GV40" s="968">
        <v>0</v>
      </c>
      <c r="GW40" s="968">
        <v>0</v>
      </c>
      <c r="GX40" s="968">
        <v>0</v>
      </c>
      <c r="GY40" s="968">
        <v>0</v>
      </c>
      <c r="GZ40" s="968">
        <v>1</v>
      </c>
      <c r="HA40" s="968"/>
      <c r="HB40" s="969"/>
    </row>
    <row r="41" spans="1:210">
      <c r="A41" s="73"/>
      <c r="B41" s="73"/>
      <c r="C41" s="73"/>
      <c r="D41" s="73" t="s">
        <v>1398</v>
      </c>
      <c r="E41" s="967"/>
      <c r="F41" s="967"/>
      <c r="G41" s="967"/>
      <c r="H41" s="967"/>
      <c r="I41" s="967"/>
      <c r="J41" s="967"/>
      <c r="K41" s="967"/>
      <c r="L41" s="967">
        <v>0</v>
      </c>
      <c r="M41" s="967">
        <v>0</v>
      </c>
      <c r="N41" s="967">
        <v>1</v>
      </c>
      <c r="O41" s="967"/>
      <c r="P41" s="967">
        <v>0</v>
      </c>
      <c r="Q41" s="967">
        <v>0</v>
      </c>
      <c r="R41" s="967">
        <v>0</v>
      </c>
      <c r="S41" s="967">
        <v>0</v>
      </c>
      <c r="T41" s="73"/>
      <c r="U41" s="73"/>
      <c r="V41" s="73">
        <v>1</v>
      </c>
      <c r="W41" s="73"/>
      <c r="Y41" s="73"/>
      <c r="Z41" s="73"/>
      <c r="AA41" s="73"/>
      <c r="AB41" s="73" t="s">
        <v>1293</v>
      </c>
      <c r="AC41" s="3261"/>
      <c r="AD41" s="3261"/>
      <c r="AE41" s="3261">
        <v>0</v>
      </c>
      <c r="AF41" s="3261"/>
      <c r="AG41" s="3261"/>
      <c r="AH41" s="3261"/>
      <c r="AI41" s="3261"/>
      <c r="AJ41" s="3261">
        <v>0</v>
      </c>
      <c r="AK41" s="3261">
        <v>0</v>
      </c>
      <c r="AL41" s="3261">
        <v>0</v>
      </c>
      <c r="AM41" s="3261">
        <v>0</v>
      </c>
      <c r="AN41" s="3261">
        <v>1</v>
      </c>
      <c r="AO41" s="3261">
        <v>0</v>
      </c>
      <c r="AP41" s="3261">
        <v>0</v>
      </c>
      <c r="AQ41" s="3261">
        <v>0</v>
      </c>
      <c r="AR41" s="161"/>
      <c r="AS41" s="161"/>
      <c r="AT41" s="161">
        <v>1</v>
      </c>
      <c r="AU41" s="73"/>
      <c r="AY41" s="73"/>
      <c r="AZ41" s="73" t="s">
        <v>1289</v>
      </c>
      <c r="BA41" s="2607"/>
      <c r="BB41" s="2607"/>
      <c r="BC41" s="2607">
        <v>0</v>
      </c>
      <c r="BD41" s="2607"/>
      <c r="BE41" s="2607">
        <v>0</v>
      </c>
      <c r="BF41" s="2607"/>
      <c r="BG41" s="2607">
        <v>1</v>
      </c>
      <c r="BH41" s="2607">
        <v>0</v>
      </c>
      <c r="BI41" s="2607">
        <v>0</v>
      </c>
      <c r="BJ41" s="2607">
        <v>0</v>
      </c>
      <c r="BK41" s="2607">
        <v>0</v>
      </c>
      <c r="BL41" s="2607">
        <v>0</v>
      </c>
      <c r="BM41" s="2607">
        <v>0</v>
      </c>
      <c r="BN41" s="2607">
        <v>0</v>
      </c>
      <c r="BO41" s="2607">
        <v>0</v>
      </c>
      <c r="BP41" s="73"/>
      <c r="BQ41" s="73"/>
      <c r="BR41" s="73">
        <v>1</v>
      </c>
      <c r="BS41" s="73"/>
      <c r="BU41" s="2207"/>
      <c r="BV41" s="2207"/>
      <c r="BW41" s="2207"/>
      <c r="BX41" s="2208" t="s">
        <v>1286</v>
      </c>
      <c r="BY41" s="2209"/>
      <c r="BZ41" s="2210">
        <v>1</v>
      </c>
      <c r="CA41" s="2209"/>
      <c r="CB41" s="2209"/>
      <c r="CC41" s="2209"/>
      <c r="CD41" s="2209"/>
      <c r="CE41" s="2209"/>
      <c r="CF41" s="2210">
        <v>0</v>
      </c>
      <c r="CG41" s="2209"/>
      <c r="CH41" s="2209"/>
      <c r="CI41" s="2209"/>
      <c r="CJ41" s="2210">
        <v>0</v>
      </c>
      <c r="CK41" s="2210">
        <v>0</v>
      </c>
      <c r="CL41" s="2212">
        <v>0</v>
      </c>
      <c r="CM41" s="2212">
        <v>0</v>
      </c>
      <c r="CN41" s="2212">
        <v>1</v>
      </c>
      <c r="CO41" s="73"/>
      <c r="CQ41" s="955"/>
      <c r="CR41" s="955"/>
      <c r="CS41" s="955"/>
      <c r="CT41" s="956" t="s">
        <v>1293</v>
      </c>
      <c r="CU41" s="958">
        <v>0</v>
      </c>
      <c r="CV41" s="958">
        <v>0</v>
      </c>
      <c r="CW41" s="958">
        <v>0</v>
      </c>
      <c r="CX41" s="958">
        <v>0</v>
      </c>
      <c r="CY41" s="958">
        <v>0</v>
      </c>
      <c r="CZ41" s="958">
        <v>0</v>
      </c>
      <c r="DA41" s="958">
        <v>0</v>
      </c>
      <c r="DB41" s="958">
        <v>0</v>
      </c>
      <c r="DC41" s="958">
        <v>0</v>
      </c>
      <c r="DD41" s="958">
        <v>0</v>
      </c>
      <c r="DE41" s="958">
        <v>1</v>
      </c>
      <c r="DF41" s="958">
        <v>2</v>
      </c>
      <c r="DG41" s="958">
        <v>0</v>
      </c>
      <c r="DH41" s="958">
        <v>0</v>
      </c>
      <c r="DI41" s="957"/>
      <c r="DJ41" s="959"/>
      <c r="DK41" s="959"/>
      <c r="DL41" s="960">
        <v>3</v>
      </c>
      <c r="DM41" s="161"/>
      <c r="DO41" s="788"/>
      <c r="DP41" s="788"/>
      <c r="DQ41" s="788"/>
      <c r="DR41" s="73"/>
      <c r="DS41" s="809" t="s">
        <v>107</v>
      </c>
      <c r="DT41" s="971">
        <v>3</v>
      </c>
      <c r="DU41" s="970"/>
      <c r="DV41" s="970"/>
      <c r="DW41" s="971">
        <v>1</v>
      </c>
      <c r="DX41" s="970"/>
      <c r="DY41" s="971">
        <v>1</v>
      </c>
      <c r="DZ41" s="971">
        <v>10</v>
      </c>
      <c r="EA41" s="971">
        <v>2</v>
      </c>
      <c r="EB41" s="971">
        <v>1</v>
      </c>
      <c r="EC41" s="970"/>
      <c r="ED41" s="971">
        <v>2</v>
      </c>
      <c r="EE41" s="971">
        <v>1</v>
      </c>
      <c r="EF41" s="971">
        <v>3</v>
      </c>
      <c r="EG41" s="971">
        <v>4</v>
      </c>
      <c r="EH41" s="971">
        <v>1</v>
      </c>
      <c r="EI41" s="972"/>
      <c r="EJ41" s="972"/>
      <c r="EK41" s="973">
        <v>29</v>
      </c>
      <c r="EL41" s="912">
        <f>+(EK40+EK37)/EK41</f>
        <v>0.20689655172413793</v>
      </c>
      <c r="EM41" s="73"/>
      <c r="EN41" s="965"/>
      <c r="EO41" s="965"/>
      <c r="EP41" s="965"/>
      <c r="EQ41" s="734" t="s">
        <v>1398</v>
      </c>
      <c r="ER41" s="966"/>
      <c r="ES41" s="966"/>
      <c r="ET41" s="966"/>
      <c r="EU41" s="966"/>
      <c r="EV41" s="966"/>
      <c r="EW41" s="735">
        <v>1</v>
      </c>
      <c r="EX41" s="966"/>
      <c r="EY41" s="966"/>
      <c r="EZ41" s="966"/>
      <c r="FA41" s="966"/>
      <c r="FB41" s="966"/>
      <c r="FC41" s="735">
        <v>0</v>
      </c>
      <c r="FD41" s="966"/>
      <c r="FE41" s="735">
        <v>1</v>
      </c>
      <c r="FF41" s="967"/>
      <c r="FG41" s="73"/>
      <c r="FH41" s="73"/>
      <c r="FI41" s="161"/>
      <c r="FJ41" s="161"/>
      <c r="FK41" s="73"/>
      <c r="FL41" s="73" t="s">
        <v>1292</v>
      </c>
      <c r="FM41" s="161"/>
      <c r="FN41" s="161"/>
      <c r="FO41" s="161"/>
      <c r="FP41" s="161"/>
      <c r="FQ41" s="161"/>
      <c r="FR41" s="161"/>
      <c r="FS41" s="161">
        <v>0</v>
      </c>
      <c r="FT41" s="161"/>
      <c r="FU41" s="161"/>
      <c r="FV41" s="161"/>
      <c r="FW41" s="161">
        <v>0</v>
      </c>
      <c r="FX41" s="161"/>
      <c r="FY41" s="161"/>
      <c r="FZ41" s="161">
        <v>4</v>
      </c>
      <c r="GA41" s="161">
        <v>0</v>
      </c>
      <c r="GB41" s="161">
        <v>3</v>
      </c>
      <c r="GC41" s="161">
        <v>7</v>
      </c>
      <c r="GD41" s="73"/>
      <c r="GE41" s="73"/>
      <c r="GF41" s="968"/>
      <c r="GG41" s="968"/>
      <c r="GH41" s="968"/>
      <c r="GI41" s="968" t="s">
        <v>1284</v>
      </c>
      <c r="GJ41" s="968">
        <v>0</v>
      </c>
      <c r="GK41" s="968">
        <v>0</v>
      </c>
      <c r="GL41" s="968">
        <v>0</v>
      </c>
      <c r="GM41" s="968">
        <v>0</v>
      </c>
      <c r="GN41" s="968">
        <v>0</v>
      </c>
      <c r="GO41" s="968">
        <v>0</v>
      </c>
      <c r="GP41" s="968">
        <v>0</v>
      </c>
      <c r="GQ41" s="968">
        <v>0</v>
      </c>
      <c r="GR41" s="968">
        <v>0</v>
      </c>
      <c r="GS41" s="968">
        <v>1</v>
      </c>
      <c r="GT41" s="968">
        <v>0</v>
      </c>
      <c r="GU41" s="968">
        <v>0</v>
      </c>
      <c r="GV41" s="968">
        <v>0</v>
      </c>
      <c r="GW41" s="968">
        <v>0</v>
      </c>
      <c r="GX41" s="968">
        <v>0</v>
      </c>
      <c r="GY41" s="968">
        <v>0</v>
      </c>
      <c r="GZ41" s="968">
        <v>1</v>
      </c>
      <c r="HA41" s="968"/>
      <c r="HB41" s="969"/>
    </row>
    <row r="42" spans="1:210">
      <c r="A42" s="73"/>
      <c r="B42" s="73"/>
      <c r="C42" s="73"/>
      <c r="D42" s="738" t="s">
        <v>15</v>
      </c>
      <c r="E42" s="4694"/>
      <c r="F42" s="4694"/>
      <c r="G42" s="4694"/>
      <c r="H42" s="4694"/>
      <c r="I42" s="4694"/>
      <c r="J42" s="4694"/>
      <c r="K42" s="4694"/>
      <c r="L42" s="4694">
        <v>1</v>
      </c>
      <c r="M42" s="4694">
        <v>1</v>
      </c>
      <c r="N42" s="4694">
        <v>3</v>
      </c>
      <c r="O42" s="4694"/>
      <c r="P42" s="4694">
        <v>2</v>
      </c>
      <c r="Q42" s="4694">
        <v>1</v>
      </c>
      <c r="R42" s="4694">
        <v>2</v>
      </c>
      <c r="S42" s="4694">
        <v>2</v>
      </c>
      <c r="T42" s="738"/>
      <c r="U42" s="738"/>
      <c r="V42" s="738">
        <v>12</v>
      </c>
      <c r="W42" s="912">
        <f>+(V41+V39)/V42</f>
        <v>0.16666666666666666</v>
      </c>
      <c r="X42" s="3197"/>
      <c r="Y42" s="73"/>
      <c r="Z42" s="73"/>
      <c r="AA42" s="73"/>
      <c r="AB42" s="73" t="s">
        <v>1398</v>
      </c>
      <c r="AC42" s="3261"/>
      <c r="AD42" s="3261"/>
      <c r="AE42" s="3261">
        <v>0</v>
      </c>
      <c r="AF42" s="3261"/>
      <c r="AG42" s="3261"/>
      <c r="AH42" s="3261"/>
      <c r="AI42" s="3261"/>
      <c r="AJ42" s="3261">
        <v>0</v>
      </c>
      <c r="AK42" s="3261">
        <v>1</v>
      </c>
      <c r="AL42" s="3261">
        <v>0</v>
      </c>
      <c r="AM42" s="3261">
        <v>2</v>
      </c>
      <c r="AN42" s="3261">
        <v>0</v>
      </c>
      <c r="AO42" s="3261">
        <v>0</v>
      </c>
      <c r="AP42" s="3261">
        <v>0</v>
      </c>
      <c r="AQ42" s="3261">
        <v>0</v>
      </c>
      <c r="AR42" s="161"/>
      <c r="AS42" s="161"/>
      <c r="AT42" s="161">
        <v>3</v>
      </c>
      <c r="AU42" s="73"/>
      <c r="AY42" s="73"/>
      <c r="AZ42" s="73" t="s">
        <v>1292</v>
      </c>
      <c r="BA42" s="2607"/>
      <c r="BB42" s="2607"/>
      <c r="BC42" s="2607">
        <v>0</v>
      </c>
      <c r="BD42" s="2607"/>
      <c r="BE42" s="2607">
        <v>0</v>
      </c>
      <c r="BF42" s="2607"/>
      <c r="BG42" s="2607">
        <v>0</v>
      </c>
      <c r="BH42" s="2607">
        <v>1</v>
      </c>
      <c r="BI42" s="2607">
        <v>0</v>
      </c>
      <c r="BJ42" s="2607">
        <v>0</v>
      </c>
      <c r="BK42" s="2607">
        <v>1</v>
      </c>
      <c r="BL42" s="2607">
        <v>0</v>
      </c>
      <c r="BM42" s="2607">
        <v>0</v>
      </c>
      <c r="BN42" s="2607">
        <v>1</v>
      </c>
      <c r="BO42" s="2607">
        <v>1</v>
      </c>
      <c r="BP42" s="73"/>
      <c r="BQ42" s="73"/>
      <c r="BR42" s="73">
        <v>4</v>
      </c>
      <c r="BS42" s="73"/>
      <c r="BU42" s="2207"/>
      <c r="BV42" s="2207"/>
      <c r="BW42" s="2207"/>
      <c r="BX42" s="2208" t="s">
        <v>1288</v>
      </c>
      <c r="BY42" s="2209"/>
      <c r="BZ42" s="2210">
        <v>0</v>
      </c>
      <c r="CA42" s="2209"/>
      <c r="CB42" s="2209"/>
      <c r="CC42" s="2209"/>
      <c r="CD42" s="2209"/>
      <c r="CE42" s="2209"/>
      <c r="CF42" s="2210">
        <v>0</v>
      </c>
      <c r="CG42" s="2209"/>
      <c r="CH42" s="2209"/>
      <c r="CI42" s="2209"/>
      <c r="CJ42" s="2210">
        <v>0</v>
      </c>
      <c r="CK42" s="2210">
        <v>0</v>
      </c>
      <c r="CL42" s="2212">
        <v>1</v>
      </c>
      <c r="CM42" s="2212">
        <v>0</v>
      </c>
      <c r="CN42" s="2212">
        <v>1</v>
      </c>
      <c r="CO42" s="73"/>
      <c r="CQ42" s="955"/>
      <c r="CR42" s="955"/>
      <c r="CS42" s="955"/>
      <c r="CT42" s="956" t="s">
        <v>1398</v>
      </c>
      <c r="CU42" s="958">
        <v>0</v>
      </c>
      <c r="CV42" s="958">
        <v>0</v>
      </c>
      <c r="CW42" s="958">
        <v>0</v>
      </c>
      <c r="CX42" s="958">
        <v>0</v>
      </c>
      <c r="CY42" s="958">
        <v>0</v>
      </c>
      <c r="CZ42" s="958">
        <v>0</v>
      </c>
      <c r="DA42" s="958">
        <v>2</v>
      </c>
      <c r="DB42" s="958">
        <v>0</v>
      </c>
      <c r="DC42" s="958">
        <v>0</v>
      </c>
      <c r="DD42" s="958">
        <v>5</v>
      </c>
      <c r="DE42" s="958">
        <v>3</v>
      </c>
      <c r="DF42" s="958">
        <v>3</v>
      </c>
      <c r="DG42" s="958">
        <v>0</v>
      </c>
      <c r="DH42" s="958">
        <v>0</v>
      </c>
      <c r="DI42" s="957"/>
      <c r="DJ42" s="959"/>
      <c r="DK42" s="959"/>
      <c r="DL42" s="960">
        <v>13</v>
      </c>
      <c r="DM42" s="161"/>
      <c r="DO42" s="788" t="s">
        <v>25</v>
      </c>
      <c r="DP42" s="788" t="s">
        <v>4</v>
      </c>
      <c r="DQ42" s="788" t="s">
        <v>121</v>
      </c>
      <c r="DR42" s="788" t="s">
        <v>1282</v>
      </c>
      <c r="DS42" s="789" t="s">
        <v>1283</v>
      </c>
      <c r="DT42" s="961"/>
      <c r="DU42" s="961"/>
      <c r="DV42" s="961"/>
      <c r="DW42" s="961"/>
      <c r="DX42" s="961"/>
      <c r="DY42" s="961"/>
      <c r="DZ42" s="961"/>
      <c r="EA42" s="961"/>
      <c r="EB42" s="961"/>
      <c r="EC42" s="961"/>
      <c r="ED42" s="961"/>
      <c r="EE42" s="961"/>
      <c r="EF42" s="961"/>
      <c r="EG42" s="961"/>
      <c r="EH42" s="962">
        <v>1</v>
      </c>
      <c r="EI42" s="963"/>
      <c r="EJ42" s="964">
        <v>0</v>
      </c>
      <c r="EK42" s="964">
        <v>1</v>
      </c>
      <c r="EL42" s="912"/>
      <c r="EM42" s="73"/>
      <c r="EN42" s="965"/>
      <c r="EO42" s="965"/>
      <c r="EP42" s="965"/>
      <c r="EQ42" s="981" t="s">
        <v>15</v>
      </c>
      <c r="ER42" s="982"/>
      <c r="ES42" s="982"/>
      <c r="ET42" s="982"/>
      <c r="EU42" s="982"/>
      <c r="EV42" s="982"/>
      <c r="EW42" s="740">
        <v>2</v>
      </c>
      <c r="EX42" s="982"/>
      <c r="EY42" s="982"/>
      <c r="EZ42" s="982"/>
      <c r="FA42" s="982"/>
      <c r="FB42" s="982"/>
      <c r="FC42" s="740">
        <v>2</v>
      </c>
      <c r="FD42" s="982"/>
      <c r="FE42" s="740">
        <v>4</v>
      </c>
      <c r="FF42" s="905">
        <f>+(FE41+FE40-FC40)/FE42</f>
        <v>0.5</v>
      </c>
      <c r="FG42" s="73"/>
      <c r="FH42" s="73"/>
      <c r="FI42" s="161"/>
      <c r="FJ42" s="161"/>
      <c r="FK42" s="73"/>
      <c r="FL42" s="73" t="s">
        <v>1398</v>
      </c>
      <c r="FM42" s="161"/>
      <c r="FN42" s="161"/>
      <c r="FO42" s="161"/>
      <c r="FP42" s="161"/>
      <c r="FQ42" s="161"/>
      <c r="FR42" s="161"/>
      <c r="FS42" s="161">
        <v>0</v>
      </c>
      <c r="FT42" s="161"/>
      <c r="FU42" s="161"/>
      <c r="FV42" s="161"/>
      <c r="FW42" s="161">
        <v>1</v>
      </c>
      <c r="FX42" s="161"/>
      <c r="FY42" s="161"/>
      <c r="FZ42" s="161">
        <v>1</v>
      </c>
      <c r="GA42" s="161">
        <v>0</v>
      </c>
      <c r="GB42" s="161">
        <v>0</v>
      </c>
      <c r="GC42" s="161">
        <v>2</v>
      </c>
      <c r="GD42" s="73"/>
      <c r="GE42" s="73"/>
      <c r="GF42" s="968"/>
      <c r="GG42" s="968"/>
      <c r="GH42" s="968"/>
      <c r="GI42" s="968" t="s">
        <v>1286</v>
      </c>
      <c r="GJ42" s="968">
        <v>0</v>
      </c>
      <c r="GK42" s="968">
        <v>0</v>
      </c>
      <c r="GL42" s="968">
        <v>0</v>
      </c>
      <c r="GM42" s="968">
        <v>0</v>
      </c>
      <c r="GN42" s="968">
        <v>0</v>
      </c>
      <c r="GO42" s="968">
        <v>0</v>
      </c>
      <c r="GP42" s="968">
        <v>0</v>
      </c>
      <c r="GQ42" s="968">
        <v>1</v>
      </c>
      <c r="GR42" s="968">
        <v>0</v>
      </c>
      <c r="GS42" s="968">
        <v>0</v>
      </c>
      <c r="GT42" s="968">
        <v>0</v>
      </c>
      <c r="GU42" s="968">
        <v>0</v>
      </c>
      <c r="GV42" s="968">
        <v>0</v>
      </c>
      <c r="GW42" s="968">
        <v>0</v>
      </c>
      <c r="GX42" s="968">
        <v>0</v>
      </c>
      <c r="GY42" s="968">
        <v>0</v>
      </c>
      <c r="GZ42" s="968">
        <v>1</v>
      </c>
      <c r="HA42" s="968"/>
      <c r="HB42" s="969"/>
    </row>
    <row r="43" spans="1:210">
      <c r="A43" s="73"/>
      <c r="B43" s="73"/>
      <c r="C43" s="73" t="s">
        <v>1691</v>
      </c>
      <c r="D43" s="73" t="s">
        <v>1292</v>
      </c>
      <c r="E43" s="967"/>
      <c r="F43" s="967"/>
      <c r="G43" s="967"/>
      <c r="H43" s="967"/>
      <c r="I43" s="967"/>
      <c r="J43" s="967"/>
      <c r="K43" s="967"/>
      <c r="L43" s="967"/>
      <c r="M43" s="967"/>
      <c r="N43" s="967"/>
      <c r="O43" s="967"/>
      <c r="P43" s="967">
        <v>1</v>
      </c>
      <c r="Q43" s="967"/>
      <c r="R43" s="967"/>
      <c r="S43" s="967"/>
      <c r="T43" s="73"/>
      <c r="U43" s="73"/>
      <c r="V43" s="73">
        <v>1</v>
      </c>
      <c r="W43" s="73"/>
      <c r="Y43" s="73"/>
      <c r="Z43" s="73"/>
      <c r="AA43" s="73"/>
      <c r="AB43" s="738" t="s">
        <v>107</v>
      </c>
      <c r="AC43" s="3261"/>
      <c r="AD43" s="3261"/>
      <c r="AE43" s="3261">
        <v>1</v>
      </c>
      <c r="AF43" s="3261"/>
      <c r="AG43" s="3261"/>
      <c r="AH43" s="3261"/>
      <c r="AI43" s="3261"/>
      <c r="AJ43" s="3261">
        <v>1</v>
      </c>
      <c r="AK43" s="3261">
        <v>1</v>
      </c>
      <c r="AL43" s="3261">
        <v>3</v>
      </c>
      <c r="AM43" s="3261">
        <v>2</v>
      </c>
      <c r="AN43" s="3261">
        <v>4</v>
      </c>
      <c r="AO43" s="3261">
        <v>2</v>
      </c>
      <c r="AP43" s="3261">
        <v>2</v>
      </c>
      <c r="AQ43" s="3261">
        <v>4</v>
      </c>
      <c r="AR43" s="161"/>
      <c r="AS43" s="161"/>
      <c r="AT43" s="161">
        <v>20</v>
      </c>
      <c r="AU43" s="912">
        <f>+(AT38+AT41+AT42)/AT43</f>
        <v>0.4</v>
      </c>
      <c r="AY43" s="73"/>
      <c r="AZ43" s="73" t="s">
        <v>1293</v>
      </c>
      <c r="BA43" s="2607"/>
      <c r="BB43" s="2607"/>
      <c r="BC43" s="2607">
        <v>0</v>
      </c>
      <c r="BD43" s="2607"/>
      <c r="BE43" s="2607">
        <v>0</v>
      </c>
      <c r="BF43" s="2607"/>
      <c r="BG43" s="2607">
        <v>0</v>
      </c>
      <c r="BH43" s="2607">
        <v>0</v>
      </c>
      <c r="BI43" s="2607">
        <v>0</v>
      </c>
      <c r="BJ43" s="2607">
        <v>2</v>
      </c>
      <c r="BK43" s="2607">
        <v>1</v>
      </c>
      <c r="BL43" s="2607">
        <v>0</v>
      </c>
      <c r="BM43" s="2607">
        <v>0</v>
      </c>
      <c r="BN43" s="2607">
        <v>0</v>
      </c>
      <c r="BO43" s="2607">
        <v>0</v>
      </c>
      <c r="BP43" s="73"/>
      <c r="BQ43" s="73"/>
      <c r="BR43" s="73">
        <v>3</v>
      </c>
      <c r="BS43" s="73"/>
      <c r="BU43" s="2207"/>
      <c r="BV43" s="2207"/>
      <c r="BW43" s="2207"/>
      <c r="BX43" s="2208" t="s">
        <v>1292</v>
      </c>
      <c r="BY43" s="2209"/>
      <c r="BZ43" s="2210">
        <v>0</v>
      </c>
      <c r="CA43" s="2209"/>
      <c r="CB43" s="2209"/>
      <c r="CC43" s="2209"/>
      <c r="CD43" s="2209"/>
      <c r="CE43" s="2209"/>
      <c r="CF43" s="2210">
        <v>0</v>
      </c>
      <c r="CG43" s="2209"/>
      <c r="CH43" s="2209"/>
      <c r="CI43" s="2209"/>
      <c r="CJ43" s="2210">
        <v>0</v>
      </c>
      <c r="CK43" s="2210">
        <v>2</v>
      </c>
      <c r="CL43" s="2212">
        <v>0</v>
      </c>
      <c r="CM43" s="2212">
        <v>4</v>
      </c>
      <c r="CN43" s="2212">
        <v>6</v>
      </c>
      <c r="CO43" s="73"/>
      <c r="CQ43" s="955"/>
      <c r="CR43" s="955"/>
      <c r="CS43" s="955"/>
      <c r="CT43" s="974" t="s">
        <v>107</v>
      </c>
      <c r="CU43" s="976">
        <v>1</v>
      </c>
      <c r="CV43" s="976">
        <v>1</v>
      </c>
      <c r="CW43" s="976">
        <v>2</v>
      </c>
      <c r="CX43" s="976">
        <v>3</v>
      </c>
      <c r="CY43" s="976">
        <v>1</v>
      </c>
      <c r="CZ43" s="976">
        <v>1</v>
      </c>
      <c r="DA43" s="976">
        <v>12</v>
      </c>
      <c r="DB43" s="976">
        <v>6</v>
      </c>
      <c r="DC43" s="976">
        <v>3</v>
      </c>
      <c r="DD43" s="976">
        <v>8</v>
      </c>
      <c r="DE43" s="976">
        <v>9</v>
      </c>
      <c r="DF43" s="976">
        <v>5</v>
      </c>
      <c r="DG43" s="976">
        <v>5</v>
      </c>
      <c r="DH43" s="976">
        <v>1</v>
      </c>
      <c r="DI43" s="975"/>
      <c r="DJ43" s="977"/>
      <c r="DK43" s="977"/>
      <c r="DL43" s="978">
        <v>58</v>
      </c>
      <c r="DM43" s="912">
        <f>+(DL39+DL41+DL42)/DL43</f>
        <v>0.29310344827586204</v>
      </c>
      <c r="DO43" s="788"/>
      <c r="DP43" s="788"/>
      <c r="DQ43" s="788"/>
      <c r="DR43" s="788"/>
      <c r="DS43" s="789" t="s">
        <v>1284</v>
      </c>
      <c r="DT43" s="961"/>
      <c r="DU43" s="961"/>
      <c r="DV43" s="961"/>
      <c r="DW43" s="961"/>
      <c r="DX43" s="961"/>
      <c r="DY43" s="961"/>
      <c r="DZ43" s="961"/>
      <c r="EA43" s="961"/>
      <c r="EB43" s="961"/>
      <c r="EC43" s="961"/>
      <c r="ED43" s="961"/>
      <c r="EE43" s="961"/>
      <c r="EF43" s="961"/>
      <c r="EG43" s="961"/>
      <c r="EH43" s="962">
        <v>1</v>
      </c>
      <c r="EI43" s="963"/>
      <c r="EJ43" s="964">
        <v>0</v>
      </c>
      <c r="EK43" s="964">
        <v>1</v>
      </c>
      <c r="EL43" s="912"/>
      <c r="EM43" s="73"/>
      <c r="EN43" s="965"/>
      <c r="EO43" s="965"/>
      <c r="EP43" s="965" t="s">
        <v>125</v>
      </c>
      <c r="EQ43" s="734" t="s">
        <v>1292</v>
      </c>
      <c r="ER43" s="966"/>
      <c r="ES43" s="966"/>
      <c r="ET43" s="966"/>
      <c r="EU43" s="966"/>
      <c r="EV43" s="966"/>
      <c r="EW43" s="966"/>
      <c r="EX43" s="966"/>
      <c r="EY43" s="966"/>
      <c r="EZ43" s="966"/>
      <c r="FA43" s="966"/>
      <c r="FB43" s="735">
        <v>1</v>
      </c>
      <c r="FC43" s="966"/>
      <c r="FD43" s="966"/>
      <c r="FE43" s="735">
        <v>1</v>
      </c>
      <c r="FF43" s="967"/>
      <c r="FG43" s="73"/>
      <c r="FH43" s="73"/>
      <c r="FI43" s="161"/>
      <c r="FJ43" s="161"/>
      <c r="FK43" s="73"/>
      <c r="FL43" s="738" t="s">
        <v>15</v>
      </c>
      <c r="FM43" s="151"/>
      <c r="FN43" s="151"/>
      <c r="FO43" s="151"/>
      <c r="FP43" s="151"/>
      <c r="FQ43" s="151"/>
      <c r="FR43" s="151"/>
      <c r="FS43" s="151">
        <v>1</v>
      </c>
      <c r="FT43" s="151"/>
      <c r="FU43" s="151"/>
      <c r="FV43" s="151"/>
      <c r="FW43" s="151">
        <v>1</v>
      </c>
      <c r="FX43" s="151"/>
      <c r="FY43" s="151"/>
      <c r="FZ43" s="151">
        <v>6</v>
      </c>
      <c r="GA43" s="151">
        <v>1</v>
      </c>
      <c r="GB43" s="151">
        <v>4</v>
      </c>
      <c r="GC43" s="151">
        <v>13</v>
      </c>
      <c r="GD43" s="983">
        <f>+GC42/GC43</f>
        <v>0.15384615384615385</v>
      </c>
      <c r="GE43" s="73"/>
      <c r="GF43" s="968"/>
      <c r="GG43" s="968"/>
      <c r="GH43" s="968"/>
      <c r="GI43" s="968" t="s">
        <v>1288</v>
      </c>
      <c r="GJ43" s="968">
        <v>0</v>
      </c>
      <c r="GK43" s="968">
        <v>0</v>
      </c>
      <c r="GL43" s="968">
        <v>0</v>
      </c>
      <c r="GM43" s="968">
        <v>0</v>
      </c>
      <c r="GN43" s="968">
        <v>0</v>
      </c>
      <c r="GO43" s="968">
        <v>0</v>
      </c>
      <c r="GP43" s="968">
        <v>0</v>
      </c>
      <c r="GQ43" s="968">
        <v>0</v>
      </c>
      <c r="GR43" s="968">
        <v>1</v>
      </c>
      <c r="GS43" s="968">
        <v>0</v>
      </c>
      <c r="GT43" s="968">
        <v>0</v>
      </c>
      <c r="GU43" s="968">
        <v>1</v>
      </c>
      <c r="GV43" s="968">
        <v>0</v>
      </c>
      <c r="GW43" s="968">
        <v>0</v>
      </c>
      <c r="GX43" s="968">
        <v>0</v>
      </c>
      <c r="GY43" s="968">
        <v>0</v>
      </c>
      <c r="GZ43" s="968">
        <v>2</v>
      </c>
      <c r="HA43" s="968"/>
      <c r="HB43" s="969"/>
    </row>
    <row r="44" spans="1:210">
      <c r="A44" s="73"/>
      <c r="B44" s="73"/>
      <c r="C44" s="73"/>
      <c r="D44" s="738" t="s">
        <v>15</v>
      </c>
      <c r="E44" s="4694"/>
      <c r="F44" s="4694"/>
      <c r="G44" s="4694"/>
      <c r="H44" s="4694"/>
      <c r="I44" s="4694"/>
      <c r="J44" s="4694"/>
      <c r="K44" s="4694"/>
      <c r="L44" s="4694"/>
      <c r="M44" s="4694"/>
      <c r="N44" s="4694"/>
      <c r="O44" s="4694"/>
      <c r="P44" s="4694">
        <v>1</v>
      </c>
      <c r="Q44" s="4694"/>
      <c r="R44" s="4694"/>
      <c r="S44" s="4694"/>
      <c r="T44" s="738"/>
      <c r="U44" s="738"/>
      <c r="V44" s="738">
        <v>1</v>
      </c>
      <c r="W44" s="912">
        <v>0</v>
      </c>
      <c r="X44" s="3197"/>
      <c r="Y44" s="73" t="s">
        <v>25</v>
      </c>
      <c r="Z44" s="73" t="s">
        <v>4</v>
      </c>
      <c r="AA44" s="73" t="s">
        <v>121</v>
      </c>
      <c r="AB44" s="73" t="s">
        <v>1292</v>
      </c>
      <c r="AC44" s="3261"/>
      <c r="AD44" s="3261"/>
      <c r="AE44" s="3261"/>
      <c r="AF44" s="3261"/>
      <c r="AG44" s="3261"/>
      <c r="AH44" s="3261"/>
      <c r="AI44" s="3261"/>
      <c r="AJ44" s="3261"/>
      <c r="AK44" s="3261"/>
      <c r="AL44" s="3261"/>
      <c r="AM44" s="3261"/>
      <c r="AN44" s="3261"/>
      <c r="AO44" s="3261"/>
      <c r="AP44" s="3261"/>
      <c r="AQ44" s="3261">
        <v>2</v>
      </c>
      <c r="AR44" s="161"/>
      <c r="AS44" s="161"/>
      <c r="AT44" s="161">
        <v>2</v>
      </c>
      <c r="AU44" s="73"/>
      <c r="AY44" s="73"/>
      <c r="AZ44" s="73" t="s">
        <v>1398</v>
      </c>
      <c r="BA44" s="2607"/>
      <c r="BB44" s="2607"/>
      <c r="BC44" s="2607">
        <v>0</v>
      </c>
      <c r="BD44" s="2607"/>
      <c r="BE44" s="2607">
        <v>0</v>
      </c>
      <c r="BF44" s="2607"/>
      <c r="BG44" s="2607">
        <v>2</v>
      </c>
      <c r="BH44" s="2607">
        <v>2</v>
      </c>
      <c r="BI44" s="2607">
        <v>0</v>
      </c>
      <c r="BJ44" s="2607">
        <v>5</v>
      </c>
      <c r="BK44" s="2607">
        <v>0</v>
      </c>
      <c r="BL44" s="2607">
        <v>1</v>
      </c>
      <c r="BM44" s="2607">
        <v>1</v>
      </c>
      <c r="BN44" s="2607">
        <v>0</v>
      </c>
      <c r="BO44" s="2607">
        <v>0</v>
      </c>
      <c r="BP44" s="73"/>
      <c r="BQ44" s="73"/>
      <c r="BR44" s="73">
        <v>11</v>
      </c>
      <c r="BS44" s="73"/>
      <c r="BU44" s="2207"/>
      <c r="BV44" s="2207"/>
      <c r="BW44" s="2207"/>
      <c r="BX44" s="2204" t="s">
        <v>15</v>
      </c>
      <c r="BY44" s="2213"/>
      <c r="BZ44" s="2214">
        <v>2</v>
      </c>
      <c r="CA44" s="2213"/>
      <c r="CB44" s="2213"/>
      <c r="CC44" s="2213"/>
      <c r="CD44" s="2213"/>
      <c r="CE44" s="2213"/>
      <c r="CF44" s="2214">
        <v>1</v>
      </c>
      <c r="CG44" s="2213"/>
      <c r="CH44" s="2213"/>
      <c r="CI44" s="2213"/>
      <c r="CJ44" s="2214">
        <v>1</v>
      </c>
      <c r="CK44" s="2214">
        <v>3</v>
      </c>
      <c r="CL44" s="2216">
        <v>1</v>
      </c>
      <c r="CM44" s="2216">
        <v>4</v>
      </c>
      <c r="CN44" s="2216">
        <v>12</v>
      </c>
      <c r="CO44" s="2154">
        <f>+(CN42-CL42)/CN44</f>
        <v>0</v>
      </c>
      <c r="CQ44" s="955" t="s">
        <v>25</v>
      </c>
      <c r="CR44" s="955" t="s">
        <v>4</v>
      </c>
      <c r="CS44" s="955" t="s">
        <v>121</v>
      </c>
      <c r="CT44" s="956" t="s">
        <v>1288</v>
      </c>
      <c r="CU44" s="957"/>
      <c r="CV44" s="957"/>
      <c r="CW44" s="957"/>
      <c r="CX44" s="957"/>
      <c r="CY44" s="957"/>
      <c r="CZ44" s="957"/>
      <c r="DA44" s="957"/>
      <c r="DB44" s="957"/>
      <c r="DC44" s="957"/>
      <c r="DD44" s="957"/>
      <c r="DE44" s="957"/>
      <c r="DF44" s="957"/>
      <c r="DG44" s="957"/>
      <c r="DH44" s="957"/>
      <c r="DI44" s="958">
        <v>1</v>
      </c>
      <c r="DJ44" s="960">
        <v>0</v>
      </c>
      <c r="DK44" s="959"/>
      <c r="DL44" s="960">
        <v>1</v>
      </c>
      <c r="DM44" s="161"/>
      <c r="DO44" s="788"/>
      <c r="DP44" s="788"/>
      <c r="DQ44" s="788"/>
      <c r="DR44" s="788"/>
      <c r="DS44" s="789" t="s">
        <v>1292</v>
      </c>
      <c r="DT44" s="961"/>
      <c r="DU44" s="961"/>
      <c r="DV44" s="961"/>
      <c r="DW44" s="961"/>
      <c r="DX44" s="961"/>
      <c r="DY44" s="961"/>
      <c r="DZ44" s="961"/>
      <c r="EA44" s="961"/>
      <c r="EB44" s="961"/>
      <c r="EC44" s="961"/>
      <c r="ED44" s="961"/>
      <c r="EE44" s="961"/>
      <c r="EF44" s="961"/>
      <c r="EG44" s="961"/>
      <c r="EH44" s="962">
        <v>1</v>
      </c>
      <c r="EI44" s="963"/>
      <c r="EJ44" s="964">
        <v>1</v>
      </c>
      <c r="EK44" s="964">
        <v>2</v>
      </c>
      <c r="EL44" s="912"/>
      <c r="EM44" s="73"/>
      <c r="EN44" s="965"/>
      <c r="EO44" s="965"/>
      <c r="EP44" s="965"/>
      <c r="EQ44" s="981" t="s">
        <v>15</v>
      </c>
      <c r="ER44" s="982"/>
      <c r="ES44" s="982"/>
      <c r="ET44" s="982"/>
      <c r="EU44" s="982"/>
      <c r="EV44" s="982"/>
      <c r="EW44" s="982"/>
      <c r="EX44" s="982"/>
      <c r="EY44" s="982"/>
      <c r="EZ44" s="982"/>
      <c r="FA44" s="982"/>
      <c r="FB44" s="740">
        <v>1</v>
      </c>
      <c r="FC44" s="982"/>
      <c r="FD44" s="982"/>
      <c r="FE44" s="740">
        <v>1</v>
      </c>
      <c r="FF44" s="905">
        <v>0</v>
      </c>
      <c r="FG44" s="73"/>
      <c r="FH44" s="73"/>
      <c r="FI44" s="161"/>
      <c r="FJ44" s="161"/>
      <c r="FK44" s="73" t="s">
        <v>124</v>
      </c>
      <c r="FL44" s="73" t="s">
        <v>1283</v>
      </c>
      <c r="FM44" s="161"/>
      <c r="FN44" s="161"/>
      <c r="FO44" s="161"/>
      <c r="FP44" s="161"/>
      <c r="FQ44" s="161"/>
      <c r="FR44" s="161"/>
      <c r="FS44" s="161"/>
      <c r="FT44" s="161"/>
      <c r="FU44" s="161">
        <v>0</v>
      </c>
      <c r="FV44" s="161">
        <v>0</v>
      </c>
      <c r="FW44" s="161"/>
      <c r="FX44" s="161">
        <v>0</v>
      </c>
      <c r="FY44" s="161"/>
      <c r="FZ44" s="161">
        <v>1</v>
      </c>
      <c r="GA44" s="161"/>
      <c r="GB44" s="161"/>
      <c r="GC44" s="161">
        <v>1</v>
      </c>
      <c r="GD44" s="73"/>
      <c r="GE44" s="73"/>
      <c r="GF44" s="968"/>
      <c r="GG44" s="968"/>
      <c r="GH44" s="968"/>
      <c r="GI44" s="968" t="s">
        <v>1289</v>
      </c>
      <c r="GJ44" s="968">
        <v>1</v>
      </c>
      <c r="GK44" s="968">
        <v>0</v>
      </c>
      <c r="GL44" s="968">
        <v>0</v>
      </c>
      <c r="GM44" s="968">
        <v>0</v>
      </c>
      <c r="GN44" s="968">
        <v>0</v>
      </c>
      <c r="GO44" s="968">
        <v>0</v>
      </c>
      <c r="GP44" s="968">
        <v>0</v>
      </c>
      <c r="GQ44" s="968">
        <v>0</v>
      </c>
      <c r="GR44" s="968">
        <v>1</v>
      </c>
      <c r="GS44" s="968">
        <v>0</v>
      </c>
      <c r="GT44" s="968">
        <v>1</v>
      </c>
      <c r="GU44" s="968">
        <v>0</v>
      </c>
      <c r="GV44" s="968">
        <v>0</v>
      </c>
      <c r="GW44" s="968">
        <v>0</v>
      </c>
      <c r="GX44" s="968">
        <v>0</v>
      </c>
      <c r="GY44" s="968">
        <v>0</v>
      </c>
      <c r="GZ44" s="968">
        <v>3</v>
      </c>
      <c r="HA44" s="968"/>
      <c r="HB44" s="969"/>
    </row>
    <row r="45" spans="1:210">
      <c r="A45" s="73"/>
      <c r="B45" s="73"/>
      <c r="C45" s="73" t="s">
        <v>1695</v>
      </c>
      <c r="D45" s="73" t="s">
        <v>1284</v>
      </c>
      <c r="E45" s="967"/>
      <c r="F45" s="967"/>
      <c r="G45" s="967"/>
      <c r="H45" s="967"/>
      <c r="I45" s="967"/>
      <c r="J45" s="967"/>
      <c r="K45" s="967"/>
      <c r="L45" s="967">
        <v>1</v>
      </c>
      <c r="M45" s="967"/>
      <c r="N45" s="967">
        <v>1</v>
      </c>
      <c r="O45" s="967">
        <v>1</v>
      </c>
      <c r="P45" s="967">
        <v>1</v>
      </c>
      <c r="Q45" s="967"/>
      <c r="R45" s="967">
        <v>1</v>
      </c>
      <c r="S45" s="967">
        <v>0</v>
      </c>
      <c r="T45" s="73"/>
      <c r="U45" s="73"/>
      <c r="V45" s="73">
        <v>5</v>
      </c>
      <c r="W45" s="73"/>
      <c r="Y45" s="73"/>
      <c r="Z45" s="73"/>
      <c r="AA45" s="73"/>
      <c r="AB45" s="738" t="s">
        <v>15</v>
      </c>
      <c r="AC45" s="3262"/>
      <c r="AD45" s="3262"/>
      <c r="AE45" s="3262"/>
      <c r="AF45" s="3262"/>
      <c r="AG45" s="3262"/>
      <c r="AH45" s="3262"/>
      <c r="AI45" s="3262"/>
      <c r="AJ45" s="3262"/>
      <c r="AK45" s="3262"/>
      <c r="AL45" s="3262"/>
      <c r="AM45" s="3262"/>
      <c r="AN45" s="3262"/>
      <c r="AO45" s="3262"/>
      <c r="AP45" s="3262"/>
      <c r="AQ45" s="3262">
        <v>2</v>
      </c>
      <c r="AR45" s="151"/>
      <c r="AS45" s="151"/>
      <c r="AT45" s="151">
        <v>2</v>
      </c>
      <c r="AU45" s="912">
        <v>0</v>
      </c>
      <c r="AY45" s="73"/>
      <c r="AZ45" s="738" t="s">
        <v>107</v>
      </c>
      <c r="BA45" s="2608"/>
      <c r="BB45" s="2608"/>
      <c r="BC45" s="2608">
        <v>2</v>
      </c>
      <c r="BD45" s="2608"/>
      <c r="BE45" s="2608">
        <v>1</v>
      </c>
      <c r="BF45" s="2608"/>
      <c r="BG45" s="2608">
        <v>5</v>
      </c>
      <c r="BH45" s="2608">
        <v>3</v>
      </c>
      <c r="BI45" s="2608">
        <v>2</v>
      </c>
      <c r="BJ45" s="2608">
        <v>8</v>
      </c>
      <c r="BK45" s="2608">
        <v>5</v>
      </c>
      <c r="BL45" s="2608">
        <v>2</v>
      </c>
      <c r="BM45" s="2608">
        <v>5</v>
      </c>
      <c r="BN45" s="2608">
        <v>5</v>
      </c>
      <c r="BO45" s="2608">
        <v>2</v>
      </c>
      <c r="BP45" s="738"/>
      <c r="BQ45" s="738"/>
      <c r="BR45" s="738">
        <v>40</v>
      </c>
      <c r="BS45" s="912">
        <f>+(BR43+BR44)/BR45</f>
        <v>0.35</v>
      </c>
      <c r="BU45" s="2207"/>
      <c r="BV45" s="2207"/>
      <c r="BW45" s="2207" t="s">
        <v>124</v>
      </c>
      <c r="BX45" s="2208" t="s">
        <v>1284</v>
      </c>
      <c r="BY45" s="2209"/>
      <c r="BZ45" s="2209"/>
      <c r="CA45" s="2209"/>
      <c r="CB45" s="2209"/>
      <c r="CC45" s="2210">
        <v>1</v>
      </c>
      <c r="CD45" s="2210">
        <v>1</v>
      </c>
      <c r="CE45" s="2209"/>
      <c r="CF45" s="2209"/>
      <c r="CG45" s="2209"/>
      <c r="CH45" s="2209"/>
      <c r="CI45" s="2210">
        <v>0</v>
      </c>
      <c r="CJ45" s="2210">
        <v>1</v>
      </c>
      <c r="CK45" s="2210">
        <v>0</v>
      </c>
      <c r="CL45" s="2212">
        <v>0</v>
      </c>
      <c r="CM45" s="2212">
        <v>0</v>
      </c>
      <c r="CN45" s="2212">
        <v>3</v>
      </c>
      <c r="CO45" s="73"/>
      <c r="CQ45" s="955"/>
      <c r="CR45" s="955"/>
      <c r="CS45" s="955"/>
      <c r="CT45" s="956" t="s">
        <v>1292</v>
      </c>
      <c r="CU45" s="957"/>
      <c r="CV45" s="957"/>
      <c r="CW45" s="957"/>
      <c r="CX45" s="957"/>
      <c r="CY45" s="957"/>
      <c r="CZ45" s="957"/>
      <c r="DA45" s="957"/>
      <c r="DB45" s="957"/>
      <c r="DC45" s="957"/>
      <c r="DD45" s="957"/>
      <c r="DE45" s="957"/>
      <c r="DF45" s="957"/>
      <c r="DG45" s="957"/>
      <c r="DH45" s="957"/>
      <c r="DI45" s="958">
        <v>0</v>
      </c>
      <c r="DJ45" s="960">
        <v>1</v>
      </c>
      <c r="DK45" s="959"/>
      <c r="DL45" s="960">
        <v>1</v>
      </c>
      <c r="DM45" s="161"/>
      <c r="DO45" s="788"/>
      <c r="DP45" s="788"/>
      <c r="DQ45" s="788"/>
      <c r="DR45" s="788"/>
      <c r="DS45" s="789" t="s">
        <v>1398</v>
      </c>
      <c r="DT45" s="961"/>
      <c r="DU45" s="961"/>
      <c r="DV45" s="961"/>
      <c r="DW45" s="961"/>
      <c r="DX45" s="961"/>
      <c r="DY45" s="961"/>
      <c r="DZ45" s="961"/>
      <c r="EA45" s="961"/>
      <c r="EB45" s="961"/>
      <c r="EC45" s="961"/>
      <c r="ED45" s="961"/>
      <c r="EE45" s="961"/>
      <c r="EF45" s="961"/>
      <c r="EG45" s="961"/>
      <c r="EH45" s="962">
        <v>1</v>
      </c>
      <c r="EI45" s="963"/>
      <c r="EJ45" s="964">
        <v>0</v>
      </c>
      <c r="EK45" s="964">
        <v>1</v>
      </c>
      <c r="EL45" s="912"/>
      <c r="EM45" s="73"/>
      <c r="EN45" s="965"/>
      <c r="EO45" s="965" t="s">
        <v>16</v>
      </c>
      <c r="EP45" s="965" t="s">
        <v>108</v>
      </c>
      <c r="EQ45" s="734" t="s">
        <v>1284</v>
      </c>
      <c r="ER45" s="966"/>
      <c r="ES45" s="966"/>
      <c r="ET45" s="966"/>
      <c r="EU45" s="966"/>
      <c r="EV45" s="966"/>
      <c r="EW45" s="735">
        <v>1</v>
      </c>
      <c r="EX45" s="735">
        <v>1</v>
      </c>
      <c r="EY45" s="735">
        <v>1</v>
      </c>
      <c r="EZ45" s="966"/>
      <c r="FA45" s="735">
        <v>0</v>
      </c>
      <c r="FB45" s="735">
        <v>0</v>
      </c>
      <c r="FC45" s="735">
        <v>0</v>
      </c>
      <c r="FD45" s="735">
        <v>0</v>
      </c>
      <c r="FE45" s="735">
        <v>3</v>
      </c>
      <c r="FF45" s="967"/>
      <c r="FG45" s="73"/>
      <c r="FH45" s="73"/>
      <c r="FI45" s="161"/>
      <c r="FJ45" s="161"/>
      <c r="FK45" s="73"/>
      <c r="FL45" s="73" t="s">
        <v>1284</v>
      </c>
      <c r="FM45" s="161"/>
      <c r="FN45" s="161"/>
      <c r="FO45" s="161"/>
      <c r="FP45" s="161"/>
      <c r="FQ45" s="161"/>
      <c r="FR45" s="161"/>
      <c r="FS45" s="161"/>
      <c r="FT45" s="161"/>
      <c r="FU45" s="161">
        <v>1</v>
      </c>
      <c r="FV45" s="161">
        <v>0</v>
      </c>
      <c r="FW45" s="161"/>
      <c r="FX45" s="161">
        <v>0</v>
      </c>
      <c r="FY45" s="161"/>
      <c r="FZ45" s="161">
        <v>0</v>
      </c>
      <c r="GA45" s="161"/>
      <c r="GB45" s="161"/>
      <c r="GC45" s="161">
        <v>1</v>
      </c>
      <c r="GD45" s="73"/>
      <c r="GE45" s="73"/>
      <c r="GF45" s="968"/>
      <c r="GG45" s="968"/>
      <c r="GH45" s="968"/>
      <c r="GI45" s="979" t="s">
        <v>15</v>
      </c>
      <c r="GJ45" s="979">
        <v>1</v>
      </c>
      <c r="GK45" s="979">
        <v>0</v>
      </c>
      <c r="GL45" s="979">
        <v>0</v>
      </c>
      <c r="GM45" s="979">
        <v>0</v>
      </c>
      <c r="GN45" s="979">
        <v>0</v>
      </c>
      <c r="GO45" s="979">
        <v>1</v>
      </c>
      <c r="GP45" s="979">
        <v>0</v>
      </c>
      <c r="GQ45" s="979">
        <v>1</v>
      </c>
      <c r="GR45" s="979">
        <v>2</v>
      </c>
      <c r="GS45" s="979">
        <v>1</v>
      </c>
      <c r="GT45" s="979">
        <v>1</v>
      </c>
      <c r="GU45" s="979">
        <v>1</v>
      </c>
      <c r="GV45" s="979">
        <v>0</v>
      </c>
      <c r="GW45" s="979">
        <v>0</v>
      </c>
      <c r="GX45" s="979">
        <v>0</v>
      </c>
      <c r="GY45" s="979">
        <v>0</v>
      </c>
      <c r="GZ45" s="979">
        <v>8</v>
      </c>
      <c r="HA45" s="980">
        <f>+GZ43/GZ45</f>
        <v>0.25</v>
      </c>
      <c r="HB45" s="969">
        <f>+GZ43</f>
        <v>2</v>
      </c>
    </row>
    <row r="46" spans="1:210">
      <c r="A46" s="73"/>
      <c r="B46" s="73"/>
      <c r="C46" s="73"/>
      <c r="D46" s="73" t="s">
        <v>1288</v>
      </c>
      <c r="E46" s="967"/>
      <c r="F46" s="967"/>
      <c r="G46" s="967"/>
      <c r="H46" s="967"/>
      <c r="I46" s="967"/>
      <c r="J46" s="967"/>
      <c r="K46" s="967"/>
      <c r="L46" s="967">
        <v>0</v>
      </c>
      <c r="M46" s="967"/>
      <c r="N46" s="967">
        <v>1</v>
      </c>
      <c r="O46" s="967">
        <v>0</v>
      </c>
      <c r="P46" s="967">
        <v>0</v>
      </c>
      <c r="Q46" s="967"/>
      <c r="R46" s="967">
        <v>0</v>
      </c>
      <c r="S46" s="967">
        <v>0</v>
      </c>
      <c r="T46" s="73"/>
      <c r="U46" s="73"/>
      <c r="V46" s="73">
        <v>1</v>
      </c>
      <c r="W46" s="73"/>
      <c r="Y46" s="73"/>
      <c r="Z46" s="73"/>
      <c r="AA46" s="73" t="s">
        <v>122</v>
      </c>
      <c r="AB46" s="73" t="s">
        <v>1284</v>
      </c>
      <c r="AC46" s="3261"/>
      <c r="AD46" s="3261"/>
      <c r="AE46" s="3261"/>
      <c r="AF46" s="3261"/>
      <c r="AG46" s="3261">
        <v>1</v>
      </c>
      <c r="AH46" s="3261"/>
      <c r="AI46" s="3261">
        <v>1</v>
      </c>
      <c r="AJ46" s="3261"/>
      <c r="AK46" s="3261"/>
      <c r="AL46" s="3261"/>
      <c r="AM46" s="3261"/>
      <c r="AN46" s="3261">
        <v>0</v>
      </c>
      <c r="AO46" s="3261">
        <v>0</v>
      </c>
      <c r="AP46" s="3261"/>
      <c r="AQ46" s="3261">
        <v>0</v>
      </c>
      <c r="AR46" s="161">
        <v>1</v>
      </c>
      <c r="AS46" s="161">
        <v>0</v>
      </c>
      <c r="AT46" s="161">
        <v>3</v>
      </c>
      <c r="AU46" s="73"/>
      <c r="AW46" s="161" t="s">
        <v>25</v>
      </c>
      <c r="AX46" s="161" t="s">
        <v>4</v>
      </c>
      <c r="AY46" s="73" t="s">
        <v>121</v>
      </c>
      <c r="AZ46" s="73" t="s">
        <v>1398</v>
      </c>
      <c r="BA46" s="2607"/>
      <c r="BB46" s="2607"/>
      <c r="BC46" s="2607"/>
      <c r="BD46" s="2607"/>
      <c r="BE46" s="2607"/>
      <c r="BF46" s="2607"/>
      <c r="BG46" s="2607"/>
      <c r="BH46" s="2607"/>
      <c r="BI46" s="2607"/>
      <c r="BJ46" s="2607"/>
      <c r="BK46" s="2607"/>
      <c r="BL46" s="2607"/>
      <c r="BM46" s="2607"/>
      <c r="BN46" s="2607">
        <v>1</v>
      </c>
      <c r="BO46" s="2607"/>
      <c r="BP46" s="73"/>
      <c r="BQ46" s="73"/>
      <c r="BR46" s="73">
        <v>1</v>
      </c>
      <c r="BS46" s="73"/>
      <c r="BU46" s="2207"/>
      <c r="BV46" s="2207"/>
      <c r="BW46" s="2207"/>
      <c r="BX46" s="2208" t="s">
        <v>1292</v>
      </c>
      <c r="BY46" s="2209"/>
      <c r="BZ46" s="2209"/>
      <c r="CA46" s="2209"/>
      <c r="CB46" s="2209"/>
      <c r="CC46" s="2210">
        <v>0</v>
      </c>
      <c r="CD46" s="2210">
        <v>0</v>
      </c>
      <c r="CE46" s="2209"/>
      <c r="CF46" s="2209"/>
      <c r="CG46" s="2209"/>
      <c r="CH46" s="2209"/>
      <c r="CI46" s="2210">
        <v>0</v>
      </c>
      <c r="CJ46" s="2210">
        <v>0</v>
      </c>
      <c r="CK46" s="2210">
        <v>6</v>
      </c>
      <c r="CL46" s="2212">
        <v>1</v>
      </c>
      <c r="CM46" s="2212">
        <v>3</v>
      </c>
      <c r="CN46" s="2212">
        <v>10</v>
      </c>
      <c r="CO46" s="73"/>
      <c r="CQ46" s="955"/>
      <c r="CR46" s="955"/>
      <c r="CS46" s="955"/>
      <c r="CT46" s="974" t="s">
        <v>15</v>
      </c>
      <c r="CU46" s="975"/>
      <c r="CV46" s="975"/>
      <c r="CW46" s="975"/>
      <c r="CX46" s="975"/>
      <c r="CY46" s="975"/>
      <c r="CZ46" s="975"/>
      <c r="DA46" s="975"/>
      <c r="DB46" s="975"/>
      <c r="DC46" s="975"/>
      <c r="DD46" s="975"/>
      <c r="DE46" s="975"/>
      <c r="DF46" s="975"/>
      <c r="DG46" s="975"/>
      <c r="DH46" s="975"/>
      <c r="DI46" s="976">
        <v>1</v>
      </c>
      <c r="DJ46" s="978">
        <v>1</v>
      </c>
      <c r="DK46" s="977"/>
      <c r="DL46" s="978">
        <v>2</v>
      </c>
      <c r="DM46" s="912">
        <f>+DL44/DL46</f>
        <v>0.5</v>
      </c>
      <c r="DO46" s="788"/>
      <c r="DP46" s="788"/>
      <c r="DQ46" s="788"/>
      <c r="DR46" s="73"/>
      <c r="DS46" s="809" t="s">
        <v>15</v>
      </c>
      <c r="DT46" s="970"/>
      <c r="DU46" s="970"/>
      <c r="DV46" s="970"/>
      <c r="DW46" s="970"/>
      <c r="DX46" s="970"/>
      <c r="DY46" s="970"/>
      <c r="DZ46" s="970"/>
      <c r="EA46" s="970"/>
      <c r="EB46" s="970"/>
      <c r="EC46" s="970"/>
      <c r="ED46" s="970"/>
      <c r="EE46" s="970"/>
      <c r="EF46" s="970"/>
      <c r="EG46" s="970"/>
      <c r="EH46" s="971">
        <v>4</v>
      </c>
      <c r="EI46" s="972"/>
      <c r="EJ46" s="973">
        <v>1</v>
      </c>
      <c r="EK46" s="973">
        <v>5</v>
      </c>
      <c r="EL46" s="912">
        <f>+EK45/EK46</f>
        <v>0.2</v>
      </c>
      <c r="EM46" s="73"/>
      <c r="EN46" s="965"/>
      <c r="EO46" s="965"/>
      <c r="EP46" s="965"/>
      <c r="EQ46" s="734" t="s">
        <v>1288</v>
      </c>
      <c r="ER46" s="966"/>
      <c r="ES46" s="966"/>
      <c r="ET46" s="966"/>
      <c r="EU46" s="966"/>
      <c r="EV46" s="966"/>
      <c r="EW46" s="735">
        <v>1</v>
      </c>
      <c r="EX46" s="735">
        <v>1</v>
      </c>
      <c r="EY46" s="735">
        <v>0</v>
      </c>
      <c r="EZ46" s="966"/>
      <c r="FA46" s="735">
        <v>1</v>
      </c>
      <c r="FB46" s="735">
        <v>1</v>
      </c>
      <c r="FC46" s="735">
        <v>0</v>
      </c>
      <c r="FD46" s="735">
        <v>0</v>
      </c>
      <c r="FE46" s="735">
        <v>4</v>
      </c>
      <c r="FF46" s="967"/>
      <c r="FG46" s="73"/>
      <c r="FH46" s="73"/>
      <c r="FI46" s="161"/>
      <c r="FJ46" s="161"/>
      <c r="FK46" s="73"/>
      <c r="FL46" s="73" t="s">
        <v>1292</v>
      </c>
      <c r="FM46" s="161"/>
      <c r="FN46" s="161"/>
      <c r="FO46" s="161"/>
      <c r="FP46" s="161"/>
      <c r="FQ46" s="161"/>
      <c r="FR46" s="161"/>
      <c r="FS46" s="161"/>
      <c r="FT46" s="161"/>
      <c r="FU46" s="161">
        <v>0</v>
      </c>
      <c r="FV46" s="161">
        <v>0</v>
      </c>
      <c r="FW46" s="161"/>
      <c r="FX46" s="161">
        <v>0</v>
      </c>
      <c r="FY46" s="161"/>
      <c r="FZ46" s="161">
        <v>1</v>
      </c>
      <c r="GA46" s="161"/>
      <c r="GB46" s="161"/>
      <c r="GC46" s="161">
        <v>1</v>
      </c>
      <c r="GD46" s="73"/>
      <c r="GE46" s="73"/>
      <c r="GF46" s="968"/>
      <c r="GG46" s="968"/>
      <c r="GH46" s="968" t="s">
        <v>126</v>
      </c>
      <c r="GI46" s="968" t="s">
        <v>1284</v>
      </c>
      <c r="GJ46" s="968">
        <v>0</v>
      </c>
      <c r="GK46" s="968">
        <v>0</v>
      </c>
      <c r="GL46" s="968">
        <v>0</v>
      </c>
      <c r="GM46" s="968">
        <v>0</v>
      </c>
      <c r="GN46" s="968">
        <v>0</v>
      </c>
      <c r="GO46" s="968">
        <v>0</v>
      </c>
      <c r="GP46" s="968">
        <v>0</v>
      </c>
      <c r="GQ46" s="968">
        <v>0</v>
      </c>
      <c r="GR46" s="968">
        <v>2</v>
      </c>
      <c r="GS46" s="968">
        <v>0</v>
      </c>
      <c r="GT46" s="968">
        <v>0</v>
      </c>
      <c r="GU46" s="968">
        <v>0</v>
      </c>
      <c r="GV46" s="968">
        <v>0</v>
      </c>
      <c r="GW46" s="968">
        <v>0</v>
      </c>
      <c r="GX46" s="968">
        <v>0</v>
      </c>
      <c r="GY46" s="968">
        <v>0</v>
      </c>
      <c r="GZ46" s="968">
        <v>2</v>
      </c>
      <c r="HA46" s="968"/>
      <c r="HB46" s="969"/>
    </row>
    <row r="47" spans="1:210">
      <c r="A47" s="73"/>
      <c r="B47" s="73"/>
      <c r="C47" s="73"/>
      <c r="D47" s="73" t="s">
        <v>1292</v>
      </c>
      <c r="E47" s="967"/>
      <c r="F47" s="967"/>
      <c r="G47" s="967"/>
      <c r="H47" s="967"/>
      <c r="I47" s="967"/>
      <c r="J47" s="967"/>
      <c r="K47" s="967"/>
      <c r="L47" s="967">
        <v>0</v>
      </c>
      <c r="M47" s="967"/>
      <c r="N47" s="967">
        <v>0</v>
      </c>
      <c r="O47" s="967">
        <v>0</v>
      </c>
      <c r="P47" s="967">
        <v>1</v>
      </c>
      <c r="Q47" s="967"/>
      <c r="R47" s="967">
        <v>1</v>
      </c>
      <c r="S47" s="967">
        <v>3</v>
      </c>
      <c r="T47" s="73"/>
      <c r="U47" s="73"/>
      <c r="V47" s="73">
        <v>5</v>
      </c>
      <c r="W47" s="73"/>
      <c r="Y47" s="73"/>
      <c r="Z47" s="73"/>
      <c r="AA47" s="73"/>
      <c r="AB47" s="73" t="s">
        <v>1288</v>
      </c>
      <c r="AC47" s="3261"/>
      <c r="AD47" s="3261"/>
      <c r="AE47" s="3261"/>
      <c r="AF47" s="3261"/>
      <c r="AG47" s="3261">
        <v>0</v>
      </c>
      <c r="AH47" s="3261"/>
      <c r="AI47" s="3261">
        <v>0</v>
      </c>
      <c r="AJ47" s="3261"/>
      <c r="AK47" s="3261"/>
      <c r="AL47" s="3261"/>
      <c r="AM47" s="3261"/>
      <c r="AN47" s="3261">
        <v>0</v>
      </c>
      <c r="AO47" s="3261">
        <v>1</v>
      </c>
      <c r="AP47" s="3261"/>
      <c r="AQ47" s="3261">
        <v>0</v>
      </c>
      <c r="AR47" s="161">
        <v>0</v>
      </c>
      <c r="AS47" s="161">
        <v>0</v>
      </c>
      <c r="AT47" s="161">
        <v>1</v>
      </c>
      <c r="AU47" s="73"/>
      <c r="AY47" s="73"/>
      <c r="AZ47" s="738" t="s">
        <v>15</v>
      </c>
      <c r="BA47" s="2608"/>
      <c r="BB47" s="2608"/>
      <c r="BC47" s="2608"/>
      <c r="BD47" s="2608"/>
      <c r="BE47" s="2608"/>
      <c r="BF47" s="2608"/>
      <c r="BG47" s="2608"/>
      <c r="BH47" s="2608"/>
      <c r="BI47" s="2608"/>
      <c r="BJ47" s="2608"/>
      <c r="BK47" s="2608"/>
      <c r="BL47" s="2608"/>
      <c r="BM47" s="2608"/>
      <c r="BN47" s="2608">
        <v>1</v>
      </c>
      <c r="BO47" s="2608"/>
      <c r="BP47" s="738"/>
      <c r="BQ47" s="738"/>
      <c r="BR47" s="738">
        <v>1</v>
      </c>
      <c r="BS47" s="912">
        <f>+BR46/BR47</f>
        <v>1</v>
      </c>
      <c r="BU47" s="2207"/>
      <c r="BV47" s="2207"/>
      <c r="BW47" s="2207"/>
      <c r="BX47" s="2208" t="s">
        <v>1398</v>
      </c>
      <c r="BY47" s="2209"/>
      <c r="BZ47" s="2209"/>
      <c r="CA47" s="2209"/>
      <c r="CB47" s="2209"/>
      <c r="CC47" s="2210">
        <v>0</v>
      </c>
      <c r="CD47" s="2210">
        <v>0</v>
      </c>
      <c r="CE47" s="2209"/>
      <c r="CF47" s="2209"/>
      <c r="CG47" s="2209"/>
      <c r="CH47" s="2209"/>
      <c r="CI47" s="2210">
        <v>1</v>
      </c>
      <c r="CJ47" s="2210">
        <v>1</v>
      </c>
      <c r="CK47" s="2210">
        <v>0</v>
      </c>
      <c r="CL47" s="2212">
        <v>0</v>
      </c>
      <c r="CM47" s="2212">
        <v>0</v>
      </c>
      <c r="CN47" s="2212">
        <v>2</v>
      </c>
      <c r="CO47" s="73"/>
      <c r="CQ47" s="955"/>
      <c r="CR47" s="955"/>
      <c r="CS47" s="955" t="s">
        <v>122</v>
      </c>
      <c r="CT47" s="956" t="s">
        <v>1284</v>
      </c>
      <c r="CU47" s="957"/>
      <c r="CV47" s="957"/>
      <c r="CW47" s="957"/>
      <c r="CX47" s="957"/>
      <c r="CY47" s="957"/>
      <c r="CZ47" s="957"/>
      <c r="DA47" s="957"/>
      <c r="DB47" s="958">
        <v>1</v>
      </c>
      <c r="DC47" s="957"/>
      <c r="DD47" s="957"/>
      <c r="DE47" s="957"/>
      <c r="DF47" s="958">
        <v>1</v>
      </c>
      <c r="DG47" s="958">
        <v>1</v>
      </c>
      <c r="DH47" s="958">
        <v>2</v>
      </c>
      <c r="DI47" s="958">
        <v>0</v>
      </c>
      <c r="DJ47" s="960">
        <v>0</v>
      </c>
      <c r="DK47" s="960">
        <v>0</v>
      </c>
      <c r="DL47" s="960">
        <v>5</v>
      </c>
      <c r="DM47" s="161"/>
      <c r="DO47" s="788"/>
      <c r="DP47" s="788"/>
      <c r="DQ47" s="788" t="s">
        <v>122</v>
      </c>
      <c r="DR47" s="788" t="s">
        <v>1282</v>
      </c>
      <c r="DS47" s="789" t="s">
        <v>1283</v>
      </c>
      <c r="DT47" s="961"/>
      <c r="DU47" s="961"/>
      <c r="DV47" s="961"/>
      <c r="DW47" s="962">
        <v>0</v>
      </c>
      <c r="DX47" s="961"/>
      <c r="DY47" s="961"/>
      <c r="DZ47" s="961"/>
      <c r="EA47" s="961"/>
      <c r="EB47" s="961"/>
      <c r="EC47" s="961"/>
      <c r="ED47" s="961"/>
      <c r="EE47" s="961"/>
      <c r="EF47" s="961"/>
      <c r="EG47" s="962">
        <v>0</v>
      </c>
      <c r="EH47" s="962">
        <v>0</v>
      </c>
      <c r="EI47" s="964">
        <v>1</v>
      </c>
      <c r="EJ47" s="964">
        <v>0</v>
      </c>
      <c r="EK47" s="964">
        <v>1</v>
      </c>
      <c r="EL47" s="912"/>
      <c r="EM47" s="73"/>
      <c r="EN47" s="965"/>
      <c r="EO47" s="965"/>
      <c r="EP47" s="965"/>
      <c r="EQ47" s="734" t="s">
        <v>1292</v>
      </c>
      <c r="ER47" s="966"/>
      <c r="ES47" s="966"/>
      <c r="ET47" s="966"/>
      <c r="EU47" s="966"/>
      <c r="EV47" s="966"/>
      <c r="EW47" s="735">
        <v>0</v>
      </c>
      <c r="EX47" s="735">
        <v>0</v>
      </c>
      <c r="EY47" s="735">
        <v>0</v>
      </c>
      <c r="EZ47" s="966"/>
      <c r="FA47" s="735">
        <v>1</v>
      </c>
      <c r="FB47" s="735">
        <v>2</v>
      </c>
      <c r="FC47" s="735">
        <v>1</v>
      </c>
      <c r="FD47" s="735">
        <v>2</v>
      </c>
      <c r="FE47" s="735">
        <v>6</v>
      </c>
      <c r="FF47" s="967"/>
      <c r="FG47" s="73"/>
      <c r="FH47" s="73"/>
      <c r="FI47" s="161"/>
      <c r="FJ47" s="161"/>
      <c r="FK47" s="73"/>
      <c r="FL47" s="73" t="s">
        <v>1398</v>
      </c>
      <c r="FM47" s="161"/>
      <c r="FN47" s="161"/>
      <c r="FO47" s="161"/>
      <c r="FP47" s="161"/>
      <c r="FQ47" s="161"/>
      <c r="FR47" s="161"/>
      <c r="FS47" s="161"/>
      <c r="FT47" s="161"/>
      <c r="FU47" s="161">
        <v>0</v>
      </c>
      <c r="FV47" s="161">
        <v>1</v>
      </c>
      <c r="FW47" s="161"/>
      <c r="FX47" s="161">
        <v>2</v>
      </c>
      <c r="FY47" s="161"/>
      <c r="FZ47" s="161">
        <v>0</v>
      </c>
      <c r="GA47" s="161"/>
      <c r="GB47" s="161"/>
      <c r="GC47" s="161">
        <v>3</v>
      </c>
      <c r="GD47" s="73"/>
      <c r="GE47" s="73"/>
      <c r="GF47" s="968"/>
      <c r="GG47" s="968"/>
      <c r="GH47" s="968"/>
      <c r="GI47" s="968" t="s">
        <v>1288</v>
      </c>
      <c r="GJ47" s="968">
        <v>0</v>
      </c>
      <c r="GK47" s="968">
        <v>0</v>
      </c>
      <c r="GL47" s="968">
        <v>0</v>
      </c>
      <c r="GM47" s="968">
        <v>0</v>
      </c>
      <c r="GN47" s="968">
        <v>0</v>
      </c>
      <c r="GO47" s="968">
        <v>0</v>
      </c>
      <c r="GP47" s="968">
        <v>0</v>
      </c>
      <c r="GQ47" s="968">
        <v>0</v>
      </c>
      <c r="GR47" s="968">
        <v>1</v>
      </c>
      <c r="GS47" s="968">
        <v>1</v>
      </c>
      <c r="GT47" s="968">
        <v>0</v>
      </c>
      <c r="GU47" s="968">
        <v>2</v>
      </c>
      <c r="GV47" s="968">
        <v>0</v>
      </c>
      <c r="GW47" s="968">
        <v>0</v>
      </c>
      <c r="GX47" s="968">
        <v>0</v>
      </c>
      <c r="GY47" s="968">
        <v>0</v>
      </c>
      <c r="GZ47" s="968">
        <v>4</v>
      </c>
      <c r="HA47" s="968"/>
      <c r="HB47" s="969"/>
    </row>
    <row r="48" spans="1:210">
      <c r="A48" s="73"/>
      <c r="B48" s="73"/>
      <c r="C48" s="73"/>
      <c r="D48" s="73" t="s">
        <v>1293</v>
      </c>
      <c r="E48" s="967"/>
      <c r="F48" s="967"/>
      <c r="G48" s="967"/>
      <c r="H48" s="967"/>
      <c r="I48" s="967"/>
      <c r="J48" s="967"/>
      <c r="K48" s="967"/>
      <c r="L48" s="967">
        <v>0</v>
      </c>
      <c r="M48" s="967"/>
      <c r="N48" s="967">
        <v>1</v>
      </c>
      <c r="O48" s="967">
        <v>0</v>
      </c>
      <c r="P48" s="967">
        <v>0</v>
      </c>
      <c r="Q48" s="967"/>
      <c r="R48" s="967">
        <v>0</v>
      </c>
      <c r="S48" s="967">
        <v>0</v>
      </c>
      <c r="T48" s="73"/>
      <c r="U48" s="73"/>
      <c r="V48" s="73">
        <v>1</v>
      </c>
      <c r="W48" s="73"/>
      <c r="Y48" s="73"/>
      <c r="Z48" s="73"/>
      <c r="AA48" s="73"/>
      <c r="AB48" s="73" t="s">
        <v>1292</v>
      </c>
      <c r="AC48" s="3261"/>
      <c r="AD48" s="3261"/>
      <c r="AE48" s="3261"/>
      <c r="AF48" s="3261"/>
      <c r="AG48" s="3261">
        <v>0</v>
      </c>
      <c r="AH48" s="3261"/>
      <c r="AI48" s="3261">
        <v>0</v>
      </c>
      <c r="AJ48" s="3261"/>
      <c r="AK48" s="3261"/>
      <c r="AL48" s="3261"/>
      <c r="AM48" s="3261"/>
      <c r="AN48" s="3261">
        <v>0</v>
      </c>
      <c r="AO48" s="3261">
        <v>0</v>
      </c>
      <c r="AP48" s="3261"/>
      <c r="AQ48" s="3261">
        <v>2</v>
      </c>
      <c r="AR48" s="161">
        <v>1</v>
      </c>
      <c r="AS48" s="161">
        <v>1</v>
      </c>
      <c r="AT48" s="161">
        <v>4</v>
      </c>
      <c r="AU48" s="73"/>
      <c r="AY48" s="73" t="s">
        <v>122</v>
      </c>
      <c r="AZ48" s="73" t="s">
        <v>1284</v>
      </c>
      <c r="BA48" s="2607"/>
      <c r="BB48" s="2607"/>
      <c r="BC48" s="2607"/>
      <c r="BD48" s="2607"/>
      <c r="BE48" s="2607"/>
      <c r="BF48" s="2607">
        <v>1</v>
      </c>
      <c r="BG48" s="2607"/>
      <c r="BH48" s="2607"/>
      <c r="BI48" s="2607"/>
      <c r="BJ48" s="2607"/>
      <c r="BK48" s="2607"/>
      <c r="BL48" s="2607"/>
      <c r="BM48" s="2607">
        <v>0</v>
      </c>
      <c r="BN48" s="2607">
        <v>0</v>
      </c>
      <c r="BO48" s="2607">
        <v>0</v>
      </c>
      <c r="BP48" s="73">
        <v>1</v>
      </c>
      <c r="BQ48" s="73">
        <v>0</v>
      </c>
      <c r="BR48" s="73">
        <v>2</v>
      </c>
      <c r="BS48" s="73"/>
      <c r="BU48" s="2207"/>
      <c r="BV48" s="2207"/>
      <c r="BW48" s="2207"/>
      <c r="BX48" s="2204" t="s">
        <v>15</v>
      </c>
      <c r="BY48" s="2213"/>
      <c r="BZ48" s="2213"/>
      <c r="CA48" s="2213"/>
      <c r="CB48" s="2213"/>
      <c r="CC48" s="2214">
        <v>1</v>
      </c>
      <c r="CD48" s="2214">
        <v>1</v>
      </c>
      <c r="CE48" s="2213"/>
      <c r="CF48" s="2213"/>
      <c r="CG48" s="2213"/>
      <c r="CH48" s="2213"/>
      <c r="CI48" s="2214">
        <v>1</v>
      </c>
      <c r="CJ48" s="2214">
        <v>2</v>
      </c>
      <c r="CK48" s="2214">
        <v>6</v>
      </c>
      <c r="CL48" s="2216">
        <v>1</v>
      </c>
      <c r="CM48" s="2216">
        <v>3</v>
      </c>
      <c r="CN48" s="2216">
        <v>15</v>
      </c>
      <c r="CO48" s="2154">
        <f>+CN47/CN48</f>
        <v>0.13333333333333333</v>
      </c>
      <c r="CQ48" s="955"/>
      <c r="CR48" s="955"/>
      <c r="CS48" s="955"/>
      <c r="CT48" s="956" t="s">
        <v>1288</v>
      </c>
      <c r="CU48" s="957"/>
      <c r="CV48" s="957"/>
      <c r="CW48" s="957"/>
      <c r="CX48" s="957"/>
      <c r="CY48" s="957"/>
      <c r="CZ48" s="957"/>
      <c r="DA48" s="957"/>
      <c r="DB48" s="958">
        <v>0</v>
      </c>
      <c r="DC48" s="957"/>
      <c r="DD48" s="957"/>
      <c r="DE48" s="957"/>
      <c r="DF48" s="958">
        <v>0</v>
      </c>
      <c r="DG48" s="958">
        <v>1</v>
      </c>
      <c r="DH48" s="958">
        <v>0</v>
      </c>
      <c r="DI48" s="958">
        <v>0</v>
      </c>
      <c r="DJ48" s="960">
        <v>0</v>
      </c>
      <c r="DK48" s="960">
        <v>0</v>
      </c>
      <c r="DL48" s="960">
        <v>1</v>
      </c>
      <c r="DM48" s="161"/>
      <c r="DO48" s="788"/>
      <c r="DP48" s="788"/>
      <c r="DQ48" s="788"/>
      <c r="DR48" s="788"/>
      <c r="DS48" s="789" t="s">
        <v>1284</v>
      </c>
      <c r="DT48" s="961"/>
      <c r="DU48" s="961"/>
      <c r="DV48" s="961"/>
      <c r="DW48" s="962">
        <v>1</v>
      </c>
      <c r="DX48" s="961"/>
      <c r="DY48" s="961"/>
      <c r="DZ48" s="961"/>
      <c r="EA48" s="961"/>
      <c r="EB48" s="961"/>
      <c r="EC48" s="961"/>
      <c r="ED48" s="961"/>
      <c r="EE48" s="961"/>
      <c r="EF48" s="961"/>
      <c r="EG48" s="962">
        <v>0</v>
      </c>
      <c r="EH48" s="962">
        <v>0</v>
      </c>
      <c r="EI48" s="964">
        <v>0</v>
      </c>
      <c r="EJ48" s="964">
        <v>0</v>
      </c>
      <c r="EK48" s="964">
        <v>1</v>
      </c>
      <c r="EL48" s="912"/>
      <c r="EM48" s="73"/>
      <c r="EN48" s="965"/>
      <c r="EO48" s="965"/>
      <c r="EP48" s="965"/>
      <c r="EQ48" s="981" t="s">
        <v>15</v>
      </c>
      <c r="ER48" s="982"/>
      <c r="ES48" s="982"/>
      <c r="ET48" s="982"/>
      <c r="EU48" s="982"/>
      <c r="EV48" s="982"/>
      <c r="EW48" s="740">
        <v>2</v>
      </c>
      <c r="EX48" s="740">
        <v>2</v>
      </c>
      <c r="EY48" s="740">
        <v>1</v>
      </c>
      <c r="EZ48" s="982"/>
      <c r="FA48" s="740">
        <v>2</v>
      </c>
      <c r="FB48" s="740">
        <v>3</v>
      </c>
      <c r="FC48" s="740">
        <v>1</v>
      </c>
      <c r="FD48" s="740">
        <v>2</v>
      </c>
      <c r="FE48" s="740">
        <v>13</v>
      </c>
      <c r="FF48" s="905">
        <f>+FE46/FE48</f>
        <v>0.30769230769230771</v>
      </c>
      <c r="FG48" s="73"/>
      <c r="FH48" s="73"/>
      <c r="FI48" s="161"/>
      <c r="FJ48" s="161"/>
      <c r="FK48" s="73"/>
      <c r="FL48" s="738" t="s">
        <v>15</v>
      </c>
      <c r="FM48" s="151"/>
      <c r="FN48" s="151"/>
      <c r="FO48" s="151"/>
      <c r="FP48" s="151"/>
      <c r="FQ48" s="151"/>
      <c r="FR48" s="151"/>
      <c r="FS48" s="151"/>
      <c r="FT48" s="151"/>
      <c r="FU48" s="151">
        <v>1</v>
      </c>
      <c r="FV48" s="151">
        <v>1</v>
      </c>
      <c r="FW48" s="151"/>
      <c r="FX48" s="151">
        <v>2</v>
      </c>
      <c r="FY48" s="151"/>
      <c r="FZ48" s="151">
        <v>2</v>
      </c>
      <c r="GA48" s="151"/>
      <c r="GB48" s="151"/>
      <c r="GC48" s="151">
        <v>6</v>
      </c>
      <c r="GD48" s="983">
        <f>+GC47/GC48</f>
        <v>0.5</v>
      </c>
      <c r="GE48" s="73"/>
      <c r="GF48" s="968"/>
      <c r="GG48" s="968"/>
      <c r="GH48" s="968"/>
      <c r="GI48" s="968" t="s">
        <v>1292</v>
      </c>
      <c r="GJ48" s="968">
        <v>0</v>
      </c>
      <c r="GK48" s="968">
        <v>0</v>
      </c>
      <c r="GL48" s="968">
        <v>0</v>
      </c>
      <c r="GM48" s="968">
        <v>0</v>
      </c>
      <c r="GN48" s="968">
        <v>0</v>
      </c>
      <c r="GO48" s="968">
        <v>0</v>
      </c>
      <c r="GP48" s="968">
        <v>0</v>
      </c>
      <c r="GQ48" s="968">
        <v>0</v>
      </c>
      <c r="GR48" s="968">
        <v>0</v>
      </c>
      <c r="GS48" s="968">
        <v>0</v>
      </c>
      <c r="GT48" s="968">
        <v>0</v>
      </c>
      <c r="GU48" s="968">
        <v>0</v>
      </c>
      <c r="GV48" s="968">
        <v>0</v>
      </c>
      <c r="GW48" s="968">
        <v>3</v>
      </c>
      <c r="GX48" s="968">
        <v>0</v>
      </c>
      <c r="GY48" s="968">
        <v>0</v>
      </c>
      <c r="GZ48" s="968">
        <v>3</v>
      </c>
      <c r="HA48" s="968"/>
      <c r="HB48" s="969"/>
    </row>
    <row r="49" spans="1:210">
      <c r="A49" s="73"/>
      <c r="B49" s="73"/>
      <c r="C49" s="73"/>
      <c r="D49" s="73" t="s">
        <v>1398</v>
      </c>
      <c r="E49" s="967"/>
      <c r="F49" s="967"/>
      <c r="G49" s="967"/>
      <c r="H49" s="967"/>
      <c r="I49" s="967"/>
      <c r="J49" s="967"/>
      <c r="K49" s="967"/>
      <c r="L49" s="967">
        <v>0</v>
      </c>
      <c r="M49" s="967"/>
      <c r="N49" s="967">
        <v>2</v>
      </c>
      <c r="O49" s="967">
        <v>0</v>
      </c>
      <c r="P49" s="967">
        <v>0</v>
      </c>
      <c r="Q49" s="967"/>
      <c r="R49" s="967">
        <v>0</v>
      </c>
      <c r="S49" s="967">
        <v>0</v>
      </c>
      <c r="T49" s="73"/>
      <c r="U49" s="73"/>
      <c r="V49" s="73">
        <v>2</v>
      </c>
      <c r="W49" s="73"/>
      <c r="Y49" s="73"/>
      <c r="Z49" s="73"/>
      <c r="AA49" s="73"/>
      <c r="AB49" s="73" t="s">
        <v>1398</v>
      </c>
      <c r="AC49" s="3261"/>
      <c r="AD49" s="3261"/>
      <c r="AE49" s="3261"/>
      <c r="AF49" s="3261"/>
      <c r="AG49" s="3261">
        <v>0</v>
      </c>
      <c r="AH49" s="3261"/>
      <c r="AI49" s="3261">
        <v>0</v>
      </c>
      <c r="AJ49" s="3261"/>
      <c r="AK49" s="3261"/>
      <c r="AL49" s="3261"/>
      <c r="AM49" s="3261"/>
      <c r="AN49" s="3261">
        <v>1</v>
      </c>
      <c r="AO49" s="3261">
        <v>0</v>
      </c>
      <c r="AP49" s="3261"/>
      <c r="AQ49" s="3261">
        <v>0</v>
      </c>
      <c r="AR49" s="161">
        <v>0</v>
      </c>
      <c r="AS49" s="161">
        <v>0</v>
      </c>
      <c r="AT49" s="161">
        <v>1</v>
      </c>
      <c r="AU49" s="73"/>
      <c r="AY49" s="73"/>
      <c r="AZ49" s="73" t="s">
        <v>1292</v>
      </c>
      <c r="BA49" s="2607"/>
      <c r="BB49" s="2607"/>
      <c r="BC49" s="2607"/>
      <c r="BD49" s="2607"/>
      <c r="BE49" s="2607"/>
      <c r="BF49" s="2607">
        <v>0</v>
      </c>
      <c r="BG49" s="2607"/>
      <c r="BH49" s="2607"/>
      <c r="BI49" s="2607"/>
      <c r="BJ49" s="2607"/>
      <c r="BK49" s="2607"/>
      <c r="BL49" s="2607"/>
      <c r="BM49" s="2607">
        <v>0</v>
      </c>
      <c r="BN49" s="2607">
        <v>0</v>
      </c>
      <c r="BO49" s="2607">
        <v>5</v>
      </c>
      <c r="BP49" s="73">
        <v>0</v>
      </c>
      <c r="BQ49" s="73">
        <v>1</v>
      </c>
      <c r="BR49" s="73">
        <v>6</v>
      </c>
      <c r="BS49" s="73"/>
      <c r="BU49" s="2207"/>
      <c r="BV49" s="2207"/>
      <c r="BW49" s="2207" t="s">
        <v>125</v>
      </c>
      <c r="BX49" s="2208" t="s">
        <v>1288</v>
      </c>
      <c r="BY49" s="2209"/>
      <c r="BZ49" s="2209"/>
      <c r="CA49" s="2209"/>
      <c r="CB49" s="2209"/>
      <c r="CC49" s="2209"/>
      <c r="CD49" s="2209"/>
      <c r="CE49" s="2209"/>
      <c r="CF49" s="2209"/>
      <c r="CG49" s="2209"/>
      <c r="CH49" s="2209"/>
      <c r="CI49" s="2210">
        <v>0</v>
      </c>
      <c r="CJ49" s="2210">
        <v>1</v>
      </c>
      <c r="CK49" s="2210">
        <v>0</v>
      </c>
      <c r="CL49" s="2211"/>
      <c r="CM49" s="2211"/>
      <c r="CN49" s="2212">
        <v>1</v>
      </c>
      <c r="CO49" s="73"/>
      <c r="CQ49" s="955"/>
      <c r="CR49" s="955"/>
      <c r="CS49" s="955"/>
      <c r="CT49" s="956" t="s">
        <v>1292</v>
      </c>
      <c r="CU49" s="957"/>
      <c r="CV49" s="957"/>
      <c r="CW49" s="957"/>
      <c r="CX49" s="957"/>
      <c r="CY49" s="957"/>
      <c r="CZ49" s="957"/>
      <c r="DA49" s="957"/>
      <c r="DB49" s="958">
        <v>0</v>
      </c>
      <c r="DC49" s="957"/>
      <c r="DD49" s="957"/>
      <c r="DE49" s="957"/>
      <c r="DF49" s="958">
        <v>0</v>
      </c>
      <c r="DG49" s="958">
        <v>0</v>
      </c>
      <c r="DH49" s="958">
        <v>0</v>
      </c>
      <c r="DI49" s="958">
        <v>2</v>
      </c>
      <c r="DJ49" s="960">
        <v>1</v>
      </c>
      <c r="DK49" s="960">
        <v>2</v>
      </c>
      <c r="DL49" s="960">
        <v>5</v>
      </c>
      <c r="DM49" s="161"/>
      <c r="DO49" s="788"/>
      <c r="DP49" s="788"/>
      <c r="DQ49" s="788"/>
      <c r="DR49" s="788"/>
      <c r="DS49" s="789" t="s">
        <v>1288</v>
      </c>
      <c r="DT49" s="961"/>
      <c r="DU49" s="961"/>
      <c r="DV49" s="961"/>
      <c r="DW49" s="962">
        <v>0</v>
      </c>
      <c r="DX49" s="961"/>
      <c r="DY49" s="961"/>
      <c r="DZ49" s="961"/>
      <c r="EA49" s="961"/>
      <c r="EB49" s="961"/>
      <c r="EC49" s="961"/>
      <c r="ED49" s="961"/>
      <c r="EE49" s="961"/>
      <c r="EF49" s="961"/>
      <c r="EG49" s="962">
        <v>1</v>
      </c>
      <c r="EH49" s="962">
        <v>1</v>
      </c>
      <c r="EI49" s="964">
        <v>0</v>
      </c>
      <c r="EJ49" s="964">
        <v>0</v>
      </c>
      <c r="EK49" s="964">
        <v>2</v>
      </c>
      <c r="EL49" s="912"/>
      <c r="EM49" s="73"/>
      <c r="EN49" s="965"/>
      <c r="EO49" s="965"/>
      <c r="EP49" s="965" t="s">
        <v>126</v>
      </c>
      <c r="EQ49" s="734" t="s">
        <v>1284</v>
      </c>
      <c r="ER49" s="966"/>
      <c r="ES49" s="966"/>
      <c r="ET49" s="966"/>
      <c r="EU49" s="966"/>
      <c r="EV49" s="966"/>
      <c r="EW49" s="966"/>
      <c r="EX49" s="735">
        <v>0</v>
      </c>
      <c r="EY49" s="966"/>
      <c r="EZ49" s="735">
        <v>1</v>
      </c>
      <c r="FA49" s="735">
        <v>0</v>
      </c>
      <c r="FB49" s="735">
        <v>0</v>
      </c>
      <c r="FC49" s="966"/>
      <c r="FD49" s="966"/>
      <c r="FE49" s="735">
        <v>1</v>
      </c>
      <c r="FF49" s="967"/>
      <c r="FG49" s="73"/>
      <c r="FH49" s="73"/>
      <c r="FI49" s="161"/>
      <c r="FJ49" s="161"/>
      <c r="FK49" s="73" t="s">
        <v>125</v>
      </c>
      <c r="FL49" s="73" t="s">
        <v>1284</v>
      </c>
      <c r="FM49" s="161"/>
      <c r="FN49" s="161"/>
      <c r="FO49" s="161"/>
      <c r="FP49" s="161"/>
      <c r="FQ49" s="161"/>
      <c r="FR49" s="161"/>
      <c r="FS49" s="161"/>
      <c r="FT49" s="161"/>
      <c r="FU49" s="161"/>
      <c r="FV49" s="161">
        <v>2</v>
      </c>
      <c r="FW49" s="161"/>
      <c r="FX49" s="161"/>
      <c r="FY49" s="161"/>
      <c r="FZ49" s="161"/>
      <c r="GA49" s="161"/>
      <c r="GB49" s="161"/>
      <c r="GC49" s="161">
        <v>2</v>
      </c>
      <c r="GD49" s="73"/>
      <c r="GE49" s="73"/>
      <c r="GF49" s="968"/>
      <c r="GG49" s="968"/>
      <c r="GH49" s="968"/>
      <c r="GI49" s="968" t="s">
        <v>1398</v>
      </c>
      <c r="GJ49" s="968">
        <v>0</v>
      </c>
      <c r="GK49" s="968">
        <v>0</v>
      </c>
      <c r="GL49" s="968">
        <v>0</v>
      </c>
      <c r="GM49" s="968">
        <v>0</v>
      </c>
      <c r="GN49" s="968">
        <v>0</v>
      </c>
      <c r="GO49" s="968">
        <v>0</v>
      </c>
      <c r="GP49" s="968">
        <v>0</v>
      </c>
      <c r="GQ49" s="968">
        <v>0</v>
      </c>
      <c r="GR49" s="968">
        <v>0</v>
      </c>
      <c r="GS49" s="968">
        <v>0</v>
      </c>
      <c r="GT49" s="968">
        <v>0</v>
      </c>
      <c r="GU49" s="968">
        <v>1</v>
      </c>
      <c r="GV49" s="968">
        <v>0</v>
      </c>
      <c r="GW49" s="968">
        <v>0</v>
      </c>
      <c r="GX49" s="968">
        <v>0</v>
      </c>
      <c r="GY49" s="968">
        <v>0</v>
      </c>
      <c r="GZ49" s="968">
        <v>1</v>
      </c>
      <c r="HA49" s="968"/>
      <c r="HB49" s="969"/>
    </row>
    <row r="50" spans="1:210">
      <c r="A50" s="73"/>
      <c r="B50" s="73"/>
      <c r="C50" s="73"/>
      <c r="D50" s="738" t="s">
        <v>15</v>
      </c>
      <c r="E50" s="4694"/>
      <c r="F50" s="4694"/>
      <c r="G50" s="4694"/>
      <c r="H50" s="4694"/>
      <c r="I50" s="4694"/>
      <c r="J50" s="4694"/>
      <c r="K50" s="4694"/>
      <c r="L50" s="4694">
        <v>1</v>
      </c>
      <c r="M50" s="4694"/>
      <c r="N50" s="4694">
        <v>5</v>
      </c>
      <c r="O50" s="4694">
        <v>1</v>
      </c>
      <c r="P50" s="4694">
        <v>2</v>
      </c>
      <c r="Q50" s="4694"/>
      <c r="R50" s="4694">
        <v>2</v>
      </c>
      <c r="S50" s="4694">
        <v>3</v>
      </c>
      <c r="T50" s="738"/>
      <c r="U50" s="738"/>
      <c r="V50" s="738">
        <v>14</v>
      </c>
      <c r="W50" s="912">
        <f>+(V49+V48+V46)/V50</f>
        <v>0.2857142857142857</v>
      </c>
      <c r="X50" s="3197"/>
      <c r="Y50" s="73"/>
      <c r="Z50" s="73"/>
      <c r="AA50" s="73"/>
      <c r="AB50" s="738" t="s">
        <v>15</v>
      </c>
      <c r="AC50" s="3262"/>
      <c r="AD50" s="3262"/>
      <c r="AE50" s="3262"/>
      <c r="AF50" s="3262"/>
      <c r="AG50" s="3262">
        <v>1</v>
      </c>
      <c r="AH50" s="3262"/>
      <c r="AI50" s="3262">
        <v>1</v>
      </c>
      <c r="AJ50" s="3262"/>
      <c r="AK50" s="3262"/>
      <c r="AL50" s="3262"/>
      <c r="AM50" s="3262"/>
      <c r="AN50" s="3262">
        <v>1</v>
      </c>
      <c r="AO50" s="3262">
        <v>1</v>
      </c>
      <c r="AP50" s="3262"/>
      <c r="AQ50" s="3262">
        <v>2</v>
      </c>
      <c r="AR50" s="151">
        <v>2</v>
      </c>
      <c r="AS50" s="151">
        <v>1</v>
      </c>
      <c r="AT50" s="151">
        <v>9</v>
      </c>
      <c r="AU50" s="912">
        <f>+(AT47+AT49)/AT50</f>
        <v>0.22222222222222221</v>
      </c>
      <c r="AY50" s="73"/>
      <c r="AZ50" s="73" t="s">
        <v>1398</v>
      </c>
      <c r="BA50" s="2607"/>
      <c r="BB50" s="2607"/>
      <c r="BC50" s="2607"/>
      <c r="BD50" s="2607"/>
      <c r="BE50" s="2607"/>
      <c r="BF50" s="2607">
        <v>0</v>
      </c>
      <c r="BG50" s="2607"/>
      <c r="BH50" s="2607"/>
      <c r="BI50" s="2607"/>
      <c r="BJ50" s="2607"/>
      <c r="BK50" s="2607"/>
      <c r="BL50" s="2607"/>
      <c r="BM50" s="2607">
        <v>1</v>
      </c>
      <c r="BN50" s="2607">
        <v>1</v>
      </c>
      <c r="BO50" s="2607">
        <v>0</v>
      </c>
      <c r="BP50" s="73">
        <v>0</v>
      </c>
      <c r="BQ50" s="73">
        <v>0</v>
      </c>
      <c r="BR50" s="73">
        <v>2</v>
      </c>
      <c r="BS50" s="73"/>
      <c r="BU50" s="2207"/>
      <c r="BV50" s="2207"/>
      <c r="BW50" s="2207"/>
      <c r="BX50" s="2208" t="s">
        <v>1292</v>
      </c>
      <c r="BY50" s="2209"/>
      <c r="BZ50" s="2209"/>
      <c r="CA50" s="2209"/>
      <c r="CB50" s="2209"/>
      <c r="CC50" s="2209"/>
      <c r="CD50" s="2209"/>
      <c r="CE50" s="2209"/>
      <c r="CF50" s="2209"/>
      <c r="CG50" s="2209"/>
      <c r="CH50" s="2209"/>
      <c r="CI50" s="2210">
        <v>0</v>
      </c>
      <c r="CJ50" s="2210">
        <v>0</v>
      </c>
      <c r="CK50" s="2210">
        <v>4</v>
      </c>
      <c r="CL50" s="2211"/>
      <c r="CM50" s="2211"/>
      <c r="CN50" s="2212">
        <v>4</v>
      </c>
      <c r="CO50" s="73"/>
      <c r="CQ50" s="955"/>
      <c r="CR50" s="955"/>
      <c r="CS50" s="955"/>
      <c r="CT50" s="956" t="s">
        <v>1398</v>
      </c>
      <c r="CU50" s="957"/>
      <c r="CV50" s="957"/>
      <c r="CW50" s="957"/>
      <c r="CX50" s="957"/>
      <c r="CY50" s="957"/>
      <c r="CZ50" s="957"/>
      <c r="DA50" s="957"/>
      <c r="DB50" s="958">
        <v>0</v>
      </c>
      <c r="DC50" s="957"/>
      <c r="DD50" s="957"/>
      <c r="DE50" s="957"/>
      <c r="DF50" s="958">
        <v>0</v>
      </c>
      <c r="DG50" s="958">
        <v>1</v>
      </c>
      <c r="DH50" s="958">
        <v>0</v>
      </c>
      <c r="DI50" s="958">
        <v>0</v>
      </c>
      <c r="DJ50" s="960">
        <v>0</v>
      </c>
      <c r="DK50" s="960">
        <v>0</v>
      </c>
      <c r="DL50" s="960">
        <v>1</v>
      </c>
      <c r="DM50" s="161"/>
      <c r="DO50" s="788"/>
      <c r="DP50" s="788"/>
      <c r="DQ50" s="788"/>
      <c r="DR50" s="788"/>
      <c r="DS50" s="789" t="s">
        <v>1292</v>
      </c>
      <c r="DT50" s="961"/>
      <c r="DU50" s="961"/>
      <c r="DV50" s="961"/>
      <c r="DW50" s="962">
        <v>0</v>
      </c>
      <c r="DX50" s="961"/>
      <c r="DY50" s="961"/>
      <c r="DZ50" s="961"/>
      <c r="EA50" s="961"/>
      <c r="EB50" s="961"/>
      <c r="EC50" s="961"/>
      <c r="ED50" s="961"/>
      <c r="EE50" s="961"/>
      <c r="EF50" s="961"/>
      <c r="EG50" s="962">
        <v>1</v>
      </c>
      <c r="EH50" s="962">
        <v>2</v>
      </c>
      <c r="EI50" s="964">
        <v>1</v>
      </c>
      <c r="EJ50" s="964">
        <v>1</v>
      </c>
      <c r="EK50" s="964">
        <v>5</v>
      </c>
      <c r="EL50" s="912"/>
      <c r="EM50" s="73"/>
      <c r="EN50" s="965"/>
      <c r="EO50" s="965"/>
      <c r="EP50" s="965"/>
      <c r="EQ50" s="734" t="s">
        <v>1288</v>
      </c>
      <c r="ER50" s="966"/>
      <c r="ES50" s="966"/>
      <c r="ET50" s="966"/>
      <c r="EU50" s="966"/>
      <c r="EV50" s="966"/>
      <c r="EW50" s="966"/>
      <c r="EX50" s="735">
        <v>0</v>
      </c>
      <c r="EY50" s="966"/>
      <c r="EZ50" s="735">
        <v>0</v>
      </c>
      <c r="FA50" s="735">
        <v>1</v>
      </c>
      <c r="FB50" s="735">
        <v>0</v>
      </c>
      <c r="FC50" s="966"/>
      <c r="FD50" s="966"/>
      <c r="FE50" s="735">
        <v>1</v>
      </c>
      <c r="FF50" s="967"/>
      <c r="FG50" s="73"/>
      <c r="FH50" s="73"/>
      <c r="FI50" s="161"/>
      <c r="FJ50" s="161"/>
      <c r="FK50" s="73"/>
      <c r="FL50" s="738" t="s">
        <v>15</v>
      </c>
      <c r="FM50" s="151"/>
      <c r="FN50" s="151"/>
      <c r="FO50" s="151"/>
      <c r="FP50" s="151"/>
      <c r="FQ50" s="151"/>
      <c r="FR50" s="151"/>
      <c r="FS50" s="151"/>
      <c r="FT50" s="151"/>
      <c r="FU50" s="151"/>
      <c r="FV50" s="151">
        <v>2</v>
      </c>
      <c r="FW50" s="151"/>
      <c r="FX50" s="151"/>
      <c r="FY50" s="151"/>
      <c r="FZ50" s="151"/>
      <c r="GA50" s="151"/>
      <c r="GB50" s="151"/>
      <c r="GC50" s="151">
        <v>2</v>
      </c>
      <c r="GD50" s="984">
        <v>0</v>
      </c>
      <c r="GE50" s="73"/>
      <c r="GF50" s="968"/>
      <c r="GG50" s="968"/>
      <c r="GH50" s="968"/>
      <c r="GI50" s="979" t="s">
        <v>15</v>
      </c>
      <c r="GJ50" s="979">
        <v>0</v>
      </c>
      <c r="GK50" s="979">
        <v>0</v>
      </c>
      <c r="GL50" s="979">
        <v>0</v>
      </c>
      <c r="GM50" s="979">
        <v>0</v>
      </c>
      <c r="GN50" s="979">
        <v>0</v>
      </c>
      <c r="GO50" s="979">
        <v>0</v>
      </c>
      <c r="GP50" s="979">
        <v>0</v>
      </c>
      <c r="GQ50" s="979">
        <v>0</v>
      </c>
      <c r="GR50" s="979">
        <v>3</v>
      </c>
      <c r="GS50" s="979">
        <v>1</v>
      </c>
      <c r="GT50" s="979">
        <v>0</v>
      </c>
      <c r="GU50" s="979">
        <v>3</v>
      </c>
      <c r="GV50" s="979">
        <v>0</v>
      </c>
      <c r="GW50" s="979">
        <v>3</v>
      </c>
      <c r="GX50" s="979">
        <v>0</v>
      </c>
      <c r="GY50" s="979">
        <v>0</v>
      </c>
      <c r="GZ50" s="979">
        <v>10</v>
      </c>
      <c r="HA50" s="980">
        <f>+(GZ49+GZ47)/GZ50</f>
        <v>0.5</v>
      </c>
      <c r="HB50" s="969">
        <f>+GZ47+GZ49</f>
        <v>5</v>
      </c>
    </row>
    <row r="51" spans="1:210">
      <c r="A51" s="73"/>
      <c r="B51" s="73"/>
      <c r="C51" s="738" t="s">
        <v>574</v>
      </c>
      <c r="D51" s="738" t="s">
        <v>1284</v>
      </c>
      <c r="E51" s="4694"/>
      <c r="F51" s="4694"/>
      <c r="G51" s="4694"/>
      <c r="H51" s="4694"/>
      <c r="I51" s="4694">
        <v>0</v>
      </c>
      <c r="J51" s="4694"/>
      <c r="K51" s="4694">
        <v>1</v>
      </c>
      <c r="L51" s="4694">
        <v>2</v>
      </c>
      <c r="M51" s="4694">
        <v>1</v>
      </c>
      <c r="N51" s="4694">
        <v>8</v>
      </c>
      <c r="O51" s="4694">
        <v>3</v>
      </c>
      <c r="P51" s="4694">
        <v>3</v>
      </c>
      <c r="Q51" s="4694">
        <v>0</v>
      </c>
      <c r="R51" s="4694">
        <v>3</v>
      </c>
      <c r="S51" s="4694">
        <v>0</v>
      </c>
      <c r="T51" s="738"/>
      <c r="U51" s="738"/>
      <c r="V51" s="738">
        <v>21</v>
      </c>
      <c r="W51" s="73"/>
      <c r="Y51" s="73"/>
      <c r="Z51" s="73"/>
      <c r="AA51" s="73" t="s">
        <v>123</v>
      </c>
      <c r="AB51" s="73" t="s">
        <v>1284</v>
      </c>
      <c r="AC51" s="3261"/>
      <c r="AD51" s="3261"/>
      <c r="AE51" s="3261"/>
      <c r="AF51" s="3261"/>
      <c r="AG51" s="3261">
        <v>1</v>
      </c>
      <c r="AH51" s="3261"/>
      <c r="AI51" s="3261"/>
      <c r="AJ51" s="3261"/>
      <c r="AK51" s="3261"/>
      <c r="AL51" s="3261"/>
      <c r="AM51" s="3261"/>
      <c r="AN51" s="3261"/>
      <c r="AO51" s="3261">
        <v>0</v>
      </c>
      <c r="AP51" s="3261">
        <v>0</v>
      </c>
      <c r="AQ51" s="3261">
        <v>1</v>
      </c>
      <c r="AR51" s="161"/>
      <c r="AS51" s="161">
        <v>0</v>
      </c>
      <c r="AT51" s="161">
        <v>2</v>
      </c>
      <c r="AU51" s="73"/>
      <c r="AY51" s="73"/>
      <c r="AZ51" s="738" t="s">
        <v>15</v>
      </c>
      <c r="BA51" s="2608"/>
      <c r="BB51" s="2608"/>
      <c r="BC51" s="2608"/>
      <c r="BD51" s="2608"/>
      <c r="BE51" s="2608"/>
      <c r="BF51" s="2608">
        <v>1</v>
      </c>
      <c r="BG51" s="2608"/>
      <c r="BH51" s="2608"/>
      <c r="BI51" s="2608"/>
      <c r="BJ51" s="2608"/>
      <c r="BK51" s="2608"/>
      <c r="BL51" s="2608"/>
      <c r="BM51" s="2608">
        <v>1</v>
      </c>
      <c r="BN51" s="2608">
        <v>1</v>
      </c>
      <c r="BO51" s="2608">
        <v>5</v>
      </c>
      <c r="BP51" s="738">
        <v>1</v>
      </c>
      <c r="BQ51" s="738">
        <v>1</v>
      </c>
      <c r="BR51" s="738">
        <v>10</v>
      </c>
      <c r="BS51" s="912">
        <f>+BR50/BR51</f>
        <v>0.2</v>
      </c>
      <c r="BU51" s="2207"/>
      <c r="BV51" s="2207"/>
      <c r="BW51" s="2207"/>
      <c r="BX51" s="2208" t="s">
        <v>1398</v>
      </c>
      <c r="BY51" s="2209"/>
      <c r="BZ51" s="2209"/>
      <c r="CA51" s="2209"/>
      <c r="CB51" s="2209"/>
      <c r="CC51" s="2209"/>
      <c r="CD51" s="2209"/>
      <c r="CE51" s="2209"/>
      <c r="CF51" s="2209"/>
      <c r="CG51" s="2209"/>
      <c r="CH51" s="2209"/>
      <c r="CI51" s="2210">
        <v>1</v>
      </c>
      <c r="CJ51" s="2210">
        <v>0</v>
      </c>
      <c r="CK51" s="2210">
        <v>0</v>
      </c>
      <c r="CL51" s="2211"/>
      <c r="CM51" s="2211"/>
      <c r="CN51" s="2212">
        <v>1</v>
      </c>
      <c r="CO51" s="73"/>
      <c r="CQ51" s="955"/>
      <c r="CR51" s="955"/>
      <c r="CS51" s="955"/>
      <c r="CT51" s="974" t="s">
        <v>15</v>
      </c>
      <c r="CU51" s="975"/>
      <c r="CV51" s="975"/>
      <c r="CW51" s="975"/>
      <c r="CX51" s="975"/>
      <c r="CY51" s="975"/>
      <c r="CZ51" s="975"/>
      <c r="DA51" s="975"/>
      <c r="DB51" s="976">
        <v>1</v>
      </c>
      <c r="DC51" s="975"/>
      <c r="DD51" s="975"/>
      <c r="DE51" s="975"/>
      <c r="DF51" s="976">
        <v>1</v>
      </c>
      <c r="DG51" s="976">
        <v>3</v>
      </c>
      <c r="DH51" s="976">
        <v>2</v>
      </c>
      <c r="DI51" s="976">
        <v>2</v>
      </c>
      <c r="DJ51" s="978">
        <v>1</v>
      </c>
      <c r="DK51" s="978">
        <v>2</v>
      </c>
      <c r="DL51" s="978">
        <v>12</v>
      </c>
      <c r="DM51" s="912">
        <f>+(DL48+DL50)/DL51</f>
        <v>0.16666666666666666</v>
      </c>
      <c r="DO51" s="788"/>
      <c r="DP51" s="788"/>
      <c r="DQ51" s="788"/>
      <c r="DR51" s="73"/>
      <c r="DS51" s="809" t="s">
        <v>15</v>
      </c>
      <c r="DT51" s="970"/>
      <c r="DU51" s="970"/>
      <c r="DV51" s="970"/>
      <c r="DW51" s="971">
        <v>1</v>
      </c>
      <c r="DX51" s="970"/>
      <c r="DY51" s="970"/>
      <c r="DZ51" s="970"/>
      <c r="EA51" s="970"/>
      <c r="EB51" s="970"/>
      <c r="EC51" s="970"/>
      <c r="ED51" s="970"/>
      <c r="EE51" s="970"/>
      <c r="EF51" s="970"/>
      <c r="EG51" s="971">
        <v>2</v>
      </c>
      <c r="EH51" s="971">
        <v>3</v>
      </c>
      <c r="EI51" s="973">
        <v>2</v>
      </c>
      <c r="EJ51" s="973">
        <v>1</v>
      </c>
      <c r="EK51" s="973">
        <v>9</v>
      </c>
      <c r="EL51" s="912">
        <f>+EK49/EK51</f>
        <v>0.22222222222222221</v>
      </c>
      <c r="EM51" s="73"/>
      <c r="EN51" s="965"/>
      <c r="EO51" s="965"/>
      <c r="EP51" s="965"/>
      <c r="EQ51" s="734" t="s">
        <v>1292</v>
      </c>
      <c r="ER51" s="966"/>
      <c r="ES51" s="966"/>
      <c r="ET51" s="966"/>
      <c r="EU51" s="966"/>
      <c r="EV51" s="966"/>
      <c r="EW51" s="966"/>
      <c r="EX51" s="735">
        <v>0</v>
      </c>
      <c r="EY51" s="966"/>
      <c r="EZ51" s="735">
        <v>0</v>
      </c>
      <c r="FA51" s="735">
        <v>0</v>
      </c>
      <c r="FB51" s="735">
        <v>12</v>
      </c>
      <c r="FC51" s="966"/>
      <c r="FD51" s="966"/>
      <c r="FE51" s="735">
        <v>12</v>
      </c>
      <c r="FF51" s="967"/>
      <c r="FG51" s="73"/>
      <c r="FH51" s="73"/>
      <c r="FI51" s="161"/>
      <c r="FJ51" s="161" t="s">
        <v>16</v>
      </c>
      <c r="FK51" s="73" t="s">
        <v>108</v>
      </c>
      <c r="FL51" s="73" t="s">
        <v>1283</v>
      </c>
      <c r="FM51" s="161"/>
      <c r="FN51" s="161"/>
      <c r="FO51" s="161"/>
      <c r="FP51" s="161"/>
      <c r="FQ51" s="161">
        <v>0</v>
      </c>
      <c r="FR51" s="161"/>
      <c r="FS51" s="161"/>
      <c r="FT51" s="161"/>
      <c r="FU51" s="161">
        <v>0</v>
      </c>
      <c r="FV51" s="161">
        <v>0</v>
      </c>
      <c r="FW51" s="161">
        <v>0</v>
      </c>
      <c r="FX51" s="161">
        <v>0</v>
      </c>
      <c r="FY51" s="161">
        <v>0</v>
      </c>
      <c r="FZ51" s="161">
        <v>1</v>
      </c>
      <c r="GA51" s="161"/>
      <c r="GB51" s="161"/>
      <c r="GC51" s="161">
        <v>1</v>
      </c>
      <c r="GD51" s="73"/>
      <c r="GE51" s="73"/>
      <c r="GF51" s="968"/>
      <c r="GG51" s="968"/>
      <c r="GH51" s="968" t="s">
        <v>127</v>
      </c>
      <c r="GI51" s="968" t="s">
        <v>1284</v>
      </c>
      <c r="GJ51" s="968">
        <v>0</v>
      </c>
      <c r="GK51" s="968">
        <v>0</v>
      </c>
      <c r="GL51" s="968">
        <v>0</v>
      </c>
      <c r="GM51" s="968">
        <v>0</v>
      </c>
      <c r="GN51" s="968">
        <v>0</v>
      </c>
      <c r="GO51" s="968">
        <v>0</v>
      </c>
      <c r="GP51" s="968">
        <v>0</v>
      </c>
      <c r="GQ51" s="968">
        <v>0</v>
      </c>
      <c r="GR51" s="968">
        <v>1</v>
      </c>
      <c r="GS51" s="968">
        <v>0</v>
      </c>
      <c r="GT51" s="968">
        <v>0</v>
      </c>
      <c r="GU51" s="968">
        <v>0</v>
      </c>
      <c r="GV51" s="968">
        <v>0</v>
      </c>
      <c r="GW51" s="968">
        <v>0</v>
      </c>
      <c r="GX51" s="968">
        <v>0</v>
      </c>
      <c r="GY51" s="968">
        <v>0</v>
      </c>
      <c r="GZ51" s="968">
        <v>1</v>
      </c>
      <c r="HA51" s="968"/>
      <c r="HB51" s="969"/>
    </row>
    <row r="52" spans="1:210">
      <c r="A52" s="73"/>
      <c r="B52" s="73"/>
      <c r="C52" s="738"/>
      <c r="D52" s="738" t="s">
        <v>1286</v>
      </c>
      <c r="E52" s="4694"/>
      <c r="F52" s="4694"/>
      <c r="G52" s="4694"/>
      <c r="H52" s="4694"/>
      <c r="I52" s="4694">
        <v>1</v>
      </c>
      <c r="J52" s="4694"/>
      <c r="K52" s="4694">
        <v>0</v>
      </c>
      <c r="L52" s="4694">
        <v>0</v>
      </c>
      <c r="M52" s="4694">
        <v>0</v>
      </c>
      <c r="N52" s="4694">
        <v>0</v>
      </c>
      <c r="O52" s="4694">
        <v>0</v>
      </c>
      <c r="P52" s="4694">
        <v>0</v>
      </c>
      <c r="Q52" s="4694">
        <v>0</v>
      </c>
      <c r="R52" s="4694">
        <v>0</v>
      </c>
      <c r="S52" s="4694">
        <v>0</v>
      </c>
      <c r="T52" s="738"/>
      <c r="U52" s="738"/>
      <c r="V52" s="738">
        <v>1</v>
      </c>
      <c r="W52" s="73"/>
      <c r="Y52" s="73"/>
      <c r="Z52" s="73"/>
      <c r="AA52" s="73"/>
      <c r="AB52" s="73" t="s">
        <v>1288</v>
      </c>
      <c r="AC52" s="3261"/>
      <c r="AD52" s="3261"/>
      <c r="AE52" s="3261"/>
      <c r="AF52" s="3261"/>
      <c r="AG52" s="3261">
        <v>0</v>
      </c>
      <c r="AH52" s="3261"/>
      <c r="AI52" s="3261"/>
      <c r="AJ52" s="3261"/>
      <c r="AK52" s="3261"/>
      <c r="AL52" s="3261"/>
      <c r="AM52" s="3261"/>
      <c r="AN52" s="3261"/>
      <c r="AO52" s="3261">
        <v>1</v>
      </c>
      <c r="AP52" s="3261">
        <v>1</v>
      </c>
      <c r="AQ52" s="3261">
        <v>1</v>
      </c>
      <c r="AR52" s="161"/>
      <c r="AS52" s="161">
        <v>0</v>
      </c>
      <c r="AT52" s="161">
        <v>3</v>
      </c>
      <c r="AU52" s="73"/>
      <c r="AY52" s="73" t="s">
        <v>123</v>
      </c>
      <c r="AZ52" s="73" t="s">
        <v>1283</v>
      </c>
      <c r="BA52" s="2607"/>
      <c r="BB52" s="2607">
        <v>0</v>
      </c>
      <c r="BC52" s="2607"/>
      <c r="BD52" s="2607"/>
      <c r="BE52" s="2607"/>
      <c r="BF52" s="2607"/>
      <c r="BG52" s="2607"/>
      <c r="BH52" s="2607"/>
      <c r="BI52" s="2607"/>
      <c r="BJ52" s="2607">
        <v>0</v>
      </c>
      <c r="BK52" s="2607"/>
      <c r="BL52" s="2607"/>
      <c r="BM52" s="2607"/>
      <c r="BN52" s="2607">
        <v>0</v>
      </c>
      <c r="BO52" s="2607">
        <v>3</v>
      </c>
      <c r="BP52" s="73"/>
      <c r="BQ52" s="73">
        <v>1</v>
      </c>
      <c r="BR52" s="73">
        <v>4</v>
      </c>
      <c r="BS52" s="73"/>
      <c r="BU52" s="2207"/>
      <c r="BV52" s="2207"/>
      <c r="BW52" s="2207"/>
      <c r="BX52" s="2204" t="s">
        <v>15</v>
      </c>
      <c r="BY52" s="2213"/>
      <c r="BZ52" s="2213"/>
      <c r="CA52" s="2213"/>
      <c r="CB52" s="2213"/>
      <c r="CC52" s="2213"/>
      <c r="CD52" s="2213"/>
      <c r="CE52" s="2213"/>
      <c r="CF52" s="2213"/>
      <c r="CG52" s="2213"/>
      <c r="CH52" s="2213"/>
      <c r="CI52" s="2214">
        <v>1</v>
      </c>
      <c r="CJ52" s="2214">
        <v>1</v>
      </c>
      <c r="CK52" s="2214">
        <v>4</v>
      </c>
      <c r="CL52" s="2215"/>
      <c r="CM52" s="2215"/>
      <c r="CN52" s="2216">
        <v>6</v>
      </c>
      <c r="CO52" s="2154">
        <f>+(CN49+CN51)/CN52</f>
        <v>0.33333333333333331</v>
      </c>
      <c r="CQ52" s="955"/>
      <c r="CR52" s="955"/>
      <c r="CS52" s="955" t="s">
        <v>123</v>
      </c>
      <c r="CT52" s="956" t="s">
        <v>1283</v>
      </c>
      <c r="CU52" s="957"/>
      <c r="CV52" s="958">
        <v>0</v>
      </c>
      <c r="CW52" s="957"/>
      <c r="CX52" s="957"/>
      <c r="CY52" s="957"/>
      <c r="CZ52" s="958">
        <v>0</v>
      </c>
      <c r="DA52" s="957"/>
      <c r="DB52" s="957"/>
      <c r="DC52" s="957"/>
      <c r="DD52" s="957"/>
      <c r="DE52" s="957"/>
      <c r="DF52" s="957"/>
      <c r="DG52" s="958">
        <v>1</v>
      </c>
      <c r="DH52" s="958">
        <v>0</v>
      </c>
      <c r="DI52" s="958">
        <v>0</v>
      </c>
      <c r="DJ52" s="960">
        <v>0</v>
      </c>
      <c r="DK52" s="960">
        <v>0</v>
      </c>
      <c r="DL52" s="960">
        <v>1</v>
      </c>
      <c r="DM52" s="161"/>
      <c r="DO52" s="788"/>
      <c r="DP52" s="788"/>
      <c r="DQ52" s="788" t="s">
        <v>123</v>
      </c>
      <c r="DR52" s="788" t="s">
        <v>1282</v>
      </c>
      <c r="DS52" s="789" t="s">
        <v>1283</v>
      </c>
      <c r="DT52" s="961"/>
      <c r="DU52" s="961"/>
      <c r="DV52" s="961"/>
      <c r="DW52" s="961"/>
      <c r="DX52" s="961"/>
      <c r="DY52" s="961"/>
      <c r="DZ52" s="961"/>
      <c r="EA52" s="962">
        <v>0</v>
      </c>
      <c r="EB52" s="962">
        <v>0</v>
      </c>
      <c r="EC52" s="961"/>
      <c r="ED52" s="962">
        <v>0</v>
      </c>
      <c r="EE52" s="962">
        <v>0</v>
      </c>
      <c r="EF52" s="962">
        <v>0</v>
      </c>
      <c r="EG52" s="961"/>
      <c r="EH52" s="962">
        <v>2</v>
      </c>
      <c r="EI52" s="963"/>
      <c r="EJ52" s="964">
        <v>0</v>
      </c>
      <c r="EK52" s="964">
        <v>2</v>
      </c>
      <c r="EL52" s="912"/>
      <c r="EM52" s="73"/>
      <c r="EN52" s="965"/>
      <c r="EO52" s="965"/>
      <c r="EP52" s="965"/>
      <c r="EQ52" s="734" t="s">
        <v>1398</v>
      </c>
      <c r="ER52" s="966"/>
      <c r="ES52" s="966"/>
      <c r="ET52" s="966"/>
      <c r="EU52" s="966"/>
      <c r="EV52" s="966"/>
      <c r="EW52" s="966"/>
      <c r="EX52" s="735">
        <v>1</v>
      </c>
      <c r="EY52" s="966"/>
      <c r="EZ52" s="735">
        <v>0</v>
      </c>
      <c r="FA52" s="735">
        <v>0</v>
      </c>
      <c r="FB52" s="735">
        <v>0</v>
      </c>
      <c r="FC52" s="966"/>
      <c r="FD52" s="966"/>
      <c r="FE52" s="735">
        <v>1</v>
      </c>
      <c r="FF52" s="967"/>
      <c r="FG52" s="73"/>
      <c r="FH52" s="73"/>
      <c r="FI52" s="161"/>
      <c r="FJ52" s="161"/>
      <c r="FK52" s="73"/>
      <c r="FL52" s="73" t="s">
        <v>1284</v>
      </c>
      <c r="FM52" s="161"/>
      <c r="FN52" s="161"/>
      <c r="FO52" s="161"/>
      <c r="FP52" s="161"/>
      <c r="FQ52" s="161">
        <v>0</v>
      </c>
      <c r="FR52" s="161"/>
      <c r="FS52" s="161"/>
      <c r="FT52" s="161"/>
      <c r="FU52" s="161">
        <v>1</v>
      </c>
      <c r="FV52" s="161">
        <v>1</v>
      </c>
      <c r="FW52" s="161">
        <v>1</v>
      </c>
      <c r="FX52" s="161">
        <v>0</v>
      </c>
      <c r="FY52" s="161">
        <v>2</v>
      </c>
      <c r="FZ52" s="161">
        <v>0</v>
      </c>
      <c r="GA52" s="161"/>
      <c r="GB52" s="161"/>
      <c r="GC52" s="161">
        <v>5</v>
      </c>
      <c r="GD52" s="73"/>
      <c r="GE52" s="73"/>
      <c r="GF52" s="968"/>
      <c r="GG52" s="968"/>
      <c r="GH52" s="968"/>
      <c r="GI52" s="968" t="s">
        <v>1288</v>
      </c>
      <c r="GJ52" s="968">
        <v>0</v>
      </c>
      <c r="GK52" s="968">
        <v>0</v>
      </c>
      <c r="GL52" s="968">
        <v>0</v>
      </c>
      <c r="GM52" s="968">
        <v>0</v>
      </c>
      <c r="GN52" s="968">
        <v>0</v>
      </c>
      <c r="GO52" s="968">
        <v>0</v>
      </c>
      <c r="GP52" s="968">
        <v>0</v>
      </c>
      <c r="GQ52" s="968">
        <v>0</v>
      </c>
      <c r="GR52" s="968">
        <v>0</v>
      </c>
      <c r="GS52" s="968">
        <v>0</v>
      </c>
      <c r="GT52" s="968">
        <v>0</v>
      </c>
      <c r="GU52" s="968">
        <v>1</v>
      </c>
      <c r="GV52" s="968">
        <v>0</v>
      </c>
      <c r="GW52" s="968">
        <v>0</v>
      </c>
      <c r="GX52" s="968">
        <v>0</v>
      </c>
      <c r="GY52" s="968">
        <v>0</v>
      </c>
      <c r="GZ52" s="968">
        <v>1</v>
      </c>
      <c r="HA52" s="968"/>
      <c r="HB52" s="969"/>
    </row>
    <row r="53" spans="1:210">
      <c r="A53" s="73"/>
      <c r="B53" s="73"/>
      <c r="C53" s="738"/>
      <c r="D53" s="738" t="s">
        <v>1288</v>
      </c>
      <c r="E53" s="4694"/>
      <c r="F53" s="4694"/>
      <c r="G53" s="4694"/>
      <c r="H53" s="4694"/>
      <c r="I53" s="4694">
        <v>0</v>
      </c>
      <c r="J53" s="4694"/>
      <c r="K53" s="4694">
        <v>0</v>
      </c>
      <c r="L53" s="4694">
        <v>0</v>
      </c>
      <c r="M53" s="4694">
        <v>0</v>
      </c>
      <c r="N53" s="4694">
        <v>1</v>
      </c>
      <c r="O53" s="4694">
        <v>0</v>
      </c>
      <c r="P53" s="4694">
        <v>0</v>
      </c>
      <c r="Q53" s="4694">
        <v>1</v>
      </c>
      <c r="R53" s="4694">
        <v>0</v>
      </c>
      <c r="S53" s="4694">
        <v>0</v>
      </c>
      <c r="T53" s="738"/>
      <c r="U53" s="738"/>
      <c r="V53" s="738">
        <v>2</v>
      </c>
      <c r="W53" s="73"/>
      <c r="Y53" s="73"/>
      <c r="Z53" s="73"/>
      <c r="AA53" s="73"/>
      <c r="AB53" s="73" t="s">
        <v>1292</v>
      </c>
      <c r="AC53" s="3261"/>
      <c r="AD53" s="3261"/>
      <c r="AE53" s="3261"/>
      <c r="AF53" s="3261"/>
      <c r="AG53" s="3261">
        <v>0</v>
      </c>
      <c r="AH53" s="3261"/>
      <c r="AI53" s="3261"/>
      <c r="AJ53" s="3261"/>
      <c r="AK53" s="3261"/>
      <c r="AL53" s="3261"/>
      <c r="AM53" s="3261"/>
      <c r="AN53" s="3261"/>
      <c r="AO53" s="3261">
        <v>0</v>
      </c>
      <c r="AP53" s="3261">
        <v>0</v>
      </c>
      <c r="AQ53" s="3261">
        <v>2</v>
      </c>
      <c r="AR53" s="161"/>
      <c r="AS53" s="161">
        <v>5</v>
      </c>
      <c r="AT53" s="161">
        <v>7</v>
      </c>
      <c r="AU53" s="73"/>
      <c r="AY53" s="73"/>
      <c r="AZ53" s="73" t="s">
        <v>1286</v>
      </c>
      <c r="BA53" s="2607"/>
      <c r="BB53" s="2607">
        <v>1</v>
      </c>
      <c r="BC53" s="2607"/>
      <c r="BD53" s="2607"/>
      <c r="BE53" s="2607"/>
      <c r="BF53" s="2607"/>
      <c r="BG53" s="2607"/>
      <c r="BH53" s="2607"/>
      <c r="BI53" s="2607"/>
      <c r="BJ53" s="2607">
        <v>0</v>
      </c>
      <c r="BK53" s="2607"/>
      <c r="BL53" s="2607"/>
      <c r="BM53" s="2607"/>
      <c r="BN53" s="2607">
        <v>0</v>
      </c>
      <c r="BO53" s="2607">
        <v>0</v>
      </c>
      <c r="BP53" s="73"/>
      <c r="BQ53" s="73">
        <v>0</v>
      </c>
      <c r="BR53" s="73">
        <v>1</v>
      </c>
      <c r="BS53" s="73"/>
      <c r="BU53" s="2207"/>
      <c r="BV53" s="2207"/>
      <c r="BW53" s="2207" t="s">
        <v>424</v>
      </c>
      <c r="BX53" s="2208" t="s">
        <v>1284</v>
      </c>
      <c r="BY53" s="2209"/>
      <c r="BZ53" s="2209"/>
      <c r="CA53" s="2209"/>
      <c r="CB53" s="2209"/>
      <c r="CC53" s="2209"/>
      <c r="CD53" s="2209"/>
      <c r="CE53" s="2209"/>
      <c r="CF53" s="2209"/>
      <c r="CG53" s="2210">
        <v>0</v>
      </c>
      <c r="CH53" s="2209"/>
      <c r="CI53" s="2210">
        <v>1</v>
      </c>
      <c r="CJ53" s="2209"/>
      <c r="CK53" s="2210">
        <v>0</v>
      </c>
      <c r="CL53" s="2211"/>
      <c r="CM53" s="2212">
        <v>0</v>
      </c>
      <c r="CN53" s="2212">
        <v>1</v>
      </c>
      <c r="CO53" s="73"/>
      <c r="CQ53" s="955"/>
      <c r="CR53" s="955"/>
      <c r="CS53" s="955"/>
      <c r="CT53" s="956" t="s">
        <v>1284</v>
      </c>
      <c r="CU53" s="957"/>
      <c r="CV53" s="958">
        <v>1</v>
      </c>
      <c r="CW53" s="957"/>
      <c r="CX53" s="957"/>
      <c r="CY53" s="957"/>
      <c r="CZ53" s="958">
        <v>1</v>
      </c>
      <c r="DA53" s="957"/>
      <c r="DB53" s="957"/>
      <c r="DC53" s="957"/>
      <c r="DD53" s="957"/>
      <c r="DE53" s="957"/>
      <c r="DF53" s="957"/>
      <c r="DG53" s="958">
        <v>0</v>
      </c>
      <c r="DH53" s="958">
        <v>1</v>
      </c>
      <c r="DI53" s="958">
        <v>0</v>
      </c>
      <c r="DJ53" s="960">
        <v>0</v>
      </c>
      <c r="DK53" s="960">
        <v>0</v>
      </c>
      <c r="DL53" s="960">
        <v>3</v>
      </c>
      <c r="DM53" s="161"/>
      <c r="DO53" s="788"/>
      <c r="DP53" s="788"/>
      <c r="DQ53" s="788"/>
      <c r="DR53" s="788"/>
      <c r="DS53" s="789" t="s">
        <v>1284</v>
      </c>
      <c r="DT53" s="961"/>
      <c r="DU53" s="961"/>
      <c r="DV53" s="961"/>
      <c r="DW53" s="961"/>
      <c r="DX53" s="961"/>
      <c r="DY53" s="961"/>
      <c r="DZ53" s="961"/>
      <c r="EA53" s="962">
        <v>1</v>
      </c>
      <c r="EB53" s="962">
        <v>1</v>
      </c>
      <c r="EC53" s="961"/>
      <c r="ED53" s="962">
        <v>0</v>
      </c>
      <c r="EE53" s="962">
        <v>0</v>
      </c>
      <c r="EF53" s="962">
        <v>0</v>
      </c>
      <c r="EG53" s="961"/>
      <c r="EH53" s="962">
        <v>0</v>
      </c>
      <c r="EI53" s="963"/>
      <c r="EJ53" s="964">
        <v>0</v>
      </c>
      <c r="EK53" s="964">
        <v>2</v>
      </c>
      <c r="EL53" s="912"/>
      <c r="EM53" s="73"/>
      <c r="EN53" s="965"/>
      <c r="EO53" s="965"/>
      <c r="EP53" s="965"/>
      <c r="EQ53" s="981" t="s">
        <v>15</v>
      </c>
      <c r="ER53" s="982"/>
      <c r="ES53" s="982"/>
      <c r="ET53" s="982"/>
      <c r="EU53" s="982"/>
      <c r="EV53" s="982"/>
      <c r="EW53" s="982"/>
      <c r="EX53" s="740">
        <v>1</v>
      </c>
      <c r="EY53" s="982"/>
      <c r="EZ53" s="740">
        <v>1</v>
      </c>
      <c r="FA53" s="740">
        <v>1</v>
      </c>
      <c r="FB53" s="740">
        <v>12</v>
      </c>
      <c r="FC53" s="982"/>
      <c r="FD53" s="982"/>
      <c r="FE53" s="740">
        <v>15</v>
      </c>
      <c r="FF53" s="905">
        <f>+(FE52+FE50)/FE53</f>
        <v>0.13333333333333333</v>
      </c>
      <c r="FG53" s="73"/>
      <c r="FH53" s="73"/>
      <c r="FI53" s="161"/>
      <c r="FJ53" s="161"/>
      <c r="FK53" s="73"/>
      <c r="FL53" s="73" t="s">
        <v>1286</v>
      </c>
      <c r="FM53" s="161"/>
      <c r="FN53" s="161"/>
      <c r="FO53" s="161"/>
      <c r="FP53" s="161"/>
      <c r="FQ53" s="161">
        <v>1</v>
      </c>
      <c r="FR53" s="161"/>
      <c r="FS53" s="161"/>
      <c r="FT53" s="161"/>
      <c r="FU53" s="161">
        <v>0</v>
      </c>
      <c r="FV53" s="161">
        <v>0</v>
      </c>
      <c r="FW53" s="161">
        <v>0</v>
      </c>
      <c r="FX53" s="161">
        <v>0</v>
      </c>
      <c r="FY53" s="161">
        <v>0</v>
      </c>
      <c r="FZ53" s="161">
        <v>0</v>
      </c>
      <c r="GA53" s="161"/>
      <c r="GB53" s="161"/>
      <c r="GC53" s="161">
        <v>1</v>
      </c>
      <c r="GD53" s="73"/>
      <c r="GE53" s="73"/>
      <c r="GF53" s="968"/>
      <c r="GG53" s="968"/>
      <c r="GH53" s="968"/>
      <c r="GI53" s="968" t="s">
        <v>1289</v>
      </c>
      <c r="GJ53" s="968">
        <v>0</v>
      </c>
      <c r="GK53" s="968">
        <v>0</v>
      </c>
      <c r="GL53" s="968">
        <v>0</v>
      </c>
      <c r="GM53" s="968">
        <v>0</v>
      </c>
      <c r="GN53" s="968">
        <v>0</v>
      </c>
      <c r="GO53" s="968">
        <v>0</v>
      </c>
      <c r="GP53" s="968">
        <v>1</v>
      </c>
      <c r="GQ53" s="968">
        <v>1</v>
      </c>
      <c r="GR53" s="968">
        <v>1</v>
      </c>
      <c r="GS53" s="968">
        <v>0</v>
      </c>
      <c r="GT53" s="968">
        <v>0</v>
      </c>
      <c r="GU53" s="968">
        <v>3</v>
      </c>
      <c r="GV53" s="968">
        <v>0</v>
      </c>
      <c r="GW53" s="968">
        <v>0</v>
      </c>
      <c r="GX53" s="968">
        <v>0</v>
      </c>
      <c r="GY53" s="968">
        <v>0</v>
      </c>
      <c r="GZ53" s="968">
        <v>6</v>
      </c>
      <c r="HA53" s="968"/>
      <c r="HB53" s="969"/>
    </row>
    <row r="54" spans="1:210">
      <c r="A54" s="73"/>
      <c r="B54" s="73"/>
      <c r="C54" s="738"/>
      <c r="D54" s="738" t="s">
        <v>1292</v>
      </c>
      <c r="E54" s="4694"/>
      <c r="F54" s="4694"/>
      <c r="G54" s="4694"/>
      <c r="H54" s="4694"/>
      <c r="I54" s="4694">
        <v>0</v>
      </c>
      <c r="J54" s="4694"/>
      <c r="K54" s="4694">
        <v>0</v>
      </c>
      <c r="L54" s="4694">
        <v>0</v>
      </c>
      <c r="M54" s="4694">
        <v>0</v>
      </c>
      <c r="N54" s="4694">
        <v>0</v>
      </c>
      <c r="O54" s="4694">
        <v>1</v>
      </c>
      <c r="P54" s="4694">
        <v>3</v>
      </c>
      <c r="Q54" s="4694">
        <v>0</v>
      </c>
      <c r="R54" s="4694">
        <v>1</v>
      </c>
      <c r="S54" s="4694">
        <v>6</v>
      </c>
      <c r="T54" s="738"/>
      <c r="U54" s="738"/>
      <c r="V54" s="738">
        <v>11</v>
      </c>
      <c r="W54" s="73"/>
      <c r="Y54" s="73"/>
      <c r="Z54" s="73"/>
      <c r="AA54" s="73"/>
      <c r="AB54" s="73" t="s">
        <v>1398</v>
      </c>
      <c r="AC54" s="3261"/>
      <c r="AD54" s="3261"/>
      <c r="AE54" s="3261"/>
      <c r="AF54" s="3261"/>
      <c r="AG54" s="3261">
        <v>0</v>
      </c>
      <c r="AH54" s="3261"/>
      <c r="AI54" s="3261"/>
      <c r="AJ54" s="3261"/>
      <c r="AK54" s="3261"/>
      <c r="AL54" s="3261"/>
      <c r="AM54" s="3261"/>
      <c r="AN54" s="3261"/>
      <c r="AO54" s="3261">
        <v>2</v>
      </c>
      <c r="AP54" s="3261">
        <v>3</v>
      </c>
      <c r="AQ54" s="3261">
        <v>1</v>
      </c>
      <c r="AR54" s="161"/>
      <c r="AS54" s="161">
        <v>0</v>
      </c>
      <c r="AT54" s="161">
        <v>6</v>
      </c>
      <c r="AU54" s="73"/>
      <c r="AY54" s="73"/>
      <c r="AZ54" s="73" t="s">
        <v>1288</v>
      </c>
      <c r="BA54" s="2607"/>
      <c r="BB54" s="2607">
        <v>0</v>
      </c>
      <c r="BC54" s="2607"/>
      <c r="BD54" s="2607"/>
      <c r="BE54" s="2607"/>
      <c r="BF54" s="2607"/>
      <c r="BG54" s="2607"/>
      <c r="BH54" s="2607"/>
      <c r="BI54" s="2607"/>
      <c r="BJ54" s="2607">
        <v>0</v>
      </c>
      <c r="BK54" s="2607"/>
      <c r="BL54" s="2607"/>
      <c r="BM54" s="2607"/>
      <c r="BN54" s="2607">
        <v>1</v>
      </c>
      <c r="BO54" s="2607">
        <v>0</v>
      </c>
      <c r="BP54" s="73"/>
      <c r="BQ54" s="73">
        <v>0</v>
      </c>
      <c r="BR54" s="73">
        <v>1</v>
      </c>
      <c r="BS54" s="73"/>
      <c r="BU54" s="2207"/>
      <c r="BV54" s="2207"/>
      <c r="BW54" s="2207"/>
      <c r="BX54" s="2208" t="s">
        <v>1289</v>
      </c>
      <c r="BY54" s="2209"/>
      <c r="BZ54" s="2209"/>
      <c r="CA54" s="2209"/>
      <c r="CB54" s="2209"/>
      <c r="CC54" s="2209"/>
      <c r="CD54" s="2209"/>
      <c r="CE54" s="2209"/>
      <c r="CF54" s="2209"/>
      <c r="CG54" s="2210">
        <v>1</v>
      </c>
      <c r="CH54" s="2209"/>
      <c r="CI54" s="2210">
        <v>0</v>
      </c>
      <c r="CJ54" s="2209"/>
      <c r="CK54" s="2210">
        <v>0</v>
      </c>
      <c r="CL54" s="2211"/>
      <c r="CM54" s="2212">
        <v>0</v>
      </c>
      <c r="CN54" s="2212">
        <v>1</v>
      </c>
      <c r="CO54" s="73"/>
      <c r="CQ54" s="955"/>
      <c r="CR54" s="955"/>
      <c r="CS54" s="955"/>
      <c r="CT54" s="956" t="s">
        <v>1292</v>
      </c>
      <c r="CU54" s="957"/>
      <c r="CV54" s="958">
        <v>0</v>
      </c>
      <c r="CW54" s="957"/>
      <c r="CX54" s="957"/>
      <c r="CY54" s="957"/>
      <c r="CZ54" s="958">
        <v>0</v>
      </c>
      <c r="DA54" s="957"/>
      <c r="DB54" s="957"/>
      <c r="DC54" s="957"/>
      <c r="DD54" s="957"/>
      <c r="DE54" s="957"/>
      <c r="DF54" s="957"/>
      <c r="DG54" s="958">
        <v>0</v>
      </c>
      <c r="DH54" s="958">
        <v>0</v>
      </c>
      <c r="DI54" s="958">
        <v>5</v>
      </c>
      <c r="DJ54" s="960">
        <v>2</v>
      </c>
      <c r="DK54" s="960">
        <v>8</v>
      </c>
      <c r="DL54" s="960">
        <v>15</v>
      </c>
      <c r="DM54" s="161"/>
      <c r="DO54" s="788"/>
      <c r="DP54" s="788"/>
      <c r="DQ54" s="788"/>
      <c r="DR54" s="788"/>
      <c r="DS54" s="789" t="s">
        <v>1288</v>
      </c>
      <c r="DT54" s="961"/>
      <c r="DU54" s="961"/>
      <c r="DV54" s="961"/>
      <c r="DW54" s="961"/>
      <c r="DX54" s="961"/>
      <c r="DY54" s="961"/>
      <c r="DZ54" s="961"/>
      <c r="EA54" s="962">
        <v>0</v>
      </c>
      <c r="EB54" s="962">
        <v>0</v>
      </c>
      <c r="EC54" s="961"/>
      <c r="ED54" s="962">
        <v>1</v>
      </c>
      <c r="EE54" s="962">
        <v>2</v>
      </c>
      <c r="EF54" s="962">
        <v>0</v>
      </c>
      <c r="EG54" s="961"/>
      <c r="EH54" s="962">
        <v>0</v>
      </c>
      <c r="EI54" s="963"/>
      <c r="EJ54" s="964">
        <v>0</v>
      </c>
      <c r="EK54" s="964">
        <v>3</v>
      </c>
      <c r="EL54" s="912"/>
      <c r="EM54" s="73"/>
      <c r="EN54" s="965"/>
      <c r="EO54" s="965"/>
      <c r="EP54" s="965" t="s">
        <v>127</v>
      </c>
      <c r="EQ54" s="734" t="s">
        <v>1286</v>
      </c>
      <c r="ER54" s="966"/>
      <c r="ES54" s="735">
        <v>0</v>
      </c>
      <c r="ET54" s="735">
        <v>0</v>
      </c>
      <c r="EU54" s="735">
        <v>1</v>
      </c>
      <c r="EV54" s="966"/>
      <c r="EW54" s="735">
        <v>0</v>
      </c>
      <c r="EX54" s="735">
        <v>0</v>
      </c>
      <c r="EY54" s="735">
        <v>0</v>
      </c>
      <c r="EZ54" s="735">
        <v>0</v>
      </c>
      <c r="FA54" s="735">
        <v>0</v>
      </c>
      <c r="FB54" s="966"/>
      <c r="FC54" s="966"/>
      <c r="FD54" s="966"/>
      <c r="FE54" s="735">
        <v>1</v>
      </c>
      <c r="FF54" s="967"/>
      <c r="FG54" s="73"/>
      <c r="FH54" s="73"/>
      <c r="FI54" s="161"/>
      <c r="FJ54" s="161"/>
      <c r="FK54" s="73"/>
      <c r="FL54" s="73" t="s">
        <v>1288</v>
      </c>
      <c r="FM54" s="161"/>
      <c r="FN54" s="161"/>
      <c r="FO54" s="161"/>
      <c r="FP54" s="161"/>
      <c r="FQ54" s="161">
        <v>0</v>
      </c>
      <c r="FR54" s="161"/>
      <c r="FS54" s="161"/>
      <c r="FT54" s="161"/>
      <c r="FU54" s="161">
        <v>0</v>
      </c>
      <c r="FV54" s="161">
        <v>0</v>
      </c>
      <c r="FW54" s="161">
        <v>0</v>
      </c>
      <c r="FX54" s="161">
        <v>3</v>
      </c>
      <c r="FY54" s="161">
        <v>0</v>
      </c>
      <c r="FZ54" s="161">
        <v>0</v>
      </c>
      <c r="GA54" s="161"/>
      <c r="GB54" s="161"/>
      <c r="GC54" s="161">
        <v>3</v>
      </c>
      <c r="GD54" s="73"/>
      <c r="GE54" s="73"/>
      <c r="GF54" s="968"/>
      <c r="GG54" s="968"/>
      <c r="GH54" s="968"/>
      <c r="GI54" s="968" t="s">
        <v>1398</v>
      </c>
      <c r="GJ54" s="968">
        <v>0</v>
      </c>
      <c r="GK54" s="968">
        <v>0</v>
      </c>
      <c r="GL54" s="968">
        <v>0</v>
      </c>
      <c r="GM54" s="968">
        <v>0</v>
      </c>
      <c r="GN54" s="968">
        <v>0</v>
      </c>
      <c r="GO54" s="968">
        <v>0</v>
      </c>
      <c r="GP54" s="968">
        <v>1</v>
      </c>
      <c r="GQ54" s="968">
        <v>0</v>
      </c>
      <c r="GR54" s="968">
        <v>0</v>
      </c>
      <c r="GS54" s="968">
        <v>0</v>
      </c>
      <c r="GT54" s="968">
        <v>0</v>
      </c>
      <c r="GU54" s="968">
        <v>3</v>
      </c>
      <c r="GV54" s="968">
        <v>0</v>
      </c>
      <c r="GW54" s="968">
        <v>0</v>
      </c>
      <c r="GX54" s="968">
        <v>0</v>
      </c>
      <c r="GY54" s="968">
        <v>0</v>
      </c>
      <c r="GZ54" s="968">
        <v>4</v>
      </c>
      <c r="HA54" s="968"/>
      <c r="HB54" s="969"/>
    </row>
    <row r="55" spans="1:210">
      <c r="A55" s="73"/>
      <c r="B55" s="73"/>
      <c r="C55" s="738"/>
      <c r="D55" s="738" t="s">
        <v>1293</v>
      </c>
      <c r="E55" s="4694"/>
      <c r="F55" s="4694"/>
      <c r="G55" s="4694"/>
      <c r="H55" s="4694"/>
      <c r="I55" s="4694">
        <v>0</v>
      </c>
      <c r="J55" s="4694"/>
      <c r="K55" s="4694">
        <v>0</v>
      </c>
      <c r="L55" s="4694">
        <v>0</v>
      </c>
      <c r="M55" s="4694">
        <v>0</v>
      </c>
      <c r="N55" s="4694">
        <v>1</v>
      </c>
      <c r="O55" s="4694">
        <v>0</v>
      </c>
      <c r="P55" s="4694">
        <v>0</v>
      </c>
      <c r="Q55" s="4694">
        <v>0</v>
      </c>
      <c r="R55" s="4694">
        <v>0</v>
      </c>
      <c r="S55" s="4694">
        <v>0</v>
      </c>
      <c r="T55" s="738"/>
      <c r="U55" s="738"/>
      <c r="V55" s="738">
        <v>1</v>
      </c>
      <c r="W55" s="73"/>
      <c r="Y55" s="73"/>
      <c r="Z55" s="73"/>
      <c r="AA55" s="73"/>
      <c r="AB55" s="738" t="s">
        <v>15</v>
      </c>
      <c r="AC55" s="3262"/>
      <c r="AD55" s="3262"/>
      <c r="AE55" s="3262"/>
      <c r="AF55" s="3262"/>
      <c r="AG55" s="3262">
        <v>1</v>
      </c>
      <c r="AH55" s="3262"/>
      <c r="AI55" s="3262"/>
      <c r="AJ55" s="3262"/>
      <c r="AK55" s="3262"/>
      <c r="AL55" s="3262"/>
      <c r="AM55" s="3262"/>
      <c r="AN55" s="3262"/>
      <c r="AO55" s="3262">
        <v>3</v>
      </c>
      <c r="AP55" s="3262">
        <v>4</v>
      </c>
      <c r="AQ55" s="3262">
        <v>5</v>
      </c>
      <c r="AR55" s="151"/>
      <c r="AS55" s="151">
        <v>5</v>
      </c>
      <c r="AT55" s="151">
        <v>18</v>
      </c>
      <c r="AU55" s="912">
        <f>+(AT52+AT54)/AT55</f>
        <v>0.5</v>
      </c>
      <c r="AY55" s="73"/>
      <c r="AZ55" s="73" t="s">
        <v>1289</v>
      </c>
      <c r="BA55" s="2607"/>
      <c r="BB55" s="2607">
        <v>0</v>
      </c>
      <c r="BC55" s="2607"/>
      <c r="BD55" s="2607"/>
      <c r="BE55" s="2607"/>
      <c r="BF55" s="2607"/>
      <c r="BG55" s="2607"/>
      <c r="BH55" s="2607"/>
      <c r="BI55" s="2607"/>
      <c r="BJ55" s="2607">
        <v>1</v>
      </c>
      <c r="BK55" s="2607"/>
      <c r="BL55" s="2607"/>
      <c r="BM55" s="2607"/>
      <c r="BN55" s="2607">
        <v>0</v>
      </c>
      <c r="BO55" s="2607">
        <v>0</v>
      </c>
      <c r="BP55" s="73"/>
      <c r="BQ55" s="73">
        <v>0</v>
      </c>
      <c r="BR55" s="73">
        <v>1</v>
      </c>
      <c r="BS55" s="73"/>
      <c r="BU55" s="2207"/>
      <c r="BV55" s="2207"/>
      <c r="BW55" s="2207"/>
      <c r="BX55" s="2208" t="s">
        <v>1292</v>
      </c>
      <c r="BY55" s="2209"/>
      <c r="BZ55" s="2209"/>
      <c r="CA55" s="2209"/>
      <c r="CB55" s="2209"/>
      <c r="CC55" s="2209"/>
      <c r="CD55" s="2209"/>
      <c r="CE55" s="2209"/>
      <c r="CF55" s="2209"/>
      <c r="CG55" s="2210">
        <v>0</v>
      </c>
      <c r="CH55" s="2209"/>
      <c r="CI55" s="2210">
        <v>0</v>
      </c>
      <c r="CJ55" s="2209"/>
      <c r="CK55" s="2210">
        <v>3</v>
      </c>
      <c r="CL55" s="2211"/>
      <c r="CM55" s="2212">
        <v>1</v>
      </c>
      <c r="CN55" s="2212">
        <v>4</v>
      </c>
      <c r="CO55" s="73"/>
      <c r="CQ55" s="955"/>
      <c r="CR55" s="955"/>
      <c r="CS55" s="955"/>
      <c r="CT55" s="956" t="s">
        <v>1398</v>
      </c>
      <c r="CU55" s="957"/>
      <c r="CV55" s="958">
        <v>0</v>
      </c>
      <c r="CW55" s="957"/>
      <c r="CX55" s="957"/>
      <c r="CY55" s="957"/>
      <c r="CZ55" s="958">
        <v>0</v>
      </c>
      <c r="DA55" s="957"/>
      <c r="DB55" s="957"/>
      <c r="DC55" s="957"/>
      <c r="DD55" s="957"/>
      <c r="DE55" s="957"/>
      <c r="DF55" s="957"/>
      <c r="DG55" s="958">
        <v>1</v>
      </c>
      <c r="DH55" s="958">
        <v>0</v>
      </c>
      <c r="DI55" s="958">
        <v>1</v>
      </c>
      <c r="DJ55" s="960">
        <v>0</v>
      </c>
      <c r="DK55" s="960">
        <v>0</v>
      </c>
      <c r="DL55" s="960">
        <v>2</v>
      </c>
      <c r="DM55" s="161"/>
      <c r="DO55" s="788"/>
      <c r="DP55" s="788"/>
      <c r="DQ55" s="788"/>
      <c r="DR55" s="788"/>
      <c r="DS55" s="789" t="s">
        <v>1292</v>
      </c>
      <c r="DT55" s="961"/>
      <c r="DU55" s="961"/>
      <c r="DV55" s="961"/>
      <c r="DW55" s="961"/>
      <c r="DX55" s="961"/>
      <c r="DY55" s="961"/>
      <c r="DZ55" s="961"/>
      <c r="EA55" s="962">
        <v>0</v>
      </c>
      <c r="EB55" s="962">
        <v>0</v>
      </c>
      <c r="EC55" s="961"/>
      <c r="ED55" s="962">
        <v>0</v>
      </c>
      <c r="EE55" s="962">
        <v>0</v>
      </c>
      <c r="EF55" s="962">
        <v>0</v>
      </c>
      <c r="EG55" s="961"/>
      <c r="EH55" s="962">
        <v>5</v>
      </c>
      <c r="EI55" s="963"/>
      <c r="EJ55" s="964">
        <v>3</v>
      </c>
      <c r="EK55" s="964">
        <v>8</v>
      </c>
      <c r="EL55" s="912"/>
      <c r="EM55" s="73"/>
      <c r="EN55" s="965"/>
      <c r="EO55" s="965"/>
      <c r="EP55" s="965"/>
      <c r="EQ55" s="734" t="s">
        <v>1288</v>
      </c>
      <c r="ER55" s="966"/>
      <c r="ES55" s="735">
        <v>0</v>
      </c>
      <c r="ET55" s="735">
        <v>0</v>
      </c>
      <c r="EU55" s="735">
        <v>0</v>
      </c>
      <c r="EV55" s="966"/>
      <c r="EW55" s="735">
        <v>4</v>
      </c>
      <c r="EX55" s="735">
        <v>3</v>
      </c>
      <c r="EY55" s="735">
        <v>3</v>
      </c>
      <c r="EZ55" s="735">
        <v>2</v>
      </c>
      <c r="FA55" s="735">
        <v>0</v>
      </c>
      <c r="FB55" s="966"/>
      <c r="FC55" s="966"/>
      <c r="FD55" s="966"/>
      <c r="FE55" s="735">
        <v>12</v>
      </c>
      <c r="FF55" s="967"/>
      <c r="FG55" s="73"/>
      <c r="FH55" s="73"/>
      <c r="FI55" s="161"/>
      <c r="FJ55" s="161"/>
      <c r="FK55" s="73"/>
      <c r="FL55" s="73" t="s">
        <v>1289</v>
      </c>
      <c r="FM55" s="161"/>
      <c r="FN55" s="161"/>
      <c r="FO55" s="161"/>
      <c r="FP55" s="161"/>
      <c r="FQ55" s="161">
        <v>0</v>
      </c>
      <c r="FR55" s="161"/>
      <c r="FS55" s="161"/>
      <c r="FT55" s="161"/>
      <c r="FU55" s="161">
        <v>0</v>
      </c>
      <c r="FV55" s="161">
        <v>0</v>
      </c>
      <c r="FW55" s="161">
        <v>1</v>
      </c>
      <c r="FX55" s="161">
        <v>3</v>
      </c>
      <c r="FY55" s="161">
        <v>0</v>
      </c>
      <c r="FZ55" s="161">
        <v>0</v>
      </c>
      <c r="GA55" s="161"/>
      <c r="GB55" s="161"/>
      <c r="GC55" s="161">
        <v>4</v>
      </c>
      <c r="GD55" s="73"/>
      <c r="GE55" s="73"/>
      <c r="GF55" s="968"/>
      <c r="GG55" s="968"/>
      <c r="GH55" s="968"/>
      <c r="GI55" s="979" t="s">
        <v>15</v>
      </c>
      <c r="GJ55" s="979">
        <v>0</v>
      </c>
      <c r="GK55" s="979">
        <v>0</v>
      </c>
      <c r="GL55" s="979">
        <v>0</v>
      </c>
      <c r="GM55" s="979">
        <v>0</v>
      </c>
      <c r="GN55" s="979">
        <v>0</v>
      </c>
      <c r="GO55" s="979">
        <v>0</v>
      </c>
      <c r="GP55" s="979">
        <v>2</v>
      </c>
      <c r="GQ55" s="979">
        <v>1</v>
      </c>
      <c r="GR55" s="979">
        <v>2</v>
      </c>
      <c r="GS55" s="979">
        <v>0</v>
      </c>
      <c r="GT55" s="979">
        <v>0</v>
      </c>
      <c r="GU55" s="979">
        <v>7</v>
      </c>
      <c r="GV55" s="979">
        <v>0</v>
      </c>
      <c r="GW55" s="979">
        <v>0</v>
      </c>
      <c r="GX55" s="979">
        <v>0</v>
      </c>
      <c r="GY55" s="979">
        <v>0</v>
      </c>
      <c r="GZ55" s="979">
        <v>12</v>
      </c>
      <c r="HA55" s="980">
        <f>+(GZ54+GZ52)/GZ55</f>
        <v>0.41666666666666669</v>
      </c>
      <c r="HB55" s="969">
        <f>+GZ52+GZ54</f>
        <v>5</v>
      </c>
    </row>
    <row r="56" spans="1:210">
      <c r="A56" s="73"/>
      <c r="B56" s="73"/>
      <c r="C56" s="738"/>
      <c r="D56" s="738" t="s">
        <v>1398</v>
      </c>
      <c r="E56" s="4694"/>
      <c r="F56" s="4694"/>
      <c r="G56" s="4694"/>
      <c r="H56" s="4694"/>
      <c r="I56" s="4694">
        <v>0</v>
      </c>
      <c r="J56" s="4694"/>
      <c r="K56" s="4694">
        <v>0</v>
      </c>
      <c r="L56" s="4694">
        <v>0</v>
      </c>
      <c r="M56" s="4694">
        <v>0</v>
      </c>
      <c r="N56" s="4694">
        <v>3</v>
      </c>
      <c r="O56" s="4694">
        <v>0</v>
      </c>
      <c r="P56" s="4694">
        <v>0</v>
      </c>
      <c r="Q56" s="4694">
        <v>0</v>
      </c>
      <c r="R56" s="4694">
        <v>0</v>
      </c>
      <c r="S56" s="4694">
        <v>0</v>
      </c>
      <c r="T56" s="738"/>
      <c r="U56" s="738"/>
      <c r="V56" s="738">
        <v>3</v>
      </c>
      <c r="W56" s="73"/>
      <c r="Y56" s="73"/>
      <c r="Z56" s="73"/>
      <c r="AA56" s="73" t="s">
        <v>124</v>
      </c>
      <c r="AB56" s="73" t="s">
        <v>1288</v>
      </c>
      <c r="AC56" s="3261"/>
      <c r="AD56" s="3261"/>
      <c r="AE56" s="3261"/>
      <c r="AF56" s="3261"/>
      <c r="AG56" s="3261"/>
      <c r="AH56" s="3261"/>
      <c r="AI56" s="3261"/>
      <c r="AJ56" s="3261"/>
      <c r="AK56" s="3261"/>
      <c r="AL56" s="3261"/>
      <c r="AM56" s="3261"/>
      <c r="AN56" s="3261">
        <v>0</v>
      </c>
      <c r="AO56" s="3261">
        <v>0</v>
      </c>
      <c r="AP56" s="3261">
        <v>1</v>
      </c>
      <c r="AQ56" s="3261"/>
      <c r="AR56" s="161">
        <v>0</v>
      </c>
      <c r="AS56" s="161">
        <v>0</v>
      </c>
      <c r="AT56" s="161">
        <v>1</v>
      </c>
      <c r="AU56" s="73"/>
      <c r="AY56" s="73"/>
      <c r="AZ56" s="73" t="s">
        <v>1292</v>
      </c>
      <c r="BA56" s="2607"/>
      <c r="BB56" s="2607">
        <v>0</v>
      </c>
      <c r="BC56" s="2607"/>
      <c r="BD56" s="2607"/>
      <c r="BE56" s="2607"/>
      <c r="BF56" s="2607"/>
      <c r="BG56" s="2607"/>
      <c r="BH56" s="2607"/>
      <c r="BI56" s="2607"/>
      <c r="BJ56" s="2607">
        <v>0</v>
      </c>
      <c r="BK56" s="2607"/>
      <c r="BL56" s="2607"/>
      <c r="BM56" s="2607"/>
      <c r="BN56" s="2607">
        <v>0</v>
      </c>
      <c r="BO56" s="2607">
        <v>7</v>
      </c>
      <c r="BP56" s="73"/>
      <c r="BQ56" s="73">
        <v>2</v>
      </c>
      <c r="BR56" s="73">
        <v>9</v>
      </c>
      <c r="BS56" s="73"/>
      <c r="BU56" s="2207"/>
      <c r="BV56" s="2207"/>
      <c r="BW56" s="2207"/>
      <c r="BX56" s="2204" t="s">
        <v>15</v>
      </c>
      <c r="BY56" s="2213"/>
      <c r="BZ56" s="2213"/>
      <c r="CA56" s="2213"/>
      <c r="CB56" s="2213"/>
      <c r="CC56" s="2213"/>
      <c r="CD56" s="2213"/>
      <c r="CE56" s="2213"/>
      <c r="CF56" s="2213"/>
      <c r="CG56" s="2214">
        <v>1</v>
      </c>
      <c r="CH56" s="2213"/>
      <c r="CI56" s="2214">
        <v>1</v>
      </c>
      <c r="CJ56" s="2213"/>
      <c r="CK56" s="2214">
        <v>3</v>
      </c>
      <c r="CL56" s="2215"/>
      <c r="CM56" s="2216">
        <v>1</v>
      </c>
      <c r="CN56" s="2216">
        <v>6</v>
      </c>
      <c r="CO56" s="2154">
        <v>0</v>
      </c>
      <c r="CQ56" s="955"/>
      <c r="CR56" s="955"/>
      <c r="CS56" s="955"/>
      <c r="CT56" s="974" t="s">
        <v>15</v>
      </c>
      <c r="CU56" s="975"/>
      <c r="CV56" s="976">
        <v>1</v>
      </c>
      <c r="CW56" s="975"/>
      <c r="CX56" s="975"/>
      <c r="CY56" s="975"/>
      <c r="CZ56" s="976">
        <v>1</v>
      </c>
      <c r="DA56" s="975"/>
      <c r="DB56" s="975"/>
      <c r="DC56" s="975"/>
      <c r="DD56" s="975"/>
      <c r="DE56" s="975"/>
      <c r="DF56" s="975"/>
      <c r="DG56" s="976">
        <v>2</v>
      </c>
      <c r="DH56" s="976">
        <v>1</v>
      </c>
      <c r="DI56" s="976">
        <v>6</v>
      </c>
      <c r="DJ56" s="978">
        <v>2</v>
      </c>
      <c r="DK56" s="978">
        <v>8</v>
      </c>
      <c r="DL56" s="978">
        <v>21</v>
      </c>
      <c r="DM56" s="912">
        <f>+DL55/DL56</f>
        <v>9.5238095238095233E-2</v>
      </c>
      <c r="DO56" s="788"/>
      <c r="DP56" s="788"/>
      <c r="DQ56" s="788"/>
      <c r="DR56" s="788"/>
      <c r="DS56" s="789" t="s">
        <v>1398</v>
      </c>
      <c r="DT56" s="961"/>
      <c r="DU56" s="961"/>
      <c r="DV56" s="961"/>
      <c r="DW56" s="961"/>
      <c r="DX56" s="961"/>
      <c r="DY56" s="961"/>
      <c r="DZ56" s="961"/>
      <c r="EA56" s="962">
        <v>0</v>
      </c>
      <c r="EB56" s="962">
        <v>0</v>
      </c>
      <c r="EC56" s="961"/>
      <c r="ED56" s="962">
        <v>0</v>
      </c>
      <c r="EE56" s="962">
        <v>1</v>
      </c>
      <c r="EF56" s="962">
        <v>1</v>
      </c>
      <c r="EG56" s="961"/>
      <c r="EH56" s="962">
        <v>0</v>
      </c>
      <c r="EI56" s="963"/>
      <c r="EJ56" s="964">
        <v>0</v>
      </c>
      <c r="EK56" s="964">
        <v>2</v>
      </c>
      <c r="EL56" s="912"/>
      <c r="EM56" s="73"/>
      <c r="EN56" s="965"/>
      <c r="EO56" s="965"/>
      <c r="EP56" s="965"/>
      <c r="EQ56" s="734" t="s">
        <v>1289</v>
      </c>
      <c r="ER56" s="966"/>
      <c r="ES56" s="735">
        <v>1</v>
      </c>
      <c r="ET56" s="735">
        <v>1</v>
      </c>
      <c r="EU56" s="735">
        <v>0</v>
      </c>
      <c r="EV56" s="966"/>
      <c r="EW56" s="735">
        <v>3</v>
      </c>
      <c r="EX56" s="735">
        <v>2</v>
      </c>
      <c r="EY56" s="735">
        <v>1</v>
      </c>
      <c r="EZ56" s="735">
        <v>2</v>
      </c>
      <c r="FA56" s="735">
        <v>0</v>
      </c>
      <c r="FB56" s="966"/>
      <c r="FC56" s="966"/>
      <c r="FD56" s="966"/>
      <c r="FE56" s="735">
        <v>10</v>
      </c>
      <c r="FF56" s="967"/>
      <c r="FG56" s="73"/>
      <c r="FH56" s="73"/>
      <c r="FI56" s="161"/>
      <c r="FJ56" s="161"/>
      <c r="FK56" s="73"/>
      <c r="FL56" s="73" t="s">
        <v>1292</v>
      </c>
      <c r="FM56" s="161"/>
      <c r="FN56" s="161"/>
      <c r="FO56" s="161"/>
      <c r="FP56" s="161"/>
      <c r="FQ56" s="161">
        <v>0</v>
      </c>
      <c r="FR56" s="161"/>
      <c r="FS56" s="161"/>
      <c r="FT56" s="161"/>
      <c r="FU56" s="161">
        <v>0</v>
      </c>
      <c r="FV56" s="161">
        <v>0</v>
      </c>
      <c r="FW56" s="161">
        <v>0</v>
      </c>
      <c r="FX56" s="161">
        <v>0</v>
      </c>
      <c r="FY56" s="161">
        <v>0</v>
      </c>
      <c r="FZ56" s="161">
        <v>5</v>
      </c>
      <c r="GA56" s="161"/>
      <c r="GB56" s="161"/>
      <c r="GC56" s="161">
        <v>5</v>
      </c>
      <c r="GD56" s="73"/>
      <c r="GE56" s="73"/>
      <c r="GF56" s="968"/>
      <c r="GG56" s="968"/>
      <c r="GH56" s="968" t="s">
        <v>128</v>
      </c>
      <c r="GI56" s="968" t="s">
        <v>1284</v>
      </c>
      <c r="GJ56" s="968">
        <v>0</v>
      </c>
      <c r="GK56" s="968">
        <v>0</v>
      </c>
      <c r="GL56" s="968">
        <v>0</v>
      </c>
      <c r="GM56" s="968">
        <v>0</v>
      </c>
      <c r="GN56" s="968">
        <v>0</v>
      </c>
      <c r="GO56" s="968">
        <v>0</v>
      </c>
      <c r="GP56" s="968">
        <v>0</v>
      </c>
      <c r="GQ56" s="968">
        <v>0</v>
      </c>
      <c r="GR56" s="968">
        <v>0</v>
      </c>
      <c r="GS56" s="968">
        <v>0</v>
      </c>
      <c r="GT56" s="968">
        <v>0</v>
      </c>
      <c r="GU56" s="968">
        <v>1</v>
      </c>
      <c r="GV56" s="968">
        <v>0</v>
      </c>
      <c r="GW56" s="968">
        <v>0</v>
      </c>
      <c r="GX56" s="968">
        <v>0</v>
      </c>
      <c r="GY56" s="968">
        <v>0</v>
      </c>
      <c r="GZ56" s="968">
        <v>1</v>
      </c>
      <c r="HA56" s="968"/>
      <c r="HB56" s="969"/>
    </row>
    <row r="57" spans="1:210">
      <c r="A57" s="73"/>
      <c r="B57" s="73"/>
      <c r="C57" s="738"/>
      <c r="D57" s="738" t="s">
        <v>574</v>
      </c>
      <c r="E57" s="4694"/>
      <c r="F57" s="4694"/>
      <c r="G57" s="4694"/>
      <c r="H57" s="4694"/>
      <c r="I57" s="4694">
        <v>1</v>
      </c>
      <c r="J57" s="4694"/>
      <c r="K57" s="4694">
        <v>1</v>
      </c>
      <c r="L57" s="4694">
        <v>2</v>
      </c>
      <c r="M57" s="4694">
        <v>1</v>
      </c>
      <c r="N57" s="4694">
        <v>13</v>
      </c>
      <c r="O57" s="4694">
        <v>4</v>
      </c>
      <c r="P57" s="4694">
        <v>6</v>
      </c>
      <c r="Q57" s="4694">
        <v>1</v>
      </c>
      <c r="R57" s="4694">
        <v>4</v>
      </c>
      <c r="S57" s="4694">
        <v>6</v>
      </c>
      <c r="T57" s="738"/>
      <c r="U57" s="738"/>
      <c r="V57" s="738">
        <v>39</v>
      </c>
      <c r="W57" s="912">
        <f>+(V56+V55+V53)/V57</f>
        <v>0.15384615384615385</v>
      </c>
      <c r="X57" s="3197"/>
      <c r="Y57" s="73"/>
      <c r="Z57" s="73"/>
      <c r="AA57" s="73"/>
      <c r="AB57" s="73" t="s">
        <v>1292</v>
      </c>
      <c r="AC57" s="3261"/>
      <c r="AD57" s="3261"/>
      <c r="AE57" s="3261"/>
      <c r="AF57" s="3261"/>
      <c r="AG57" s="3261"/>
      <c r="AH57" s="3261"/>
      <c r="AI57" s="3261"/>
      <c r="AJ57" s="3261"/>
      <c r="AK57" s="3261"/>
      <c r="AL57" s="3261"/>
      <c r="AM57" s="3261"/>
      <c r="AN57" s="3261">
        <v>0</v>
      </c>
      <c r="AO57" s="3261">
        <v>0</v>
      </c>
      <c r="AP57" s="3261">
        <v>0</v>
      </c>
      <c r="AQ57" s="3261"/>
      <c r="AR57" s="161">
        <v>2</v>
      </c>
      <c r="AS57" s="161">
        <v>1</v>
      </c>
      <c r="AT57" s="161">
        <v>3</v>
      </c>
      <c r="AU57" s="73"/>
      <c r="AY57" s="73"/>
      <c r="AZ57" s="73" t="s">
        <v>1398</v>
      </c>
      <c r="BA57" s="2607"/>
      <c r="BB57" s="2607">
        <v>0</v>
      </c>
      <c r="BC57" s="2607"/>
      <c r="BD57" s="2607"/>
      <c r="BE57" s="2607"/>
      <c r="BF57" s="2607"/>
      <c r="BG57" s="2607"/>
      <c r="BH57" s="2607"/>
      <c r="BI57" s="2607"/>
      <c r="BJ57" s="2607">
        <v>0</v>
      </c>
      <c r="BK57" s="2607"/>
      <c r="BL57" s="2607"/>
      <c r="BM57" s="2607"/>
      <c r="BN57" s="2607">
        <v>1</v>
      </c>
      <c r="BO57" s="2607">
        <v>0</v>
      </c>
      <c r="BP57" s="73"/>
      <c r="BQ57" s="73">
        <v>0</v>
      </c>
      <c r="BR57" s="73">
        <v>1</v>
      </c>
      <c r="BS57" s="73"/>
      <c r="BU57" s="2207"/>
      <c r="BV57" s="2207"/>
      <c r="BW57" s="2207" t="s">
        <v>572</v>
      </c>
      <c r="BX57" s="2208" t="s">
        <v>1283</v>
      </c>
      <c r="BY57" s="2209"/>
      <c r="BZ57" s="2210">
        <v>0</v>
      </c>
      <c r="CA57" s="2210">
        <v>0</v>
      </c>
      <c r="CB57" s="2209"/>
      <c r="CC57" s="2210">
        <v>0</v>
      </c>
      <c r="CD57" s="2210">
        <v>0</v>
      </c>
      <c r="CE57" s="2209"/>
      <c r="CF57" s="2210">
        <v>0</v>
      </c>
      <c r="CG57" s="2210">
        <v>0</v>
      </c>
      <c r="CH57" s="2209"/>
      <c r="CI57" s="2210">
        <v>0</v>
      </c>
      <c r="CJ57" s="2210">
        <v>0</v>
      </c>
      <c r="CK57" s="2210">
        <v>1</v>
      </c>
      <c r="CL57" s="2212">
        <v>0</v>
      </c>
      <c r="CM57" s="2212">
        <v>0</v>
      </c>
      <c r="CN57" s="2212">
        <v>1</v>
      </c>
      <c r="CO57" s="73"/>
      <c r="CQ57" s="955"/>
      <c r="CR57" s="955"/>
      <c r="CS57" s="955" t="s">
        <v>124</v>
      </c>
      <c r="CT57" s="956" t="s">
        <v>1292</v>
      </c>
      <c r="CU57" s="957"/>
      <c r="CV57" s="957"/>
      <c r="CW57" s="957"/>
      <c r="CX57" s="957"/>
      <c r="CY57" s="957"/>
      <c r="CZ57" s="957"/>
      <c r="DA57" s="957"/>
      <c r="DB57" s="957"/>
      <c r="DC57" s="957"/>
      <c r="DD57" s="957"/>
      <c r="DE57" s="957"/>
      <c r="DF57" s="957"/>
      <c r="DG57" s="957"/>
      <c r="DH57" s="958">
        <v>0</v>
      </c>
      <c r="DI57" s="958">
        <v>2</v>
      </c>
      <c r="DJ57" s="959"/>
      <c r="DK57" s="960">
        <v>1</v>
      </c>
      <c r="DL57" s="960">
        <v>3</v>
      </c>
      <c r="DM57" s="161"/>
      <c r="DO57" s="788"/>
      <c r="DP57" s="788"/>
      <c r="DQ57" s="788"/>
      <c r="DR57" s="73"/>
      <c r="DS57" s="809" t="s">
        <v>15</v>
      </c>
      <c r="DT57" s="970"/>
      <c r="DU57" s="970"/>
      <c r="DV57" s="970"/>
      <c r="DW57" s="970"/>
      <c r="DX57" s="970"/>
      <c r="DY57" s="970"/>
      <c r="DZ57" s="970"/>
      <c r="EA57" s="971">
        <v>1</v>
      </c>
      <c r="EB57" s="971">
        <v>1</v>
      </c>
      <c r="EC57" s="970"/>
      <c r="ED57" s="971">
        <v>1</v>
      </c>
      <c r="EE57" s="971">
        <v>3</v>
      </c>
      <c r="EF57" s="971">
        <v>1</v>
      </c>
      <c r="EG57" s="970"/>
      <c r="EH57" s="971">
        <v>7</v>
      </c>
      <c r="EI57" s="972"/>
      <c r="EJ57" s="973">
        <v>3</v>
      </c>
      <c r="EK57" s="973">
        <v>17</v>
      </c>
      <c r="EL57" s="912">
        <f>+(EK56+EK54)/EK57</f>
        <v>0.29411764705882354</v>
      </c>
      <c r="EM57" s="73"/>
      <c r="EN57" s="965"/>
      <c r="EO57" s="965"/>
      <c r="EP57" s="965"/>
      <c r="EQ57" s="734" t="s">
        <v>1292</v>
      </c>
      <c r="ER57" s="966"/>
      <c r="ES57" s="735">
        <v>0</v>
      </c>
      <c r="ET57" s="735">
        <v>0</v>
      </c>
      <c r="EU57" s="735">
        <v>0</v>
      </c>
      <c r="EV57" s="966"/>
      <c r="EW57" s="735">
        <v>0</v>
      </c>
      <c r="EX57" s="735">
        <v>0</v>
      </c>
      <c r="EY57" s="735">
        <v>0</v>
      </c>
      <c r="EZ57" s="735">
        <v>0</v>
      </c>
      <c r="FA57" s="735">
        <v>5</v>
      </c>
      <c r="FB57" s="966"/>
      <c r="FC57" s="966"/>
      <c r="FD57" s="966"/>
      <c r="FE57" s="735">
        <v>5</v>
      </c>
      <c r="FF57" s="967"/>
      <c r="FG57" s="73"/>
      <c r="FH57" s="73"/>
      <c r="FI57" s="161"/>
      <c r="FJ57" s="161"/>
      <c r="FK57" s="73"/>
      <c r="FL57" s="73" t="s">
        <v>1398</v>
      </c>
      <c r="FM57" s="161"/>
      <c r="FN57" s="161"/>
      <c r="FO57" s="161"/>
      <c r="FP57" s="161"/>
      <c r="FQ57" s="161">
        <v>0</v>
      </c>
      <c r="FR57" s="161"/>
      <c r="FS57" s="161"/>
      <c r="FT57" s="161"/>
      <c r="FU57" s="161">
        <v>0</v>
      </c>
      <c r="FV57" s="161">
        <v>0</v>
      </c>
      <c r="FW57" s="161">
        <v>0</v>
      </c>
      <c r="FX57" s="161">
        <v>2</v>
      </c>
      <c r="FY57" s="161">
        <v>0</v>
      </c>
      <c r="FZ57" s="161">
        <v>0</v>
      </c>
      <c r="GA57" s="161"/>
      <c r="GB57" s="161"/>
      <c r="GC57" s="161">
        <v>2</v>
      </c>
      <c r="GD57" s="73"/>
      <c r="GE57" s="73"/>
      <c r="GF57" s="968"/>
      <c r="GG57" s="968"/>
      <c r="GH57" s="968"/>
      <c r="GI57" s="968" t="s">
        <v>1288</v>
      </c>
      <c r="GJ57" s="968">
        <v>0</v>
      </c>
      <c r="GK57" s="968">
        <v>0</v>
      </c>
      <c r="GL57" s="968">
        <v>0</v>
      </c>
      <c r="GM57" s="968">
        <v>0</v>
      </c>
      <c r="GN57" s="968">
        <v>0</v>
      </c>
      <c r="GO57" s="968">
        <v>0</v>
      </c>
      <c r="GP57" s="968">
        <v>0</v>
      </c>
      <c r="GQ57" s="968">
        <v>0</v>
      </c>
      <c r="GR57" s="968">
        <v>0</v>
      </c>
      <c r="GS57" s="968">
        <v>3</v>
      </c>
      <c r="GT57" s="968">
        <v>0</v>
      </c>
      <c r="GU57" s="968">
        <v>5</v>
      </c>
      <c r="GV57" s="968">
        <v>0</v>
      </c>
      <c r="GW57" s="968">
        <v>0</v>
      </c>
      <c r="GX57" s="968">
        <v>0</v>
      </c>
      <c r="GY57" s="968">
        <v>0</v>
      </c>
      <c r="GZ57" s="968">
        <v>8</v>
      </c>
      <c r="HA57" s="968"/>
      <c r="HB57" s="969"/>
    </row>
    <row r="58" spans="1:210">
      <c r="A58" s="73"/>
      <c r="B58" s="73"/>
      <c r="C58" s="738" t="s">
        <v>107</v>
      </c>
      <c r="D58" s="738" t="s">
        <v>1284</v>
      </c>
      <c r="E58" s="4694">
        <v>1</v>
      </c>
      <c r="F58" s="4694"/>
      <c r="G58" s="4694"/>
      <c r="H58" s="4694"/>
      <c r="I58" s="4694">
        <v>1</v>
      </c>
      <c r="J58" s="4694"/>
      <c r="K58" s="4694">
        <v>1</v>
      </c>
      <c r="L58" s="4694">
        <v>2</v>
      </c>
      <c r="M58" s="4694">
        <v>1</v>
      </c>
      <c r="N58" s="4694">
        <v>8</v>
      </c>
      <c r="O58" s="4694">
        <v>3</v>
      </c>
      <c r="P58" s="4694">
        <v>3</v>
      </c>
      <c r="Q58" s="4694">
        <v>0</v>
      </c>
      <c r="R58" s="4694">
        <v>7</v>
      </c>
      <c r="S58" s="4694">
        <v>0</v>
      </c>
      <c r="T58" s="738"/>
      <c r="U58" s="738">
        <v>0</v>
      </c>
      <c r="V58" s="738">
        <v>27</v>
      </c>
      <c r="W58" s="73"/>
      <c r="Y58" s="73"/>
      <c r="Z58" s="73"/>
      <c r="AA58" s="73"/>
      <c r="AB58" s="73" t="s">
        <v>1398</v>
      </c>
      <c r="AC58" s="3261"/>
      <c r="AD58" s="3261"/>
      <c r="AE58" s="3261"/>
      <c r="AF58" s="3261"/>
      <c r="AG58" s="3261"/>
      <c r="AH58" s="3261"/>
      <c r="AI58" s="3261"/>
      <c r="AJ58" s="3261"/>
      <c r="AK58" s="3261"/>
      <c r="AL58" s="3261"/>
      <c r="AM58" s="3261"/>
      <c r="AN58" s="3261">
        <v>1</v>
      </c>
      <c r="AO58" s="3261">
        <v>1</v>
      </c>
      <c r="AP58" s="3261">
        <v>0</v>
      </c>
      <c r="AQ58" s="3261"/>
      <c r="AR58" s="161">
        <v>0</v>
      </c>
      <c r="AS58" s="161">
        <v>0</v>
      </c>
      <c r="AT58" s="161">
        <v>2</v>
      </c>
      <c r="AU58" s="73"/>
      <c r="AY58" s="73"/>
      <c r="AZ58" s="738" t="s">
        <v>15</v>
      </c>
      <c r="BA58" s="2608"/>
      <c r="BB58" s="2608">
        <v>1</v>
      </c>
      <c r="BC58" s="2608"/>
      <c r="BD58" s="2608"/>
      <c r="BE58" s="2608"/>
      <c r="BF58" s="2608"/>
      <c r="BG58" s="2608"/>
      <c r="BH58" s="2608"/>
      <c r="BI58" s="2608"/>
      <c r="BJ58" s="2608">
        <v>1</v>
      </c>
      <c r="BK58" s="2608"/>
      <c r="BL58" s="2608"/>
      <c r="BM58" s="2608"/>
      <c r="BN58" s="2608">
        <v>2</v>
      </c>
      <c r="BO58" s="2608">
        <v>10</v>
      </c>
      <c r="BP58" s="738"/>
      <c r="BQ58" s="738">
        <v>3</v>
      </c>
      <c r="BR58" s="738">
        <v>17</v>
      </c>
      <c r="BS58" s="912">
        <f>+(BR54+BR57)/BR58</f>
        <v>0.11764705882352941</v>
      </c>
      <c r="BU58" s="2207"/>
      <c r="BV58" s="2207"/>
      <c r="BW58" s="2207"/>
      <c r="BX58" s="2208" t="s">
        <v>1284</v>
      </c>
      <c r="BY58" s="2209"/>
      <c r="BZ58" s="2210">
        <v>2</v>
      </c>
      <c r="CA58" s="2210">
        <v>0</v>
      </c>
      <c r="CB58" s="2209"/>
      <c r="CC58" s="2210">
        <v>2</v>
      </c>
      <c r="CD58" s="2210">
        <v>1</v>
      </c>
      <c r="CE58" s="2209"/>
      <c r="CF58" s="2210">
        <v>1</v>
      </c>
      <c r="CG58" s="2210">
        <v>0</v>
      </c>
      <c r="CH58" s="2209"/>
      <c r="CI58" s="2210">
        <v>1</v>
      </c>
      <c r="CJ58" s="2210">
        <v>2</v>
      </c>
      <c r="CK58" s="2210">
        <v>0</v>
      </c>
      <c r="CL58" s="2212">
        <v>0</v>
      </c>
      <c r="CM58" s="2212">
        <v>0</v>
      </c>
      <c r="CN58" s="2212">
        <v>9</v>
      </c>
      <c r="CO58" s="73"/>
      <c r="CQ58" s="955"/>
      <c r="CR58" s="955"/>
      <c r="CS58" s="955"/>
      <c r="CT58" s="956" t="s">
        <v>1398</v>
      </c>
      <c r="CU58" s="957"/>
      <c r="CV58" s="957"/>
      <c r="CW58" s="957"/>
      <c r="CX58" s="957"/>
      <c r="CY58" s="957"/>
      <c r="CZ58" s="957"/>
      <c r="DA58" s="957"/>
      <c r="DB58" s="957"/>
      <c r="DC58" s="957"/>
      <c r="DD58" s="957"/>
      <c r="DE58" s="957"/>
      <c r="DF58" s="957"/>
      <c r="DG58" s="957"/>
      <c r="DH58" s="958">
        <v>1</v>
      </c>
      <c r="DI58" s="958">
        <v>0</v>
      </c>
      <c r="DJ58" s="959"/>
      <c r="DK58" s="960">
        <v>0</v>
      </c>
      <c r="DL58" s="960">
        <v>1</v>
      </c>
      <c r="DM58" s="161"/>
      <c r="DO58" s="788"/>
      <c r="DP58" s="788"/>
      <c r="DQ58" s="788" t="s">
        <v>124</v>
      </c>
      <c r="DR58" s="788" t="s">
        <v>1282</v>
      </c>
      <c r="DS58" s="789" t="s">
        <v>1284</v>
      </c>
      <c r="DT58" s="961"/>
      <c r="DU58" s="961"/>
      <c r="DV58" s="961"/>
      <c r="DW58" s="961"/>
      <c r="DX58" s="961"/>
      <c r="DY58" s="961"/>
      <c r="DZ58" s="961"/>
      <c r="EA58" s="961"/>
      <c r="EB58" s="961"/>
      <c r="EC58" s="961"/>
      <c r="ED58" s="961"/>
      <c r="EE58" s="961"/>
      <c r="EF58" s="962">
        <v>1</v>
      </c>
      <c r="EG58" s="961"/>
      <c r="EH58" s="962">
        <v>0</v>
      </c>
      <c r="EI58" s="963"/>
      <c r="EJ58" s="963"/>
      <c r="EK58" s="964">
        <v>1</v>
      </c>
      <c r="EL58" s="912"/>
      <c r="EM58" s="73"/>
      <c r="EN58" s="965"/>
      <c r="EO58" s="965"/>
      <c r="EP58" s="965"/>
      <c r="EQ58" s="734" t="s">
        <v>1398</v>
      </c>
      <c r="ER58" s="966"/>
      <c r="ES58" s="735">
        <v>0</v>
      </c>
      <c r="ET58" s="735">
        <v>0</v>
      </c>
      <c r="EU58" s="735">
        <v>1</v>
      </c>
      <c r="EV58" s="966"/>
      <c r="EW58" s="735">
        <v>3</v>
      </c>
      <c r="EX58" s="735">
        <v>3</v>
      </c>
      <c r="EY58" s="735">
        <v>1</v>
      </c>
      <c r="EZ58" s="735">
        <v>0</v>
      </c>
      <c r="FA58" s="735">
        <v>0</v>
      </c>
      <c r="FB58" s="966"/>
      <c r="FC58" s="966"/>
      <c r="FD58" s="966"/>
      <c r="FE58" s="735">
        <v>8</v>
      </c>
      <c r="FF58" s="967"/>
      <c r="FG58" s="73"/>
      <c r="FH58" s="73"/>
      <c r="FI58" s="161"/>
      <c r="FJ58" s="161"/>
      <c r="FK58" s="73"/>
      <c r="FL58" s="738" t="s">
        <v>15</v>
      </c>
      <c r="FM58" s="151"/>
      <c r="FN58" s="151"/>
      <c r="FO58" s="151"/>
      <c r="FP58" s="151"/>
      <c r="FQ58" s="151">
        <v>1</v>
      </c>
      <c r="FR58" s="151"/>
      <c r="FS58" s="151"/>
      <c r="FT58" s="151"/>
      <c r="FU58" s="151">
        <v>1</v>
      </c>
      <c r="FV58" s="151">
        <v>1</v>
      </c>
      <c r="FW58" s="151">
        <v>2</v>
      </c>
      <c r="FX58" s="151">
        <v>8</v>
      </c>
      <c r="FY58" s="151">
        <v>2</v>
      </c>
      <c r="FZ58" s="151">
        <v>6</v>
      </c>
      <c r="GA58" s="151"/>
      <c r="GB58" s="151"/>
      <c r="GC58" s="151">
        <v>21</v>
      </c>
      <c r="GD58" s="983">
        <f>+(GC54+GC57)/GC58</f>
        <v>0.23809523809523808</v>
      </c>
      <c r="GE58" s="73"/>
      <c r="GF58" s="968"/>
      <c r="GG58" s="968"/>
      <c r="GH58" s="968"/>
      <c r="GI58" s="968" t="s">
        <v>1289</v>
      </c>
      <c r="GJ58" s="968">
        <v>0</v>
      </c>
      <c r="GK58" s="968">
        <v>1</v>
      </c>
      <c r="GL58" s="968">
        <v>0</v>
      </c>
      <c r="GM58" s="968">
        <v>0</v>
      </c>
      <c r="GN58" s="968">
        <v>0</v>
      </c>
      <c r="GO58" s="968">
        <v>0</v>
      </c>
      <c r="GP58" s="968">
        <v>0</v>
      </c>
      <c r="GQ58" s="968">
        <v>0</v>
      </c>
      <c r="GR58" s="968">
        <v>0</v>
      </c>
      <c r="GS58" s="968">
        <v>0</v>
      </c>
      <c r="GT58" s="968">
        <v>0</v>
      </c>
      <c r="GU58" s="968">
        <v>1</v>
      </c>
      <c r="GV58" s="968">
        <v>0</v>
      </c>
      <c r="GW58" s="968">
        <v>0</v>
      </c>
      <c r="GX58" s="968">
        <v>0</v>
      </c>
      <c r="GY58" s="968">
        <v>0</v>
      </c>
      <c r="GZ58" s="968">
        <v>2</v>
      </c>
      <c r="HA58" s="968"/>
      <c r="HB58" s="969"/>
    </row>
    <row r="59" spans="1:210">
      <c r="A59" s="73"/>
      <c r="B59" s="73"/>
      <c r="C59" s="738"/>
      <c r="D59" s="738" t="s">
        <v>1286</v>
      </c>
      <c r="E59" s="4694">
        <v>0</v>
      </c>
      <c r="F59" s="4694"/>
      <c r="G59" s="4694"/>
      <c r="H59" s="4694"/>
      <c r="I59" s="4694">
        <v>1</v>
      </c>
      <c r="J59" s="4694"/>
      <c r="K59" s="4694">
        <v>0</v>
      </c>
      <c r="L59" s="4694">
        <v>0</v>
      </c>
      <c r="M59" s="4694">
        <v>0</v>
      </c>
      <c r="N59" s="4694">
        <v>0</v>
      </c>
      <c r="O59" s="4694">
        <v>0</v>
      </c>
      <c r="P59" s="4694">
        <v>0</v>
      </c>
      <c r="Q59" s="4694">
        <v>0</v>
      </c>
      <c r="R59" s="4694">
        <v>0</v>
      </c>
      <c r="S59" s="4694">
        <v>0</v>
      </c>
      <c r="T59" s="738"/>
      <c r="U59" s="738">
        <v>0</v>
      </c>
      <c r="V59" s="738">
        <v>1</v>
      </c>
      <c r="W59" s="73"/>
      <c r="Y59" s="73"/>
      <c r="Z59" s="73"/>
      <c r="AA59" s="73"/>
      <c r="AB59" s="738" t="s">
        <v>15</v>
      </c>
      <c r="AC59" s="3262"/>
      <c r="AD59" s="3262"/>
      <c r="AE59" s="3262"/>
      <c r="AF59" s="3262"/>
      <c r="AG59" s="3262"/>
      <c r="AH59" s="3262"/>
      <c r="AI59" s="3262"/>
      <c r="AJ59" s="3262"/>
      <c r="AK59" s="3262"/>
      <c r="AL59" s="3262"/>
      <c r="AM59" s="3262"/>
      <c r="AN59" s="3262">
        <v>1</v>
      </c>
      <c r="AO59" s="3262">
        <v>1</v>
      </c>
      <c r="AP59" s="3262">
        <v>1</v>
      </c>
      <c r="AQ59" s="3262"/>
      <c r="AR59" s="151">
        <v>2</v>
      </c>
      <c r="AS59" s="151">
        <v>1</v>
      </c>
      <c r="AT59" s="151">
        <v>6</v>
      </c>
      <c r="AU59" s="912">
        <f>+(AT56+AT58)/AT59</f>
        <v>0.5</v>
      </c>
      <c r="AY59" s="73" t="s">
        <v>124</v>
      </c>
      <c r="AZ59" s="73" t="s">
        <v>1292</v>
      </c>
      <c r="BA59" s="2607"/>
      <c r="BB59" s="2607"/>
      <c r="BC59" s="2607"/>
      <c r="BD59" s="2607"/>
      <c r="BE59" s="2607"/>
      <c r="BF59" s="2607"/>
      <c r="BG59" s="2607"/>
      <c r="BH59" s="2607"/>
      <c r="BI59" s="2607"/>
      <c r="BJ59" s="2607"/>
      <c r="BK59" s="2607"/>
      <c r="BL59" s="2607"/>
      <c r="BM59" s="2607"/>
      <c r="BN59" s="2607">
        <v>0</v>
      </c>
      <c r="BO59" s="2607">
        <v>2</v>
      </c>
      <c r="BP59" s="73">
        <v>2</v>
      </c>
      <c r="BQ59" s="73"/>
      <c r="BR59" s="73">
        <v>4</v>
      </c>
      <c r="BS59" s="73"/>
      <c r="BU59" s="2207"/>
      <c r="BV59" s="2207"/>
      <c r="BW59" s="2207"/>
      <c r="BX59" s="2208" t="s">
        <v>1286</v>
      </c>
      <c r="BY59" s="2209"/>
      <c r="BZ59" s="2210">
        <v>1</v>
      </c>
      <c r="CA59" s="2210">
        <v>1</v>
      </c>
      <c r="CB59" s="2209"/>
      <c r="CC59" s="2210">
        <v>0</v>
      </c>
      <c r="CD59" s="2210">
        <v>0</v>
      </c>
      <c r="CE59" s="2209"/>
      <c r="CF59" s="2210">
        <v>0</v>
      </c>
      <c r="CG59" s="2210">
        <v>0</v>
      </c>
      <c r="CH59" s="2209"/>
      <c r="CI59" s="2210">
        <v>0</v>
      </c>
      <c r="CJ59" s="2210">
        <v>0</v>
      </c>
      <c r="CK59" s="2210">
        <v>0</v>
      </c>
      <c r="CL59" s="2212">
        <v>0</v>
      </c>
      <c r="CM59" s="2212">
        <v>0</v>
      </c>
      <c r="CN59" s="2212">
        <v>2</v>
      </c>
      <c r="CO59" s="73"/>
      <c r="CQ59" s="955"/>
      <c r="CR59" s="955"/>
      <c r="CS59" s="955"/>
      <c r="CT59" s="974" t="s">
        <v>15</v>
      </c>
      <c r="CU59" s="975"/>
      <c r="CV59" s="975"/>
      <c r="CW59" s="975"/>
      <c r="CX59" s="975"/>
      <c r="CY59" s="975"/>
      <c r="CZ59" s="975"/>
      <c r="DA59" s="975"/>
      <c r="DB59" s="975"/>
      <c r="DC59" s="975"/>
      <c r="DD59" s="975"/>
      <c r="DE59" s="975"/>
      <c r="DF59" s="975"/>
      <c r="DG59" s="975"/>
      <c r="DH59" s="976">
        <v>1</v>
      </c>
      <c r="DI59" s="976">
        <v>2</v>
      </c>
      <c r="DJ59" s="977"/>
      <c r="DK59" s="978">
        <v>1</v>
      </c>
      <c r="DL59" s="978">
        <v>4</v>
      </c>
      <c r="DM59" s="912">
        <f>+DL58/DL59</f>
        <v>0.25</v>
      </c>
      <c r="DO59" s="788"/>
      <c r="DP59" s="788"/>
      <c r="DQ59" s="788"/>
      <c r="DR59" s="788"/>
      <c r="DS59" s="789" t="s">
        <v>1288</v>
      </c>
      <c r="DT59" s="961"/>
      <c r="DU59" s="961"/>
      <c r="DV59" s="961"/>
      <c r="DW59" s="961"/>
      <c r="DX59" s="961"/>
      <c r="DY59" s="961"/>
      <c r="DZ59" s="961"/>
      <c r="EA59" s="961"/>
      <c r="EB59" s="961"/>
      <c r="EC59" s="961"/>
      <c r="ED59" s="961"/>
      <c r="EE59" s="961"/>
      <c r="EF59" s="962">
        <v>1</v>
      </c>
      <c r="EG59" s="961"/>
      <c r="EH59" s="962">
        <v>0</v>
      </c>
      <c r="EI59" s="963"/>
      <c r="EJ59" s="963"/>
      <c r="EK59" s="964">
        <v>1</v>
      </c>
      <c r="EL59" s="912"/>
      <c r="EM59" s="73"/>
      <c r="EN59" s="965"/>
      <c r="EO59" s="965"/>
      <c r="EP59" s="965"/>
      <c r="EQ59" s="981" t="s">
        <v>15</v>
      </c>
      <c r="ER59" s="982"/>
      <c r="ES59" s="740">
        <v>1</v>
      </c>
      <c r="ET59" s="740">
        <v>1</v>
      </c>
      <c r="EU59" s="740">
        <v>2</v>
      </c>
      <c r="EV59" s="982"/>
      <c r="EW59" s="740">
        <v>10</v>
      </c>
      <c r="EX59" s="740">
        <v>8</v>
      </c>
      <c r="EY59" s="740">
        <v>5</v>
      </c>
      <c r="EZ59" s="740">
        <v>4</v>
      </c>
      <c r="FA59" s="740">
        <v>5</v>
      </c>
      <c r="FB59" s="982"/>
      <c r="FC59" s="982"/>
      <c r="FD59" s="982"/>
      <c r="FE59" s="740">
        <v>36</v>
      </c>
      <c r="FF59" s="905">
        <f>+(FE58+FE55)/FE59</f>
        <v>0.55555555555555558</v>
      </c>
      <c r="FG59" s="73"/>
      <c r="FH59" s="73"/>
      <c r="FI59" s="161"/>
      <c r="FJ59" s="161"/>
      <c r="FK59" s="73" t="s">
        <v>126</v>
      </c>
      <c r="FL59" s="73" t="s">
        <v>1284</v>
      </c>
      <c r="FM59" s="161"/>
      <c r="FN59" s="161"/>
      <c r="FO59" s="161"/>
      <c r="FP59" s="161"/>
      <c r="FQ59" s="161"/>
      <c r="FR59" s="161"/>
      <c r="FS59" s="161"/>
      <c r="FT59" s="161"/>
      <c r="FU59" s="161">
        <v>0</v>
      </c>
      <c r="FV59" s="161">
        <v>1</v>
      </c>
      <c r="FW59" s="161">
        <v>1</v>
      </c>
      <c r="FX59" s="161">
        <v>1</v>
      </c>
      <c r="FY59" s="161"/>
      <c r="FZ59" s="161">
        <v>0</v>
      </c>
      <c r="GA59" s="161"/>
      <c r="GB59" s="161"/>
      <c r="GC59" s="161">
        <v>3</v>
      </c>
      <c r="GD59" s="73"/>
      <c r="GE59" s="73"/>
      <c r="GF59" s="968"/>
      <c r="GG59" s="968"/>
      <c r="GH59" s="968"/>
      <c r="GI59" s="968" t="s">
        <v>1398</v>
      </c>
      <c r="GJ59" s="968">
        <v>0</v>
      </c>
      <c r="GK59" s="968">
        <v>0</v>
      </c>
      <c r="GL59" s="968">
        <v>0</v>
      </c>
      <c r="GM59" s="968">
        <v>0</v>
      </c>
      <c r="GN59" s="968">
        <v>0</v>
      </c>
      <c r="GO59" s="968">
        <v>0</v>
      </c>
      <c r="GP59" s="968">
        <v>0</v>
      </c>
      <c r="GQ59" s="968">
        <v>1</v>
      </c>
      <c r="GR59" s="968">
        <v>1</v>
      </c>
      <c r="GS59" s="968">
        <v>1</v>
      </c>
      <c r="GT59" s="968">
        <v>0</v>
      </c>
      <c r="GU59" s="968">
        <v>2</v>
      </c>
      <c r="GV59" s="968">
        <v>0</v>
      </c>
      <c r="GW59" s="968">
        <v>0</v>
      </c>
      <c r="GX59" s="968">
        <v>0</v>
      </c>
      <c r="GY59" s="968">
        <v>0</v>
      </c>
      <c r="GZ59" s="968">
        <v>5</v>
      </c>
      <c r="HA59" s="968"/>
      <c r="HB59" s="969"/>
    </row>
    <row r="60" spans="1:210">
      <c r="A60" s="73"/>
      <c r="B60" s="73"/>
      <c r="C60" s="738"/>
      <c r="D60" s="738" t="s">
        <v>1288</v>
      </c>
      <c r="E60" s="4694">
        <v>0</v>
      </c>
      <c r="F60" s="4694"/>
      <c r="G60" s="4694"/>
      <c r="H60" s="4694"/>
      <c r="I60" s="4694">
        <v>0</v>
      </c>
      <c r="J60" s="4694"/>
      <c r="K60" s="4694">
        <v>0</v>
      </c>
      <c r="L60" s="4694">
        <v>0</v>
      </c>
      <c r="M60" s="4694">
        <v>0</v>
      </c>
      <c r="N60" s="4694">
        <v>3</v>
      </c>
      <c r="O60" s="4694">
        <v>0</v>
      </c>
      <c r="P60" s="4694">
        <v>0</v>
      </c>
      <c r="Q60" s="4694">
        <v>1</v>
      </c>
      <c r="R60" s="4694">
        <v>0</v>
      </c>
      <c r="S60" s="4694">
        <v>0</v>
      </c>
      <c r="T60" s="738"/>
      <c r="U60" s="738">
        <v>0</v>
      </c>
      <c r="V60" s="738">
        <v>4</v>
      </c>
      <c r="W60" s="73"/>
      <c r="Y60" s="73"/>
      <c r="Z60" s="73"/>
      <c r="AA60" s="73" t="s">
        <v>125</v>
      </c>
      <c r="AB60" s="73" t="s">
        <v>1288</v>
      </c>
      <c r="AC60" s="3261"/>
      <c r="AD60" s="3261"/>
      <c r="AE60" s="3261"/>
      <c r="AF60" s="3261"/>
      <c r="AG60" s="3261"/>
      <c r="AH60" s="3261"/>
      <c r="AI60" s="3261"/>
      <c r="AJ60" s="3261"/>
      <c r="AK60" s="3261"/>
      <c r="AL60" s="3261"/>
      <c r="AM60" s="3261"/>
      <c r="AN60" s="3261"/>
      <c r="AO60" s="3261">
        <v>0</v>
      </c>
      <c r="AP60" s="3261">
        <v>1</v>
      </c>
      <c r="AQ60" s="3261">
        <v>0</v>
      </c>
      <c r="AR60" s="161">
        <v>1</v>
      </c>
      <c r="AS60" s="161"/>
      <c r="AT60" s="161">
        <v>2</v>
      </c>
      <c r="AU60" s="73"/>
      <c r="AY60" s="73"/>
      <c r="AZ60" s="73" t="s">
        <v>1398</v>
      </c>
      <c r="BA60" s="2607"/>
      <c r="BB60" s="2607"/>
      <c r="BC60" s="2607"/>
      <c r="BD60" s="2607"/>
      <c r="BE60" s="2607"/>
      <c r="BF60" s="2607"/>
      <c r="BG60" s="2607"/>
      <c r="BH60" s="2607"/>
      <c r="BI60" s="2607"/>
      <c r="BJ60" s="2607"/>
      <c r="BK60" s="2607"/>
      <c r="BL60" s="2607"/>
      <c r="BM60" s="2607"/>
      <c r="BN60" s="2607">
        <v>2</v>
      </c>
      <c r="BO60" s="2607">
        <v>0</v>
      </c>
      <c r="BP60" s="73">
        <v>0</v>
      </c>
      <c r="BQ60" s="73"/>
      <c r="BR60" s="73">
        <v>2</v>
      </c>
      <c r="BS60" s="73"/>
      <c r="BU60" s="2207"/>
      <c r="BV60" s="2207"/>
      <c r="BW60" s="2207"/>
      <c r="BX60" s="2208" t="s">
        <v>1288</v>
      </c>
      <c r="BY60" s="2209"/>
      <c r="BZ60" s="2210">
        <v>0</v>
      </c>
      <c r="CA60" s="2210">
        <v>0</v>
      </c>
      <c r="CB60" s="2209"/>
      <c r="CC60" s="2210">
        <v>0</v>
      </c>
      <c r="CD60" s="2210">
        <v>0</v>
      </c>
      <c r="CE60" s="2209"/>
      <c r="CF60" s="2210">
        <v>0</v>
      </c>
      <c r="CG60" s="2210">
        <v>0</v>
      </c>
      <c r="CH60" s="2209"/>
      <c r="CI60" s="2210">
        <v>0</v>
      </c>
      <c r="CJ60" s="2210">
        <v>1</v>
      </c>
      <c r="CK60" s="2210">
        <v>0</v>
      </c>
      <c r="CL60" s="2212">
        <v>1</v>
      </c>
      <c r="CM60" s="2212">
        <v>0</v>
      </c>
      <c r="CN60" s="2212">
        <v>2</v>
      </c>
      <c r="CO60" s="73"/>
      <c r="CQ60" s="955"/>
      <c r="CR60" s="955"/>
      <c r="CS60" s="955" t="s">
        <v>125</v>
      </c>
      <c r="CT60" s="956" t="s">
        <v>1284</v>
      </c>
      <c r="CU60" s="957"/>
      <c r="CV60" s="957"/>
      <c r="CW60" s="957"/>
      <c r="CX60" s="957"/>
      <c r="CY60" s="957"/>
      <c r="CZ60" s="957"/>
      <c r="DA60" s="957"/>
      <c r="DB60" s="957"/>
      <c r="DC60" s="957"/>
      <c r="DD60" s="957"/>
      <c r="DE60" s="957"/>
      <c r="DF60" s="957"/>
      <c r="DG60" s="957"/>
      <c r="DH60" s="957"/>
      <c r="DI60" s="958">
        <v>1</v>
      </c>
      <c r="DJ60" s="959"/>
      <c r="DK60" s="959"/>
      <c r="DL60" s="960">
        <v>1</v>
      </c>
      <c r="DM60" s="161"/>
      <c r="DO60" s="788"/>
      <c r="DP60" s="788"/>
      <c r="DQ60" s="788"/>
      <c r="DR60" s="788"/>
      <c r="DS60" s="789" t="s">
        <v>1292</v>
      </c>
      <c r="DT60" s="961"/>
      <c r="DU60" s="961"/>
      <c r="DV60" s="961"/>
      <c r="DW60" s="961"/>
      <c r="DX60" s="961"/>
      <c r="DY60" s="961"/>
      <c r="DZ60" s="961"/>
      <c r="EA60" s="961"/>
      <c r="EB60" s="961"/>
      <c r="EC60" s="961"/>
      <c r="ED60" s="961"/>
      <c r="EE60" s="961"/>
      <c r="EF60" s="962">
        <v>0</v>
      </c>
      <c r="EG60" s="961"/>
      <c r="EH60" s="962">
        <v>1</v>
      </c>
      <c r="EI60" s="963"/>
      <c r="EJ60" s="963"/>
      <c r="EK60" s="964">
        <v>1</v>
      </c>
      <c r="EL60" s="912"/>
      <c r="EM60" s="73"/>
      <c r="EN60" s="965"/>
      <c r="EO60" s="965"/>
      <c r="EP60" s="965" t="s">
        <v>128</v>
      </c>
      <c r="EQ60" s="734" t="s">
        <v>1283</v>
      </c>
      <c r="ER60" s="735">
        <v>0</v>
      </c>
      <c r="ES60" s="735">
        <v>0</v>
      </c>
      <c r="ET60" s="735">
        <v>0</v>
      </c>
      <c r="EU60" s="966"/>
      <c r="EV60" s="966"/>
      <c r="EW60" s="966"/>
      <c r="EX60" s="735">
        <v>0</v>
      </c>
      <c r="EY60" s="735">
        <v>0</v>
      </c>
      <c r="EZ60" s="735">
        <v>1</v>
      </c>
      <c r="FA60" s="735">
        <v>1</v>
      </c>
      <c r="FB60" s="966"/>
      <c r="FC60" s="966"/>
      <c r="FD60" s="966"/>
      <c r="FE60" s="735">
        <v>2</v>
      </c>
      <c r="FF60" s="967"/>
      <c r="FG60" s="73"/>
      <c r="FH60" s="73"/>
      <c r="FI60" s="161"/>
      <c r="FJ60" s="161"/>
      <c r="FK60" s="73"/>
      <c r="FL60" s="73" t="s">
        <v>1288</v>
      </c>
      <c r="FM60" s="161"/>
      <c r="FN60" s="161"/>
      <c r="FO60" s="161"/>
      <c r="FP60" s="161"/>
      <c r="FQ60" s="161"/>
      <c r="FR60" s="161"/>
      <c r="FS60" s="161"/>
      <c r="FT60" s="161"/>
      <c r="FU60" s="161">
        <v>0</v>
      </c>
      <c r="FV60" s="161">
        <v>0</v>
      </c>
      <c r="FW60" s="161">
        <v>1</v>
      </c>
      <c r="FX60" s="161">
        <v>0</v>
      </c>
      <c r="FY60" s="161"/>
      <c r="FZ60" s="161">
        <v>0</v>
      </c>
      <c r="GA60" s="161"/>
      <c r="GB60" s="161"/>
      <c r="GC60" s="161">
        <v>1</v>
      </c>
      <c r="GD60" s="73"/>
      <c r="GE60" s="73"/>
      <c r="GF60" s="968"/>
      <c r="GG60" s="968"/>
      <c r="GH60" s="968"/>
      <c r="GI60" s="979" t="s">
        <v>15</v>
      </c>
      <c r="GJ60" s="979">
        <v>0</v>
      </c>
      <c r="GK60" s="979">
        <v>1</v>
      </c>
      <c r="GL60" s="979">
        <v>0</v>
      </c>
      <c r="GM60" s="979">
        <v>0</v>
      </c>
      <c r="GN60" s="979">
        <v>0</v>
      </c>
      <c r="GO60" s="979">
        <v>0</v>
      </c>
      <c r="GP60" s="979">
        <v>0</v>
      </c>
      <c r="GQ60" s="979">
        <v>1</v>
      </c>
      <c r="GR60" s="979">
        <v>1</v>
      </c>
      <c r="GS60" s="979">
        <v>4</v>
      </c>
      <c r="GT60" s="979">
        <v>0</v>
      </c>
      <c r="GU60" s="979">
        <v>9</v>
      </c>
      <c r="GV60" s="979">
        <v>0</v>
      </c>
      <c r="GW60" s="979">
        <v>0</v>
      </c>
      <c r="GX60" s="979">
        <v>0</v>
      </c>
      <c r="GY60" s="979">
        <v>0</v>
      </c>
      <c r="GZ60" s="979">
        <v>16</v>
      </c>
      <c r="HA60" s="980">
        <f>+(GZ59+GZ57)/GZ60</f>
        <v>0.8125</v>
      </c>
      <c r="HB60" s="969">
        <f>+GZ57+GZ59</f>
        <v>13</v>
      </c>
    </row>
    <row r="61" spans="1:210">
      <c r="A61" s="73"/>
      <c r="B61" s="73"/>
      <c r="C61" s="738"/>
      <c r="D61" s="738" t="s">
        <v>1292</v>
      </c>
      <c r="E61" s="4694">
        <v>0</v>
      </c>
      <c r="F61" s="4694"/>
      <c r="G61" s="4694"/>
      <c r="H61" s="4694"/>
      <c r="I61" s="4694">
        <v>0</v>
      </c>
      <c r="J61" s="4694"/>
      <c r="K61" s="4694">
        <v>0</v>
      </c>
      <c r="L61" s="4694">
        <v>0</v>
      </c>
      <c r="M61" s="4694">
        <v>0</v>
      </c>
      <c r="N61" s="4694">
        <v>0</v>
      </c>
      <c r="O61" s="4694">
        <v>1</v>
      </c>
      <c r="P61" s="4694">
        <v>3</v>
      </c>
      <c r="Q61" s="4694">
        <v>0</v>
      </c>
      <c r="R61" s="4694">
        <v>1</v>
      </c>
      <c r="S61" s="4694">
        <v>13</v>
      </c>
      <c r="T61" s="738"/>
      <c r="U61" s="738">
        <v>1</v>
      </c>
      <c r="V61" s="738">
        <v>19</v>
      </c>
      <c r="W61" s="73"/>
      <c r="Y61" s="73"/>
      <c r="Z61" s="73"/>
      <c r="AA61" s="73"/>
      <c r="AB61" s="73" t="s">
        <v>1292</v>
      </c>
      <c r="AC61" s="3261"/>
      <c r="AD61" s="3261"/>
      <c r="AE61" s="3261"/>
      <c r="AF61" s="3261"/>
      <c r="AG61" s="3261"/>
      <c r="AH61" s="3261"/>
      <c r="AI61" s="3261"/>
      <c r="AJ61" s="3261"/>
      <c r="AK61" s="3261"/>
      <c r="AL61" s="3261"/>
      <c r="AM61" s="3261"/>
      <c r="AN61" s="3261"/>
      <c r="AO61" s="3261">
        <v>0</v>
      </c>
      <c r="AP61" s="3261">
        <v>0</v>
      </c>
      <c r="AQ61" s="3261">
        <v>3</v>
      </c>
      <c r="AR61" s="161">
        <v>0</v>
      </c>
      <c r="AS61" s="161"/>
      <c r="AT61" s="161">
        <v>3</v>
      </c>
      <c r="AU61" s="73"/>
      <c r="AY61" s="73"/>
      <c r="AZ61" s="738" t="s">
        <v>15</v>
      </c>
      <c r="BA61" s="2608"/>
      <c r="BB61" s="2608"/>
      <c r="BC61" s="2608"/>
      <c r="BD61" s="2608"/>
      <c r="BE61" s="2608"/>
      <c r="BF61" s="2608"/>
      <c r="BG61" s="2608"/>
      <c r="BH61" s="2608"/>
      <c r="BI61" s="2608"/>
      <c r="BJ61" s="2608"/>
      <c r="BK61" s="2608"/>
      <c r="BL61" s="2608"/>
      <c r="BM61" s="2608"/>
      <c r="BN61" s="2608">
        <v>2</v>
      </c>
      <c r="BO61" s="2608">
        <v>2</v>
      </c>
      <c r="BP61" s="738">
        <v>2</v>
      </c>
      <c r="BQ61" s="738"/>
      <c r="BR61" s="738">
        <v>6</v>
      </c>
      <c r="BS61" s="912">
        <f>+BR60/BR61</f>
        <v>0.33333333333333331</v>
      </c>
      <c r="BU61" s="2207"/>
      <c r="BV61" s="2207"/>
      <c r="BW61" s="2207"/>
      <c r="BX61" s="2208" t="s">
        <v>1289</v>
      </c>
      <c r="BY61" s="2209"/>
      <c r="BZ61" s="2210">
        <v>0</v>
      </c>
      <c r="CA61" s="2210">
        <v>0</v>
      </c>
      <c r="CB61" s="2209"/>
      <c r="CC61" s="2210">
        <v>0</v>
      </c>
      <c r="CD61" s="2210">
        <v>0</v>
      </c>
      <c r="CE61" s="2209"/>
      <c r="CF61" s="2210">
        <v>0</v>
      </c>
      <c r="CG61" s="2210">
        <v>1</v>
      </c>
      <c r="CH61" s="2209"/>
      <c r="CI61" s="2210">
        <v>0</v>
      </c>
      <c r="CJ61" s="2210">
        <v>0</v>
      </c>
      <c r="CK61" s="2210">
        <v>0</v>
      </c>
      <c r="CL61" s="2212">
        <v>0</v>
      </c>
      <c r="CM61" s="2212">
        <v>0</v>
      </c>
      <c r="CN61" s="2212">
        <v>1</v>
      </c>
      <c r="CO61" s="73"/>
      <c r="CQ61" s="955"/>
      <c r="CR61" s="955"/>
      <c r="CS61" s="955"/>
      <c r="CT61" s="956" t="s">
        <v>1292</v>
      </c>
      <c r="CU61" s="957"/>
      <c r="CV61" s="957"/>
      <c r="CW61" s="957"/>
      <c r="CX61" s="957"/>
      <c r="CY61" s="957"/>
      <c r="CZ61" s="957"/>
      <c r="DA61" s="957"/>
      <c r="DB61" s="957"/>
      <c r="DC61" s="957"/>
      <c r="DD61" s="957"/>
      <c r="DE61" s="957"/>
      <c r="DF61" s="957"/>
      <c r="DG61" s="957"/>
      <c r="DH61" s="957"/>
      <c r="DI61" s="958">
        <v>3</v>
      </c>
      <c r="DJ61" s="959"/>
      <c r="DK61" s="959"/>
      <c r="DL61" s="960">
        <v>3</v>
      </c>
      <c r="DM61" s="161"/>
      <c r="DO61" s="788"/>
      <c r="DP61" s="788"/>
      <c r="DQ61" s="788"/>
      <c r="DR61" s="73"/>
      <c r="DS61" s="809" t="s">
        <v>15</v>
      </c>
      <c r="DT61" s="970"/>
      <c r="DU61" s="970"/>
      <c r="DV61" s="970"/>
      <c r="DW61" s="970"/>
      <c r="DX61" s="970"/>
      <c r="DY61" s="970"/>
      <c r="DZ61" s="970"/>
      <c r="EA61" s="970"/>
      <c r="EB61" s="970"/>
      <c r="EC61" s="970"/>
      <c r="ED61" s="970"/>
      <c r="EE61" s="970"/>
      <c r="EF61" s="971">
        <v>2</v>
      </c>
      <c r="EG61" s="970"/>
      <c r="EH61" s="971">
        <v>1</v>
      </c>
      <c r="EI61" s="972"/>
      <c r="EJ61" s="972"/>
      <c r="EK61" s="973">
        <v>3</v>
      </c>
      <c r="EL61" s="912">
        <f>+EK59/EK61</f>
        <v>0.33333333333333331</v>
      </c>
      <c r="EM61" s="73"/>
      <c r="EN61" s="965"/>
      <c r="EO61" s="965"/>
      <c r="EP61" s="965"/>
      <c r="EQ61" s="734" t="s">
        <v>1284</v>
      </c>
      <c r="ER61" s="735">
        <v>0</v>
      </c>
      <c r="ES61" s="735">
        <v>0</v>
      </c>
      <c r="ET61" s="735">
        <v>1</v>
      </c>
      <c r="EU61" s="966"/>
      <c r="EV61" s="966"/>
      <c r="EW61" s="966"/>
      <c r="EX61" s="735">
        <v>0</v>
      </c>
      <c r="EY61" s="735">
        <v>0</v>
      </c>
      <c r="EZ61" s="735">
        <v>0</v>
      </c>
      <c r="FA61" s="735">
        <v>0</v>
      </c>
      <c r="FB61" s="966"/>
      <c r="FC61" s="966"/>
      <c r="FD61" s="966"/>
      <c r="FE61" s="735">
        <v>1</v>
      </c>
      <c r="FF61" s="967"/>
      <c r="FG61" s="73"/>
      <c r="FH61" s="73"/>
      <c r="FI61" s="161"/>
      <c r="FJ61" s="161"/>
      <c r="FK61" s="73"/>
      <c r="FL61" s="73" t="s">
        <v>1292</v>
      </c>
      <c r="FM61" s="161"/>
      <c r="FN61" s="161"/>
      <c r="FO61" s="161"/>
      <c r="FP61" s="161"/>
      <c r="FQ61" s="161"/>
      <c r="FR61" s="161"/>
      <c r="FS61" s="161"/>
      <c r="FT61" s="161"/>
      <c r="FU61" s="161">
        <v>0</v>
      </c>
      <c r="FV61" s="161">
        <v>0</v>
      </c>
      <c r="FW61" s="161">
        <v>0</v>
      </c>
      <c r="FX61" s="161">
        <v>0</v>
      </c>
      <c r="FY61" s="161"/>
      <c r="FZ61" s="161">
        <v>5</v>
      </c>
      <c r="GA61" s="161"/>
      <c r="GB61" s="161"/>
      <c r="GC61" s="161">
        <v>5</v>
      </c>
      <c r="GD61" s="73"/>
      <c r="GE61" s="73"/>
      <c r="GF61" s="968"/>
      <c r="GG61" s="968"/>
      <c r="GH61" s="968" t="s">
        <v>129</v>
      </c>
      <c r="GI61" s="968" t="s">
        <v>1292</v>
      </c>
      <c r="GJ61" s="968">
        <v>0</v>
      </c>
      <c r="GK61" s="968">
        <v>0</v>
      </c>
      <c r="GL61" s="968">
        <v>0</v>
      </c>
      <c r="GM61" s="968">
        <v>0</v>
      </c>
      <c r="GN61" s="968">
        <v>0</v>
      </c>
      <c r="GO61" s="968">
        <v>0</v>
      </c>
      <c r="GP61" s="968">
        <v>0</v>
      </c>
      <c r="GQ61" s="968">
        <v>0</v>
      </c>
      <c r="GR61" s="968">
        <v>0</v>
      </c>
      <c r="GS61" s="968">
        <v>0</v>
      </c>
      <c r="GT61" s="968">
        <v>0</v>
      </c>
      <c r="GU61" s="968">
        <v>0</v>
      </c>
      <c r="GV61" s="968">
        <v>0</v>
      </c>
      <c r="GW61" s="968">
        <v>0</v>
      </c>
      <c r="GX61" s="968">
        <v>1</v>
      </c>
      <c r="GY61" s="968">
        <v>0</v>
      </c>
      <c r="GZ61" s="968">
        <v>1</v>
      </c>
      <c r="HA61" s="968"/>
      <c r="HB61" s="969"/>
    </row>
    <row r="62" spans="1:210">
      <c r="A62" s="73"/>
      <c r="B62" s="73"/>
      <c r="C62" s="738"/>
      <c r="D62" s="738" t="s">
        <v>1293</v>
      </c>
      <c r="E62" s="4694">
        <v>0</v>
      </c>
      <c r="F62" s="4694"/>
      <c r="G62" s="4694"/>
      <c r="H62" s="4694"/>
      <c r="I62" s="4694">
        <v>0</v>
      </c>
      <c r="J62" s="4694"/>
      <c r="K62" s="4694">
        <v>0</v>
      </c>
      <c r="L62" s="4694">
        <v>0</v>
      </c>
      <c r="M62" s="4694">
        <v>0</v>
      </c>
      <c r="N62" s="4694">
        <v>4</v>
      </c>
      <c r="O62" s="4694">
        <v>0</v>
      </c>
      <c r="P62" s="4694">
        <v>1</v>
      </c>
      <c r="Q62" s="4694">
        <v>0</v>
      </c>
      <c r="R62" s="4694">
        <v>1</v>
      </c>
      <c r="S62" s="4694">
        <v>0</v>
      </c>
      <c r="T62" s="738"/>
      <c r="U62" s="738">
        <v>0</v>
      </c>
      <c r="V62" s="738">
        <v>6</v>
      </c>
      <c r="W62" s="73"/>
      <c r="Y62" s="73"/>
      <c r="Z62" s="73"/>
      <c r="AA62" s="73"/>
      <c r="AB62" s="73" t="s">
        <v>1398</v>
      </c>
      <c r="AC62" s="3261"/>
      <c r="AD62" s="3261"/>
      <c r="AE62" s="3261"/>
      <c r="AF62" s="3261"/>
      <c r="AG62" s="3261"/>
      <c r="AH62" s="3261"/>
      <c r="AI62" s="3261"/>
      <c r="AJ62" s="3261"/>
      <c r="AK62" s="3261"/>
      <c r="AL62" s="3261"/>
      <c r="AM62" s="3261"/>
      <c r="AN62" s="3261"/>
      <c r="AO62" s="3261">
        <v>1</v>
      </c>
      <c r="AP62" s="3261">
        <v>0</v>
      </c>
      <c r="AQ62" s="3261">
        <v>0</v>
      </c>
      <c r="AR62" s="161">
        <v>0</v>
      </c>
      <c r="AS62" s="161"/>
      <c r="AT62" s="161">
        <v>1</v>
      </c>
      <c r="AU62" s="73"/>
      <c r="AY62" s="73" t="s">
        <v>125</v>
      </c>
      <c r="AZ62" s="73" t="s">
        <v>1292</v>
      </c>
      <c r="BA62" s="2607"/>
      <c r="BB62" s="2607"/>
      <c r="BC62" s="2607"/>
      <c r="BD62" s="2607"/>
      <c r="BE62" s="2607"/>
      <c r="BF62" s="2607"/>
      <c r="BG62" s="2607"/>
      <c r="BH62" s="2607"/>
      <c r="BI62" s="2607"/>
      <c r="BJ62" s="2607"/>
      <c r="BK62" s="2607"/>
      <c r="BL62" s="2607"/>
      <c r="BM62" s="2607"/>
      <c r="BN62" s="2607"/>
      <c r="BO62" s="2607">
        <v>1</v>
      </c>
      <c r="BP62" s="73">
        <v>3</v>
      </c>
      <c r="BQ62" s="73"/>
      <c r="BR62" s="73">
        <v>4</v>
      </c>
      <c r="BS62" s="73"/>
      <c r="BU62" s="2207"/>
      <c r="BV62" s="2207"/>
      <c r="BW62" s="2207"/>
      <c r="BX62" s="2208" t="s">
        <v>1292</v>
      </c>
      <c r="BY62" s="2209"/>
      <c r="BZ62" s="2210">
        <v>0</v>
      </c>
      <c r="CA62" s="2210">
        <v>0</v>
      </c>
      <c r="CB62" s="2209"/>
      <c r="CC62" s="2210">
        <v>0</v>
      </c>
      <c r="CD62" s="2210">
        <v>0</v>
      </c>
      <c r="CE62" s="2209"/>
      <c r="CF62" s="2210">
        <v>0</v>
      </c>
      <c r="CG62" s="2210">
        <v>0</v>
      </c>
      <c r="CH62" s="2209"/>
      <c r="CI62" s="2210">
        <v>0</v>
      </c>
      <c r="CJ62" s="2210">
        <v>0</v>
      </c>
      <c r="CK62" s="2210">
        <v>20</v>
      </c>
      <c r="CL62" s="2212">
        <v>3</v>
      </c>
      <c r="CM62" s="2212">
        <v>10</v>
      </c>
      <c r="CN62" s="2212">
        <v>33</v>
      </c>
      <c r="CO62" s="73"/>
      <c r="CQ62" s="955"/>
      <c r="CR62" s="955"/>
      <c r="CS62" s="955"/>
      <c r="CT62" s="974" t="s">
        <v>15</v>
      </c>
      <c r="CU62" s="975"/>
      <c r="CV62" s="975"/>
      <c r="CW62" s="975"/>
      <c r="CX62" s="975"/>
      <c r="CY62" s="975"/>
      <c r="CZ62" s="975"/>
      <c r="DA62" s="975"/>
      <c r="DB62" s="975"/>
      <c r="DC62" s="975"/>
      <c r="DD62" s="975"/>
      <c r="DE62" s="975"/>
      <c r="DF62" s="975"/>
      <c r="DG62" s="975"/>
      <c r="DH62" s="975"/>
      <c r="DI62" s="976">
        <v>4</v>
      </c>
      <c r="DJ62" s="977"/>
      <c r="DK62" s="977"/>
      <c r="DL62" s="978">
        <v>4</v>
      </c>
      <c r="DM62" s="912">
        <v>0</v>
      </c>
      <c r="DO62" s="788"/>
      <c r="DP62" s="788"/>
      <c r="DQ62" s="788" t="s">
        <v>125</v>
      </c>
      <c r="DR62" s="788" t="s">
        <v>1282</v>
      </c>
      <c r="DS62" s="789" t="s">
        <v>1284</v>
      </c>
      <c r="DT62" s="961"/>
      <c r="DU62" s="961"/>
      <c r="DV62" s="961"/>
      <c r="DW62" s="961"/>
      <c r="DX62" s="961"/>
      <c r="DY62" s="961"/>
      <c r="DZ62" s="961"/>
      <c r="EA62" s="961"/>
      <c r="EB62" s="962">
        <v>1</v>
      </c>
      <c r="EC62" s="961"/>
      <c r="ED62" s="961"/>
      <c r="EE62" s="961"/>
      <c r="EF62" s="961"/>
      <c r="EG62" s="962">
        <v>2</v>
      </c>
      <c r="EH62" s="961"/>
      <c r="EI62" s="964">
        <v>0</v>
      </c>
      <c r="EJ62" s="964">
        <v>0</v>
      </c>
      <c r="EK62" s="964">
        <v>3</v>
      </c>
      <c r="EL62" s="912"/>
      <c r="EM62" s="73"/>
      <c r="EN62" s="965"/>
      <c r="EO62" s="965"/>
      <c r="EP62" s="965"/>
      <c r="EQ62" s="734" t="s">
        <v>1286</v>
      </c>
      <c r="ER62" s="735">
        <v>1</v>
      </c>
      <c r="ES62" s="735">
        <v>1</v>
      </c>
      <c r="ET62" s="735">
        <v>0</v>
      </c>
      <c r="EU62" s="966"/>
      <c r="EV62" s="966"/>
      <c r="EW62" s="966"/>
      <c r="EX62" s="735">
        <v>0</v>
      </c>
      <c r="EY62" s="735">
        <v>0</v>
      </c>
      <c r="EZ62" s="735">
        <v>0</v>
      </c>
      <c r="FA62" s="735">
        <v>0</v>
      </c>
      <c r="FB62" s="966"/>
      <c r="FC62" s="966"/>
      <c r="FD62" s="966"/>
      <c r="FE62" s="735">
        <v>2</v>
      </c>
      <c r="FF62" s="967"/>
      <c r="FG62" s="73"/>
      <c r="FH62" s="73"/>
      <c r="FI62" s="161"/>
      <c r="FJ62" s="161"/>
      <c r="FK62" s="73"/>
      <c r="FL62" s="73" t="s">
        <v>1398</v>
      </c>
      <c r="FM62" s="161"/>
      <c r="FN62" s="161"/>
      <c r="FO62" s="161"/>
      <c r="FP62" s="161"/>
      <c r="FQ62" s="161"/>
      <c r="FR62" s="161"/>
      <c r="FS62" s="161"/>
      <c r="FT62" s="161"/>
      <c r="FU62" s="161">
        <v>1</v>
      </c>
      <c r="FV62" s="161">
        <v>0</v>
      </c>
      <c r="FW62" s="161">
        <v>0</v>
      </c>
      <c r="FX62" s="161">
        <v>0</v>
      </c>
      <c r="FY62" s="161"/>
      <c r="FZ62" s="161">
        <v>0</v>
      </c>
      <c r="GA62" s="161"/>
      <c r="GB62" s="161"/>
      <c r="GC62" s="161">
        <v>1</v>
      </c>
      <c r="GD62" s="73"/>
      <c r="GE62" s="73"/>
      <c r="GF62" s="968"/>
      <c r="GG62" s="968"/>
      <c r="GH62" s="968"/>
      <c r="GI62" s="979" t="s">
        <v>15</v>
      </c>
      <c r="GJ62" s="979">
        <v>0</v>
      </c>
      <c r="GK62" s="979">
        <v>0</v>
      </c>
      <c r="GL62" s="979">
        <v>0</v>
      </c>
      <c r="GM62" s="979">
        <v>0</v>
      </c>
      <c r="GN62" s="979">
        <v>0</v>
      </c>
      <c r="GO62" s="979">
        <v>0</v>
      </c>
      <c r="GP62" s="979">
        <v>0</v>
      </c>
      <c r="GQ62" s="979">
        <v>0</v>
      </c>
      <c r="GR62" s="979">
        <v>0</v>
      </c>
      <c r="GS62" s="979">
        <v>0</v>
      </c>
      <c r="GT62" s="979">
        <v>0</v>
      </c>
      <c r="GU62" s="979">
        <v>0</v>
      </c>
      <c r="GV62" s="979">
        <v>0</v>
      </c>
      <c r="GW62" s="979">
        <v>0</v>
      </c>
      <c r="GX62" s="979">
        <v>1</v>
      </c>
      <c r="GY62" s="979">
        <v>0</v>
      </c>
      <c r="GZ62" s="979">
        <v>1</v>
      </c>
      <c r="HA62" s="980">
        <f>0/GZ62</f>
        <v>0</v>
      </c>
      <c r="HB62" s="969">
        <v>0</v>
      </c>
    </row>
    <row r="63" spans="1:210">
      <c r="A63" s="73"/>
      <c r="B63" s="73"/>
      <c r="C63" s="738"/>
      <c r="D63" s="738" t="s">
        <v>1398</v>
      </c>
      <c r="E63" s="4694">
        <v>0</v>
      </c>
      <c r="F63" s="4694"/>
      <c r="G63" s="4694"/>
      <c r="H63" s="4694"/>
      <c r="I63" s="4694">
        <v>0</v>
      </c>
      <c r="J63" s="4694"/>
      <c r="K63" s="4694">
        <v>0</v>
      </c>
      <c r="L63" s="4694">
        <v>0</v>
      </c>
      <c r="M63" s="4694">
        <v>0</v>
      </c>
      <c r="N63" s="4694">
        <v>3</v>
      </c>
      <c r="O63" s="4694">
        <v>1</v>
      </c>
      <c r="P63" s="4694">
        <v>1</v>
      </c>
      <c r="Q63" s="4694">
        <v>1</v>
      </c>
      <c r="R63" s="4694">
        <v>0</v>
      </c>
      <c r="S63" s="4694">
        <v>0</v>
      </c>
      <c r="T63" s="738"/>
      <c r="U63" s="738">
        <v>0</v>
      </c>
      <c r="V63" s="738">
        <v>6</v>
      </c>
      <c r="W63" s="73"/>
      <c r="Y63" s="73"/>
      <c r="Z63" s="73"/>
      <c r="AA63" s="73"/>
      <c r="AB63" s="738" t="s">
        <v>15</v>
      </c>
      <c r="AC63" s="3262"/>
      <c r="AD63" s="3262"/>
      <c r="AE63" s="3262"/>
      <c r="AF63" s="3262"/>
      <c r="AG63" s="3262"/>
      <c r="AH63" s="3262"/>
      <c r="AI63" s="3262"/>
      <c r="AJ63" s="3262"/>
      <c r="AK63" s="3262"/>
      <c r="AL63" s="3262"/>
      <c r="AM63" s="3262"/>
      <c r="AN63" s="3262"/>
      <c r="AO63" s="3262">
        <v>1</v>
      </c>
      <c r="AP63" s="3262">
        <v>1</v>
      </c>
      <c r="AQ63" s="3262">
        <v>3</v>
      </c>
      <c r="AR63" s="151">
        <v>1</v>
      </c>
      <c r="AS63" s="151"/>
      <c r="AT63" s="151">
        <v>6</v>
      </c>
      <c r="AU63" s="912">
        <f>+(AT60-AR60+AT62)/AT63</f>
        <v>0.33333333333333331</v>
      </c>
      <c r="AY63" s="73"/>
      <c r="AZ63" s="738" t="s">
        <v>15</v>
      </c>
      <c r="BA63" s="2608"/>
      <c r="BB63" s="2608"/>
      <c r="BC63" s="2608"/>
      <c r="BD63" s="2608"/>
      <c r="BE63" s="2608"/>
      <c r="BF63" s="2608"/>
      <c r="BG63" s="2608"/>
      <c r="BH63" s="2608"/>
      <c r="BI63" s="2608"/>
      <c r="BJ63" s="2608"/>
      <c r="BK63" s="2608"/>
      <c r="BL63" s="2608"/>
      <c r="BM63" s="2608"/>
      <c r="BN63" s="2608"/>
      <c r="BO63" s="2608">
        <v>1</v>
      </c>
      <c r="BP63" s="738">
        <v>3</v>
      </c>
      <c r="BQ63" s="738"/>
      <c r="BR63" s="738">
        <v>4</v>
      </c>
      <c r="BS63" s="912">
        <v>0</v>
      </c>
      <c r="BU63" s="2207"/>
      <c r="BV63" s="2207"/>
      <c r="BW63" s="2207"/>
      <c r="BX63" s="2208" t="s">
        <v>1398</v>
      </c>
      <c r="BY63" s="2209"/>
      <c r="BZ63" s="2210">
        <v>0</v>
      </c>
      <c r="CA63" s="2210">
        <v>0</v>
      </c>
      <c r="CB63" s="2209"/>
      <c r="CC63" s="2210">
        <v>0</v>
      </c>
      <c r="CD63" s="2210">
        <v>0</v>
      </c>
      <c r="CE63" s="2209"/>
      <c r="CF63" s="2210">
        <v>0</v>
      </c>
      <c r="CG63" s="2210">
        <v>0</v>
      </c>
      <c r="CH63" s="2209"/>
      <c r="CI63" s="2210">
        <v>2</v>
      </c>
      <c r="CJ63" s="2210">
        <v>1</v>
      </c>
      <c r="CK63" s="2210">
        <v>0</v>
      </c>
      <c r="CL63" s="2212">
        <v>0</v>
      </c>
      <c r="CM63" s="2212">
        <v>0</v>
      </c>
      <c r="CN63" s="2212">
        <v>3</v>
      </c>
      <c r="CO63" s="73"/>
      <c r="CQ63" s="955"/>
      <c r="CR63" s="955"/>
      <c r="CS63" s="955" t="s">
        <v>572</v>
      </c>
      <c r="CT63" s="956" t="s">
        <v>1283</v>
      </c>
      <c r="CU63" s="957"/>
      <c r="CV63" s="958">
        <v>0</v>
      </c>
      <c r="CW63" s="957"/>
      <c r="CX63" s="957"/>
      <c r="CY63" s="957"/>
      <c r="CZ63" s="958">
        <v>0</v>
      </c>
      <c r="DA63" s="957"/>
      <c r="DB63" s="958">
        <v>0</v>
      </c>
      <c r="DC63" s="957"/>
      <c r="DD63" s="957"/>
      <c r="DE63" s="957"/>
      <c r="DF63" s="958">
        <v>0</v>
      </c>
      <c r="DG63" s="958">
        <v>1</v>
      </c>
      <c r="DH63" s="958">
        <v>0</v>
      </c>
      <c r="DI63" s="958">
        <v>0</v>
      </c>
      <c r="DJ63" s="960">
        <v>0</v>
      </c>
      <c r="DK63" s="960">
        <v>0</v>
      </c>
      <c r="DL63" s="960">
        <v>1</v>
      </c>
      <c r="DM63" s="161"/>
      <c r="DO63" s="788"/>
      <c r="DP63" s="788"/>
      <c r="DQ63" s="788"/>
      <c r="DR63" s="788"/>
      <c r="DS63" s="789" t="s">
        <v>1292</v>
      </c>
      <c r="DT63" s="961"/>
      <c r="DU63" s="961"/>
      <c r="DV63" s="961"/>
      <c r="DW63" s="961"/>
      <c r="DX63" s="961"/>
      <c r="DY63" s="961"/>
      <c r="DZ63" s="961"/>
      <c r="EA63" s="961"/>
      <c r="EB63" s="962">
        <v>0</v>
      </c>
      <c r="EC63" s="961"/>
      <c r="ED63" s="961"/>
      <c r="EE63" s="961"/>
      <c r="EF63" s="961"/>
      <c r="EG63" s="962">
        <v>0</v>
      </c>
      <c r="EH63" s="961"/>
      <c r="EI63" s="964">
        <v>2</v>
      </c>
      <c r="EJ63" s="964">
        <v>1</v>
      </c>
      <c r="EK63" s="964">
        <v>3</v>
      </c>
      <c r="EL63" s="912"/>
      <c r="EM63" s="73"/>
      <c r="EN63" s="965"/>
      <c r="EO63" s="965"/>
      <c r="EP63" s="965"/>
      <c r="EQ63" s="734" t="s">
        <v>1288</v>
      </c>
      <c r="ER63" s="735">
        <v>0</v>
      </c>
      <c r="ES63" s="735">
        <v>0</v>
      </c>
      <c r="ET63" s="735">
        <v>0</v>
      </c>
      <c r="EU63" s="966"/>
      <c r="EV63" s="966"/>
      <c r="EW63" s="966"/>
      <c r="EX63" s="735">
        <v>1</v>
      </c>
      <c r="EY63" s="735">
        <v>1</v>
      </c>
      <c r="EZ63" s="735">
        <v>9</v>
      </c>
      <c r="FA63" s="735">
        <v>2</v>
      </c>
      <c r="FB63" s="966"/>
      <c r="FC63" s="966"/>
      <c r="FD63" s="966"/>
      <c r="FE63" s="735">
        <v>13</v>
      </c>
      <c r="FF63" s="967"/>
      <c r="FG63" s="73"/>
      <c r="FH63" s="73"/>
      <c r="FI63" s="161"/>
      <c r="FJ63" s="161"/>
      <c r="FK63" s="73"/>
      <c r="FL63" s="738" t="s">
        <v>15</v>
      </c>
      <c r="FM63" s="151"/>
      <c r="FN63" s="151"/>
      <c r="FO63" s="151"/>
      <c r="FP63" s="151"/>
      <c r="FQ63" s="151"/>
      <c r="FR63" s="151"/>
      <c r="FS63" s="151"/>
      <c r="FT63" s="151"/>
      <c r="FU63" s="151">
        <v>1</v>
      </c>
      <c r="FV63" s="151">
        <v>1</v>
      </c>
      <c r="FW63" s="151">
        <v>2</v>
      </c>
      <c r="FX63" s="151">
        <v>1</v>
      </c>
      <c r="FY63" s="151"/>
      <c r="FZ63" s="151">
        <v>5</v>
      </c>
      <c r="GA63" s="151"/>
      <c r="GB63" s="151"/>
      <c r="GC63" s="151">
        <v>10</v>
      </c>
      <c r="GD63" s="983">
        <f>+(GC60+GC62)/GC63</f>
        <v>0.2</v>
      </c>
      <c r="GE63" s="73"/>
      <c r="GF63" s="968"/>
      <c r="GG63" s="968" t="s">
        <v>41</v>
      </c>
      <c r="GH63" s="968" t="s">
        <v>130</v>
      </c>
      <c r="GI63" s="968" t="s">
        <v>1284</v>
      </c>
      <c r="GJ63" s="968">
        <v>1</v>
      </c>
      <c r="GK63" s="968">
        <v>0</v>
      </c>
      <c r="GL63" s="968">
        <v>0</v>
      </c>
      <c r="GM63" s="968">
        <v>0</v>
      </c>
      <c r="GN63" s="968">
        <v>0</v>
      </c>
      <c r="GO63" s="968">
        <v>0</v>
      </c>
      <c r="GP63" s="968">
        <v>0</v>
      </c>
      <c r="GQ63" s="968">
        <v>0</v>
      </c>
      <c r="GR63" s="968">
        <v>0</v>
      </c>
      <c r="GS63" s="968">
        <v>0</v>
      </c>
      <c r="GT63" s="968">
        <v>0</v>
      </c>
      <c r="GU63" s="968">
        <v>0</v>
      </c>
      <c r="GV63" s="968">
        <v>0</v>
      </c>
      <c r="GW63" s="968">
        <v>0</v>
      </c>
      <c r="GX63" s="968">
        <v>0</v>
      </c>
      <c r="GY63" s="968">
        <v>0</v>
      </c>
      <c r="GZ63" s="968">
        <v>1</v>
      </c>
      <c r="HA63" s="968"/>
      <c r="HB63" s="969"/>
    </row>
    <row r="64" spans="1:210">
      <c r="A64" s="73"/>
      <c r="B64" s="73"/>
      <c r="C64" s="738"/>
      <c r="D64" s="738" t="s">
        <v>107</v>
      </c>
      <c r="E64" s="4694">
        <v>1</v>
      </c>
      <c r="F64" s="4694"/>
      <c r="G64" s="4694"/>
      <c r="H64" s="4694"/>
      <c r="I64" s="4694">
        <v>2</v>
      </c>
      <c r="J64" s="4694"/>
      <c r="K64" s="4694">
        <v>1</v>
      </c>
      <c r="L64" s="4694">
        <v>2</v>
      </c>
      <c r="M64" s="4694">
        <v>1</v>
      </c>
      <c r="N64" s="4694">
        <v>18</v>
      </c>
      <c r="O64" s="4694">
        <v>5</v>
      </c>
      <c r="P64" s="4694">
        <v>8</v>
      </c>
      <c r="Q64" s="4694">
        <v>2</v>
      </c>
      <c r="R64" s="4694">
        <v>9</v>
      </c>
      <c r="S64" s="4694">
        <v>13</v>
      </c>
      <c r="T64" s="738"/>
      <c r="U64" s="738">
        <v>1</v>
      </c>
      <c r="V64" s="738">
        <v>63</v>
      </c>
      <c r="W64" s="912">
        <f>+(V63+V62+V60)/V64</f>
        <v>0.25396825396825395</v>
      </c>
      <c r="X64" s="3197"/>
      <c r="Y64" s="73"/>
      <c r="Z64" s="73"/>
      <c r="AA64" s="73" t="s">
        <v>424</v>
      </c>
      <c r="AB64" s="73" t="s">
        <v>1284</v>
      </c>
      <c r="AC64" s="3261"/>
      <c r="AD64" s="3261"/>
      <c r="AE64" s="3261"/>
      <c r="AF64" s="3261"/>
      <c r="AG64" s="3261">
        <v>2</v>
      </c>
      <c r="AH64" s="3261"/>
      <c r="AI64" s="3261"/>
      <c r="AJ64" s="3261"/>
      <c r="AK64" s="3261"/>
      <c r="AL64" s="3261"/>
      <c r="AM64" s="3261"/>
      <c r="AN64" s="3261">
        <v>1</v>
      </c>
      <c r="AO64" s="3261">
        <v>0</v>
      </c>
      <c r="AP64" s="3261"/>
      <c r="AQ64" s="3261">
        <v>0</v>
      </c>
      <c r="AR64" s="161">
        <v>0</v>
      </c>
      <c r="AS64" s="161"/>
      <c r="AT64" s="161">
        <v>3</v>
      </c>
      <c r="AU64" s="73"/>
      <c r="AY64" s="73" t="s">
        <v>424</v>
      </c>
      <c r="AZ64" s="73" t="s">
        <v>1284</v>
      </c>
      <c r="BA64" s="2607"/>
      <c r="BB64" s="2607"/>
      <c r="BC64" s="2607"/>
      <c r="BD64" s="2607"/>
      <c r="BE64" s="2607"/>
      <c r="BF64" s="2607">
        <v>1</v>
      </c>
      <c r="BG64" s="2607"/>
      <c r="BH64" s="2607">
        <v>1</v>
      </c>
      <c r="BI64" s="2607"/>
      <c r="BJ64" s="2607"/>
      <c r="BK64" s="2607"/>
      <c r="BL64" s="2607"/>
      <c r="BM64" s="2607">
        <v>2</v>
      </c>
      <c r="BN64" s="2607">
        <v>0</v>
      </c>
      <c r="BO64" s="2607">
        <v>0</v>
      </c>
      <c r="BP64" s="73">
        <v>0</v>
      </c>
      <c r="BQ64" s="73">
        <v>0</v>
      </c>
      <c r="BR64" s="73">
        <v>4</v>
      </c>
      <c r="BS64" s="73"/>
      <c r="BU64" s="2207"/>
      <c r="BV64" s="2207"/>
      <c r="BW64" s="2207"/>
      <c r="BX64" s="2204" t="s">
        <v>572</v>
      </c>
      <c r="BY64" s="2213"/>
      <c r="BZ64" s="2214">
        <v>3</v>
      </c>
      <c r="CA64" s="2214">
        <v>1</v>
      </c>
      <c r="CB64" s="2213"/>
      <c r="CC64" s="2214">
        <v>2</v>
      </c>
      <c r="CD64" s="2214">
        <v>1</v>
      </c>
      <c r="CE64" s="2213"/>
      <c r="CF64" s="2214">
        <v>1</v>
      </c>
      <c r="CG64" s="2214">
        <v>1</v>
      </c>
      <c r="CH64" s="2213"/>
      <c r="CI64" s="2214">
        <v>3</v>
      </c>
      <c r="CJ64" s="2214">
        <v>4</v>
      </c>
      <c r="CK64" s="2214">
        <v>21</v>
      </c>
      <c r="CL64" s="2216">
        <v>4</v>
      </c>
      <c r="CM64" s="2216">
        <v>10</v>
      </c>
      <c r="CN64" s="2216">
        <v>51</v>
      </c>
      <c r="CO64" s="2154">
        <f>+(CN60-CL60+CN63)/CN64</f>
        <v>7.8431372549019607E-2</v>
      </c>
      <c r="CQ64" s="955"/>
      <c r="CR64" s="955"/>
      <c r="CS64" s="955"/>
      <c r="CT64" s="956" t="s">
        <v>1284</v>
      </c>
      <c r="CU64" s="957"/>
      <c r="CV64" s="958">
        <v>1</v>
      </c>
      <c r="CW64" s="957"/>
      <c r="CX64" s="957"/>
      <c r="CY64" s="957"/>
      <c r="CZ64" s="958">
        <v>1</v>
      </c>
      <c r="DA64" s="957"/>
      <c r="DB64" s="958">
        <v>1</v>
      </c>
      <c r="DC64" s="957"/>
      <c r="DD64" s="957"/>
      <c r="DE64" s="957"/>
      <c r="DF64" s="958">
        <v>1</v>
      </c>
      <c r="DG64" s="958">
        <v>1</v>
      </c>
      <c r="DH64" s="958">
        <v>3</v>
      </c>
      <c r="DI64" s="958">
        <v>1</v>
      </c>
      <c r="DJ64" s="960">
        <v>0</v>
      </c>
      <c r="DK64" s="960">
        <v>0</v>
      </c>
      <c r="DL64" s="960">
        <v>9</v>
      </c>
      <c r="DM64" s="161"/>
      <c r="DO64" s="788"/>
      <c r="DP64" s="788"/>
      <c r="DQ64" s="809"/>
      <c r="DR64" s="73"/>
      <c r="DS64" s="809" t="s">
        <v>15</v>
      </c>
      <c r="DT64" s="970"/>
      <c r="DU64" s="970"/>
      <c r="DV64" s="970"/>
      <c r="DW64" s="970"/>
      <c r="DX64" s="970"/>
      <c r="DY64" s="970"/>
      <c r="DZ64" s="970"/>
      <c r="EA64" s="970"/>
      <c r="EB64" s="971">
        <v>1</v>
      </c>
      <c r="EC64" s="970"/>
      <c r="ED64" s="970"/>
      <c r="EE64" s="970"/>
      <c r="EF64" s="970"/>
      <c r="EG64" s="971">
        <v>2</v>
      </c>
      <c r="EH64" s="970"/>
      <c r="EI64" s="973">
        <v>2</v>
      </c>
      <c r="EJ64" s="973">
        <v>1</v>
      </c>
      <c r="EK64" s="973">
        <v>6</v>
      </c>
      <c r="EL64" s="912">
        <v>0</v>
      </c>
      <c r="EM64" s="73"/>
      <c r="EN64" s="965"/>
      <c r="EO64" s="965"/>
      <c r="EP64" s="965"/>
      <c r="EQ64" s="734" t="s">
        <v>1398</v>
      </c>
      <c r="ER64" s="735">
        <v>0</v>
      </c>
      <c r="ES64" s="735">
        <v>0</v>
      </c>
      <c r="ET64" s="735">
        <v>0</v>
      </c>
      <c r="EU64" s="966"/>
      <c r="EV64" s="966"/>
      <c r="EW64" s="966"/>
      <c r="EX64" s="735">
        <v>1</v>
      </c>
      <c r="EY64" s="735">
        <v>0</v>
      </c>
      <c r="EZ64" s="735">
        <v>3</v>
      </c>
      <c r="FA64" s="735">
        <v>0</v>
      </c>
      <c r="FB64" s="966"/>
      <c r="FC64" s="966"/>
      <c r="FD64" s="966"/>
      <c r="FE64" s="735">
        <v>4</v>
      </c>
      <c r="FF64" s="967"/>
      <c r="FG64" s="73"/>
      <c r="FH64" s="73"/>
      <c r="FI64" s="161"/>
      <c r="FJ64" s="161"/>
      <c r="FK64" s="73" t="s">
        <v>127</v>
      </c>
      <c r="FL64" s="73" t="s">
        <v>1284</v>
      </c>
      <c r="FM64" s="161"/>
      <c r="FN64" s="161">
        <v>0</v>
      </c>
      <c r="FO64" s="161">
        <v>0</v>
      </c>
      <c r="FP64" s="161"/>
      <c r="FQ64" s="161">
        <v>0</v>
      </c>
      <c r="FR64" s="161"/>
      <c r="FS64" s="161"/>
      <c r="FT64" s="161"/>
      <c r="FU64" s="161"/>
      <c r="FV64" s="161">
        <v>0</v>
      </c>
      <c r="FW64" s="161">
        <v>0</v>
      </c>
      <c r="FX64" s="161">
        <v>1</v>
      </c>
      <c r="FY64" s="161">
        <v>0</v>
      </c>
      <c r="FZ64" s="161"/>
      <c r="GA64" s="161"/>
      <c r="GB64" s="161"/>
      <c r="GC64" s="161">
        <v>1</v>
      </c>
      <c r="GD64" s="73"/>
      <c r="GE64" s="73"/>
      <c r="GF64" s="968"/>
      <c r="GG64" s="968"/>
      <c r="GH64" s="968"/>
      <c r="GI64" s="968" t="s">
        <v>1288</v>
      </c>
      <c r="GJ64" s="968">
        <v>0</v>
      </c>
      <c r="GK64" s="968">
        <v>0</v>
      </c>
      <c r="GL64" s="968">
        <v>0</v>
      </c>
      <c r="GM64" s="968">
        <v>0</v>
      </c>
      <c r="GN64" s="968">
        <v>0</v>
      </c>
      <c r="GO64" s="968">
        <v>0</v>
      </c>
      <c r="GP64" s="968">
        <v>0</v>
      </c>
      <c r="GQ64" s="968">
        <v>0</v>
      </c>
      <c r="GR64" s="968">
        <v>0</v>
      </c>
      <c r="GS64" s="968">
        <v>0</v>
      </c>
      <c r="GT64" s="968">
        <v>1</v>
      </c>
      <c r="GU64" s="968">
        <v>0</v>
      </c>
      <c r="GV64" s="968">
        <v>2</v>
      </c>
      <c r="GW64" s="968">
        <v>0</v>
      </c>
      <c r="GX64" s="968">
        <v>0</v>
      </c>
      <c r="GY64" s="968">
        <v>0</v>
      </c>
      <c r="GZ64" s="968">
        <v>3</v>
      </c>
      <c r="HA64" s="968"/>
      <c r="HB64" s="969"/>
    </row>
    <row r="65" spans="1:210">
      <c r="A65" s="73" t="s">
        <v>25</v>
      </c>
      <c r="B65" s="73" t="s">
        <v>4</v>
      </c>
      <c r="C65" s="73" t="s">
        <v>121</v>
      </c>
      <c r="D65" s="73" t="s">
        <v>1284</v>
      </c>
      <c r="E65" s="967">
        <v>1</v>
      </c>
      <c r="F65" s="967"/>
      <c r="G65" s="967"/>
      <c r="H65" s="967">
        <v>1</v>
      </c>
      <c r="I65" s="967"/>
      <c r="J65" s="967"/>
      <c r="K65" s="967"/>
      <c r="L65" s="967"/>
      <c r="M65" s="967"/>
      <c r="N65" s="967"/>
      <c r="O65" s="967"/>
      <c r="P65" s="967"/>
      <c r="Q65" s="967"/>
      <c r="R65" s="967">
        <v>0</v>
      </c>
      <c r="S65" s="967">
        <v>0</v>
      </c>
      <c r="T65" s="73">
        <v>0</v>
      </c>
      <c r="U65" s="73"/>
      <c r="V65" s="73">
        <v>2</v>
      </c>
      <c r="W65" s="73"/>
      <c r="Y65" s="73"/>
      <c r="Z65" s="73"/>
      <c r="AA65" s="73"/>
      <c r="AB65" s="73" t="s">
        <v>1288</v>
      </c>
      <c r="AC65" s="3261"/>
      <c r="AD65" s="3261"/>
      <c r="AE65" s="3261"/>
      <c r="AF65" s="3261"/>
      <c r="AG65" s="3261">
        <v>0</v>
      </c>
      <c r="AH65" s="3261"/>
      <c r="AI65" s="3261"/>
      <c r="AJ65" s="3261"/>
      <c r="AK65" s="3261"/>
      <c r="AL65" s="3261"/>
      <c r="AM65" s="3261"/>
      <c r="AN65" s="3261">
        <v>0</v>
      </c>
      <c r="AO65" s="3261">
        <v>1</v>
      </c>
      <c r="AP65" s="3261"/>
      <c r="AQ65" s="3261">
        <v>0</v>
      </c>
      <c r="AR65" s="161">
        <v>0</v>
      </c>
      <c r="AS65" s="161"/>
      <c r="AT65" s="161">
        <v>1</v>
      </c>
      <c r="AU65" s="73"/>
      <c r="AY65" s="73"/>
      <c r="AZ65" s="73" t="s">
        <v>1292</v>
      </c>
      <c r="BA65" s="2607"/>
      <c r="BB65" s="2607"/>
      <c r="BC65" s="2607"/>
      <c r="BD65" s="2607"/>
      <c r="BE65" s="2607"/>
      <c r="BF65" s="2607">
        <v>0</v>
      </c>
      <c r="BG65" s="2607"/>
      <c r="BH65" s="2607">
        <v>0</v>
      </c>
      <c r="BI65" s="2607"/>
      <c r="BJ65" s="2607"/>
      <c r="BK65" s="2607"/>
      <c r="BL65" s="2607"/>
      <c r="BM65" s="2607">
        <v>0</v>
      </c>
      <c r="BN65" s="2607">
        <v>0</v>
      </c>
      <c r="BO65" s="2607">
        <v>2</v>
      </c>
      <c r="BP65" s="73">
        <v>2</v>
      </c>
      <c r="BQ65" s="73">
        <v>1</v>
      </c>
      <c r="BR65" s="73">
        <v>5</v>
      </c>
      <c r="BS65" s="73"/>
      <c r="BU65" s="2207"/>
      <c r="BV65" s="2207" t="s">
        <v>16</v>
      </c>
      <c r="BW65" s="2207" t="s">
        <v>108</v>
      </c>
      <c r="BX65" s="2208" t="s">
        <v>1284</v>
      </c>
      <c r="BY65" s="2209"/>
      <c r="BZ65" s="2209"/>
      <c r="CA65" s="2209"/>
      <c r="CB65" s="2209"/>
      <c r="CC65" s="2209"/>
      <c r="CD65" s="2209"/>
      <c r="CE65" s="2209"/>
      <c r="CF65" s="2209"/>
      <c r="CG65" s="2209"/>
      <c r="CH65" s="2209"/>
      <c r="CI65" s="2209"/>
      <c r="CJ65" s="2210">
        <v>1</v>
      </c>
      <c r="CK65" s="2210">
        <v>0</v>
      </c>
      <c r="CL65" s="2211"/>
      <c r="CM65" s="2211"/>
      <c r="CN65" s="2212">
        <v>1</v>
      </c>
      <c r="CO65" s="73"/>
      <c r="CQ65" s="955"/>
      <c r="CR65" s="955"/>
      <c r="CS65" s="955"/>
      <c r="CT65" s="956" t="s">
        <v>1288</v>
      </c>
      <c r="CU65" s="957"/>
      <c r="CV65" s="958">
        <v>0</v>
      </c>
      <c r="CW65" s="957"/>
      <c r="CX65" s="957"/>
      <c r="CY65" s="957"/>
      <c r="CZ65" s="958">
        <v>0</v>
      </c>
      <c r="DA65" s="957"/>
      <c r="DB65" s="958">
        <v>0</v>
      </c>
      <c r="DC65" s="957"/>
      <c r="DD65" s="957"/>
      <c r="DE65" s="957"/>
      <c r="DF65" s="958">
        <v>0</v>
      </c>
      <c r="DG65" s="958">
        <v>1</v>
      </c>
      <c r="DH65" s="958">
        <v>0</v>
      </c>
      <c r="DI65" s="958">
        <v>1</v>
      </c>
      <c r="DJ65" s="960">
        <v>0</v>
      </c>
      <c r="DK65" s="960">
        <v>0</v>
      </c>
      <c r="DL65" s="960">
        <v>2</v>
      </c>
      <c r="DM65" s="161"/>
      <c r="DO65" s="788"/>
      <c r="DP65" s="788"/>
      <c r="DQ65" s="809" t="s">
        <v>572</v>
      </c>
      <c r="DR65" s="788" t="s">
        <v>1282</v>
      </c>
      <c r="DS65" s="789" t="s">
        <v>1283</v>
      </c>
      <c r="DT65" s="961"/>
      <c r="DU65" s="961"/>
      <c r="DV65" s="961"/>
      <c r="DW65" s="962">
        <v>0</v>
      </c>
      <c r="DX65" s="961"/>
      <c r="DY65" s="961"/>
      <c r="DZ65" s="961"/>
      <c r="EA65" s="962">
        <v>0</v>
      </c>
      <c r="EB65" s="962">
        <v>0</v>
      </c>
      <c r="EC65" s="961"/>
      <c r="ED65" s="962">
        <v>0</v>
      </c>
      <c r="EE65" s="962">
        <v>0</v>
      </c>
      <c r="EF65" s="962">
        <v>0</v>
      </c>
      <c r="EG65" s="962">
        <v>0</v>
      </c>
      <c r="EH65" s="962">
        <v>3</v>
      </c>
      <c r="EI65" s="964">
        <v>1</v>
      </c>
      <c r="EJ65" s="964">
        <v>0</v>
      </c>
      <c r="EK65" s="964">
        <v>4</v>
      </c>
      <c r="EL65" s="912"/>
      <c r="EM65" s="73"/>
      <c r="EN65" s="965"/>
      <c r="EO65" s="965"/>
      <c r="EP65" s="965"/>
      <c r="EQ65" s="981" t="s">
        <v>15</v>
      </c>
      <c r="ER65" s="740">
        <v>1</v>
      </c>
      <c r="ES65" s="740">
        <v>1</v>
      </c>
      <c r="ET65" s="740">
        <v>1</v>
      </c>
      <c r="EU65" s="982"/>
      <c r="EV65" s="982"/>
      <c r="EW65" s="982"/>
      <c r="EX65" s="740">
        <v>2</v>
      </c>
      <c r="EY65" s="740">
        <v>1</v>
      </c>
      <c r="EZ65" s="740">
        <v>13</v>
      </c>
      <c r="FA65" s="740">
        <v>3</v>
      </c>
      <c r="FB65" s="982"/>
      <c r="FC65" s="982"/>
      <c r="FD65" s="982"/>
      <c r="FE65" s="740">
        <v>22</v>
      </c>
      <c r="FF65" s="905">
        <f>+(FE64+FE63)/FE65</f>
        <v>0.77272727272727271</v>
      </c>
      <c r="FG65" s="73"/>
      <c r="FH65" s="73"/>
      <c r="FI65" s="161"/>
      <c r="FJ65" s="161"/>
      <c r="FK65" s="73"/>
      <c r="FL65" s="73" t="s">
        <v>1286</v>
      </c>
      <c r="FM65" s="161"/>
      <c r="FN65" s="161">
        <v>1</v>
      </c>
      <c r="FO65" s="161">
        <v>0</v>
      </c>
      <c r="FP65" s="161"/>
      <c r="FQ65" s="161">
        <v>1</v>
      </c>
      <c r="FR65" s="161"/>
      <c r="FS65" s="161"/>
      <c r="FT65" s="161"/>
      <c r="FU65" s="161"/>
      <c r="FV65" s="161">
        <v>0</v>
      </c>
      <c r="FW65" s="161">
        <v>0</v>
      </c>
      <c r="FX65" s="161">
        <v>0</v>
      </c>
      <c r="FY65" s="161">
        <v>0</v>
      </c>
      <c r="FZ65" s="161"/>
      <c r="GA65" s="161"/>
      <c r="GB65" s="161"/>
      <c r="GC65" s="161">
        <v>2</v>
      </c>
      <c r="GD65" s="73"/>
      <c r="GE65" s="73"/>
      <c r="GF65" s="968"/>
      <c r="GG65" s="968"/>
      <c r="GH65" s="968"/>
      <c r="GI65" s="968" t="s">
        <v>1292</v>
      </c>
      <c r="GJ65" s="968">
        <v>0</v>
      </c>
      <c r="GK65" s="968">
        <v>0</v>
      </c>
      <c r="GL65" s="968">
        <v>0</v>
      </c>
      <c r="GM65" s="968">
        <v>0</v>
      </c>
      <c r="GN65" s="968">
        <v>0</v>
      </c>
      <c r="GO65" s="968">
        <v>0</v>
      </c>
      <c r="GP65" s="968">
        <v>0</v>
      </c>
      <c r="GQ65" s="968">
        <v>0</v>
      </c>
      <c r="GR65" s="968">
        <v>0</v>
      </c>
      <c r="GS65" s="968">
        <v>0</v>
      </c>
      <c r="GT65" s="968">
        <v>0</v>
      </c>
      <c r="GU65" s="968">
        <v>0</v>
      </c>
      <c r="GV65" s="968">
        <v>0</v>
      </c>
      <c r="GW65" s="968">
        <v>5</v>
      </c>
      <c r="GX65" s="968">
        <v>1</v>
      </c>
      <c r="GY65" s="968">
        <v>3</v>
      </c>
      <c r="GZ65" s="968">
        <v>9</v>
      </c>
      <c r="HA65" s="968"/>
      <c r="HB65" s="969"/>
    </row>
    <row r="66" spans="1:210">
      <c r="A66" s="73"/>
      <c r="B66" s="73"/>
      <c r="C66" s="73"/>
      <c r="D66" s="73" t="s">
        <v>1288</v>
      </c>
      <c r="E66" s="967">
        <v>0</v>
      </c>
      <c r="F66" s="967"/>
      <c r="G66" s="967"/>
      <c r="H66" s="967">
        <v>0</v>
      </c>
      <c r="I66" s="967"/>
      <c r="J66" s="967"/>
      <c r="K66" s="967"/>
      <c r="L66" s="967"/>
      <c r="M66" s="967"/>
      <c r="N66" s="967"/>
      <c r="O66" s="967"/>
      <c r="P66" s="967"/>
      <c r="Q66" s="967"/>
      <c r="R66" s="967">
        <v>1</v>
      </c>
      <c r="S66" s="967">
        <v>1</v>
      </c>
      <c r="T66" s="73">
        <v>0</v>
      </c>
      <c r="U66" s="73"/>
      <c r="V66" s="73">
        <v>2</v>
      </c>
      <c r="W66" s="73"/>
      <c r="Y66" s="73"/>
      <c r="Z66" s="73"/>
      <c r="AA66" s="73"/>
      <c r="AB66" s="73" t="s">
        <v>1292</v>
      </c>
      <c r="AC66" s="3261"/>
      <c r="AD66" s="3261"/>
      <c r="AE66" s="3261"/>
      <c r="AF66" s="3261"/>
      <c r="AG66" s="3261">
        <v>0</v>
      </c>
      <c r="AH66" s="3261"/>
      <c r="AI66" s="3261"/>
      <c r="AJ66" s="3261"/>
      <c r="AK66" s="3261"/>
      <c r="AL66" s="3261"/>
      <c r="AM66" s="3261"/>
      <c r="AN66" s="3261">
        <v>0</v>
      </c>
      <c r="AO66" s="3261">
        <v>0</v>
      </c>
      <c r="AP66" s="3261"/>
      <c r="AQ66" s="3261">
        <v>2</v>
      </c>
      <c r="AR66" s="161">
        <v>1</v>
      </c>
      <c r="AS66" s="161"/>
      <c r="AT66" s="161">
        <v>3</v>
      </c>
      <c r="AU66" s="73"/>
      <c r="AY66" s="73"/>
      <c r="AZ66" s="73" t="s">
        <v>1398</v>
      </c>
      <c r="BA66" s="2607"/>
      <c r="BB66" s="2607"/>
      <c r="BC66" s="2607"/>
      <c r="BD66" s="2607"/>
      <c r="BE66" s="2607"/>
      <c r="BF66" s="2607">
        <v>0</v>
      </c>
      <c r="BG66" s="2607"/>
      <c r="BH66" s="2607">
        <v>0</v>
      </c>
      <c r="BI66" s="2607"/>
      <c r="BJ66" s="2607"/>
      <c r="BK66" s="2607"/>
      <c r="BL66" s="2607"/>
      <c r="BM66" s="2607">
        <v>0</v>
      </c>
      <c r="BN66" s="2607">
        <v>2</v>
      </c>
      <c r="BO66" s="2607">
        <v>0</v>
      </c>
      <c r="BP66" s="73">
        <v>0</v>
      </c>
      <c r="BQ66" s="73">
        <v>0</v>
      </c>
      <c r="BR66" s="73">
        <v>2</v>
      </c>
      <c r="BS66" s="73"/>
      <c r="BU66" s="2207"/>
      <c r="BV66" s="2207"/>
      <c r="BW66" s="2207"/>
      <c r="BX66" s="2208" t="s">
        <v>1288</v>
      </c>
      <c r="BY66" s="2209"/>
      <c r="BZ66" s="2209"/>
      <c r="CA66" s="2209"/>
      <c r="CB66" s="2209"/>
      <c r="CC66" s="2209"/>
      <c r="CD66" s="2209"/>
      <c r="CE66" s="2209"/>
      <c r="CF66" s="2209"/>
      <c r="CG66" s="2209"/>
      <c r="CH66" s="2209"/>
      <c r="CI66" s="2209"/>
      <c r="CJ66" s="2210">
        <v>1</v>
      </c>
      <c r="CK66" s="2210">
        <v>0</v>
      </c>
      <c r="CL66" s="2211"/>
      <c r="CM66" s="2211"/>
      <c r="CN66" s="2212">
        <v>1</v>
      </c>
      <c r="CO66" s="73"/>
      <c r="CQ66" s="955"/>
      <c r="CR66" s="955"/>
      <c r="CS66" s="955"/>
      <c r="CT66" s="956" t="s">
        <v>1292</v>
      </c>
      <c r="CU66" s="957"/>
      <c r="CV66" s="958">
        <v>0</v>
      </c>
      <c r="CW66" s="957"/>
      <c r="CX66" s="957"/>
      <c r="CY66" s="957"/>
      <c r="CZ66" s="958">
        <v>0</v>
      </c>
      <c r="DA66" s="957"/>
      <c r="DB66" s="958">
        <v>0</v>
      </c>
      <c r="DC66" s="957"/>
      <c r="DD66" s="957"/>
      <c r="DE66" s="957"/>
      <c r="DF66" s="958">
        <v>0</v>
      </c>
      <c r="DG66" s="958">
        <v>0</v>
      </c>
      <c r="DH66" s="958">
        <v>0</v>
      </c>
      <c r="DI66" s="958">
        <v>12</v>
      </c>
      <c r="DJ66" s="960">
        <v>4</v>
      </c>
      <c r="DK66" s="960">
        <v>11</v>
      </c>
      <c r="DL66" s="960">
        <v>27</v>
      </c>
      <c r="DM66" s="161"/>
      <c r="DO66" s="788"/>
      <c r="DP66" s="788"/>
      <c r="DQ66" s="788"/>
      <c r="DR66" s="788"/>
      <c r="DS66" s="789" t="s">
        <v>1284</v>
      </c>
      <c r="DT66" s="961"/>
      <c r="DU66" s="961"/>
      <c r="DV66" s="961"/>
      <c r="DW66" s="962">
        <v>1</v>
      </c>
      <c r="DX66" s="961"/>
      <c r="DY66" s="961"/>
      <c r="DZ66" s="961"/>
      <c r="EA66" s="962">
        <v>1</v>
      </c>
      <c r="EB66" s="962">
        <v>2</v>
      </c>
      <c r="EC66" s="961"/>
      <c r="ED66" s="962">
        <v>0</v>
      </c>
      <c r="EE66" s="962">
        <v>0</v>
      </c>
      <c r="EF66" s="962">
        <v>1</v>
      </c>
      <c r="EG66" s="962">
        <v>2</v>
      </c>
      <c r="EH66" s="962">
        <v>1</v>
      </c>
      <c r="EI66" s="964">
        <v>0</v>
      </c>
      <c r="EJ66" s="964">
        <v>0</v>
      </c>
      <c r="EK66" s="964">
        <v>8</v>
      </c>
      <c r="EL66" s="912"/>
      <c r="EM66" s="73"/>
      <c r="EN66" s="965"/>
      <c r="EO66" s="965"/>
      <c r="EP66" s="965" t="s">
        <v>129</v>
      </c>
      <c r="EQ66" s="734" t="s">
        <v>1284</v>
      </c>
      <c r="ER66" s="966"/>
      <c r="ES66" s="966"/>
      <c r="ET66" s="735">
        <v>1</v>
      </c>
      <c r="EU66" s="966"/>
      <c r="EV66" s="966"/>
      <c r="EW66" s="966"/>
      <c r="EX66" s="966"/>
      <c r="EY66" s="966"/>
      <c r="EZ66" s="966"/>
      <c r="FA66" s="966"/>
      <c r="FB66" s="966"/>
      <c r="FC66" s="966"/>
      <c r="FD66" s="966"/>
      <c r="FE66" s="735">
        <v>1</v>
      </c>
      <c r="FF66" s="967"/>
      <c r="FG66" s="73"/>
      <c r="FH66" s="73"/>
      <c r="FI66" s="161"/>
      <c r="FJ66" s="161"/>
      <c r="FK66" s="73"/>
      <c r="FL66" s="73" t="s">
        <v>1288</v>
      </c>
      <c r="FM66" s="161"/>
      <c r="FN66" s="161">
        <v>0</v>
      </c>
      <c r="FO66" s="161">
        <v>0</v>
      </c>
      <c r="FP66" s="161"/>
      <c r="FQ66" s="161">
        <v>0</v>
      </c>
      <c r="FR66" s="161"/>
      <c r="FS66" s="161"/>
      <c r="FT66" s="161"/>
      <c r="FU66" s="161"/>
      <c r="FV66" s="161">
        <v>2</v>
      </c>
      <c r="FW66" s="161">
        <v>1</v>
      </c>
      <c r="FX66" s="161">
        <v>2</v>
      </c>
      <c r="FY66" s="161">
        <v>1</v>
      </c>
      <c r="FZ66" s="161"/>
      <c r="GA66" s="161"/>
      <c r="GB66" s="161"/>
      <c r="GC66" s="161">
        <v>6</v>
      </c>
      <c r="GD66" s="73"/>
      <c r="GE66" s="73"/>
      <c r="GF66" s="968"/>
      <c r="GG66" s="968"/>
      <c r="GH66" s="968"/>
      <c r="GI66" s="968" t="s">
        <v>1398</v>
      </c>
      <c r="GJ66" s="968">
        <v>0</v>
      </c>
      <c r="GK66" s="968">
        <v>0</v>
      </c>
      <c r="GL66" s="968">
        <v>0</v>
      </c>
      <c r="GM66" s="968">
        <v>0</v>
      </c>
      <c r="GN66" s="968">
        <v>0</v>
      </c>
      <c r="GO66" s="968">
        <v>0</v>
      </c>
      <c r="GP66" s="968">
        <v>0</v>
      </c>
      <c r="GQ66" s="968">
        <v>0</v>
      </c>
      <c r="GR66" s="968">
        <v>0</v>
      </c>
      <c r="GS66" s="968">
        <v>3</v>
      </c>
      <c r="GT66" s="968">
        <v>5</v>
      </c>
      <c r="GU66" s="968">
        <v>0</v>
      </c>
      <c r="GV66" s="968">
        <v>1</v>
      </c>
      <c r="GW66" s="968">
        <v>1</v>
      </c>
      <c r="GX66" s="968">
        <v>0</v>
      </c>
      <c r="GY66" s="968">
        <v>0</v>
      </c>
      <c r="GZ66" s="968">
        <v>10</v>
      </c>
      <c r="HA66" s="968"/>
      <c r="HB66" s="969"/>
    </row>
    <row r="67" spans="1:210">
      <c r="A67" s="73"/>
      <c r="B67" s="73"/>
      <c r="C67" s="73"/>
      <c r="D67" s="73" t="s">
        <v>1292</v>
      </c>
      <c r="E67" s="967">
        <v>0</v>
      </c>
      <c r="F67" s="967"/>
      <c r="G67" s="967"/>
      <c r="H67" s="967">
        <v>0</v>
      </c>
      <c r="I67" s="967"/>
      <c r="J67" s="967"/>
      <c r="K67" s="967"/>
      <c r="L67" s="967"/>
      <c r="M67" s="967"/>
      <c r="N67" s="967"/>
      <c r="O67" s="967"/>
      <c r="P67" s="967"/>
      <c r="Q67" s="967"/>
      <c r="R67" s="967">
        <v>0</v>
      </c>
      <c r="S67" s="967">
        <v>2</v>
      </c>
      <c r="T67" s="73">
        <v>1</v>
      </c>
      <c r="U67" s="73"/>
      <c r="V67" s="73">
        <v>3</v>
      </c>
      <c r="W67" s="73"/>
      <c r="Y67" s="73"/>
      <c r="Z67" s="73"/>
      <c r="AA67" s="73"/>
      <c r="AB67" s="738" t="s">
        <v>15</v>
      </c>
      <c r="AC67" s="3262"/>
      <c r="AD67" s="3262"/>
      <c r="AE67" s="3262"/>
      <c r="AF67" s="3262"/>
      <c r="AG67" s="3262">
        <v>2</v>
      </c>
      <c r="AH67" s="3262"/>
      <c r="AI67" s="3262"/>
      <c r="AJ67" s="3262"/>
      <c r="AK67" s="3262"/>
      <c r="AL67" s="3262"/>
      <c r="AM67" s="3262"/>
      <c r="AN67" s="3262">
        <v>1</v>
      </c>
      <c r="AO67" s="3262">
        <v>1</v>
      </c>
      <c r="AP67" s="3262"/>
      <c r="AQ67" s="3262">
        <v>2</v>
      </c>
      <c r="AR67" s="151">
        <v>1</v>
      </c>
      <c r="AS67" s="151"/>
      <c r="AT67" s="151">
        <v>7</v>
      </c>
      <c r="AU67" s="912">
        <f>+AT65/AT67</f>
        <v>0.14285714285714285</v>
      </c>
      <c r="AY67" s="73"/>
      <c r="AZ67" s="738" t="s">
        <v>15</v>
      </c>
      <c r="BA67" s="2608"/>
      <c r="BB67" s="2608"/>
      <c r="BC67" s="2608"/>
      <c r="BD67" s="2608"/>
      <c r="BE67" s="2608"/>
      <c r="BF67" s="2608">
        <v>1</v>
      </c>
      <c r="BG67" s="2608"/>
      <c r="BH67" s="2608">
        <v>1</v>
      </c>
      <c r="BI67" s="2608"/>
      <c r="BJ67" s="2608"/>
      <c r="BK67" s="2608"/>
      <c r="BL67" s="2608"/>
      <c r="BM67" s="2608">
        <v>2</v>
      </c>
      <c r="BN67" s="2608">
        <v>2</v>
      </c>
      <c r="BO67" s="2608">
        <v>2</v>
      </c>
      <c r="BP67" s="738">
        <v>2</v>
      </c>
      <c r="BQ67" s="738">
        <v>1</v>
      </c>
      <c r="BR67" s="738">
        <v>11</v>
      </c>
      <c r="BS67" s="912">
        <f>+BR66/BR67</f>
        <v>0.18181818181818182</v>
      </c>
      <c r="BU67" s="2207"/>
      <c r="BV67" s="2207"/>
      <c r="BW67" s="2207"/>
      <c r="BX67" s="2208" t="s">
        <v>1292</v>
      </c>
      <c r="BY67" s="2209"/>
      <c r="BZ67" s="2209"/>
      <c r="CA67" s="2209"/>
      <c r="CB67" s="2209"/>
      <c r="CC67" s="2209"/>
      <c r="CD67" s="2209"/>
      <c r="CE67" s="2209"/>
      <c r="CF67" s="2209"/>
      <c r="CG67" s="2209"/>
      <c r="CH67" s="2209"/>
      <c r="CI67" s="2209"/>
      <c r="CJ67" s="2210">
        <v>0</v>
      </c>
      <c r="CK67" s="2210">
        <v>9</v>
      </c>
      <c r="CL67" s="2211"/>
      <c r="CM67" s="2211"/>
      <c r="CN67" s="2212">
        <v>9</v>
      </c>
      <c r="CO67" s="73"/>
      <c r="CQ67" s="955"/>
      <c r="CR67" s="955"/>
      <c r="CS67" s="955"/>
      <c r="CT67" s="956" t="s">
        <v>1398</v>
      </c>
      <c r="CU67" s="957"/>
      <c r="CV67" s="958">
        <v>0</v>
      </c>
      <c r="CW67" s="957"/>
      <c r="CX67" s="957"/>
      <c r="CY67" s="957"/>
      <c r="CZ67" s="958">
        <v>0</v>
      </c>
      <c r="DA67" s="957"/>
      <c r="DB67" s="958">
        <v>0</v>
      </c>
      <c r="DC67" s="957"/>
      <c r="DD67" s="957"/>
      <c r="DE67" s="957"/>
      <c r="DF67" s="958">
        <v>0</v>
      </c>
      <c r="DG67" s="958">
        <v>2</v>
      </c>
      <c r="DH67" s="958">
        <v>1</v>
      </c>
      <c r="DI67" s="958">
        <v>1</v>
      </c>
      <c r="DJ67" s="960">
        <v>0</v>
      </c>
      <c r="DK67" s="960">
        <v>0</v>
      </c>
      <c r="DL67" s="960">
        <v>4</v>
      </c>
      <c r="DM67" s="161"/>
      <c r="DO67" s="788"/>
      <c r="DP67" s="788"/>
      <c r="DQ67" s="788"/>
      <c r="DR67" s="788"/>
      <c r="DS67" s="789" t="s">
        <v>1288</v>
      </c>
      <c r="DT67" s="961"/>
      <c r="DU67" s="961"/>
      <c r="DV67" s="961"/>
      <c r="DW67" s="962">
        <v>0</v>
      </c>
      <c r="DX67" s="961"/>
      <c r="DY67" s="961"/>
      <c r="DZ67" s="961"/>
      <c r="EA67" s="962">
        <v>0</v>
      </c>
      <c r="EB67" s="962">
        <v>0</v>
      </c>
      <c r="EC67" s="961"/>
      <c r="ED67" s="962">
        <v>1</v>
      </c>
      <c r="EE67" s="962">
        <v>2</v>
      </c>
      <c r="EF67" s="962">
        <v>1</v>
      </c>
      <c r="EG67" s="962">
        <v>1</v>
      </c>
      <c r="EH67" s="962">
        <v>1</v>
      </c>
      <c r="EI67" s="964">
        <v>0</v>
      </c>
      <c r="EJ67" s="964">
        <v>0</v>
      </c>
      <c r="EK67" s="964">
        <v>6</v>
      </c>
      <c r="EL67" s="912"/>
      <c r="EM67" s="73"/>
      <c r="EN67" s="965"/>
      <c r="EO67" s="965"/>
      <c r="EP67" s="965"/>
      <c r="EQ67" s="981" t="s">
        <v>15</v>
      </c>
      <c r="ER67" s="982"/>
      <c r="ES67" s="982"/>
      <c r="ET67" s="740">
        <v>1</v>
      </c>
      <c r="EU67" s="982"/>
      <c r="EV67" s="982"/>
      <c r="EW67" s="982"/>
      <c r="EX67" s="982"/>
      <c r="EY67" s="982"/>
      <c r="EZ67" s="982"/>
      <c r="FA67" s="982"/>
      <c r="FB67" s="982"/>
      <c r="FC67" s="982"/>
      <c r="FD67" s="982"/>
      <c r="FE67" s="740">
        <v>1</v>
      </c>
      <c r="FF67" s="905">
        <v>0</v>
      </c>
      <c r="FG67" s="73"/>
      <c r="FH67" s="73"/>
      <c r="FI67" s="161"/>
      <c r="FJ67" s="161"/>
      <c r="FK67" s="73"/>
      <c r="FL67" s="73" t="s">
        <v>1289</v>
      </c>
      <c r="FM67" s="161"/>
      <c r="FN67" s="161">
        <v>0</v>
      </c>
      <c r="FO67" s="161">
        <v>1</v>
      </c>
      <c r="FP67" s="161"/>
      <c r="FQ67" s="161">
        <v>0</v>
      </c>
      <c r="FR67" s="161"/>
      <c r="FS67" s="161"/>
      <c r="FT67" s="161"/>
      <c r="FU67" s="161"/>
      <c r="FV67" s="161">
        <v>0</v>
      </c>
      <c r="FW67" s="161">
        <v>0</v>
      </c>
      <c r="FX67" s="161">
        <v>8</v>
      </c>
      <c r="FY67" s="161">
        <v>0</v>
      </c>
      <c r="FZ67" s="161"/>
      <c r="GA67" s="161"/>
      <c r="GB67" s="161"/>
      <c r="GC67" s="161">
        <v>9</v>
      </c>
      <c r="GD67" s="73"/>
      <c r="GE67" s="73"/>
      <c r="GF67" s="968"/>
      <c r="GG67" s="968"/>
      <c r="GH67" s="968"/>
      <c r="GI67" s="979" t="s">
        <v>15</v>
      </c>
      <c r="GJ67" s="979">
        <v>1</v>
      </c>
      <c r="GK67" s="979">
        <v>0</v>
      </c>
      <c r="GL67" s="979">
        <v>0</v>
      </c>
      <c r="GM67" s="979">
        <v>0</v>
      </c>
      <c r="GN67" s="979">
        <v>0</v>
      </c>
      <c r="GO67" s="979">
        <v>0</v>
      </c>
      <c r="GP67" s="979">
        <v>0</v>
      </c>
      <c r="GQ67" s="979">
        <v>0</v>
      </c>
      <c r="GR67" s="979">
        <v>0</v>
      </c>
      <c r="GS67" s="979">
        <v>3</v>
      </c>
      <c r="GT67" s="979">
        <v>6</v>
      </c>
      <c r="GU67" s="979">
        <v>0</v>
      </c>
      <c r="GV67" s="979">
        <v>3</v>
      </c>
      <c r="GW67" s="979">
        <v>6</v>
      </c>
      <c r="GX67" s="979">
        <v>1</v>
      </c>
      <c r="GY67" s="979">
        <v>3</v>
      </c>
      <c r="GZ67" s="979">
        <v>23</v>
      </c>
      <c r="HA67" s="980">
        <f>+(GZ66+GZ64)/GZ67</f>
        <v>0.56521739130434778</v>
      </c>
      <c r="HB67" s="969">
        <f>+GZ64+GZ66</f>
        <v>13</v>
      </c>
    </row>
    <row r="68" spans="1:210">
      <c r="A68" s="73"/>
      <c r="B68" s="73"/>
      <c r="C68" s="73"/>
      <c r="D68" s="73" t="s">
        <v>1398</v>
      </c>
      <c r="E68" s="967">
        <v>0</v>
      </c>
      <c r="F68" s="967"/>
      <c r="G68" s="967"/>
      <c r="H68" s="967">
        <v>0</v>
      </c>
      <c r="I68" s="967"/>
      <c r="J68" s="967"/>
      <c r="K68" s="967"/>
      <c r="L68" s="967"/>
      <c r="M68" s="967"/>
      <c r="N68" s="967"/>
      <c r="O68" s="967"/>
      <c r="P68" s="967"/>
      <c r="Q68" s="967"/>
      <c r="R68" s="967">
        <v>0</v>
      </c>
      <c r="S68" s="967">
        <v>1</v>
      </c>
      <c r="T68" s="73">
        <v>0</v>
      </c>
      <c r="U68" s="73"/>
      <c r="V68" s="73">
        <v>1</v>
      </c>
      <c r="W68" s="73"/>
      <c r="Y68" s="73"/>
      <c r="Z68" s="73"/>
      <c r="AA68" s="73" t="s">
        <v>834</v>
      </c>
      <c r="AB68" s="73" t="s">
        <v>1292</v>
      </c>
      <c r="AC68" s="3261"/>
      <c r="AD68" s="3261"/>
      <c r="AE68" s="3261"/>
      <c r="AF68" s="3261"/>
      <c r="AG68" s="3261"/>
      <c r="AH68" s="3261"/>
      <c r="AI68" s="3261"/>
      <c r="AJ68" s="3261"/>
      <c r="AK68" s="3261"/>
      <c r="AL68" s="3261"/>
      <c r="AM68" s="3261"/>
      <c r="AN68" s="3261"/>
      <c r="AO68" s="3261"/>
      <c r="AP68" s="3261"/>
      <c r="AQ68" s="3261"/>
      <c r="AR68" s="161"/>
      <c r="AS68" s="161">
        <v>5</v>
      </c>
      <c r="AT68" s="161">
        <v>5</v>
      </c>
      <c r="AU68" s="73"/>
      <c r="AY68" s="73" t="s">
        <v>572</v>
      </c>
      <c r="AZ68" s="73" t="s">
        <v>1283</v>
      </c>
      <c r="BA68" s="2607"/>
      <c r="BB68" s="2607">
        <v>0</v>
      </c>
      <c r="BC68" s="2607"/>
      <c r="BD68" s="2607"/>
      <c r="BE68" s="2607"/>
      <c r="BF68" s="2607">
        <v>0</v>
      </c>
      <c r="BG68" s="2607"/>
      <c r="BH68" s="2607">
        <v>0</v>
      </c>
      <c r="BI68" s="2607"/>
      <c r="BJ68" s="2607">
        <v>0</v>
      </c>
      <c r="BK68" s="2607"/>
      <c r="BL68" s="2607"/>
      <c r="BM68" s="2607">
        <v>0</v>
      </c>
      <c r="BN68" s="2607">
        <v>0</v>
      </c>
      <c r="BO68" s="2607">
        <v>3</v>
      </c>
      <c r="BP68" s="73">
        <v>0</v>
      </c>
      <c r="BQ68" s="73">
        <v>1</v>
      </c>
      <c r="BR68" s="73">
        <v>4</v>
      </c>
      <c r="BS68" s="73"/>
      <c r="BU68" s="2207"/>
      <c r="BV68" s="2207"/>
      <c r="BW68" s="2207"/>
      <c r="BX68" s="2204" t="s">
        <v>15</v>
      </c>
      <c r="BY68" s="2213"/>
      <c r="BZ68" s="2213"/>
      <c r="CA68" s="2213"/>
      <c r="CB68" s="2213"/>
      <c r="CC68" s="2213"/>
      <c r="CD68" s="2213"/>
      <c r="CE68" s="2213"/>
      <c r="CF68" s="2213"/>
      <c r="CG68" s="2213"/>
      <c r="CH68" s="2213"/>
      <c r="CI68" s="2213"/>
      <c r="CJ68" s="2214">
        <v>2</v>
      </c>
      <c r="CK68" s="2214">
        <v>9</v>
      </c>
      <c r="CL68" s="2215"/>
      <c r="CM68" s="2215"/>
      <c r="CN68" s="2216">
        <v>11</v>
      </c>
      <c r="CO68" s="2154">
        <f>+CN66/CN68</f>
        <v>9.0909090909090912E-2</v>
      </c>
      <c r="CQ68" s="955"/>
      <c r="CR68" s="955"/>
      <c r="CS68" s="955"/>
      <c r="CT68" s="974" t="s">
        <v>572</v>
      </c>
      <c r="CU68" s="975"/>
      <c r="CV68" s="976">
        <v>1</v>
      </c>
      <c r="CW68" s="975"/>
      <c r="CX68" s="975"/>
      <c r="CY68" s="975"/>
      <c r="CZ68" s="976">
        <v>1</v>
      </c>
      <c r="DA68" s="975"/>
      <c r="DB68" s="976">
        <v>1</v>
      </c>
      <c r="DC68" s="975"/>
      <c r="DD68" s="975"/>
      <c r="DE68" s="975"/>
      <c r="DF68" s="976">
        <v>1</v>
      </c>
      <c r="DG68" s="976">
        <v>5</v>
      </c>
      <c r="DH68" s="976">
        <v>4</v>
      </c>
      <c r="DI68" s="976">
        <v>15</v>
      </c>
      <c r="DJ68" s="978">
        <v>4</v>
      </c>
      <c r="DK68" s="978">
        <v>11</v>
      </c>
      <c r="DL68" s="978">
        <v>43</v>
      </c>
      <c r="DM68" s="912">
        <f>+(DL65+DL67)/DL68</f>
        <v>0.13953488372093023</v>
      </c>
      <c r="DO68" s="788"/>
      <c r="DP68" s="788"/>
      <c r="DQ68" s="788"/>
      <c r="DR68" s="788"/>
      <c r="DS68" s="789" t="s">
        <v>1292</v>
      </c>
      <c r="DT68" s="961"/>
      <c r="DU68" s="961"/>
      <c r="DV68" s="961"/>
      <c r="DW68" s="962">
        <v>0</v>
      </c>
      <c r="DX68" s="961"/>
      <c r="DY68" s="961"/>
      <c r="DZ68" s="961"/>
      <c r="EA68" s="962">
        <v>0</v>
      </c>
      <c r="EB68" s="962">
        <v>0</v>
      </c>
      <c r="EC68" s="961"/>
      <c r="ED68" s="962">
        <v>0</v>
      </c>
      <c r="EE68" s="962">
        <v>0</v>
      </c>
      <c r="EF68" s="962">
        <v>0</v>
      </c>
      <c r="EG68" s="962">
        <v>1</v>
      </c>
      <c r="EH68" s="962">
        <v>9</v>
      </c>
      <c r="EI68" s="964">
        <v>3</v>
      </c>
      <c r="EJ68" s="964">
        <v>6</v>
      </c>
      <c r="EK68" s="964">
        <v>19</v>
      </c>
      <c r="EL68" s="912"/>
      <c r="EM68" s="73"/>
      <c r="EN68" s="965"/>
      <c r="EO68" s="965" t="s">
        <v>41</v>
      </c>
      <c r="EP68" s="965" t="s">
        <v>130</v>
      </c>
      <c r="EQ68" s="734" t="s">
        <v>1283</v>
      </c>
      <c r="ER68" s="735">
        <v>0</v>
      </c>
      <c r="ES68" s="966"/>
      <c r="ET68" s="966"/>
      <c r="EU68" s="735">
        <v>1</v>
      </c>
      <c r="EV68" s="966"/>
      <c r="EW68" s="966"/>
      <c r="EX68" s="735">
        <v>0</v>
      </c>
      <c r="EY68" s="966"/>
      <c r="EZ68" s="735">
        <v>0</v>
      </c>
      <c r="FA68" s="735">
        <v>0</v>
      </c>
      <c r="FB68" s="735">
        <v>0</v>
      </c>
      <c r="FC68" s="735">
        <v>0</v>
      </c>
      <c r="FD68" s="735">
        <v>0</v>
      </c>
      <c r="FE68" s="735">
        <v>1</v>
      </c>
      <c r="FF68" s="967"/>
      <c r="FG68" s="73"/>
      <c r="FH68" s="73"/>
      <c r="FI68" s="161"/>
      <c r="FJ68" s="161"/>
      <c r="FK68" s="73"/>
      <c r="FL68" s="73" t="s">
        <v>1398</v>
      </c>
      <c r="FM68" s="161"/>
      <c r="FN68" s="161">
        <v>0</v>
      </c>
      <c r="FO68" s="161">
        <v>0</v>
      </c>
      <c r="FP68" s="161"/>
      <c r="FQ68" s="161">
        <v>0</v>
      </c>
      <c r="FR68" s="161"/>
      <c r="FS68" s="161"/>
      <c r="FT68" s="161"/>
      <c r="FU68" s="161"/>
      <c r="FV68" s="161">
        <v>0</v>
      </c>
      <c r="FW68" s="161">
        <v>1</v>
      </c>
      <c r="FX68" s="161">
        <v>0</v>
      </c>
      <c r="FY68" s="161">
        <v>0</v>
      </c>
      <c r="FZ68" s="161"/>
      <c r="GA68" s="161"/>
      <c r="GB68" s="161"/>
      <c r="GC68" s="161">
        <v>1</v>
      </c>
      <c r="GD68" s="73"/>
      <c r="GE68" s="73"/>
      <c r="GF68" s="968"/>
      <c r="GG68" s="968"/>
      <c r="GH68" s="968" t="s">
        <v>890</v>
      </c>
      <c r="GI68" s="968" t="s">
        <v>1288</v>
      </c>
      <c r="GJ68" s="968">
        <v>0</v>
      </c>
      <c r="GK68" s="968">
        <v>0</v>
      </c>
      <c r="GL68" s="968">
        <v>0</v>
      </c>
      <c r="GM68" s="968">
        <v>0</v>
      </c>
      <c r="GN68" s="968">
        <v>0</v>
      </c>
      <c r="GO68" s="968">
        <v>0</v>
      </c>
      <c r="GP68" s="968">
        <v>0</v>
      </c>
      <c r="GQ68" s="968">
        <v>0</v>
      </c>
      <c r="GR68" s="968">
        <v>0</v>
      </c>
      <c r="GS68" s="968">
        <v>0</v>
      </c>
      <c r="GT68" s="968">
        <v>0</v>
      </c>
      <c r="GU68" s="968">
        <v>0</v>
      </c>
      <c r="GV68" s="968">
        <v>0</v>
      </c>
      <c r="GW68" s="968">
        <v>0</v>
      </c>
      <c r="GX68" s="968">
        <v>1</v>
      </c>
      <c r="GY68" s="968">
        <v>0</v>
      </c>
      <c r="GZ68" s="968">
        <v>1</v>
      </c>
      <c r="HA68" s="968"/>
      <c r="HB68" s="969"/>
    </row>
    <row r="69" spans="1:210">
      <c r="A69" s="73"/>
      <c r="B69" s="73"/>
      <c r="C69" s="73"/>
      <c r="D69" s="738" t="s">
        <v>15</v>
      </c>
      <c r="E69" s="4694">
        <v>1</v>
      </c>
      <c r="F69" s="4694"/>
      <c r="G69" s="4694"/>
      <c r="H69" s="4694">
        <v>1</v>
      </c>
      <c r="I69" s="4694"/>
      <c r="J69" s="4694"/>
      <c r="K69" s="4694"/>
      <c r="L69" s="4694"/>
      <c r="M69" s="4694"/>
      <c r="N69" s="4694"/>
      <c r="O69" s="4694"/>
      <c r="P69" s="4694"/>
      <c r="Q69" s="4694"/>
      <c r="R69" s="4694">
        <v>1</v>
      </c>
      <c r="S69" s="4694">
        <v>4</v>
      </c>
      <c r="T69" s="738">
        <v>1</v>
      </c>
      <c r="U69" s="738"/>
      <c r="V69" s="738">
        <v>8</v>
      </c>
      <c r="W69" s="912">
        <f>+(V68+V66)/V69</f>
        <v>0.375</v>
      </c>
      <c r="X69" s="3197"/>
      <c r="Y69" s="73"/>
      <c r="Z69" s="73"/>
      <c r="AA69" s="73"/>
      <c r="AB69" s="738" t="s">
        <v>15</v>
      </c>
      <c r="AC69" s="3262"/>
      <c r="AD69" s="3262"/>
      <c r="AE69" s="3262"/>
      <c r="AF69" s="3262"/>
      <c r="AG69" s="3262"/>
      <c r="AH69" s="3262"/>
      <c r="AI69" s="3262"/>
      <c r="AJ69" s="3262"/>
      <c r="AK69" s="3262"/>
      <c r="AL69" s="3262"/>
      <c r="AM69" s="3262"/>
      <c r="AN69" s="3262"/>
      <c r="AO69" s="3262"/>
      <c r="AP69" s="3262"/>
      <c r="AQ69" s="3262"/>
      <c r="AR69" s="151"/>
      <c r="AS69" s="151">
        <v>5</v>
      </c>
      <c r="AT69" s="151">
        <v>5</v>
      </c>
      <c r="AU69" s="912">
        <v>0</v>
      </c>
      <c r="AY69" s="73"/>
      <c r="AZ69" s="73" t="s">
        <v>1284</v>
      </c>
      <c r="BA69" s="2607"/>
      <c r="BB69" s="2607">
        <v>0</v>
      </c>
      <c r="BC69" s="2607"/>
      <c r="BD69" s="2607"/>
      <c r="BE69" s="2607"/>
      <c r="BF69" s="2607">
        <v>2</v>
      </c>
      <c r="BG69" s="2607"/>
      <c r="BH69" s="2607">
        <v>1</v>
      </c>
      <c r="BI69" s="2607"/>
      <c r="BJ69" s="2607">
        <v>0</v>
      </c>
      <c r="BK69" s="2607"/>
      <c r="BL69" s="2607"/>
      <c r="BM69" s="2607">
        <v>2</v>
      </c>
      <c r="BN69" s="2607">
        <v>0</v>
      </c>
      <c r="BO69" s="2607">
        <v>0</v>
      </c>
      <c r="BP69" s="73">
        <v>1</v>
      </c>
      <c r="BQ69" s="73">
        <v>0</v>
      </c>
      <c r="BR69" s="73">
        <v>6</v>
      </c>
      <c r="BS69" s="73"/>
      <c r="BU69" s="2207"/>
      <c r="BV69" s="2207"/>
      <c r="BW69" s="2207" t="s">
        <v>126</v>
      </c>
      <c r="BX69" s="2208" t="s">
        <v>1284</v>
      </c>
      <c r="BY69" s="2209"/>
      <c r="BZ69" s="2210">
        <v>1</v>
      </c>
      <c r="CA69" s="2210">
        <v>0</v>
      </c>
      <c r="CB69" s="2209"/>
      <c r="CC69" s="2209"/>
      <c r="CD69" s="2209"/>
      <c r="CE69" s="2209"/>
      <c r="CF69" s="2209"/>
      <c r="CG69" s="2210">
        <v>0</v>
      </c>
      <c r="CH69" s="2210">
        <v>0</v>
      </c>
      <c r="CI69" s="2210">
        <v>0</v>
      </c>
      <c r="CJ69" s="2210">
        <v>2</v>
      </c>
      <c r="CK69" s="2210">
        <v>2</v>
      </c>
      <c r="CL69" s="2212">
        <v>1</v>
      </c>
      <c r="CM69" s="2212">
        <v>0</v>
      </c>
      <c r="CN69" s="2212">
        <v>6</v>
      </c>
      <c r="CO69" s="73"/>
      <c r="CQ69" s="955"/>
      <c r="CR69" s="955" t="s">
        <v>16</v>
      </c>
      <c r="CS69" s="955" t="s">
        <v>108</v>
      </c>
      <c r="CT69" s="956" t="s">
        <v>1283</v>
      </c>
      <c r="CU69" s="957"/>
      <c r="CV69" s="957"/>
      <c r="CW69" s="957"/>
      <c r="CX69" s="957"/>
      <c r="CY69" s="957"/>
      <c r="CZ69" s="957"/>
      <c r="DA69" s="957"/>
      <c r="DB69" s="957"/>
      <c r="DC69" s="957"/>
      <c r="DD69" s="957"/>
      <c r="DE69" s="958">
        <v>0</v>
      </c>
      <c r="DF69" s="957"/>
      <c r="DG69" s="957"/>
      <c r="DH69" s="957"/>
      <c r="DI69" s="958">
        <v>1</v>
      </c>
      <c r="DJ69" s="959"/>
      <c r="DK69" s="959"/>
      <c r="DL69" s="960">
        <v>1</v>
      </c>
      <c r="DM69" s="161"/>
      <c r="DO69" s="788"/>
      <c r="DP69" s="788"/>
      <c r="DQ69" s="788"/>
      <c r="DR69" s="788"/>
      <c r="DS69" s="789" t="s">
        <v>1398</v>
      </c>
      <c r="DT69" s="961"/>
      <c r="DU69" s="961"/>
      <c r="DV69" s="961"/>
      <c r="DW69" s="962">
        <v>0</v>
      </c>
      <c r="DX69" s="961"/>
      <c r="DY69" s="961"/>
      <c r="DZ69" s="961"/>
      <c r="EA69" s="962">
        <v>0</v>
      </c>
      <c r="EB69" s="962">
        <v>0</v>
      </c>
      <c r="EC69" s="961"/>
      <c r="ED69" s="962">
        <v>0</v>
      </c>
      <c r="EE69" s="962">
        <v>1</v>
      </c>
      <c r="EF69" s="962">
        <v>1</v>
      </c>
      <c r="EG69" s="962">
        <v>0</v>
      </c>
      <c r="EH69" s="962">
        <v>1</v>
      </c>
      <c r="EI69" s="964">
        <v>0</v>
      </c>
      <c r="EJ69" s="964">
        <v>0</v>
      </c>
      <c r="EK69" s="964">
        <v>3</v>
      </c>
      <c r="EL69" s="912"/>
      <c r="EM69" s="73"/>
      <c r="EN69" s="965"/>
      <c r="EO69" s="965"/>
      <c r="EP69" s="965"/>
      <c r="EQ69" s="734" t="s">
        <v>1284</v>
      </c>
      <c r="ER69" s="735">
        <v>1</v>
      </c>
      <c r="ES69" s="966"/>
      <c r="ET69" s="966"/>
      <c r="EU69" s="735">
        <v>0</v>
      </c>
      <c r="EV69" s="966"/>
      <c r="EW69" s="966"/>
      <c r="EX69" s="735">
        <v>0</v>
      </c>
      <c r="EY69" s="966"/>
      <c r="EZ69" s="735">
        <v>0</v>
      </c>
      <c r="FA69" s="735">
        <v>0</v>
      </c>
      <c r="FB69" s="735">
        <v>0</v>
      </c>
      <c r="FC69" s="735">
        <v>0</v>
      </c>
      <c r="FD69" s="735">
        <v>0</v>
      </c>
      <c r="FE69" s="735">
        <v>1</v>
      </c>
      <c r="FF69" s="967"/>
      <c r="FG69" s="73"/>
      <c r="FH69" s="73"/>
      <c r="FI69" s="161"/>
      <c r="FJ69" s="161"/>
      <c r="FK69" s="73"/>
      <c r="FL69" s="738" t="s">
        <v>15</v>
      </c>
      <c r="FM69" s="151"/>
      <c r="FN69" s="151">
        <v>1</v>
      </c>
      <c r="FO69" s="151">
        <v>1</v>
      </c>
      <c r="FP69" s="151"/>
      <c r="FQ69" s="151">
        <v>1</v>
      </c>
      <c r="FR69" s="151"/>
      <c r="FS69" s="151"/>
      <c r="FT69" s="151"/>
      <c r="FU69" s="151"/>
      <c r="FV69" s="151">
        <v>2</v>
      </c>
      <c r="FW69" s="151">
        <v>2</v>
      </c>
      <c r="FX69" s="151">
        <v>11</v>
      </c>
      <c r="FY69" s="151">
        <v>1</v>
      </c>
      <c r="FZ69" s="151"/>
      <c r="GA69" s="151"/>
      <c r="GB69" s="151"/>
      <c r="GC69" s="151">
        <v>19</v>
      </c>
      <c r="GD69" s="983">
        <f>+(GC66+GC68)/GC69</f>
        <v>0.36842105263157893</v>
      </c>
      <c r="GE69" s="73"/>
      <c r="GF69" s="968"/>
      <c r="GG69" s="968"/>
      <c r="GH69" s="968"/>
      <c r="GI69" s="968" t="s">
        <v>1398</v>
      </c>
      <c r="GJ69" s="968">
        <v>0</v>
      </c>
      <c r="GK69" s="968">
        <v>0</v>
      </c>
      <c r="GL69" s="968">
        <v>0</v>
      </c>
      <c r="GM69" s="968">
        <v>0</v>
      </c>
      <c r="GN69" s="968">
        <v>0</v>
      </c>
      <c r="GO69" s="968">
        <v>0</v>
      </c>
      <c r="GP69" s="968">
        <v>0</v>
      </c>
      <c r="GQ69" s="968">
        <v>0</v>
      </c>
      <c r="GR69" s="968">
        <v>1</v>
      </c>
      <c r="GS69" s="968">
        <v>0</v>
      </c>
      <c r="GT69" s="968">
        <v>0</v>
      </c>
      <c r="GU69" s="968">
        <v>0</v>
      </c>
      <c r="GV69" s="968">
        <v>0</v>
      </c>
      <c r="GW69" s="968">
        <v>0</v>
      </c>
      <c r="GX69" s="968">
        <v>0</v>
      </c>
      <c r="GY69" s="968">
        <v>0</v>
      </c>
      <c r="GZ69" s="968">
        <v>1</v>
      </c>
      <c r="HA69" s="968"/>
      <c r="HB69" s="969"/>
    </row>
    <row r="70" spans="1:210">
      <c r="A70" s="73"/>
      <c r="B70" s="73"/>
      <c r="C70" s="73" t="s">
        <v>122</v>
      </c>
      <c r="D70" s="73" t="s">
        <v>1284</v>
      </c>
      <c r="E70" s="967"/>
      <c r="F70" s="967"/>
      <c r="G70" s="967">
        <v>1</v>
      </c>
      <c r="H70" s="967"/>
      <c r="I70" s="967"/>
      <c r="J70" s="967"/>
      <c r="K70" s="967"/>
      <c r="L70" s="967"/>
      <c r="M70" s="967"/>
      <c r="N70" s="967"/>
      <c r="O70" s="967"/>
      <c r="P70" s="967">
        <v>0</v>
      </c>
      <c r="Q70" s="967"/>
      <c r="R70" s="967">
        <v>0</v>
      </c>
      <c r="S70" s="967">
        <v>0</v>
      </c>
      <c r="T70" s="73">
        <v>0</v>
      </c>
      <c r="U70" s="73">
        <v>0</v>
      </c>
      <c r="V70" s="73">
        <v>1</v>
      </c>
      <c r="W70" s="73"/>
      <c r="Y70" s="73"/>
      <c r="Z70" s="73"/>
      <c r="AA70" s="73" t="s">
        <v>572</v>
      </c>
      <c r="AB70" s="73" t="s">
        <v>1284</v>
      </c>
      <c r="AC70" s="3261"/>
      <c r="AD70" s="3261"/>
      <c r="AE70" s="3261"/>
      <c r="AF70" s="3261"/>
      <c r="AG70" s="3261">
        <v>4</v>
      </c>
      <c r="AH70" s="3261"/>
      <c r="AI70" s="3261">
        <v>1</v>
      </c>
      <c r="AJ70" s="3261"/>
      <c r="AK70" s="3261"/>
      <c r="AL70" s="3261"/>
      <c r="AM70" s="3261"/>
      <c r="AN70" s="3261">
        <v>1</v>
      </c>
      <c r="AO70" s="3261">
        <v>0</v>
      </c>
      <c r="AP70" s="3261">
        <v>0</v>
      </c>
      <c r="AQ70" s="3261">
        <v>1</v>
      </c>
      <c r="AR70" s="161">
        <v>1</v>
      </c>
      <c r="AS70" s="161">
        <v>0</v>
      </c>
      <c r="AT70" s="161">
        <v>8</v>
      </c>
      <c r="AU70" s="73"/>
      <c r="AY70" s="73"/>
      <c r="AZ70" s="73" t="s">
        <v>1286</v>
      </c>
      <c r="BA70" s="2607"/>
      <c r="BB70" s="2607">
        <v>1</v>
      </c>
      <c r="BC70" s="2607"/>
      <c r="BD70" s="2607"/>
      <c r="BE70" s="2607"/>
      <c r="BF70" s="2607">
        <v>0</v>
      </c>
      <c r="BG70" s="2607"/>
      <c r="BH70" s="2607">
        <v>0</v>
      </c>
      <c r="BI70" s="2607"/>
      <c r="BJ70" s="2607">
        <v>0</v>
      </c>
      <c r="BK70" s="2607"/>
      <c r="BL70" s="2607"/>
      <c r="BM70" s="2607">
        <v>0</v>
      </c>
      <c r="BN70" s="2607">
        <v>0</v>
      </c>
      <c r="BO70" s="2607">
        <v>0</v>
      </c>
      <c r="BP70" s="73">
        <v>0</v>
      </c>
      <c r="BQ70" s="73">
        <v>0</v>
      </c>
      <c r="BR70" s="73">
        <v>1</v>
      </c>
      <c r="BS70" s="73"/>
      <c r="BU70" s="2207"/>
      <c r="BV70" s="2207"/>
      <c r="BW70" s="2207"/>
      <c r="BX70" s="2208" t="s">
        <v>1288</v>
      </c>
      <c r="BY70" s="2209"/>
      <c r="BZ70" s="2210">
        <v>0</v>
      </c>
      <c r="CA70" s="2210">
        <v>0</v>
      </c>
      <c r="CB70" s="2209"/>
      <c r="CC70" s="2209"/>
      <c r="CD70" s="2209"/>
      <c r="CE70" s="2209"/>
      <c r="CF70" s="2209"/>
      <c r="CG70" s="2210">
        <v>0</v>
      </c>
      <c r="CH70" s="2210">
        <v>0</v>
      </c>
      <c r="CI70" s="2210">
        <v>1</v>
      </c>
      <c r="CJ70" s="2210">
        <v>0</v>
      </c>
      <c r="CK70" s="2210">
        <v>0</v>
      </c>
      <c r="CL70" s="2212">
        <v>0</v>
      </c>
      <c r="CM70" s="2212">
        <v>0</v>
      </c>
      <c r="CN70" s="2212">
        <v>1</v>
      </c>
      <c r="CO70" s="73"/>
      <c r="CQ70" s="955"/>
      <c r="CR70" s="955"/>
      <c r="CS70" s="955"/>
      <c r="CT70" s="956" t="s">
        <v>1292</v>
      </c>
      <c r="CU70" s="957"/>
      <c r="CV70" s="957"/>
      <c r="CW70" s="957"/>
      <c r="CX70" s="957"/>
      <c r="CY70" s="957"/>
      <c r="CZ70" s="957"/>
      <c r="DA70" s="957"/>
      <c r="DB70" s="957"/>
      <c r="DC70" s="957"/>
      <c r="DD70" s="957"/>
      <c r="DE70" s="958">
        <v>0</v>
      </c>
      <c r="DF70" s="957"/>
      <c r="DG70" s="957"/>
      <c r="DH70" s="957"/>
      <c r="DI70" s="958">
        <v>7</v>
      </c>
      <c r="DJ70" s="959"/>
      <c r="DK70" s="959"/>
      <c r="DL70" s="960">
        <v>7</v>
      </c>
      <c r="DM70" s="161"/>
      <c r="DO70" s="788"/>
      <c r="DP70" s="788"/>
      <c r="DQ70" s="788"/>
      <c r="DR70" s="73"/>
      <c r="DS70" s="809" t="s">
        <v>572</v>
      </c>
      <c r="DT70" s="970"/>
      <c r="DU70" s="970"/>
      <c r="DV70" s="970"/>
      <c r="DW70" s="971">
        <v>1</v>
      </c>
      <c r="DX70" s="970"/>
      <c r="DY70" s="970"/>
      <c r="DZ70" s="970"/>
      <c r="EA70" s="971">
        <v>1</v>
      </c>
      <c r="EB70" s="971">
        <v>2</v>
      </c>
      <c r="EC70" s="970"/>
      <c r="ED70" s="971">
        <v>1</v>
      </c>
      <c r="EE70" s="971">
        <v>3</v>
      </c>
      <c r="EF70" s="971">
        <v>3</v>
      </c>
      <c r="EG70" s="971">
        <v>4</v>
      </c>
      <c r="EH70" s="971">
        <v>15</v>
      </c>
      <c r="EI70" s="973">
        <v>4</v>
      </c>
      <c r="EJ70" s="973">
        <v>6</v>
      </c>
      <c r="EK70" s="973">
        <v>40</v>
      </c>
      <c r="EL70" s="912">
        <f>+(EK69+EK67)/EK70</f>
        <v>0.22500000000000001</v>
      </c>
      <c r="EM70" s="73"/>
      <c r="EN70" s="965"/>
      <c r="EO70" s="965"/>
      <c r="EP70" s="965"/>
      <c r="EQ70" s="734" t="s">
        <v>1286</v>
      </c>
      <c r="ER70" s="735">
        <v>0</v>
      </c>
      <c r="ES70" s="966"/>
      <c r="ET70" s="966"/>
      <c r="EU70" s="735">
        <v>1</v>
      </c>
      <c r="EV70" s="966"/>
      <c r="EW70" s="966"/>
      <c r="EX70" s="735">
        <v>0</v>
      </c>
      <c r="EY70" s="966"/>
      <c r="EZ70" s="735">
        <v>0</v>
      </c>
      <c r="FA70" s="735">
        <v>0</v>
      </c>
      <c r="FB70" s="735">
        <v>0</v>
      </c>
      <c r="FC70" s="735">
        <v>0</v>
      </c>
      <c r="FD70" s="735">
        <v>0</v>
      </c>
      <c r="FE70" s="735">
        <v>1</v>
      </c>
      <c r="FF70" s="967"/>
      <c r="FG70" s="73"/>
      <c r="FH70" s="73"/>
      <c r="FI70" s="161"/>
      <c r="FJ70" s="161"/>
      <c r="FK70" s="73" t="s">
        <v>128</v>
      </c>
      <c r="FL70" s="73" t="s">
        <v>1288</v>
      </c>
      <c r="FM70" s="161"/>
      <c r="FN70" s="161"/>
      <c r="FO70" s="161"/>
      <c r="FP70" s="161"/>
      <c r="FQ70" s="161"/>
      <c r="FR70" s="161"/>
      <c r="FS70" s="161"/>
      <c r="FT70" s="161"/>
      <c r="FU70" s="161"/>
      <c r="FV70" s="161">
        <v>1</v>
      </c>
      <c r="FW70" s="161">
        <v>2</v>
      </c>
      <c r="FX70" s="161">
        <v>2</v>
      </c>
      <c r="FY70" s="161">
        <v>1</v>
      </c>
      <c r="FZ70" s="161"/>
      <c r="GA70" s="161"/>
      <c r="GB70" s="161"/>
      <c r="GC70" s="161">
        <v>6</v>
      </c>
      <c r="GD70" s="73"/>
      <c r="GE70" s="73"/>
      <c r="GF70" s="968"/>
      <c r="GG70" s="968"/>
      <c r="GH70" s="968"/>
      <c r="GI70" s="979" t="s">
        <v>15</v>
      </c>
      <c r="GJ70" s="979">
        <v>0</v>
      </c>
      <c r="GK70" s="979">
        <v>0</v>
      </c>
      <c r="GL70" s="979">
        <v>0</v>
      </c>
      <c r="GM70" s="979">
        <v>0</v>
      </c>
      <c r="GN70" s="979">
        <v>0</v>
      </c>
      <c r="GO70" s="979">
        <v>0</v>
      </c>
      <c r="GP70" s="979">
        <v>0</v>
      </c>
      <c r="GQ70" s="979">
        <v>0</v>
      </c>
      <c r="GR70" s="979">
        <v>1</v>
      </c>
      <c r="GS70" s="979">
        <v>0</v>
      </c>
      <c r="GT70" s="979">
        <v>0</v>
      </c>
      <c r="GU70" s="979">
        <v>0</v>
      </c>
      <c r="GV70" s="979">
        <v>0</v>
      </c>
      <c r="GW70" s="979">
        <v>0</v>
      </c>
      <c r="GX70" s="979">
        <v>1</v>
      </c>
      <c r="GY70" s="979">
        <v>0</v>
      </c>
      <c r="GZ70" s="979">
        <v>2</v>
      </c>
      <c r="HA70" s="980">
        <f>+(GZ69+GZ68-GX68)/GZ70</f>
        <v>0.5</v>
      </c>
      <c r="HB70" s="969">
        <f>+GZ69</f>
        <v>1</v>
      </c>
    </row>
    <row r="71" spans="1:210">
      <c r="A71" s="73"/>
      <c r="B71" s="73"/>
      <c r="C71" s="73"/>
      <c r="D71" s="73" t="s">
        <v>1288</v>
      </c>
      <c r="E71" s="967"/>
      <c r="F71" s="967"/>
      <c r="G71" s="967">
        <v>0</v>
      </c>
      <c r="H71" s="967"/>
      <c r="I71" s="967"/>
      <c r="J71" s="967"/>
      <c r="K71" s="967"/>
      <c r="L71" s="967"/>
      <c r="M71" s="967"/>
      <c r="N71" s="967"/>
      <c r="O71" s="967"/>
      <c r="P71" s="967">
        <v>1</v>
      </c>
      <c r="Q71" s="967"/>
      <c r="R71" s="967">
        <v>1</v>
      </c>
      <c r="S71" s="967">
        <v>1</v>
      </c>
      <c r="T71" s="73">
        <v>0</v>
      </c>
      <c r="U71" s="73">
        <v>0</v>
      </c>
      <c r="V71" s="73">
        <v>3</v>
      </c>
      <c r="W71" s="73"/>
      <c r="Y71" s="73"/>
      <c r="Z71" s="73"/>
      <c r="AA71" s="73"/>
      <c r="AB71" s="73" t="s">
        <v>1288</v>
      </c>
      <c r="AC71" s="3261"/>
      <c r="AD71" s="3261"/>
      <c r="AE71" s="3261"/>
      <c r="AF71" s="3261"/>
      <c r="AG71" s="3261">
        <v>0</v>
      </c>
      <c r="AH71" s="3261"/>
      <c r="AI71" s="3261">
        <v>0</v>
      </c>
      <c r="AJ71" s="3261"/>
      <c r="AK71" s="3261"/>
      <c r="AL71" s="3261"/>
      <c r="AM71" s="3261"/>
      <c r="AN71" s="3261">
        <v>0</v>
      </c>
      <c r="AO71" s="3261">
        <v>3</v>
      </c>
      <c r="AP71" s="3261">
        <v>3</v>
      </c>
      <c r="AQ71" s="3261">
        <v>1</v>
      </c>
      <c r="AR71" s="161">
        <v>1</v>
      </c>
      <c r="AS71" s="161">
        <v>0</v>
      </c>
      <c r="AT71" s="161">
        <v>8</v>
      </c>
      <c r="AU71" s="73"/>
      <c r="AY71" s="73"/>
      <c r="AZ71" s="73" t="s">
        <v>1288</v>
      </c>
      <c r="BA71" s="2607"/>
      <c r="BB71" s="2607">
        <v>0</v>
      </c>
      <c r="BC71" s="2607"/>
      <c r="BD71" s="2607"/>
      <c r="BE71" s="2607"/>
      <c r="BF71" s="2607">
        <v>0</v>
      </c>
      <c r="BG71" s="2607"/>
      <c r="BH71" s="2607">
        <v>0</v>
      </c>
      <c r="BI71" s="2607"/>
      <c r="BJ71" s="2607">
        <v>0</v>
      </c>
      <c r="BK71" s="2607"/>
      <c r="BL71" s="2607"/>
      <c r="BM71" s="2607">
        <v>0</v>
      </c>
      <c r="BN71" s="2607">
        <v>1</v>
      </c>
      <c r="BO71" s="2607">
        <v>0</v>
      </c>
      <c r="BP71" s="73">
        <v>0</v>
      </c>
      <c r="BQ71" s="73">
        <v>0</v>
      </c>
      <c r="BR71" s="73">
        <v>1</v>
      </c>
      <c r="BS71" s="73"/>
      <c r="BU71" s="2207"/>
      <c r="BV71" s="2207"/>
      <c r="BW71" s="2207"/>
      <c r="BX71" s="2208" t="s">
        <v>1289</v>
      </c>
      <c r="BY71" s="2209"/>
      <c r="BZ71" s="2210">
        <v>0</v>
      </c>
      <c r="CA71" s="2210">
        <v>1</v>
      </c>
      <c r="CB71" s="2209"/>
      <c r="CC71" s="2209"/>
      <c r="CD71" s="2209"/>
      <c r="CE71" s="2209"/>
      <c r="CF71" s="2209"/>
      <c r="CG71" s="2210">
        <v>0</v>
      </c>
      <c r="CH71" s="2210">
        <v>0</v>
      </c>
      <c r="CI71" s="2210">
        <v>0</v>
      </c>
      <c r="CJ71" s="2210">
        <v>0</v>
      </c>
      <c r="CK71" s="2210">
        <v>0</v>
      </c>
      <c r="CL71" s="2212">
        <v>0</v>
      </c>
      <c r="CM71" s="2212">
        <v>0</v>
      </c>
      <c r="CN71" s="2212">
        <v>1</v>
      </c>
      <c r="CO71" s="73"/>
      <c r="CQ71" s="955"/>
      <c r="CR71" s="955"/>
      <c r="CS71" s="955"/>
      <c r="CT71" s="956" t="s">
        <v>1398</v>
      </c>
      <c r="CU71" s="957"/>
      <c r="CV71" s="957"/>
      <c r="CW71" s="957"/>
      <c r="CX71" s="957"/>
      <c r="CY71" s="957"/>
      <c r="CZ71" s="957"/>
      <c r="DA71" s="957"/>
      <c r="DB71" s="957"/>
      <c r="DC71" s="957"/>
      <c r="DD71" s="957"/>
      <c r="DE71" s="958">
        <v>1</v>
      </c>
      <c r="DF71" s="957"/>
      <c r="DG71" s="957"/>
      <c r="DH71" s="957"/>
      <c r="DI71" s="958">
        <v>0</v>
      </c>
      <c r="DJ71" s="959"/>
      <c r="DK71" s="959"/>
      <c r="DL71" s="960">
        <v>1</v>
      </c>
      <c r="DM71" s="161"/>
      <c r="DO71" s="788"/>
      <c r="DP71" s="788" t="s">
        <v>16</v>
      </c>
      <c r="DQ71" s="788" t="s">
        <v>108</v>
      </c>
      <c r="DR71" s="788" t="s">
        <v>1282</v>
      </c>
      <c r="DS71" s="789" t="s">
        <v>1283</v>
      </c>
      <c r="DT71" s="961"/>
      <c r="DU71" s="961"/>
      <c r="DV71" s="962">
        <v>0</v>
      </c>
      <c r="DW71" s="961"/>
      <c r="DX71" s="961"/>
      <c r="DY71" s="961"/>
      <c r="DZ71" s="962">
        <v>0</v>
      </c>
      <c r="EA71" s="961"/>
      <c r="EB71" s="962">
        <v>0</v>
      </c>
      <c r="EC71" s="962">
        <v>0</v>
      </c>
      <c r="ED71" s="962">
        <v>0</v>
      </c>
      <c r="EE71" s="962">
        <v>0</v>
      </c>
      <c r="EF71" s="961"/>
      <c r="EG71" s="962">
        <v>0</v>
      </c>
      <c r="EH71" s="962">
        <v>1</v>
      </c>
      <c r="EI71" s="963"/>
      <c r="EJ71" s="964">
        <v>0</v>
      </c>
      <c r="EK71" s="964">
        <v>1</v>
      </c>
      <c r="EL71" s="912"/>
      <c r="EM71" s="73"/>
      <c r="EN71" s="965"/>
      <c r="EO71" s="965"/>
      <c r="EP71" s="965"/>
      <c r="EQ71" s="734" t="s">
        <v>1288</v>
      </c>
      <c r="ER71" s="735">
        <v>0</v>
      </c>
      <c r="ES71" s="966"/>
      <c r="ET71" s="966"/>
      <c r="EU71" s="735">
        <v>0</v>
      </c>
      <c r="EV71" s="966"/>
      <c r="EW71" s="966"/>
      <c r="EX71" s="735">
        <v>0</v>
      </c>
      <c r="EY71" s="966"/>
      <c r="EZ71" s="735">
        <v>1</v>
      </c>
      <c r="FA71" s="735">
        <v>2</v>
      </c>
      <c r="FB71" s="735">
        <v>2</v>
      </c>
      <c r="FC71" s="735">
        <v>1</v>
      </c>
      <c r="FD71" s="735">
        <v>0</v>
      </c>
      <c r="FE71" s="735">
        <v>6</v>
      </c>
      <c r="FF71" s="967"/>
      <c r="FG71" s="73"/>
      <c r="FH71" s="73"/>
      <c r="FI71" s="161"/>
      <c r="FJ71" s="161"/>
      <c r="FK71" s="73"/>
      <c r="FL71" s="738" t="s">
        <v>15</v>
      </c>
      <c r="FM71" s="151"/>
      <c r="FN71" s="151"/>
      <c r="FO71" s="151"/>
      <c r="FP71" s="151"/>
      <c r="FQ71" s="151"/>
      <c r="FR71" s="151"/>
      <c r="FS71" s="151"/>
      <c r="FT71" s="151"/>
      <c r="FU71" s="151"/>
      <c r="FV71" s="151">
        <v>1</v>
      </c>
      <c r="FW71" s="151">
        <v>2</v>
      </c>
      <c r="FX71" s="151">
        <v>2</v>
      </c>
      <c r="FY71" s="151">
        <v>1</v>
      </c>
      <c r="FZ71" s="151"/>
      <c r="GA71" s="151"/>
      <c r="GB71" s="151"/>
      <c r="GC71" s="151">
        <v>6</v>
      </c>
      <c r="GD71" s="984">
        <f>+GC70/GC71</f>
        <v>1</v>
      </c>
      <c r="GE71" s="73"/>
      <c r="GF71" s="968"/>
      <c r="GG71" s="968"/>
      <c r="GH71" s="968" t="s">
        <v>131</v>
      </c>
      <c r="GI71" s="968" t="s">
        <v>1288</v>
      </c>
      <c r="GJ71" s="968">
        <v>0</v>
      </c>
      <c r="GK71" s="968">
        <v>0</v>
      </c>
      <c r="GL71" s="968">
        <v>0</v>
      </c>
      <c r="GM71" s="968">
        <v>0</v>
      </c>
      <c r="GN71" s="968">
        <v>0</v>
      </c>
      <c r="GO71" s="968">
        <v>0</v>
      </c>
      <c r="GP71" s="968">
        <v>0</v>
      </c>
      <c r="GQ71" s="968">
        <v>0</v>
      </c>
      <c r="GR71" s="968">
        <v>0</v>
      </c>
      <c r="GS71" s="968">
        <v>0</v>
      </c>
      <c r="GT71" s="968">
        <v>0</v>
      </c>
      <c r="GU71" s="968">
        <v>0</v>
      </c>
      <c r="GV71" s="968">
        <v>0</v>
      </c>
      <c r="GW71" s="968">
        <v>1</v>
      </c>
      <c r="GX71" s="968">
        <v>1</v>
      </c>
      <c r="GY71" s="968">
        <v>0</v>
      </c>
      <c r="GZ71" s="968">
        <v>2</v>
      </c>
      <c r="HA71" s="968"/>
      <c r="HB71" s="969"/>
    </row>
    <row r="72" spans="1:210">
      <c r="A72" s="73"/>
      <c r="B72" s="73"/>
      <c r="C72" s="73"/>
      <c r="D72" s="73" t="s">
        <v>1292</v>
      </c>
      <c r="E72" s="967"/>
      <c r="F72" s="967"/>
      <c r="G72" s="967">
        <v>0</v>
      </c>
      <c r="H72" s="967"/>
      <c r="I72" s="967"/>
      <c r="J72" s="967"/>
      <c r="K72" s="967"/>
      <c r="L72" s="967"/>
      <c r="M72" s="967"/>
      <c r="N72" s="967"/>
      <c r="O72" s="967"/>
      <c r="P72" s="967">
        <v>0</v>
      </c>
      <c r="Q72" s="967"/>
      <c r="R72" s="967">
        <v>0</v>
      </c>
      <c r="S72" s="967">
        <v>2</v>
      </c>
      <c r="T72" s="73">
        <v>2</v>
      </c>
      <c r="U72" s="73">
        <v>1</v>
      </c>
      <c r="V72" s="73">
        <v>5</v>
      </c>
      <c r="W72" s="73"/>
      <c r="Y72" s="73"/>
      <c r="Z72" s="73"/>
      <c r="AA72" s="73"/>
      <c r="AB72" s="73" t="s">
        <v>1292</v>
      </c>
      <c r="AC72" s="3261"/>
      <c r="AD72" s="3261"/>
      <c r="AE72" s="3261"/>
      <c r="AF72" s="3261"/>
      <c r="AG72" s="3261">
        <v>0</v>
      </c>
      <c r="AH72" s="3261"/>
      <c r="AI72" s="3261">
        <v>0</v>
      </c>
      <c r="AJ72" s="3261"/>
      <c r="AK72" s="3261"/>
      <c r="AL72" s="3261"/>
      <c r="AM72" s="3261"/>
      <c r="AN72" s="3261">
        <v>0</v>
      </c>
      <c r="AO72" s="3261">
        <v>0</v>
      </c>
      <c r="AP72" s="3261">
        <v>0</v>
      </c>
      <c r="AQ72" s="3261">
        <v>11</v>
      </c>
      <c r="AR72" s="161">
        <v>4</v>
      </c>
      <c r="AS72" s="161">
        <v>12</v>
      </c>
      <c r="AT72" s="161">
        <v>27</v>
      </c>
      <c r="AU72" s="73"/>
      <c r="AY72" s="73"/>
      <c r="AZ72" s="73" t="s">
        <v>1289</v>
      </c>
      <c r="BA72" s="2607"/>
      <c r="BB72" s="2607">
        <v>0</v>
      </c>
      <c r="BC72" s="2607"/>
      <c r="BD72" s="2607"/>
      <c r="BE72" s="2607"/>
      <c r="BF72" s="2607">
        <v>0</v>
      </c>
      <c r="BG72" s="2607"/>
      <c r="BH72" s="2607">
        <v>0</v>
      </c>
      <c r="BI72" s="2607"/>
      <c r="BJ72" s="2607">
        <v>1</v>
      </c>
      <c r="BK72" s="2607"/>
      <c r="BL72" s="2607"/>
      <c r="BM72" s="2607">
        <v>0</v>
      </c>
      <c r="BN72" s="2607">
        <v>0</v>
      </c>
      <c r="BO72" s="2607">
        <v>0</v>
      </c>
      <c r="BP72" s="73">
        <v>0</v>
      </c>
      <c r="BQ72" s="73">
        <v>0</v>
      </c>
      <c r="BR72" s="73">
        <v>1</v>
      </c>
      <c r="BS72" s="73"/>
      <c r="BU72" s="2207"/>
      <c r="BV72" s="2207"/>
      <c r="BW72" s="2207"/>
      <c r="BX72" s="2208" t="s">
        <v>1292</v>
      </c>
      <c r="BY72" s="2209"/>
      <c r="BZ72" s="2210">
        <v>0</v>
      </c>
      <c r="CA72" s="2210">
        <v>0</v>
      </c>
      <c r="CB72" s="2209"/>
      <c r="CC72" s="2209"/>
      <c r="CD72" s="2209"/>
      <c r="CE72" s="2209"/>
      <c r="CF72" s="2209"/>
      <c r="CG72" s="2210">
        <v>0</v>
      </c>
      <c r="CH72" s="2210">
        <v>0</v>
      </c>
      <c r="CI72" s="2210">
        <v>0</v>
      </c>
      <c r="CJ72" s="2210">
        <v>0</v>
      </c>
      <c r="CK72" s="2210">
        <v>0</v>
      </c>
      <c r="CL72" s="2212">
        <v>0</v>
      </c>
      <c r="CM72" s="2212">
        <v>1</v>
      </c>
      <c r="CN72" s="2212">
        <v>1</v>
      </c>
      <c r="CO72" s="73"/>
      <c r="CQ72" s="955"/>
      <c r="CR72" s="955"/>
      <c r="CS72" s="955"/>
      <c r="CT72" s="974" t="s">
        <v>15</v>
      </c>
      <c r="CU72" s="975"/>
      <c r="CV72" s="975"/>
      <c r="CW72" s="975"/>
      <c r="CX72" s="975"/>
      <c r="CY72" s="975"/>
      <c r="CZ72" s="975"/>
      <c r="DA72" s="975"/>
      <c r="DB72" s="975"/>
      <c r="DC72" s="975"/>
      <c r="DD72" s="975"/>
      <c r="DE72" s="976">
        <v>1</v>
      </c>
      <c r="DF72" s="975"/>
      <c r="DG72" s="975"/>
      <c r="DH72" s="975"/>
      <c r="DI72" s="976">
        <v>8</v>
      </c>
      <c r="DJ72" s="977"/>
      <c r="DK72" s="977"/>
      <c r="DL72" s="978">
        <v>9</v>
      </c>
      <c r="DM72" s="912">
        <f>+DL71/DL72</f>
        <v>0.1111111111111111</v>
      </c>
      <c r="DO72" s="788"/>
      <c r="DP72" s="788"/>
      <c r="DQ72" s="788"/>
      <c r="DR72" s="788"/>
      <c r="DS72" s="789" t="s">
        <v>1284</v>
      </c>
      <c r="DT72" s="961"/>
      <c r="DU72" s="961"/>
      <c r="DV72" s="962">
        <v>1</v>
      </c>
      <c r="DW72" s="961"/>
      <c r="DX72" s="961"/>
      <c r="DY72" s="961"/>
      <c r="DZ72" s="962">
        <v>1</v>
      </c>
      <c r="EA72" s="961"/>
      <c r="EB72" s="962">
        <v>0</v>
      </c>
      <c r="EC72" s="962">
        <v>2</v>
      </c>
      <c r="ED72" s="962">
        <v>0</v>
      </c>
      <c r="EE72" s="962">
        <v>0</v>
      </c>
      <c r="EF72" s="961"/>
      <c r="EG72" s="962">
        <v>1</v>
      </c>
      <c r="EH72" s="962">
        <v>0</v>
      </c>
      <c r="EI72" s="963"/>
      <c r="EJ72" s="964">
        <v>0</v>
      </c>
      <c r="EK72" s="964">
        <v>5</v>
      </c>
      <c r="EL72" s="912"/>
      <c r="EM72" s="73"/>
      <c r="EN72" s="965"/>
      <c r="EO72" s="965"/>
      <c r="EP72" s="965"/>
      <c r="EQ72" s="734" t="s">
        <v>1292</v>
      </c>
      <c r="ER72" s="735">
        <v>0</v>
      </c>
      <c r="ES72" s="966"/>
      <c r="ET72" s="966"/>
      <c r="EU72" s="735">
        <v>0</v>
      </c>
      <c r="EV72" s="966"/>
      <c r="EW72" s="966"/>
      <c r="EX72" s="735">
        <v>0</v>
      </c>
      <c r="EY72" s="966"/>
      <c r="EZ72" s="735">
        <v>0</v>
      </c>
      <c r="FA72" s="735">
        <v>0</v>
      </c>
      <c r="FB72" s="735">
        <v>5</v>
      </c>
      <c r="FC72" s="735">
        <v>0</v>
      </c>
      <c r="FD72" s="735">
        <v>1</v>
      </c>
      <c r="FE72" s="735">
        <v>6</v>
      </c>
      <c r="FF72" s="967"/>
      <c r="FG72" s="73"/>
      <c r="FH72" s="73"/>
      <c r="FI72" s="161"/>
      <c r="FJ72" s="161"/>
      <c r="FK72" s="73" t="s">
        <v>129</v>
      </c>
      <c r="FL72" s="73" t="s">
        <v>1283</v>
      </c>
      <c r="FM72" s="161">
        <v>0</v>
      </c>
      <c r="FN72" s="161"/>
      <c r="FO72" s="161"/>
      <c r="FP72" s="161"/>
      <c r="FQ72" s="161">
        <v>1</v>
      </c>
      <c r="FR72" s="161"/>
      <c r="FS72" s="161"/>
      <c r="FT72" s="161"/>
      <c r="FU72" s="161"/>
      <c r="FV72" s="161"/>
      <c r="FW72" s="161">
        <v>0</v>
      </c>
      <c r="FX72" s="161">
        <v>0</v>
      </c>
      <c r="FY72" s="161">
        <v>0</v>
      </c>
      <c r="FZ72" s="161"/>
      <c r="GA72" s="161"/>
      <c r="GB72" s="161">
        <v>0</v>
      </c>
      <c r="GC72" s="161">
        <v>1</v>
      </c>
      <c r="GD72" s="73"/>
      <c r="GE72" s="73"/>
      <c r="GF72" s="968"/>
      <c r="GG72" s="968"/>
      <c r="GH72" s="968"/>
      <c r="GI72" s="968" t="s">
        <v>1292</v>
      </c>
      <c r="GJ72" s="968">
        <v>0</v>
      </c>
      <c r="GK72" s="968">
        <v>0</v>
      </c>
      <c r="GL72" s="968">
        <v>0</v>
      </c>
      <c r="GM72" s="968">
        <v>0</v>
      </c>
      <c r="GN72" s="968">
        <v>0</v>
      </c>
      <c r="GO72" s="968">
        <v>0</v>
      </c>
      <c r="GP72" s="968">
        <v>0</v>
      </c>
      <c r="GQ72" s="968">
        <v>0</v>
      </c>
      <c r="GR72" s="968">
        <v>0</v>
      </c>
      <c r="GS72" s="968">
        <v>0</v>
      </c>
      <c r="GT72" s="968">
        <v>0</v>
      </c>
      <c r="GU72" s="968">
        <v>0</v>
      </c>
      <c r="GV72" s="968">
        <v>0</v>
      </c>
      <c r="GW72" s="968">
        <v>1</v>
      </c>
      <c r="GX72" s="968">
        <v>0</v>
      </c>
      <c r="GY72" s="968">
        <v>1</v>
      </c>
      <c r="GZ72" s="968">
        <v>2</v>
      </c>
      <c r="HA72" s="968"/>
      <c r="HB72" s="969"/>
    </row>
    <row r="73" spans="1:210">
      <c r="A73" s="73"/>
      <c r="B73" s="73"/>
      <c r="C73" s="73"/>
      <c r="D73" s="73" t="s">
        <v>1398</v>
      </c>
      <c r="E73" s="967"/>
      <c r="F73" s="967"/>
      <c r="G73" s="967">
        <v>0</v>
      </c>
      <c r="H73" s="967"/>
      <c r="I73" s="967"/>
      <c r="J73" s="967"/>
      <c r="K73" s="967"/>
      <c r="L73" s="967"/>
      <c r="M73" s="967"/>
      <c r="N73" s="967"/>
      <c r="O73" s="967"/>
      <c r="P73" s="967">
        <v>1</v>
      </c>
      <c r="Q73" s="967"/>
      <c r="R73" s="967">
        <v>0</v>
      </c>
      <c r="S73" s="967">
        <v>0</v>
      </c>
      <c r="T73" s="73">
        <v>0</v>
      </c>
      <c r="U73" s="73">
        <v>0</v>
      </c>
      <c r="V73" s="73">
        <v>1</v>
      </c>
      <c r="W73" s="73"/>
      <c r="Y73" s="73"/>
      <c r="Z73" s="73"/>
      <c r="AA73" s="73"/>
      <c r="AB73" s="73" t="s">
        <v>1398</v>
      </c>
      <c r="AC73" s="3261"/>
      <c r="AD73" s="3261"/>
      <c r="AE73" s="3261"/>
      <c r="AF73" s="3261"/>
      <c r="AG73" s="3261">
        <v>0</v>
      </c>
      <c r="AH73" s="3261"/>
      <c r="AI73" s="3261">
        <v>0</v>
      </c>
      <c r="AJ73" s="3261"/>
      <c r="AK73" s="3261"/>
      <c r="AL73" s="3261"/>
      <c r="AM73" s="3261"/>
      <c r="AN73" s="3261">
        <v>2</v>
      </c>
      <c r="AO73" s="3261">
        <v>4</v>
      </c>
      <c r="AP73" s="3261">
        <v>3</v>
      </c>
      <c r="AQ73" s="3261">
        <v>1</v>
      </c>
      <c r="AR73" s="161">
        <v>0</v>
      </c>
      <c r="AS73" s="161">
        <v>0</v>
      </c>
      <c r="AT73" s="161">
        <v>10</v>
      </c>
      <c r="AU73" s="73"/>
      <c r="AY73" s="73"/>
      <c r="AZ73" s="73" t="s">
        <v>1292</v>
      </c>
      <c r="BA73" s="2607"/>
      <c r="BB73" s="2607">
        <v>0</v>
      </c>
      <c r="BC73" s="2607"/>
      <c r="BD73" s="2607"/>
      <c r="BE73" s="2607"/>
      <c r="BF73" s="2607">
        <v>0</v>
      </c>
      <c r="BG73" s="2607"/>
      <c r="BH73" s="2607">
        <v>0</v>
      </c>
      <c r="BI73" s="2607"/>
      <c r="BJ73" s="2607">
        <v>0</v>
      </c>
      <c r="BK73" s="2607"/>
      <c r="BL73" s="2607"/>
      <c r="BM73" s="2607">
        <v>0</v>
      </c>
      <c r="BN73" s="2607">
        <v>0</v>
      </c>
      <c r="BO73" s="2607">
        <v>17</v>
      </c>
      <c r="BP73" s="73">
        <v>7</v>
      </c>
      <c r="BQ73" s="73">
        <v>4</v>
      </c>
      <c r="BR73" s="73">
        <v>28</v>
      </c>
      <c r="BS73" s="73"/>
      <c r="BU73" s="2207"/>
      <c r="BV73" s="2207"/>
      <c r="BW73" s="2207"/>
      <c r="BX73" s="2208" t="s">
        <v>1398</v>
      </c>
      <c r="BY73" s="2209"/>
      <c r="BZ73" s="2210">
        <v>0</v>
      </c>
      <c r="CA73" s="2210">
        <v>0</v>
      </c>
      <c r="CB73" s="2209"/>
      <c r="CC73" s="2209"/>
      <c r="CD73" s="2209"/>
      <c r="CE73" s="2209"/>
      <c r="CF73" s="2209"/>
      <c r="CG73" s="2210">
        <v>1</v>
      </c>
      <c r="CH73" s="2210">
        <v>1</v>
      </c>
      <c r="CI73" s="2210">
        <v>4</v>
      </c>
      <c r="CJ73" s="2210">
        <v>0</v>
      </c>
      <c r="CK73" s="2210">
        <v>0</v>
      </c>
      <c r="CL73" s="2212">
        <v>0</v>
      </c>
      <c r="CM73" s="2212">
        <v>0</v>
      </c>
      <c r="CN73" s="2212">
        <v>6</v>
      </c>
      <c r="CO73" s="73"/>
      <c r="CQ73" s="955"/>
      <c r="CR73" s="955"/>
      <c r="CS73" s="955" t="s">
        <v>126</v>
      </c>
      <c r="CT73" s="956" t="s">
        <v>1284</v>
      </c>
      <c r="CU73" s="957"/>
      <c r="CV73" s="957"/>
      <c r="CW73" s="957"/>
      <c r="CX73" s="957"/>
      <c r="CY73" s="957"/>
      <c r="CZ73" s="957"/>
      <c r="DA73" s="957"/>
      <c r="DB73" s="957"/>
      <c r="DC73" s="957"/>
      <c r="DD73" s="958">
        <v>1</v>
      </c>
      <c r="DE73" s="958">
        <v>1</v>
      </c>
      <c r="DF73" s="958">
        <v>2</v>
      </c>
      <c r="DG73" s="958">
        <v>1</v>
      </c>
      <c r="DH73" s="958">
        <v>1</v>
      </c>
      <c r="DI73" s="958">
        <v>0</v>
      </c>
      <c r="DJ73" s="959"/>
      <c r="DK73" s="959"/>
      <c r="DL73" s="960">
        <v>6</v>
      </c>
      <c r="DM73" s="161"/>
      <c r="DO73" s="788"/>
      <c r="DP73" s="788"/>
      <c r="DQ73" s="788"/>
      <c r="DR73" s="788"/>
      <c r="DS73" s="789" t="s">
        <v>1288</v>
      </c>
      <c r="DT73" s="961"/>
      <c r="DU73" s="961"/>
      <c r="DV73" s="962">
        <v>0</v>
      </c>
      <c r="DW73" s="961"/>
      <c r="DX73" s="961"/>
      <c r="DY73" s="961"/>
      <c r="DZ73" s="962">
        <v>0</v>
      </c>
      <c r="EA73" s="961"/>
      <c r="EB73" s="962">
        <v>0</v>
      </c>
      <c r="EC73" s="962">
        <v>0</v>
      </c>
      <c r="ED73" s="962">
        <v>0</v>
      </c>
      <c r="EE73" s="962">
        <v>0</v>
      </c>
      <c r="EF73" s="961"/>
      <c r="EG73" s="962">
        <v>3</v>
      </c>
      <c r="EH73" s="962">
        <v>1</v>
      </c>
      <c r="EI73" s="963"/>
      <c r="EJ73" s="964">
        <v>0</v>
      </c>
      <c r="EK73" s="964">
        <v>4</v>
      </c>
      <c r="EL73" s="912"/>
      <c r="EM73" s="73"/>
      <c r="EN73" s="965"/>
      <c r="EO73" s="965"/>
      <c r="EP73" s="965"/>
      <c r="EQ73" s="734" t="s">
        <v>1398</v>
      </c>
      <c r="ER73" s="735">
        <v>0</v>
      </c>
      <c r="ES73" s="966"/>
      <c r="ET73" s="966"/>
      <c r="EU73" s="735">
        <v>0</v>
      </c>
      <c r="EV73" s="966"/>
      <c r="EW73" s="966"/>
      <c r="EX73" s="735">
        <v>1</v>
      </c>
      <c r="EY73" s="966"/>
      <c r="EZ73" s="735">
        <v>4</v>
      </c>
      <c r="FA73" s="735">
        <v>2</v>
      </c>
      <c r="FB73" s="735">
        <v>0</v>
      </c>
      <c r="FC73" s="735">
        <v>0</v>
      </c>
      <c r="FD73" s="735">
        <v>0</v>
      </c>
      <c r="FE73" s="735">
        <v>7</v>
      </c>
      <c r="FF73" s="967"/>
      <c r="FG73" s="73"/>
      <c r="FH73" s="73"/>
      <c r="FI73" s="161"/>
      <c r="FJ73" s="161"/>
      <c r="FK73" s="73"/>
      <c r="FL73" s="73" t="s">
        <v>1284</v>
      </c>
      <c r="FM73" s="161">
        <v>2</v>
      </c>
      <c r="FN73" s="161"/>
      <c r="FO73" s="161"/>
      <c r="FP73" s="161"/>
      <c r="FQ73" s="161">
        <v>1</v>
      </c>
      <c r="FR73" s="161"/>
      <c r="FS73" s="161"/>
      <c r="FT73" s="161"/>
      <c r="FU73" s="161"/>
      <c r="FV73" s="161"/>
      <c r="FW73" s="161">
        <v>1</v>
      </c>
      <c r="FX73" s="161">
        <v>0</v>
      </c>
      <c r="FY73" s="161">
        <v>1</v>
      </c>
      <c r="FZ73" s="161"/>
      <c r="GA73" s="161"/>
      <c r="GB73" s="161">
        <v>0</v>
      </c>
      <c r="GC73" s="161">
        <v>5</v>
      </c>
      <c r="GD73" s="73"/>
      <c r="GE73" s="73"/>
      <c r="GF73" s="968"/>
      <c r="GG73" s="968"/>
      <c r="GH73" s="968"/>
      <c r="GI73" s="979" t="s">
        <v>15</v>
      </c>
      <c r="GJ73" s="979">
        <v>0</v>
      </c>
      <c r="GK73" s="979">
        <v>0</v>
      </c>
      <c r="GL73" s="979">
        <v>0</v>
      </c>
      <c r="GM73" s="979">
        <v>0</v>
      </c>
      <c r="GN73" s="979">
        <v>0</v>
      </c>
      <c r="GO73" s="979">
        <v>0</v>
      </c>
      <c r="GP73" s="979">
        <v>0</v>
      </c>
      <c r="GQ73" s="979">
        <v>0</v>
      </c>
      <c r="GR73" s="979">
        <v>0</v>
      </c>
      <c r="GS73" s="979">
        <v>0</v>
      </c>
      <c r="GT73" s="979">
        <v>0</v>
      </c>
      <c r="GU73" s="979">
        <v>0</v>
      </c>
      <c r="GV73" s="979">
        <v>0</v>
      </c>
      <c r="GW73" s="979">
        <v>2</v>
      </c>
      <c r="GX73" s="979">
        <v>1</v>
      </c>
      <c r="GY73" s="979">
        <v>1</v>
      </c>
      <c r="GZ73" s="979">
        <v>4</v>
      </c>
      <c r="HA73" s="980">
        <f>+(GZ71-GX71)/GZ73</f>
        <v>0.25</v>
      </c>
      <c r="HB73" s="969">
        <f>+GZ71-GY72</f>
        <v>1</v>
      </c>
    </row>
    <row r="74" spans="1:210">
      <c r="A74" s="73"/>
      <c r="B74" s="73"/>
      <c r="C74" s="73"/>
      <c r="D74" s="738" t="s">
        <v>15</v>
      </c>
      <c r="E74" s="4694"/>
      <c r="F74" s="4694"/>
      <c r="G74" s="4694">
        <v>1</v>
      </c>
      <c r="H74" s="4694"/>
      <c r="I74" s="4694"/>
      <c r="J74" s="4694"/>
      <c r="K74" s="4694"/>
      <c r="L74" s="4694"/>
      <c r="M74" s="4694"/>
      <c r="N74" s="4694"/>
      <c r="O74" s="4694"/>
      <c r="P74" s="4694">
        <v>2</v>
      </c>
      <c r="Q74" s="4694"/>
      <c r="R74" s="4694">
        <v>1</v>
      </c>
      <c r="S74" s="4694">
        <v>3</v>
      </c>
      <c r="T74" s="738">
        <v>2</v>
      </c>
      <c r="U74" s="738">
        <v>1</v>
      </c>
      <c r="V74" s="738">
        <v>10</v>
      </c>
      <c r="W74" s="912">
        <f>+(V73+V71)/V74</f>
        <v>0.4</v>
      </c>
      <c r="X74" s="3197"/>
      <c r="Y74" s="73"/>
      <c r="Z74" s="73"/>
      <c r="AA74" s="73"/>
      <c r="AB74" s="738" t="s">
        <v>572</v>
      </c>
      <c r="AC74" s="3262"/>
      <c r="AD74" s="3262"/>
      <c r="AE74" s="3262"/>
      <c r="AF74" s="3262"/>
      <c r="AG74" s="3262">
        <v>4</v>
      </c>
      <c r="AH74" s="3262"/>
      <c r="AI74" s="3262">
        <v>1</v>
      </c>
      <c r="AJ74" s="3262"/>
      <c r="AK74" s="3262"/>
      <c r="AL74" s="3262"/>
      <c r="AM74" s="3262"/>
      <c r="AN74" s="3262">
        <v>3</v>
      </c>
      <c r="AO74" s="3262">
        <v>7</v>
      </c>
      <c r="AP74" s="3262">
        <v>6</v>
      </c>
      <c r="AQ74" s="3262">
        <v>14</v>
      </c>
      <c r="AR74" s="151">
        <v>6</v>
      </c>
      <c r="AS74" s="151">
        <v>12</v>
      </c>
      <c r="AT74" s="151">
        <v>53</v>
      </c>
      <c r="AU74" s="912">
        <f>+(AT71-AR71+AT73)/AT74</f>
        <v>0.32075471698113206</v>
      </c>
      <c r="AY74" s="73"/>
      <c r="AZ74" s="73" t="s">
        <v>1398</v>
      </c>
      <c r="BA74" s="2607"/>
      <c r="BB74" s="2607">
        <v>0</v>
      </c>
      <c r="BC74" s="2607"/>
      <c r="BD74" s="2607"/>
      <c r="BE74" s="2607"/>
      <c r="BF74" s="2607">
        <v>0</v>
      </c>
      <c r="BG74" s="2607"/>
      <c r="BH74" s="2607">
        <v>0</v>
      </c>
      <c r="BI74" s="2607"/>
      <c r="BJ74" s="2607">
        <v>0</v>
      </c>
      <c r="BK74" s="2607"/>
      <c r="BL74" s="2607"/>
      <c r="BM74" s="2607">
        <v>1</v>
      </c>
      <c r="BN74" s="2607">
        <v>7</v>
      </c>
      <c r="BO74" s="2607">
        <v>0</v>
      </c>
      <c r="BP74" s="73">
        <v>0</v>
      </c>
      <c r="BQ74" s="73">
        <v>0</v>
      </c>
      <c r="BR74" s="73">
        <v>8</v>
      </c>
      <c r="BS74" s="73"/>
      <c r="BU74" s="2207"/>
      <c r="BV74" s="2207"/>
      <c r="BW74" s="2207"/>
      <c r="BX74" s="2204" t="s">
        <v>15</v>
      </c>
      <c r="BY74" s="2213"/>
      <c r="BZ74" s="2214">
        <v>1</v>
      </c>
      <c r="CA74" s="2214">
        <v>1</v>
      </c>
      <c r="CB74" s="2213"/>
      <c r="CC74" s="2213"/>
      <c r="CD74" s="2213"/>
      <c r="CE74" s="2213"/>
      <c r="CF74" s="2213"/>
      <c r="CG74" s="2214">
        <v>1</v>
      </c>
      <c r="CH74" s="2214">
        <v>1</v>
      </c>
      <c r="CI74" s="2214">
        <v>5</v>
      </c>
      <c r="CJ74" s="2214">
        <v>2</v>
      </c>
      <c r="CK74" s="2214">
        <v>2</v>
      </c>
      <c r="CL74" s="2216">
        <v>1</v>
      </c>
      <c r="CM74" s="2216">
        <v>1</v>
      </c>
      <c r="CN74" s="2216">
        <v>15</v>
      </c>
      <c r="CO74" s="2154">
        <f>+(CN70+CN73)/CN74</f>
        <v>0.46666666666666667</v>
      </c>
      <c r="CQ74" s="955"/>
      <c r="CR74" s="955"/>
      <c r="CS74" s="955"/>
      <c r="CT74" s="956" t="s">
        <v>1288</v>
      </c>
      <c r="CU74" s="957"/>
      <c r="CV74" s="957"/>
      <c r="CW74" s="957"/>
      <c r="CX74" s="957"/>
      <c r="CY74" s="957"/>
      <c r="CZ74" s="957"/>
      <c r="DA74" s="957"/>
      <c r="DB74" s="957"/>
      <c r="DC74" s="957"/>
      <c r="DD74" s="958">
        <v>0</v>
      </c>
      <c r="DE74" s="958">
        <v>0</v>
      </c>
      <c r="DF74" s="958">
        <v>1</v>
      </c>
      <c r="DG74" s="958">
        <v>1</v>
      </c>
      <c r="DH74" s="958">
        <v>0</v>
      </c>
      <c r="DI74" s="958">
        <v>0</v>
      </c>
      <c r="DJ74" s="959"/>
      <c r="DK74" s="959"/>
      <c r="DL74" s="960">
        <v>2</v>
      </c>
      <c r="DM74" s="161"/>
      <c r="DO74" s="788"/>
      <c r="DP74" s="788"/>
      <c r="DQ74" s="788"/>
      <c r="DR74" s="788"/>
      <c r="DS74" s="789" t="s">
        <v>1292</v>
      </c>
      <c r="DT74" s="961"/>
      <c r="DU74" s="961"/>
      <c r="DV74" s="962">
        <v>0</v>
      </c>
      <c r="DW74" s="961"/>
      <c r="DX74" s="961"/>
      <c r="DY74" s="961"/>
      <c r="DZ74" s="962">
        <v>0</v>
      </c>
      <c r="EA74" s="961"/>
      <c r="EB74" s="962">
        <v>0</v>
      </c>
      <c r="EC74" s="962">
        <v>0</v>
      </c>
      <c r="ED74" s="962">
        <v>0</v>
      </c>
      <c r="EE74" s="962">
        <v>0</v>
      </c>
      <c r="EF74" s="961"/>
      <c r="EG74" s="962">
        <v>0</v>
      </c>
      <c r="EH74" s="962">
        <v>15</v>
      </c>
      <c r="EI74" s="963"/>
      <c r="EJ74" s="964">
        <v>1</v>
      </c>
      <c r="EK74" s="964">
        <v>16</v>
      </c>
      <c r="EL74" s="912"/>
      <c r="EM74" s="73"/>
      <c r="EN74" s="965"/>
      <c r="EO74" s="965"/>
      <c r="EP74" s="965"/>
      <c r="EQ74" s="981" t="s">
        <v>15</v>
      </c>
      <c r="ER74" s="740">
        <v>1</v>
      </c>
      <c r="ES74" s="982"/>
      <c r="ET74" s="982"/>
      <c r="EU74" s="740">
        <v>2</v>
      </c>
      <c r="EV74" s="982"/>
      <c r="EW74" s="982"/>
      <c r="EX74" s="740">
        <v>1</v>
      </c>
      <c r="EY74" s="982"/>
      <c r="EZ74" s="740">
        <v>5</v>
      </c>
      <c r="FA74" s="740">
        <v>4</v>
      </c>
      <c r="FB74" s="740">
        <v>7</v>
      </c>
      <c r="FC74" s="740">
        <v>1</v>
      </c>
      <c r="FD74" s="740">
        <v>1</v>
      </c>
      <c r="FE74" s="740">
        <v>22</v>
      </c>
      <c r="FF74" s="905">
        <f>+(FE73+FE71-FC71)/FE74</f>
        <v>0.54545454545454541</v>
      </c>
      <c r="FG74" s="73"/>
      <c r="FH74" s="73"/>
      <c r="FI74" s="161"/>
      <c r="FJ74" s="161"/>
      <c r="FK74" s="73"/>
      <c r="FL74" s="73" t="s">
        <v>1288</v>
      </c>
      <c r="FM74" s="161">
        <v>0</v>
      </c>
      <c r="FN74" s="161"/>
      <c r="FO74" s="161"/>
      <c r="FP74" s="161"/>
      <c r="FQ74" s="161">
        <v>0</v>
      </c>
      <c r="FR74" s="161"/>
      <c r="FS74" s="161"/>
      <c r="FT74" s="161"/>
      <c r="FU74" s="161"/>
      <c r="FV74" s="161"/>
      <c r="FW74" s="161">
        <v>0</v>
      </c>
      <c r="FX74" s="161">
        <v>1</v>
      </c>
      <c r="FY74" s="161">
        <v>0</v>
      </c>
      <c r="FZ74" s="161"/>
      <c r="GA74" s="161"/>
      <c r="GB74" s="161">
        <v>0</v>
      </c>
      <c r="GC74" s="161">
        <v>1</v>
      </c>
      <c r="GD74" s="73"/>
      <c r="GE74" s="73"/>
      <c r="GF74" s="968"/>
      <c r="GG74" s="968"/>
      <c r="GH74" s="968" t="s">
        <v>338</v>
      </c>
      <c r="GI74" s="968" t="s">
        <v>1292</v>
      </c>
      <c r="GJ74" s="968">
        <v>0</v>
      </c>
      <c r="GK74" s="968">
        <v>0</v>
      </c>
      <c r="GL74" s="968">
        <v>0</v>
      </c>
      <c r="GM74" s="968">
        <v>0</v>
      </c>
      <c r="GN74" s="968">
        <v>0</v>
      </c>
      <c r="GO74" s="968">
        <v>0</v>
      </c>
      <c r="GP74" s="968">
        <v>0</v>
      </c>
      <c r="GQ74" s="968">
        <v>0</v>
      </c>
      <c r="GR74" s="968">
        <v>0</v>
      </c>
      <c r="GS74" s="968">
        <v>0</v>
      </c>
      <c r="GT74" s="968">
        <v>0</v>
      </c>
      <c r="GU74" s="968">
        <v>0</v>
      </c>
      <c r="GV74" s="968">
        <v>1</v>
      </c>
      <c r="GW74" s="968">
        <v>0</v>
      </c>
      <c r="GX74" s="968">
        <v>0</v>
      </c>
      <c r="GY74" s="968">
        <v>1</v>
      </c>
      <c r="GZ74" s="968">
        <v>2</v>
      </c>
      <c r="HA74" s="968"/>
      <c r="HB74" s="969"/>
    </row>
    <row r="75" spans="1:210">
      <c r="A75" s="73"/>
      <c r="B75" s="73"/>
      <c r="C75" s="73" t="s">
        <v>123</v>
      </c>
      <c r="D75" s="73" t="s">
        <v>1288</v>
      </c>
      <c r="E75" s="967"/>
      <c r="F75" s="967"/>
      <c r="G75" s="967"/>
      <c r="H75" s="967"/>
      <c r="I75" s="967"/>
      <c r="J75" s="967"/>
      <c r="K75" s="967"/>
      <c r="L75" s="967"/>
      <c r="M75" s="967"/>
      <c r="N75" s="967"/>
      <c r="O75" s="967"/>
      <c r="P75" s="967"/>
      <c r="Q75" s="967">
        <v>1</v>
      </c>
      <c r="R75" s="967">
        <v>1</v>
      </c>
      <c r="S75" s="967">
        <v>0</v>
      </c>
      <c r="T75" s="73"/>
      <c r="U75" s="73">
        <v>0</v>
      </c>
      <c r="V75" s="73">
        <v>2</v>
      </c>
      <c r="W75" s="73"/>
      <c r="Y75" s="73"/>
      <c r="Z75" s="73" t="s">
        <v>16</v>
      </c>
      <c r="AA75" s="73" t="s">
        <v>127</v>
      </c>
      <c r="AB75" s="73" t="s">
        <v>1284</v>
      </c>
      <c r="AC75" s="3261"/>
      <c r="AD75" s="3261"/>
      <c r="AE75" s="3261"/>
      <c r="AF75" s="3261"/>
      <c r="AG75" s="3261">
        <v>1</v>
      </c>
      <c r="AH75" s="3261"/>
      <c r="AI75" s="3261"/>
      <c r="AJ75" s="3261"/>
      <c r="AK75" s="3261"/>
      <c r="AL75" s="3261"/>
      <c r="AM75" s="3261"/>
      <c r="AN75" s="3261">
        <v>0</v>
      </c>
      <c r="AO75" s="3261">
        <v>4</v>
      </c>
      <c r="AP75" s="3261">
        <v>3</v>
      </c>
      <c r="AQ75" s="3261">
        <v>0</v>
      </c>
      <c r="AR75" s="161"/>
      <c r="AS75" s="161"/>
      <c r="AT75" s="161">
        <v>8</v>
      </c>
      <c r="AU75" s="73"/>
      <c r="AY75" s="73"/>
      <c r="AZ75" s="738" t="s">
        <v>572</v>
      </c>
      <c r="BA75" s="2608"/>
      <c r="BB75" s="2608">
        <v>1</v>
      </c>
      <c r="BC75" s="2608"/>
      <c r="BD75" s="2608"/>
      <c r="BE75" s="2608"/>
      <c r="BF75" s="2608">
        <v>2</v>
      </c>
      <c r="BG75" s="2608"/>
      <c r="BH75" s="2608">
        <v>1</v>
      </c>
      <c r="BI75" s="2608"/>
      <c r="BJ75" s="2608">
        <v>1</v>
      </c>
      <c r="BK75" s="2608"/>
      <c r="BL75" s="2608"/>
      <c r="BM75" s="2608">
        <v>3</v>
      </c>
      <c r="BN75" s="2608">
        <v>8</v>
      </c>
      <c r="BO75" s="2608">
        <v>20</v>
      </c>
      <c r="BP75" s="738">
        <v>8</v>
      </c>
      <c r="BQ75" s="738">
        <v>5</v>
      </c>
      <c r="BR75" s="738">
        <v>49</v>
      </c>
      <c r="BS75" s="912">
        <f>+(BR71+BR74)/BR75</f>
        <v>0.18367346938775511</v>
      </c>
      <c r="BU75" s="2207"/>
      <c r="BV75" s="2207"/>
      <c r="BW75" s="2207" t="s">
        <v>127</v>
      </c>
      <c r="BX75" s="2208" t="s">
        <v>1284</v>
      </c>
      <c r="BY75" s="2209"/>
      <c r="BZ75" s="2210">
        <v>0</v>
      </c>
      <c r="CA75" s="2210">
        <v>0</v>
      </c>
      <c r="CB75" s="2209"/>
      <c r="CC75" s="2210">
        <v>0</v>
      </c>
      <c r="CD75" s="2209"/>
      <c r="CE75" s="2210">
        <v>0</v>
      </c>
      <c r="CF75" s="2210">
        <v>1</v>
      </c>
      <c r="CG75" s="2210">
        <v>2</v>
      </c>
      <c r="CH75" s="2210">
        <v>1</v>
      </c>
      <c r="CI75" s="2210">
        <v>1</v>
      </c>
      <c r="CJ75" s="2210">
        <v>0</v>
      </c>
      <c r="CK75" s="2210">
        <v>0</v>
      </c>
      <c r="CL75" s="2211"/>
      <c r="CM75" s="2211"/>
      <c r="CN75" s="2212">
        <v>5</v>
      </c>
      <c r="CO75" s="73"/>
      <c r="CQ75" s="955"/>
      <c r="CR75" s="955"/>
      <c r="CS75" s="955"/>
      <c r="CT75" s="956" t="s">
        <v>1292</v>
      </c>
      <c r="CU75" s="957"/>
      <c r="CV75" s="957"/>
      <c r="CW75" s="957"/>
      <c r="CX75" s="957"/>
      <c r="CY75" s="957"/>
      <c r="CZ75" s="957"/>
      <c r="DA75" s="957"/>
      <c r="DB75" s="957"/>
      <c r="DC75" s="957"/>
      <c r="DD75" s="958">
        <v>0</v>
      </c>
      <c r="DE75" s="958">
        <v>0</v>
      </c>
      <c r="DF75" s="958">
        <v>0</v>
      </c>
      <c r="DG75" s="958">
        <v>0</v>
      </c>
      <c r="DH75" s="958">
        <v>1</v>
      </c>
      <c r="DI75" s="958">
        <v>4</v>
      </c>
      <c r="DJ75" s="959"/>
      <c r="DK75" s="959"/>
      <c r="DL75" s="960">
        <v>5</v>
      </c>
      <c r="DM75" s="161"/>
      <c r="DO75" s="788"/>
      <c r="DP75" s="788"/>
      <c r="DQ75" s="788"/>
      <c r="DR75" s="788"/>
      <c r="DS75" s="789" t="s">
        <v>1398</v>
      </c>
      <c r="DT75" s="961"/>
      <c r="DU75" s="961"/>
      <c r="DV75" s="962">
        <v>0</v>
      </c>
      <c r="DW75" s="961"/>
      <c r="DX75" s="961"/>
      <c r="DY75" s="961"/>
      <c r="DZ75" s="962">
        <v>0</v>
      </c>
      <c r="EA75" s="961"/>
      <c r="EB75" s="962">
        <v>1</v>
      </c>
      <c r="EC75" s="962">
        <v>0</v>
      </c>
      <c r="ED75" s="962">
        <v>1</v>
      </c>
      <c r="EE75" s="962">
        <v>1</v>
      </c>
      <c r="EF75" s="961"/>
      <c r="EG75" s="962">
        <v>0</v>
      </c>
      <c r="EH75" s="962">
        <v>0</v>
      </c>
      <c r="EI75" s="963"/>
      <c r="EJ75" s="964">
        <v>0</v>
      </c>
      <c r="EK75" s="964">
        <v>3</v>
      </c>
      <c r="EL75" s="912"/>
      <c r="EM75" s="73"/>
      <c r="EN75" s="965"/>
      <c r="EO75" s="965"/>
      <c r="EP75" s="965" t="s">
        <v>131</v>
      </c>
      <c r="EQ75" s="734" t="s">
        <v>1283</v>
      </c>
      <c r="ER75" s="966"/>
      <c r="ES75" s="966"/>
      <c r="ET75" s="966"/>
      <c r="EU75" s="966"/>
      <c r="EV75" s="966"/>
      <c r="EW75" s="966"/>
      <c r="EX75" s="966"/>
      <c r="EY75" s="735">
        <v>0</v>
      </c>
      <c r="EZ75" s="966"/>
      <c r="FA75" s="966"/>
      <c r="FB75" s="735">
        <v>2</v>
      </c>
      <c r="FC75" s="966"/>
      <c r="FD75" s="735">
        <v>0</v>
      </c>
      <c r="FE75" s="735">
        <v>2</v>
      </c>
      <c r="FF75" s="967"/>
      <c r="FG75" s="73"/>
      <c r="FH75" s="73"/>
      <c r="FI75" s="161"/>
      <c r="FJ75" s="161"/>
      <c r="FK75" s="73"/>
      <c r="FL75" s="73" t="s">
        <v>1292</v>
      </c>
      <c r="FM75" s="161">
        <v>0</v>
      </c>
      <c r="FN75" s="161"/>
      <c r="FO75" s="161"/>
      <c r="FP75" s="161"/>
      <c r="FQ75" s="161">
        <v>0</v>
      </c>
      <c r="FR75" s="161"/>
      <c r="FS75" s="161"/>
      <c r="FT75" s="161"/>
      <c r="FU75" s="161"/>
      <c r="FV75" s="161"/>
      <c r="FW75" s="161">
        <v>0</v>
      </c>
      <c r="FX75" s="161">
        <v>0</v>
      </c>
      <c r="FY75" s="161">
        <v>0</v>
      </c>
      <c r="FZ75" s="161"/>
      <c r="GA75" s="161"/>
      <c r="GB75" s="161">
        <v>1</v>
      </c>
      <c r="GC75" s="161">
        <v>1</v>
      </c>
      <c r="GD75" s="73"/>
      <c r="GE75" s="73"/>
      <c r="GF75" s="968"/>
      <c r="GG75" s="968"/>
      <c r="GH75" s="968"/>
      <c r="GI75" s="979" t="s">
        <v>15</v>
      </c>
      <c r="GJ75" s="979">
        <v>0</v>
      </c>
      <c r="GK75" s="979">
        <v>0</v>
      </c>
      <c r="GL75" s="979">
        <v>0</v>
      </c>
      <c r="GM75" s="979">
        <v>0</v>
      </c>
      <c r="GN75" s="979">
        <v>0</v>
      </c>
      <c r="GO75" s="979">
        <v>0</v>
      </c>
      <c r="GP75" s="979">
        <v>0</v>
      </c>
      <c r="GQ75" s="979">
        <v>0</v>
      </c>
      <c r="GR75" s="979">
        <v>0</v>
      </c>
      <c r="GS75" s="979">
        <v>0</v>
      </c>
      <c r="GT75" s="979">
        <v>0</v>
      </c>
      <c r="GU75" s="979">
        <v>0</v>
      </c>
      <c r="GV75" s="979">
        <v>1</v>
      </c>
      <c r="GW75" s="979">
        <v>0</v>
      </c>
      <c r="GX75" s="979">
        <v>0</v>
      </c>
      <c r="GY75" s="979">
        <v>1</v>
      </c>
      <c r="GZ75" s="979">
        <v>2</v>
      </c>
      <c r="HA75" s="980">
        <f>0/GZ75</f>
        <v>0</v>
      </c>
      <c r="HB75" s="969">
        <v>0</v>
      </c>
    </row>
    <row r="76" spans="1:210">
      <c r="A76" s="73"/>
      <c r="B76" s="73"/>
      <c r="C76" s="73"/>
      <c r="D76" s="73" t="s">
        <v>1292</v>
      </c>
      <c r="E76" s="967"/>
      <c r="F76" s="967"/>
      <c r="G76" s="967"/>
      <c r="H76" s="967"/>
      <c r="I76" s="967"/>
      <c r="J76" s="967"/>
      <c r="K76" s="967"/>
      <c r="L76" s="967"/>
      <c r="M76" s="967"/>
      <c r="N76" s="967"/>
      <c r="O76" s="967"/>
      <c r="P76" s="967"/>
      <c r="Q76" s="967">
        <v>0</v>
      </c>
      <c r="R76" s="967">
        <v>0</v>
      </c>
      <c r="S76" s="967">
        <v>6</v>
      </c>
      <c r="T76" s="73"/>
      <c r="U76" s="73">
        <v>2</v>
      </c>
      <c r="V76" s="73">
        <v>8</v>
      </c>
      <c r="W76" s="73"/>
      <c r="Y76" s="73"/>
      <c r="Z76" s="73"/>
      <c r="AA76" s="73"/>
      <c r="AB76" s="73" t="s">
        <v>1288</v>
      </c>
      <c r="AC76" s="3261"/>
      <c r="AD76" s="3261"/>
      <c r="AE76" s="3261"/>
      <c r="AF76" s="3261"/>
      <c r="AG76" s="3261">
        <v>0</v>
      </c>
      <c r="AH76" s="3261"/>
      <c r="AI76" s="3261"/>
      <c r="AJ76" s="3261"/>
      <c r="AK76" s="3261"/>
      <c r="AL76" s="3261"/>
      <c r="AM76" s="3261"/>
      <c r="AN76" s="3261">
        <v>0</v>
      </c>
      <c r="AO76" s="3261">
        <v>3</v>
      </c>
      <c r="AP76" s="3261">
        <v>2</v>
      </c>
      <c r="AQ76" s="3261">
        <v>0</v>
      </c>
      <c r="AR76" s="161"/>
      <c r="AS76" s="161"/>
      <c r="AT76" s="161">
        <v>5</v>
      </c>
      <c r="AU76" s="73"/>
      <c r="AX76" s="161" t="s">
        <v>16</v>
      </c>
      <c r="AY76" s="73" t="s">
        <v>108</v>
      </c>
      <c r="AZ76" s="73" t="s">
        <v>1284</v>
      </c>
      <c r="BA76" s="2607"/>
      <c r="BB76" s="2607"/>
      <c r="BC76" s="2607"/>
      <c r="BD76" s="2607"/>
      <c r="BE76" s="2607"/>
      <c r="BF76" s="2607"/>
      <c r="BG76" s="2607"/>
      <c r="BH76" s="2607"/>
      <c r="BI76" s="2607"/>
      <c r="BJ76" s="2607"/>
      <c r="BK76" s="2607"/>
      <c r="BL76" s="2607"/>
      <c r="BM76" s="2607">
        <v>2</v>
      </c>
      <c r="BN76" s="2607">
        <v>4</v>
      </c>
      <c r="BO76" s="2607"/>
      <c r="BP76" s="73"/>
      <c r="BQ76" s="73"/>
      <c r="BR76" s="73">
        <v>6</v>
      </c>
      <c r="BS76" s="73"/>
      <c r="BU76" s="2207"/>
      <c r="BV76" s="2207"/>
      <c r="BW76" s="2207"/>
      <c r="BX76" s="2208" t="s">
        <v>1286</v>
      </c>
      <c r="BY76" s="2209"/>
      <c r="BZ76" s="2210">
        <v>1</v>
      </c>
      <c r="CA76" s="2210">
        <v>0</v>
      </c>
      <c r="CB76" s="2209"/>
      <c r="CC76" s="2210">
        <v>0</v>
      </c>
      <c r="CD76" s="2209"/>
      <c r="CE76" s="2210">
        <v>0</v>
      </c>
      <c r="CF76" s="2210">
        <v>0</v>
      </c>
      <c r="CG76" s="2210">
        <v>0</v>
      </c>
      <c r="CH76" s="2210">
        <v>0</v>
      </c>
      <c r="CI76" s="2210">
        <v>0</v>
      </c>
      <c r="CJ76" s="2210">
        <v>0</v>
      </c>
      <c r="CK76" s="2210">
        <v>0</v>
      </c>
      <c r="CL76" s="2211"/>
      <c r="CM76" s="2211"/>
      <c r="CN76" s="2212">
        <v>1</v>
      </c>
      <c r="CO76" s="73"/>
      <c r="CQ76" s="955"/>
      <c r="CR76" s="955"/>
      <c r="CS76" s="955"/>
      <c r="CT76" s="956" t="s">
        <v>1398</v>
      </c>
      <c r="CU76" s="957"/>
      <c r="CV76" s="957"/>
      <c r="CW76" s="957"/>
      <c r="CX76" s="957"/>
      <c r="CY76" s="957"/>
      <c r="CZ76" s="957"/>
      <c r="DA76" s="957"/>
      <c r="DB76" s="957"/>
      <c r="DC76" s="957"/>
      <c r="DD76" s="958">
        <v>0</v>
      </c>
      <c r="DE76" s="958">
        <v>2</v>
      </c>
      <c r="DF76" s="958">
        <v>3</v>
      </c>
      <c r="DG76" s="958">
        <v>2</v>
      </c>
      <c r="DH76" s="958">
        <v>2</v>
      </c>
      <c r="DI76" s="958">
        <v>0</v>
      </c>
      <c r="DJ76" s="959"/>
      <c r="DK76" s="959"/>
      <c r="DL76" s="960">
        <v>9</v>
      </c>
      <c r="DM76" s="161"/>
      <c r="DO76" s="788"/>
      <c r="DP76" s="788"/>
      <c r="DQ76" s="788"/>
      <c r="DR76" s="73"/>
      <c r="DS76" s="809" t="s">
        <v>15</v>
      </c>
      <c r="DT76" s="970"/>
      <c r="DU76" s="970"/>
      <c r="DV76" s="971">
        <v>1</v>
      </c>
      <c r="DW76" s="970"/>
      <c r="DX76" s="970"/>
      <c r="DY76" s="970"/>
      <c r="DZ76" s="971">
        <v>1</v>
      </c>
      <c r="EA76" s="970"/>
      <c r="EB76" s="971">
        <v>1</v>
      </c>
      <c r="EC76" s="971">
        <v>2</v>
      </c>
      <c r="ED76" s="971">
        <v>1</v>
      </c>
      <c r="EE76" s="971">
        <v>1</v>
      </c>
      <c r="EF76" s="970"/>
      <c r="EG76" s="971">
        <v>4</v>
      </c>
      <c r="EH76" s="971">
        <v>17</v>
      </c>
      <c r="EI76" s="972"/>
      <c r="EJ76" s="973">
        <v>1</v>
      </c>
      <c r="EK76" s="973">
        <v>29</v>
      </c>
      <c r="EL76" s="912">
        <f>+(EK75+EK73)/EK76</f>
        <v>0.2413793103448276</v>
      </c>
      <c r="EM76" s="73"/>
      <c r="EN76" s="965"/>
      <c r="EO76" s="965"/>
      <c r="EP76" s="965"/>
      <c r="EQ76" s="734" t="s">
        <v>1288</v>
      </c>
      <c r="ER76" s="966"/>
      <c r="ES76" s="966"/>
      <c r="ET76" s="966"/>
      <c r="EU76" s="966"/>
      <c r="EV76" s="966"/>
      <c r="EW76" s="966"/>
      <c r="EX76" s="966"/>
      <c r="EY76" s="735">
        <v>1</v>
      </c>
      <c r="EZ76" s="966"/>
      <c r="FA76" s="966"/>
      <c r="FB76" s="735">
        <v>0</v>
      </c>
      <c r="FC76" s="966"/>
      <c r="FD76" s="735">
        <v>0</v>
      </c>
      <c r="FE76" s="735">
        <v>1</v>
      </c>
      <c r="FF76" s="967"/>
      <c r="FG76" s="73"/>
      <c r="FH76" s="73"/>
      <c r="FI76" s="161"/>
      <c r="FJ76" s="161"/>
      <c r="FK76" s="73"/>
      <c r="FL76" s="738" t="s">
        <v>15</v>
      </c>
      <c r="FM76" s="151">
        <v>2</v>
      </c>
      <c r="FN76" s="151"/>
      <c r="FO76" s="151"/>
      <c r="FP76" s="151"/>
      <c r="FQ76" s="151">
        <v>2</v>
      </c>
      <c r="FR76" s="151"/>
      <c r="FS76" s="151"/>
      <c r="FT76" s="151"/>
      <c r="FU76" s="151"/>
      <c r="FV76" s="151"/>
      <c r="FW76" s="151">
        <v>1</v>
      </c>
      <c r="FX76" s="151">
        <v>1</v>
      </c>
      <c r="FY76" s="151">
        <v>1</v>
      </c>
      <c r="FZ76" s="151"/>
      <c r="GA76" s="151"/>
      <c r="GB76" s="151">
        <v>1</v>
      </c>
      <c r="GC76" s="151">
        <v>8</v>
      </c>
      <c r="GD76" s="983">
        <f>+GC74/GC76</f>
        <v>0.125</v>
      </c>
      <c r="GE76" s="73"/>
      <c r="GF76" s="968" t="s">
        <v>48</v>
      </c>
      <c r="GG76" s="968" t="s">
        <v>16</v>
      </c>
      <c r="GH76" s="968" t="s">
        <v>129</v>
      </c>
      <c r="GI76" s="968" t="s">
        <v>1284</v>
      </c>
      <c r="GJ76" s="968">
        <v>0</v>
      </c>
      <c r="GK76" s="968">
        <v>0</v>
      </c>
      <c r="GL76" s="968">
        <v>0</v>
      </c>
      <c r="GM76" s="968">
        <v>0</v>
      </c>
      <c r="GN76" s="968">
        <v>0</v>
      </c>
      <c r="GO76" s="968">
        <v>0</v>
      </c>
      <c r="GP76" s="968">
        <v>0</v>
      </c>
      <c r="GQ76" s="968">
        <v>0</v>
      </c>
      <c r="GR76" s="968">
        <v>0</v>
      </c>
      <c r="GS76" s="968">
        <v>0</v>
      </c>
      <c r="GT76" s="968">
        <v>0</v>
      </c>
      <c r="GU76" s="968">
        <v>1</v>
      </c>
      <c r="GV76" s="968">
        <v>0</v>
      </c>
      <c r="GW76" s="968">
        <v>0</v>
      </c>
      <c r="GX76" s="968">
        <v>0</v>
      </c>
      <c r="GY76" s="968">
        <v>0</v>
      </c>
      <c r="GZ76" s="968">
        <v>1</v>
      </c>
      <c r="HA76" s="968"/>
      <c r="HB76" s="969"/>
    </row>
    <row r="77" spans="1:210">
      <c r="A77" s="73"/>
      <c r="B77" s="73"/>
      <c r="C77" s="73"/>
      <c r="D77" s="73" t="s">
        <v>1398</v>
      </c>
      <c r="E77" s="967"/>
      <c r="F77" s="967"/>
      <c r="G77" s="967"/>
      <c r="H77" s="967"/>
      <c r="I77" s="967"/>
      <c r="J77" s="967"/>
      <c r="K77" s="967"/>
      <c r="L77" s="967"/>
      <c r="M77" s="967"/>
      <c r="N77" s="967"/>
      <c r="O77" s="967"/>
      <c r="P77" s="967"/>
      <c r="Q77" s="967">
        <v>0</v>
      </c>
      <c r="R77" s="967">
        <v>1</v>
      </c>
      <c r="S77" s="967">
        <v>0</v>
      </c>
      <c r="T77" s="73"/>
      <c r="U77" s="73">
        <v>0</v>
      </c>
      <c r="V77" s="73">
        <v>1</v>
      </c>
      <c r="W77" s="73"/>
      <c r="Y77" s="73"/>
      <c r="Z77" s="73"/>
      <c r="AA77" s="73"/>
      <c r="AB77" s="73" t="s">
        <v>1292</v>
      </c>
      <c r="AC77" s="3261"/>
      <c r="AD77" s="3261"/>
      <c r="AE77" s="3261"/>
      <c r="AF77" s="3261"/>
      <c r="AG77" s="3261">
        <v>0</v>
      </c>
      <c r="AH77" s="3261"/>
      <c r="AI77" s="3261"/>
      <c r="AJ77" s="3261"/>
      <c r="AK77" s="3261"/>
      <c r="AL77" s="3261"/>
      <c r="AM77" s="3261"/>
      <c r="AN77" s="3261">
        <v>0</v>
      </c>
      <c r="AO77" s="3261">
        <v>0</v>
      </c>
      <c r="AP77" s="3261">
        <v>0</v>
      </c>
      <c r="AQ77" s="3261">
        <v>7</v>
      </c>
      <c r="AR77" s="161"/>
      <c r="AS77" s="161"/>
      <c r="AT77" s="161">
        <v>7</v>
      </c>
      <c r="AU77" s="73"/>
      <c r="AY77" s="73"/>
      <c r="AZ77" s="73" t="s">
        <v>1288</v>
      </c>
      <c r="BA77" s="2607"/>
      <c r="BB77" s="2607"/>
      <c r="BC77" s="2607"/>
      <c r="BD77" s="2607"/>
      <c r="BE77" s="2607"/>
      <c r="BF77" s="2607"/>
      <c r="BG77" s="2607"/>
      <c r="BH77" s="2607"/>
      <c r="BI77" s="2607"/>
      <c r="BJ77" s="2607"/>
      <c r="BK77" s="2607"/>
      <c r="BL77" s="2607"/>
      <c r="BM77" s="2607">
        <v>1</v>
      </c>
      <c r="BN77" s="2607">
        <v>2</v>
      </c>
      <c r="BO77" s="2607"/>
      <c r="BP77" s="73"/>
      <c r="BQ77" s="73"/>
      <c r="BR77" s="73">
        <v>3</v>
      </c>
      <c r="BS77" s="73"/>
      <c r="BU77" s="2207"/>
      <c r="BV77" s="2207"/>
      <c r="BW77" s="2207"/>
      <c r="BX77" s="2208" t="s">
        <v>1288</v>
      </c>
      <c r="BY77" s="2209"/>
      <c r="BZ77" s="2210">
        <v>0</v>
      </c>
      <c r="CA77" s="2210">
        <v>0</v>
      </c>
      <c r="CB77" s="2209"/>
      <c r="CC77" s="2210">
        <v>0</v>
      </c>
      <c r="CD77" s="2209"/>
      <c r="CE77" s="2210">
        <v>2</v>
      </c>
      <c r="CF77" s="2210">
        <v>4</v>
      </c>
      <c r="CG77" s="2210">
        <v>4</v>
      </c>
      <c r="CH77" s="2210">
        <v>1</v>
      </c>
      <c r="CI77" s="2210">
        <v>5</v>
      </c>
      <c r="CJ77" s="2210">
        <v>1</v>
      </c>
      <c r="CK77" s="2210">
        <v>0</v>
      </c>
      <c r="CL77" s="2211"/>
      <c r="CM77" s="2211"/>
      <c r="CN77" s="2212">
        <v>17</v>
      </c>
      <c r="CO77" s="73"/>
      <c r="CQ77" s="955"/>
      <c r="CR77" s="955"/>
      <c r="CS77" s="955"/>
      <c r="CT77" s="974" t="s">
        <v>15</v>
      </c>
      <c r="CU77" s="975"/>
      <c r="CV77" s="975"/>
      <c r="CW77" s="975"/>
      <c r="CX77" s="975"/>
      <c r="CY77" s="975"/>
      <c r="CZ77" s="975"/>
      <c r="DA77" s="975"/>
      <c r="DB77" s="975"/>
      <c r="DC77" s="975"/>
      <c r="DD77" s="976">
        <v>1</v>
      </c>
      <c r="DE77" s="976">
        <v>3</v>
      </c>
      <c r="DF77" s="976">
        <v>6</v>
      </c>
      <c r="DG77" s="976">
        <v>4</v>
      </c>
      <c r="DH77" s="976">
        <v>4</v>
      </c>
      <c r="DI77" s="976">
        <v>4</v>
      </c>
      <c r="DJ77" s="977"/>
      <c r="DK77" s="977"/>
      <c r="DL77" s="978">
        <v>22</v>
      </c>
      <c r="DM77" s="912">
        <f>+(DL74+DL76)/DL77</f>
        <v>0.5</v>
      </c>
      <c r="DO77" s="788"/>
      <c r="DP77" s="788"/>
      <c r="DQ77" s="788" t="s">
        <v>126</v>
      </c>
      <c r="DR77" s="788" t="s">
        <v>1282</v>
      </c>
      <c r="DS77" s="789" t="s">
        <v>1284</v>
      </c>
      <c r="DT77" s="961"/>
      <c r="DU77" s="961"/>
      <c r="DV77" s="961"/>
      <c r="DW77" s="961"/>
      <c r="DX77" s="961"/>
      <c r="DY77" s="961"/>
      <c r="DZ77" s="961"/>
      <c r="EA77" s="961"/>
      <c r="EB77" s="961"/>
      <c r="EC77" s="961"/>
      <c r="ED77" s="961"/>
      <c r="EE77" s="962">
        <v>1</v>
      </c>
      <c r="EF77" s="962">
        <v>4</v>
      </c>
      <c r="EG77" s="961"/>
      <c r="EH77" s="961"/>
      <c r="EI77" s="964">
        <v>0</v>
      </c>
      <c r="EJ77" s="963"/>
      <c r="EK77" s="964">
        <v>5</v>
      </c>
      <c r="EL77" s="912"/>
      <c r="EM77" s="73"/>
      <c r="EN77" s="965"/>
      <c r="EO77" s="965"/>
      <c r="EP77" s="965"/>
      <c r="EQ77" s="734" t="s">
        <v>1292</v>
      </c>
      <c r="ER77" s="966"/>
      <c r="ES77" s="966"/>
      <c r="ET77" s="966"/>
      <c r="EU77" s="966"/>
      <c r="EV77" s="966"/>
      <c r="EW77" s="966"/>
      <c r="EX77" s="966"/>
      <c r="EY77" s="735">
        <v>0</v>
      </c>
      <c r="EZ77" s="966"/>
      <c r="FA77" s="966"/>
      <c r="FB77" s="735">
        <v>1</v>
      </c>
      <c r="FC77" s="966"/>
      <c r="FD77" s="735">
        <v>3</v>
      </c>
      <c r="FE77" s="735">
        <v>4</v>
      </c>
      <c r="FF77" s="967"/>
      <c r="FG77" s="73"/>
      <c r="FH77" s="73"/>
      <c r="FI77" s="161"/>
      <c r="FJ77" s="161" t="s">
        <v>41</v>
      </c>
      <c r="FK77" s="73" t="s">
        <v>130</v>
      </c>
      <c r="FL77" s="73" t="s">
        <v>1292</v>
      </c>
      <c r="FM77" s="161"/>
      <c r="FN77" s="161"/>
      <c r="FO77" s="161"/>
      <c r="FP77" s="161"/>
      <c r="FQ77" s="161"/>
      <c r="FR77" s="161"/>
      <c r="FS77" s="161"/>
      <c r="FT77" s="161"/>
      <c r="FU77" s="161"/>
      <c r="FV77" s="161">
        <v>0</v>
      </c>
      <c r="FW77" s="161">
        <v>0</v>
      </c>
      <c r="FX77" s="161"/>
      <c r="FY77" s="161">
        <v>0</v>
      </c>
      <c r="FZ77" s="161">
        <v>2</v>
      </c>
      <c r="GA77" s="161"/>
      <c r="GB77" s="161">
        <v>2</v>
      </c>
      <c r="GC77" s="161">
        <v>4</v>
      </c>
      <c r="GD77" s="73"/>
      <c r="GE77" s="73"/>
      <c r="GF77" s="968"/>
      <c r="GG77" s="968"/>
      <c r="GH77" s="968"/>
      <c r="GI77" s="968" t="s">
        <v>1292</v>
      </c>
      <c r="GJ77" s="968">
        <v>0</v>
      </c>
      <c r="GK77" s="968">
        <v>0</v>
      </c>
      <c r="GL77" s="968">
        <v>0</v>
      </c>
      <c r="GM77" s="968">
        <v>0</v>
      </c>
      <c r="GN77" s="968">
        <v>0</v>
      </c>
      <c r="GO77" s="968">
        <v>0</v>
      </c>
      <c r="GP77" s="968">
        <v>0</v>
      </c>
      <c r="GQ77" s="968">
        <v>0</v>
      </c>
      <c r="GR77" s="968">
        <v>0</v>
      </c>
      <c r="GS77" s="968">
        <v>0</v>
      </c>
      <c r="GT77" s="968">
        <v>0</v>
      </c>
      <c r="GU77" s="968">
        <v>0</v>
      </c>
      <c r="GV77" s="968">
        <v>0</v>
      </c>
      <c r="GW77" s="968">
        <v>0</v>
      </c>
      <c r="GX77" s="968">
        <v>0</v>
      </c>
      <c r="GY77" s="968">
        <v>1</v>
      </c>
      <c r="GZ77" s="968">
        <v>1</v>
      </c>
      <c r="HA77" s="968"/>
      <c r="HB77" s="969"/>
    </row>
    <row r="78" spans="1:210">
      <c r="A78" s="73"/>
      <c r="B78" s="73"/>
      <c r="C78" s="73"/>
      <c r="D78" s="738" t="s">
        <v>15</v>
      </c>
      <c r="E78" s="4694"/>
      <c r="F78" s="4694"/>
      <c r="G78" s="4694"/>
      <c r="H78" s="4694"/>
      <c r="I78" s="4694"/>
      <c r="J78" s="4694"/>
      <c r="K78" s="4694"/>
      <c r="L78" s="4694"/>
      <c r="M78" s="4694"/>
      <c r="N78" s="4694"/>
      <c r="O78" s="4694"/>
      <c r="P78" s="4694"/>
      <c r="Q78" s="4694">
        <v>1</v>
      </c>
      <c r="R78" s="4694">
        <v>2</v>
      </c>
      <c r="S78" s="4694">
        <v>6</v>
      </c>
      <c r="T78" s="738"/>
      <c r="U78" s="738">
        <v>2</v>
      </c>
      <c r="V78" s="738">
        <v>11</v>
      </c>
      <c r="W78" s="912">
        <f>+(V77+V75)/V78</f>
        <v>0.27272727272727271</v>
      </c>
      <c r="X78" s="3197"/>
      <c r="Y78" s="73"/>
      <c r="Z78" s="73"/>
      <c r="AA78" s="73"/>
      <c r="AB78" s="73" t="s">
        <v>1398</v>
      </c>
      <c r="AC78" s="3261"/>
      <c r="AD78" s="3261"/>
      <c r="AE78" s="3261"/>
      <c r="AF78" s="3261"/>
      <c r="AG78" s="3261">
        <v>0</v>
      </c>
      <c r="AH78" s="3261"/>
      <c r="AI78" s="3261"/>
      <c r="AJ78" s="3261"/>
      <c r="AK78" s="3261"/>
      <c r="AL78" s="3261"/>
      <c r="AM78" s="3261"/>
      <c r="AN78" s="3261">
        <v>1</v>
      </c>
      <c r="AO78" s="3261">
        <v>1</v>
      </c>
      <c r="AP78" s="3261">
        <v>0</v>
      </c>
      <c r="AQ78" s="3261">
        <v>0</v>
      </c>
      <c r="AR78" s="161"/>
      <c r="AS78" s="161"/>
      <c r="AT78" s="161">
        <v>2</v>
      </c>
      <c r="AU78" s="73"/>
      <c r="AY78" s="73"/>
      <c r="AZ78" s="73" t="s">
        <v>1292</v>
      </c>
      <c r="BA78" s="2607"/>
      <c r="BB78" s="2607"/>
      <c r="BC78" s="2607"/>
      <c r="BD78" s="2607"/>
      <c r="BE78" s="2607"/>
      <c r="BF78" s="2607"/>
      <c r="BG78" s="2607"/>
      <c r="BH78" s="2607"/>
      <c r="BI78" s="2607"/>
      <c r="BJ78" s="2607"/>
      <c r="BK78" s="2607"/>
      <c r="BL78" s="2607"/>
      <c r="BM78" s="2607">
        <v>0</v>
      </c>
      <c r="BN78" s="2607">
        <v>1</v>
      </c>
      <c r="BO78" s="2607"/>
      <c r="BP78" s="73"/>
      <c r="BQ78" s="73"/>
      <c r="BR78" s="73">
        <v>1</v>
      </c>
      <c r="BS78" s="73"/>
      <c r="BU78" s="2207"/>
      <c r="BV78" s="2207"/>
      <c r="BW78" s="2207"/>
      <c r="BX78" s="2208" t="s">
        <v>1289</v>
      </c>
      <c r="BY78" s="2209"/>
      <c r="BZ78" s="2210">
        <v>0</v>
      </c>
      <c r="CA78" s="2210">
        <v>1</v>
      </c>
      <c r="CB78" s="2209"/>
      <c r="CC78" s="2210">
        <v>1</v>
      </c>
      <c r="CD78" s="2209"/>
      <c r="CE78" s="2210">
        <v>0</v>
      </c>
      <c r="CF78" s="2210">
        <v>0</v>
      </c>
      <c r="CG78" s="2210">
        <v>0</v>
      </c>
      <c r="CH78" s="2210">
        <v>0</v>
      </c>
      <c r="CI78" s="2210">
        <v>0</v>
      </c>
      <c r="CJ78" s="2210">
        <v>0</v>
      </c>
      <c r="CK78" s="2210">
        <v>0</v>
      </c>
      <c r="CL78" s="2211"/>
      <c r="CM78" s="2211"/>
      <c r="CN78" s="2212">
        <v>2</v>
      </c>
      <c r="CO78" s="73"/>
      <c r="CQ78" s="955"/>
      <c r="CR78" s="955"/>
      <c r="CS78" s="955" t="s">
        <v>127</v>
      </c>
      <c r="CT78" s="956" t="s">
        <v>1284</v>
      </c>
      <c r="CU78" s="957"/>
      <c r="CV78" s="958">
        <v>1</v>
      </c>
      <c r="CW78" s="957"/>
      <c r="CX78" s="958">
        <v>1</v>
      </c>
      <c r="CY78" s="958">
        <v>1</v>
      </c>
      <c r="CZ78" s="957"/>
      <c r="DA78" s="958">
        <v>1</v>
      </c>
      <c r="DB78" s="958">
        <v>1</v>
      </c>
      <c r="DC78" s="958">
        <v>2</v>
      </c>
      <c r="DD78" s="958">
        <v>0</v>
      </c>
      <c r="DE78" s="958">
        <v>1</v>
      </c>
      <c r="DF78" s="957"/>
      <c r="DG78" s="958">
        <v>1</v>
      </c>
      <c r="DH78" s="958">
        <v>0</v>
      </c>
      <c r="DI78" s="958">
        <v>0</v>
      </c>
      <c r="DJ78" s="959"/>
      <c r="DK78" s="959"/>
      <c r="DL78" s="960">
        <v>9</v>
      </c>
      <c r="DM78" s="161"/>
      <c r="DO78" s="788"/>
      <c r="DP78" s="788"/>
      <c r="DQ78" s="788"/>
      <c r="DR78" s="788"/>
      <c r="DS78" s="789" t="s">
        <v>1292</v>
      </c>
      <c r="DT78" s="961"/>
      <c r="DU78" s="961"/>
      <c r="DV78" s="961"/>
      <c r="DW78" s="961"/>
      <c r="DX78" s="961"/>
      <c r="DY78" s="961"/>
      <c r="DZ78" s="961"/>
      <c r="EA78" s="961"/>
      <c r="EB78" s="961"/>
      <c r="EC78" s="961"/>
      <c r="ED78" s="961"/>
      <c r="EE78" s="962">
        <v>0</v>
      </c>
      <c r="EF78" s="962">
        <v>0</v>
      </c>
      <c r="EG78" s="961"/>
      <c r="EH78" s="961"/>
      <c r="EI78" s="964">
        <v>1</v>
      </c>
      <c r="EJ78" s="963"/>
      <c r="EK78" s="964">
        <v>1</v>
      </c>
      <c r="EL78" s="912"/>
      <c r="EM78" s="73"/>
      <c r="EN78" s="965"/>
      <c r="EO78" s="965"/>
      <c r="EP78" s="965"/>
      <c r="EQ78" s="981" t="s">
        <v>15</v>
      </c>
      <c r="ER78" s="982"/>
      <c r="ES78" s="982"/>
      <c r="ET78" s="982"/>
      <c r="EU78" s="982"/>
      <c r="EV78" s="982"/>
      <c r="EW78" s="982"/>
      <c r="EX78" s="982"/>
      <c r="EY78" s="740">
        <v>1</v>
      </c>
      <c r="EZ78" s="982"/>
      <c r="FA78" s="982"/>
      <c r="FB78" s="740">
        <v>3</v>
      </c>
      <c r="FC78" s="982"/>
      <c r="FD78" s="740">
        <v>3</v>
      </c>
      <c r="FE78" s="740">
        <v>7</v>
      </c>
      <c r="FF78" s="905">
        <f>+FE76/FE78</f>
        <v>0.14285714285714285</v>
      </c>
      <c r="FG78" s="73"/>
      <c r="FH78" s="73"/>
      <c r="FI78" s="161"/>
      <c r="FJ78" s="161"/>
      <c r="FK78" s="73"/>
      <c r="FL78" s="73" t="s">
        <v>1398</v>
      </c>
      <c r="FM78" s="161"/>
      <c r="FN78" s="161"/>
      <c r="FO78" s="161"/>
      <c r="FP78" s="161"/>
      <c r="FQ78" s="161"/>
      <c r="FR78" s="161"/>
      <c r="FS78" s="161"/>
      <c r="FT78" s="161"/>
      <c r="FU78" s="161"/>
      <c r="FV78" s="161">
        <v>2</v>
      </c>
      <c r="FW78" s="161">
        <v>2</v>
      </c>
      <c r="FX78" s="161"/>
      <c r="FY78" s="161">
        <v>2</v>
      </c>
      <c r="FZ78" s="161">
        <v>0</v>
      </c>
      <c r="GA78" s="161"/>
      <c r="GB78" s="161">
        <v>0</v>
      </c>
      <c r="GC78" s="161">
        <v>6</v>
      </c>
      <c r="GD78" s="73"/>
      <c r="GE78" s="73"/>
      <c r="GF78" s="968"/>
      <c r="GG78" s="968"/>
      <c r="GH78" s="968"/>
      <c r="GI78" s="979" t="s">
        <v>15</v>
      </c>
      <c r="GJ78" s="979">
        <v>0</v>
      </c>
      <c r="GK78" s="979">
        <v>0</v>
      </c>
      <c r="GL78" s="979">
        <v>0</v>
      </c>
      <c r="GM78" s="979">
        <v>0</v>
      </c>
      <c r="GN78" s="979">
        <v>0</v>
      </c>
      <c r="GO78" s="979">
        <v>0</v>
      </c>
      <c r="GP78" s="979">
        <v>0</v>
      </c>
      <c r="GQ78" s="979">
        <v>0</v>
      </c>
      <c r="GR78" s="979">
        <v>0</v>
      </c>
      <c r="GS78" s="979">
        <v>0</v>
      </c>
      <c r="GT78" s="979">
        <v>0</v>
      </c>
      <c r="GU78" s="979">
        <v>1</v>
      </c>
      <c r="GV78" s="979">
        <v>0</v>
      </c>
      <c r="GW78" s="979">
        <v>0</v>
      </c>
      <c r="GX78" s="979">
        <v>0</v>
      </c>
      <c r="GY78" s="979">
        <v>1</v>
      </c>
      <c r="GZ78" s="979">
        <v>2</v>
      </c>
      <c r="HA78" s="980">
        <f>0/GZ78</f>
        <v>0</v>
      </c>
      <c r="HB78" s="969">
        <v>0</v>
      </c>
    </row>
    <row r="79" spans="1:210">
      <c r="A79" s="73"/>
      <c r="B79" s="73"/>
      <c r="C79" s="73" t="s">
        <v>124</v>
      </c>
      <c r="D79" s="73" t="s">
        <v>1284</v>
      </c>
      <c r="E79" s="967"/>
      <c r="F79" s="967"/>
      <c r="G79" s="967"/>
      <c r="H79" s="967"/>
      <c r="I79" s="967"/>
      <c r="J79" s="967"/>
      <c r="K79" s="967"/>
      <c r="L79" s="967"/>
      <c r="M79" s="967"/>
      <c r="N79" s="967"/>
      <c r="O79" s="967"/>
      <c r="P79" s="967"/>
      <c r="Q79" s="967"/>
      <c r="R79" s="967">
        <v>1</v>
      </c>
      <c r="S79" s="967">
        <v>0</v>
      </c>
      <c r="T79" s="73"/>
      <c r="U79" s="73"/>
      <c r="V79" s="73">
        <v>1</v>
      </c>
      <c r="W79" s="73"/>
      <c r="Y79" s="73"/>
      <c r="Z79" s="73"/>
      <c r="AA79" s="73"/>
      <c r="AB79" s="738" t="s">
        <v>15</v>
      </c>
      <c r="AC79" s="3262"/>
      <c r="AD79" s="3262"/>
      <c r="AE79" s="3262"/>
      <c r="AF79" s="3262"/>
      <c r="AG79" s="3262">
        <v>1</v>
      </c>
      <c r="AH79" s="3262"/>
      <c r="AI79" s="3262"/>
      <c r="AJ79" s="3262"/>
      <c r="AK79" s="3262"/>
      <c r="AL79" s="3262"/>
      <c r="AM79" s="3262"/>
      <c r="AN79" s="3262">
        <v>1</v>
      </c>
      <c r="AO79" s="3262">
        <v>8</v>
      </c>
      <c r="AP79" s="3262">
        <v>5</v>
      </c>
      <c r="AQ79" s="3262">
        <v>7</v>
      </c>
      <c r="AR79" s="151"/>
      <c r="AS79" s="151"/>
      <c r="AT79" s="151">
        <v>22</v>
      </c>
      <c r="AU79" s="912">
        <f>+(AT76+AT78)/AT79</f>
        <v>0.31818181818181818</v>
      </c>
      <c r="AY79" s="73"/>
      <c r="AZ79" s="738" t="s">
        <v>15</v>
      </c>
      <c r="BA79" s="2608"/>
      <c r="BB79" s="2608"/>
      <c r="BC79" s="2608"/>
      <c r="BD79" s="2608"/>
      <c r="BE79" s="2608"/>
      <c r="BF79" s="2608"/>
      <c r="BG79" s="2608"/>
      <c r="BH79" s="2608"/>
      <c r="BI79" s="2608"/>
      <c r="BJ79" s="2608"/>
      <c r="BK79" s="2608"/>
      <c r="BL79" s="2608"/>
      <c r="BM79" s="2608">
        <v>3</v>
      </c>
      <c r="BN79" s="2608">
        <v>7</v>
      </c>
      <c r="BO79" s="2608"/>
      <c r="BP79" s="738"/>
      <c r="BQ79" s="738"/>
      <c r="BR79" s="738">
        <v>10</v>
      </c>
      <c r="BS79" s="912">
        <f>+BR77/BR79</f>
        <v>0.3</v>
      </c>
      <c r="BU79" s="2207"/>
      <c r="BV79" s="2207"/>
      <c r="BW79" s="2207"/>
      <c r="BX79" s="2208" t="s">
        <v>1292</v>
      </c>
      <c r="BY79" s="2209"/>
      <c r="BZ79" s="2210">
        <v>0</v>
      </c>
      <c r="CA79" s="2210">
        <v>0</v>
      </c>
      <c r="CB79" s="2209"/>
      <c r="CC79" s="2210">
        <v>0</v>
      </c>
      <c r="CD79" s="2209"/>
      <c r="CE79" s="2210">
        <v>0</v>
      </c>
      <c r="CF79" s="2210">
        <v>0</v>
      </c>
      <c r="CG79" s="2210">
        <v>0</v>
      </c>
      <c r="CH79" s="2210">
        <v>0</v>
      </c>
      <c r="CI79" s="2210">
        <v>0</v>
      </c>
      <c r="CJ79" s="2210">
        <v>0</v>
      </c>
      <c r="CK79" s="2210">
        <v>6</v>
      </c>
      <c r="CL79" s="2211"/>
      <c r="CM79" s="2211"/>
      <c r="CN79" s="2212">
        <v>6</v>
      </c>
      <c r="CO79" s="73"/>
      <c r="CQ79" s="955"/>
      <c r="CR79" s="955"/>
      <c r="CS79" s="955"/>
      <c r="CT79" s="956" t="s">
        <v>1288</v>
      </c>
      <c r="CU79" s="957"/>
      <c r="CV79" s="958">
        <v>0</v>
      </c>
      <c r="CW79" s="957"/>
      <c r="CX79" s="958">
        <v>0</v>
      </c>
      <c r="CY79" s="958">
        <v>0</v>
      </c>
      <c r="CZ79" s="957"/>
      <c r="DA79" s="958">
        <v>1</v>
      </c>
      <c r="DB79" s="958">
        <v>2</v>
      </c>
      <c r="DC79" s="958">
        <v>1</v>
      </c>
      <c r="DD79" s="958">
        <v>0</v>
      </c>
      <c r="DE79" s="958">
        <v>0</v>
      </c>
      <c r="DF79" s="957"/>
      <c r="DG79" s="958">
        <v>1</v>
      </c>
      <c r="DH79" s="958">
        <v>8</v>
      </c>
      <c r="DI79" s="958">
        <v>0</v>
      </c>
      <c r="DJ79" s="959"/>
      <c r="DK79" s="959"/>
      <c r="DL79" s="960">
        <v>13</v>
      </c>
      <c r="DM79" s="161"/>
      <c r="DO79" s="788"/>
      <c r="DP79" s="788"/>
      <c r="DQ79" s="788"/>
      <c r="DR79" s="788"/>
      <c r="DS79" s="789" t="s">
        <v>1398</v>
      </c>
      <c r="DT79" s="961"/>
      <c r="DU79" s="961"/>
      <c r="DV79" s="961"/>
      <c r="DW79" s="961"/>
      <c r="DX79" s="961"/>
      <c r="DY79" s="961"/>
      <c r="DZ79" s="961"/>
      <c r="EA79" s="961"/>
      <c r="EB79" s="961"/>
      <c r="EC79" s="961"/>
      <c r="ED79" s="961"/>
      <c r="EE79" s="962">
        <v>0</v>
      </c>
      <c r="EF79" s="962">
        <v>9</v>
      </c>
      <c r="EG79" s="961"/>
      <c r="EH79" s="961"/>
      <c r="EI79" s="964">
        <v>0</v>
      </c>
      <c r="EJ79" s="963"/>
      <c r="EK79" s="964">
        <v>9</v>
      </c>
      <c r="EL79" s="912"/>
      <c r="EM79" s="73"/>
      <c r="EN79" s="965"/>
      <c r="EO79" s="965"/>
      <c r="EP79" s="965" t="s">
        <v>338</v>
      </c>
      <c r="EQ79" s="734" t="s">
        <v>1284</v>
      </c>
      <c r="ER79" s="966"/>
      <c r="ES79" s="966"/>
      <c r="ET79" s="966"/>
      <c r="EU79" s="966"/>
      <c r="EV79" s="966"/>
      <c r="EW79" s="735">
        <v>0</v>
      </c>
      <c r="EX79" s="966"/>
      <c r="EY79" s="735">
        <v>1</v>
      </c>
      <c r="EZ79" s="735">
        <v>0</v>
      </c>
      <c r="FA79" s="966"/>
      <c r="FB79" s="735">
        <v>0</v>
      </c>
      <c r="FC79" s="735">
        <v>1</v>
      </c>
      <c r="FD79" s="735">
        <v>0</v>
      </c>
      <c r="FE79" s="735">
        <v>2</v>
      </c>
      <c r="FF79" s="967"/>
      <c r="FG79" s="73"/>
      <c r="FH79" s="73"/>
      <c r="FI79" s="161"/>
      <c r="FJ79" s="161"/>
      <c r="FK79" s="73"/>
      <c r="FL79" s="738" t="s">
        <v>15</v>
      </c>
      <c r="FM79" s="151"/>
      <c r="FN79" s="151"/>
      <c r="FO79" s="151"/>
      <c r="FP79" s="151"/>
      <c r="FQ79" s="151"/>
      <c r="FR79" s="151"/>
      <c r="FS79" s="151"/>
      <c r="FT79" s="151"/>
      <c r="FU79" s="151"/>
      <c r="FV79" s="151">
        <v>2</v>
      </c>
      <c r="FW79" s="151">
        <v>2</v>
      </c>
      <c r="FX79" s="151"/>
      <c r="FY79" s="151">
        <v>2</v>
      </c>
      <c r="FZ79" s="151">
        <v>2</v>
      </c>
      <c r="GA79" s="151"/>
      <c r="GB79" s="151">
        <v>2</v>
      </c>
      <c r="GC79" s="151">
        <v>10</v>
      </c>
      <c r="GD79" s="983">
        <f>+GC78/GC79</f>
        <v>0.6</v>
      </c>
      <c r="GE79" s="73"/>
      <c r="GF79" s="968"/>
      <c r="GG79" s="968" t="s">
        <v>41</v>
      </c>
      <c r="GH79" s="968" t="s">
        <v>890</v>
      </c>
      <c r="GI79" s="968" t="s">
        <v>1293</v>
      </c>
      <c r="GJ79" s="968">
        <v>0</v>
      </c>
      <c r="GK79" s="968">
        <v>0</v>
      </c>
      <c r="GL79" s="968">
        <v>0</v>
      </c>
      <c r="GM79" s="968">
        <v>0</v>
      </c>
      <c r="GN79" s="968">
        <v>0</v>
      </c>
      <c r="GO79" s="968">
        <v>0</v>
      </c>
      <c r="GP79" s="968">
        <v>0</v>
      </c>
      <c r="GQ79" s="968">
        <v>0</v>
      </c>
      <c r="GR79" s="968">
        <v>0</v>
      </c>
      <c r="GS79" s="968">
        <v>2</v>
      </c>
      <c r="GT79" s="968">
        <v>0</v>
      </c>
      <c r="GU79" s="968">
        <v>1</v>
      </c>
      <c r="GV79" s="968">
        <v>2</v>
      </c>
      <c r="GW79" s="968">
        <v>0</v>
      </c>
      <c r="GX79" s="968">
        <v>0</v>
      </c>
      <c r="GY79" s="968">
        <v>0</v>
      </c>
      <c r="GZ79" s="968">
        <v>5</v>
      </c>
      <c r="HA79" s="968"/>
      <c r="HB79" s="969"/>
    </row>
    <row r="80" spans="1:210">
      <c r="A80" s="73"/>
      <c r="B80" s="73"/>
      <c r="C80" s="73"/>
      <c r="D80" s="73" t="s">
        <v>1292</v>
      </c>
      <c r="E80" s="967"/>
      <c r="F80" s="967"/>
      <c r="G80" s="967"/>
      <c r="H80" s="967"/>
      <c r="I80" s="967"/>
      <c r="J80" s="967"/>
      <c r="K80" s="967"/>
      <c r="L80" s="967"/>
      <c r="M80" s="967"/>
      <c r="N80" s="967"/>
      <c r="O80" s="967"/>
      <c r="P80" s="967"/>
      <c r="Q80" s="967"/>
      <c r="R80" s="967">
        <v>0</v>
      </c>
      <c r="S80" s="967">
        <v>2</v>
      </c>
      <c r="T80" s="73"/>
      <c r="U80" s="73"/>
      <c r="V80" s="73">
        <v>2</v>
      </c>
      <c r="W80" s="73"/>
      <c r="Y80" s="73"/>
      <c r="Z80" s="73"/>
      <c r="AA80" s="73" t="s">
        <v>129</v>
      </c>
      <c r="AB80" s="73" t="s">
        <v>1284</v>
      </c>
      <c r="AC80" s="3261"/>
      <c r="AD80" s="3261">
        <v>2</v>
      </c>
      <c r="AE80" s="3261"/>
      <c r="AF80" s="3261">
        <v>1</v>
      </c>
      <c r="AG80" s="3261"/>
      <c r="AH80" s="3261"/>
      <c r="AI80" s="3261"/>
      <c r="AJ80" s="3261"/>
      <c r="AK80" s="3261"/>
      <c r="AL80" s="3261"/>
      <c r="AM80" s="3261"/>
      <c r="AN80" s="3261">
        <v>1</v>
      </c>
      <c r="AO80" s="3261">
        <v>3</v>
      </c>
      <c r="AP80" s="3261">
        <v>1</v>
      </c>
      <c r="AQ80" s="3261">
        <v>0</v>
      </c>
      <c r="AR80" s="161"/>
      <c r="AS80" s="161">
        <v>0</v>
      </c>
      <c r="AT80" s="161">
        <v>8</v>
      </c>
      <c r="AU80" s="73"/>
      <c r="AY80" s="73" t="s">
        <v>126</v>
      </c>
      <c r="AZ80" s="73" t="s">
        <v>1284</v>
      </c>
      <c r="BA80" s="2607"/>
      <c r="BB80" s="2607">
        <v>0</v>
      </c>
      <c r="BC80" s="2607"/>
      <c r="BD80" s="2607"/>
      <c r="BE80" s="2607"/>
      <c r="BF80" s="2607"/>
      <c r="BG80" s="2607"/>
      <c r="BH80" s="2607"/>
      <c r="BI80" s="2607"/>
      <c r="BJ80" s="2607"/>
      <c r="BK80" s="2607"/>
      <c r="BL80" s="2607"/>
      <c r="BM80" s="2607">
        <v>1</v>
      </c>
      <c r="BN80" s="2607"/>
      <c r="BO80" s="2607">
        <v>0</v>
      </c>
      <c r="BP80" s="73"/>
      <c r="BQ80" s="73"/>
      <c r="BR80" s="73">
        <v>1</v>
      </c>
      <c r="BS80" s="73"/>
      <c r="BU80" s="2207"/>
      <c r="BV80" s="2207"/>
      <c r="BW80" s="2207"/>
      <c r="BX80" s="2208" t="s">
        <v>1398</v>
      </c>
      <c r="BY80" s="2209"/>
      <c r="BZ80" s="2210">
        <v>0</v>
      </c>
      <c r="CA80" s="2210">
        <v>0</v>
      </c>
      <c r="CB80" s="2209"/>
      <c r="CC80" s="2210">
        <v>0</v>
      </c>
      <c r="CD80" s="2209"/>
      <c r="CE80" s="2210">
        <v>1</v>
      </c>
      <c r="CF80" s="2210">
        <v>3</v>
      </c>
      <c r="CG80" s="2210">
        <v>0</v>
      </c>
      <c r="CH80" s="2210">
        <v>1</v>
      </c>
      <c r="CI80" s="2210">
        <v>2</v>
      </c>
      <c r="CJ80" s="2210">
        <v>0</v>
      </c>
      <c r="CK80" s="2210">
        <v>0</v>
      </c>
      <c r="CL80" s="2211"/>
      <c r="CM80" s="2211"/>
      <c r="CN80" s="2212">
        <v>7</v>
      </c>
      <c r="CO80" s="73"/>
      <c r="CQ80" s="955"/>
      <c r="CR80" s="955"/>
      <c r="CS80" s="955"/>
      <c r="CT80" s="956" t="s">
        <v>1289</v>
      </c>
      <c r="CU80" s="957"/>
      <c r="CV80" s="958">
        <v>0</v>
      </c>
      <c r="CW80" s="957"/>
      <c r="CX80" s="958">
        <v>1</v>
      </c>
      <c r="CY80" s="958">
        <v>1</v>
      </c>
      <c r="CZ80" s="957"/>
      <c r="DA80" s="958">
        <v>0</v>
      </c>
      <c r="DB80" s="958">
        <v>0</v>
      </c>
      <c r="DC80" s="958">
        <v>0</v>
      </c>
      <c r="DD80" s="958">
        <v>0</v>
      </c>
      <c r="DE80" s="958">
        <v>0</v>
      </c>
      <c r="DF80" s="957"/>
      <c r="DG80" s="958">
        <v>0</v>
      </c>
      <c r="DH80" s="958">
        <v>0</v>
      </c>
      <c r="DI80" s="958">
        <v>0</v>
      </c>
      <c r="DJ80" s="959"/>
      <c r="DK80" s="959"/>
      <c r="DL80" s="960">
        <v>2</v>
      </c>
      <c r="DM80" s="161"/>
      <c r="DO80" s="788"/>
      <c r="DP80" s="788"/>
      <c r="DQ80" s="788"/>
      <c r="DR80" s="73"/>
      <c r="DS80" s="809" t="s">
        <v>15</v>
      </c>
      <c r="DT80" s="970"/>
      <c r="DU80" s="970"/>
      <c r="DV80" s="970"/>
      <c r="DW80" s="970"/>
      <c r="DX80" s="970"/>
      <c r="DY80" s="970"/>
      <c r="DZ80" s="970"/>
      <c r="EA80" s="970"/>
      <c r="EB80" s="970"/>
      <c r="EC80" s="970"/>
      <c r="ED80" s="970"/>
      <c r="EE80" s="971">
        <v>1</v>
      </c>
      <c r="EF80" s="971">
        <v>13</v>
      </c>
      <c r="EG80" s="970"/>
      <c r="EH80" s="970"/>
      <c r="EI80" s="973">
        <v>1</v>
      </c>
      <c r="EJ80" s="972"/>
      <c r="EK80" s="973">
        <v>15</v>
      </c>
      <c r="EL80" s="912">
        <f>+EK79/EK80</f>
        <v>0.6</v>
      </c>
      <c r="EM80" s="73"/>
      <c r="EN80" s="965"/>
      <c r="EO80" s="965"/>
      <c r="EP80" s="965"/>
      <c r="EQ80" s="734" t="s">
        <v>1292</v>
      </c>
      <c r="ER80" s="966"/>
      <c r="ES80" s="966"/>
      <c r="ET80" s="966"/>
      <c r="EU80" s="966"/>
      <c r="EV80" s="966"/>
      <c r="EW80" s="735">
        <v>0</v>
      </c>
      <c r="EX80" s="966"/>
      <c r="EY80" s="735">
        <v>0</v>
      </c>
      <c r="EZ80" s="735">
        <v>1</v>
      </c>
      <c r="FA80" s="966"/>
      <c r="FB80" s="735">
        <v>7</v>
      </c>
      <c r="FC80" s="735">
        <v>0</v>
      </c>
      <c r="FD80" s="735">
        <v>1</v>
      </c>
      <c r="FE80" s="735">
        <v>9</v>
      </c>
      <c r="FF80" s="967"/>
      <c r="FG80" s="73"/>
      <c r="FH80" s="73"/>
      <c r="FI80" s="161"/>
      <c r="FJ80" s="161"/>
      <c r="FK80" s="73" t="s">
        <v>890</v>
      </c>
      <c r="FL80" s="73" t="s">
        <v>1398</v>
      </c>
      <c r="FM80" s="161"/>
      <c r="FN80" s="161"/>
      <c r="FO80" s="161"/>
      <c r="FP80" s="161"/>
      <c r="FQ80" s="161"/>
      <c r="FR80" s="161"/>
      <c r="FS80" s="161">
        <v>1</v>
      </c>
      <c r="FT80" s="161"/>
      <c r="FU80" s="161"/>
      <c r="FV80" s="161"/>
      <c r="FW80" s="161"/>
      <c r="FX80" s="161"/>
      <c r="FY80" s="161"/>
      <c r="FZ80" s="161"/>
      <c r="GA80" s="161"/>
      <c r="GB80" s="161"/>
      <c r="GC80" s="161">
        <v>1</v>
      </c>
      <c r="GD80" s="73"/>
      <c r="GE80" s="73"/>
      <c r="GF80" s="968"/>
      <c r="GG80" s="968"/>
      <c r="GH80" s="968"/>
      <c r="GI80" s="968" t="s">
        <v>1398</v>
      </c>
      <c r="GJ80" s="968">
        <v>0</v>
      </c>
      <c r="GK80" s="968">
        <v>0</v>
      </c>
      <c r="GL80" s="968">
        <v>0</v>
      </c>
      <c r="GM80" s="968">
        <v>0</v>
      </c>
      <c r="GN80" s="968">
        <v>0</v>
      </c>
      <c r="GO80" s="968">
        <v>0</v>
      </c>
      <c r="GP80" s="968">
        <v>0</v>
      </c>
      <c r="GQ80" s="968">
        <v>1</v>
      </c>
      <c r="GR80" s="968">
        <v>0</v>
      </c>
      <c r="GS80" s="968">
        <v>0</v>
      </c>
      <c r="GT80" s="968">
        <v>0</v>
      </c>
      <c r="GU80" s="968">
        <v>0</v>
      </c>
      <c r="GV80" s="968">
        <v>0</v>
      </c>
      <c r="GW80" s="968">
        <v>0</v>
      </c>
      <c r="GX80" s="968">
        <v>0</v>
      </c>
      <c r="GY80" s="968">
        <v>0</v>
      </c>
      <c r="GZ80" s="968">
        <v>1</v>
      </c>
      <c r="HA80" s="968"/>
      <c r="HB80" s="969"/>
    </row>
    <row r="81" spans="1:210">
      <c r="A81" s="73"/>
      <c r="B81" s="73"/>
      <c r="C81" s="73"/>
      <c r="D81" s="73" t="s">
        <v>1398</v>
      </c>
      <c r="E81" s="967"/>
      <c r="F81" s="967"/>
      <c r="G81" s="967"/>
      <c r="H81" s="967"/>
      <c r="I81" s="967"/>
      <c r="J81" s="967"/>
      <c r="K81" s="967"/>
      <c r="L81" s="967"/>
      <c r="M81" s="967"/>
      <c r="N81" s="967"/>
      <c r="O81" s="967"/>
      <c r="P81" s="967"/>
      <c r="Q81" s="967"/>
      <c r="R81" s="967">
        <v>1</v>
      </c>
      <c r="S81" s="967">
        <v>0</v>
      </c>
      <c r="T81" s="73"/>
      <c r="U81" s="73"/>
      <c r="V81" s="73">
        <v>1</v>
      </c>
      <c r="W81" s="73"/>
      <c r="Y81" s="73"/>
      <c r="Z81" s="73"/>
      <c r="AA81" s="73"/>
      <c r="AB81" s="73" t="s">
        <v>1288</v>
      </c>
      <c r="AC81" s="3261"/>
      <c r="AD81" s="3261">
        <v>0</v>
      </c>
      <c r="AE81" s="3261"/>
      <c r="AF81" s="3261">
        <v>0</v>
      </c>
      <c r="AG81" s="3261"/>
      <c r="AH81" s="3261"/>
      <c r="AI81" s="3261"/>
      <c r="AJ81" s="3261"/>
      <c r="AK81" s="3261"/>
      <c r="AL81" s="3261"/>
      <c r="AM81" s="3261"/>
      <c r="AN81" s="3261">
        <v>0</v>
      </c>
      <c r="AO81" s="3261">
        <v>1</v>
      </c>
      <c r="AP81" s="3261">
        <v>1</v>
      </c>
      <c r="AQ81" s="3261">
        <v>1</v>
      </c>
      <c r="AR81" s="161"/>
      <c r="AS81" s="161">
        <v>0</v>
      </c>
      <c r="AT81" s="161">
        <v>3</v>
      </c>
      <c r="AU81" s="73"/>
      <c r="AY81" s="73"/>
      <c r="AZ81" s="73" t="s">
        <v>1288</v>
      </c>
      <c r="BA81" s="2607"/>
      <c r="BB81" s="2607">
        <v>0</v>
      </c>
      <c r="BC81" s="2607"/>
      <c r="BD81" s="2607"/>
      <c r="BE81" s="2607"/>
      <c r="BF81" s="2607"/>
      <c r="BG81" s="2607"/>
      <c r="BH81" s="2607"/>
      <c r="BI81" s="2607"/>
      <c r="BJ81" s="2607"/>
      <c r="BK81" s="2607"/>
      <c r="BL81" s="2607"/>
      <c r="BM81" s="2607">
        <v>4</v>
      </c>
      <c r="BN81" s="2607"/>
      <c r="BO81" s="2607">
        <v>0</v>
      </c>
      <c r="BP81" s="73"/>
      <c r="BQ81" s="73"/>
      <c r="BR81" s="73">
        <v>4</v>
      </c>
      <c r="BS81" s="73"/>
      <c r="BU81" s="2207"/>
      <c r="BV81" s="2207"/>
      <c r="BW81" s="2207"/>
      <c r="BX81" s="2204" t="s">
        <v>15</v>
      </c>
      <c r="BY81" s="2213"/>
      <c r="BZ81" s="2214">
        <v>1</v>
      </c>
      <c r="CA81" s="2214">
        <v>1</v>
      </c>
      <c r="CB81" s="2213"/>
      <c r="CC81" s="2214">
        <v>1</v>
      </c>
      <c r="CD81" s="2213"/>
      <c r="CE81" s="2214">
        <v>3</v>
      </c>
      <c r="CF81" s="2214">
        <v>8</v>
      </c>
      <c r="CG81" s="2214">
        <v>6</v>
      </c>
      <c r="CH81" s="2214">
        <v>3</v>
      </c>
      <c r="CI81" s="2214">
        <v>8</v>
      </c>
      <c r="CJ81" s="2214">
        <v>1</v>
      </c>
      <c r="CK81" s="2214">
        <v>6</v>
      </c>
      <c r="CL81" s="2215"/>
      <c r="CM81" s="2215"/>
      <c r="CN81" s="2216">
        <v>38</v>
      </c>
      <c r="CO81" s="2154">
        <f>+(CN77+CN80)/CN81</f>
        <v>0.63157894736842102</v>
      </c>
      <c r="CQ81" s="955"/>
      <c r="CR81" s="955"/>
      <c r="CS81" s="955"/>
      <c r="CT81" s="956" t="s">
        <v>1292</v>
      </c>
      <c r="CU81" s="957"/>
      <c r="CV81" s="958">
        <v>0</v>
      </c>
      <c r="CW81" s="957"/>
      <c r="CX81" s="958">
        <v>0</v>
      </c>
      <c r="CY81" s="958">
        <v>0</v>
      </c>
      <c r="CZ81" s="957"/>
      <c r="DA81" s="958">
        <v>0</v>
      </c>
      <c r="DB81" s="958">
        <v>0</v>
      </c>
      <c r="DC81" s="958">
        <v>0</v>
      </c>
      <c r="DD81" s="958">
        <v>0</v>
      </c>
      <c r="DE81" s="958">
        <v>0</v>
      </c>
      <c r="DF81" s="957"/>
      <c r="DG81" s="958">
        <v>0</v>
      </c>
      <c r="DH81" s="958">
        <v>1</v>
      </c>
      <c r="DI81" s="958">
        <v>6</v>
      </c>
      <c r="DJ81" s="959"/>
      <c r="DK81" s="959"/>
      <c r="DL81" s="960">
        <v>7</v>
      </c>
      <c r="DM81" s="161"/>
      <c r="DO81" s="788"/>
      <c r="DP81" s="788"/>
      <c r="DQ81" s="788" t="s">
        <v>127</v>
      </c>
      <c r="DR81" s="788" t="s">
        <v>1282</v>
      </c>
      <c r="DS81" s="789" t="s">
        <v>1284</v>
      </c>
      <c r="DT81" s="961"/>
      <c r="DU81" s="961"/>
      <c r="DV81" s="961"/>
      <c r="DW81" s="961"/>
      <c r="DX81" s="962">
        <v>1</v>
      </c>
      <c r="DY81" s="961"/>
      <c r="DZ81" s="962">
        <v>0</v>
      </c>
      <c r="EA81" s="961"/>
      <c r="EB81" s="961"/>
      <c r="EC81" s="962">
        <v>0</v>
      </c>
      <c r="ED81" s="962">
        <v>0</v>
      </c>
      <c r="EE81" s="962">
        <v>0</v>
      </c>
      <c r="EF81" s="962">
        <v>0</v>
      </c>
      <c r="EG81" s="962">
        <v>0</v>
      </c>
      <c r="EH81" s="962">
        <v>0</v>
      </c>
      <c r="EI81" s="963"/>
      <c r="EJ81" s="963"/>
      <c r="EK81" s="964">
        <v>1</v>
      </c>
      <c r="EL81" s="912"/>
      <c r="EM81" s="73"/>
      <c r="EN81" s="965"/>
      <c r="EO81" s="965"/>
      <c r="EP81" s="965"/>
      <c r="EQ81" s="734" t="s">
        <v>1398</v>
      </c>
      <c r="ER81" s="966"/>
      <c r="ES81" s="966"/>
      <c r="ET81" s="966"/>
      <c r="EU81" s="966"/>
      <c r="EV81" s="966"/>
      <c r="EW81" s="735">
        <v>1</v>
      </c>
      <c r="EX81" s="966"/>
      <c r="EY81" s="735">
        <v>1</v>
      </c>
      <c r="EZ81" s="735">
        <v>0</v>
      </c>
      <c r="FA81" s="966"/>
      <c r="FB81" s="735">
        <v>0</v>
      </c>
      <c r="FC81" s="735">
        <v>0</v>
      </c>
      <c r="FD81" s="735">
        <v>0</v>
      </c>
      <c r="FE81" s="735">
        <v>2</v>
      </c>
      <c r="FF81" s="967"/>
      <c r="FG81" s="73"/>
      <c r="FH81" s="73"/>
      <c r="FI81" s="161"/>
      <c r="FJ81" s="161"/>
      <c r="FK81" s="73"/>
      <c r="FL81" s="738" t="s">
        <v>15</v>
      </c>
      <c r="FM81" s="151"/>
      <c r="FN81" s="151"/>
      <c r="FO81" s="151"/>
      <c r="FP81" s="151"/>
      <c r="FQ81" s="151"/>
      <c r="FR81" s="151"/>
      <c r="FS81" s="151">
        <v>1</v>
      </c>
      <c r="FT81" s="151"/>
      <c r="FU81" s="151"/>
      <c r="FV81" s="151"/>
      <c r="FW81" s="151"/>
      <c r="FX81" s="151"/>
      <c r="FY81" s="151"/>
      <c r="FZ81" s="151"/>
      <c r="GA81" s="151"/>
      <c r="GB81" s="151"/>
      <c r="GC81" s="151">
        <v>1</v>
      </c>
      <c r="GD81" s="984">
        <f>+GC80/GC81</f>
        <v>1</v>
      </c>
      <c r="GE81" s="73"/>
      <c r="GF81" s="968"/>
      <c r="GG81" s="968"/>
      <c r="GH81" s="968"/>
      <c r="GI81" s="979" t="s">
        <v>15</v>
      </c>
      <c r="GJ81" s="979">
        <v>0</v>
      </c>
      <c r="GK81" s="979">
        <v>0</v>
      </c>
      <c r="GL81" s="979">
        <v>0</v>
      </c>
      <c r="GM81" s="979">
        <v>0</v>
      </c>
      <c r="GN81" s="979">
        <v>0</v>
      </c>
      <c r="GO81" s="979">
        <v>0</v>
      </c>
      <c r="GP81" s="979">
        <v>0</v>
      </c>
      <c r="GQ81" s="979">
        <v>1</v>
      </c>
      <c r="GR81" s="979">
        <v>0</v>
      </c>
      <c r="GS81" s="979">
        <v>2</v>
      </c>
      <c r="GT81" s="979">
        <v>0</v>
      </c>
      <c r="GU81" s="979">
        <v>1</v>
      </c>
      <c r="GV81" s="979">
        <v>2</v>
      </c>
      <c r="GW81" s="979">
        <v>0</v>
      </c>
      <c r="GX81" s="979">
        <v>0</v>
      </c>
      <c r="GY81" s="979">
        <v>0</v>
      </c>
      <c r="GZ81" s="979">
        <v>6</v>
      </c>
      <c r="HA81" s="980">
        <f>+(GZ80+GZ79)/GZ81</f>
        <v>1</v>
      </c>
      <c r="HB81" s="969">
        <f>+GZ79+GZ80</f>
        <v>6</v>
      </c>
    </row>
    <row r="82" spans="1:210">
      <c r="A82" s="73"/>
      <c r="B82" s="73"/>
      <c r="C82" s="73"/>
      <c r="D82" s="738" t="s">
        <v>15</v>
      </c>
      <c r="E82" s="4694"/>
      <c r="F82" s="4694"/>
      <c r="G82" s="4694"/>
      <c r="H82" s="4694"/>
      <c r="I82" s="4694"/>
      <c r="J82" s="4694"/>
      <c r="K82" s="4694"/>
      <c r="L82" s="4694"/>
      <c r="M82" s="4694"/>
      <c r="N82" s="4694"/>
      <c r="O82" s="4694"/>
      <c r="P82" s="4694"/>
      <c r="Q82" s="4694"/>
      <c r="R82" s="4694">
        <v>2</v>
      </c>
      <c r="S82" s="4694">
        <v>2</v>
      </c>
      <c r="T82" s="738"/>
      <c r="U82" s="738"/>
      <c r="V82" s="738">
        <v>4</v>
      </c>
      <c r="W82" s="912">
        <f>+V81/V82</f>
        <v>0.25</v>
      </c>
      <c r="X82" s="3197"/>
      <c r="Y82" s="73"/>
      <c r="Z82" s="73"/>
      <c r="AA82" s="73"/>
      <c r="AB82" s="73" t="s">
        <v>1292</v>
      </c>
      <c r="AC82" s="3261"/>
      <c r="AD82" s="3261">
        <v>0</v>
      </c>
      <c r="AE82" s="3261"/>
      <c r="AF82" s="3261">
        <v>0</v>
      </c>
      <c r="AG82" s="3261"/>
      <c r="AH82" s="3261"/>
      <c r="AI82" s="3261"/>
      <c r="AJ82" s="3261"/>
      <c r="AK82" s="3261"/>
      <c r="AL82" s="3261"/>
      <c r="AM82" s="3261"/>
      <c r="AN82" s="3261">
        <v>0</v>
      </c>
      <c r="AO82" s="3261">
        <v>0</v>
      </c>
      <c r="AP82" s="3261">
        <v>0</v>
      </c>
      <c r="AQ82" s="3261">
        <v>0</v>
      </c>
      <c r="AR82" s="161"/>
      <c r="AS82" s="161">
        <v>1</v>
      </c>
      <c r="AT82" s="161">
        <v>1</v>
      </c>
      <c r="AU82" s="73"/>
      <c r="AY82" s="73"/>
      <c r="AZ82" s="73" t="s">
        <v>1289</v>
      </c>
      <c r="BA82" s="2607"/>
      <c r="BB82" s="2607">
        <v>2</v>
      </c>
      <c r="BC82" s="2607"/>
      <c r="BD82" s="2607"/>
      <c r="BE82" s="2607"/>
      <c r="BF82" s="2607"/>
      <c r="BG82" s="2607"/>
      <c r="BH82" s="2607"/>
      <c r="BI82" s="2607"/>
      <c r="BJ82" s="2607"/>
      <c r="BK82" s="2607"/>
      <c r="BL82" s="2607"/>
      <c r="BM82" s="2607">
        <v>0</v>
      </c>
      <c r="BN82" s="2607"/>
      <c r="BO82" s="2607">
        <v>0</v>
      </c>
      <c r="BP82" s="73"/>
      <c r="BQ82" s="73"/>
      <c r="BR82" s="73">
        <v>2</v>
      </c>
      <c r="BS82" s="73"/>
      <c r="BU82" s="2207"/>
      <c r="BV82" s="2207"/>
      <c r="BW82" s="2207" t="s">
        <v>128</v>
      </c>
      <c r="BX82" s="2208" t="s">
        <v>1288</v>
      </c>
      <c r="BY82" s="2209"/>
      <c r="BZ82" s="2209"/>
      <c r="CA82" s="2209"/>
      <c r="CB82" s="2209"/>
      <c r="CC82" s="2209"/>
      <c r="CD82" s="2209"/>
      <c r="CE82" s="2209"/>
      <c r="CF82" s="2209"/>
      <c r="CG82" s="2209"/>
      <c r="CH82" s="2209"/>
      <c r="CI82" s="2210">
        <v>2</v>
      </c>
      <c r="CJ82" s="2209"/>
      <c r="CK82" s="2209"/>
      <c r="CL82" s="2211"/>
      <c r="CM82" s="2211"/>
      <c r="CN82" s="2212">
        <v>2</v>
      </c>
      <c r="CO82" s="73"/>
      <c r="CQ82" s="955"/>
      <c r="CR82" s="955"/>
      <c r="CS82" s="955"/>
      <c r="CT82" s="956" t="s">
        <v>1398</v>
      </c>
      <c r="CU82" s="957"/>
      <c r="CV82" s="958">
        <v>0</v>
      </c>
      <c r="CW82" s="957"/>
      <c r="CX82" s="958">
        <v>0</v>
      </c>
      <c r="CY82" s="958">
        <v>0</v>
      </c>
      <c r="CZ82" s="957"/>
      <c r="DA82" s="958">
        <v>2</v>
      </c>
      <c r="DB82" s="958">
        <v>1</v>
      </c>
      <c r="DC82" s="958">
        <v>2</v>
      </c>
      <c r="DD82" s="958">
        <v>2</v>
      </c>
      <c r="DE82" s="958">
        <v>2</v>
      </c>
      <c r="DF82" s="957"/>
      <c r="DG82" s="958">
        <v>0</v>
      </c>
      <c r="DH82" s="958">
        <v>0</v>
      </c>
      <c r="DI82" s="958">
        <v>0</v>
      </c>
      <c r="DJ82" s="959"/>
      <c r="DK82" s="959"/>
      <c r="DL82" s="960">
        <v>9</v>
      </c>
      <c r="DM82" s="161"/>
      <c r="DO82" s="788"/>
      <c r="DP82" s="788"/>
      <c r="DQ82" s="788"/>
      <c r="DR82" s="788"/>
      <c r="DS82" s="789" t="s">
        <v>1288</v>
      </c>
      <c r="DT82" s="961"/>
      <c r="DU82" s="961"/>
      <c r="DV82" s="961"/>
      <c r="DW82" s="961"/>
      <c r="DX82" s="962">
        <v>0</v>
      </c>
      <c r="DY82" s="961"/>
      <c r="DZ82" s="962">
        <v>1</v>
      </c>
      <c r="EA82" s="961"/>
      <c r="EB82" s="961"/>
      <c r="EC82" s="962">
        <v>0</v>
      </c>
      <c r="ED82" s="962">
        <v>4</v>
      </c>
      <c r="EE82" s="962">
        <v>3</v>
      </c>
      <c r="EF82" s="962">
        <v>3</v>
      </c>
      <c r="EG82" s="962">
        <v>2</v>
      </c>
      <c r="EH82" s="962">
        <v>0</v>
      </c>
      <c r="EI82" s="963"/>
      <c r="EJ82" s="963"/>
      <c r="EK82" s="964">
        <v>13</v>
      </c>
      <c r="EL82" s="912"/>
      <c r="EM82" s="73"/>
      <c r="EN82" s="965"/>
      <c r="EO82" s="965"/>
      <c r="EP82" s="965"/>
      <c r="EQ82" s="981" t="s">
        <v>15</v>
      </c>
      <c r="ER82" s="982"/>
      <c r="ES82" s="982"/>
      <c r="ET82" s="982"/>
      <c r="EU82" s="982"/>
      <c r="EV82" s="982"/>
      <c r="EW82" s="740">
        <v>1</v>
      </c>
      <c r="EX82" s="982"/>
      <c r="EY82" s="740">
        <v>2</v>
      </c>
      <c r="EZ82" s="740">
        <v>1</v>
      </c>
      <c r="FA82" s="982"/>
      <c r="FB82" s="740">
        <v>7</v>
      </c>
      <c r="FC82" s="740">
        <v>1</v>
      </c>
      <c r="FD82" s="740">
        <v>1</v>
      </c>
      <c r="FE82" s="740">
        <v>13</v>
      </c>
      <c r="FF82" s="905">
        <f>+FE81/FE82</f>
        <v>0.15384615384615385</v>
      </c>
      <c r="FG82" s="73"/>
      <c r="FH82" s="73"/>
      <c r="FI82" s="161"/>
      <c r="FJ82" s="161"/>
      <c r="FK82" s="73" t="s">
        <v>131</v>
      </c>
      <c r="FL82" s="73" t="s">
        <v>1288</v>
      </c>
      <c r="FM82" s="161"/>
      <c r="FN82" s="161"/>
      <c r="FO82" s="161"/>
      <c r="FP82" s="161"/>
      <c r="FQ82" s="161"/>
      <c r="FR82" s="161">
        <v>0</v>
      </c>
      <c r="FS82" s="161">
        <v>0</v>
      </c>
      <c r="FT82" s="161"/>
      <c r="FU82" s="161"/>
      <c r="FV82" s="161"/>
      <c r="FW82" s="161"/>
      <c r="FX82" s="161"/>
      <c r="FY82" s="161"/>
      <c r="FZ82" s="161">
        <v>0</v>
      </c>
      <c r="GA82" s="161">
        <v>1</v>
      </c>
      <c r="GB82" s="161">
        <v>0</v>
      </c>
      <c r="GC82" s="161">
        <v>1</v>
      </c>
      <c r="GD82" s="73"/>
      <c r="GE82" s="73"/>
      <c r="GF82" s="968"/>
      <c r="GG82" s="968"/>
      <c r="GH82" s="968" t="s">
        <v>146</v>
      </c>
      <c r="GI82" s="968" t="s">
        <v>1284</v>
      </c>
      <c r="GJ82" s="968">
        <v>0</v>
      </c>
      <c r="GK82" s="968">
        <v>0</v>
      </c>
      <c r="GL82" s="968">
        <v>0</v>
      </c>
      <c r="GM82" s="968">
        <v>0</v>
      </c>
      <c r="GN82" s="968">
        <v>0</v>
      </c>
      <c r="GO82" s="968">
        <v>0</v>
      </c>
      <c r="GP82" s="968">
        <v>0</v>
      </c>
      <c r="GQ82" s="968">
        <v>2</v>
      </c>
      <c r="GR82" s="968">
        <v>3</v>
      </c>
      <c r="GS82" s="968">
        <v>2</v>
      </c>
      <c r="GT82" s="968">
        <v>1</v>
      </c>
      <c r="GU82" s="968">
        <v>0</v>
      </c>
      <c r="GV82" s="968">
        <v>0</v>
      </c>
      <c r="GW82" s="968">
        <v>0</v>
      </c>
      <c r="GX82" s="968">
        <v>0</v>
      </c>
      <c r="GY82" s="968">
        <v>0</v>
      </c>
      <c r="GZ82" s="968">
        <v>8</v>
      </c>
      <c r="HA82" s="968"/>
      <c r="HB82" s="969"/>
    </row>
    <row r="83" spans="1:210">
      <c r="A83" s="73"/>
      <c r="B83" s="73"/>
      <c r="C83" s="73" t="s">
        <v>125</v>
      </c>
      <c r="D83" s="73" t="s">
        <v>1284</v>
      </c>
      <c r="E83" s="967"/>
      <c r="F83" s="967"/>
      <c r="G83" s="967"/>
      <c r="H83" s="967"/>
      <c r="I83" s="967"/>
      <c r="J83" s="967"/>
      <c r="K83" s="967"/>
      <c r="L83" s="967"/>
      <c r="M83" s="967"/>
      <c r="N83" s="967"/>
      <c r="O83" s="967"/>
      <c r="P83" s="967">
        <v>1</v>
      </c>
      <c r="Q83" s="967"/>
      <c r="R83" s="967"/>
      <c r="S83" s="967">
        <v>1</v>
      </c>
      <c r="T83" s="73">
        <v>0</v>
      </c>
      <c r="U83" s="73"/>
      <c r="V83" s="73">
        <v>2</v>
      </c>
      <c r="W83" s="73"/>
      <c r="Y83" s="73"/>
      <c r="Z83" s="73"/>
      <c r="AA83" s="73"/>
      <c r="AB83" s="73" t="s">
        <v>1398</v>
      </c>
      <c r="AC83" s="3261"/>
      <c r="AD83" s="3261">
        <v>0</v>
      </c>
      <c r="AE83" s="3261"/>
      <c r="AF83" s="3261">
        <v>0</v>
      </c>
      <c r="AG83" s="3261"/>
      <c r="AH83" s="3261"/>
      <c r="AI83" s="3261"/>
      <c r="AJ83" s="3261"/>
      <c r="AK83" s="3261"/>
      <c r="AL83" s="3261"/>
      <c r="AM83" s="3261"/>
      <c r="AN83" s="3261">
        <v>0</v>
      </c>
      <c r="AO83" s="3261">
        <v>2</v>
      </c>
      <c r="AP83" s="3261">
        <v>0</v>
      </c>
      <c r="AQ83" s="3261">
        <v>0</v>
      </c>
      <c r="AR83" s="161"/>
      <c r="AS83" s="161">
        <v>0</v>
      </c>
      <c r="AT83" s="161">
        <v>2</v>
      </c>
      <c r="AU83" s="73"/>
      <c r="AY83" s="73"/>
      <c r="AZ83" s="73" t="s">
        <v>1292</v>
      </c>
      <c r="BA83" s="2607"/>
      <c r="BB83" s="2607">
        <v>0</v>
      </c>
      <c r="BC83" s="2607"/>
      <c r="BD83" s="2607"/>
      <c r="BE83" s="2607"/>
      <c r="BF83" s="2607"/>
      <c r="BG83" s="2607"/>
      <c r="BH83" s="2607"/>
      <c r="BI83" s="2607"/>
      <c r="BJ83" s="2607"/>
      <c r="BK83" s="2607"/>
      <c r="BL83" s="2607"/>
      <c r="BM83" s="2607">
        <v>0</v>
      </c>
      <c r="BN83" s="2607"/>
      <c r="BO83" s="2607">
        <v>1</v>
      </c>
      <c r="BP83" s="73"/>
      <c r="BQ83" s="73"/>
      <c r="BR83" s="73">
        <v>1</v>
      </c>
      <c r="BS83" s="73"/>
      <c r="BU83" s="2207"/>
      <c r="BV83" s="2207"/>
      <c r="BW83" s="2207"/>
      <c r="BX83" s="2204" t="s">
        <v>15</v>
      </c>
      <c r="BY83" s="2213"/>
      <c r="BZ83" s="2213"/>
      <c r="CA83" s="2213"/>
      <c r="CB83" s="2213"/>
      <c r="CC83" s="2213"/>
      <c r="CD83" s="2213"/>
      <c r="CE83" s="2213"/>
      <c r="CF83" s="2213"/>
      <c r="CG83" s="2213"/>
      <c r="CH83" s="2213"/>
      <c r="CI83" s="2214">
        <v>2</v>
      </c>
      <c r="CJ83" s="2213"/>
      <c r="CK83" s="2213"/>
      <c r="CL83" s="2215"/>
      <c r="CM83" s="2215"/>
      <c r="CN83" s="2216">
        <v>2</v>
      </c>
      <c r="CO83" s="2154">
        <f>+CN82/CN83</f>
        <v>1</v>
      </c>
      <c r="CQ83" s="955"/>
      <c r="CR83" s="955"/>
      <c r="CS83" s="955"/>
      <c r="CT83" s="974" t="s">
        <v>15</v>
      </c>
      <c r="CU83" s="975"/>
      <c r="CV83" s="976">
        <v>1</v>
      </c>
      <c r="CW83" s="975"/>
      <c r="CX83" s="976">
        <v>2</v>
      </c>
      <c r="CY83" s="976">
        <v>2</v>
      </c>
      <c r="CZ83" s="975"/>
      <c r="DA83" s="976">
        <v>4</v>
      </c>
      <c r="DB83" s="976">
        <v>4</v>
      </c>
      <c r="DC83" s="976">
        <v>5</v>
      </c>
      <c r="DD83" s="976">
        <v>2</v>
      </c>
      <c r="DE83" s="976">
        <v>3</v>
      </c>
      <c r="DF83" s="975"/>
      <c r="DG83" s="976">
        <v>2</v>
      </c>
      <c r="DH83" s="976">
        <v>9</v>
      </c>
      <c r="DI83" s="976">
        <v>6</v>
      </c>
      <c r="DJ83" s="977"/>
      <c r="DK83" s="977"/>
      <c r="DL83" s="978">
        <v>40</v>
      </c>
      <c r="DM83" s="912">
        <f>+(DL79+DL82)/DL83</f>
        <v>0.55000000000000004</v>
      </c>
      <c r="DO83" s="788"/>
      <c r="DP83" s="788"/>
      <c r="DQ83" s="788"/>
      <c r="DR83" s="788"/>
      <c r="DS83" s="789" t="s">
        <v>1289</v>
      </c>
      <c r="DT83" s="961"/>
      <c r="DU83" s="961"/>
      <c r="DV83" s="961"/>
      <c r="DW83" s="961"/>
      <c r="DX83" s="962">
        <v>0</v>
      </c>
      <c r="DY83" s="961"/>
      <c r="DZ83" s="962">
        <v>0</v>
      </c>
      <c r="EA83" s="961"/>
      <c r="EB83" s="961"/>
      <c r="EC83" s="962">
        <v>1</v>
      </c>
      <c r="ED83" s="962">
        <v>0</v>
      </c>
      <c r="EE83" s="962">
        <v>0</v>
      </c>
      <c r="EF83" s="962">
        <v>0</v>
      </c>
      <c r="EG83" s="962">
        <v>0</v>
      </c>
      <c r="EH83" s="962">
        <v>0</v>
      </c>
      <c r="EI83" s="963"/>
      <c r="EJ83" s="963"/>
      <c r="EK83" s="964">
        <v>1</v>
      </c>
      <c r="EL83" s="912"/>
      <c r="EM83" s="73"/>
      <c r="EN83" s="73"/>
      <c r="EO83" s="73"/>
      <c r="EP83" s="73"/>
      <c r="EQ83" s="73"/>
      <c r="ER83" s="73"/>
      <c r="ES83" s="73"/>
      <c r="ET83" s="73"/>
      <c r="EU83" s="73"/>
      <c r="EV83" s="73"/>
      <c r="EW83" s="73"/>
      <c r="EX83" s="73"/>
      <c r="EY83" s="73"/>
      <c r="EZ83" s="73"/>
      <c r="FA83" s="73"/>
      <c r="FB83" s="73"/>
      <c r="FC83" s="73"/>
      <c r="FD83" s="73"/>
      <c r="FE83" s="73"/>
      <c r="FF83" s="73"/>
      <c r="FG83" s="73"/>
      <c r="FH83" s="73"/>
      <c r="FI83" s="161"/>
      <c r="FJ83" s="161"/>
      <c r="FK83" s="73"/>
      <c r="FL83" s="73" t="s">
        <v>1292</v>
      </c>
      <c r="FM83" s="161"/>
      <c r="FN83" s="161"/>
      <c r="FO83" s="161"/>
      <c r="FP83" s="161"/>
      <c r="FQ83" s="161"/>
      <c r="FR83" s="161">
        <v>0</v>
      </c>
      <c r="FS83" s="161">
        <v>0</v>
      </c>
      <c r="FT83" s="161"/>
      <c r="FU83" s="161"/>
      <c r="FV83" s="161"/>
      <c r="FW83" s="161"/>
      <c r="FX83" s="161"/>
      <c r="FY83" s="161"/>
      <c r="FZ83" s="161">
        <v>3</v>
      </c>
      <c r="GA83" s="161">
        <v>0</v>
      </c>
      <c r="GB83" s="161">
        <v>4</v>
      </c>
      <c r="GC83" s="161">
        <v>7</v>
      </c>
      <c r="GD83" s="73"/>
      <c r="GE83" s="73"/>
      <c r="GF83" s="968"/>
      <c r="GG83" s="968"/>
      <c r="GH83" s="968"/>
      <c r="GI83" s="968" t="s">
        <v>1398</v>
      </c>
      <c r="GJ83" s="968">
        <v>0</v>
      </c>
      <c r="GK83" s="968">
        <v>0</v>
      </c>
      <c r="GL83" s="968">
        <v>0</v>
      </c>
      <c r="GM83" s="968">
        <v>0</v>
      </c>
      <c r="GN83" s="968">
        <v>0</v>
      </c>
      <c r="GO83" s="968">
        <v>0</v>
      </c>
      <c r="GP83" s="968">
        <v>0</v>
      </c>
      <c r="GQ83" s="968">
        <v>1</v>
      </c>
      <c r="GR83" s="968">
        <v>0</v>
      </c>
      <c r="GS83" s="968">
        <v>0</v>
      </c>
      <c r="GT83" s="968">
        <v>1</v>
      </c>
      <c r="GU83" s="968">
        <v>0</v>
      </c>
      <c r="GV83" s="968">
        <v>0</v>
      </c>
      <c r="GW83" s="968">
        <v>0</v>
      </c>
      <c r="GX83" s="968">
        <v>0</v>
      </c>
      <c r="GY83" s="968">
        <v>0</v>
      </c>
      <c r="GZ83" s="968">
        <v>2</v>
      </c>
      <c r="HA83" s="968"/>
      <c r="HB83" s="969"/>
    </row>
    <row r="84" spans="1:210">
      <c r="A84" s="73"/>
      <c r="B84" s="73"/>
      <c r="C84" s="73"/>
      <c r="D84" s="73" t="s">
        <v>1292</v>
      </c>
      <c r="E84" s="967"/>
      <c r="F84" s="967"/>
      <c r="G84" s="967"/>
      <c r="H84" s="967"/>
      <c r="I84" s="967"/>
      <c r="J84" s="967"/>
      <c r="K84" s="967"/>
      <c r="L84" s="967"/>
      <c r="M84" s="967"/>
      <c r="N84" s="967"/>
      <c r="O84" s="967"/>
      <c r="P84" s="967">
        <v>0</v>
      </c>
      <c r="Q84" s="967"/>
      <c r="R84" s="967"/>
      <c r="S84" s="967">
        <v>0</v>
      </c>
      <c r="T84" s="73">
        <v>1</v>
      </c>
      <c r="U84" s="73"/>
      <c r="V84" s="73">
        <v>1</v>
      </c>
      <c r="W84" s="73"/>
      <c r="Y84" s="73"/>
      <c r="Z84" s="73"/>
      <c r="AA84" s="73"/>
      <c r="AB84" s="738" t="s">
        <v>15</v>
      </c>
      <c r="AC84" s="3262"/>
      <c r="AD84" s="3262">
        <v>2</v>
      </c>
      <c r="AE84" s="3262"/>
      <c r="AF84" s="3262">
        <v>1</v>
      </c>
      <c r="AG84" s="3262"/>
      <c r="AH84" s="3262"/>
      <c r="AI84" s="3262"/>
      <c r="AJ84" s="3262"/>
      <c r="AK84" s="3262"/>
      <c r="AL84" s="3262"/>
      <c r="AM84" s="3262"/>
      <c r="AN84" s="3262">
        <v>1</v>
      </c>
      <c r="AO84" s="3262">
        <v>6</v>
      </c>
      <c r="AP84" s="3262">
        <v>2</v>
      </c>
      <c r="AQ84" s="3262">
        <v>1</v>
      </c>
      <c r="AR84" s="151"/>
      <c r="AS84" s="151">
        <v>1</v>
      </c>
      <c r="AT84" s="151">
        <v>14</v>
      </c>
      <c r="AU84" s="912">
        <f>+(AT81+AT83)/AT84</f>
        <v>0.35714285714285715</v>
      </c>
      <c r="AY84" s="73"/>
      <c r="AZ84" s="73" t="s">
        <v>1398</v>
      </c>
      <c r="BA84" s="2607"/>
      <c r="BB84" s="2607">
        <v>0</v>
      </c>
      <c r="BC84" s="2607"/>
      <c r="BD84" s="2607"/>
      <c r="BE84" s="2607"/>
      <c r="BF84" s="2607"/>
      <c r="BG84" s="2607"/>
      <c r="BH84" s="2607"/>
      <c r="BI84" s="2607"/>
      <c r="BJ84" s="2607"/>
      <c r="BK84" s="2607"/>
      <c r="BL84" s="2607"/>
      <c r="BM84" s="2607">
        <v>3</v>
      </c>
      <c r="BN84" s="2607"/>
      <c r="BO84" s="2607">
        <v>0</v>
      </c>
      <c r="BP84" s="73"/>
      <c r="BQ84" s="73"/>
      <c r="BR84" s="73">
        <v>3</v>
      </c>
      <c r="BS84" s="73"/>
      <c r="BU84" s="2207"/>
      <c r="BV84" s="2207"/>
      <c r="BW84" s="2207" t="s">
        <v>129</v>
      </c>
      <c r="BX84" s="2208" t="s">
        <v>1284</v>
      </c>
      <c r="BY84" s="2209"/>
      <c r="BZ84" s="2209"/>
      <c r="CA84" s="2209"/>
      <c r="CB84" s="2209"/>
      <c r="CC84" s="2209"/>
      <c r="CD84" s="2209"/>
      <c r="CE84" s="2209"/>
      <c r="CF84" s="2209"/>
      <c r="CG84" s="2209"/>
      <c r="CH84" s="2209"/>
      <c r="CI84" s="2210">
        <v>2</v>
      </c>
      <c r="CJ84" s="2210">
        <v>1</v>
      </c>
      <c r="CK84" s="2210">
        <v>2</v>
      </c>
      <c r="CL84" s="2212">
        <v>0</v>
      </c>
      <c r="CM84" s="2212">
        <v>0</v>
      </c>
      <c r="CN84" s="2212">
        <v>5</v>
      </c>
      <c r="CO84" s="73"/>
      <c r="CQ84" s="955"/>
      <c r="CR84" s="955"/>
      <c r="CS84" s="955" t="s">
        <v>128</v>
      </c>
      <c r="CT84" s="956" t="s">
        <v>1284</v>
      </c>
      <c r="CU84" s="957"/>
      <c r="CV84" s="958">
        <v>2</v>
      </c>
      <c r="CW84" s="958">
        <v>2</v>
      </c>
      <c r="CX84" s="958">
        <v>0</v>
      </c>
      <c r="CY84" s="957"/>
      <c r="CZ84" s="958">
        <v>1</v>
      </c>
      <c r="DA84" s="957"/>
      <c r="DB84" s="957"/>
      <c r="DC84" s="957"/>
      <c r="DD84" s="957"/>
      <c r="DE84" s="958">
        <v>0</v>
      </c>
      <c r="DF84" s="957"/>
      <c r="DG84" s="957"/>
      <c r="DH84" s="958">
        <v>0</v>
      </c>
      <c r="DI84" s="958">
        <v>0</v>
      </c>
      <c r="DJ84" s="959"/>
      <c r="DK84" s="959"/>
      <c r="DL84" s="960">
        <v>5</v>
      </c>
      <c r="DM84" s="161"/>
      <c r="DO84" s="788"/>
      <c r="DP84" s="788"/>
      <c r="DQ84" s="788"/>
      <c r="DR84" s="788"/>
      <c r="DS84" s="789" t="s">
        <v>1292</v>
      </c>
      <c r="DT84" s="961"/>
      <c r="DU84" s="961"/>
      <c r="DV84" s="961"/>
      <c r="DW84" s="961"/>
      <c r="DX84" s="962">
        <v>0</v>
      </c>
      <c r="DY84" s="961"/>
      <c r="DZ84" s="962">
        <v>0</v>
      </c>
      <c r="EA84" s="961"/>
      <c r="EB84" s="961"/>
      <c r="EC84" s="962">
        <v>0</v>
      </c>
      <c r="ED84" s="962">
        <v>0</v>
      </c>
      <c r="EE84" s="962">
        <v>0</v>
      </c>
      <c r="EF84" s="962">
        <v>0</v>
      </c>
      <c r="EG84" s="962">
        <v>0</v>
      </c>
      <c r="EH84" s="962">
        <v>8</v>
      </c>
      <c r="EI84" s="963"/>
      <c r="EJ84" s="963"/>
      <c r="EK84" s="964">
        <v>8</v>
      </c>
      <c r="EL84" s="912"/>
      <c r="EM84" s="73"/>
      <c r="EN84" s="73"/>
      <c r="EO84" s="73"/>
      <c r="EP84" s="73"/>
      <c r="EQ84" s="73"/>
      <c r="ER84" s="73"/>
      <c r="ES84" s="73"/>
      <c r="ET84" s="73"/>
      <c r="EU84" s="73"/>
      <c r="EV84" s="73"/>
      <c r="EW84" s="73"/>
      <c r="EX84" s="73"/>
      <c r="EY84" s="73"/>
      <c r="EZ84" s="73"/>
      <c r="FA84" s="73"/>
      <c r="FB84" s="73"/>
      <c r="FC84" s="73"/>
      <c r="FD84" s="73"/>
      <c r="FE84" s="73"/>
      <c r="FF84" s="73"/>
      <c r="FG84" s="73"/>
      <c r="FH84" s="73"/>
      <c r="FI84" s="161"/>
      <c r="FJ84" s="161"/>
      <c r="FK84" s="73"/>
      <c r="FL84" s="73" t="s">
        <v>1398</v>
      </c>
      <c r="FM84" s="161"/>
      <c r="FN84" s="161"/>
      <c r="FO84" s="161"/>
      <c r="FP84" s="161"/>
      <c r="FQ84" s="161"/>
      <c r="FR84" s="161">
        <v>1</v>
      </c>
      <c r="FS84" s="161">
        <v>1</v>
      </c>
      <c r="FT84" s="161"/>
      <c r="FU84" s="161"/>
      <c r="FV84" s="161"/>
      <c r="FW84" s="161"/>
      <c r="FX84" s="161"/>
      <c r="FY84" s="161"/>
      <c r="FZ84" s="161">
        <v>0</v>
      </c>
      <c r="GA84" s="161">
        <v>0</v>
      </c>
      <c r="GB84" s="161">
        <v>0</v>
      </c>
      <c r="GC84" s="161">
        <v>2</v>
      </c>
      <c r="GD84" s="73"/>
      <c r="GE84" s="73"/>
      <c r="GF84" s="968"/>
      <c r="GG84" s="968"/>
      <c r="GH84" s="968"/>
      <c r="GI84" s="985" t="s">
        <v>15</v>
      </c>
      <c r="GJ84" s="968">
        <v>0</v>
      </c>
      <c r="GK84" s="968">
        <v>0</v>
      </c>
      <c r="GL84" s="968">
        <v>0</v>
      </c>
      <c r="GM84" s="968">
        <v>0</v>
      </c>
      <c r="GN84" s="968">
        <v>0</v>
      </c>
      <c r="GO84" s="968">
        <v>0</v>
      </c>
      <c r="GP84" s="979">
        <v>0</v>
      </c>
      <c r="GQ84" s="979">
        <v>3</v>
      </c>
      <c r="GR84" s="979">
        <v>3</v>
      </c>
      <c r="GS84" s="979">
        <v>2</v>
      </c>
      <c r="GT84" s="979">
        <v>2</v>
      </c>
      <c r="GU84" s="979">
        <v>0</v>
      </c>
      <c r="GV84" s="979">
        <v>0</v>
      </c>
      <c r="GW84" s="979">
        <v>0</v>
      </c>
      <c r="GX84" s="979">
        <v>0</v>
      </c>
      <c r="GY84" s="979">
        <v>0</v>
      </c>
      <c r="GZ84" s="979">
        <v>10</v>
      </c>
      <c r="HA84" s="980">
        <f>+GZ83/GZ84</f>
        <v>0.2</v>
      </c>
      <c r="HB84" s="969">
        <f>+GZ83</f>
        <v>2</v>
      </c>
    </row>
    <row r="85" spans="1:210">
      <c r="A85" s="73"/>
      <c r="B85" s="73"/>
      <c r="C85" s="73"/>
      <c r="D85" s="738" t="s">
        <v>15</v>
      </c>
      <c r="E85" s="4694"/>
      <c r="F85" s="4694"/>
      <c r="G85" s="4694"/>
      <c r="H85" s="4694"/>
      <c r="I85" s="4694"/>
      <c r="J85" s="4694"/>
      <c r="K85" s="4694"/>
      <c r="L85" s="4694"/>
      <c r="M85" s="4694"/>
      <c r="N85" s="4694"/>
      <c r="O85" s="4694"/>
      <c r="P85" s="4694">
        <v>1</v>
      </c>
      <c r="Q85" s="4694"/>
      <c r="R85" s="4694"/>
      <c r="S85" s="4694">
        <v>1</v>
      </c>
      <c r="T85" s="738">
        <v>1</v>
      </c>
      <c r="U85" s="738"/>
      <c r="V85" s="738">
        <v>3</v>
      </c>
      <c r="W85" s="912">
        <v>0</v>
      </c>
      <c r="X85" s="3197"/>
      <c r="Y85" s="73"/>
      <c r="Z85" s="73"/>
      <c r="AA85" s="73" t="s">
        <v>573</v>
      </c>
      <c r="AB85" s="73" t="s">
        <v>1284</v>
      </c>
      <c r="AC85" s="3261"/>
      <c r="AD85" s="3261">
        <v>2</v>
      </c>
      <c r="AE85" s="3261"/>
      <c r="AF85" s="3261">
        <v>1</v>
      </c>
      <c r="AG85" s="3261">
        <v>1</v>
      </c>
      <c r="AH85" s="3261"/>
      <c r="AI85" s="3261"/>
      <c r="AJ85" s="3261"/>
      <c r="AK85" s="3261"/>
      <c r="AL85" s="3261"/>
      <c r="AM85" s="3261"/>
      <c r="AN85" s="3261">
        <v>1</v>
      </c>
      <c r="AO85" s="3261">
        <v>7</v>
      </c>
      <c r="AP85" s="3261">
        <v>4</v>
      </c>
      <c r="AQ85" s="3261">
        <v>0</v>
      </c>
      <c r="AR85" s="161"/>
      <c r="AS85" s="161">
        <v>0</v>
      </c>
      <c r="AT85" s="161">
        <v>16</v>
      </c>
      <c r="AU85" s="73"/>
      <c r="AY85" s="73"/>
      <c r="AZ85" s="738" t="s">
        <v>15</v>
      </c>
      <c r="BA85" s="2608"/>
      <c r="BB85" s="2608">
        <v>2</v>
      </c>
      <c r="BC85" s="2608"/>
      <c r="BD85" s="2608"/>
      <c r="BE85" s="2608"/>
      <c r="BF85" s="2608"/>
      <c r="BG85" s="2608"/>
      <c r="BH85" s="2608"/>
      <c r="BI85" s="2608"/>
      <c r="BJ85" s="2608"/>
      <c r="BK85" s="2608"/>
      <c r="BL85" s="2608"/>
      <c r="BM85" s="2608">
        <v>8</v>
      </c>
      <c r="BN85" s="2608"/>
      <c r="BO85" s="2608">
        <v>1</v>
      </c>
      <c r="BP85" s="738"/>
      <c r="BQ85" s="738"/>
      <c r="BR85" s="738">
        <v>11</v>
      </c>
      <c r="BS85" s="912">
        <f>+(BR81+BR84)/BR85</f>
        <v>0.63636363636363635</v>
      </c>
      <c r="BU85" s="2207"/>
      <c r="BV85" s="2207"/>
      <c r="BW85" s="2207"/>
      <c r="BX85" s="2208" t="s">
        <v>1292</v>
      </c>
      <c r="BY85" s="2209"/>
      <c r="BZ85" s="2209"/>
      <c r="CA85" s="2209"/>
      <c r="CB85" s="2209"/>
      <c r="CC85" s="2209"/>
      <c r="CD85" s="2209"/>
      <c r="CE85" s="2209"/>
      <c r="CF85" s="2209"/>
      <c r="CG85" s="2209"/>
      <c r="CH85" s="2209"/>
      <c r="CI85" s="2210">
        <v>0</v>
      </c>
      <c r="CJ85" s="2210">
        <v>0</v>
      </c>
      <c r="CK85" s="2210">
        <v>1</v>
      </c>
      <c r="CL85" s="2212">
        <v>1</v>
      </c>
      <c r="CM85" s="2212">
        <v>7</v>
      </c>
      <c r="CN85" s="2212">
        <v>9</v>
      </c>
      <c r="CO85" s="73"/>
      <c r="CQ85" s="955"/>
      <c r="CR85" s="955"/>
      <c r="CS85" s="955"/>
      <c r="CT85" s="956" t="s">
        <v>1286</v>
      </c>
      <c r="CU85" s="957"/>
      <c r="CV85" s="958">
        <v>0</v>
      </c>
      <c r="CW85" s="958">
        <v>0</v>
      </c>
      <c r="CX85" s="958">
        <v>1</v>
      </c>
      <c r="CY85" s="957"/>
      <c r="CZ85" s="958">
        <v>0</v>
      </c>
      <c r="DA85" s="957"/>
      <c r="DB85" s="957"/>
      <c r="DC85" s="957"/>
      <c r="DD85" s="957"/>
      <c r="DE85" s="958">
        <v>0</v>
      </c>
      <c r="DF85" s="957"/>
      <c r="DG85" s="957"/>
      <c r="DH85" s="958">
        <v>0</v>
      </c>
      <c r="DI85" s="958">
        <v>0</v>
      </c>
      <c r="DJ85" s="959"/>
      <c r="DK85" s="959"/>
      <c r="DL85" s="960">
        <v>1</v>
      </c>
      <c r="DM85" s="161"/>
      <c r="DO85" s="788"/>
      <c r="DP85" s="788"/>
      <c r="DQ85" s="788"/>
      <c r="DR85" s="788"/>
      <c r="DS85" s="789" t="s">
        <v>1398</v>
      </c>
      <c r="DT85" s="961"/>
      <c r="DU85" s="961"/>
      <c r="DV85" s="961"/>
      <c r="DW85" s="961"/>
      <c r="DX85" s="962">
        <v>0</v>
      </c>
      <c r="DY85" s="961"/>
      <c r="DZ85" s="962">
        <v>0</v>
      </c>
      <c r="EA85" s="961"/>
      <c r="EB85" s="961"/>
      <c r="EC85" s="962">
        <v>1</v>
      </c>
      <c r="ED85" s="962">
        <v>0</v>
      </c>
      <c r="EE85" s="962">
        <v>0</v>
      </c>
      <c r="EF85" s="962">
        <v>0</v>
      </c>
      <c r="EG85" s="962">
        <v>0</v>
      </c>
      <c r="EH85" s="962">
        <v>0</v>
      </c>
      <c r="EI85" s="963"/>
      <c r="EJ85" s="963"/>
      <c r="EK85" s="964">
        <v>1</v>
      </c>
      <c r="EL85" s="912"/>
      <c r="EM85" s="73"/>
      <c r="EN85" s="73"/>
      <c r="EO85" s="73"/>
      <c r="EP85" s="73"/>
      <c r="EQ85" s="73"/>
      <c r="ER85" s="73"/>
      <c r="ES85" s="73"/>
      <c r="ET85" s="73"/>
      <c r="EU85" s="73"/>
      <c r="EV85" s="73"/>
      <c r="EW85" s="73"/>
      <c r="EX85" s="73"/>
      <c r="EY85" s="73"/>
      <c r="EZ85" s="73"/>
      <c r="FA85" s="73"/>
      <c r="FB85" s="73"/>
      <c r="FC85" s="73"/>
      <c r="FD85" s="73"/>
      <c r="FE85" s="73"/>
      <c r="FF85" s="73"/>
      <c r="FG85" s="73"/>
      <c r="FH85" s="73"/>
      <c r="FI85" s="161"/>
      <c r="FJ85" s="161"/>
      <c r="FK85" s="73"/>
      <c r="FL85" s="738" t="s">
        <v>15</v>
      </c>
      <c r="FM85" s="151"/>
      <c r="FN85" s="151"/>
      <c r="FO85" s="151"/>
      <c r="FP85" s="151"/>
      <c r="FQ85" s="151"/>
      <c r="FR85" s="151">
        <v>1</v>
      </c>
      <c r="FS85" s="151">
        <v>1</v>
      </c>
      <c r="FT85" s="151"/>
      <c r="FU85" s="151"/>
      <c r="FV85" s="151"/>
      <c r="FW85" s="151"/>
      <c r="FX85" s="151"/>
      <c r="FY85" s="151"/>
      <c r="FZ85" s="151">
        <v>3</v>
      </c>
      <c r="GA85" s="151">
        <v>1</v>
      </c>
      <c r="GB85" s="151">
        <v>4</v>
      </c>
      <c r="GC85" s="151">
        <v>10</v>
      </c>
      <c r="GD85" s="983">
        <f>+(GC82+GC84)/GC85</f>
        <v>0.3</v>
      </c>
      <c r="GE85" s="73"/>
      <c r="GF85" s="968"/>
      <c r="GG85" s="968"/>
      <c r="GH85" s="968" t="s">
        <v>338</v>
      </c>
      <c r="GI85" s="968" t="s">
        <v>1284</v>
      </c>
      <c r="GJ85" s="968">
        <v>0</v>
      </c>
      <c r="GK85" s="968">
        <v>0</v>
      </c>
      <c r="GL85" s="968">
        <v>1</v>
      </c>
      <c r="GM85" s="968">
        <v>0</v>
      </c>
      <c r="GN85" s="968">
        <v>0</v>
      </c>
      <c r="GO85" s="968">
        <v>1</v>
      </c>
      <c r="GP85" s="968">
        <v>0</v>
      </c>
      <c r="GQ85" s="968">
        <v>0</v>
      </c>
      <c r="GR85" s="968">
        <v>2</v>
      </c>
      <c r="GS85" s="968">
        <v>0</v>
      </c>
      <c r="GT85" s="968">
        <v>0</v>
      </c>
      <c r="GU85" s="968">
        <v>0</v>
      </c>
      <c r="GV85" s="968">
        <v>0</v>
      </c>
      <c r="GW85" s="968">
        <v>0</v>
      </c>
      <c r="GX85" s="968">
        <v>0</v>
      </c>
      <c r="GY85" s="968">
        <v>0</v>
      </c>
      <c r="GZ85" s="968">
        <v>4</v>
      </c>
      <c r="HA85" s="980"/>
      <c r="HB85" s="969"/>
    </row>
    <row r="86" spans="1:210">
      <c r="A86" s="73"/>
      <c r="B86" s="73"/>
      <c r="C86" s="73" t="s">
        <v>424</v>
      </c>
      <c r="D86" s="73" t="s">
        <v>1284</v>
      </c>
      <c r="E86" s="967"/>
      <c r="F86" s="967"/>
      <c r="G86" s="967"/>
      <c r="H86" s="967"/>
      <c r="I86" s="967"/>
      <c r="J86" s="967"/>
      <c r="K86" s="967"/>
      <c r="L86" s="967"/>
      <c r="M86" s="967"/>
      <c r="N86" s="967"/>
      <c r="O86" s="967">
        <v>0</v>
      </c>
      <c r="P86" s="967"/>
      <c r="Q86" s="967"/>
      <c r="R86" s="967">
        <v>1</v>
      </c>
      <c r="S86" s="967">
        <v>0</v>
      </c>
      <c r="T86" s="73">
        <v>0</v>
      </c>
      <c r="U86" s="73"/>
      <c r="V86" s="73">
        <v>1</v>
      </c>
      <c r="W86" s="73"/>
      <c r="Y86" s="73"/>
      <c r="Z86" s="73"/>
      <c r="AA86" s="73"/>
      <c r="AB86" s="73" t="s">
        <v>1288</v>
      </c>
      <c r="AC86" s="3261"/>
      <c r="AD86" s="3261">
        <v>0</v>
      </c>
      <c r="AE86" s="3261"/>
      <c r="AF86" s="3261">
        <v>0</v>
      </c>
      <c r="AG86" s="3261">
        <v>0</v>
      </c>
      <c r="AH86" s="3261"/>
      <c r="AI86" s="3261"/>
      <c r="AJ86" s="3261"/>
      <c r="AK86" s="3261"/>
      <c r="AL86" s="3261"/>
      <c r="AM86" s="3261"/>
      <c r="AN86" s="3261">
        <v>0</v>
      </c>
      <c r="AO86" s="3261">
        <v>4</v>
      </c>
      <c r="AP86" s="3261">
        <v>3</v>
      </c>
      <c r="AQ86" s="3261">
        <v>1</v>
      </c>
      <c r="AR86" s="161"/>
      <c r="AS86" s="161">
        <v>0</v>
      </c>
      <c r="AT86" s="161">
        <v>8</v>
      </c>
      <c r="AU86" s="73"/>
      <c r="AY86" s="73" t="s">
        <v>127</v>
      </c>
      <c r="AZ86" s="73" t="s">
        <v>1284</v>
      </c>
      <c r="BA86" s="2607"/>
      <c r="BB86" s="2607">
        <v>2</v>
      </c>
      <c r="BC86" s="2607"/>
      <c r="BD86" s="2607">
        <v>1</v>
      </c>
      <c r="BE86" s="2607"/>
      <c r="BF86" s="2607"/>
      <c r="BG86" s="2607"/>
      <c r="BH86" s="2607"/>
      <c r="BI86" s="2607">
        <v>1</v>
      </c>
      <c r="BJ86" s="2607"/>
      <c r="BK86" s="2607"/>
      <c r="BL86" s="2607"/>
      <c r="BM86" s="2607">
        <v>3</v>
      </c>
      <c r="BN86" s="2607">
        <v>2</v>
      </c>
      <c r="BO86" s="2607">
        <v>0</v>
      </c>
      <c r="BP86" s="73"/>
      <c r="BQ86" s="73"/>
      <c r="BR86" s="73">
        <v>9</v>
      </c>
      <c r="BS86" s="73"/>
      <c r="BU86" s="2207"/>
      <c r="BV86" s="2207"/>
      <c r="BW86" s="2207"/>
      <c r="BX86" s="2208" t="s">
        <v>1398</v>
      </c>
      <c r="BY86" s="2209"/>
      <c r="BZ86" s="2209"/>
      <c r="CA86" s="2209"/>
      <c r="CB86" s="2209"/>
      <c r="CC86" s="2209"/>
      <c r="CD86" s="2209"/>
      <c r="CE86" s="2209"/>
      <c r="CF86" s="2209"/>
      <c r="CG86" s="2209"/>
      <c r="CH86" s="2209"/>
      <c r="CI86" s="2210">
        <v>1</v>
      </c>
      <c r="CJ86" s="2210">
        <v>0</v>
      </c>
      <c r="CK86" s="2210">
        <v>0</v>
      </c>
      <c r="CL86" s="2212">
        <v>0</v>
      </c>
      <c r="CM86" s="2212">
        <v>0</v>
      </c>
      <c r="CN86" s="2212">
        <v>1</v>
      </c>
      <c r="CO86" s="73"/>
      <c r="CQ86" s="955"/>
      <c r="CR86" s="955"/>
      <c r="CS86" s="955"/>
      <c r="CT86" s="956" t="s">
        <v>1288</v>
      </c>
      <c r="CU86" s="957"/>
      <c r="CV86" s="958">
        <v>0</v>
      </c>
      <c r="CW86" s="958">
        <v>0</v>
      </c>
      <c r="CX86" s="958">
        <v>0</v>
      </c>
      <c r="CY86" s="957"/>
      <c r="CZ86" s="958">
        <v>0</v>
      </c>
      <c r="DA86" s="957"/>
      <c r="DB86" s="957"/>
      <c r="DC86" s="957"/>
      <c r="DD86" s="957"/>
      <c r="DE86" s="958">
        <v>0</v>
      </c>
      <c r="DF86" s="957"/>
      <c r="DG86" s="957"/>
      <c r="DH86" s="958">
        <v>8</v>
      </c>
      <c r="DI86" s="958">
        <v>0</v>
      </c>
      <c r="DJ86" s="959"/>
      <c r="DK86" s="959"/>
      <c r="DL86" s="960">
        <v>8</v>
      </c>
      <c r="DM86" s="161"/>
      <c r="DO86" s="788"/>
      <c r="DP86" s="788"/>
      <c r="DQ86" s="788"/>
      <c r="DR86" s="73"/>
      <c r="DS86" s="809" t="s">
        <v>15</v>
      </c>
      <c r="DT86" s="970"/>
      <c r="DU86" s="970"/>
      <c r="DV86" s="970"/>
      <c r="DW86" s="970"/>
      <c r="DX86" s="971">
        <v>1</v>
      </c>
      <c r="DY86" s="970"/>
      <c r="DZ86" s="971">
        <v>1</v>
      </c>
      <c r="EA86" s="970"/>
      <c r="EB86" s="970"/>
      <c r="EC86" s="971">
        <v>2</v>
      </c>
      <c r="ED86" s="971">
        <v>4</v>
      </c>
      <c r="EE86" s="971">
        <v>3</v>
      </c>
      <c r="EF86" s="971">
        <v>3</v>
      </c>
      <c r="EG86" s="971">
        <v>2</v>
      </c>
      <c r="EH86" s="971">
        <v>8</v>
      </c>
      <c r="EI86" s="972"/>
      <c r="EJ86" s="972"/>
      <c r="EK86" s="973">
        <v>24</v>
      </c>
      <c r="EL86" s="912">
        <f>+(EK85+EK82)/EK86</f>
        <v>0.58333333333333337</v>
      </c>
      <c r="EM86" s="73"/>
      <c r="EN86" s="73"/>
      <c r="EO86" s="73"/>
      <c r="EP86" s="73"/>
      <c r="EQ86" s="73"/>
      <c r="ER86" s="73"/>
      <c r="ES86" s="73"/>
      <c r="ET86" s="73"/>
      <c r="EU86" s="73"/>
      <c r="EV86" s="73"/>
      <c r="EW86" s="73"/>
      <c r="EX86" s="73"/>
      <c r="EY86" s="73"/>
      <c r="EZ86" s="73"/>
      <c r="FA86" s="73"/>
      <c r="FB86" s="73"/>
      <c r="FC86" s="73"/>
      <c r="FD86" s="73"/>
      <c r="FE86" s="73"/>
      <c r="FF86" s="73"/>
      <c r="FG86" s="73"/>
      <c r="FH86" s="73"/>
      <c r="FI86" s="161"/>
      <c r="FJ86" s="161"/>
      <c r="FK86" s="73" t="s">
        <v>338</v>
      </c>
      <c r="FL86" s="73" t="s">
        <v>1284</v>
      </c>
      <c r="FM86" s="161"/>
      <c r="FN86" s="161"/>
      <c r="FO86" s="161"/>
      <c r="FP86" s="161"/>
      <c r="FQ86" s="161"/>
      <c r="FR86" s="161"/>
      <c r="FS86" s="161"/>
      <c r="FT86" s="161"/>
      <c r="FU86" s="161">
        <v>1</v>
      </c>
      <c r="FV86" s="161">
        <v>1</v>
      </c>
      <c r="FW86" s="161"/>
      <c r="FX86" s="161"/>
      <c r="FY86" s="161"/>
      <c r="FZ86" s="161">
        <v>0</v>
      </c>
      <c r="GA86" s="161"/>
      <c r="GB86" s="161"/>
      <c r="GC86" s="161">
        <v>2</v>
      </c>
      <c r="GD86" s="73"/>
      <c r="GE86" s="73"/>
      <c r="GF86" s="968"/>
      <c r="GG86" s="968"/>
      <c r="GH86" s="968"/>
      <c r="GI86" s="968" t="s">
        <v>1292</v>
      </c>
      <c r="GJ86" s="968">
        <v>0</v>
      </c>
      <c r="GK86" s="968">
        <v>0</v>
      </c>
      <c r="GL86" s="968">
        <v>0</v>
      </c>
      <c r="GM86" s="968">
        <v>0</v>
      </c>
      <c r="GN86" s="968">
        <v>0</v>
      </c>
      <c r="GO86" s="968">
        <v>0</v>
      </c>
      <c r="GP86" s="968">
        <v>0</v>
      </c>
      <c r="GQ86" s="968">
        <v>1</v>
      </c>
      <c r="GR86" s="968">
        <v>0</v>
      </c>
      <c r="GS86" s="968">
        <v>0</v>
      </c>
      <c r="GT86" s="968">
        <v>0</v>
      </c>
      <c r="GU86" s="968">
        <v>0</v>
      </c>
      <c r="GV86" s="968">
        <v>0</v>
      </c>
      <c r="GW86" s="968">
        <v>2</v>
      </c>
      <c r="GX86" s="968">
        <v>0</v>
      </c>
      <c r="GY86" s="968">
        <v>2</v>
      </c>
      <c r="GZ86" s="968">
        <v>5</v>
      </c>
      <c r="HA86" s="968"/>
      <c r="HB86" s="969"/>
    </row>
    <row r="87" spans="1:210">
      <c r="A87" s="73"/>
      <c r="B87" s="73"/>
      <c r="C87" s="73"/>
      <c r="D87" s="73" t="s">
        <v>1288</v>
      </c>
      <c r="E87" s="967"/>
      <c r="F87" s="967"/>
      <c r="G87" s="967"/>
      <c r="H87" s="967"/>
      <c r="I87" s="967"/>
      <c r="J87" s="967"/>
      <c r="K87" s="967"/>
      <c r="L87" s="967"/>
      <c r="M87" s="967"/>
      <c r="N87" s="967"/>
      <c r="O87" s="967">
        <v>0</v>
      </c>
      <c r="P87" s="967"/>
      <c r="Q87" s="967"/>
      <c r="R87" s="967">
        <v>0</v>
      </c>
      <c r="S87" s="967">
        <v>0</v>
      </c>
      <c r="T87" s="73">
        <v>1</v>
      </c>
      <c r="U87" s="73"/>
      <c r="V87" s="73">
        <v>1</v>
      </c>
      <c r="W87" s="73"/>
      <c r="Y87" s="73"/>
      <c r="Z87" s="73"/>
      <c r="AA87" s="73"/>
      <c r="AB87" s="73" t="s">
        <v>1292</v>
      </c>
      <c r="AC87" s="3261"/>
      <c r="AD87" s="3261">
        <v>0</v>
      </c>
      <c r="AE87" s="3261"/>
      <c r="AF87" s="3261">
        <v>0</v>
      </c>
      <c r="AG87" s="3261">
        <v>0</v>
      </c>
      <c r="AH87" s="3261"/>
      <c r="AI87" s="3261"/>
      <c r="AJ87" s="3261"/>
      <c r="AK87" s="3261"/>
      <c r="AL87" s="3261"/>
      <c r="AM87" s="3261"/>
      <c r="AN87" s="3261">
        <v>0</v>
      </c>
      <c r="AO87" s="3261">
        <v>0</v>
      </c>
      <c r="AP87" s="3261">
        <v>0</v>
      </c>
      <c r="AQ87" s="3261">
        <v>7</v>
      </c>
      <c r="AR87" s="161"/>
      <c r="AS87" s="161">
        <v>1</v>
      </c>
      <c r="AT87" s="161">
        <v>8</v>
      </c>
      <c r="AU87" s="73"/>
      <c r="AY87" s="73"/>
      <c r="AZ87" s="73" t="s">
        <v>1288</v>
      </c>
      <c r="BA87" s="2607"/>
      <c r="BB87" s="2607">
        <v>0</v>
      </c>
      <c r="BC87" s="2607"/>
      <c r="BD87" s="2607">
        <v>0</v>
      </c>
      <c r="BE87" s="2607"/>
      <c r="BF87" s="2607"/>
      <c r="BG87" s="2607"/>
      <c r="BH87" s="2607"/>
      <c r="BI87" s="2607">
        <v>0</v>
      </c>
      <c r="BJ87" s="2607"/>
      <c r="BK87" s="2607"/>
      <c r="BL87" s="2607"/>
      <c r="BM87" s="2607">
        <v>5</v>
      </c>
      <c r="BN87" s="2607">
        <v>12</v>
      </c>
      <c r="BO87" s="2607">
        <v>0</v>
      </c>
      <c r="BP87" s="73"/>
      <c r="BQ87" s="73"/>
      <c r="BR87" s="73">
        <v>17</v>
      </c>
      <c r="BS87" s="73"/>
      <c r="BU87" s="2207"/>
      <c r="BV87" s="2207"/>
      <c r="BW87" s="2207"/>
      <c r="BX87" s="2204" t="s">
        <v>15</v>
      </c>
      <c r="BY87" s="2213"/>
      <c r="BZ87" s="2213"/>
      <c r="CA87" s="2213"/>
      <c r="CB87" s="2213"/>
      <c r="CC87" s="2213"/>
      <c r="CD87" s="2213"/>
      <c r="CE87" s="2213"/>
      <c r="CF87" s="2213"/>
      <c r="CG87" s="2213"/>
      <c r="CH87" s="2213"/>
      <c r="CI87" s="2214">
        <v>3</v>
      </c>
      <c r="CJ87" s="2214">
        <v>1</v>
      </c>
      <c r="CK87" s="2214">
        <v>3</v>
      </c>
      <c r="CL87" s="2216">
        <v>1</v>
      </c>
      <c r="CM87" s="2216">
        <v>7</v>
      </c>
      <c r="CN87" s="2216">
        <v>15</v>
      </c>
      <c r="CO87" s="2154">
        <f>+CN86/CN87</f>
        <v>6.6666666666666666E-2</v>
      </c>
      <c r="CQ87" s="955"/>
      <c r="CR87" s="955"/>
      <c r="CS87" s="955"/>
      <c r="CT87" s="956" t="s">
        <v>1289</v>
      </c>
      <c r="CU87" s="957"/>
      <c r="CV87" s="958">
        <v>0</v>
      </c>
      <c r="CW87" s="958">
        <v>1</v>
      </c>
      <c r="CX87" s="958">
        <v>0</v>
      </c>
      <c r="CY87" s="957"/>
      <c r="CZ87" s="958">
        <v>0</v>
      </c>
      <c r="DA87" s="957"/>
      <c r="DB87" s="957"/>
      <c r="DC87" s="957"/>
      <c r="DD87" s="957"/>
      <c r="DE87" s="958">
        <v>0</v>
      </c>
      <c r="DF87" s="957"/>
      <c r="DG87" s="957"/>
      <c r="DH87" s="958">
        <v>0</v>
      </c>
      <c r="DI87" s="958">
        <v>0</v>
      </c>
      <c r="DJ87" s="959"/>
      <c r="DK87" s="959"/>
      <c r="DL87" s="960">
        <v>1</v>
      </c>
      <c r="DM87" s="161"/>
      <c r="DO87" s="788"/>
      <c r="DP87" s="788"/>
      <c r="DQ87" s="788" t="s">
        <v>128</v>
      </c>
      <c r="DR87" s="788" t="s">
        <v>1282</v>
      </c>
      <c r="DS87" s="789" t="s">
        <v>1284</v>
      </c>
      <c r="DT87" s="961"/>
      <c r="DU87" s="961"/>
      <c r="DV87" s="962">
        <v>0</v>
      </c>
      <c r="DW87" s="961"/>
      <c r="DX87" s="961"/>
      <c r="DY87" s="961"/>
      <c r="DZ87" s="961"/>
      <c r="EA87" s="961"/>
      <c r="EB87" s="961"/>
      <c r="EC87" s="961"/>
      <c r="ED87" s="961"/>
      <c r="EE87" s="961"/>
      <c r="EF87" s="962">
        <v>0</v>
      </c>
      <c r="EG87" s="962">
        <v>1</v>
      </c>
      <c r="EH87" s="961"/>
      <c r="EI87" s="964">
        <v>0</v>
      </c>
      <c r="EJ87" s="963"/>
      <c r="EK87" s="964">
        <v>1</v>
      </c>
      <c r="EL87" s="912"/>
      <c r="EM87" s="73"/>
      <c r="EN87" s="73"/>
      <c r="EO87" s="73"/>
      <c r="EP87" s="73"/>
      <c r="EQ87" s="73"/>
      <c r="ER87" s="73"/>
      <c r="ES87" s="73"/>
      <c r="ET87" s="73"/>
      <c r="EU87" s="73"/>
      <c r="EV87" s="73"/>
      <c r="EW87" s="73"/>
      <c r="EX87" s="73"/>
      <c r="EY87" s="73"/>
      <c r="EZ87" s="73"/>
      <c r="FA87" s="73"/>
      <c r="FB87" s="73"/>
      <c r="FC87" s="73"/>
      <c r="FD87" s="73"/>
      <c r="FE87" s="73"/>
      <c r="FF87" s="73"/>
      <c r="FG87" s="73"/>
      <c r="FH87" s="73"/>
      <c r="FI87" s="161"/>
      <c r="FJ87" s="161"/>
      <c r="FK87" s="73"/>
      <c r="FL87" s="73" t="s">
        <v>1292</v>
      </c>
      <c r="FM87" s="161"/>
      <c r="FN87" s="161"/>
      <c r="FO87" s="161"/>
      <c r="FP87" s="161"/>
      <c r="FQ87" s="161"/>
      <c r="FR87" s="161"/>
      <c r="FS87" s="161"/>
      <c r="FT87" s="161"/>
      <c r="FU87" s="161">
        <v>0</v>
      </c>
      <c r="FV87" s="161">
        <v>0</v>
      </c>
      <c r="FW87" s="161"/>
      <c r="FX87" s="161"/>
      <c r="FY87" s="161"/>
      <c r="FZ87" s="161">
        <v>3</v>
      </c>
      <c r="GA87" s="161"/>
      <c r="GB87" s="161"/>
      <c r="GC87" s="161">
        <v>3</v>
      </c>
      <c r="GD87" s="73"/>
      <c r="GE87" s="73"/>
      <c r="GF87" s="968"/>
      <c r="GG87" s="968"/>
      <c r="GH87" s="968"/>
      <c r="GI87" s="979" t="s">
        <v>15</v>
      </c>
      <c r="GJ87" s="979">
        <v>0</v>
      </c>
      <c r="GK87" s="979">
        <v>0</v>
      </c>
      <c r="GL87" s="979">
        <v>1</v>
      </c>
      <c r="GM87" s="979">
        <v>0</v>
      </c>
      <c r="GN87" s="979">
        <v>0</v>
      </c>
      <c r="GO87" s="979">
        <v>1</v>
      </c>
      <c r="GP87" s="979">
        <v>0</v>
      </c>
      <c r="GQ87" s="979">
        <v>1</v>
      </c>
      <c r="GR87" s="979">
        <v>2</v>
      </c>
      <c r="GS87" s="979">
        <v>0</v>
      </c>
      <c r="GT87" s="979">
        <v>0</v>
      </c>
      <c r="GU87" s="979">
        <v>0</v>
      </c>
      <c r="GV87" s="979">
        <v>0</v>
      </c>
      <c r="GW87" s="979">
        <v>2</v>
      </c>
      <c r="GX87" s="979">
        <v>0</v>
      </c>
      <c r="GY87" s="979">
        <v>2</v>
      </c>
      <c r="GZ87" s="979">
        <v>9</v>
      </c>
      <c r="HA87" s="980">
        <f>0/GZ87</f>
        <v>0</v>
      </c>
      <c r="HB87" s="969">
        <v>0</v>
      </c>
    </row>
    <row r="88" spans="1:210">
      <c r="A88" s="73"/>
      <c r="B88" s="73"/>
      <c r="C88" s="73"/>
      <c r="D88" s="73" t="s">
        <v>1292</v>
      </c>
      <c r="E88" s="967"/>
      <c r="F88" s="967"/>
      <c r="G88" s="967"/>
      <c r="H88" s="967"/>
      <c r="I88" s="967"/>
      <c r="J88" s="967"/>
      <c r="K88" s="967"/>
      <c r="L88" s="967"/>
      <c r="M88" s="967"/>
      <c r="N88" s="967"/>
      <c r="O88" s="967">
        <v>0</v>
      </c>
      <c r="P88" s="967"/>
      <c r="Q88" s="967"/>
      <c r="R88" s="967">
        <v>0</v>
      </c>
      <c r="S88" s="967">
        <v>3</v>
      </c>
      <c r="T88" s="73">
        <v>1</v>
      </c>
      <c r="U88" s="73"/>
      <c r="V88" s="73">
        <v>4</v>
      </c>
      <c r="W88" s="73"/>
      <c r="Y88" s="73"/>
      <c r="Z88" s="73"/>
      <c r="AA88" s="73"/>
      <c r="AB88" s="73" t="s">
        <v>1398</v>
      </c>
      <c r="AC88" s="3261"/>
      <c r="AD88" s="3261">
        <v>0</v>
      </c>
      <c r="AE88" s="3261"/>
      <c r="AF88" s="3261">
        <v>0</v>
      </c>
      <c r="AG88" s="3261">
        <v>0</v>
      </c>
      <c r="AH88" s="3261"/>
      <c r="AI88" s="3261"/>
      <c r="AJ88" s="3261"/>
      <c r="AK88" s="3261"/>
      <c r="AL88" s="3261"/>
      <c r="AM88" s="3261"/>
      <c r="AN88" s="3261">
        <v>1</v>
      </c>
      <c r="AO88" s="3261">
        <v>3</v>
      </c>
      <c r="AP88" s="3261">
        <v>0</v>
      </c>
      <c r="AQ88" s="3261">
        <v>0</v>
      </c>
      <c r="AR88" s="161"/>
      <c r="AS88" s="161">
        <v>0</v>
      </c>
      <c r="AT88" s="161">
        <v>4</v>
      </c>
      <c r="AU88" s="73"/>
      <c r="AY88" s="73"/>
      <c r="AZ88" s="73" t="s">
        <v>1292</v>
      </c>
      <c r="BA88" s="2607"/>
      <c r="BB88" s="2607">
        <v>0</v>
      </c>
      <c r="BC88" s="2607"/>
      <c r="BD88" s="2607">
        <v>0</v>
      </c>
      <c r="BE88" s="2607"/>
      <c r="BF88" s="2607"/>
      <c r="BG88" s="2607"/>
      <c r="BH88" s="2607"/>
      <c r="BI88" s="2607">
        <v>0</v>
      </c>
      <c r="BJ88" s="2607"/>
      <c r="BK88" s="2607"/>
      <c r="BL88" s="2607"/>
      <c r="BM88" s="2607">
        <v>0</v>
      </c>
      <c r="BN88" s="2607">
        <v>0</v>
      </c>
      <c r="BO88" s="2607">
        <v>3</v>
      </c>
      <c r="BP88" s="73"/>
      <c r="BQ88" s="73"/>
      <c r="BR88" s="73">
        <v>3</v>
      </c>
      <c r="BS88" s="73"/>
      <c r="BU88" s="2207"/>
      <c r="BV88" s="2207"/>
      <c r="BW88" s="2207" t="s">
        <v>573</v>
      </c>
      <c r="BX88" s="2208" t="s">
        <v>1284</v>
      </c>
      <c r="BY88" s="2209"/>
      <c r="BZ88" s="2210">
        <v>1</v>
      </c>
      <c r="CA88" s="2210">
        <v>0</v>
      </c>
      <c r="CB88" s="2209"/>
      <c r="CC88" s="2210">
        <v>0</v>
      </c>
      <c r="CD88" s="2209"/>
      <c r="CE88" s="2210">
        <v>0</v>
      </c>
      <c r="CF88" s="2210">
        <v>1</v>
      </c>
      <c r="CG88" s="2210">
        <v>2</v>
      </c>
      <c r="CH88" s="2210">
        <v>1</v>
      </c>
      <c r="CI88" s="2210">
        <v>3</v>
      </c>
      <c r="CJ88" s="2210">
        <v>4</v>
      </c>
      <c r="CK88" s="2210">
        <v>4</v>
      </c>
      <c r="CL88" s="2212">
        <v>1</v>
      </c>
      <c r="CM88" s="2212">
        <v>0</v>
      </c>
      <c r="CN88" s="2212">
        <v>17</v>
      </c>
      <c r="CO88" s="73"/>
      <c r="CQ88" s="955"/>
      <c r="CR88" s="955"/>
      <c r="CS88" s="955"/>
      <c r="CT88" s="956" t="s">
        <v>1292</v>
      </c>
      <c r="CU88" s="957"/>
      <c r="CV88" s="958">
        <v>0</v>
      </c>
      <c r="CW88" s="958">
        <v>0</v>
      </c>
      <c r="CX88" s="958">
        <v>0</v>
      </c>
      <c r="CY88" s="957"/>
      <c r="CZ88" s="958">
        <v>0</v>
      </c>
      <c r="DA88" s="957"/>
      <c r="DB88" s="957"/>
      <c r="DC88" s="957"/>
      <c r="DD88" s="957"/>
      <c r="DE88" s="958">
        <v>0</v>
      </c>
      <c r="DF88" s="957"/>
      <c r="DG88" s="957"/>
      <c r="DH88" s="958">
        <v>0</v>
      </c>
      <c r="DI88" s="958">
        <v>5</v>
      </c>
      <c r="DJ88" s="959"/>
      <c r="DK88" s="959"/>
      <c r="DL88" s="960">
        <v>5</v>
      </c>
      <c r="DM88" s="161"/>
      <c r="DO88" s="788"/>
      <c r="DP88" s="788"/>
      <c r="DQ88" s="788"/>
      <c r="DR88" s="788"/>
      <c r="DS88" s="789" t="s">
        <v>1288</v>
      </c>
      <c r="DT88" s="961"/>
      <c r="DU88" s="961"/>
      <c r="DV88" s="962">
        <v>0</v>
      </c>
      <c r="DW88" s="961"/>
      <c r="DX88" s="961"/>
      <c r="DY88" s="961"/>
      <c r="DZ88" s="961"/>
      <c r="EA88" s="961"/>
      <c r="EB88" s="961"/>
      <c r="EC88" s="961"/>
      <c r="ED88" s="961"/>
      <c r="EE88" s="961"/>
      <c r="EF88" s="962">
        <v>3</v>
      </c>
      <c r="EG88" s="962">
        <v>1</v>
      </c>
      <c r="EH88" s="961"/>
      <c r="EI88" s="964">
        <v>1</v>
      </c>
      <c r="EJ88" s="963"/>
      <c r="EK88" s="964">
        <v>5</v>
      </c>
      <c r="EL88" s="912"/>
      <c r="EM88" s="73"/>
      <c r="EN88" s="73"/>
      <c r="EO88" s="73"/>
      <c r="EP88" s="73"/>
      <c r="EQ88" s="73"/>
      <c r="ER88" s="73"/>
      <c r="ES88" s="73"/>
      <c r="ET88" s="73"/>
      <c r="EU88" s="73"/>
      <c r="EV88" s="73"/>
      <c r="EW88" s="73"/>
      <c r="EX88" s="73"/>
      <c r="EY88" s="73"/>
      <c r="EZ88" s="73"/>
      <c r="FA88" s="73"/>
      <c r="FB88" s="73"/>
      <c r="FC88" s="73"/>
      <c r="FD88" s="73"/>
      <c r="FE88" s="73"/>
      <c r="FF88" s="73"/>
      <c r="FG88" s="73"/>
      <c r="FH88" s="73"/>
      <c r="FI88" s="161"/>
      <c r="FJ88" s="161"/>
      <c r="FK88" s="73"/>
      <c r="FL88" s="738" t="s">
        <v>15</v>
      </c>
      <c r="FM88" s="151"/>
      <c r="FN88" s="151"/>
      <c r="FO88" s="151"/>
      <c r="FP88" s="151"/>
      <c r="FQ88" s="151"/>
      <c r="FR88" s="151"/>
      <c r="FS88" s="151"/>
      <c r="FT88" s="151"/>
      <c r="FU88" s="151">
        <v>1</v>
      </c>
      <c r="FV88" s="151">
        <v>1</v>
      </c>
      <c r="FW88" s="151"/>
      <c r="FX88" s="151"/>
      <c r="FY88" s="151"/>
      <c r="FZ88" s="151">
        <v>3</v>
      </c>
      <c r="GA88" s="151"/>
      <c r="GB88" s="151"/>
      <c r="GC88" s="151">
        <v>5</v>
      </c>
      <c r="GD88" s="984">
        <v>0</v>
      </c>
      <c r="GE88" s="73"/>
      <c r="GF88" s="968"/>
      <c r="GG88" s="968" t="s">
        <v>105</v>
      </c>
      <c r="GH88" s="968" t="s">
        <v>147</v>
      </c>
      <c r="GI88" s="968" t="s">
        <v>1284</v>
      </c>
      <c r="GJ88" s="968">
        <v>0</v>
      </c>
      <c r="GK88" s="968">
        <v>0</v>
      </c>
      <c r="GL88" s="968">
        <v>0</v>
      </c>
      <c r="GM88" s="968">
        <v>2</v>
      </c>
      <c r="GN88" s="968">
        <v>0</v>
      </c>
      <c r="GO88" s="968">
        <v>0</v>
      </c>
      <c r="GP88" s="968">
        <v>0</v>
      </c>
      <c r="GQ88" s="968">
        <v>0</v>
      </c>
      <c r="GR88" s="968">
        <v>1</v>
      </c>
      <c r="GS88" s="968">
        <v>2</v>
      </c>
      <c r="GT88" s="968">
        <v>0</v>
      </c>
      <c r="GU88" s="968">
        <v>2</v>
      </c>
      <c r="GV88" s="968">
        <v>2</v>
      </c>
      <c r="GW88" s="968">
        <v>0</v>
      </c>
      <c r="GX88" s="968">
        <v>0</v>
      </c>
      <c r="GY88" s="968">
        <v>0</v>
      </c>
      <c r="GZ88" s="968">
        <v>9</v>
      </c>
      <c r="HA88" s="968"/>
      <c r="HB88" s="969"/>
    </row>
    <row r="89" spans="1:210">
      <c r="A89" s="73"/>
      <c r="B89" s="73"/>
      <c r="C89" s="73"/>
      <c r="D89" s="73" t="s">
        <v>1398</v>
      </c>
      <c r="E89" s="967"/>
      <c r="F89" s="967"/>
      <c r="G89" s="967"/>
      <c r="H89" s="967"/>
      <c r="I89" s="967"/>
      <c r="J89" s="967"/>
      <c r="K89" s="967"/>
      <c r="L89" s="967"/>
      <c r="M89" s="967"/>
      <c r="N89" s="967"/>
      <c r="O89" s="967">
        <v>1</v>
      </c>
      <c r="P89" s="967"/>
      <c r="Q89" s="967"/>
      <c r="R89" s="967">
        <v>0</v>
      </c>
      <c r="S89" s="967">
        <v>0</v>
      </c>
      <c r="T89" s="73">
        <v>0</v>
      </c>
      <c r="U89" s="73"/>
      <c r="V89" s="73">
        <v>1</v>
      </c>
      <c r="W89" s="73"/>
      <c r="Y89" s="73"/>
      <c r="Z89" s="73"/>
      <c r="AA89" s="73"/>
      <c r="AB89" s="738" t="s">
        <v>573</v>
      </c>
      <c r="AC89" s="3262"/>
      <c r="AD89" s="3262">
        <v>2</v>
      </c>
      <c r="AE89" s="3262"/>
      <c r="AF89" s="3262">
        <v>1</v>
      </c>
      <c r="AG89" s="3262">
        <v>1</v>
      </c>
      <c r="AH89" s="3262"/>
      <c r="AI89" s="3262"/>
      <c r="AJ89" s="3262"/>
      <c r="AK89" s="3262"/>
      <c r="AL89" s="3262"/>
      <c r="AM89" s="3262"/>
      <c r="AN89" s="3262">
        <v>2</v>
      </c>
      <c r="AO89" s="3262">
        <v>14</v>
      </c>
      <c r="AP89" s="3262">
        <v>7</v>
      </c>
      <c r="AQ89" s="3262">
        <v>8</v>
      </c>
      <c r="AR89" s="151"/>
      <c r="AS89" s="151">
        <v>1</v>
      </c>
      <c r="AT89" s="151">
        <v>36</v>
      </c>
      <c r="AU89" s="912">
        <f>+(AT86+AT88)/AT89</f>
        <v>0.33333333333333331</v>
      </c>
      <c r="AY89" s="73"/>
      <c r="AZ89" s="73" t="s">
        <v>1398</v>
      </c>
      <c r="BA89" s="2607"/>
      <c r="BB89" s="2607">
        <v>0</v>
      </c>
      <c r="BC89" s="2607"/>
      <c r="BD89" s="2607">
        <v>0</v>
      </c>
      <c r="BE89" s="2607"/>
      <c r="BF89" s="2607"/>
      <c r="BG89" s="2607"/>
      <c r="BH89" s="2607"/>
      <c r="BI89" s="2607">
        <v>0</v>
      </c>
      <c r="BJ89" s="2607"/>
      <c r="BK89" s="2607"/>
      <c r="BL89" s="2607"/>
      <c r="BM89" s="2607">
        <v>1</v>
      </c>
      <c r="BN89" s="2607">
        <v>0</v>
      </c>
      <c r="BO89" s="2607">
        <v>0</v>
      </c>
      <c r="BP89" s="73"/>
      <c r="BQ89" s="73"/>
      <c r="BR89" s="73">
        <v>1</v>
      </c>
      <c r="BS89" s="73"/>
      <c r="BU89" s="2207"/>
      <c r="BV89" s="2207"/>
      <c r="BW89" s="2207"/>
      <c r="BX89" s="2208" t="s">
        <v>1286</v>
      </c>
      <c r="BY89" s="2209"/>
      <c r="BZ89" s="2210">
        <v>1</v>
      </c>
      <c r="CA89" s="2210">
        <v>0</v>
      </c>
      <c r="CB89" s="2209"/>
      <c r="CC89" s="2210">
        <v>0</v>
      </c>
      <c r="CD89" s="2209"/>
      <c r="CE89" s="2210">
        <v>0</v>
      </c>
      <c r="CF89" s="2210">
        <v>0</v>
      </c>
      <c r="CG89" s="2210">
        <v>0</v>
      </c>
      <c r="CH89" s="2210">
        <v>0</v>
      </c>
      <c r="CI89" s="2210">
        <v>0</v>
      </c>
      <c r="CJ89" s="2210">
        <v>0</v>
      </c>
      <c r="CK89" s="2210">
        <v>0</v>
      </c>
      <c r="CL89" s="2212">
        <v>0</v>
      </c>
      <c r="CM89" s="2212">
        <v>0</v>
      </c>
      <c r="CN89" s="2212">
        <v>1</v>
      </c>
      <c r="CO89" s="73"/>
      <c r="CQ89" s="955"/>
      <c r="CR89" s="955"/>
      <c r="CS89" s="955"/>
      <c r="CT89" s="956" t="s">
        <v>1398</v>
      </c>
      <c r="CU89" s="957"/>
      <c r="CV89" s="958">
        <v>0</v>
      </c>
      <c r="CW89" s="958">
        <v>0</v>
      </c>
      <c r="CX89" s="958">
        <v>0</v>
      </c>
      <c r="CY89" s="957"/>
      <c r="CZ89" s="958">
        <v>0</v>
      </c>
      <c r="DA89" s="957"/>
      <c r="DB89" s="957"/>
      <c r="DC89" s="957"/>
      <c r="DD89" s="957"/>
      <c r="DE89" s="958">
        <v>1</v>
      </c>
      <c r="DF89" s="957"/>
      <c r="DG89" s="957"/>
      <c r="DH89" s="958">
        <v>1</v>
      </c>
      <c r="DI89" s="958">
        <v>0</v>
      </c>
      <c r="DJ89" s="959"/>
      <c r="DK89" s="959"/>
      <c r="DL89" s="960">
        <v>2</v>
      </c>
      <c r="DM89" s="161"/>
      <c r="DO89" s="788"/>
      <c r="DP89" s="788"/>
      <c r="DQ89" s="788"/>
      <c r="DR89" s="788"/>
      <c r="DS89" s="789" t="s">
        <v>1289</v>
      </c>
      <c r="DT89" s="961"/>
      <c r="DU89" s="961"/>
      <c r="DV89" s="962">
        <v>1</v>
      </c>
      <c r="DW89" s="961"/>
      <c r="DX89" s="961"/>
      <c r="DY89" s="961"/>
      <c r="DZ89" s="961"/>
      <c r="EA89" s="961"/>
      <c r="EB89" s="961"/>
      <c r="EC89" s="961"/>
      <c r="ED89" s="961"/>
      <c r="EE89" s="961"/>
      <c r="EF89" s="962">
        <v>0</v>
      </c>
      <c r="EG89" s="962">
        <v>0</v>
      </c>
      <c r="EH89" s="961"/>
      <c r="EI89" s="964">
        <v>0</v>
      </c>
      <c r="EJ89" s="963"/>
      <c r="EK89" s="964">
        <v>1</v>
      </c>
      <c r="EL89" s="912"/>
      <c r="EM89" s="73"/>
      <c r="EN89" s="965" t="s">
        <v>48</v>
      </c>
      <c r="EO89" s="965" t="s">
        <v>16</v>
      </c>
      <c r="EP89" s="965" t="s">
        <v>145</v>
      </c>
      <c r="EQ89" s="734" t="s">
        <v>1284</v>
      </c>
      <c r="ER89" s="966"/>
      <c r="ES89" s="966"/>
      <c r="ET89" s="966"/>
      <c r="EU89" s="966"/>
      <c r="EV89" s="966"/>
      <c r="EW89" s="966"/>
      <c r="EX89" s="735">
        <v>4</v>
      </c>
      <c r="EY89" s="735">
        <v>5</v>
      </c>
      <c r="EZ89" s="735">
        <v>3</v>
      </c>
      <c r="FA89" s="966"/>
      <c r="FB89" s="966"/>
      <c r="FC89" s="966"/>
      <c r="FD89" s="966"/>
      <c r="FE89" s="735">
        <v>12</v>
      </c>
      <c r="FF89" s="967"/>
      <c r="FG89" s="73"/>
      <c r="FH89" s="73"/>
      <c r="FI89" s="161" t="s">
        <v>48</v>
      </c>
      <c r="FJ89" s="161" t="s">
        <v>16</v>
      </c>
      <c r="FK89" s="73" t="s">
        <v>145</v>
      </c>
      <c r="FL89" s="73" t="s">
        <v>1284</v>
      </c>
      <c r="FM89" s="161"/>
      <c r="FN89" s="161">
        <v>1</v>
      </c>
      <c r="FO89" s="161">
        <v>2</v>
      </c>
      <c r="FP89" s="161">
        <v>1</v>
      </c>
      <c r="FQ89" s="161">
        <v>1</v>
      </c>
      <c r="FR89" s="161"/>
      <c r="FS89" s="161"/>
      <c r="FT89" s="161"/>
      <c r="FU89" s="161">
        <v>11</v>
      </c>
      <c r="FV89" s="161">
        <v>4</v>
      </c>
      <c r="FW89" s="161">
        <v>8</v>
      </c>
      <c r="FX89" s="161">
        <v>10</v>
      </c>
      <c r="FY89" s="161">
        <v>3</v>
      </c>
      <c r="FZ89" s="161">
        <v>0</v>
      </c>
      <c r="GA89" s="161">
        <v>1</v>
      </c>
      <c r="GB89" s="161">
        <v>0</v>
      </c>
      <c r="GC89" s="161">
        <v>42</v>
      </c>
      <c r="GD89" s="73"/>
      <c r="GE89" s="73"/>
      <c r="GF89" s="968"/>
      <c r="GG89" s="968"/>
      <c r="GH89" s="968"/>
      <c r="GI89" s="968" t="s">
        <v>1288</v>
      </c>
      <c r="GJ89" s="968">
        <v>0</v>
      </c>
      <c r="GK89" s="968">
        <v>0</v>
      </c>
      <c r="GL89" s="968">
        <v>0</v>
      </c>
      <c r="GM89" s="968">
        <v>0</v>
      </c>
      <c r="GN89" s="968">
        <v>0</v>
      </c>
      <c r="GO89" s="968">
        <v>0</v>
      </c>
      <c r="GP89" s="968">
        <v>0</v>
      </c>
      <c r="GQ89" s="968">
        <v>0</v>
      </c>
      <c r="GR89" s="968">
        <v>0</v>
      </c>
      <c r="GS89" s="968">
        <v>0</v>
      </c>
      <c r="GT89" s="968">
        <v>0</v>
      </c>
      <c r="GU89" s="968">
        <v>1</v>
      </c>
      <c r="GV89" s="968">
        <v>0</v>
      </c>
      <c r="GW89" s="968">
        <v>0</v>
      </c>
      <c r="GX89" s="968">
        <v>1</v>
      </c>
      <c r="GY89" s="968">
        <v>0</v>
      </c>
      <c r="GZ89" s="968">
        <v>2</v>
      </c>
      <c r="HA89" s="968"/>
      <c r="HB89" s="969"/>
    </row>
    <row r="90" spans="1:210">
      <c r="A90" s="73"/>
      <c r="B90" s="73"/>
      <c r="C90" s="73"/>
      <c r="D90" s="738" t="s">
        <v>15</v>
      </c>
      <c r="E90" s="4694"/>
      <c r="F90" s="4694"/>
      <c r="G90" s="4694"/>
      <c r="H90" s="4694"/>
      <c r="I90" s="4694"/>
      <c r="J90" s="4694"/>
      <c r="K90" s="4694"/>
      <c r="L90" s="4694"/>
      <c r="M90" s="4694"/>
      <c r="N90" s="4694"/>
      <c r="O90" s="4694">
        <v>1</v>
      </c>
      <c r="P90" s="4694"/>
      <c r="Q90" s="4694"/>
      <c r="R90" s="4694">
        <v>1</v>
      </c>
      <c r="S90" s="4694">
        <v>3</v>
      </c>
      <c r="T90" s="738">
        <v>2</v>
      </c>
      <c r="U90" s="738"/>
      <c r="V90" s="738">
        <v>7</v>
      </c>
      <c r="W90" s="912">
        <f>+(V89+V87-T87)/V90</f>
        <v>0.14285714285714285</v>
      </c>
      <c r="X90" s="3197"/>
      <c r="Y90" s="73"/>
      <c r="Z90" s="73" t="s">
        <v>41</v>
      </c>
      <c r="AA90" s="73" t="s">
        <v>130</v>
      </c>
      <c r="AB90" s="73" t="s">
        <v>1284</v>
      </c>
      <c r="AC90" s="3261">
        <v>1</v>
      </c>
      <c r="AD90" s="3261"/>
      <c r="AE90" s="3261">
        <v>1</v>
      </c>
      <c r="AF90" s="3261"/>
      <c r="AG90" s="3261"/>
      <c r="AH90" s="3261"/>
      <c r="AI90" s="3261">
        <v>1</v>
      </c>
      <c r="AJ90" s="3261"/>
      <c r="AK90" s="3261"/>
      <c r="AL90" s="3261"/>
      <c r="AM90" s="3261"/>
      <c r="AN90" s="3261"/>
      <c r="AO90" s="3261">
        <v>1</v>
      </c>
      <c r="AP90" s="3261">
        <v>2</v>
      </c>
      <c r="AQ90" s="3261">
        <v>1</v>
      </c>
      <c r="AR90" s="161"/>
      <c r="AS90" s="161">
        <v>0</v>
      </c>
      <c r="AT90" s="161">
        <v>7</v>
      </c>
      <c r="AU90" s="73"/>
      <c r="AY90" s="73"/>
      <c r="AZ90" s="738" t="s">
        <v>15</v>
      </c>
      <c r="BA90" s="2608"/>
      <c r="BB90" s="2608">
        <v>2</v>
      </c>
      <c r="BC90" s="2608"/>
      <c r="BD90" s="2608">
        <v>1</v>
      </c>
      <c r="BE90" s="2608"/>
      <c r="BF90" s="2608"/>
      <c r="BG90" s="2608"/>
      <c r="BH90" s="2608"/>
      <c r="BI90" s="2608">
        <v>1</v>
      </c>
      <c r="BJ90" s="2608"/>
      <c r="BK90" s="2608"/>
      <c r="BL90" s="2608"/>
      <c r="BM90" s="2608">
        <v>9</v>
      </c>
      <c r="BN90" s="2608">
        <v>14</v>
      </c>
      <c r="BO90" s="2608">
        <v>3</v>
      </c>
      <c r="BP90" s="738"/>
      <c r="BQ90" s="738"/>
      <c r="BR90" s="738">
        <v>30</v>
      </c>
      <c r="BS90" s="912">
        <f>+(BR87+BR89)/BR90</f>
        <v>0.6</v>
      </c>
      <c r="BU90" s="2207"/>
      <c r="BV90" s="2207"/>
      <c r="BW90" s="2207"/>
      <c r="BX90" s="2208" t="s">
        <v>1288</v>
      </c>
      <c r="BY90" s="2209"/>
      <c r="BZ90" s="2210">
        <v>0</v>
      </c>
      <c r="CA90" s="2210">
        <v>0</v>
      </c>
      <c r="CB90" s="2209"/>
      <c r="CC90" s="2210">
        <v>0</v>
      </c>
      <c r="CD90" s="2209"/>
      <c r="CE90" s="2210">
        <v>2</v>
      </c>
      <c r="CF90" s="2210">
        <v>4</v>
      </c>
      <c r="CG90" s="2210">
        <v>4</v>
      </c>
      <c r="CH90" s="2210">
        <v>1</v>
      </c>
      <c r="CI90" s="2210">
        <v>8</v>
      </c>
      <c r="CJ90" s="2210">
        <v>2</v>
      </c>
      <c r="CK90" s="2210">
        <v>0</v>
      </c>
      <c r="CL90" s="2212">
        <v>0</v>
      </c>
      <c r="CM90" s="2212">
        <v>0</v>
      </c>
      <c r="CN90" s="2212">
        <v>21</v>
      </c>
      <c r="CO90" s="73"/>
      <c r="CQ90" s="955"/>
      <c r="CR90" s="955"/>
      <c r="CS90" s="955"/>
      <c r="CT90" s="974" t="s">
        <v>15</v>
      </c>
      <c r="CU90" s="975"/>
      <c r="CV90" s="976">
        <v>2</v>
      </c>
      <c r="CW90" s="976">
        <v>3</v>
      </c>
      <c r="CX90" s="976">
        <v>1</v>
      </c>
      <c r="CY90" s="975"/>
      <c r="CZ90" s="976">
        <v>1</v>
      </c>
      <c r="DA90" s="975"/>
      <c r="DB90" s="975"/>
      <c r="DC90" s="975"/>
      <c r="DD90" s="975"/>
      <c r="DE90" s="976">
        <v>1</v>
      </c>
      <c r="DF90" s="975"/>
      <c r="DG90" s="975"/>
      <c r="DH90" s="976">
        <v>9</v>
      </c>
      <c r="DI90" s="976">
        <v>5</v>
      </c>
      <c r="DJ90" s="977"/>
      <c r="DK90" s="977"/>
      <c r="DL90" s="978">
        <v>22</v>
      </c>
      <c r="DM90" s="912">
        <f>+(DL86+DL89)/DL90</f>
        <v>0.45454545454545453</v>
      </c>
      <c r="DO90" s="788"/>
      <c r="DP90" s="788"/>
      <c r="DQ90" s="788"/>
      <c r="DR90" s="73"/>
      <c r="DS90" s="809" t="s">
        <v>15</v>
      </c>
      <c r="DT90" s="970"/>
      <c r="DU90" s="970"/>
      <c r="DV90" s="971">
        <v>1</v>
      </c>
      <c r="DW90" s="970"/>
      <c r="DX90" s="970"/>
      <c r="DY90" s="970"/>
      <c r="DZ90" s="970"/>
      <c r="EA90" s="970"/>
      <c r="EB90" s="970"/>
      <c r="EC90" s="970"/>
      <c r="ED90" s="970"/>
      <c r="EE90" s="970"/>
      <c r="EF90" s="971">
        <v>3</v>
      </c>
      <c r="EG90" s="971">
        <v>2</v>
      </c>
      <c r="EH90" s="970"/>
      <c r="EI90" s="973">
        <v>1</v>
      </c>
      <c r="EJ90" s="972"/>
      <c r="EK90" s="973">
        <v>7</v>
      </c>
      <c r="EL90" s="912">
        <f>+EK88/EK90</f>
        <v>0.7142857142857143</v>
      </c>
      <c r="EM90" s="73"/>
      <c r="EN90" s="965"/>
      <c r="EO90" s="965"/>
      <c r="EP90" s="965"/>
      <c r="EQ90" s="734" t="s">
        <v>1398</v>
      </c>
      <c r="ER90" s="966"/>
      <c r="ES90" s="966"/>
      <c r="ET90" s="966"/>
      <c r="EU90" s="966"/>
      <c r="EV90" s="966"/>
      <c r="EW90" s="966"/>
      <c r="EX90" s="735">
        <v>0</v>
      </c>
      <c r="EY90" s="735">
        <v>1</v>
      </c>
      <c r="EZ90" s="735">
        <v>0</v>
      </c>
      <c r="FA90" s="966"/>
      <c r="FB90" s="966"/>
      <c r="FC90" s="966"/>
      <c r="FD90" s="966"/>
      <c r="FE90" s="735">
        <v>1</v>
      </c>
      <c r="FF90" s="967"/>
      <c r="FG90" s="73"/>
      <c r="FH90" s="73"/>
      <c r="FI90" s="161"/>
      <c r="FJ90" s="161"/>
      <c r="FK90" s="73"/>
      <c r="FL90" s="73" t="s">
        <v>1288</v>
      </c>
      <c r="FM90" s="161"/>
      <c r="FN90" s="161">
        <v>0</v>
      </c>
      <c r="FO90" s="161">
        <v>0</v>
      </c>
      <c r="FP90" s="161">
        <v>0</v>
      </c>
      <c r="FQ90" s="161">
        <v>0</v>
      </c>
      <c r="FR90" s="161"/>
      <c r="FS90" s="161"/>
      <c r="FT90" s="161"/>
      <c r="FU90" s="161">
        <v>1</v>
      </c>
      <c r="FV90" s="161">
        <v>0</v>
      </c>
      <c r="FW90" s="161">
        <v>0</v>
      </c>
      <c r="FX90" s="161">
        <v>0</v>
      </c>
      <c r="FY90" s="161">
        <v>0</v>
      </c>
      <c r="FZ90" s="161">
        <v>1</v>
      </c>
      <c r="GA90" s="161">
        <v>0</v>
      </c>
      <c r="GB90" s="161">
        <v>0</v>
      </c>
      <c r="GC90" s="161">
        <v>2</v>
      </c>
      <c r="GD90" s="73"/>
      <c r="GE90" s="73"/>
      <c r="GF90" s="968"/>
      <c r="GG90" s="968"/>
      <c r="GH90" s="968"/>
      <c r="GI90" s="968" t="s">
        <v>1292</v>
      </c>
      <c r="GJ90" s="968">
        <v>0</v>
      </c>
      <c r="GK90" s="968">
        <v>0</v>
      </c>
      <c r="GL90" s="968">
        <v>0</v>
      </c>
      <c r="GM90" s="968">
        <v>0</v>
      </c>
      <c r="GN90" s="968">
        <v>0</v>
      </c>
      <c r="GO90" s="968">
        <v>0</v>
      </c>
      <c r="GP90" s="968">
        <v>0</v>
      </c>
      <c r="GQ90" s="968">
        <v>0</v>
      </c>
      <c r="GR90" s="968">
        <v>0</v>
      </c>
      <c r="GS90" s="968">
        <v>0</v>
      </c>
      <c r="GT90" s="968">
        <v>1</v>
      </c>
      <c r="GU90" s="968">
        <v>0</v>
      </c>
      <c r="GV90" s="968">
        <v>0</v>
      </c>
      <c r="GW90" s="968">
        <v>0</v>
      </c>
      <c r="GX90" s="968">
        <v>0</v>
      </c>
      <c r="GY90" s="968">
        <v>2</v>
      </c>
      <c r="GZ90" s="968">
        <v>3</v>
      </c>
      <c r="HA90" s="968"/>
      <c r="HB90" s="969"/>
    </row>
    <row r="91" spans="1:210">
      <c r="A91" s="73"/>
      <c r="B91" s="73"/>
      <c r="C91" s="73" t="s">
        <v>834</v>
      </c>
      <c r="D91" s="73" t="s">
        <v>1286</v>
      </c>
      <c r="E91" s="967"/>
      <c r="F91" s="967">
        <v>1</v>
      </c>
      <c r="G91" s="967"/>
      <c r="H91" s="967"/>
      <c r="I91" s="967"/>
      <c r="J91" s="967"/>
      <c r="K91" s="967"/>
      <c r="L91" s="967"/>
      <c r="M91" s="967"/>
      <c r="N91" s="967"/>
      <c r="O91" s="967"/>
      <c r="P91" s="967"/>
      <c r="Q91" s="967"/>
      <c r="R91" s="967"/>
      <c r="S91" s="967"/>
      <c r="T91" s="73">
        <v>0</v>
      </c>
      <c r="U91" s="73"/>
      <c r="V91" s="73">
        <v>1</v>
      </c>
      <c r="W91" s="73"/>
      <c r="Y91" s="73"/>
      <c r="Z91" s="73"/>
      <c r="AA91" s="73"/>
      <c r="AB91" s="73" t="s">
        <v>1288</v>
      </c>
      <c r="AC91" s="3261">
        <v>0</v>
      </c>
      <c r="AD91" s="3261"/>
      <c r="AE91" s="3261">
        <v>0</v>
      </c>
      <c r="AF91" s="3261"/>
      <c r="AG91" s="3261"/>
      <c r="AH91" s="3261"/>
      <c r="AI91" s="3261">
        <v>0</v>
      </c>
      <c r="AJ91" s="3261"/>
      <c r="AK91" s="3261"/>
      <c r="AL91" s="3261"/>
      <c r="AM91" s="3261"/>
      <c r="AN91" s="3261"/>
      <c r="AO91" s="3261">
        <v>0</v>
      </c>
      <c r="AP91" s="3261">
        <v>1</v>
      </c>
      <c r="AQ91" s="3261">
        <v>0</v>
      </c>
      <c r="AR91" s="161"/>
      <c r="AS91" s="161">
        <v>0</v>
      </c>
      <c r="AT91" s="161">
        <v>1</v>
      </c>
      <c r="AU91" s="73"/>
      <c r="AY91" s="73" t="s">
        <v>128</v>
      </c>
      <c r="AZ91" s="73" t="s">
        <v>1284</v>
      </c>
      <c r="BA91" s="2607">
        <v>1</v>
      </c>
      <c r="BB91" s="2607"/>
      <c r="BC91" s="2607"/>
      <c r="BD91" s="2607">
        <v>0</v>
      </c>
      <c r="BE91" s="2607"/>
      <c r="BF91" s="2607"/>
      <c r="BG91" s="2607"/>
      <c r="BH91" s="2607"/>
      <c r="BI91" s="2607"/>
      <c r="BJ91" s="2607">
        <v>0</v>
      </c>
      <c r="BK91" s="2607"/>
      <c r="BL91" s="2607"/>
      <c r="BM91" s="2607">
        <v>4</v>
      </c>
      <c r="BN91" s="2607">
        <v>3</v>
      </c>
      <c r="BO91" s="2607">
        <v>0</v>
      </c>
      <c r="BP91" s="73"/>
      <c r="BQ91" s="73"/>
      <c r="BR91" s="73">
        <v>8</v>
      </c>
      <c r="BS91" s="73"/>
      <c r="BU91" s="2207"/>
      <c r="BV91" s="2207"/>
      <c r="BW91" s="2207"/>
      <c r="BX91" s="2208" t="s">
        <v>1289</v>
      </c>
      <c r="BY91" s="2209"/>
      <c r="BZ91" s="2210">
        <v>0</v>
      </c>
      <c r="CA91" s="2210">
        <v>2</v>
      </c>
      <c r="CB91" s="2209"/>
      <c r="CC91" s="2210">
        <v>1</v>
      </c>
      <c r="CD91" s="2209"/>
      <c r="CE91" s="2210">
        <v>0</v>
      </c>
      <c r="CF91" s="2210">
        <v>0</v>
      </c>
      <c r="CG91" s="2210">
        <v>0</v>
      </c>
      <c r="CH91" s="2210">
        <v>0</v>
      </c>
      <c r="CI91" s="2210">
        <v>0</v>
      </c>
      <c r="CJ91" s="2210">
        <v>0</v>
      </c>
      <c r="CK91" s="2210">
        <v>0</v>
      </c>
      <c r="CL91" s="2212">
        <v>0</v>
      </c>
      <c r="CM91" s="2212">
        <v>0</v>
      </c>
      <c r="CN91" s="2212">
        <v>3</v>
      </c>
      <c r="CO91" s="73"/>
      <c r="CQ91" s="955"/>
      <c r="CR91" s="955"/>
      <c r="CS91" s="955" t="s">
        <v>129</v>
      </c>
      <c r="CT91" s="956" t="s">
        <v>1284</v>
      </c>
      <c r="CU91" s="957"/>
      <c r="CV91" s="957"/>
      <c r="CW91" s="957"/>
      <c r="CX91" s="957"/>
      <c r="CY91" s="957"/>
      <c r="CZ91" s="957"/>
      <c r="DA91" s="957"/>
      <c r="DB91" s="957"/>
      <c r="DC91" s="957"/>
      <c r="DD91" s="957"/>
      <c r="DE91" s="957"/>
      <c r="DF91" s="957"/>
      <c r="DG91" s="958">
        <v>5</v>
      </c>
      <c r="DH91" s="958">
        <v>2</v>
      </c>
      <c r="DI91" s="957"/>
      <c r="DJ91" s="960">
        <v>0</v>
      </c>
      <c r="DK91" s="960">
        <v>0</v>
      </c>
      <c r="DL91" s="960">
        <v>7</v>
      </c>
      <c r="DM91" s="161"/>
      <c r="DO91" s="788"/>
      <c r="DP91" s="788"/>
      <c r="DQ91" s="788" t="s">
        <v>129</v>
      </c>
      <c r="DR91" s="788" t="s">
        <v>1282</v>
      </c>
      <c r="DS91" s="789" t="s">
        <v>1284</v>
      </c>
      <c r="DT91" s="961"/>
      <c r="DU91" s="961"/>
      <c r="DV91" s="962">
        <v>1</v>
      </c>
      <c r="DW91" s="961"/>
      <c r="DX91" s="961"/>
      <c r="DY91" s="961"/>
      <c r="DZ91" s="961"/>
      <c r="EA91" s="961"/>
      <c r="EB91" s="961"/>
      <c r="EC91" s="961"/>
      <c r="ED91" s="961"/>
      <c r="EE91" s="961"/>
      <c r="EF91" s="962">
        <v>3</v>
      </c>
      <c r="EG91" s="962">
        <v>1</v>
      </c>
      <c r="EH91" s="962">
        <v>1</v>
      </c>
      <c r="EI91" s="964">
        <v>0</v>
      </c>
      <c r="EJ91" s="964">
        <v>0</v>
      </c>
      <c r="EK91" s="964">
        <v>6</v>
      </c>
      <c r="EL91" s="912"/>
      <c r="EM91" s="73"/>
      <c r="EN91" s="965"/>
      <c r="EO91" s="965"/>
      <c r="EP91" s="965"/>
      <c r="EQ91" s="981" t="s">
        <v>15</v>
      </c>
      <c r="ER91" s="982"/>
      <c r="ES91" s="982"/>
      <c r="ET91" s="982"/>
      <c r="EU91" s="982"/>
      <c r="EV91" s="982"/>
      <c r="EW91" s="982"/>
      <c r="EX91" s="740">
        <v>4</v>
      </c>
      <c r="EY91" s="740">
        <v>6</v>
      </c>
      <c r="EZ91" s="740">
        <v>3</v>
      </c>
      <c r="FA91" s="982"/>
      <c r="FB91" s="982"/>
      <c r="FC91" s="982"/>
      <c r="FD91" s="982"/>
      <c r="FE91" s="740">
        <v>13</v>
      </c>
      <c r="FF91" s="905">
        <f>+FE90/FE91</f>
        <v>7.6923076923076927E-2</v>
      </c>
      <c r="FG91" s="73"/>
      <c r="FH91" s="73"/>
      <c r="FI91" s="161"/>
      <c r="FJ91" s="161"/>
      <c r="FK91" s="73"/>
      <c r="FL91" s="73" t="s">
        <v>1292</v>
      </c>
      <c r="FM91" s="161"/>
      <c r="FN91" s="161">
        <v>0</v>
      </c>
      <c r="FO91" s="161">
        <v>0</v>
      </c>
      <c r="FP91" s="161">
        <v>0</v>
      </c>
      <c r="FQ91" s="161">
        <v>0</v>
      </c>
      <c r="FR91" s="161"/>
      <c r="FS91" s="161"/>
      <c r="FT91" s="161"/>
      <c r="FU91" s="161">
        <v>0</v>
      </c>
      <c r="FV91" s="161">
        <v>2</v>
      </c>
      <c r="FW91" s="161">
        <v>1</v>
      </c>
      <c r="FX91" s="161">
        <v>1</v>
      </c>
      <c r="FY91" s="161">
        <v>1</v>
      </c>
      <c r="FZ91" s="161">
        <v>0</v>
      </c>
      <c r="GA91" s="161">
        <v>3</v>
      </c>
      <c r="GB91" s="161">
        <v>6</v>
      </c>
      <c r="GC91" s="161">
        <v>14</v>
      </c>
      <c r="GD91" s="73"/>
      <c r="GE91" s="73"/>
      <c r="GF91" s="968"/>
      <c r="GG91" s="968"/>
      <c r="GH91" s="968"/>
      <c r="GI91" s="968" t="s">
        <v>1398</v>
      </c>
      <c r="GJ91" s="968">
        <v>0</v>
      </c>
      <c r="GK91" s="968">
        <v>0</v>
      </c>
      <c r="GL91" s="968">
        <v>0</v>
      </c>
      <c r="GM91" s="968">
        <v>0</v>
      </c>
      <c r="GN91" s="968">
        <v>0</v>
      </c>
      <c r="GO91" s="968">
        <v>0</v>
      </c>
      <c r="GP91" s="968">
        <v>0</v>
      </c>
      <c r="GQ91" s="968">
        <v>0</v>
      </c>
      <c r="GR91" s="968">
        <v>0</v>
      </c>
      <c r="GS91" s="968">
        <v>0</v>
      </c>
      <c r="GT91" s="968">
        <v>0</v>
      </c>
      <c r="GU91" s="968">
        <v>2</v>
      </c>
      <c r="GV91" s="968">
        <v>0</v>
      </c>
      <c r="GW91" s="968">
        <v>0</v>
      </c>
      <c r="GX91" s="968">
        <v>0</v>
      </c>
      <c r="GY91" s="968">
        <v>0</v>
      </c>
      <c r="GZ91" s="968">
        <v>2</v>
      </c>
      <c r="HA91" s="968"/>
      <c r="HB91" s="969"/>
    </row>
    <row r="92" spans="1:210" ht="15.75" thickBot="1">
      <c r="A92" s="73"/>
      <c r="B92" s="73"/>
      <c r="C92" s="73"/>
      <c r="D92" s="73" t="s">
        <v>1288</v>
      </c>
      <c r="E92" s="967"/>
      <c r="F92" s="967">
        <v>0</v>
      </c>
      <c r="G92" s="967"/>
      <c r="H92" s="967"/>
      <c r="I92" s="967"/>
      <c r="J92" s="967"/>
      <c r="K92" s="967"/>
      <c r="L92" s="967"/>
      <c r="M92" s="967"/>
      <c r="N92" s="967"/>
      <c r="O92" s="967"/>
      <c r="P92" s="967"/>
      <c r="Q92" s="967"/>
      <c r="R92" s="967"/>
      <c r="S92" s="967"/>
      <c r="T92" s="73">
        <v>1</v>
      </c>
      <c r="U92" s="73"/>
      <c r="V92" s="73">
        <v>1</v>
      </c>
      <c r="W92" s="73"/>
      <c r="Y92" s="73"/>
      <c r="Z92" s="73"/>
      <c r="AA92" s="73"/>
      <c r="AB92" s="73" t="s">
        <v>1292</v>
      </c>
      <c r="AC92" s="3261">
        <v>0</v>
      </c>
      <c r="AD92" s="3261"/>
      <c r="AE92" s="3261">
        <v>0</v>
      </c>
      <c r="AF92" s="3261"/>
      <c r="AG92" s="3261"/>
      <c r="AH92" s="3261"/>
      <c r="AI92" s="3261">
        <v>0</v>
      </c>
      <c r="AJ92" s="3261"/>
      <c r="AK92" s="3261"/>
      <c r="AL92" s="3261"/>
      <c r="AM92" s="3261"/>
      <c r="AN92" s="3261"/>
      <c r="AO92" s="3261">
        <v>0</v>
      </c>
      <c r="AP92" s="3261">
        <v>0</v>
      </c>
      <c r="AQ92" s="3261">
        <v>6</v>
      </c>
      <c r="AR92" s="161"/>
      <c r="AS92" s="161">
        <v>1</v>
      </c>
      <c r="AT92" s="161">
        <v>7</v>
      </c>
      <c r="AU92" s="73"/>
      <c r="AY92" s="73"/>
      <c r="AZ92" s="73" t="s">
        <v>1288</v>
      </c>
      <c r="BA92" s="2607">
        <v>0</v>
      </c>
      <c r="BB92" s="2607"/>
      <c r="BC92" s="2607"/>
      <c r="BD92" s="2607">
        <v>0</v>
      </c>
      <c r="BE92" s="2607"/>
      <c r="BF92" s="2607"/>
      <c r="BG92" s="2607"/>
      <c r="BH92" s="2607"/>
      <c r="BI92" s="2607"/>
      <c r="BJ92" s="2607">
        <v>0</v>
      </c>
      <c r="BK92" s="2607"/>
      <c r="BL92" s="2607"/>
      <c r="BM92" s="2607">
        <v>8</v>
      </c>
      <c r="BN92" s="2607">
        <v>2</v>
      </c>
      <c r="BO92" s="2607">
        <v>0</v>
      </c>
      <c r="BP92" s="73"/>
      <c r="BQ92" s="73"/>
      <c r="BR92" s="73">
        <v>10</v>
      </c>
      <c r="BS92" s="73"/>
      <c r="BU92" s="2207"/>
      <c r="BV92" s="2207"/>
      <c r="BW92" s="2207"/>
      <c r="BX92" s="2208" t="s">
        <v>1292</v>
      </c>
      <c r="BY92" s="2209"/>
      <c r="BZ92" s="2210">
        <v>0</v>
      </c>
      <c r="CA92" s="2210">
        <v>0</v>
      </c>
      <c r="CB92" s="2209"/>
      <c r="CC92" s="2210">
        <v>0</v>
      </c>
      <c r="CD92" s="2209"/>
      <c r="CE92" s="2210">
        <v>0</v>
      </c>
      <c r="CF92" s="2210">
        <v>0</v>
      </c>
      <c r="CG92" s="2210">
        <v>0</v>
      </c>
      <c r="CH92" s="2210">
        <v>0</v>
      </c>
      <c r="CI92" s="2210">
        <v>0</v>
      </c>
      <c r="CJ92" s="2210">
        <v>0</v>
      </c>
      <c r="CK92" s="2210">
        <v>16</v>
      </c>
      <c r="CL92" s="2212">
        <v>1</v>
      </c>
      <c r="CM92" s="2212">
        <v>8</v>
      </c>
      <c r="CN92" s="2212">
        <v>25</v>
      </c>
      <c r="CO92" s="73"/>
      <c r="CQ92" s="955"/>
      <c r="CR92" s="955"/>
      <c r="CS92" s="955"/>
      <c r="CT92" s="956" t="s">
        <v>1288</v>
      </c>
      <c r="CU92" s="957"/>
      <c r="CV92" s="957"/>
      <c r="CW92" s="957"/>
      <c r="CX92" s="957"/>
      <c r="CY92" s="957"/>
      <c r="CZ92" s="957"/>
      <c r="DA92" s="957"/>
      <c r="DB92" s="957"/>
      <c r="DC92" s="957"/>
      <c r="DD92" s="957"/>
      <c r="DE92" s="957"/>
      <c r="DF92" s="957"/>
      <c r="DG92" s="958">
        <v>0</v>
      </c>
      <c r="DH92" s="958">
        <v>1</v>
      </c>
      <c r="DI92" s="957"/>
      <c r="DJ92" s="960">
        <v>0</v>
      </c>
      <c r="DK92" s="960">
        <v>0</v>
      </c>
      <c r="DL92" s="960">
        <v>1</v>
      </c>
      <c r="DM92" s="161"/>
      <c r="DO92" s="788"/>
      <c r="DP92" s="788"/>
      <c r="DQ92" s="788"/>
      <c r="DR92" s="788"/>
      <c r="DS92" s="789" t="s">
        <v>1288</v>
      </c>
      <c r="DT92" s="961"/>
      <c r="DU92" s="961"/>
      <c r="DV92" s="962">
        <v>0</v>
      </c>
      <c r="DW92" s="961"/>
      <c r="DX92" s="961"/>
      <c r="DY92" s="961"/>
      <c r="DZ92" s="961"/>
      <c r="EA92" s="961"/>
      <c r="EB92" s="961"/>
      <c r="EC92" s="961"/>
      <c r="ED92" s="961"/>
      <c r="EE92" s="961"/>
      <c r="EF92" s="962">
        <v>0</v>
      </c>
      <c r="EG92" s="962">
        <v>0</v>
      </c>
      <c r="EH92" s="962">
        <v>0</v>
      </c>
      <c r="EI92" s="964">
        <v>2</v>
      </c>
      <c r="EJ92" s="964">
        <v>0</v>
      </c>
      <c r="EK92" s="964">
        <v>2</v>
      </c>
      <c r="EL92" s="912"/>
      <c r="EM92" s="73"/>
      <c r="EN92" s="965"/>
      <c r="EO92" s="965"/>
      <c r="EP92" s="965" t="s">
        <v>129</v>
      </c>
      <c r="EQ92" s="734" t="s">
        <v>1284</v>
      </c>
      <c r="ER92" s="966"/>
      <c r="ES92" s="966"/>
      <c r="ET92" s="966"/>
      <c r="EU92" s="966"/>
      <c r="EV92" s="966"/>
      <c r="EW92" s="966"/>
      <c r="EX92" s="966"/>
      <c r="EY92" s="966"/>
      <c r="EZ92" s="735">
        <v>1</v>
      </c>
      <c r="FA92" s="966"/>
      <c r="FB92" s="966"/>
      <c r="FC92" s="966"/>
      <c r="FD92" s="735">
        <v>0</v>
      </c>
      <c r="FE92" s="735">
        <v>1</v>
      </c>
      <c r="FF92" s="967"/>
      <c r="FG92" s="73"/>
      <c r="FH92" s="73"/>
      <c r="FI92" s="161"/>
      <c r="FJ92" s="161"/>
      <c r="FK92" s="73"/>
      <c r="FL92" s="73" t="s">
        <v>1293</v>
      </c>
      <c r="FM92" s="161"/>
      <c r="FN92" s="161">
        <v>0</v>
      </c>
      <c r="FO92" s="161">
        <v>0</v>
      </c>
      <c r="FP92" s="161">
        <v>0</v>
      </c>
      <c r="FQ92" s="161">
        <v>0</v>
      </c>
      <c r="FR92" s="161"/>
      <c r="FS92" s="161"/>
      <c r="FT92" s="161"/>
      <c r="FU92" s="161">
        <v>1</v>
      </c>
      <c r="FV92" s="161">
        <v>0</v>
      </c>
      <c r="FW92" s="161">
        <v>0</v>
      </c>
      <c r="FX92" s="161">
        <v>3</v>
      </c>
      <c r="FY92" s="161">
        <v>0</v>
      </c>
      <c r="FZ92" s="161">
        <v>0</v>
      </c>
      <c r="GA92" s="161">
        <v>0</v>
      </c>
      <c r="GB92" s="161">
        <v>0</v>
      </c>
      <c r="GC92" s="161">
        <v>4</v>
      </c>
      <c r="GD92" s="73"/>
      <c r="GE92" s="73"/>
      <c r="GF92" s="986"/>
      <c r="GG92" s="986"/>
      <c r="GH92" s="986"/>
      <c r="GI92" s="986" t="s">
        <v>15</v>
      </c>
      <c r="GJ92" s="986">
        <v>0</v>
      </c>
      <c r="GK92" s="986">
        <v>0</v>
      </c>
      <c r="GL92" s="986">
        <v>0</v>
      </c>
      <c r="GM92" s="986">
        <v>2</v>
      </c>
      <c r="GN92" s="986">
        <v>0</v>
      </c>
      <c r="GO92" s="986">
        <v>0</v>
      </c>
      <c r="GP92" s="986">
        <v>0</v>
      </c>
      <c r="GQ92" s="986">
        <v>0</v>
      </c>
      <c r="GR92" s="986">
        <v>1</v>
      </c>
      <c r="GS92" s="986">
        <v>2</v>
      </c>
      <c r="GT92" s="986">
        <v>1</v>
      </c>
      <c r="GU92" s="986">
        <v>5</v>
      </c>
      <c r="GV92" s="986">
        <v>2</v>
      </c>
      <c r="GW92" s="986">
        <v>0</v>
      </c>
      <c r="GX92" s="986">
        <v>1</v>
      </c>
      <c r="GY92" s="986">
        <v>2</v>
      </c>
      <c r="GZ92" s="986">
        <v>16</v>
      </c>
      <c r="HA92" s="987">
        <f>+(GZ91+GZ89-GX89)/GZ92</f>
        <v>0.1875</v>
      </c>
      <c r="HB92" s="988">
        <f>+GZ89+GZ91-GX89</f>
        <v>3</v>
      </c>
    </row>
    <row r="93" spans="1:210">
      <c r="A93" s="73"/>
      <c r="B93" s="73"/>
      <c r="C93" s="73"/>
      <c r="D93" s="73" t="s">
        <v>1292</v>
      </c>
      <c r="E93" s="967"/>
      <c r="F93" s="967">
        <v>0</v>
      </c>
      <c r="G93" s="967"/>
      <c r="H93" s="967"/>
      <c r="I93" s="967"/>
      <c r="J93" s="967"/>
      <c r="K93" s="967"/>
      <c r="L93" s="967"/>
      <c r="M93" s="967"/>
      <c r="N93" s="967"/>
      <c r="O93" s="967"/>
      <c r="P93" s="967"/>
      <c r="Q93" s="967"/>
      <c r="R93" s="967"/>
      <c r="S93" s="967"/>
      <c r="T93" s="73">
        <v>1</v>
      </c>
      <c r="U93" s="73"/>
      <c r="V93" s="73">
        <v>1</v>
      </c>
      <c r="W93" s="73"/>
      <c r="Y93" s="73"/>
      <c r="Z93" s="73"/>
      <c r="AA93" s="73"/>
      <c r="AB93" s="73" t="s">
        <v>1398</v>
      </c>
      <c r="AC93" s="3261">
        <v>0</v>
      </c>
      <c r="AD93" s="3261"/>
      <c r="AE93" s="3261">
        <v>0</v>
      </c>
      <c r="AF93" s="3261"/>
      <c r="AG93" s="3261"/>
      <c r="AH93" s="3261"/>
      <c r="AI93" s="3261">
        <v>0</v>
      </c>
      <c r="AJ93" s="3261"/>
      <c r="AK93" s="3261"/>
      <c r="AL93" s="3261"/>
      <c r="AM93" s="3261"/>
      <c r="AN93" s="3261"/>
      <c r="AO93" s="3261">
        <v>0</v>
      </c>
      <c r="AP93" s="3261">
        <v>2</v>
      </c>
      <c r="AQ93" s="3261">
        <v>1</v>
      </c>
      <c r="AR93" s="161"/>
      <c r="AS93" s="161">
        <v>0</v>
      </c>
      <c r="AT93" s="161">
        <v>3</v>
      </c>
      <c r="AU93" s="73"/>
      <c r="AY93" s="73"/>
      <c r="AZ93" s="73" t="s">
        <v>1289</v>
      </c>
      <c r="BA93" s="2607">
        <v>0</v>
      </c>
      <c r="BB93" s="2607"/>
      <c r="BC93" s="2607"/>
      <c r="BD93" s="2607">
        <v>1</v>
      </c>
      <c r="BE93" s="2607"/>
      <c r="BF93" s="2607"/>
      <c r="BG93" s="2607"/>
      <c r="BH93" s="2607"/>
      <c r="BI93" s="2607"/>
      <c r="BJ93" s="2607">
        <v>1</v>
      </c>
      <c r="BK93" s="2607"/>
      <c r="BL93" s="2607"/>
      <c r="BM93" s="2607">
        <v>0</v>
      </c>
      <c r="BN93" s="2607">
        <v>1</v>
      </c>
      <c r="BO93" s="2607">
        <v>0</v>
      </c>
      <c r="BP93" s="73"/>
      <c r="BQ93" s="73"/>
      <c r="BR93" s="73">
        <v>3</v>
      </c>
      <c r="BS93" s="73"/>
      <c r="BU93" s="2207"/>
      <c r="BV93" s="2207"/>
      <c r="BW93" s="2207"/>
      <c r="BX93" s="2208" t="s">
        <v>1398</v>
      </c>
      <c r="BY93" s="2209"/>
      <c r="BZ93" s="2210">
        <v>0</v>
      </c>
      <c r="CA93" s="2210">
        <v>0</v>
      </c>
      <c r="CB93" s="2209"/>
      <c r="CC93" s="2210">
        <v>0</v>
      </c>
      <c r="CD93" s="2209"/>
      <c r="CE93" s="2210">
        <v>1</v>
      </c>
      <c r="CF93" s="2210">
        <v>3</v>
      </c>
      <c r="CG93" s="2210">
        <v>1</v>
      </c>
      <c r="CH93" s="2210">
        <v>2</v>
      </c>
      <c r="CI93" s="2210">
        <v>7</v>
      </c>
      <c r="CJ93" s="2210">
        <v>0</v>
      </c>
      <c r="CK93" s="2210">
        <v>0</v>
      </c>
      <c r="CL93" s="2212">
        <v>0</v>
      </c>
      <c r="CM93" s="2212">
        <v>0</v>
      </c>
      <c r="CN93" s="2212">
        <v>14</v>
      </c>
      <c r="CO93" s="73"/>
      <c r="CQ93" s="955"/>
      <c r="CR93" s="955"/>
      <c r="CS93" s="955"/>
      <c r="CT93" s="956" t="s">
        <v>1292</v>
      </c>
      <c r="CU93" s="957"/>
      <c r="CV93" s="957"/>
      <c r="CW93" s="957"/>
      <c r="CX93" s="957"/>
      <c r="CY93" s="957"/>
      <c r="CZ93" s="957"/>
      <c r="DA93" s="957"/>
      <c r="DB93" s="957"/>
      <c r="DC93" s="957"/>
      <c r="DD93" s="957"/>
      <c r="DE93" s="957"/>
      <c r="DF93" s="957"/>
      <c r="DG93" s="958">
        <v>0</v>
      </c>
      <c r="DH93" s="958">
        <v>0</v>
      </c>
      <c r="DI93" s="957"/>
      <c r="DJ93" s="960">
        <v>2</v>
      </c>
      <c r="DK93" s="960">
        <v>5</v>
      </c>
      <c r="DL93" s="960">
        <v>7</v>
      </c>
      <c r="DM93" s="161"/>
      <c r="DO93" s="788"/>
      <c r="DP93" s="788"/>
      <c r="DQ93" s="788"/>
      <c r="DR93" s="788"/>
      <c r="DS93" s="789" t="s">
        <v>1292</v>
      </c>
      <c r="DT93" s="961"/>
      <c r="DU93" s="961"/>
      <c r="DV93" s="962">
        <v>0</v>
      </c>
      <c r="DW93" s="961"/>
      <c r="DX93" s="961"/>
      <c r="DY93" s="961"/>
      <c r="DZ93" s="961"/>
      <c r="EA93" s="961"/>
      <c r="EB93" s="961"/>
      <c r="EC93" s="961"/>
      <c r="ED93" s="961"/>
      <c r="EE93" s="961"/>
      <c r="EF93" s="962">
        <v>0</v>
      </c>
      <c r="EG93" s="962">
        <v>0</v>
      </c>
      <c r="EH93" s="962">
        <v>0</v>
      </c>
      <c r="EI93" s="964">
        <v>0</v>
      </c>
      <c r="EJ93" s="964">
        <v>3</v>
      </c>
      <c r="EK93" s="964">
        <v>3</v>
      </c>
      <c r="EL93" s="912"/>
      <c r="EM93" s="73"/>
      <c r="EN93" s="965"/>
      <c r="EO93" s="965"/>
      <c r="EP93" s="965"/>
      <c r="EQ93" s="734" t="s">
        <v>1292</v>
      </c>
      <c r="ER93" s="966"/>
      <c r="ES93" s="966"/>
      <c r="ET93" s="966"/>
      <c r="EU93" s="966"/>
      <c r="EV93" s="966"/>
      <c r="EW93" s="966"/>
      <c r="EX93" s="966"/>
      <c r="EY93" s="966"/>
      <c r="EZ93" s="735">
        <v>0</v>
      </c>
      <c r="FA93" s="966"/>
      <c r="FB93" s="966"/>
      <c r="FC93" s="966"/>
      <c r="FD93" s="735">
        <v>1</v>
      </c>
      <c r="FE93" s="735">
        <v>1</v>
      </c>
      <c r="FF93" s="967"/>
      <c r="FG93" s="73"/>
      <c r="FH93" s="73"/>
      <c r="FI93" s="161"/>
      <c r="FJ93" s="161"/>
      <c r="FK93" s="73"/>
      <c r="FL93" s="73" t="s">
        <v>1398</v>
      </c>
      <c r="FM93" s="161"/>
      <c r="FN93" s="161">
        <v>0</v>
      </c>
      <c r="FO93" s="161">
        <v>0</v>
      </c>
      <c r="FP93" s="161">
        <v>0</v>
      </c>
      <c r="FQ93" s="161">
        <v>0</v>
      </c>
      <c r="FR93" s="161"/>
      <c r="FS93" s="161"/>
      <c r="FT93" s="161"/>
      <c r="FU93" s="161">
        <v>7</v>
      </c>
      <c r="FV93" s="161">
        <v>1</v>
      </c>
      <c r="FW93" s="161">
        <v>2</v>
      </c>
      <c r="FX93" s="161">
        <v>8</v>
      </c>
      <c r="FY93" s="161">
        <v>0</v>
      </c>
      <c r="FZ93" s="161">
        <v>0</v>
      </c>
      <c r="GA93" s="161">
        <v>0</v>
      </c>
      <c r="GB93" s="161">
        <v>0</v>
      </c>
      <c r="GC93" s="161">
        <v>18</v>
      </c>
      <c r="GD93" s="73"/>
      <c r="GE93" s="73"/>
      <c r="GF93" s="968"/>
      <c r="GG93" s="968"/>
      <c r="GH93" s="968"/>
      <c r="GI93" s="968"/>
      <c r="GJ93" s="968"/>
      <c r="GK93" s="968"/>
      <c r="GL93" s="968"/>
      <c r="GM93" s="968"/>
      <c r="GN93" s="968"/>
      <c r="GO93" s="968"/>
      <c r="GP93" s="968"/>
      <c r="GQ93" s="968"/>
      <c r="GR93" s="968"/>
      <c r="GS93" s="968"/>
      <c r="GT93" s="968"/>
      <c r="GU93" s="968"/>
      <c r="GV93" s="968"/>
      <c r="GW93" s="968"/>
      <c r="GX93" s="968"/>
      <c r="GY93" s="968"/>
      <c r="GZ93" s="968"/>
      <c r="HA93" s="968"/>
      <c r="HB93" s="969"/>
    </row>
    <row r="94" spans="1:210">
      <c r="A94" s="73"/>
      <c r="B94" s="73"/>
      <c r="C94" s="73"/>
      <c r="D94" s="738" t="s">
        <v>15</v>
      </c>
      <c r="E94" s="4694"/>
      <c r="F94" s="4694">
        <v>1</v>
      </c>
      <c r="G94" s="4694"/>
      <c r="H94" s="4694"/>
      <c r="I94" s="4694"/>
      <c r="J94" s="4694"/>
      <c r="K94" s="4694"/>
      <c r="L94" s="4694"/>
      <c r="M94" s="4694"/>
      <c r="N94" s="4694"/>
      <c r="O94" s="4694"/>
      <c r="P94" s="4694"/>
      <c r="Q94" s="4694"/>
      <c r="R94" s="4694"/>
      <c r="S94" s="4694"/>
      <c r="T94" s="738">
        <v>2</v>
      </c>
      <c r="U94" s="738"/>
      <c r="V94" s="738">
        <v>3</v>
      </c>
      <c r="W94" s="912">
        <f>+(V92-T92)/V94</f>
        <v>0</v>
      </c>
      <c r="X94" s="3197"/>
      <c r="Y94" s="73"/>
      <c r="Z94" s="73"/>
      <c r="AA94" s="73"/>
      <c r="AB94" s="73" t="s">
        <v>2013</v>
      </c>
      <c r="AC94" s="3261">
        <v>1</v>
      </c>
      <c r="AD94" s="3261"/>
      <c r="AE94" s="3261">
        <v>0</v>
      </c>
      <c r="AF94" s="3261"/>
      <c r="AG94" s="3261"/>
      <c r="AH94" s="3261"/>
      <c r="AI94" s="3261">
        <v>0</v>
      </c>
      <c r="AJ94" s="3261"/>
      <c r="AK94" s="3261"/>
      <c r="AL94" s="3261"/>
      <c r="AM94" s="3261"/>
      <c r="AN94" s="3261"/>
      <c r="AO94" s="3261">
        <v>0</v>
      </c>
      <c r="AP94" s="3261">
        <v>0</v>
      </c>
      <c r="AQ94" s="3261">
        <v>0</v>
      </c>
      <c r="AR94" s="161"/>
      <c r="AS94" s="161">
        <v>0</v>
      </c>
      <c r="AT94" s="161">
        <v>1</v>
      </c>
      <c r="AU94" s="73"/>
      <c r="AY94" s="73"/>
      <c r="AZ94" s="73" t="s">
        <v>1292</v>
      </c>
      <c r="BA94" s="2607">
        <v>0</v>
      </c>
      <c r="BB94" s="2607"/>
      <c r="BC94" s="2607"/>
      <c r="BD94" s="2607">
        <v>0</v>
      </c>
      <c r="BE94" s="2607"/>
      <c r="BF94" s="2607"/>
      <c r="BG94" s="2607"/>
      <c r="BH94" s="2607"/>
      <c r="BI94" s="2607"/>
      <c r="BJ94" s="2607">
        <v>0</v>
      </c>
      <c r="BK94" s="2607"/>
      <c r="BL94" s="2607"/>
      <c r="BM94" s="2607">
        <v>0</v>
      </c>
      <c r="BN94" s="2607">
        <v>0</v>
      </c>
      <c r="BO94" s="2607">
        <v>3</v>
      </c>
      <c r="BP94" s="73"/>
      <c r="BQ94" s="73"/>
      <c r="BR94" s="73">
        <v>3</v>
      </c>
      <c r="BS94" s="73"/>
      <c r="BU94" s="2207"/>
      <c r="BV94" s="2207"/>
      <c r="BW94" s="2207"/>
      <c r="BX94" s="2204" t="s">
        <v>573</v>
      </c>
      <c r="BY94" s="2213"/>
      <c r="BZ94" s="2214">
        <v>2</v>
      </c>
      <c r="CA94" s="2214">
        <v>2</v>
      </c>
      <c r="CB94" s="2213"/>
      <c r="CC94" s="2214">
        <v>1</v>
      </c>
      <c r="CD94" s="2213"/>
      <c r="CE94" s="2214">
        <v>3</v>
      </c>
      <c r="CF94" s="2214">
        <v>8</v>
      </c>
      <c r="CG94" s="2214">
        <v>7</v>
      </c>
      <c r="CH94" s="2214">
        <v>4</v>
      </c>
      <c r="CI94" s="2214">
        <v>18</v>
      </c>
      <c r="CJ94" s="2214">
        <v>6</v>
      </c>
      <c r="CK94" s="2214">
        <v>20</v>
      </c>
      <c r="CL94" s="2216">
        <v>2</v>
      </c>
      <c r="CM94" s="2216">
        <v>8</v>
      </c>
      <c r="CN94" s="2216">
        <v>81</v>
      </c>
      <c r="CO94" s="2154">
        <f>+(CN90+CN93)/CN94</f>
        <v>0.43209876543209874</v>
      </c>
      <c r="CQ94" s="955"/>
      <c r="CR94" s="955"/>
      <c r="CS94" s="955"/>
      <c r="CT94" s="974" t="s">
        <v>15</v>
      </c>
      <c r="CU94" s="975"/>
      <c r="CV94" s="975"/>
      <c r="CW94" s="975"/>
      <c r="CX94" s="975"/>
      <c r="CY94" s="975"/>
      <c r="CZ94" s="975"/>
      <c r="DA94" s="975"/>
      <c r="DB94" s="975"/>
      <c r="DC94" s="975"/>
      <c r="DD94" s="975"/>
      <c r="DE94" s="975"/>
      <c r="DF94" s="975"/>
      <c r="DG94" s="976">
        <v>5</v>
      </c>
      <c r="DH94" s="976">
        <v>3</v>
      </c>
      <c r="DI94" s="975"/>
      <c r="DJ94" s="978">
        <v>2</v>
      </c>
      <c r="DK94" s="978">
        <v>5</v>
      </c>
      <c r="DL94" s="978">
        <v>15</v>
      </c>
      <c r="DM94" s="912">
        <f>+DL92/DL94</f>
        <v>6.6666666666666666E-2</v>
      </c>
      <c r="DO94" s="788"/>
      <c r="DP94" s="788"/>
      <c r="DQ94" s="788"/>
      <c r="DR94" s="788"/>
      <c r="DS94" s="789" t="s">
        <v>1398</v>
      </c>
      <c r="DT94" s="961"/>
      <c r="DU94" s="961"/>
      <c r="DV94" s="962">
        <v>0</v>
      </c>
      <c r="DW94" s="961"/>
      <c r="DX94" s="961"/>
      <c r="DY94" s="961"/>
      <c r="DZ94" s="961"/>
      <c r="EA94" s="961"/>
      <c r="EB94" s="961"/>
      <c r="EC94" s="961"/>
      <c r="ED94" s="961"/>
      <c r="EE94" s="961"/>
      <c r="EF94" s="962">
        <v>0</v>
      </c>
      <c r="EG94" s="962">
        <v>1</v>
      </c>
      <c r="EH94" s="962">
        <v>0</v>
      </c>
      <c r="EI94" s="964">
        <v>0</v>
      </c>
      <c r="EJ94" s="964">
        <v>0</v>
      </c>
      <c r="EK94" s="964">
        <v>1</v>
      </c>
      <c r="EL94" s="912"/>
      <c r="EM94" s="73"/>
      <c r="EN94" s="965"/>
      <c r="EO94" s="965"/>
      <c r="EP94" s="965"/>
      <c r="EQ94" s="981" t="s">
        <v>15</v>
      </c>
      <c r="ER94" s="982"/>
      <c r="ES94" s="982"/>
      <c r="ET94" s="982"/>
      <c r="EU94" s="982"/>
      <c r="EV94" s="982"/>
      <c r="EW94" s="982"/>
      <c r="EX94" s="982"/>
      <c r="EY94" s="982"/>
      <c r="EZ94" s="740">
        <v>1</v>
      </c>
      <c r="FA94" s="982"/>
      <c r="FB94" s="982"/>
      <c r="FC94" s="982"/>
      <c r="FD94" s="740">
        <v>1</v>
      </c>
      <c r="FE94" s="740">
        <v>2</v>
      </c>
      <c r="FF94" s="905">
        <v>0</v>
      </c>
      <c r="FG94" s="73"/>
      <c r="FH94" s="73"/>
      <c r="FI94" s="161"/>
      <c r="FJ94" s="161"/>
      <c r="FK94" s="73"/>
      <c r="FL94" s="738" t="s">
        <v>15</v>
      </c>
      <c r="FM94" s="151"/>
      <c r="FN94" s="151">
        <v>1</v>
      </c>
      <c r="FO94" s="151">
        <v>2</v>
      </c>
      <c r="FP94" s="151">
        <v>1</v>
      </c>
      <c r="FQ94" s="151">
        <v>1</v>
      </c>
      <c r="FR94" s="151"/>
      <c r="FS94" s="151"/>
      <c r="FT94" s="151"/>
      <c r="FU94" s="151">
        <v>20</v>
      </c>
      <c r="FV94" s="151">
        <v>7</v>
      </c>
      <c r="FW94" s="151">
        <v>11</v>
      </c>
      <c r="FX94" s="151">
        <v>22</v>
      </c>
      <c r="FY94" s="151">
        <v>4</v>
      </c>
      <c r="FZ94" s="151">
        <v>1</v>
      </c>
      <c r="GA94" s="151">
        <v>4</v>
      </c>
      <c r="GB94" s="151">
        <v>6</v>
      </c>
      <c r="GC94" s="151">
        <v>80</v>
      </c>
      <c r="GD94" s="983">
        <f>+(GC90+GC92+GC93)/GC94</f>
        <v>0.3</v>
      </c>
      <c r="GE94" s="73"/>
      <c r="GF94" s="968"/>
      <c r="GG94" s="968"/>
      <c r="GH94" s="968"/>
      <c r="GI94" s="968"/>
      <c r="GJ94" s="968"/>
      <c r="GK94" s="968"/>
      <c r="GL94" s="968"/>
      <c r="GM94" s="968"/>
      <c r="GN94" s="968"/>
      <c r="GO94" s="968"/>
      <c r="GP94" s="968"/>
      <c r="GQ94" s="968"/>
      <c r="GR94" s="968"/>
      <c r="GS94" s="968"/>
      <c r="GT94" s="968"/>
      <c r="GU94" s="968"/>
      <c r="GV94" s="968"/>
      <c r="GW94" s="968"/>
      <c r="GX94" s="968"/>
      <c r="GY94" s="968"/>
      <c r="GZ94" s="968"/>
      <c r="HA94" s="968"/>
      <c r="HB94" s="969"/>
    </row>
    <row r="95" spans="1:210">
      <c r="A95" s="73"/>
      <c r="B95" s="73"/>
      <c r="C95" s="738" t="s">
        <v>572</v>
      </c>
      <c r="D95" s="738" t="s">
        <v>1284</v>
      </c>
      <c r="E95" s="4694">
        <v>1</v>
      </c>
      <c r="F95" s="4694">
        <v>0</v>
      </c>
      <c r="G95" s="4694">
        <v>1</v>
      </c>
      <c r="H95" s="4694">
        <v>1</v>
      </c>
      <c r="I95" s="4694"/>
      <c r="J95" s="4694"/>
      <c r="K95" s="4694"/>
      <c r="L95" s="4694"/>
      <c r="M95" s="4694"/>
      <c r="N95" s="4694"/>
      <c r="O95" s="4694">
        <v>0</v>
      </c>
      <c r="P95" s="4694">
        <v>1</v>
      </c>
      <c r="Q95" s="4694">
        <v>0</v>
      </c>
      <c r="R95" s="4694">
        <v>2</v>
      </c>
      <c r="S95" s="4694">
        <v>1</v>
      </c>
      <c r="T95" s="738">
        <v>0</v>
      </c>
      <c r="U95" s="738">
        <v>0</v>
      </c>
      <c r="V95" s="738">
        <v>7</v>
      </c>
      <c r="W95" s="73"/>
      <c r="Y95" s="73"/>
      <c r="Z95" s="73"/>
      <c r="AA95" s="73"/>
      <c r="AB95" s="738" t="s">
        <v>15</v>
      </c>
      <c r="AC95" s="3262">
        <v>2</v>
      </c>
      <c r="AD95" s="3262"/>
      <c r="AE95" s="3262">
        <v>1</v>
      </c>
      <c r="AF95" s="3262"/>
      <c r="AG95" s="3262"/>
      <c r="AH95" s="3262"/>
      <c r="AI95" s="3262">
        <v>1</v>
      </c>
      <c r="AJ95" s="3262"/>
      <c r="AK95" s="3262"/>
      <c r="AL95" s="3262"/>
      <c r="AM95" s="3262"/>
      <c r="AN95" s="3262"/>
      <c r="AO95" s="3262">
        <v>1</v>
      </c>
      <c r="AP95" s="3262">
        <v>5</v>
      </c>
      <c r="AQ95" s="3262">
        <v>8</v>
      </c>
      <c r="AR95" s="151"/>
      <c r="AS95" s="151">
        <v>1</v>
      </c>
      <c r="AT95" s="151">
        <v>19</v>
      </c>
      <c r="AU95" s="912">
        <f>+(AT91+AT93)/(AT95-AT94)</f>
        <v>0.22222222222222221</v>
      </c>
      <c r="AY95" s="73"/>
      <c r="AZ95" s="73" t="s">
        <v>1398</v>
      </c>
      <c r="BA95" s="2607">
        <v>0</v>
      </c>
      <c r="BB95" s="2607"/>
      <c r="BC95" s="2607"/>
      <c r="BD95" s="2607">
        <v>0</v>
      </c>
      <c r="BE95" s="2607"/>
      <c r="BF95" s="2607"/>
      <c r="BG95" s="2607"/>
      <c r="BH95" s="2607"/>
      <c r="BI95" s="2607"/>
      <c r="BJ95" s="2607">
        <v>0</v>
      </c>
      <c r="BK95" s="2607"/>
      <c r="BL95" s="2607"/>
      <c r="BM95" s="2607">
        <v>4</v>
      </c>
      <c r="BN95" s="2607">
        <v>1</v>
      </c>
      <c r="BO95" s="2607">
        <v>0</v>
      </c>
      <c r="BP95" s="73"/>
      <c r="BQ95" s="73"/>
      <c r="BR95" s="73">
        <v>5</v>
      </c>
      <c r="BS95" s="73"/>
      <c r="BU95" s="2207"/>
      <c r="BV95" s="2207" t="s">
        <v>41</v>
      </c>
      <c r="BW95" s="2207" t="s">
        <v>130</v>
      </c>
      <c r="BX95" s="2208" t="s">
        <v>1283</v>
      </c>
      <c r="BY95" s="2209"/>
      <c r="BZ95" s="2210">
        <v>0</v>
      </c>
      <c r="CA95" s="2210">
        <v>0</v>
      </c>
      <c r="CB95" s="2209"/>
      <c r="CC95" s="2209"/>
      <c r="CD95" s="2209"/>
      <c r="CE95" s="2209"/>
      <c r="CF95" s="2209"/>
      <c r="CG95" s="2209"/>
      <c r="CH95" s="2210">
        <v>0</v>
      </c>
      <c r="CI95" s="2210">
        <v>0</v>
      </c>
      <c r="CJ95" s="2210">
        <v>0</v>
      </c>
      <c r="CK95" s="2210">
        <v>3</v>
      </c>
      <c r="CL95" s="2212">
        <v>1</v>
      </c>
      <c r="CM95" s="2212">
        <v>0</v>
      </c>
      <c r="CN95" s="2212">
        <v>4</v>
      </c>
      <c r="CO95" s="73"/>
      <c r="CQ95" s="955"/>
      <c r="CR95" s="955"/>
      <c r="CS95" s="955" t="s">
        <v>573</v>
      </c>
      <c r="CT95" s="956" t="s">
        <v>1283</v>
      </c>
      <c r="CU95" s="957"/>
      <c r="CV95" s="958">
        <v>0</v>
      </c>
      <c r="CW95" s="958">
        <v>0</v>
      </c>
      <c r="CX95" s="958">
        <v>0</v>
      </c>
      <c r="CY95" s="958">
        <v>0</v>
      </c>
      <c r="CZ95" s="958">
        <v>0</v>
      </c>
      <c r="DA95" s="958">
        <v>0</v>
      </c>
      <c r="DB95" s="958">
        <v>0</v>
      </c>
      <c r="DC95" s="958">
        <v>0</v>
      </c>
      <c r="DD95" s="958">
        <v>0</v>
      </c>
      <c r="DE95" s="958">
        <v>0</v>
      </c>
      <c r="DF95" s="958">
        <v>0</v>
      </c>
      <c r="DG95" s="958">
        <v>0</v>
      </c>
      <c r="DH95" s="958">
        <v>0</v>
      </c>
      <c r="DI95" s="958">
        <v>1</v>
      </c>
      <c r="DJ95" s="960">
        <v>0</v>
      </c>
      <c r="DK95" s="960">
        <v>0</v>
      </c>
      <c r="DL95" s="960">
        <v>1</v>
      </c>
      <c r="DM95" s="161"/>
      <c r="DO95" s="788"/>
      <c r="DP95" s="788"/>
      <c r="DQ95" s="788"/>
      <c r="DR95" s="73"/>
      <c r="DS95" s="809" t="s">
        <v>15</v>
      </c>
      <c r="DT95" s="970"/>
      <c r="DU95" s="970"/>
      <c r="DV95" s="971">
        <v>1</v>
      </c>
      <c r="DW95" s="970"/>
      <c r="DX95" s="970"/>
      <c r="DY95" s="970"/>
      <c r="DZ95" s="970"/>
      <c r="EA95" s="970"/>
      <c r="EB95" s="970"/>
      <c r="EC95" s="970"/>
      <c r="ED95" s="970"/>
      <c r="EE95" s="970"/>
      <c r="EF95" s="971">
        <v>3</v>
      </c>
      <c r="EG95" s="971">
        <v>2</v>
      </c>
      <c r="EH95" s="971">
        <v>1</v>
      </c>
      <c r="EI95" s="973">
        <v>2</v>
      </c>
      <c r="EJ95" s="973">
        <v>3</v>
      </c>
      <c r="EK95" s="973">
        <v>12</v>
      </c>
      <c r="EL95" s="912">
        <f>+(EK94+EK92-EI92)/EK95</f>
        <v>8.3333333333333329E-2</v>
      </c>
      <c r="EM95" s="73"/>
      <c r="EN95" s="965"/>
      <c r="EO95" s="965" t="s">
        <v>41</v>
      </c>
      <c r="EP95" s="965" t="s">
        <v>338</v>
      </c>
      <c r="EQ95" s="734" t="s">
        <v>1284</v>
      </c>
      <c r="ER95" s="966"/>
      <c r="ES95" s="966"/>
      <c r="ET95" s="966"/>
      <c r="EU95" s="966"/>
      <c r="EV95" s="735">
        <v>0</v>
      </c>
      <c r="EW95" s="735">
        <v>1</v>
      </c>
      <c r="EX95" s="735">
        <v>0</v>
      </c>
      <c r="EY95" s="966"/>
      <c r="EZ95" s="735">
        <v>0</v>
      </c>
      <c r="FA95" s="735">
        <v>0</v>
      </c>
      <c r="FB95" s="735">
        <v>0</v>
      </c>
      <c r="FC95" s="966"/>
      <c r="FD95" s="735">
        <v>0</v>
      </c>
      <c r="FE95" s="735">
        <v>1</v>
      </c>
      <c r="FF95" s="967"/>
      <c r="FG95" s="73"/>
      <c r="FH95" s="73"/>
      <c r="FI95" s="161"/>
      <c r="FJ95" s="161"/>
      <c r="FK95" s="73" t="s">
        <v>112</v>
      </c>
      <c r="FL95" s="73" t="s">
        <v>1284</v>
      </c>
      <c r="FM95" s="161"/>
      <c r="FN95" s="161"/>
      <c r="FO95" s="161"/>
      <c r="FP95" s="161"/>
      <c r="FQ95" s="161"/>
      <c r="FR95" s="161"/>
      <c r="FS95" s="161"/>
      <c r="FT95" s="161"/>
      <c r="FU95" s="161"/>
      <c r="FV95" s="161"/>
      <c r="FW95" s="161"/>
      <c r="FX95" s="161">
        <v>16</v>
      </c>
      <c r="FY95" s="161"/>
      <c r="FZ95" s="161"/>
      <c r="GA95" s="161"/>
      <c r="GB95" s="161"/>
      <c r="GC95" s="161">
        <v>16</v>
      </c>
      <c r="GD95" s="73"/>
      <c r="GE95" s="73"/>
      <c r="GF95" s="979"/>
      <c r="GG95" s="979"/>
      <c r="GH95" s="979"/>
      <c r="GI95" s="979"/>
      <c r="GJ95" s="979"/>
      <c r="GK95" s="979"/>
      <c r="GL95" s="979"/>
      <c r="GM95" s="979"/>
      <c r="GN95" s="979"/>
      <c r="GO95" s="979"/>
      <c r="GP95" s="979"/>
      <c r="GQ95" s="979"/>
      <c r="GR95" s="979"/>
      <c r="GS95" s="979"/>
      <c r="GT95" s="979"/>
      <c r="GU95" s="979"/>
      <c r="GV95" s="979"/>
      <c r="GW95" s="979"/>
      <c r="GX95" s="979"/>
      <c r="GY95" s="979"/>
      <c r="GZ95" s="979"/>
      <c r="HA95" s="968"/>
      <c r="HB95" s="969"/>
    </row>
    <row r="96" spans="1:210">
      <c r="A96" s="73"/>
      <c r="B96" s="73"/>
      <c r="C96" s="738"/>
      <c r="D96" s="738" t="s">
        <v>1286</v>
      </c>
      <c r="E96" s="4694">
        <v>0</v>
      </c>
      <c r="F96" s="4694">
        <v>1</v>
      </c>
      <c r="G96" s="4694">
        <v>0</v>
      </c>
      <c r="H96" s="4694">
        <v>0</v>
      </c>
      <c r="I96" s="4694"/>
      <c r="J96" s="4694"/>
      <c r="K96" s="4694"/>
      <c r="L96" s="4694"/>
      <c r="M96" s="4694"/>
      <c r="N96" s="4694"/>
      <c r="O96" s="4694">
        <v>0</v>
      </c>
      <c r="P96" s="4694">
        <v>0</v>
      </c>
      <c r="Q96" s="4694">
        <v>0</v>
      </c>
      <c r="R96" s="4694">
        <v>0</v>
      </c>
      <c r="S96" s="4694">
        <v>0</v>
      </c>
      <c r="T96" s="738">
        <v>0</v>
      </c>
      <c r="U96" s="738">
        <v>0</v>
      </c>
      <c r="V96" s="738">
        <v>1</v>
      </c>
      <c r="W96" s="73"/>
      <c r="Y96" s="73"/>
      <c r="Z96" s="73"/>
      <c r="AA96" s="73" t="s">
        <v>131</v>
      </c>
      <c r="AB96" s="73" t="s">
        <v>1284</v>
      </c>
      <c r="AC96" s="3261"/>
      <c r="AD96" s="3261">
        <v>0</v>
      </c>
      <c r="AE96" s="3261"/>
      <c r="AF96" s="3261"/>
      <c r="AG96" s="3261"/>
      <c r="AH96" s="3261"/>
      <c r="AI96" s="3261"/>
      <c r="AJ96" s="3261"/>
      <c r="AK96" s="3261"/>
      <c r="AL96" s="3261"/>
      <c r="AM96" s="3261"/>
      <c r="AN96" s="3261">
        <v>0</v>
      </c>
      <c r="AO96" s="3261">
        <v>0</v>
      </c>
      <c r="AP96" s="3261">
        <v>1</v>
      </c>
      <c r="AQ96" s="3261">
        <v>0</v>
      </c>
      <c r="AR96" s="161">
        <v>1</v>
      </c>
      <c r="AS96" s="161"/>
      <c r="AT96" s="161">
        <v>2</v>
      </c>
      <c r="AU96" s="73"/>
      <c r="AY96" s="73"/>
      <c r="AZ96" s="738" t="s">
        <v>15</v>
      </c>
      <c r="BA96" s="2608">
        <v>1</v>
      </c>
      <c r="BB96" s="2608"/>
      <c r="BC96" s="2608"/>
      <c r="BD96" s="2608">
        <v>1</v>
      </c>
      <c r="BE96" s="2608"/>
      <c r="BF96" s="2608"/>
      <c r="BG96" s="2608"/>
      <c r="BH96" s="2608"/>
      <c r="BI96" s="2608"/>
      <c r="BJ96" s="2608">
        <v>1</v>
      </c>
      <c r="BK96" s="2608"/>
      <c r="BL96" s="2608"/>
      <c r="BM96" s="2608">
        <v>16</v>
      </c>
      <c r="BN96" s="2608">
        <v>7</v>
      </c>
      <c r="BO96" s="2608">
        <v>3</v>
      </c>
      <c r="BP96" s="738"/>
      <c r="BQ96" s="738"/>
      <c r="BR96" s="738">
        <v>29</v>
      </c>
      <c r="BS96" s="912">
        <f>+(BR92+BR95)/BR96</f>
        <v>0.51724137931034486</v>
      </c>
      <c r="BU96" s="2207"/>
      <c r="BV96" s="2207"/>
      <c r="BW96" s="2207"/>
      <c r="BX96" s="2208" t="s">
        <v>1284</v>
      </c>
      <c r="BY96" s="2209"/>
      <c r="BZ96" s="2210">
        <v>2</v>
      </c>
      <c r="CA96" s="2210">
        <v>1</v>
      </c>
      <c r="CB96" s="2209"/>
      <c r="CC96" s="2209"/>
      <c r="CD96" s="2209"/>
      <c r="CE96" s="2209"/>
      <c r="CF96" s="2209"/>
      <c r="CG96" s="2209"/>
      <c r="CH96" s="2210">
        <v>0</v>
      </c>
      <c r="CI96" s="2210">
        <v>0</v>
      </c>
      <c r="CJ96" s="2210">
        <v>0</v>
      </c>
      <c r="CK96" s="2210">
        <v>1</v>
      </c>
      <c r="CL96" s="2212">
        <v>0</v>
      </c>
      <c r="CM96" s="2212">
        <v>0</v>
      </c>
      <c r="CN96" s="2212">
        <v>4</v>
      </c>
      <c r="CO96" s="73"/>
      <c r="CQ96" s="955"/>
      <c r="CR96" s="955"/>
      <c r="CS96" s="955"/>
      <c r="CT96" s="956" t="s">
        <v>1284</v>
      </c>
      <c r="CU96" s="957"/>
      <c r="CV96" s="958">
        <v>3</v>
      </c>
      <c r="CW96" s="958">
        <v>2</v>
      </c>
      <c r="CX96" s="958">
        <v>1</v>
      </c>
      <c r="CY96" s="958">
        <v>1</v>
      </c>
      <c r="CZ96" s="958">
        <v>1</v>
      </c>
      <c r="DA96" s="958">
        <v>1</v>
      </c>
      <c r="DB96" s="958">
        <v>1</v>
      </c>
      <c r="DC96" s="958">
        <v>2</v>
      </c>
      <c r="DD96" s="958">
        <v>1</v>
      </c>
      <c r="DE96" s="958">
        <v>2</v>
      </c>
      <c r="DF96" s="958">
        <v>2</v>
      </c>
      <c r="DG96" s="958">
        <v>7</v>
      </c>
      <c r="DH96" s="958">
        <v>3</v>
      </c>
      <c r="DI96" s="958">
        <v>0</v>
      </c>
      <c r="DJ96" s="960">
        <v>0</v>
      </c>
      <c r="DK96" s="960">
        <v>0</v>
      </c>
      <c r="DL96" s="960">
        <v>27</v>
      </c>
      <c r="DM96" s="161"/>
      <c r="DO96" s="788"/>
      <c r="DP96" s="788"/>
      <c r="DQ96" s="809" t="s">
        <v>573</v>
      </c>
      <c r="DR96" s="788" t="s">
        <v>1282</v>
      </c>
      <c r="DS96" s="789" t="s">
        <v>1283</v>
      </c>
      <c r="DT96" s="961"/>
      <c r="DU96" s="961"/>
      <c r="DV96" s="962">
        <v>0</v>
      </c>
      <c r="DW96" s="961"/>
      <c r="DX96" s="962">
        <v>0</v>
      </c>
      <c r="DY96" s="961"/>
      <c r="DZ96" s="962">
        <v>0</v>
      </c>
      <c r="EA96" s="961"/>
      <c r="EB96" s="962">
        <v>0</v>
      </c>
      <c r="EC96" s="962">
        <v>0</v>
      </c>
      <c r="ED96" s="962">
        <v>0</v>
      </c>
      <c r="EE96" s="962">
        <v>0</v>
      </c>
      <c r="EF96" s="962">
        <v>0</v>
      </c>
      <c r="EG96" s="962">
        <v>0</v>
      </c>
      <c r="EH96" s="962">
        <v>1</v>
      </c>
      <c r="EI96" s="964">
        <v>0</v>
      </c>
      <c r="EJ96" s="964">
        <v>0</v>
      </c>
      <c r="EK96" s="964">
        <v>1</v>
      </c>
      <c r="EL96" s="912"/>
      <c r="EM96" s="73"/>
      <c r="EN96" s="965"/>
      <c r="EO96" s="965"/>
      <c r="EP96" s="965"/>
      <c r="EQ96" s="734" t="s">
        <v>1288</v>
      </c>
      <c r="ER96" s="966"/>
      <c r="ES96" s="966"/>
      <c r="ET96" s="966"/>
      <c r="EU96" s="966"/>
      <c r="EV96" s="735">
        <v>0</v>
      </c>
      <c r="EW96" s="735">
        <v>0</v>
      </c>
      <c r="EX96" s="735">
        <v>0</v>
      </c>
      <c r="EY96" s="966"/>
      <c r="EZ96" s="735">
        <v>0</v>
      </c>
      <c r="FA96" s="735">
        <v>1</v>
      </c>
      <c r="FB96" s="735">
        <v>0</v>
      </c>
      <c r="FC96" s="966"/>
      <c r="FD96" s="735">
        <v>0</v>
      </c>
      <c r="FE96" s="735">
        <v>1</v>
      </c>
      <c r="FF96" s="967"/>
      <c r="FG96" s="73"/>
      <c r="FH96" s="73"/>
      <c r="FI96" s="161"/>
      <c r="FJ96" s="161"/>
      <c r="FK96" s="73"/>
      <c r="FL96" s="73" t="s">
        <v>1398</v>
      </c>
      <c r="FM96" s="161"/>
      <c r="FN96" s="161"/>
      <c r="FO96" s="161"/>
      <c r="FP96" s="161"/>
      <c r="FQ96" s="161"/>
      <c r="FR96" s="161"/>
      <c r="FS96" s="161"/>
      <c r="FT96" s="161"/>
      <c r="FU96" s="161"/>
      <c r="FV96" s="161"/>
      <c r="FW96" s="161"/>
      <c r="FX96" s="161">
        <v>1</v>
      </c>
      <c r="FY96" s="161"/>
      <c r="FZ96" s="161"/>
      <c r="GA96" s="161"/>
      <c r="GB96" s="161"/>
      <c r="GC96" s="161">
        <v>1</v>
      </c>
      <c r="GD96" s="73"/>
      <c r="GE96" s="73"/>
      <c r="GF96" s="968"/>
      <c r="GG96" s="968"/>
      <c r="GH96" s="968"/>
      <c r="GI96" s="968"/>
      <c r="GJ96" s="968"/>
      <c r="GK96" s="968"/>
      <c r="GL96" s="968"/>
      <c r="GM96" s="968"/>
      <c r="GN96" s="968"/>
      <c r="GO96" s="968"/>
      <c r="GP96" s="968"/>
      <c r="GQ96" s="968"/>
      <c r="GR96" s="968"/>
      <c r="GS96" s="968"/>
      <c r="GT96" s="968"/>
      <c r="GU96" s="968"/>
      <c r="GV96" s="968"/>
      <c r="GW96" s="968"/>
      <c r="GX96" s="968"/>
      <c r="GY96" s="968"/>
      <c r="GZ96" s="968"/>
      <c r="HA96" s="968"/>
      <c r="HB96" s="969"/>
    </row>
    <row r="97" spans="1:210">
      <c r="A97" s="73"/>
      <c r="B97" s="73"/>
      <c r="C97" s="738"/>
      <c r="D97" s="738" t="s">
        <v>1288</v>
      </c>
      <c r="E97" s="4694">
        <v>0</v>
      </c>
      <c r="F97" s="4694">
        <v>0</v>
      </c>
      <c r="G97" s="4694">
        <v>0</v>
      </c>
      <c r="H97" s="4694">
        <v>0</v>
      </c>
      <c r="I97" s="4694"/>
      <c r="J97" s="4694"/>
      <c r="K97" s="4694"/>
      <c r="L97" s="4694"/>
      <c r="M97" s="4694"/>
      <c r="N97" s="4694"/>
      <c r="O97" s="4694">
        <v>0</v>
      </c>
      <c r="P97" s="4694">
        <v>1</v>
      </c>
      <c r="Q97" s="4694">
        <v>1</v>
      </c>
      <c r="R97" s="4694">
        <v>3</v>
      </c>
      <c r="S97" s="4694">
        <v>2</v>
      </c>
      <c r="T97" s="738">
        <v>2</v>
      </c>
      <c r="U97" s="738">
        <v>0</v>
      </c>
      <c r="V97" s="738">
        <v>9</v>
      </c>
      <c r="W97" s="73"/>
      <c r="Y97" s="73"/>
      <c r="Z97" s="73"/>
      <c r="AA97" s="73"/>
      <c r="AB97" s="73" t="s">
        <v>1286</v>
      </c>
      <c r="AC97" s="3261"/>
      <c r="AD97" s="3261">
        <v>1</v>
      </c>
      <c r="AE97" s="3261"/>
      <c r="AF97" s="3261"/>
      <c r="AG97" s="3261"/>
      <c r="AH97" s="3261"/>
      <c r="AI97" s="3261"/>
      <c r="AJ97" s="3261"/>
      <c r="AK97" s="3261"/>
      <c r="AL97" s="3261"/>
      <c r="AM97" s="3261"/>
      <c r="AN97" s="3261">
        <v>0</v>
      </c>
      <c r="AO97" s="3261">
        <v>0</v>
      </c>
      <c r="AP97" s="3261">
        <v>0</v>
      </c>
      <c r="AQ97" s="3261">
        <v>0</v>
      </c>
      <c r="AR97" s="161">
        <v>0</v>
      </c>
      <c r="AS97" s="161"/>
      <c r="AT97" s="161">
        <v>1</v>
      </c>
      <c r="AU97" s="73"/>
      <c r="AY97" s="73" t="s">
        <v>129</v>
      </c>
      <c r="AZ97" s="73" t="s">
        <v>1284</v>
      </c>
      <c r="BA97" s="2607"/>
      <c r="BB97" s="2607"/>
      <c r="BC97" s="2607"/>
      <c r="BD97" s="2607"/>
      <c r="BE97" s="2607"/>
      <c r="BF97" s="2607"/>
      <c r="BG97" s="2607"/>
      <c r="BH97" s="2607"/>
      <c r="BI97" s="2607"/>
      <c r="BJ97" s="2607"/>
      <c r="BK97" s="2607">
        <v>1</v>
      </c>
      <c r="BL97" s="2607"/>
      <c r="BM97" s="2607">
        <v>1</v>
      </c>
      <c r="BN97" s="2607">
        <v>0</v>
      </c>
      <c r="BO97" s="2607">
        <v>0</v>
      </c>
      <c r="BP97" s="73">
        <v>0</v>
      </c>
      <c r="BQ97" s="73">
        <v>0</v>
      </c>
      <c r="BR97" s="73">
        <v>2</v>
      </c>
      <c r="BS97" s="73"/>
      <c r="BU97" s="2207"/>
      <c r="BV97" s="2207"/>
      <c r="BW97" s="2207"/>
      <c r="BX97" s="2208" t="s">
        <v>1288</v>
      </c>
      <c r="BY97" s="2209"/>
      <c r="BZ97" s="2210">
        <v>0</v>
      </c>
      <c r="CA97" s="2210">
        <v>0</v>
      </c>
      <c r="CB97" s="2209"/>
      <c r="CC97" s="2209"/>
      <c r="CD97" s="2209"/>
      <c r="CE97" s="2209"/>
      <c r="CF97" s="2209"/>
      <c r="CG97" s="2209"/>
      <c r="CH97" s="2210">
        <v>0</v>
      </c>
      <c r="CI97" s="2210">
        <v>1</v>
      </c>
      <c r="CJ97" s="2210">
        <v>1</v>
      </c>
      <c r="CK97" s="2210">
        <v>0</v>
      </c>
      <c r="CL97" s="2212">
        <v>0</v>
      </c>
      <c r="CM97" s="2212">
        <v>0</v>
      </c>
      <c r="CN97" s="2212">
        <v>2</v>
      </c>
      <c r="CO97" s="73"/>
      <c r="CQ97" s="955"/>
      <c r="CR97" s="955"/>
      <c r="CS97" s="955"/>
      <c r="CT97" s="956" t="s">
        <v>1286</v>
      </c>
      <c r="CU97" s="957"/>
      <c r="CV97" s="958">
        <v>0</v>
      </c>
      <c r="CW97" s="958">
        <v>0</v>
      </c>
      <c r="CX97" s="958">
        <v>1</v>
      </c>
      <c r="CY97" s="958">
        <v>0</v>
      </c>
      <c r="CZ97" s="958">
        <v>0</v>
      </c>
      <c r="DA97" s="958">
        <v>0</v>
      </c>
      <c r="DB97" s="958">
        <v>0</v>
      </c>
      <c r="DC97" s="958">
        <v>0</v>
      </c>
      <c r="DD97" s="958">
        <v>0</v>
      </c>
      <c r="DE97" s="958">
        <v>0</v>
      </c>
      <c r="DF97" s="958">
        <v>0</v>
      </c>
      <c r="DG97" s="958">
        <v>0</v>
      </c>
      <c r="DH97" s="958">
        <v>0</v>
      </c>
      <c r="DI97" s="958">
        <v>0</v>
      </c>
      <c r="DJ97" s="960">
        <v>0</v>
      </c>
      <c r="DK97" s="960">
        <v>0</v>
      </c>
      <c r="DL97" s="960">
        <v>1</v>
      </c>
      <c r="DM97" s="161"/>
      <c r="DO97" s="788"/>
      <c r="DP97" s="788"/>
      <c r="DQ97" s="788"/>
      <c r="DR97" s="788"/>
      <c r="DS97" s="789" t="s">
        <v>1284</v>
      </c>
      <c r="DT97" s="961"/>
      <c r="DU97" s="961"/>
      <c r="DV97" s="962">
        <v>2</v>
      </c>
      <c r="DW97" s="961"/>
      <c r="DX97" s="962">
        <v>1</v>
      </c>
      <c r="DY97" s="961"/>
      <c r="DZ97" s="962">
        <v>1</v>
      </c>
      <c r="EA97" s="961"/>
      <c r="EB97" s="962">
        <v>0</v>
      </c>
      <c r="EC97" s="962">
        <v>2</v>
      </c>
      <c r="ED97" s="962">
        <v>0</v>
      </c>
      <c r="EE97" s="962">
        <v>1</v>
      </c>
      <c r="EF97" s="962">
        <v>7</v>
      </c>
      <c r="EG97" s="962">
        <v>3</v>
      </c>
      <c r="EH97" s="962">
        <v>1</v>
      </c>
      <c r="EI97" s="964">
        <v>0</v>
      </c>
      <c r="EJ97" s="964">
        <v>0</v>
      </c>
      <c r="EK97" s="964">
        <v>18</v>
      </c>
      <c r="EL97" s="912"/>
      <c r="EM97" s="73"/>
      <c r="EN97" s="965"/>
      <c r="EO97" s="965"/>
      <c r="EP97" s="965"/>
      <c r="EQ97" s="734" t="s">
        <v>1292</v>
      </c>
      <c r="ER97" s="966"/>
      <c r="ES97" s="966"/>
      <c r="ET97" s="966"/>
      <c r="EU97" s="966"/>
      <c r="EV97" s="735">
        <v>1</v>
      </c>
      <c r="EW97" s="735">
        <v>0</v>
      </c>
      <c r="EX97" s="735">
        <v>0</v>
      </c>
      <c r="EY97" s="966"/>
      <c r="EZ97" s="735">
        <v>0</v>
      </c>
      <c r="FA97" s="735">
        <v>0</v>
      </c>
      <c r="FB97" s="735">
        <v>3</v>
      </c>
      <c r="FC97" s="966"/>
      <c r="FD97" s="735">
        <v>1</v>
      </c>
      <c r="FE97" s="735">
        <v>5</v>
      </c>
      <c r="FF97" s="967"/>
      <c r="FG97" s="73"/>
      <c r="FH97" s="73"/>
      <c r="FI97" s="161"/>
      <c r="FJ97" s="161"/>
      <c r="FK97" s="73"/>
      <c r="FL97" s="738" t="s">
        <v>15</v>
      </c>
      <c r="FM97" s="151"/>
      <c r="FN97" s="151"/>
      <c r="FO97" s="151"/>
      <c r="FP97" s="151"/>
      <c r="FQ97" s="151"/>
      <c r="FR97" s="151"/>
      <c r="FS97" s="151"/>
      <c r="FT97" s="151"/>
      <c r="FU97" s="151"/>
      <c r="FV97" s="151"/>
      <c r="FW97" s="151"/>
      <c r="FX97" s="151">
        <v>17</v>
      </c>
      <c r="FY97" s="151"/>
      <c r="FZ97" s="151"/>
      <c r="GA97" s="151"/>
      <c r="GB97" s="151"/>
      <c r="GC97" s="151">
        <v>17</v>
      </c>
      <c r="GD97" s="983">
        <f>+GC96/GC97</f>
        <v>5.8823529411764705E-2</v>
      </c>
      <c r="GE97" s="73"/>
      <c r="GF97" s="968"/>
      <c r="GG97" s="968"/>
      <c r="GH97" s="968"/>
      <c r="GI97" s="968"/>
      <c r="GJ97" s="968"/>
      <c r="GK97" s="968"/>
      <c r="GL97" s="968"/>
      <c r="GM97" s="968"/>
      <c r="GN97" s="968"/>
      <c r="GO97" s="968"/>
      <c r="GP97" s="968"/>
      <c r="GQ97" s="968"/>
      <c r="GR97" s="968"/>
      <c r="GS97" s="968"/>
      <c r="GT97" s="968"/>
      <c r="GU97" s="968"/>
      <c r="GV97" s="968"/>
      <c r="GW97" s="968"/>
      <c r="GX97" s="968"/>
      <c r="GY97" s="968"/>
      <c r="GZ97" s="968"/>
      <c r="HA97" s="968"/>
      <c r="HB97" s="969"/>
    </row>
    <row r="98" spans="1:210">
      <c r="A98" s="73"/>
      <c r="B98" s="73"/>
      <c r="C98" s="738"/>
      <c r="D98" s="738" t="s">
        <v>1292</v>
      </c>
      <c r="E98" s="4694">
        <v>0</v>
      </c>
      <c r="F98" s="4694">
        <v>0</v>
      </c>
      <c r="G98" s="4694">
        <v>0</v>
      </c>
      <c r="H98" s="4694">
        <v>0</v>
      </c>
      <c r="I98" s="4694"/>
      <c r="J98" s="4694"/>
      <c r="K98" s="4694"/>
      <c r="L98" s="4694"/>
      <c r="M98" s="4694"/>
      <c r="N98" s="4694"/>
      <c r="O98" s="4694">
        <v>0</v>
      </c>
      <c r="P98" s="4694">
        <v>0</v>
      </c>
      <c r="Q98" s="4694">
        <v>0</v>
      </c>
      <c r="R98" s="4694">
        <v>0</v>
      </c>
      <c r="S98" s="4694">
        <v>15</v>
      </c>
      <c r="T98" s="738">
        <v>6</v>
      </c>
      <c r="U98" s="738">
        <v>3</v>
      </c>
      <c r="V98" s="738">
        <v>24</v>
      </c>
      <c r="W98" s="73"/>
      <c r="Y98" s="73"/>
      <c r="Z98" s="73"/>
      <c r="AA98" s="73"/>
      <c r="AB98" s="73" t="s">
        <v>1288</v>
      </c>
      <c r="AC98" s="3261"/>
      <c r="AD98" s="3261">
        <v>0</v>
      </c>
      <c r="AE98" s="3261"/>
      <c r="AF98" s="3261"/>
      <c r="AG98" s="3261"/>
      <c r="AH98" s="3261"/>
      <c r="AI98" s="3261"/>
      <c r="AJ98" s="3261"/>
      <c r="AK98" s="3261"/>
      <c r="AL98" s="3261"/>
      <c r="AM98" s="3261"/>
      <c r="AN98" s="3261">
        <v>0</v>
      </c>
      <c r="AO98" s="3261">
        <v>2</v>
      </c>
      <c r="AP98" s="3261">
        <v>2</v>
      </c>
      <c r="AQ98" s="3261">
        <v>0</v>
      </c>
      <c r="AR98" s="161">
        <v>0</v>
      </c>
      <c r="AS98" s="161"/>
      <c r="AT98" s="161">
        <v>4</v>
      </c>
      <c r="AU98" s="73"/>
      <c r="AY98" s="73"/>
      <c r="AZ98" s="73" t="s">
        <v>1288</v>
      </c>
      <c r="BA98" s="2607"/>
      <c r="BB98" s="2607"/>
      <c r="BC98" s="2607"/>
      <c r="BD98" s="2607"/>
      <c r="BE98" s="2607"/>
      <c r="BF98" s="2607"/>
      <c r="BG98" s="2607"/>
      <c r="BH98" s="2607"/>
      <c r="BI98" s="2607"/>
      <c r="BJ98" s="2607"/>
      <c r="BK98" s="2607">
        <v>0</v>
      </c>
      <c r="BL98" s="2607"/>
      <c r="BM98" s="2607">
        <v>1</v>
      </c>
      <c r="BN98" s="2607">
        <v>0</v>
      </c>
      <c r="BO98" s="2607">
        <v>0</v>
      </c>
      <c r="BP98" s="73">
        <v>0</v>
      </c>
      <c r="BQ98" s="73">
        <v>0</v>
      </c>
      <c r="BR98" s="73">
        <v>1</v>
      </c>
      <c r="BS98" s="73"/>
      <c r="BU98" s="2207"/>
      <c r="BV98" s="2207"/>
      <c r="BW98" s="2207"/>
      <c r="BX98" s="2208" t="s">
        <v>1292</v>
      </c>
      <c r="BY98" s="2209"/>
      <c r="BZ98" s="2210">
        <v>0</v>
      </c>
      <c r="CA98" s="2210">
        <v>0</v>
      </c>
      <c r="CB98" s="2209"/>
      <c r="CC98" s="2209"/>
      <c r="CD98" s="2209"/>
      <c r="CE98" s="2209"/>
      <c r="CF98" s="2209"/>
      <c r="CG98" s="2209"/>
      <c r="CH98" s="2210">
        <v>0</v>
      </c>
      <c r="CI98" s="2210">
        <v>0</v>
      </c>
      <c r="CJ98" s="2210">
        <v>1</v>
      </c>
      <c r="CK98" s="2210">
        <v>6</v>
      </c>
      <c r="CL98" s="2212">
        <v>0</v>
      </c>
      <c r="CM98" s="2212">
        <v>1</v>
      </c>
      <c r="CN98" s="2212">
        <v>8</v>
      </c>
      <c r="CO98" s="73"/>
      <c r="CQ98" s="955"/>
      <c r="CR98" s="955"/>
      <c r="CS98" s="955"/>
      <c r="CT98" s="956" t="s">
        <v>1288</v>
      </c>
      <c r="CU98" s="957"/>
      <c r="CV98" s="958">
        <v>0</v>
      </c>
      <c r="CW98" s="958">
        <v>0</v>
      </c>
      <c r="CX98" s="958">
        <v>0</v>
      </c>
      <c r="CY98" s="958">
        <v>0</v>
      </c>
      <c r="CZ98" s="958">
        <v>0</v>
      </c>
      <c r="DA98" s="958">
        <v>1</v>
      </c>
      <c r="DB98" s="958">
        <v>2</v>
      </c>
      <c r="DC98" s="958">
        <v>1</v>
      </c>
      <c r="DD98" s="958">
        <v>0</v>
      </c>
      <c r="DE98" s="958">
        <v>0</v>
      </c>
      <c r="DF98" s="958">
        <v>1</v>
      </c>
      <c r="DG98" s="958">
        <v>2</v>
      </c>
      <c r="DH98" s="958">
        <v>17</v>
      </c>
      <c r="DI98" s="958">
        <v>0</v>
      </c>
      <c r="DJ98" s="960">
        <v>0</v>
      </c>
      <c r="DK98" s="960">
        <v>0</v>
      </c>
      <c r="DL98" s="960">
        <v>24</v>
      </c>
      <c r="DM98" s="161"/>
      <c r="DO98" s="788"/>
      <c r="DP98" s="788"/>
      <c r="DQ98" s="788"/>
      <c r="DR98" s="788"/>
      <c r="DS98" s="789" t="s">
        <v>1288</v>
      </c>
      <c r="DT98" s="961"/>
      <c r="DU98" s="961"/>
      <c r="DV98" s="962">
        <v>0</v>
      </c>
      <c r="DW98" s="961"/>
      <c r="DX98" s="962">
        <v>0</v>
      </c>
      <c r="DY98" s="961"/>
      <c r="DZ98" s="962">
        <v>1</v>
      </c>
      <c r="EA98" s="961"/>
      <c r="EB98" s="962">
        <v>0</v>
      </c>
      <c r="EC98" s="962">
        <v>0</v>
      </c>
      <c r="ED98" s="962">
        <v>4</v>
      </c>
      <c r="EE98" s="962">
        <v>3</v>
      </c>
      <c r="EF98" s="962">
        <v>6</v>
      </c>
      <c r="EG98" s="962">
        <v>6</v>
      </c>
      <c r="EH98" s="962">
        <v>1</v>
      </c>
      <c r="EI98" s="964">
        <v>3</v>
      </c>
      <c r="EJ98" s="964">
        <v>0</v>
      </c>
      <c r="EK98" s="964">
        <v>24</v>
      </c>
      <c r="EL98" s="912"/>
      <c r="EM98" s="73"/>
      <c r="EN98" s="965"/>
      <c r="EO98" s="965"/>
      <c r="EP98" s="965"/>
      <c r="EQ98" s="734" t="s">
        <v>1293</v>
      </c>
      <c r="ER98" s="966"/>
      <c r="ES98" s="966"/>
      <c r="ET98" s="966"/>
      <c r="EU98" s="966"/>
      <c r="EV98" s="735">
        <v>0</v>
      </c>
      <c r="EW98" s="735">
        <v>0</v>
      </c>
      <c r="EX98" s="735">
        <v>0</v>
      </c>
      <c r="EY98" s="966"/>
      <c r="EZ98" s="735">
        <v>0</v>
      </c>
      <c r="FA98" s="735">
        <v>2</v>
      </c>
      <c r="FB98" s="735">
        <v>0</v>
      </c>
      <c r="FC98" s="966"/>
      <c r="FD98" s="735">
        <v>0</v>
      </c>
      <c r="FE98" s="735">
        <v>2</v>
      </c>
      <c r="FF98" s="967"/>
      <c r="FG98" s="73"/>
      <c r="FH98" s="73"/>
      <c r="FI98" s="161"/>
      <c r="FJ98" s="161" t="s">
        <v>41</v>
      </c>
      <c r="FK98" s="73" t="s">
        <v>890</v>
      </c>
      <c r="FL98" s="73" t="s">
        <v>1398</v>
      </c>
      <c r="FM98" s="161"/>
      <c r="FN98" s="161"/>
      <c r="FO98" s="161"/>
      <c r="FP98" s="161"/>
      <c r="FQ98" s="161"/>
      <c r="FR98" s="161"/>
      <c r="FS98" s="161">
        <v>1</v>
      </c>
      <c r="FT98" s="161"/>
      <c r="FU98" s="161"/>
      <c r="FV98" s="161">
        <v>1</v>
      </c>
      <c r="FW98" s="161"/>
      <c r="FX98" s="161">
        <v>1</v>
      </c>
      <c r="FY98" s="161"/>
      <c r="FZ98" s="161"/>
      <c r="GA98" s="161"/>
      <c r="GB98" s="161"/>
      <c r="GC98" s="161">
        <v>3</v>
      </c>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row>
    <row r="99" spans="1:210">
      <c r="A99" s="73"/>
      <c r="B99" s="73"/>
      <c r="C99" s="738"/>
      <c r="D99" s="738" t="s">
        <v>1398</v>
      </c>
      <c r="E99" s="4694">
        <v>0</v>
      </c>
      <c r="F99" s="4694">
        <v>0</v>
      </c>
      <c r="G99" s="4694">
        <v>0</v>
      </c>
      <c r="H99" s="4694">
        <v>0</v>
      </c>
      <c r="I99" s="4694"/>
      <c r="J99" s="4694"/>
      <c r="K99" s="4694"/>
      <c r="L99" s="4694"/>
      <c r="M99" s="4694"/>
      <c r="N99" s="4694"/>
      <c r="O99" s="4694">
        <v>1</v>
      </c>
      <c r="P99" s="4694">
        <v>1</v>
      </c>
      <c r="Q99" s="4694">
        <v>0</v>
      </c>
      <c r="R99" s="4694">
        <v>2</v>
      </c>
      <c r="S99" s="4694">
        <v>1</v>
      </c>
      <c r="T99" s="738">
        <v>0</v>
      </c>
      <c r="U99" s="738">
        <v>0</v>
      </c>
      <c r="V99" s="738">
        <v>5</v>
      </c>
      <c r="W99" s="73"/>
      <c r="Y99" s="73"/>
      <c r="Z99" s="73"/>
      <c r="AA99" s="73"/>
      <c r="AB99" s="73" t="s">
        <v>1292</v>
      </c>
      <c r="AC99" s="3261"/>
      <c r="AD99" s="3261">
        <v>0</v>
      </c>
      <c r="AE99" s="3261"/>
      <c r="AF99" s="3261"/>
      <c r="AG99" s="3261"/>
      <c r="AH99" s="3261"/>
      <c r="AI99" s="3261"/>
      <c r="AJ99" s="3261"/>
      <c r="AK99" s="3261"/>
      <c r="AL99" s="3261"/>
      <c r="AM99" s="3261"/>
      <c r="AN99" s="3261">
        <v>0</v>
      </c>
      <c r="AO99" s="3261">
        <v>0</v>
      </c>
      <c r="AP99" s="3261">
        <v>0</v>
      </c>
      <c r="AQ99" s="3261">
        <v>1</v>
      </c>
      <c r="AR99" s="161">
        <v>0</v>
      </c>
      <c r="AS99" s="161"/>
      <c r="AT99" s="161">
        <v>1</v>
      </c>
      <c r="AU99" s="73"/>
      <c r="AY99" s="73"/>
      <c r="AZ99" s="73" t="s">
        <v>1292</v>
      </c>
      <c r="BA99" s="2607"/>
      <c r="BB99" s="2607"/>
      <c r="BC99" s="2607"/>
      <c r="BD99" s="2607"/>
      <c r="BE99" s="2607"/>
      <c r="BF99" s="2607"/>
      <c r="BG99" s="2607"/>
      <c r="BH99" s="2607"/>
      <c r="BI99" s="2607"/>
      <c r="BJ99" s="2607"/>
      <c r="BK99" s="2607">
        <v>0</v>
      </c>
      <c r="BL99" s="2607"/>
      <c r="BM99" s="2607">
        <v>0</v>
      </c>
      <c r="BN99" s="2607">
        <v>0</v>
      </c>
      <c r="BO99" s="2607">
        <v>1</v>
      </c>
      <c r="BP99" s="73">
        <v>2</v>
      </c>
      <c r="BQ99" s="73">
        <v>8</v>
      </c>
      <c r="BR99" s="73">
        <v>11</v>
      </c>
      <c r="BS99" s="73"/>
      <c r="BU99" s="2207"/>
      <c r="BV99" s="2207"/>
      <c r="BW99" s="2207"/>
      <c r="BX99" s="2208" t="s">
        <v>1398</v>
      </c>
      <c r="BY99" s="2209"/>
      <c r="BZ99" s="2210">
        <v>0</v>
      </c>
      <c r="CA99" s="2210">
        <v>0</v>
      </c>
      <c r="CB99" s="2209"/>
      <c r="CC99" s="2209"/>
      <c r="CD99" s="2209"/>
      <c r="CE99" s="2209"/>
      <c r="CF99" s="2209"/>
      <c r="CG99" s="2209"/>
      <c r="CH99" s="2210">
        <v>1</v>
      </c>
      <c r="CI99" s="2210">
        <v>3</v>
      </c>
      <c r="CJ99" s="2210">
        <v>1</v>
      </c>
      <c r="CK99" s="2210">
        <v>0</v>
      </c>
      <c r="CL99" s="2212">
        <v>0</v>
      </c>
      <c r="CM99" s="2212">
        <v>0</v>
      </c>
      <c r="CN99" s="2212">
        <v>5</v>
      </c>
      <c r="CO99" s="73"/>
      <c r="CQ99" s="955"/>
      <c r="CR99" s="955"/>
      <c r="CS99" s="955"/>
      <c r="CT99" s="956" t="s">
        <v>1289</v>
      </c>
      <c r="CU99" s="957"/>
      <c r="CV99" s="958">
        <v>0</v>
      </c>
      <c r="CW99" s="958">
        <v>1</v>
      </c>
      <c r="CX99" s="958">
        <v>1</v>
      </c>
      <c r="CY99" s="958">
        <v>1</v>
      </c>
      <c r="CZ99" s="958">
        <v>0</v>
      </c>
      <c r="DA99" s="958">
        <v>0</v>
      </c>
      <c r="DB99" s="958">
        <v>0</v>
      </c>
      <c r="DC99" s="958">
        <v>0</v>
      </c>
      <c r="DD99" s="958">
        <v>0</v>
      </c>
      <c r="DE99" s="958">
        <v>0</v>
      </c>
      <c r="DF99" s="958">
        <v>0</v>
      </c>
      <c r="DG99" s="958">
        <v>0</v>
      </c>
      <c r="DH99" s="958">
        <v>0</v>
      </c>
      <c r="DI99" s="958">
        <v>0</v>
      </c>
      <c r="DJ99" s="960">
        <v>0</v>
      </c>
      <c r="DK99" s="960">
        <v>0</v>
      </c>
      <c r="DL99" s="960">
        <v>3</v>
      </c>
      <c r="DM99" s="161"/>
      <c r="DO99" s="788"/>
      <c r="DP99" s="788"/>
      <c r="DQ99" s="788"/>
      <c r="DR99" s="788"/>
      <c r="DS99" s="789" t="s">
        <v>1289</v>
      </c>
      <c r="DT99" s="961"/>
      <c r="DU99" s="961"/>
      <c r="DV99" s="962">
        <v>1</v>
      </c>
      <c r="DW99" s="961"/>
      <c r="DX99" s="962">
        <v>0</v>
      </c>
      <c r="DY99" s="961"/>
      <c r="DZ99" s="962">
        <v>0</v>
      </c>
      <c r="EA99" s="961"/>
      <c r="EB99" s="962">
        <v>0</v>
      </c>
      <c r="EC99" s="962">
        <v>1</v>
      </c>
      <c r="ED99" s="962">
        <v>0</v>
      </c>
      <c r="EE99" s="962">
        <v>0</v>
      </c>
      <c r="EF99" s="962">
        <v>0</v>
      </c>
      <c r="EG99" s="962">
        <v>0</v>
      </c>
      <c r="EH99" s="962">
        <v>0</v>
      </c>
      <c r="EI99" s="964">
        <v>0</v>
      </c>
      <c r="EJ99" s="964">
        <v>0</v>
      </c>
      <c r="EK99" s="964">
        <v>2</v>
      </c>
      <c r="EL99" s="912"/>
      <c r="EM99" s="73"/>
      <c r="EN99" s="965"/>
      <c r="EO99" s="965"/>
      <c r="EP99" s="965"/>
      <c r="EQ99" s="734" t="s">
        <v>1398</v>
      </c>
      <c r="ER99" s="966"/>
      <c r="ES99" s="966"/>
      <c r="ET99" s="966"/>
      <c r="EU99" s="966"/>
      <c r="EV99" s="735">
        <v>0</v>
      </c>
      <c r="EW99" s="735">
        <v>1</v>
      </c>
      <c r="EX99" s="735">
        <v>1</v>
      </c>
      <c r="EY99" s="966"/>
      <c r="EZ99" s="735">
        <v>1</v>
      </c>
      <c r="FA99" s="735">
        <v>0</v>
      </c>
      <c r="FB99" s="735">
        <v>0</v>
      </c>
      <c r="FC99" s="966"/>
      <c r="FD99" s="735">
        <v>0</v>
      </c>
      <c r="FE99" s="735">
        <v>3</v>
      </c>
      <c r="FF99" s="967"/>
      <c r="FG99" s="73"/>
      <c r="FH99" s="73"/>
      <c r="FI99" s="161"/>
      <c r="FJ99" s="161"/>
      <c r="FK99" s="73"/>
      <c r="FL99" s="738" t="s">
        <v>15</v>
      </c>
      <c r="FM99" s="151"/>
      <c r="FN99" s="151"/>
      <c r="FO99" s="151"/>
      <c r="FP99" s="151"/>
      <c r="FQ99" s="151"/>
      <c r="FR99" s="151"/>
      <c r="FS99" s="151">
        <v>1</v>
      </c>
      <c r="FT99" s="151"/>
      <c r="FU99" s="151"/>
      <c r="FV99" s="151">
        <v>1</v>
      </c>
      <c r="FW99" s="151"/>
      <c r="FX99" s="151">
        <v>1</v>
      </c>
      <c r="FY99" s="151"/>
      <c r="FZ99" s="151"/>
      <c r="GA99" s="151"/>
      <c r="GB99" s="151"/>
      <c r="GC99" s="151">
        <v>3</v>
      </c>
      <c r="GD99" s="984">
        <f>+GC98/GC99</f>
        <v>1</v>
      </c>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row>
    <row r="100" spans="1:210">
      <c r="A100" s="73"/>
      <c r="B100" s="73"/>
      <c r="C100" s="738"/>
      <c r="D100" s="738" t="s">
        <v>572</v>
      </c>
      <c r="E100" s="4694">
        <v>1</v>
      </c>
      <c r="F100" s="4694">
        <v>1</v>
      </c>
      <c r="G100" s="4694">
        <v>1</v>
      </c>
      <c r="H100" s="4694">
        <v>1</v>
      </c>
      <c r="I100" s="4694"/>
      <c r="J100" s="4694"/>
      <c r="K100" s="4694"/>
      <c r="L100" s="4694"/>
      <c r="M100" s="4694"/>
      <c r="N100" s="4694"/>
      <c r="O100" s="4694">
        <v>1</v>
      </c>
      <c r="P100" s="4694">
        <v>3</v>
      </c>
      <c r="Q100" s="4694">
        <v>1</v>
      </c>
      <c r="R100" s="4694">
        <v>7</v>
      </c>
      <c r="S100" s="4694">
        <v>19</v>
      </c>
      <c r="T100" s="738">
        <v>8</v>
      </c>
      <c r="U100" s="738">
        <v>3</v>
      </c>
      <c r="V100" s="738">
        <v>46</v>
      </c>
      <c r="W100" s="912">
        <f>+(V99+V97-T97)/V100</f>
        <v>0.2608695652173913</v>
      </c>
      <c r="X100" s="3197"/>
      <c r="Y100" s="73"/>
      <c r="Z100" s="73"/>
      <c r="AA100" s="73"/>
      <c r="AB100" s="73" t="s">
        <v>1398</v>
      </c>
      <c r="AC100" s="3261"/>
      <c r="AD100" s="3261">
        <v>0</v>
      </c>
      <c r="AE100" s="3261"/>
      <c r="AF100" s="3261"/>
      <c r="AG100" s="3261"/>
      <c r="AH100" s="3261"/>
      <c r="AI100" s="3261"/>
      <c r="AJ100" s="3261"/>
      <c r="AK100" s="3261"/>
      <c r="AL100" s="3261"/>
      <c r="AM100" s="3261"/>
      <c r="AN100" s="3261">
        <v>1</v>
      </c>
      <c r="AO100" s="3261">
        <v>1</v>
      </c>
      <c r="AP100" s="3261">
        <v>5</v>
      </c>
      <c r="AQ100" s="3261">
        <v>0</v>
      </c>
      <c r="AR100" s="161">
        <v>0</v>
      </c>
      <c r="AS100" s="161"/>
      <c r="AT100" s="161">
        <v>7</v>
      </c>
      <c r="AU100" s="73"/>
      <c r="AY100" s="73"/>
      <c r="AZ100" s="73" t="s">
        <v>1398</v>
      </c>
      <c r="BA100" s="2607"/>
      <c r="BB100" s="2607"/>
      <c r="BC100" s="2607"/>
      <c r="BD100" s="2607"/>
      <c r="BE100" s="2607"/>
      <c r="BF100" s="2607"/>
      <c r="BG100" s="2607"/>
      <c r="BH100" s="2607"/>
      <c r="BI100" s="2607"/>
      <c r="BJ100" s="2607"/>
      <c r="BK100" s="2607">
        <v>0</v>
      </c>
      <c r="BL100" s="2607"/>
      <c r="BM100" s="2607">
        <v>0</v>
      </c>
      <c r="BN100" s="2607">
        <v>1</v>
      </c>
      <c r="BO100" s="2607">
        <v>0</v>
      </c>
      <c r="BP100" s="73">
        <v>0</v>
      </c>
      <c r="BQ100" s="73">
        <v>0</v>
      </c>
      <c r="BR100" s="73">
        <v>1</v>
      </c>
      <c r="BS100" s="73"/>
      <c r="BU100" s="2207"/>
      <c r="BV100" s="2207"/>
      <c r="BW100" s="2207"/>
      <c r="BX100" s="2204" t="s">
        <v>15</v>
      </c>
      <c r="BY100" s="2213"/>
      <c r="BZ100" s="2214">
        <v>2</v>
      </c>
      <c r="CA100" s="2214">
        <v>1</v>
      </c>
      <c r="CB100" s="2213"/>
      <c r="CC100" s="2213"/>
      <c r="CD100" s="2213"/>
      <c r="CE100" s="2213"/>
      <c r="CF100" s="2213"/>
      <c r="CG100" s="2213"/>
      <c r="CH100" s="2214">
        <v>1</v>
      </c>
      <c r="CI100" s="2214">
        <v>4</v>
      </c>
      <c r="CJ100" s="2214">
        <v>3</v>
      </c>
      <c r="CK100" s="2214">
        <v>10</v>
      </c>
      <c r="CL100" s="2216">
        <v>1</v>
      </c>
      <c r="CM100" s="2216">
        <v>1</v>
      </c>
      <c r="CN100" s="2216">
        <v>23</v>
      </c>
      <c r="CO100" s="2154">
        <f>+(CN97+CN99)/CN100</f>
        <v>0.30434782608695654</v>
      </c>
      <c r="CQ100" s="955"/>
      <c r="CR100" s="955"/>
      <c r="CS100" s="955"/>
      <c r="CT100" s="956" t="s">
        <v>1292</v>
      </c>
      <c r="CU100" s="957"/>
      <c r="CV100" s="958">
        <v>0</v>
      </c>
      <c r="CW100" s="958">
        <v>0</v>
      </c>
      <c r="CX100" s="958">
        <v>0</v>
      </c>
      <c r="CY100" s="958">
        <v>0</v>
      </c>
      <c r="CZ100" s="958">
        <v>0</v>
      </c>
      <c r="DA100" s="958">
        <v>0</v>
      </c>
      <c r="DB100" s="958">
        <v>0</v>
      </c>
      <c r="DC100" s="958">
        <v>0</v>
      </c>
      <c r="DD100" s="958">
        <v>0</v>
      </c>
      <c r="DE100" s="958">
        <v>0</v>
      </c>
      <c r="DF100" s="958">
        <v>0</v>
      </c>
      <c r="DG100" s="958">
        <v>0</v>
      </c>
      <c r="DH100" s="958">
        <v>2</v>
      </c>
      <c r="DI100" s="958">
        <v>22</v>
      </c>
      <c r="DJ100" s="960">
        <v>2</v>
      </c>
      <c r="DK100" s="960">
        <v>5</v>
      </c>
      <c r="DL100" s="960">
        <v>31</v>
      </c>
      <c r="DM100" s="161"/>
      <c r="DO100" s="788"/>
      <c r="DP100" s="788"/>
      <c r="DQ100" s="788"/>
      <c r="DR100" s="788"/>
      <c r="DS100" s="789" t="s">
        <v>1292</v>
      </c>
      <c r="DT100" s="961"/>
      <c r="DU100" s="961"/>
      <c r="DV100" s="962">
        <v>0</v>
      </c>
      <c r="DW100" s="961"/>
      <c r="DX100" s="962">
        <v>0</v>
      </c>
      <c r="DY100" s="961"/>
      <c r="DZ100" s="962">
        <v>0</v>
      </c>
      <c r="EA100" s="961"/>
      <c r="EB100" s="962">
        <v>0</v>
      </c>
      <c r="EC100" s="962">
        <v>0</v>
      </c>
      <c r="ED100" s="962">
        <v>0</v>
      </c>
      <c r="EE100" s="962">
        <v>0</v>
      </c>
      <c r="EF100" s="962">
        <v>0</v>
      </c>
      <c r="EG100" s="962">
        <v>0</v>
      </c>
      <c r="EH100" s="962">
        <v>23</v>
      </c>
      <c r="EI100" s="964">
        <v>1</v>
      </c>
      <c r="EJ100" s="964">
        <v>4</v>
      </c>
      <c r="EK100" s="964">
        <v>28</v>
      </c>
      <c r="EL100" s="912"/>
      <c r="EM100" s="73"/>
      <c r="EN100" s="965"/>
      <c r="EO100" s="965"/>
      <c r="EP100" s="965"/>
      <c r="EQ100" s="981" t="s">
        <v>15</v>
      </c>
      <c r="ER100" s="982"/>
      <c r="ES100" s="982"/>
      <c r="ET100" s="982"/>
      <c r="EU100" s="982"/>
      <c r="EV100" s="740">
        <v>1</v>
      </c>
      <c r="EW100" s="740">
        <v>2</v>
      </c>
      <c r="EX100" s="740">
        <v>1</v>
      </c>
      <c r="EY100" s="982"/>
      <c r="EZ100" s="740">
        <v>1</v>
      </c>
      <c r="FA100" s="740">
        <v>3</v>
      </c>
      <c r="FB100" s="740">
        <v>3</v>
      </c>
      <c r="FC100" s="982"/>
      <c r="FD100" s="740">
        <v>1</v>
      </c>
      <c r="FE100" s="740">
        <v>12</v>
      </c>
      <c r="FF100" s="905">
        <f>+(FE99+FE98+FE96)/FE100</f>
        <v>0.5</v>
      </c>
      <c r="FG100" s="73"/>
      <c r="FH100" s="73"/>
      <c r="FI100" s="161"/>
      <c r="FJ100" s="161"/>
      <c r="FK100" s="73" t="s">
        <v>146</v>
      </c>
      <c r="FL100" s="73" t="s">
        <v>1284</v>
      </c>
      <c r="FM100" s="161"/>
      <c r="FN100" s="161">
        <v>0</v>
      </c>
      <c r="FO100" s="161"/>
      <c r="FP100" s="161"/>
      <c r="FQ100" s="161"/>
      <c r="FR100" s="161"/>
      <c r="FS100" s="161"/>
      <c r="FT100" s="161">
        <v>3</v>
      </c>
      <c r="FU100" s="161">
        <v>4</v>
      </c>
      <c r="FV100" s="161">
        <v>1</v>
      </c>
      <c r="FW100" s="161"/>
      <c r="FX100" s="161"/>
      <c r="FY100" s="161">
        <v>0</v>
      </c>
      <c r="FZ100" s="161"/>
      <c r="GA100" s="161"/>
      <c r="GB100" s="161"/>
      <c r="GC100" s="161">
        <v>8</v>
      </c>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row>
    <row r="101" spans="1:210">
      <c r="A101" s="73"/>
      <c r="B101" s="73" t="s">
        <v>16</v>
      </c>
      <c r="C101" s="73" t="s">
        <v>108</v>
      </c>
      <c r="D101" s="73" t="s">
        <v>1284</v>
      </c>
      <c r="E101" s="967"/>
      <c r="F101" s="967"/>
      <c r="G101" s="967"/>
      <c r="H101" s="967"/>
      <c r="I101" s="967"/>
      <c r="J101" s="967">
        <v>1</v>
      </c>
      <c r="K101" s="967"/>
      <c r="L101" s="967"/>
      <c r="M101" s="967"/>
      <c r="N101" s="967"/>
      <c r="O101" s="967"/>
      <c r="P101" s="967">
        <v>1</v>
      </c>
      <c r="Q101" s="967">
        <v>2</v>
      </c>
      <c r="R101" s="967">
        <v>0</v>
      </c>
      <c r="S101" s="967">
        <v>0</v>
      </c>
      <c r="T101" s="73"/>
      <c r="U101" s="73"/>
      <c r="V101" s="73">
        <v>4</v>
      </c>
      <c r="W101" s="73"/>
      <c r="Y101" s="73"/>
      <c r="Z101" s="73"/>
      <c r="AA101" s="73"/>
      <c r="AB101" s="738" t="s">
        <v>15</v>
      </c>
      <c r="AC101" s="3262"/>
      <c r="AD101" s="3262">
        <v>1</v>
      </c>
      <c r="AE101" s="3262"/>
      <c r="AF101" s="3262"/>
      <c r="AG101" s="3262"/>
      <c r="AH101" s="3262"/>
      <c r="AI101" s="3262"/>
      <c r="AJ101" s="3262"/>
      <c r="AK101" s="3262"/>
      <c r="AL101" s="3262"/>
      <c r="AM101" s="3262"/>
      <c r="AN101" s="3262">
        <v>1</v>
      </c>
      <c r="AO101" s="3262">
        <v>3</v>
      </c>
      <c r="AP101" s="3262">
        <v>8</v>
      </c>
      <c r="AQ101" s="3262">
        <v>1</v>
      </c>
      <c r="AR101" s="151">
        <v>1</v>
      </c>
      <c r="AS101" s="151"/>
      <c r="AT101" s="151">
        <v>15</v>
      </c>
      <c r="AU101" s="912">
        <f>+(AT98+AT100)/AT101</f>
        <v>0.73333333333333328</v>
      </c>
      <c r="AY101" s="73"/>
      <c r="AZ101" s="738" t="s">
        <v>15</v>
      </c>
      <c r="BA101" s="2608"/>
      <c r="BB101" s="2608"/>
      <c r="BC101" s="2608"/>
      <c r="BD101" s="2608"/>
      <c r="BE101" s="2608"/>
      <c r="BF101" s="2608"/>
      <c r="BG101" s="2608"/>
      <c r="BH101" s="2608"/>
      <c r="BI101" s="2608"/>
      <c r="BJ101" s="2608"/>
      <c r="BK101" s="2608">
        <v>1</v>
      </c>
      <c r="BL101" s="2608"/>
      <c r="BM101" s="2608">
        <v>2</v>
      </c>
      <c r="BN101" s="2608">
        <v>1</v>
      </c>
      <c r="BO101" s="2608">
        <v>1</v>
      </c>
      <c r="BP101" s="738">
        <v>2</v>
      </c>
      <c r="BQ101" s="738">
        <v>8</v>
      </c>
      <c r="BR101" s="738">
        <v>15</v>
      </c>
      <c r="BS101" s="912">
        <f>+(BR98+BR100)/BR101</f>
        <v>0.13333333333333333</v>
      </c>
      <c r="BU101" s="2207"/>
      <c r="BV101" s="2207"/>
      <c r="BW101" s="2207" t="s">
        <v>131</v>
      </c>
      <c r="BX101" s="2208" t="s">
        <v>1283</v>
      </c>
      <c r="BY101" s="2209"/>
      <c r="BZ101" s="2209"/>
      <c r="CA101" s="2209"/>
      <c r="CB101" s="2209"/>
      <c r="CC101" s="2209"/>
      <c r="CD101" s="2209"/>
      <c r="CE101" s="2209"/>
      <c r="CF101" s="2209"/>
      <c r="CG101" s="2209"/>
      <c r="CH101" s="2210">
        <v>0</v>
      </c>
      <c r="CI101" s="2210">
        <v>0</v>
      </c>
      <c r="CJ101" s="2210">
        <v>0</v>
      </c>
      <c r="CK101" s="2210">
        <v>1</v>
      </c>
      <c r="CL101" s="2211"/>
      <c r="CM101" s="2211"/>
      <c r="CN101" s="2212">
        <v>1</v>
      </c>
      <c r="CO101" s="73"/>
      <c r="CQ101" s="955"/>
      <c r="CR101" s="955"/>
      <c r="CS101" s="955"/>
      <c r="CT101" s="956" t="s">
        <v>1398</v>
      </c>
      <c r="CU101" s="957"/>
      <c r="CV101" s="958">
        <v>0</v>
      </c>
      <c r="CW101" s="958">
        <v>0</v>
      </c>
      <c r="CX101" s="958">
        <v>0</v>
      </c>
      <c r="CY101" s="958">
        <v>0</v>
      </c>
      <c r="CZ101" s="958">
        <v>0</v>
      </c>
      <c r="DA101" s="958">
        <v>2</v>
      </c>
      <c r="DB101" s="958">
        <v>1</v>
      </c>
      <c r="DC101" s="958">
        <v>2</v>
      </c>
      <c r="DD101" s="958">
        <v>2</v>
      </c>
      <c r="DE101" s="958">
        <v>6</v>
      </c>
      <c r="DF101" s="958">
        <v>3</v>
      </c>
      <c r="DG101" s="958">
        <v>2</v>
      </c>
      <c r="DH101" s="958">
        <v>3</v>
      </c>
      <c r="DI101" s="958">
        <v>0</v>
      </c>
      <c r="DJ101" s="960">
        <v>0</v>
      </c>
      <c r="DK101" s="960">
        <v>0</v>
      </c>
      <c r="DL101" s="960">
        <v>21</v>
      </c>
      <c r="DM101" s="161"/>
      <c r="DO101" s="788"/>
      <c r="DP101" s="788"/>
      <c r="DQ101" s="788"/>
      <c r="DR101" s="788"/>
      <c r="DS101" s="789" t="s">
        <v>1398</v>
      </c>
      <c r="DT101" s="961"/>
      <c r="DU101" s="961"/>
      <c r="DV101" s="962">
        <v>0</v>
      </c>
      <c r="DW101" s="961"/>
      <c r="DX101" s="962">
        <v>0</v>
      </c>
      <c r="DY101" s="961"/>
      <c r="DZ101" s="962">
        <v>0</v>
      </c>
      <c r="EA101" s="961"/>
      <c r="EB101" s="962">
        <v>1</v>
      </c>
      <c r="EC101" s="962">
        <v>1</v>
      </c>
      <c r="ED101" s="962">
        <v>1</v>
      </c>
      <c r="EE101" s="962">
        <v>1</v>
      </c>
      <c r="EF101" s="962">
        <v>9</v>
      </c>
      <c r="EG101" s="962">
        <v>1</v>
      </c>
      <c r="EH101" s="962">
        <v>0</v>
      </c>
      <c r="EI101" s="964">
        <v>0</v>
      </c>
      <c r="EJ101" s="964">
        <v>0</v>
      </c>
      <c r="EK101" s="964">
        <v>14</v>
      </c>
      <c r="EL101" s="912"/>
      <c r="EM101" s="73"/>
      <c r="EN101" s="965"/>
      <c r="EO101" s="965" t="s">
        <v>105</v>
      </c>
      <c r="EP101" s="965" t="s">
        <v>147</v>
      </c>
      <c r="EQ101" s="734" t="s">
        <v>1284</v>
      </c>
      <c r="ER101" s="966"/>
      <c r="ES101" s="966"/>
      <c r="ET101" s="966"/>
      <c r="EU101" s="966"/>
      <c r="EV101" s="966"/>
      <c r="EW101" s="966"/>
      <c r="EX101" s="966"/>
      <c r="EY101" s="966"/>
      <c r="EZ101" s="735">
        <v>0</v>
      </c>
      <c r="FA101" s="735">
        <v>1</v>
      </c>
      <c r="FB101" s="735">
        <v>2</v>
      </c>
      <c r="FC101" s="735">
        <v>0</v>
      </c>
      <c r="FD101" s="735">
        <v>0</v>
      </c>
      <c r="FE101" s="735">
        <v>3</v>
      </c>
      <c r="FF101" s="967"/>
      <c r="FG101" s="73"/>
      <c r="FH101" s="73"/>
      <c r="FI101" s="161"/>
      <c r="FJ101" s="161"/>
      <c r="FK101" s="73"/>
      <c r="FL101" s="73" t="s">
        <v>1286</v>
      </c>
      <c r="FM101" s="161"/>
      <c r="FN101" s="161">
        <v>1</v>
      </c>
      <c r="FO101" s="161"/>
      <c r="FP101" s="161"/>
      <c r="FQ101" s="161"/>
      <c r="FR101" s="161"/>
      <c r="FS101" s="161"/>
      <c r="FT101" s="161">
        <v>0</v>
      </c>
      <c r="FU101" s="161">
        <v>0</v>
      </c>
      <c r="FV101" s="161">
        <v>0</v>
      </c>
      <c r="FW101" s="161"/>
      <c r="FX101" s="161"/>
      <c r="FY101" s="161">
        <v>0</v>
      </c>
      <c r="FZ101" s="161"/>
      <c r="GA101" s="161"/>
      <c r="GB101" s="161"/>
      <c r="GC101" s="161">
        <v>1</v>
      </c>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row>
    <row r="102" spans="1:210">
      <c r="A102" s="73"/>
      <c r="B102" s="73"/>
      <c r="C102" s="73"/>
      <c r="D102" s="73" t="s">
        <v>1288</v>
      </c>
      <c r="E102" s="967"/>
      <c r="F102" s="967"/>
      <c r="G102" s="967"/>
      <c r="H102" s="967"/>
      <c r="I102" s="967"/>
      <c r="J102" s="967">
        <v>0</v>
      </c>
      <c r="K102" s="967"/>
      <c r="L102" s="967"/>
      <c r="M102" s="967"/>
      <c r="N102" s="967"/>
      <c r="O102" s="967"/>
      <c r="P102" s="967">
        <v>0</v>
      </c>
      <c r="Q102" s="967">
        <v>0</v>
      </c>
      <c r="R102" s="967">
        <v>1</v>
      </c>
      <c r="S102" s="967">
        <v>0</v>
      </c>
      <c r="T102" s="73"/>
      <c r="U102" s="73"/>
      <c r="V102" s="73">
        <v>1</v>
      </c>
      <c r="W102" s="73"/>
      <c r="Y102" s="73"/>
      <c r="Z102" s="73"/>
      <c r="AA102" s="73" t="s">
        <v>338</v>
      </c>
      <c r="AB102" s="73" t="s">
        <v>1284</v>
      </c>
      <c r="AC102" s="3261"/>
      <c r="AD102" s="3261"/>
      <c r="AE102" s="3261"/>
      <c r="AF102" s="3261"/>
      <c r="AG102" s="3261"/>
      <c r="AH102" s="3261"/>
      <c r="AI102" s="3261"/>
      <c r="AJ102" s="3261">
        <v>1</v>
      </c>
      <c r="AK102" s="3261">
        <v>1</v>
      </c>
      <c r="AL102" s="3261">
        <v>0</v>
      </c>
      <c r="AM102" s="3261"/>
      <c r="AN102" s="3261"/>
      <c r="AO102" s="3261">
        <v>1</v>
      </c>
      <c r="AP102" s="3261">
        <v>1</v>
      </c>
      <c r="AQ102" s="3261">
        <v>0</v>
      </c>
      <c r="AR102" s="161"/>
      <c r="AS102" s="161">
        <v>0</v>
      </c>
      <c r="AT102" s="161">
        <v>4</v>
      </c>
      <c r="AU102" s="73"/>
      <c r="AY102" s="73" t="s">
        <v>573</v>
      </c>
      <c r="AZ102" s="73" t="s">
        <v>1284</v>
      </c>
      <c r="BA102" s="2607">
        <v>1</v>
      </c>
      <c r="BB102" s="2607">
        <v>2</v>
      </c>
      <c r="BC102" s="2607"/>
      <c r="BD102" s="2607">
        <v>1</v>
      </c>
      <c r="BE102" s="2607"/>
      <c r="BF102" s="2607"/>
      <c r="BG102" s="2607"/>
      <c r="BH102" s="2607"/>
      <c r="BI102" s="2607">
        <v>1</v>
      </c>
      <c r="BJ102" s="2607">
        <v>0</v>
      </c>
      <c r="BK102" s="2607">
        <v>1</v>
      </c>
      <c r="BL102" s="2607"/>
      <c r="BM102" s="2607">
        <v>11</v>
      </c>
      <c r="BN102" s="2607">
        <v>9</v>
      </c>
      <c r="BO102" s="2607">
        <v>0</v>
      </c>
      <c r="BP102" s="73">
        <v>0</v>
      </c>
      <c r="BQ102" s="73">
        <v>0</v>
      </c>
      <c r="BR102" s="73">
        <v>26</v>
      </c>
      <c r="BS102" s="73"/>
      <c r="BU102" s="2207"/>
      <c r="BV102" s="2207"/>
      <c r="BW102" s="2207"/>
      <c r="BX102" s="2208" t="s">
        <v>1284</v>
      </c>
      <c r="BY102" s="2209"/>
      <c r="BZ102" s="2209"/>
      <c r="CA102" s="2209"/>
      <c r="CB102" s="2209"/>
      <c r="CC102" s="2209"/>
      <c r="CD102" s="2209"/>
      <c r="CE102" s="2209"/>
      <c r="CF102" s="2209"/>
      <c r="CG102" s="2209"/>
      <c r="CH102" s="2210">
        <v>0</v>
      </c>
      <c r="CI102" s="2210">
        <v>1</v>
      </c>
      <c r="CJ102" s="2210">
        <v>1</v>
      </c>
      <c r="CK102" s="2210">
        <v>0</v>
      </c>
      <c r="CL102" s="2211"/>
      <c r="CM102" s="2211"/>
      <c r="CN102" s="2212">
        <v>2</v>
      </c>
      <c r="CO102" s="73"/>
      <c r="CQ102" s="955"/>
      <c r="CR102" s="955"/>
      <c r="CS102" s="955"/>
      <c r="CT102" s="974" t="s">
        <v>573</v>
      </c>
      <c r="CU102" s="975"/>
      <c r="CV102" s="976">
        <v>3</v>
      </c>
      <c r="CW102" s="976">
        <v>3</v>
      </c>
      <c r="CX102" s="976">
        <v>3</v>
      </c>
      <c r="CY102" s="976">
        <v>2</v>
      </c>
      <c r="CZ102" s="976">
        <v>1</v>
      </c>
      <c r="DA102" s="976">
        <v>4</v>
      </c>
      <c r="DB102" s="976">
        <v>4</v>
      </c>
      <c r="DC102" s="976">
        <v>5</v>
      </c>
      <c r="DD102" s="976">
        <v>3</v>
      </c>
      <c r="DE102" s="976">
        <v>8</v>
      </c>
      <c r="DF102" s="976">
        <v>6</v>
      </c>
      <c r="DG102" s="976">
        <v>11</v>
      </c>
      <c r="DH102" s="976">
        <v>25</v>
      </c>
      <c r="DI102" s="976">
        <v>23</v>
      </c>
      <c r="DJ102" s="978">
        <v>2</v>
      </c>
      <c r="DK102" s="978">
        <v>5</v>
      </c>
      <c r="DL102" s="978">
        <v>108</v>
      </c>
      <c r="DM102" s="912">
        <f>+(DL98+DL101)/DL102</f>
        <v>0.41666666666666669</v>
      </c>
      <c r="DO102" s="788"/>
      <c r="DP102" s="788"/>
      <c r="DQ102" s="788"/>
      <c r="DR102" s="73"/>
      <c r="DS102" s="809" t="s">
        <v>573</v>
      </c>
      <c r="DT102" s="970"/>
      <c r="DU102" s="970"/>
      <c r="DV102" s="971">
        <v>3</v>
      </c>
      <c r="DW102" s="970"/>
      <c r="DX102" s="971">
        <v>1</v>
      </c>
      <c r="DY102" s="970"/>
      <c r="DZ102" s="971">
        <v>2</v>
      </c>
      <c r="EA102" s="970"/>
      <c r="EB102" s="971">
        <v>1</v>
      </c>
      <c r="EC102" s="971">
        <v>4</v>
      </c>
      <c r="ED102" s="971">
        <v>5</v>
      </c>
      <c r="EE102" s="971">
        <v>5</v>
      </c>
      <c r="EF102" s="971">
        <v>22</v>
      </c>
      <c r="EG102" s="971">
        <v>10</v>
      </c>
      <c r="EH102" s="971">
        <v>26</v>
      </c>
      <c r="EI102" s="973">
        <v>4</v>
      </c>
      <c r="EJ102" s="973">
        <v>4</v>
      </c>
      <c r="EK102" s="973">
        <v>87</v>
      </c>
      <c r="EL102" s="912">
        <f>+(EK101+EK98-EI98)/EK102</f>
        <v>0.40229885057471265</v>
      </c>
      <c r="EM102" s="73"/>
      <c r="EN102" s="965"/>
      <c r="EO102" s="965"/>
      <c r="EP102" s="965"/>
      <c r="EQ102" s="734" t="s">
        <v>1288</v>
      </c>
      <c r="ER102" s="966"/>
      <c r="ES102" s="966"/>
      <c r="ET102" s="966"/>
      <c r="EU102" s="966"/>
      <c r="EV102" s="966"/>
      <c r="EW102" s="966"/>
      <c r="EX102" s="966"/>
      <c r="EY102" s="966"/>
      <c r="EZ102" s="735">
        <v>0</v>
      </c>
      <c r="FA102" s="735">
        <v>0</v>
      </c>
      <c r="FB102" s="735">
        <v>0</v>
      </c>
      <c r="FC102" s="735">
        <v>1</v>
      </c>
      <c r="FD102" s="735">
        <v>0</v>
      </c>
      <c r="FE102" s="735">
        <v>1</v>
      </c>
      <c r="FF102" s="967"/>
      <c r="FG102" s="73"/>
      <c r="FH102" s="73"/>
      <c r="FI102" s="161"/>
      <c r="FJ102" s="161"/>
      <c r="FK102" s="73"/>
      <c r="FL102" s="73" t="s">
        <v>1292</v>
      </c>
      <c r="FM102" s="161"/>
      <c r="FN102" s="161">
        <v>0</v>
      </c>
      <c r="FO102" s="161"/>
      <c r="FP102" s="161"/>
      <c r="FQ102" s="161"/>
      <c r="FR102" s="161"/>
      <c r="FS102" s="161"/>
      <c r="FT102" s="161">
        <v>0</v>
      </c>
      <c r="FU102" s="161">
        <v>0</v>
      </c>
      <c r="FV102" s="161">
        <v>0</v>
      </c>
      <c r="FW102" s="161"/>
      <c r="FX102" s="161"/>
      <c r="FY102" s="161">
        <v>1</v>
      </c>
      <c r="FZ102" s="161"/>
      <c r="GA102" s="161"/>
      <c r="GB102" s="161"/>
      <c r="GC102" s="161">
        <v>1</v>
      </c>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row>
    <row r="103" spans="1:210">
      <c r="A103" s="73"/>
      <c r="B103" s="73"/>
      <c r="C103" s="73"/>
      <c r="D103" s="73" t="s">
        <v>1292</v>
      </c>
      <c r="E103" s="967"/>
      <c r="F103" s="967"/>
      <c r="G103" s="967"/>
      <c r="H103" s="967"/>
      <c r="I103" s="967"/>
      <c r="J103" s="967">
        <v>0</v>
      </c>
      <c r="K103" s="967"/>
      <c r="L103" s="967"/>
      <c r="M103" s="967"/>
      <c r="N103" s="967"/>
      <c r="O103" s="967"/>
      <c r="P103" s="967">
        <v>0</v>
      </c>
      <c r="Q103" s="967">
        <v>0</v>
      </c>
      <c r="R103" s="967">
        <v>8</v>
      </c>
      <c r="S103" s="967">
        <v>6</v>
      </c>
      <c r="T103" s="73"/>
      <c r="U103" s="73"/>
      <c r="V103" s="73">
        <v>14</v>
      </c>
      <c r="W103" s="73"/>
      <c r="Y103" s="73"/>
      <c r="Z103" s="73"/>
      <c r="AA103" s="73"/>
      <c r="AB103" s="73" t="s">
        <v>1288</v>
      </c>
      <c r="AC103" s="3261"/>
      <c r="AD103" s="3261"/>
      <c r="AE103" s="3261"/>
      <c r="AF103" s="3261"/>
      <c r="AG103" s="3261"/>
      <c r="AH103" s="3261"/>
      <c r="AI103" s="3261"/>
      <c r="AJ103" s="3261">
        <v>1</v>
      </c>
      <c r="AK103" s="3261">
        <v>0</v>
      </c>
      <c r="AL103" s="3261">
        <v>0</v>
      </c>
      <c r="AM103" s="3261"/>
      <c r="AN103" s="3261"/>
      <c r="AO103" s="3261">
        <v>0</v>
      </c>
      <c r="AP103" s="3261">
        <v>1</v>
      </c>
      <c r="AQ103" s="3261">
        <v>0</v>
      </c>
      <c r="AR103" s="161"/>
      <c r="AS103" s="161">
        <v>0</v>
      </c>
      <c r="AT103" s="161">
        <v>2</v>
      </c>
      <c r="AU103" s="73"/>
      <c r="AY103" s="73"/>
      <c r="AZ103" s="73" t="s">
        <v>1288</v>
      </c>
      <c r="BA103" s="2607">
        <v>0</v>
      </c>
      <c r="BB103" s="2607">
        <v>0</v>
      </c>
      <c r="BC103" s="2607"/>
      <c r="BD103" s="2607">
        <v>0</v>
      </c>
      <c r="BE103" s="2607"/>
      <c r="BF103" s="2607"/>
      <c r="BG103" s="2607"/>
      <c r="BH103" s="2607"/>
      <c r="BI103" s="2607">
        <v>0</v>
      </c>
      <c r="BJ103" s="2607">
        <v>0</v>
      </c>
      <c r="BK103" s="2607">
        <v>0</v>
      </c>
      <c r="BL103" s="2607"/>
      <c r="BM103" s="2607">
        <v>19</v>
      </c>
      <c r="BN103" s="2607">
        <v>16</v>
      </c>
      <c r="BO103" s="2607">
        <v>0</v>
      </c>
      <c r="BP103" s="73">
        <v>0</v>
      </c>
      <c r="BQ103" s="73">
        <v>0</v>
      </c>
      <c r="BR103" s="73">
        <v>35</v>
      </c>
      <c r="BS103" s="73"/>
      <c r="BU103" s="2207"/>
      <c r="BV103" s="2207"/>
      <c r="BW103" s="2207"/>
      <c r="BX103" s="2208" t="s">
        <v>1288</v>
      </c>
      <c r="BY103" s="2209"/>
      <c r="BZ103" s="2209"/>
      <c r="CA103" s="2209"/>
      <c r="CB103" s="2209"/>
      <c r="CC103" s="2209"/>
      <c r="CD103" s="2209"/>
      <c r="CE103" s="2209"/>
      <c r="CF103" s="2209"/>
      <c r="CG103" s="2209"/>
      <c r="CH103" s="2210">
        <v>0</v>
      </c>
      <c r="CI103" s="2210">
        <v>1</v>
      </c>
      <c r="CJ103" s="2210">
        <v>1</v>
      </c>
      <c r="CK103" s="2210">
        <v>1</v>
      </c>
      <c r="CL103" s="2211"/>
      <c r="CM103" s="2211"/>
      <c r="CN103" s="2212">
        <v>3</v>
      </c>
      <c r="CO103" s="73"/>
      <c r="CQ103" s="955"/>
      <c r="CR103" s="955" t="s">
        <v>41</v>
      </c>
      <c r="CS103" s="955" t="s">
        <v>130</v>
      </c>
      <c r="CT103" s="956" t="s">
        <v>1283</v>
      </c>
      <c r="CU103" s="957"/>
      <c r="CV103" s="957"/>
      <c r="CW103" s="957"/>
      <c r="CX103" s="957"/>
      <c r="CY103" s="957"/>
      <c r="CZ103" s="957"/>
      <c r="DA103" s="957"/>
      <c r="DB103" s="957"/>
      <c r="DC103" s="957"/>
      <c r="DD103" s="957"/>
      <c r="DE103" s="957"/>
      <c r="DF103" s="957"/>
      <c r="DG103" s="958">
        <v>0</v>
      </c>
      <c r="DH103" s="958">
        <v>0</v>
      </c>
      <c r="DI103" s="958">
        <v>2</v>
      </c>
      <c r="DJ103" s="960">
        <v>0</v>
      </c>
      <c r="DK103" s="960">
        <v>0</v>
      </c>
      <c r="DL103" s="960">
        <v>2</v>
      </c>
      <c r="DM103" s="161"/>
      <c r="DO103" s="788"/>
      <c r="DP103" s="788" t="s">
        <v>41</v>
      </c>
      <c r="DQ103" s="788" t="s">
        <v>130</v>
      </c>
      <c r="DR103" s="788" t="s">
        <v>1282</v>
      </c>
      <c r="DS103" s="789" t="s">
        <v>1284</v>
      </c>
      <c r="DT103" s="961"/>
      <c r="DU103" s="961"/>
      <c r="DV103" s="961"/>
      <c r="DW103" s="961"/>
      <c r="DX103" s="961"/>
      <c r="DY103" s="961"/>
      <c r="DZ103" s="961"/>
      <c r="EA103" s="961"/>
      <c r="EB103" s="961"/>
      <c r="EC103" s="962">
        <v>1</v>
      </c>
      <c r="ED103" s="962">
        <v>0</v>
      </c>
      <c r="EE103" s="962">
        <v>0</v>
      </c>
      <c r="EF103" s="962">
        <v>0</v>
      </c>
      <c r="EG103" s="962">
        <v>0</v>
      </c>
      <c r="EH103" s="962">
        <v>1</v>
      </c>
      <c r="EI103" s="963"/>
      <c r="EJ103" s="963"/>
      <c r="EK103" s="964">
        <v>2</v>
      </c>
      <c r="EL103" s="912"/>
      <c r="EM103" s="73"/>
      <c r="EN103" s="965"/>
      <c r="EO103" s="965"/>
      <c r="EP103" s="965"/>
      <c r="EQ103" s="734" t="s">
        <v>1292</v>
      </c>
      <c r="ER103" s="966"/>
      <c r="ES103" s="966"/>
      <c r="ET103" s="966"/>
      <c r="EU103" s="966"/>
      <c r="EV103" s="966"/>
      <c r="EW103" s="966"/>
      <c r="EX103" s="966"/>
      <c r="EY103" s="966"/>
      <c r="EZ103" s="735">
        <v>0</v>
      </c>
      <c r="FA103" s="735">
        <v>0</v>
      </c>
      <c r="FB103" s="735">
        <v>0</v>
      </c>
      <c r="FC103" s="735">
        <v>0</v>
      </c>
      <c r="FD103" s="735">
        <v>4</v>
      </c>
      <c r="FE103" s="735">
        <v>4</v>
      </c>
      <c r="FF103" s="967"/>
      <c r="FG103" s="73"/>
      <c r="FH103" s="73"/>
      <c r="FI103" s="161"/>
      <c r="FJ103" s="161"/>
      <c r="FK103" s="73"/>
      <c r="FL103" s="73" t="s">
        <v>1398</v>
      </c>
      <c r="FM103" s="161"/>
      <c r="FN103" s="161">
        <v>0</v>
      </c>
      <c r="FO103" s="161"/>
      <c r="FP103" s="161"/>
      <c r="FQ103" s="161"/>
      <c r="FR103" s="161"/>
      <c r="FS103" s="161"/>
      <c r="FT103" s="161">
        <v>2</v>
      </c>
      <c r="FU103" s="161">
        <v>0</v>
      </c>
      <c r="FV103" s="161">
        <v>0</v>
      </c>
      <c r="FW103" s="161"/>
      <c r="FX103" s="161"/>
      <c r="FY103" s="161">
        <v>0</v>
      </c>
      <c r="FZ103" s="161"/>
      <c r="GA103" s="161"/>
      <c r="GB103" s="161"/>
      <c r="GC103" s="161">
        <v>2</v>
      </c>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row>
    <row r="104" spans="1:210">
      <c r="A104" s="73"/>
      <c r="B104" s="73"/>
      <c r="C104" s="73"/>
      <c r="D104" s="73" t="s">
        <v>1398</v>
      </c>
      <c r="E104" s="967"/>
      <c r="F104" s="967"/>
      <c r="G104" s="967"/>
      <c r="H104" s="967"/>
      <c r="I104" s="967"/>
      <c r="J104" s="967">
        <v>0</v>
      </c>
      <c r="K104" s="967"/>
      <c r="L104" s="967"/>
      <c r="M104" s="967"/>
      <c r="N104" s="967"/>
      <c r="O104" s="967"/>
      <c r="P104" s="967">
        <v>0</v>
      </c>
      <c r="Q104" s="967">
        <v>1</v>
      </c>
      <c r="R104" s="967">
        <v>0</v>
      </c>
      <c r="S104" s="967">
        <v>0</v>
      </c>
      <c r="T104" s="73"/>
      <c r="U104" s="73"/>
      <c r="V104" s="73">
        <v>1</v>
      </c>
      <c r="W104" s="73"/>
      <c r="Y104" s="73"/>
      <c r="Z104" s="73"/>
      <c r="AA104" s="73"/>
      <c r="AB104" s="73" t="s">
        <v>1292</v>
      </c>
      <c r="AC104" s="3261"/>
      <c r="AD104" s="3261"/>
      <c r="AE104" s="3261"/>
      <c r="AF104" s="3261"/>
      <c r="AG104" s="3261"/>
      <c r="AH104" s="3261"/>
      <c r="AI104" s="3261"/>
      <c r="AJ104" s="3261">
        <v>0</v>
      </c>
      <c r="AK104" s="3261">
        <v>0</v>
      </c>
      <c r="AL104" s="3261">
        <v>0</v>
      </c>
      <c r="AM104" s="3261"/>
      <c r="AN104" s="3261"/>
      <c r="AO104" s="3261">
        <v>0</v>
      </c>
      <c r="AP104" s="3261">
        <v>0</v>
      </c>
      <c r="AQ104" s="3261">
        <v>7</v>
      </c>
      <c r="AR104" s="161"/>
      <c r="AS104" s="161">
        <v>1</v>
      </c>
      <c r="AT104" s="161">
        <v>8</v>
      </c>
      <c r="AU104" s="73"/>
      <c r="AY104" s="73"/>
      <c r="AZ104" s="73" t="s">
        <v>1289</v>
      </c>
      <c r="BA104" s="2607">
        <v>0</v>
      </c>
      <c r="BB104" s="2607">
        <v>2</v>
      </c>
      <c r="BC104" s="2607"/>
      <c r="BD104" s="2607">
        <v>1</v>
      </c>
      <c r="BE104" s="2607"/>
      <c r="BF104" s="2607"/>
      <c r="BG104" s="2607"/>
      <c r="BH104" s="2607"/>
      <c r="BI104" s="2607">
        <v>0</v>
      </c>
      <c r="BJ104" s="2607">
        <v>1</v>
      </c>
      <c r="BK104" s="2607">
        <v>0</v>
      </c>
      <c r="BL104" s="2607"/>
      <c r="BM104" s="2607">
        <v>0</v>
      </c>
      <c r="BN104" s="2607">
        <v>1</v>
      </c>
      <c r="BO104" s="2607">
        <v>0</v>
      </c>
      <c r="BP104" s="73">
        <v>0</v>
      </c>
      <c r="BQ104" s="73">
        <v>0</v>
      </c>
      <c r="BR104" s="73">
        <v>5</v>
      </c>
      <c r="BS104" s="73"/>
      <c r="BU104" s="2207"/>
      <c r="BV104" s="2207"/>
      <c r="BW104" s="2207"/>
      <c r="BX104" s="2208" t="s">
        <v>1292</v>
      </c>
      <c r="BY104" s="2209"/>
      <c r="BZ104" s="2209"/>
      <c r="CA104" s="2209"/>
      <c r="CB104" s="2209"/>
      <c r="CC104" s="2209"/>
      <c r="CD104" s="2209"/>
      <c r="CE104" s="2209"/>
      <c r="CF104" s="2209"/>
      <c r="CG104" s="2209"/>
      <c r="CH104" s="2210">
        <v>0</v>
      </c>
      <c r="CI104" s="2210">
        <v>0</v>
      </c>
      <c r="CJ104" s="2210">
        <v>0</v>
      </c>
      <c r="CK104" s="2210">
        <v>1</v>
      </c>
      <c r="CL104" s="2211"/>
      <c r="CM104" s="2211"/>
      <c r="CN104" s="2212">
        <v>1</v>
      </c>
      <c r="CO104" s="73"/>
      <c r="CQ104" s="955"/>
      <c r="CR104" s="955"/>
      <c r="CS104" s="955"/>
      <c r="CT104" s="956" t="s">
        <v>1284</v>
      </c>
      <c r="CU104" s="957"/>
      <c r="CV104" s="957"/>
      <c r="CW104" s="957"/>
      <c r="CX104" s="957"/>
      <c r="CY104" s="957"/>
      <c r="CZ104" s="957"/>
      <c r="DA104" s="957"/>
      <c r="DB104" s="957"/>
      <c r="DC104" s="957"/>
      <c r="DD104" s="957"/>
      <c r="DE104" s="957"/>
      <c r="DF104" s="957"/>
      <c r="DG104" s="958">
        <v>0</v>
      </c>
      <c r="DH104" s="958">
        <v>2</v>
      </c>
      <c r="DI104" s="958">
        <v>0</v>
      </c>
      <c r="DJ104" s="960">
        <v>0</v>
      </c>
      <c r="DK104" s="960">
        <v>0</v>
      </c>
      <c r="DL104" s="960">
        <v>2</v>
      </c>
      <c r="DM104" s="161"/>
      <c r="DO104" s="788"/>
      <c r="DP104" s="788"/>
      <c r="DQ104" s="788"/>
      <c r="DR104" s="788"/>
      <c r="DS104" s="789" t="s">
        <v>1288</v>
      </c>
      <c r="DT104" s="961"/>
      <c r="DU104" s="961"/>
      <c r="DV104" s="961"/>
      <c r="DW104" s="961"/>
      <c r="DX104" s="961"/>
      <c r="DY104" s="961"/>
      <c r="DZ104" s="961"/>
      <c r="EA104" s="961"/>
      <c r="EB104" s="961"/>
      <c r="EC104" s="962">
        <v>0</v>
      </c>
      <c r="ED104" s="962">
        <v>0</v>
      </c>
      <c r="EE104" s="962">
        <v>0</v>
      </c>
      <c r="EF104" s="962">
        <v>0</v>
      </c>
      <c r="EG104" s="962">
        <v>0</v>
      </c>
      <c r="EH104" s="962">
        <v>1</v>
      </c>
      <c r="EI104" s="963"/>
      <c r="EJ104" s="963"/>
      <c r="EK104" s="964">
        <v>1</v>
      </c>
      <c r="EL104" s="912"/>
      <c r="EM104" s="73"/>
      <c r="EN104" s="965"/>
      <c r="EO104" s="965"/>
      <c r="EP104" s="965"/>
      <c r="EQ104" s="734" t="s">
        <v>1293</v>
      </c>
      <c r="ER104" s="966"/>
      <c r="ES104" s="966"/>
      <c r="ET104" s="966"/>
      <c r="EU104" s="966"/>
      <c r="EV104" s="966"/>
      <c r="EW104" s="966"/>
      <c r="EX104" s="966"/>
      <c r="EY104" s="966"/>
      <c r="EZ104" s="735">
        <v>0</v>
      </c>
      <c r="FA104" s="735">
        <v>0</v>
      </c>
      <c r="FB104" s="735">
        <v>1</v>
      </c>
      <c r="FC104" s="735">
        <v>0</v>
      </c>
      <c r="FD104" s="735">
        <v>0</v>
      </c>
      <c r="FE104" s="735">
        <v>1</v>
      </c>
      <c r="FF104" s="967"/>
      <c r="FG104" s="73"/>
      <c r="FH104" s="73"/>
      <c r="FI104" s="161"/>
      <c r="FJ104" s="161"/>
      <c r="FK104" s="73"/>
      <c r="FL104" s="738" t="s">
        <v>15</v>
      </c>
      <c r="FM104" s="151"/>
      <c r="FN104" s="151">
        <v>1</v>
      </c>
      <c r="FO104" s="151"/>
      <c r="FP104" s="151"/>
      <c r="FQ104" s="151"/>
      <c r="FR104" s="151"/>
      <c r="FS104" s="151"/>
      <c r="FT104" s="151">
        <v>5</v>
      </c>
      <c r="FU104" s="151">
        <v>4</v>
      </c>
      <c r="FV104" s="151">
        <v>1</v>
      </c>
      <c r="FW104" s="151"/>
      <c r="FX104" s="151"/>
      <c r="FY104" s="151">
        <v>1</v>
      </c>
      <c r="FZ104" s="151"/>
      <c r="GA104" s="151"/>
      <c r="GB104" s="151"/>
      <c r="GC104" s="151">
        <v>12</v>
      </c>
      <c r="GD104" s="983">
        <f>+GC103/GC104</f>
        <v>0.16666666666666666</v>
      </c>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row>
    <row r="105" spans="1:210">
      <c r="A105" s="73"/>
      <c r="B105" s="73"/>
      <c r="C105" s="73"/>
      <c r="D105" s="738" t="s">
        <v>15</v>
      </c>
      <c r="E105" s="4694"/>
      <c r="F105" s="4694"/>
      <c r="G105" s="4694"/>
      <c r="H105" s="4694"/>
      <c r="I105" s="4694"/>
      <c r="J105" s="4694">
        <v>1</v>
      </c>
      <c r="K105" s="4694"/>
      <c r="L105" s="4694"/>
      <c r="M105" s="4694"/>
      <c r="N105" s="4694"/>
      <c r="O105" s="4694"/>
      <c r="P105" s="4694">
        <v>1</v>
      </c>
      <c r="Q105" s="4694">
        <v>3</v>
      </c>
      <c r="R105" s="4694">
        <v>9</v>
      </c>
      <c r="S105" s="4694">
        <v>6</v>
      </c>
      <c r="T105" s="738"/>
      <c r="U105" s="738"/>
      <c r="V105" s="738">
        <v>20</v>
      </c>
      <c r="W105" s="912">
        <f>+(V104+V102)/V105</f>
        <v>0.1</v>
      </c>
      <c r="X105" s="3197"/>
      <c r="Y105" s="73"/>
      <c r="Z105" s="73"/>
      <c r="AA105" s="73"/>
      <c r="AB105" s="73" t="s">
        <v>1398</v>
      </c>
      <c r="AC105" s="3261"/>
      <c r="AD105" s="3261"/>
      <c r="AE105" s="3261"/>
      <c r="AF105" s="3261"/>
      <c r="AG105" s="3261"/>
      <c r="AH105" s="3261"/>
      <c r="AI105" s="3261"/>
      <c r="AJ105" s="3261">
        <v>0</v>
      </c>
      <c r="AK105" s="3261">
        <v>0</v>
      </c>
      <c r="AL105" s="3261">
        <v>1</v>
      </c>
      <c r="AM105" s="3261"/>
      <c r="AN105" s="3261"/>
      <c r="AO105" s="3261">
        <v>0</v>
      </c>
      <c r="AP105" s="3261">
        <v>0</v>
      </c>
      <c r="AQ105" s="3261">
        <v>0</v>
      </c>
      <c r="AR105" s="161"/>
      <c r="AS105" s="161">
        <v>0</v>
      </c>
      <c r="AT105" s="161">
        <v>1</v>
      </c>
      <c r="AU105" s="73"/>
      <c r="AY105" s="73"/>
      <c r="AZ105" s="73" t="s">
        <v>1292</v>
      </c>
      <c r="BA105" s="2607">
        <v>0</v>
      </c>
      <c r="BB105" s="2607">
        <v>0</v>
      </c>
      <c r="BC105" s="2607"/>
      <c r="BD105" s="2607">
        <v>0</v>
      </c>
      <c r="BE105" s="2607"/>
      <c r="BF105" s="2607"/>
      <c r="BG105" s="2607"/>
      <c r="BH105" s="2607"/>
      <c r="BI105" s="2607">
        <v>0</v>
      </c>
      <c r="BJ105" s="2607">
        <v>0</v>
      </c>
      <c r="BK105" s="2607">
        <v>0</v>
      </c>
      <c r="BL105" s="2607"/>
      <c r="BM105" s="2607">
        <v>0</v>
      </c>
      <c r="BN105" s="2607">
        <v>1</v>
      </c>
      <c r="BO105" s="2607">
        <v>8</v>
      </c>
      <c r="BP105" s="73">
        <v>2</v>
      </c>
      <c r="BQ105" s="73">
        <v>8</v>
      </c>
      <c r="BR105" s="73">
        <v>19</v>
      </c>
      <c r="BS105" s="73"/>
      <c r="BU105" s="2207"/>
      <c r="BV105" s="2207"/>
      <c r="BW105" s="2207"/>
      <c r="BX105" s="2208" t="s">
        <v>1398</v>
      </c>
      <c r="BY105" s="2209"/>
      <c r="BZ105" s="2209"/>
      <c r="CA105" s="2209"/>
      <c r="CB105" s="2209"/>
      <c r="CC105" s="2209"/>
      <c r="CD105" s="2209"/>
      <c r="CE105" s="2209"/>
      <c r="CF105" s="2209"/>
      <c r="CG105" s="2209"/>
      <c r="CH105" s="2210">
        <v>2</v>
      </c>
      <c r="CI105" s="2210">
        <v>0</v>
      </c>
      <c r="CJ105" s="2210">
        <v>3</v>
      </c>
      <c r="CK105" s="2210">
        <v>0</v>
      </c>
      <c r="CL105" s="2211"/>
      <c r="CM105" s="2211"/>
      <c r="CN105" s="2212">
        <v>5</v>
      </c>
      <c r="CO105" s="73"/>
      <c r="CQ105" s="955"/>
      <c r="CR105" s="955"/>
      <c r="CS105" s="955"/>
      <c r="CT105" s="956" t="s">
        <v>1288</v>
      </c>
      <c r="CU105" s="957"/>
      <c r="CV105" s="957"/>
      <c r="CW105" s="957"/>
      <c r="CX105" s="957"/>
      <c r="CY105" s="957"/>
      <c r="CZ105" s="957"/>
      <c r="DA105" s="957"/>
      <c r="DB105" s="957"/>
      <c r="DC105" s="957"/>
      <c r="DD105" s="957"/>
      <c r="DE105" s="957"/>
      <c r="DF105" s="957"/>
      <c r="DG105" s="958">
        <v>4</v>
      </c>
      <c r="DH105" s="958">
        <v>5</v>
      </c>
      <c r="DI105" s="958">
        <v>0</v>
      </c>
      <c r="DJ105" s="960">
        <v>0</v>
      </c>
      <c r="DK105" s="960">
        <v>0</v>
      </c>
      <c r="DL105" s="960">
        <v>9</v>
      </c>
      <c r="DM105" s="161"/>
      <c r="DO105" s="788"/>
      <c r="DP105" s="788"/>
      <c r="DQ105" s="788"/>
      <c r="DR105" s="788"/>
      <c r="DS105" s="789" t="s">
        <v>1292</v>
      </c>
      <c r="DT105" s="961"/>
      <c r="DU105" s="961"/>
      <c r="DV105" s="961"/>
      <c r="DW105" s="961"/>
      <c r="DX105" s="961"/>
      <c r="DY105" s="961"/>
      <c r="DZ105" s="961"/>
      <c r="EA105" s="961"/>
      <c r="EB105" s="961"/>
      <c r="EC105" s="962">
        <v>0</v>
      </c>
      <c r="ED105" s="962">
        <v>0</v>
      </c>
      <c r="EE105" s="962">
        <v>0</v>
      </c>
      <c r="EF105" s="962">
        <v>0</v>
      </c>
      <c r="EG105" s="962">
        <v>0</v>
      </c>
      <c r="EH105" s="962">
        <v>2</v>
      </c>
      <c r="EI105" s="963"/>
      <c r="EJ105" s="963"/>
      <c r="EK105" s="964">
        <v>2</v>
      </c>
      <c r="EL105" s="912"/>
      <c r="EM105" s="73"/>
      <c r="EN105" s="965"/>
      <c r="EO105" s="965"/>
      <c r="EP105" s="965"/>
      <c r="EQ105" s="734" t="s">
        <v>1398</v>
      </c>
      <c r="ER105" s="966"/>
      <c r="ES105" s="966"/>
      <c r="ET105" s="966"/>
      <c r="EU105" s="966"/>
      <c r="EV105" s="966"/>
      <c r="EW105" s="966"/>
      <c r="EX105" s="966"/>
      <c r="EY105" s="966"/>
      <c r="EZ105" s="735">
        <v>2</v>
      </c>
      <c r="FA105" s="735">
        <v>0</v>
      </c>
      <c r="FB105" s="735">
        <v>0</v>
      </c>
      <c r="FC105" s="735">
        <v>0</v>
      </c>
      <c r="FD105" s="735">
        <v>0</v>
      </c>
      <c r="FE105" s="735">
        <v>2</v>
      </c>
      <c r="FF105" s="967"/>
      <c r="FG105" s="73"/>
      <c r="FH105" s="73"/>
      <c r="FI105" s="161"/>
      <c r="FJ105" s="161"/>
      <c r="FK105" s="73" t="s">
        <v>338</v>
      </c>
      <c r="FL105" s="73" t="s">
        <v>1284</v>
      </c>
      <c r="FM105" s="161"/>
      <c r="FN105" s="161"/>
      <c r="FO105" s="161"/>
      <c r="FP105" s="161">
        <v>1</v>
      </c>
      <c r="FQ105" s="161"/>
      <c r="FR105" s="161"/>
      <c r="FS105" s="161"/>
      <c r="FT105" s="161"/>
      <c r="FU105" s="161">
        <v>0</v>
      </c>
      <c r="FV105" s="161">
        <v>0</v>
      </c>
      <c r="FW105" s="161">
        <v>1</v>
      </c>
      <c r="FX105" s="161"/>
      <c r="FY105" s="161">
        <v>0</v>
      </c>
      <c r="FZ105" s="161">
        <v>0</v>
      </c>
      <c r="GA105" s="161"/>
      <c r="GB105" s="161">
        <v>0</v>
      </c>
      <c r="GC105" s="161">
        <v>2</v>
      </c>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row>
    <row r="106" spans="1:210" ht="15.75" thickBot="1">
      <c r="A106" s="73"/>
      <c r="B106" s="73"/>
      <c r="C106" s="73" t="s">
        <v>126</v>
      </c>
      <c r="D106" s="73" t="s">
        <v>1284</v>
      </c>
      <c r="E106" s="967"/>
      <c r="F106" s="967">
        <v>0</v>
      </c>
      <c r="G106" s="967"/>
      <c r="H106" s="967">
        <v>1</v>
      </c>
      <c r="I106" s="967"/>
      <c r="J106" s="967"/>
      <c r="K106" s="967"/>
      <c r="L106" s="967"/>
      <c r="M106" s="967"/>
      <c r="N106" s="967"/>
      <c r="O106" s="967"/>
      <c r="P106" s="967"/>
      <c r="Q106" s="967">
        <v>0</v>
      </c>
      <c r="R106" s="967">
        <v>0</v>
      </c>
      <c r="S106" s="967">
        <v>0</v>
      </c>
      <c r="T106" s="73"/>
      <c r="U106" s="73"/>
      <c r="V106" s="73">
        <v>1</v>
      </c>
      <c r="W106" s="73"/>
      <c r="Y106" s="73"/>
      <c r="Z106" s="73"/>
      <c r="AA106" s="73"/>
      <c r="AB106" s="738" t="s">
        <v>15</v>
      </c>
      <c r="AC106" s="3262"/>
      <c r="AD106" s="3262"/>
      <c r="AE106" s="3262"/>
      <c r="AF106" s="3262"/>
      <c r="AG106" s="3262"/>
      <c r="AH106" s="3262"/>
      <c r="AI106" s="3262"/>
      <c r="AJ106" s="3262">
        <v>2</v>
      </c>
      <c r="AK106" s="3262">
        <v>1</v>
      </c>
      <c r="AL106" s="3262">
        <v>1</v>
      </c>
      <c r="AM106" s="3262"/>
      <c r="AN106" s="3262"/>
      <c r="AO106" s="3262">
        <v>1</v>
      </c>
      <c r="AP106" s="3262">
        <v>2</v>
      </c>
      <c r="AQ106" s="3262">
        <v>7</v>
      </c>
      <c r="AR106" s="151"/>
      <c r="AS106" s="151">
        <v>1</v>
      </c>
      <c r="AT106" s="151">
        <v>15</v>
      </c>
      <c r="AU106" s="912">
        <f>+(AT103+AT105)/AT106</f>
        <v>0.2</v>
      </c>
      <c r="AY106" s="73"/>
      <c r="AZ106" s="73" t="s">
        <v>1398</v>
      </c>
      <c r="BA106" s="2607">
        <v>0</v>
      </c>
      <c r="BB106" s="2607">
        <v>0</v>
      </c>
      <c r="BC106" s="2607"/>
      <c r="BD106" s="2607">
        <v>0</v>
      </c>
      <c r="BE106" s="2607"/>
      <c r="BF106" s="2607"/>
      <c r="BG106" s="2607"/>
      <c r="BH106" s="2607"/>
      <c r="BI106" s="2607">
        <v>0</v>
      </c>
      <c r="BJ106" s="2607">
        <v>0</v>
      </c>
      <c r="BK106" s="2607">
        <v>0</v>
      </c>
      <c r="BL106" s="2607"/>
      <c r="BM106" s="2607">
        <v>8</v>
      </c>
      <c r="BN106" s="2607">
        <v>2</v>
      </c>
      <c r="BO106" s="2607">
        <v>0</v>
      </c>
      <c r="BP106" s="73">
        <v>0</v>
      </c>
      <c r="BQ106" s="73">
        <v>0</v>
      </c>
      <c r="BR106" s="73">
        <v>10</v>
      </c>
      <c r="BS106" s="73"/>
      <c r="BU106" s="2207"/>
      <c r="BV106" s="2207"/>
      <c r="BW106" s="2207"/>
      <c r="BX106" s="2204" t="s">
        <v>15</v>
      </c>
      <c r="BY106" s="2213"/>
      <c r="BZ106" s="2213"/>
      <c r="CA106" s="2213"/>
      <c r="CB106" s="2213"/>
      <c r="CC106" s="2213"/>
      <c r="CD106" s="2213"/>
      <c r="CE106" s="2213"/>
      <c r="CF106" s="2213"/>
      <c r="CG106" s="2213"/>
      <c r="CH106" s="2214">
        <v>2</v>
      </c>
      <c r="CI106" s="2214">
        <v>2</v>
      </c>
      <c r="CJ106" s="2214">
        <v>5</v>
      </c>
      <c r="CK106" s="2214">
        <v>3</v>
      </c>
      <c r="CL106" s="2215"/>
      <c r="CM106" s="2215"/>
      <c r="CN106" s="2216">
        <v>12</v>
      </c>
      <c r="CO106" s="2154">
        <f>+(CN103+CN105)/CN106</f>
        <v>0.66666666666666663</v>
      </c>
      <c r="CQ106" s="955"/>
      <c r="CR106" s="955"/>
      <c r="CS106" s="955"/>
      <c r="CT106" s="956" t="s">
        <v>1292</v>
      </c>
      <c r="CU106" s="957"/>
      <c r="CV106" s="957"/>
      <c r="CW106" s="957"/>
      <c r="CX106" s="957"/>
      <c r="CY106" s="957"/>
      <c r="CZ106" s="957"/>
      <c r="DA106" s="957"/>
      <c r="DB106" s="957"/>
      <c r="DC106" s="957"/>
      <c r="DD106" s="957"/>
      <c r="DE106" s="957"/>
      <c r="DF106" s="957"/>
      <c r="DG106" s="958">
        <v>0</v>
      </c>
      <c r="DH106" s="958">
        <v>0</v>
      </c>
      <c r="DI106" s="958">
        <v>1</v>
      </c>
      <c r="DJ106" s="960">
        <v>1</v>
      </c>
      <c r="DK106" s="960">
        <v>6</v>
      </c>
      <c r="DL106" s="960">
        <v>8</v>
      </c>
      <c r="DM106" s="161"/>
      <c r="DO106" s="788"/>
      <c r="DP106" s="788"/>
      <c r="DQ106" s="788"/>
      <c r="DR106" s="788"/>
      <c r="DS106" s="789" t="s">
        <v>1398</v>
      </c>
      <c r="DT106" s="961"/>
      <c r="DU106" s="961"/>
      <c r="DV106" s="961"/>
      <c r="DW106" s="961"/>
      <c r="DX106" s="961"/>
      <c r="DY106" s="961"/>
      <c r="DZ106" s="961"/>
      <c r="EA106" s="961"/>
      <c r="EB106" s="961"/>
      <c r="EC106" s="962">
        <v>0</v>
      </c>
      <c r="ED106" s="962">
        <v>1</v>
      </c>
      <c r="EE106" s="962">
        <v>1</v>
      </c>
      <c r="EF106" s="962">
        <v>1</v>
      </c>
      <c r="EG106" s="962">
        <v>1</v>
      </c>
      <c r="EH106" s="962">
        <v>2</v>
      </c>
      <c r="EI106" s="963"/>
      <c r="EJ106" s="963"/>
      <c r="EK106" s="964">
        <v>6</v>
      </c>
      <c r="EL106" s="912"/>
      <c r="EM106" s="73"/>
      <c r="EN106" s="989"/>
      <c r="EO106" s="989"/>
      <c r="EP106" s="989"/>
      <c r="EQ106" s="990" t="s">
        <v>15</v>
      </c>
      <c r="ER106" s="991"/>
      <c r="ES106" s="991"/>
      <c r="ET106" s="991"/>
      <c r="EU106" s="991"/>
      <c r="EV106" s="991"/>
      <c r="EW106" s="991"/>
      <c r="EX106" s="991"/>
      <c r="EY106" s="991"/>
      <c r="EZ106" s="744">
        <v>2</v>
      </c>
      <c r="FA106" s="744">
        <v>1</v>
      </c>
      <c r="FB106" s="744">
        <v>3</v>
      </c>
      <c r="FC106" s="744">
        <v>1</v>
      </c>
      <c r="FD106" s="744">
        <v>4</v>
      </c>
      <c r="FE106" s="744">
        <v>11</v>
      </c>
      <c r="FF106" s="919">
        <f>+(FE105+FE104+FE102-FC102)/FE106</f>
        <v>0.27272727272727271</v>
      </c>
      <c r="FG106" s="73"/>
      <c r="FH106" s="73"/>
      <c r="FI106" s="161"/>
      <c r="FJ106" s="161"/>
      <c r="FK106" s="73"/>
      <c r="FL106" s="73" t="s">
        <v>1292</v>
      </c>
      <c r="FM106" s="161"/>
      <c r="FN106" s="161"/>
      <c r="FO106" s="161"/>
      <c r="FP106" s="161">
        <v>0</v>
      </c>
      <c r="FQ106" s="161"/>
      <c r="FR106" s="161"/>
      <c r="FS106" s="161"/>
      <c r="FT106" s="161"/>
      <c r="FU106" s="161">
        <v>0</v>
      </c>
      <c r="FV106" s="161">
        <v>0</v>
      </c>
      <c r="FW106" s="161">
        <v>0</v>
      </c>
      <c r="FX106" s="161"/>
      <c r="FY106" s="161">
        <v>2</v>
      </c>
      <c r="FZ106" s="161">
        <v>1</v>
      </c>
      <c r="GA106" s="161"/>
      <c r="GB106" s="161">
        <v>1</v>
      </c>
      <c r="GC106" s="161">
        <v>4</v>
      </c>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row>
    <row r="107" spans="1:210">
      <c r="A107" s="73"/>
      <c r="B107" s="73"/>
      <c r="C107" s="73"/>
      <c r="D107" s="73" t="s">
        <v>1288</v>
      </c>
      <c r="E107" s="967"/>
      <c r="F107" s="967">
        <v>0</v>
      </c>
      <c r="G107" s="967"/>
      <c r="H107" s="967">
        <v>0</v>
      </c>
      <c r="I107" s="967"/>
      <c r="J107" s="967"/>
      <c r="K107" s="967"/>
      <c r="L107" s="967"/>
      <c r="M107" s="967"/>
      <c r="N107" s="967"/>
      <c r="O107" s="967"/>
      <c r="P107" s="967"/>
      <c r="Q107" s="967">
        <v>4</v>
      </c>
      <c r="R107" s="967">
        <v>5</v>
      </c>
      <c r="S107" s="967">
        <v>0</v>
      </c>
      <c r="T107" s="73"/>
      <c r="U107" s="73"/>
      <c r="V107" s="73">
        <v>9</v>
      </c>
      <c r="W107" s="73"/>
      <c r="Y107" s="73"/>
      <c r="Z107" s="73"/>
      <c r="AA107" s="73" t="s">
        <v>575</v>
      </c>
      <c r="AB107" s="73" t="s">
        <v>1284</v>
      </c>
      <c r="AC107" s="3261">
        <v>1</v>
      </c>
      <c r="AD107" s="3261">
        <v>0</v>
      </c>
      <c r="AE107" s="3261">
        <v>1</v>
      </c>
      <c r="AF107" s="3261"/>
      <c r="AG107" s="3261"/>
      <c r="AH107" s="3261"/>
      <c r="AI107" s="3261">
        <v>1</v>
      </c>
      <c r="AJ107" s="3261">
        <v>1</v>
      </c>
      <c r="AK107" s="3261">
        <v>1</v>
      </c>
      <c r="AL107" s="3261">
        <v>0</v>
      </c>
      <c r="AM107" s="3261"/>
      <c r="AN107" s="3261">
        <v>0</v>
      </c>
      <c r="AO107" s="3261">
        <v>2</v>
      </c>
      <c r="AP107" s="3261">
        <v>4</v>
      </c>
      <c r="AQ107" s="3261">
        <v>1</v>
      </c>
      <c r="AR107" s="161">
        <v>1</v>
      </c>
      <c r="AS107" s="161">
        <v>0</v>
      </c>
      <c r="AT107" s="161">
        <v>13</v>
      </c>
      <c r="AU107" s="73"/>
      <c r="AY107" s="73"/>
      <c r="AZ107" s="738" t="s">
        <v>573</v>
      </c>
      <c r="BA107" s="2608">
        <v>1</v>
      </c>
      <c r="BB107" s="2608">
        <v>4</v>
      </c>
      <c r="BC107" s="2608"/>
      <c r="BD107" s="2608">
        <v>2</v>
      </c>
      <c r="BE107" s="2608"/>
      <c r="BF107" s="2608"/>
      <c r="BG107" s="2608"/>
      <c r="BH107" s="2608"/>
      <c r="BI107" s="2608">
        <v>1</v>
      </c>
      <c r="BJ107" s="2608">
        <v>1</v>
      </c>
      <c r="BK107" s="2608">
        <v>1</v>
      </c>
      <c r="BL107" s="2608"/>
      <c r="BM107" s="2608">
        <v>38</v>
      </c>
      <c r="BN107" s="2608">
        <v>29</v>
      </c>
      <c r="BO107" s="2608">
        <v>8</v>
      </c>
      <c r="BP107" s="738">
        <v>2</v>
      </c>
      <c r="BQ107" s="738">
        <v>8</v>
      </c>
      <c r="BR107" s="738">
        <v>95</v>
      </c>
      <c r="BS107" s="912">
        <f>+(BR103+BR106)/BR107</f>
        <v>0.47368421052631576</v>
      </c>
      <c r="BU107" s="2207"/>
      <c r="BV107" s="2207"/>
      <c r="BW107" s="2207" t="s">
        <v>338</v>
      </c>
      <c r="BX107" s="2208" t="s">
        <v>1283</v>
      </c>
      <c r="BY107" s="2209"/>
      <c r="BZ107" s="2209"/>
      <c r="CA107" s="2209"/>
      <c r="CB107" s="2209"/>
      <c r="CC107" s="2209"/>
      <c r="CD107" s="2209"/>
      <c r="CE107" s="2209"/>
      <c r="CF107" s="2209"/>
      <c r="CG107" s="2209"/>
      <c r="CH107" s="2210">
        <v>0</v>
      </c>
      <c r="CI107" s="2210">
        <v>0</v>
      </c>
      <c r="CJ107" s="2210">
        <v>0</v>
      </c>
      <c r="CK107" s="2210">
        <v>2</v>
      </c>
      <c r="CL107" s="2211"/>
      <c r="CM107" s="2212">
        <v>2</v>
      </c>
      <c r="CN107" s="2212">
        <v>4</v>
      </c>
      <c r="CO107" s="73"/>
      <c r="CQ107" s="955"/>
      <c r="CR107" s="955"/>
      <c r="CS107" s="955"/>
      <c r="CT107" s="956" t="s">
        <v>1398</v>
      </c>
      <c r="CU107" s="957"/>
      <c r="CV107" s="957"/>
      <c r="CW107" s="957"/>
      <c r="CX107" s="957"/>
      <c r="CY107" s="957"/>
      <c r="CZ107" s="957"/>
      <c r="DA107" s="957"/>
      <c r="DB107" s="957"/>
      <c r="DC107" s="957"/>
      <c r="DD107" s="957"/>
      <c r="DE107" s="957"/>
      <c r="DF107" s="957"/>
      <c r="DG107" s="958">
        <v>3</v>
      </c>
      <c r="DH107" s="958">
        <v>4</v>
      </c>
      <c r="DI107" s="958">
        <v>5</v>
      </c>
      <c r="DJ107" s="960">
        <v>0</v>
      </c>
      <c r="DK107" s="960">
        <v>0</v>
      </c>
      <c r="DL107" s="960">
        <v>12</v>
      </c>
      <c r="DM107" s="161"/>
      <c r="DO107" s="788"/>
      <c r="DP107" s="788"/>
      <c r="DQ107" s="788"/>
      <c r="DR107" s="73"/>
      <c r="DS107" s="809" t="s">
        <v>15</v>
      </c>
      <c r="DT107" s="970"/>
      <c r="DU107" s="970"/>
      <c r="DV107" s="970"/>
      <c r="DW107" s="970"/>
      <c r="DX107" s="970"/>
      <c r="DY107" s="970"/>
      <c r="DZ107" s="970"/>
      <c r="EA107" s="970"/>
      <c r="EB107" s="970"/>
      <c r="EC107" s="971">
        <v>1</v>
      </c>
      <c r="ED107" s="971">
        <v>1</v>
      </c>
      <c r="EE107" s="971">
        <v>1</v>
      </c>
      <c r="EF107" s="971">
        <v>1</v>
      </c>
      <c r="EG107" s="971">
        <v>1</v>
      </c>
      <c r="EH107" s="971">
        <v>6</v>
      </c>
      <c r="EI107" s="972"/>
      <c r="EJ107" s="972"/>
      <c r="EK107" s="973">
        <v>11</v>
      </c>
      <c r="EL107" s="912">
        <f>+(EK106+EK104)/EK107</f>
        <v>0.63636363636363635</v>
      </c>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161"/>
      <c r="FJ107" s="161"/>
      <c r="FK107" s="73"/>
      <c r="FL107" s="73" t="s">
        <v>1293</v>
      </c>
      <c r="FM107" s="161"/>
      <c r="FN107" s="161"/>
      <c r="FO107" s="161"/>
      <c r="FP107" s="161">
        <v>0</v>
      </c>
      <c r="FQ107" s="161"/>
      <c r="FR107" s="161"/>
      <c r="FS107" s="161"/>
      <c r="FT107" s="161"/>
      <c r="FU107" s="161">
        <v>2</v>
      </c>
      <c r="FV107" s="161">
        <v>1</v>
      </c>
      <c r="FW107" s="161">
        <v>1</v>
      </c>
      <c r="FX107" s="161"/>
      <c r="FY107" s="161">
        <v>0</v>
      </c>
      <c r="FZ107" s="161">
        <v>1</v>
      </c>
      <c r="GA107" s="161"/>
      <c r="GB107" s="161">
        <v>0</v>
      </c>
      <c r="GC107" s="161">
        <v>5</v>
      </c>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row>
    <row r="108" spans="1:210">
      <c r="A108" s="73"/>
      <c r="B108" s="73"/>
      <c r="C108" s="73"/>
      <c r="D108" s="73" t="s">
        <v>1289</v>
      </c>
      <c r="E108" s="967"/>
      <c r="F108" s="967">
        <v>1</v>
      </c>
      <c r="G108" s="967"/>
      <c r="H108" s="967">
        <v>0</v>
      </c>
      <c r="I108" s="967"/>
      <c r="J108" s="967"/>
      <c r="K108" s="967"/>
      <c r="L108" s="967"/>
      <c r="M108" s="967"/>
      <c r="N108" s="967"/>
      <c r="O108" s="967"/>
      <c r="P108" s="967"/>
      <c r="Q108" s="967">
        <v>0</v>
      </c>
      <c r="R108" s="967">
        <v>0</v>
      </c>
      <c r="S108" s="967">
        <v>0</v>
      </c>
      <c r="T108" s="73"/>
      <c r="U108" s="73"/>
      <c r="V108" s="73">
        <v>1</v>
      </c>
      <c r="W108" s="73"/>
      <c r="Y108" s="73"/>
      <c r="Z108" s="73"/>
      <c r="AA108" s="73"/>
      <c r="AB108" s="73" t="s">
        <v>1286</v>
      </c>
      <c r="AC108" s="3261">
        <v>0</v>
      </c>
      <c r="AD108" s="3261">
        <v>1</v>
      </c>
      <c r="AE108" s="3261">
        <v>0</v>
      </c>
      <c r="AF108" s="3261"/>
      <c r="AG108" s="3261"/>
      <c r="AH108" s="3261"/>
      <c r="AI108" s="3261">
        <v>0</v>
      </c>
      <c r="AJ108" s="3261">
        <v>0</v>
      </c>
      <c r="AK108" s="3261">
        <v>0</v>
      </c>
      <c r="AL108" s="3261">
        <v>0</v>
      </c>
      <c r="AM108" s="3261"/>
      <c r="AN108" s="3261">
        <v>0</v>
      </c>
      <c r="AO108" s="3261">
        <v>0</v>
      </c>
      <c r="AP108" s="3261">
        <v>0</v>
      </c>
      <c r="AQ108" s="3261">
        <v>0</v>
      </c>
      <c r="AR108" s="161">
        <v>0</v>
      </c>
      <c r="AS108" s="161">
        <v>0</v>
      </c>
      <c r="AT108" s="161">
        <v>1</v>
      </c>
      <c r="AU108" s="73"/>
      <c r="AX108" s="161" t="s">
        <v>41</v>
      </c>
      <c r="AY108" s="73" t="s">
        <v>130</v>
      </c>
      <c r="AZ108" s="73" t="s">
        <v>1283</v>
      </c>
      <c r="BA108" s="2607">
        <v>0</v>
      </c>
      <c r="BB108" s="2607"/>
      <c r="BC108" s="2607">
        <v>0</v>
      </c>
      <c r="BD108" s="2607"/>
      <c r="BE108" s="2607"/>
      <c r="BF108" s="2607"/>
      <c r="BG108" s="2607"/>
      <c r="BH108" s="2607">
        <v>0</v>
      </c>
      <c r="BI108" s="2607">
        <v>0</v>
      </c>
      <c r="BJ108" s="2607"/>
      <c r="BK108" s="2607"/>
      <c r="BL108" s="2607"/>
      <c r="BM108" s="2607">
        <v>0</v>
      </c>
      <c r="BN108" s="2607">
        <v>0</v>
      </c>
      <c r="BO108" s="2607">
        <v>0</v>
      </c>
      <c r="BP108" s="73"/>
      <c r="BQ108" s="73">
        <v>1</v>
      </c>
      <c r="BR108" s="73">
        <v>1</v>
      </c>
      <c r="BS108" s="73"/>
      <c r="BU108" s="2207"/>
      <c r="BV108" s="2207"/>
      <c r="BW108" s="2207"/>
      <c r="BX108" s="2208" t="s">
        <v>1284</v>
      </c>
      <c r="BY108" s="2209"/>
      <c r="BZ108" s="2209"/>
      <c r="CA108" s="2209"/>
      <c r="CB108" s="2209"/>
      <c r="CC108" s="2209"/>
      <c r="CD108" s="2209"/>
      <c r="CE108" s="2209"/>
      <c r="CF108" s="2209"/>
      <c r="CG108" s="2209"/>
      <c r="CH108" s="2210">
        <v>1</v>
      </c>
      <c r="CI108" s="2210">
        <v>1</v>
      </c>
      <c r="CJ108" s="2210">
        <v>0</v>
      </c>
      <c r="CK108" s="2210">
        <v>1</v>
      </c>
      <c r="CL108" s="2211"/>
      <c r="CM108" s="2212">
        <v>0</v>
      </c>
      <c r="CN108" s="2212">
        <v>3</v>
      </c>
      <c r="CO108" s="73"/>
      <c r="CQ108" s="955"/>
      <c r="CR108" s="955"/>
      <c r="CS108" s="955"/>
      <c r="CT108" s="974" t="s">
        <v>15</v>
      </c>
      <c r="CU108" s="975"/>
      <c r="CV108" s="975"/>
      <c r="CW108" s="975"/>
      <c r="CX108" s="975"/>
      <c r="CY108" s="975"/>
      <c r="CZ108" s="975"/>
      <c r="DA108" s="975"/>
      <c r="DB108" s="975"/>
      <c r="DC108" s="975"/>
      <c r="DD108" s="975"/>
      <c r="DE108" s="975"/>
      <c r="DF108" s="975"/>
      <c r="DG108" s="976">
        <v>7</v>
      </c>
      <c r="DH108" s="976">
        <v>11</v>
      </c>
      <c r="DI108" s="976">
        <v>8</v>
      </c>
      <c r="DJ108" s="978">
        <v>1</v>
      </c>
      <c r="DK108" s="978">
        <v>6</v>
      </c>
      <c r="DL108" s="978">
        <v>33</v>
      </c>
      <c r="DM108" s="912">
        <f>+(DL105+DL107)/DL108</f>
        <v>0.63636363636363635</v>
      </c>
      <c r="DO108" s="788"/>
      <c r="DP108" s="788"/>
      <c r="DQ108" s="788" t="s">
        <v>131</v>
      </c>
      <c r="DR108" s="788" t="s">
        <v>1282</v>
      </c>
      <c r="DS108" s="789" t="s">
        <v>1284</v>
      </c>
      <c r="DT108" s="961"/>
      <c r="DU108" s="961"/>
      <c r="DV108" s="961"/>
      <c r="DW108" s="961"/>
      <c r="DX108" s="961"/>
      <c r="DY108" s="961"/>
      <c r="DZ108" s="961"/>
      <c r="EA108" s="961"/>
      <c r="EB108" s="961"/>
      <c r="EC108" s="961"/>
      <c r="ED108" s="961"/>
      <c r="EE108" s="961"/>
      <c r="EF108" s="962">
        <v>1</v>
      </c>
      <c r="EG108" s="962">
        <v>0</v>
      </c>
      <c r="EH108" s="962">
        <v>0</v>
      </c>
      <c r="EI108" s="963"/>
      <c r="EJ108" s="964">
        <v>0</v>
      </c>
      <c r="EK108" s="964">
        <v>1</v>
      </c>
      <c r="EL108" s="912"/>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161"/>
      <c r="FJ108" s="161"/>
      <c r="FK108" s="73"/>
      <c r="FL108" s="73" t="s">
        <v>1398</v>
      </c>
      <c r="FM108" s="161"/>
      <c r="FN108" s="161"/>
      <c r="FO108" s="161"/>
      <c r="FP108" s="161">
        <v>0</v>
      </c>
      <c r="FQ108" s="161"/>
      <c r="FR108" s="161"/>
      <c r="FS108" s="161"/>
      <c r="FT108" s="161"/>
      <c r="FU108" s="161">
        <v>1</v>
      </c>
      <c r="FV108" s="161">
        <v>0</v>
      </c>
      <c r="FW108" s="161">
        <v>0</v>
      </c>
      <c r="FX108" s="161"/>
      <c r="FY108" s="161">
        <v>0</v>
      </c>
      <c r="FZ108" s="161">
        <v>0</v>
      </c>
      <c r="GA108" s="161"/>
      <c r="GB108" s="161">
        <v>0</v>
      </c>
      <c r="GC108" s="161">
        <v>1</v>
      </c>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row>
    <row r="109" spans="1:210">
      <c r="A109" s="73"/>
      <c r="B109" s="73"/>
      <c r="C109" s="73"/>
      <c r="D109" s="73" t="s">
        <v>1292</v>
      </c>
      <c r="E109" s="967"/>
      <c r="F109" s="967">
        <v>0</v>
      </c>
      <c r="G109" s="967"/>
      <c r="H109" s="967">
        <v>0</v>
      </c>
      <c r="I109" s="967"/>
      <c r="J109" s="967"/>
      <c r="K109" s="967"/>
      <c r="L109" s="967"/>
      <c r="M109" s="967"/>
      <c r="N109" s="967"/>
      <c r="O109" s="967"/>
      <c r="P109" s="967"/>
      <c r="Q109" s="967">
        <v>0</v>
      </c>
      <c r="R109" s="967">
        <v>0</v>
      </c>
      <c r="S109" s="967">
        <v>1</v>
      </c>
      <c r="T109" s="73"/>
      <c r="U109" s="73"/>
      <c r="V109" s="73">
        <v>1</v>
      </c>
      <c r="W109" s="73"/>
      <c r="Y109" s="73"/>
      <c r="Z109" s="73"/>
      <c r="AA109" s="73"/>
      <c r="AB109" s="73" t="s">
        <v>1288</v>
      </c>
      <c r="AC109" s="3261">
        <v>0</v>
      </c>
      <c r="AD109" s="3261">
        <v>0</v>
      </c>
      <c r="AE109" s="3261">
        <v>0</v>
      </c>
      <c r="AF109" s="3261"/>
      <c r="AG109" s="3261"/>
      <c r="AH109" s="3261"/>
      <c r="AI109" s="3261">
        <v>0</v>
      </c>
      <c r="AJ109" s="3261">
        <v>1</v>
      </c>
      <c r="AK109" s="3261">
        <v>0</v>
      </c>
      <c r="AL109" s="3261">
        <v>0</v>
      </c>
      <c r="AM109" s="3261"/>
      <c r="AN109" s="3261">
        <v>0</v>
      </c>
      <c r="AO109" s="3261">
        <v>2</v>
      </c>
      <c r="AP109" s="3261">
        <v>4</v>
      </c>
      <c r="AQ109" s="3261">
        <v>0</v>
      </c>
      <c r="AR109" s="161">
        <v>0</v>
      </c>
      <c r="AS109" s="161">
        <v>0</v>
      </c>
      <c r="AT109" s="161">
        <v>7</v>
      </c>
      <c r="AU109" s="73"/>
      <c r="AY109" s="73"/>
      <c r="AZ109" s="73" t="s">
        <v>1284</v>
      </c>
      <c r="BA109" s="2607">
        <v>0</v>
      </c>
      <c r="BB109" s="2607"/>
      <c r="BC109" s="2607">
        <v>1</v>
      </c>
      <c r="BD109" s="2607"/>
      <c r="BE109" s="2607"/>
      <c r="BF109" s="2607"/>
      <c r="BG109" s="2607"/>
      <c r="BH109" s="2607">
        <v>1</v>
      </c>
      <c r="BI109" s="2607">
        <v>1</v>
      </c>
      <c r="BJ109" s="2607"/>
      <c r="BK109" s="2607"/>
      <c r="BL109" s="2607"/>
      <c r="BM109" s="2607">
        <v>1</v>
      </c>
      <c r="BN109" s="2607">
        <v>2</v>
      </c>
      <c r="BO109" s="2607">
        <v>0</v>
      </c>
      <c r="BP109" s="73"/>
      <c r="BQ109" s="73">
        <v>0</v>
      </c>
      <c r="BR109" s="73">
        <v>6</v>
      </c>
      <c r="BS109" s="73"/>
      <c r="BU109" s="2207"/>
      <c r="BV109" s="2207"/>
      <c r="BW109" s="2207"/>
      <c r="BX109" s="2208" t="s">
        <v>1288</v>
      </c>
      <c r="BY109" s="2209"/>
      <c r="BZ109" s="2209"/>
      <c r="CA109" s="2209"/>
      <c r="CB109" s="2209"/>
      <c r="CC109" s="2209"/>
      <c r="CD109" s="2209"/>
      <c r="CE109" s="2209"/>
      <c r="CF109" s="2209"/>
      <c r="CG109" s="2209"/>
      <c r="CH109" s="2210">
        <v>0</v>
      </c>
      <c r="CI109" s="2210">
        <v>0</v>
      </c>
      <c r="CJ109" s="2210">
        <v>1</v>
      </c>
      <c r="CK109" s="2210">
        <v>0</v>
      </c>
      <c r="CL109" s="2211"/>
      <c r="CM109" s="2212">
        <v>0</v>
      </c>
      <c r="CN109" s="2212">
        <v>1</v>
      </c>
      <c r="CO109" s="73"/>
      <c r="CQ109" s="955"/>
      <c r="CR109" s="955"/>
      <c r="CS109" s="955" t="s">
        <v>131</v>
      </c>
      <c r="CT109" s="956" t="s">
        <v>1283</v>
      </c>
      <c r="CU109" s="957"/>
      <c r="CV109" s="958">
        <v>0</v>
      </c>
      <c r="CW109" s="957"/>
      <c r="CX109" s="957"/>
      <c r="CY109" s="957"/>
      <c r="CZ109" s="957"/>
      <c r="DA109" s="957"/>
      <c r="DB109" s="957"/>
      <c r="DC109" s="957"/>
      <c r="DD109" s="957"/>
      <c r="DE109" s="957"/>
      <c r="DF109" s="957"/>
      <c r="DG109" s="958">
        <v>1</v>
      </c>
      <c r="DH109" s="958">
        <v>0</v>
      </c>
      <c r="DI109" s="958">
        <v>1</v>
      </c>
      <c r="DJ109" s="959"/>
      <c r="DK109" s="960">
        <v>0</v>
      </c>
      <c r="DL109" s="960">
        <v>2</v>
      </c>
      <c r="DM109" s="161"/>
      <c r="DO109" s="788"/>
      <c r="DP109" s="788"/>
      <c r="DQ109" s="788"/>
      <c r="DR109" s="788"/>
      <c r="DS109" s="789" t="s">
        <v>1288</v>
      </c>
      <c r="DT109" s="961"/>
      <c r="DU109" s="961"/>
      <c r="DV109" s="961"/>
      <c r="DW109" s="961"/>
      <c r="DX109" s="961"/>
      <c r="DY109" s="961"/>
      <c r="DZ109" s="961"/>
      <c r="EA109" s="961"/>
      <c r="EB109" s="961"/>
      <c r="EC109" s="961"/>
      <c r="ED109" s="961"/>
      <c r="EE109" s="961"/>
      <c r="EF109" s="962">
        <v>2</v>
      </c>
      <c r="EG109" s="962">
        <v>3</v>
      </c>
      <c r="EH109" s="962">
        <v>0</v>
      </c>
      <c r="EI109" s="963"/>
      <c r="EJ109" s="964">
        <v>0</v>
      </c>
      <c r="EK109" s="964">
        <v>5</v>
      </c>
      <c r="EL109" s="912"/>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161"/>
      <c r="FJ109" s="161"/>
      <c r="FK109" s="73"/>
      <c r="FL109" s="738" t="s">
        <v>15</v>
      </c>
      <c r="FM109" s="151"/>
      <c r="FN109" s="151"/>
      <c r="FO109" s="151"/>
      <c r="FP109" s="151">
        <v>1</v>
      </c>
      <c r="FQ109" s="151"/>
      <c r="FR109" s="151"/>
      <c r="FS109" s="151"/>
      <c r="FT109" s="151"/>
      <c r="FU109" s="151">
        <v>3</v>
      </c>
      <c r="FV109" s="151">
        <v>1</v>
      </c>
      <c r="FW109" s="151">
        <v>2</v>
      </c>
      <c r="FX109" s="151"/>
      <c r="FY109" s="151">
        <v>2</v>
      </c>
      <c r="FZ109" s="151">
        <v>2</v>
      </c>
      <c r="GA109" s="151"/>
      <c r="GB109" s="151">
        <v>1</v>
      </c>
      <c r="GC109" s="151">
        <v>12</v>
      </c>
      <c r="GD109" s="983">
        <f>+(GC107+GC108)/GC109</f>
        <v>0.5</v>
      </c>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row>
    <row r="110" spans="1:210">
      <c r="A110" s="73"/>
      <c r="B110" s="73"/>
      <c r="C110" s="73"/>
      <c r="D110" s="73" t="s">
        <v>1398</v>
      </c>
      <c r="E110" s="967"/>
      <c r="F110" s="967">
        <v>0</v>
      </c>
      <c r="G110" s="967"/>
      <c r="H110" s="967">
        <v>0</v>
      </c>
      <c r="I110" s="967"/>
      <c r="J110" s="967"/>
      <c r="K110" s="967"/>
      <c r="L110" s="967"/>
      <c r="M110" s="967"/>
      <c r="N110" s="967"/>
      <c r="O110" s="967"/>
      <c r="P110" s="967"/>
      <c r="Q110" s="967">
        <v>3</v>
      </c>
      <c r="R110" s="967">
        <v>0</v>
      </c>
      <c r="S110" s="967">
        <v>0</v>
      </c>
      <c r="T110" s="73"/>
      <c r="U110" s="73"/>
      <c r="V110" s="73">
        <v>3</v>
      </c>
      <c r="W110" s="73"/>
      <c r="Y110" s="73"/>
      <c r="Z110" s="73"/>
      <c r="AA110" s="73"/>
      <c r="AB110" s="73" t="s">
        <v>1292</v>
      </c>
      <c r="AC110" s="3261">
        <v>0</v>
      </c>
      <c r="AD110" s="3261">
        <v>0</v>
      </c>
      <c r="AE110" s="3261">
        <v>0</v>
      </c>
      <c r="AF110" s="3261"/>
      <c r="AG110" s="3261"/>
      <c r="AH110" s="3261"/>
      <c r="AI110" s="3261">
        <v>0</v>
      </c>
      <c r="AJ110" s="3261">
        <v>0</v>
      </c>
      <c r="AK110" s="3261">
        <v>0</v>
      </c>
      <c r="AL110" s="3261">
        <v>0</v>
      </c>
      <c r="AM110" s="3261"/>
      <c r="AN110" s="3261">
        <v>0</v>
      </c>
      <c r="AO110" s="3261">
        <v>0</v>
      </c>
      <c r="AP110" s="3261">
        <v>0</v>
      </c>
      <c r="AQ110" s="3261">
        <v>14</v>
      </c>
      <c r="AR110" s="161">
        <v>0</v>
      </c>
      <c r="AS110" s="161">
        <v>2</v>
      </c>
      <c r="AT110" s="161">
        <v>16</v>
      </c>
      <c r="AU110" s="73"/>
      <c r="AY110" s="73"/>
      <c r="AZ110" s="73" t="s">
        <v>1288</v>
      </c>
      <c r="BA110" s="2607">
        <v>0</v>
      </c>
      <c r="BB110" s="2607"/>
      <c r="BC110" s="2607">
        <v>0</v>
      </c>
      <c r="BD110" s="2607"/>
      <c r="BE110" s="2607"/>
      <c r="BF110" s="2607"/>
      <c r="BG110" s="2607"/>
      <c r="BH110" s="2607">
        <v>0</v>
      </c>
      <c r="BI110" s="2607">
        <v>0</v>
      </c>
      <c r="BJ110" s="2607"/>
      <c r="BK110" s="2607"/>
      <c r="BL110" s="2607"/>
      <c r="BM110" s="2607">
        <v>0</v>
      </c>
      <c r="BN110" s="2607">
        <v>1</v>
      </c>
      <c r="BO110" s="2607">
        <v>0</v>
      </c>
      <c r="BP110" s="73"/>
      <c r="BQ110" s="73">
        <v>0</v>
      </c>
      <c r="BR110" s="73">
        <v>1</v>
      </c>
      <c r="BS110" s="73"/>
      <c r="BU110" s="2207"/>
      <c r="BV110" s="2207"/>
      <c r="BW110" s="2207"/>
      <c r="BX110" s="2208" t="s">
        <v>1292</v>
      </c>
      <c r="BY110" s="2209"/>
      <c r="BZ110" s="2209"/>
      <c r="CA110" s="2209"/>
      <c r="CB110" s="2209"/>
      <c r="CC110" s="2209"/>
      <c r="CD110" s="2209"/>
      <c r="CE110" s="2209"/>
      <c r="CF110" s="2209"/>
      <c r="CG110" s="2209"/>
      <c r="CH110" s="2210">
        <v>0</v>
      </c>
      <c r="CI110" s="2210">
        <v>0</v>
      </c>
      <c r="CJ110" s="2210">
        <v>0</v>
      </c>
      <c r="CK110" s="2210">
        <v>3</v>
      </c>
      <c r="CL110" s="2211"/>
      <c r="CM110" s="2212">
        <v>2</v>
      </c>
      <c r="CN110" s="2212">
        <v>5</v>
      </c>
      <c r="CO110" s="73"/>
      <c r="CQ110" s="955"/>
      <c r="CR110" s="955"/>
      <c r="CS110" s="955"/>
      <c r="CT110" s="956" t="s">
        <v>1284</v>
      </c>
      <c r="CU110" s="957"/>
      <c r="CV110" s="958">
        <v>1</v>
      </c>
      <c r="CW110" s="957"/>
      <c r="CX110" s="957"/>
      <c r="CY110" s="957"/>
      <c r="CZ110" s="957"/>
      <c r="DA110" s="957"/>
      <c r="DB110" s="957"/>
      <c r="DC110" s="957"/>
      <c r="DD110" s="957"/>
      <c r="DE110" s="957"/>
      <c r="DF110" s="957"/>
      <c r="DG110" s="958">
        <v>0</v>
      </c>
      <c r="DH110" s="958">
        <v>0</v>
      </c>
      <c r="DI110" s="958">
        <v>0</v>
      </c>
      <c r="DJ110" s="959"/>
      <c r="DK110" s="960">
        <v>0</v>
      </c>
      <c r="DL110" s="960">
        <v>1</v>
      </c>
      <c r="DM110" s="161"/>
      <c r="DO110" s="788"/>
      <c r="DP110" s="788"/>
      <c r="DQ110" s="788"/>
      <c r="DR110" s="788"/>
      <c r="DS110" s="789" t="s">
        <v>1292</v>
      </c>
      <c r="DT110" s="961"/>
      <c r="DU110" s="961"/>
      <c r="DV110" s="961"/>
      <c r="DW110" s="961"/>
      <c r="DX110" s="961"/>
      <c r="DY110" s="961"/>
      <c r="DZ110" s="961"/>
      <c r="EA110" s="961"/>
      <c r="EB110" s="961"/>
      <c r="EC110" s="961"/>
      <c r="ED110" s="961"/>
      <c r="EE110" s="961"/>
      <c r="EF110" s="962">
        <v>1</v>
      </c>
      <c r="EG110" s="962">
        <v>0</v>
      </c>
      <c r="EH110" s="962">
        <v>4</v>
      </c>
      <c r="EI110" s="963"/>
      <c r="EJ110" s="964">
        <v>2</v>
      </c>
      <c r="EK110" s="964">
        <v>7</v>
      </c>
      <c r="EL110" s="912"/>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161"/>
      <c r="FJ110" s="161" t="s">
        <v>105</v>
      </c>
      <c r="FK110" s="73" t="s">
        <v>147</v>
      </c>
      <c r="FL110" s="73" t="s">
        <v>1284</v>
      </c>
      <c r="FM110" s="161"/>
      <c r="FN110" s="161"/>
      <c r="FO110" s="161">
        <v>1</v>
      </c>
      <c r="FP110" s="161">
        <v>1</v>
      </c>
      <c r="FQ110" s="161"/>
      <c r="FR110" s="161">
        <v>1</v>
      </c>
      <c r="FS110" s="161"/>
      <c r="FT110" s="161"/>
      <c r="FU110" s="161"/>
      <c r="FV110" s="161"/>
      <c r="FW110" s="161">
        <v>1</v>
      </c>
      <c r="FX110" s="161"/>
      <c r="FY110" s="161"/>
      <c r="FZ110" s="161"/>
      <c r="GA110" s="161">
        <v>0</v>
      </c>
      <c r="GB110" s="161">
        <v>0</v>
      </c>
      <c r="GC110" s="161">
        <v>4</v>
      </c>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row>
    <row r="111" spans="1:210">
      <c r="A111" s="73"/>
      <c r="B111" s="73"/>
      <c r="C111" s="73"/>
      <c r="D111" s="738" t="s">
        <v>15</v>
      </c>
      <c r="E111" s="4694"/>
      <c r="F111" s="4694">
        <v>1</v>
      </c>
      <c r="G111" s="4694"/>
      <c r="H111" s="4694">
        <v>1</v>
      </c>
      <c r="I111" s="4694"/>
      <c r="J111" s="4694"/>
      <c r="K111" s="4694"/>
      <c r="L111" s="4694"/>
      <c r="M111" s="4694"/>
      <c r="N111" s="4694"/>
      <c r="O111" s="4694"/>
      <c r="P111" s="4694"/>
      <c r="Q111" s="4694">
        <v>7</v>
      </c>
      <c r="R111" s="4694">
        <v>5</v>
      </c>
      <c r="S111" s="4694">
        <v>1</v>
      </c>
      <c r="T111" s="738"/>
      <c r="U111" s="738"/>
      <c r="V111" s="738">
        <v>15</v>
      </c>
      <c r="W111" s="912">
        <f>+(V110+V107)/V111</f>
        <v>0.8</v>
      </c>
      <c r="X111" s="3197"/>
      <c r="Y111" s="73"/>
      <c r="Z111" s="73"/>
      <c r="AA111" s="73"/>
      <c r="AB111" s="73" t="s">
        <v>1398</v>
      </c>
      <c r="AC111" s="3261">
        <v>0</v>
      </c>
      <c r="AD111" s="3261">
        <v>0</v>
      </c>
      <c r="AE111" s="3261">
        <v>0</v>
      </c>
      <c r="AF111" s="3261"/>
      <c r="AG111" s="3261"/>
      <c r="AH111" s="3261"/>
      <c r="AI111" s="3261">
        <v>0</v>
      </c>
      <c r="AJ111" s="3261">
        <v>0</v>
      </c>
      <c r="AK111" s="3261">
        <v>0</v>
      </c>
      <c r="AL111" s="3261">
        <v>1</v>
      </c>
      <c r="AM111" s="3261"/>
      <c r="AN111" s="3261">
        <v>1</v>
      </c>
      <c r="AO111" s="3261">
        <v>1</v>
      </c>
      <c r="AP111" s="3261">
        <v>7</v>
      </c>
      <c r="AQ111" s="3261">
        <v>1</v>
      </c>
      <c r="AR111" s="161">
        <v>0</v>
      </c>
      <c r="AS111" s="161">
        <v>0</v>
      </c>
      <c r="AT111" s="161">
        <v>11</v>
      </c>
      <c r="AU111" s="73"/>
      <c r="AY111" s="73"/>
      <c r="AZ111" s="73" t="s">
        <v>1292</v>
      </c>
      <c r="BA111" s="2607">
        <v>0</v>
      </c>
      <c r="BB111" s="2607"/>
      <c r="BC111" s="2607">
        <v>0</v>
      </c>
      <c r="BD111" s="2607"/>
      <c r="BE111" s="2607"/>
      <c r="BF111" s="2607"/>
      <c r="BG111" s="2607"/>
      <c r="BH111" s="2607">
        <v>0</v>
      </c>
      <c r="BI111" s="2607">
        <v>0</v>
      </c>
      <c r="BJ111" s="2607"/>
      <c r="BK111" s="2607"/>
      <c r="BL111" s="2607"/>
      <c r="BM111" s="2607">
        <v>0</v>
      </c>
      <c r="BN111" s="2607">
        <v>0</v>
      </c>
      <c r="BO111" s="2607">
        <v>10</v>
      </c>
      <c r="BP111" s="73"/>
      <c r="BQ111" s="73">
        <v>2</v>
      </c>
      <c r="BR111" s="73">
        <v>12</v>
      </c>
      <c r="BS111" s="73"/>
      <c r="BU111" s="2207"/>
      <c r="BV111" s="2207"/>
      <c r="BW111" s="2207"/>
      <c r="BX111" s="2204" t="s">
        <v>15</v>
      </c>
      <c r="BY111" s="2213"/>
      <c r="BZ111" s="2213"/>
      <c r="CA111" s="2213"/>
      <c r="CB111" s="2213"/>
      <c r="CC111" s="2213"/>
      <c r="CD111" s="2213"/>
      <c r="CE111" s="2213"/>
      <c r="CF111" s="2213"/>
      <c r="CG111" s="2213"/>
      <c r="CH111" s="2214">
        <v>1</v>
      </c>
      <c r="CI111" s="2214">
        <v>1</v>
      </c>
      <c r="CJ111" s="2214">
        <v>1</v>
      </c>
      <c r="CK111" s="2214">
        <v>6</v>
      </c>
      <c r="CL111" s="2215"/>
      <c r="CM111" s="2216">
        <v>4</v>
      </c>
      <c r="CN111" s="2216">
        <v>13</v>
      </c>
      <c r="CO111" s="2154">
        <f>+CN109/CN111</f>
        <v>7.6923076923076927E-2</v>
      </c>
      <c r="CQ111" s="955"/>
      <c r="CR111" s="955"/>
      <c r="CS111" s="955"/>
      <c r="CT111" s="956" t="s">
        <v>1288</v>
      </c>
      <c r="CU111" s="957"/>
      <c r="CV111" s="958">
        <v>0</v>
      </c>
      <c r="CW111" s="957"/>
      <c r="CX111" s="957"/>
      <c r="CY111" s="957"/>
      <c r="CZ111" s="957"/>
      <c r="DA111" s="957"/>
      <c r="DB111" s="957"/>
      <c r="DC111" s="957"/>
      <c r="DD111" s="957"/>
      <c r="DE111" s="957"/>
      <c r="DF111" s="957"/>
      <c r="DG111" s="958">
        <v>0</v>
      </c>
      <c r="DH111" s="958">
        <v>2</v>
      </c>
      <c r="DI111" s="958">
        <v>0</v>
      </c>
      <c r="DJ111" s="959"/>
      <c r="DK111" s="960">
        <v>0</v>
      </c>
      <c r="DL111" s="960">
        <v>2</v>
      </c>
      <c r="DM111" s="161"/>
      <c r="DO111" s="788"/>
      <c r="DP111" s="788"/>
      <c r="DQ111" s="788"/>
      <c r="DR111" s="788"/>
      <c r="DS111" s="789" t="s">
        <v>1398</v>
      </c>
      <c r="DT111" s="961"/>
      <c r="DU111" s="961"/>
      <c r="DV111" s="961"/>
      <c r="DW111" s="961"/>
      <c r="DX111" s="961"/>
      <c r="DY111" s="961"/>
      <c r="DZ111" s="961"/>
      <c r="EA111" s="961"/>
      <c r="EB111" s="961"/>
      <c r="EC111" s="961"/>
      <c r="ED111" s="961"/>
      <c r="EE111" s="961"/>
      <c r="EF111" s="962">
        <v>1</v>
      </c>
      <c r="EG111" s="962">
        <v>0</v>
      </c>
      <c r="EH111" s="962">
        <v>0</v>
      </c>
      <c r="EI111" s="963"/>
      <c r="EJ111" s="964">
        <v>0</v>
      </c>
      <c r="EK111" s="964">
        <v>1</v>
      </c>
      <c r="EL111" s="912"/>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161"/>
      <c r="FJ111" s="161"/>
      <c r="FK111" s="73"/>
      <c r="FL111" s="73" t="s">
        <v>1292</v>
      </c>
      <c r="FM111" s="161"/>
      <c r="FN111" s="161"/>
      <c r="FO111" s="161">
        <v>0</v>
      </c>
      <c r="FP111" s="161">
        <v>0</v>
      </c>
      <c r="FQ111" s="161"/>
      <c r="FR111" s="161">
        <v>0</v>
      </c>
      <c r="FS111" s="161"/>
      <c r="FT111" s="161"/>
      <c r="FU111" s="161"/>
      <c r="FV111" s="161"/>
      <c r="FW111" s="161">
        <v>0</v>
      </c>
      <c r="FX111" s="161"/>
      <c r="FY111" s="161"/>
      <c r="FZ111" s="161"/>
      <c r="GA111" s="161">
        <v>1</v>
      </c>
      <c r="GB111" s="161">
        <v>1</v>
      </c>
      <c r="GC111" s="161">
        <v>2</v>
      </c>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row>
    <row r="112" spans="1:210" ht="15.75" thickBot="1">
      <c r="A112" s="73"/>
      <c r="B112" s="73"/>
      <c r="C112" s="73" t="s">
        <v>127</v>
      </c>
      <c r="D112" s="73" t="s">
        <v>1284</v>
      </c>
      <c r="E112" s="967"/>
      <c r="F112" s="967">
        <v>0</v>
      </c>
      <c r="G112" s="967"/>
      <c r="H112" s="967"/>
      <c r="I112" s="967"/>
      <c r="J112" s="967"/>
      <c r="K112" s="967"/>
      <c r="L112" s="967"/>
      <c r="M112" s="967"/>
      <c r="N112" s="967">
        <v>1</v>
      </c>
      <c r="O112" s="967"/>
      <c r="P112" s="967"/>
      <c r="Q112" s="967">
        <v>0</v>
      </c>
      <c r="R112" s="967">
        <v>3</v>
      </c>
      <c r="S112" s="967">
        <v>0</v>
      </c>
      <c r="T112" s="73"/>
      <c r="U112" s="73"/>
      <c r="V112" s="73">
        <v>4</v>
      </c>
      <c r="W112" s="73"/>
      <c r="Y112" s="73"/>
      <c r="Z112" s="73"/>
      <c r="AA112" s="73"/>
      <c r="AB112" s="73" t="s">
        <v>2013</v>
      </c>
      <c r="AC112" s="3261">
        <v>1</v>
      </c>
      <c r="AD112" s="3261">
        <v>0</v>
      </c>
      <c r="AE112" s="3261">
        <v>0</v>
      </c>
      <c r="AF112" s="3261"/>
      <c r="AG112" s="3261"/>
      <c r="AH112" s="3261"/>
      <c r="AI112" s="3261">
        <v>0</v>
      </c>
      <c r="AJ112" s="3261">
        <v>0</v>
      </c>
      <c r="AK112" s="3261">
        <v>0</v>
      </c>
      <c r="AL112" s="3261">
        <v>0</v>
      </c>
      <c r="AM112" s="3261"/>
      <c r="AN112" s="3261">
        <v>0</v>
      </c>
      <c r="AO112" s="3261">
        <v>0</v>
      </c>
      <c r="AP112" s="3261">
        <v>0</v>
      </c>
      <c r="AQ112" s="3261">
        <v>0</v>
      </c>
      <c r="AR112" s="161">
        <v>0</v>
      </c>
      <c r="AS112" s="161">
        <v>0</v>
      </c>
      <c r="AT112" s="161">
        <v>1</v>
      </c>
      <c r="AU112" s="73"/>
      <c r="AY112" s="73"/>
      <c r="AZ112" s="73" t="s">
        <v>1398</v>
      </c>
      <c r="BA112" s="2607">
        <v>0</v>
      </c>
      <c r="BB112" s="2607"/>
      <c r="BC112" s="2607">
        <v>0</v>
      </c>
      <c r="BD112" s="2607"/>
      <c r="BE112" s="2607"/>
      <c r="BF112" s="2607"/>
      <c r="BG112" s="2607"/>
      <c r="BH112" s="2607">
        <v>0</v>
      </c>
      <c r="BI112" s="2607">
        <v>0</v>
      </c>
      <c r="BJ112" s="2607"/>
      <c r="BK112" s="2607"/>
      <c r="BL112" s="2607"/>
      <c r="BM112" s="2607">
        <v>1</v>
      </c>
      <c r="BN112" s="2607">
        <v>1</v>
      </c>
      <c r="BO112" s="2607">
        <v>1</v>
      </c>
      <c r="BP112" s="73"/>
      <c r="BQ112" s="73">
        <v>0</v>
      </c>
      <c r="BR112" s="73">
        <v>3</v>
      </c>
      <c r="BS112" s="73"/>
      <c r="BU112" s="2207"/>
      <c r="BV112" s="2207"/>
      <c r="BW112" s="2207" t="s">
        <v>575</v>
      </c>
      <c r="BX112" s="2208" t="s">
        <v>1283</v>
      </c>
      <c r="BY112" s="2209"/>
      <c r="BZ112" s="2210">
        <v>0</v>
      </c>
      <c r="CA112" s="2210">
        <v>0</v>
      </c>
      <c r="CB112" s="2209"/>
      <c r="CC112" s="2209"/>
      <c r="CD112" s="2209"/>
      <c r="CE112" s="2209"/>
      <c r="CF112" s="2209"/>
      <c r="CG112" s="2209"/>
      <c r="CH112" s="2210">
        <v>0</v>
      </c>
      <c r="CI112" s="2210">
        <v>0</v>
      </c>
      <c r="CJ112" s="2210">
        <v>0</v>
      </c>
      <c r="CK112" s="2210">
        <v>6</v>
      </c>
      <c r="CL112" s="2212">
        <v>1</v>
      </c>
      <c r="CM112" s="2212">
        <v>2</v>
      </c>
      <c r="CN112" s="2212">
        <v>9</v>
      </c>
      <c r="CO112" s="73"/>
      <c r="CQ112" s="955"/>
      <c r="CR112" s="955"/>
      <c r="CS112" s="955"/>
      <c r="CT112" s="956" t="s">
        <v>1292</v>
      </c>
      <c r="CU112" s="957"/>
      <c r="CV112" s="958">
        <v>0</v>
      </c>
      <c r="CW112" s="957"/>
      <c r="CX112" s="957"/>
      <c r="CY112" s="957"/>
      <c r="CZ112" s="957"/>
      <c r="DA112" s="957"/>
      <c r="DB112" s="957"/>
      <c r="DC112" s="957"/>
      <c r="DD112" s="957"/>
      <c r="DE112" s="957"/>
      <c r="DF112" s="957"/>
      <c r="DG112" s="958">
        <v>0</v>
      </c>
      <c r="DH112" s="958">
        <v>0</v>
      </c>
      <c r="DI112" s="958">
        <v>1</v>
      </c>
      <c r="DJ112" s="959"/>
      <c r="DK112" s="960">
        <v>1</v>
      </c>
      <c r="DL112" s="960">
        <v>2</v>
      </c>
      <c r="DM112" s="161"/>
      <c r="DO112" s="788"/>
      <c r="DP112" s="788"/>
      <c r="DQ112" s="788"/>
      <c r="DR112" s="73"/>
      <c r="DS112" s="809" t="s">
        <v>15</v>
      </c>
      <c r="DT112" s="970"/>
      <c r="DU112" s="970"/>
      <c r="DV112" s="970"/>
      <c r="DW112" s="970"/>
      <c r="DX112" s="970"/>
      <c r="DY112" s="970"/>
      <c r="DZ112" s="970"/>
      <c r="EA112" s="970"/>
      <c r="EB112" s="970"/>
      <c r="EC112" s="970"/>
      <c r="ED112" s="970"/>
      <c r="EE112" s="970"/>
      <c r="EF112" s="971">
        <v>5</v>
      </c>
      <c r="EG112" s="971">
        <v>3</v>
      </c>
      <c r="EH112" s="971">
        <v>4</v>
      </c>
      <c r="EI112" s="972"/>
      <c r="EJ112" s="973">
        <v>2</v>
      </c>
      <c r="EK112" s="973">
        <v>14</v>
      </c>
      <c r="EL112" s="912">
        <f>+(EK111+EK109)/EK112</f>
        <v>0.42857142857142855</v>
      </c>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41"/>
      <c r="FJ112" s="741"/>
      <c r="FK112" s="746"/>
      <c r="FL112" s="742" t="s">
        <v>15</v>
      </c>
      <c r="FM112" s="743"/>
      <c r="FN112" s="743"/>
      <c r="FO112" s="743">
        <v>1</v>
      </c>
      <c r="FP112" s="743">
        <v>1</v>
      </c>
      <c r="FQ112" s="743"/>
      <c r="FR112" s="743">
        <v>1</v>
      </c>
      <c r="FS112" s="743"/>
      <c r="FT112" s="743"/>
      <c r="FU112" s="743"/>
      <c r="FV112" s="743"/>
      <c r="FW112" s="743">
        <v>1</v>
      </c>
      <c r="FX112" s="743"/>
      <c r="FY112" s="743"/>
      <c r="FZ112" s="743"/>
      <c r="GA112" s="743">
        <v>1</v>
      </c>
      <c r="GB112" s="743">
        <v>1</v>
      </c>
      <c r="GC112" s="743">
        <v>6</v>
      </c>
      <c r="GD112" s="992">
        <v>0</v>
      </c>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row>
    <row r="113" spans="1:210">
      <c r="A113" s="73"/>
      <c r="B113" s="73"/>
      <c r="C113" s="73"/>
      <c r="D113" s="73" t="s">
        <v>1286</v>
      </c>
      <c r="E113" s="967"/>
      <c r="F113" s="967">
        <v>1</v>
      </c>
      <c r="G113" s="967"/>
      <c r="H113" s="967"/>
      <c r="I113" s="967"/>
      <c r="J113" s="967"/>
      <c r="K113" s="967"/>
      <c r="L113" s="967"/>
      <c r="M113" s="967"/>
      <c r="N113" s="967">
        <v>0</v>
      </c>
      <c r="O113" s="967"/>
      <c r="P113" s="967"/>
      <c r="Q113" s="967">
        <v>0</v>
      </c>
      <c r="R113" s="967">
        <v>0</v>
      </c>
      <c r="S113" s="967">
        <v>0</v>
      </c>
      <c r="T113" s="73"/>
      <c r="U113" s="73"/>
      <c r="V113" s="73">
        <v>1</v>
      </c>
      <c r="W113" s="73"/>
      <c r="Y113" s="73"/>
      <c r="Z113" s="73"/>
      <c r="AA113" s="73"/>
      <c r="AB113" s="738" t="s">
        <v>575</v>
      </c>
      <c r="AC113" s="3262">
        <v>2</v>
      </c>
      <c r="AD113" s="3262">
        <v>1</v>
      </c>
      <c r="AE113" s="3262">
        <v>1</v>
      </c>
      <c r="AF113" s="3262"/>
      <c r="AG113" s="3262"/>
      <c r="AH113" s="3262"/>
      <c r="AI113" s="3262">
        <v>1</v>
      </c>
      <c r="AJ113" s="3262">
        <v>2</v>
      </c>
      <c r="AK113" s="3262">
        <v>1</v>
      </c>
      <c r="AL113" s="3262">
        <v>1</v>
      </c>
      <c r="AM113" s="3262"/>
      <c r="AN113" s="3262">
        <v>1</v>
      </c>
      <c r="AO113" s="3262">
        <v>5</v>
      </c>
      <c r="AP113" s="3262">
        <v>15</v>
      </c>
      <c r="AQ113" s="3262">
        <v>16</v>
      </c>
      <c r="AR113" s="151">
        <v>1</v>
      </c>
      <c r="AS113" s="151">
        <v>2</v>
      </c>
      <c r="AT113" s="151">
        <v>49</v>
      </c>
      <c r="AU113" s="912">
        <f>+(AT109+AT111)/(AT113-AT112)</f>
        <v>0.375</v>
      </c>
      <c r="AY113" s="73"/>
      <c r="AZ113" s="73" t="s">
        <v>2013</v>
      </c>
      <c r="BA113" s="2607">
        <v>1</v>
      </c>
      <c r="BB113" s="2607"/>
      <c r="BC113" s="2607">
        <v>0</v>
      </c>
      <c r="BD113" s="2607"/>
      <c r="BE113" s="2607"/>
      <c r="BF113" s="2607"/>
      <c r="BG113" s="2607"/>
      <c r="BH113" s="2607">
        <v>0</v>
      </c>
      <c r="BI113" s="2607">
        <v>0</v>
      </c>
      <c r="BJ113" s="2607"/>
      <c r="BK113" s="2607"/>
      <c r="BL113" s="2607"/>
      <c r="BM113" s="2607">
        <v>0</v>
      </c>
      <c r="BN113" s="2607">
        <v>0</v>
      </c>
      <c r="BO113" s="2607">
        <v>0</v>
      </c>
      <c r="BP113" s="73"/>
      <c r="BQ113" s="73">
        <v>0</v>
      </c>
      <c r="BR113" s="73">
        <v>1</v>
      </c>
      <c r="BS113" s="73"/>
      <c r="BU113" s="2207"/>
      <c r="BV113" s="2207"/>
      <c r="BW113" s="2207"/>
      <c r="BX113" s="2208" t="s">
        <v>1284</v>
      </c>
      <c r="BY113" s="2209"/>
      <c r="BZ113" s="2210">
        <v>2</v>
      </c>
      <c r="CA113" s="2210">
        <v>1</v>
      </c>
      <c r="CB113" s="2209"/>
      <c r="CC113" s="2209"/>
      <c r="CD113" s="2209"/>
      <c r="CE113" s="2209"/>
      <c r="CF113" s="2209"/>
      <c r="CG113" s="2209"/>
      <c r="CH113" s="2210">
        <v>1</v>
      </c>
      <c r="CI113" s="2210">
        <v>2</v>
      </c>
      <c r="CJ113" s="2210">
        <v>1</v>
      </c>
      <c r="CK113" s="2210">
        <v>2</v>
      </c>
      <c r="CL113" s="2212">
        <v>0</v>
      </c>
      <c r="CM113" s="2212">
        <v>0</v>
      </c>
      <c r="CN113" s="2212">
        <v>9</v>
      </c>
      <c r="CO113" s="73"/>
      <c r="CQ113" s="955"/>
      <c r="CR113" s="955"/>
      <c r="CS113" s="955"/>
      <c r="CT113" s="956" t="s">
        <v>1398</v>
      </c>
      <c r="CU113" s="957"/>
      <c r="CV113" s="958">
        <v>0</v>
      </c>
      <c r="CW113" s="957"/>
      <c r="CX113" s="957"/>
      <c r="CY113" s="957"/>
      <c r="CZ113" s="957"/>
      <c r="DA113" s="957"/>
      <c r="DB113" s="957"/>
      <c r="DC113" s="957"/>
      <c r="DD113" s="957"/>
      <c r="DE113" s="957"/>
      <c r="DF113" s="957"/>
      <c r="DG113" s="958">
        <v>2</v>
      </c>
      <c r="DH113" s="958">
        <v>0</v>
      </c>
      <c r="DI113" s="958">
        <v>1</v>
      </c>
      <c r="DJ113" s="959"/>
      <c r="DK113" s="960">
        <v>0</v>
      </c>
      <c r="DL113" s="960">
        <v>3</v>
      </c>
      <c r="DM113" s="161"/>
      <c r="DO113" s="788"/>
      <c r="DP113" s="788"/>
      <c r="DQ113" s="788" t="s">
        <v>338</v>
      </c>
      <c r="DR113" s="788" t="s">
        <v>1282</v>
      </c>
      <c r="DS113" s="789" t="s">
        <v>1284</v>
      </c>
      <c r="DT113" s="961"/>
      <c r="DU113" s="962">
        <v>1</v>
      </c>
      <c r="DV113" s="961"/>
      <c r="DW113" s="961"/>
      <c r="DX113" s="961"/>
      <c r="DY113" s="961"/>
      <c r="DZ113" s="961"/>
      <c r="EA113" s="961"/>
      <c r="EB113" s="961"/>
      <c r="EC113" s="962">
        <v>0</v>
      </c>
      <c r="ED113" s="962">
        <v>0</v>
      </c>
      <c r="EE113" s="961"/>
      <c r="EF113" s="961"/>
      <c r="EG113" s="962">
        <v>1</v>
      </c>
      <c r="EH113" s="962">
        <v>0</v>
      </c>
      <c r="EI113" s="963"/>
      <c r="EJ113" s="963"/>
      <c r="EK113" s="964">
        <v>2</v>
      </c>
      <c r="EL113" s="912"/>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161"/>
      <c r="FJ113" s="161"/>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row>
    <row r="114" spans="1:210">
      <c r="A114" s="73"/>
      <c r="B114" s="73"/>
      <c r="C114" s="73"/>
      <c r="D114" s="73" t="s">
        <v>1288</v>
      </c>
      <c r="E114" s="967"/>
      <c r="F114" s="967">
        <v>0</v>
      </c>
      <c r="G114" s="967"/>
      <c r="H114" s="967"/>
      <c r="I114" s="967"/>
      <c r="J114" s="967"/>
      <c r="K114" s="967"/>
      <c r="L114" s="967"/>
      <c r="M114" s="967"/>
      <c r="N114" s="967">
        <v>0</v>
      </c>
      <c r="O114" s="967"/>
      <c r="P114" s="967"/>
      <c r="Q114" s="967">
        <v>0</v>
      </c>
      <c r="R114" s="967">
        <v>5</v>
      </c>
      <c r="S114" s="967">
        <v>0</v>
      </c>
      <c r="T114" s="73"/>
      <c r="U114" s="73"/>
      <c r="V114" s="73">
        <v>5</v>
      </c>
      <c r="W114" s="73"/>
      <c r="Y114" s="73"/>
      <c r="Z114" s="73"/>
      <c r="AA114" s="73" t="s">
        <v>111</v>
      </c>
      <c r="AB114" s="73" t="s">
        <v>1284</v>
      </c>
      <c r="AC114" s="3261">
        <v>1</v>
      </c>
      <c r="AD114" s="3261">
        <v>2</v>
      </c>
      <c r="AE114" s="3261">
        <v>1</v>
      </c>
      <c r="AF114" s="3261">
        <v>1</v>
      </c>
      <c r="AG114" s="3261">
        <v>5</v>
      </c>
      <c r="AH114" s="3261"/>
      <c r="AI114" s="3261">
        <v>2</v>
      </c>
      <c r="AJ114" s="3261">
        <v>1</v>
      </c>
      <c r="AK114" s="3261">
        <v>1</v>
      </c>
      <c r="AL114" s="3261">
        <v>0</v>
      </c>
      <c r="AM114" s="3261"/>
      <c r="AN114" s="3261">
        <v>2</v>
      </c>
      <c r="AO114" s="3261">
        <v>9</v>
      </c>
      <c r="AP114" s="3261">
        <v>8</v>
      </c>
      <c r="AQ114" s="3261">
        <v>2</v>
      </c>
      <c r="AR114" s="161">
        <v>2</v>
      </c>
      <c r="AS114" s="161">
        <v>0</v>
      </c>
      <c r="AT114" s="161">
        <v>37</v>
      </c>
      <c r="AU114" s="73"/>
      <c r="AY114" s="73"/>
      <c r="AZ114" s="738" t="s">
        <v>15</v>
      </c>
      <c r="BA114" s="2608">
        <v>1</v>
      </c>
      <c r="BB114" s="2608"/>
      <c r="BC114" s="2608">
        <v>1</v>
      </c>
      <c r="BD114" s="2608"/>
      <c r="BE114" s="2608"/>
      <c r="BF114" s="2608"/>
      <c r="BG114" s="2608"/>
      <c r="BH114" s="2608">
        <v>1</v>
      </c>
      <c r="BI114" s="2608">
        <v>1</v>
      </c>
      <c r="BJ114" s="2608"/>
      <c r="BK114" s="2608"/>
      <c r="BL114" s="2608"/>
      <c r="BM114" s="2608">
        <v>2</v>
      </c>
      <c r="BN114" s="2608">
        <v>4</v>
      </c>
      <c r="BO114" s="2608">
        <v>11</v>
      </c>
      <c r="BP114" s="738"/>
      <c r="BQ114" s="738">
        <v>3</v>
      </c>
      <c r="BR114" s="738">
        <v>24</v>
      </c>
      <c r="BS114" s="912">
        <f>+(BR110+BR112)/(BR114-BR113)</f>
        <v>0.17391304347826086</v>
      </c>
      <c r="BU114" s="2207"/>
      <c r="BV114" s="2207"/>
      <c r="BW114" s="2207"/>
      <c r="BX114" s="2208" t="s">
        <v>1288</v>
      </c>
      <c r="BY114" s="2209"/>
      <c r="BZ114" s="2210">
        <v>0</v>
      </c>
      <c r="CA114" s="2210">
        <v>0</v>
      </c>
      <c r="CB114" s="2209"/>
      <c r="CC114" s="2209"/>
      <c r="CD114" s="2209"/>
      <c r="CE114" s="2209"/>
      <c r="CF114" s="2209"/>
      <c r="CG114" s="2209"/>
      <c r="CH114" s="2210">
        <v>0</v>
      </c>
      <c r="CI114" s="2210">
        <v>2</v>
      </c>
      <c r="CJ114" s="2210">
        <v>3</v>
      </c>
      <c r="CK114" s="2210">
        <v>1</v>
      </c>
      <c r="CL114" s="2212">
        <v>0</v>
      </c>
      <c r="CM114" s="2212">
        <v>0</v>
      </c>
      <c r="CN114" s="2212">
        <v>6</v>
      </c>
      <c r="CO114" s="73"/>
      <c r="CQ114" s="955"/>
      <c r="CR114" s="955"/>
      <c r="CS114" s="955"/>
      <c r="CT114" s="974" t="s">
        <v>15</v>
      </c>
      <c r="CU114" s="975"/>
      <c r="CV114" s="976">
        <v>1</v>
      </c>
      <c r="CW114" s="975"/>
      <c r="CX114" s="975"/>
      <c r="CY114" s="975"/>
      <c r="CZ114" s="975"/>
      <c r="DA114" s="975"/>
      <c r="DB114" s="975"/>
      <c r="DC114" s="975"/>
      <c r="DD114" s="975"/>
      <c r="DE114" s="975"/>
      <c r="DF114" s="975"/>
      <c r="DG114" s="976">
        <v>3</v>
      </c>
      <c r="DH114" s="976">
        <v>2</v>
      </c>
      <c r="DI114" s="976">
        <v>3</v>
      </c>
      <c r="DJ114" s="977"/>
      <c r="DK114" s="978">
        <v>1</v>
      </c>
      <c r="DL114" s="978">
        <v>10</v>
      </c>
      <c r="DM114" s="912">
        <f>+(DL111+DL113)/DL114</f>
        <v>0.5</v>
      </c>
      <c r="DO114" s="788"/>
      <c r="DP114" s="788"/>
      <c r="DQ114" s="788"/>
      <c r="DR114" s="788"/>
      <c r="DS114" s="789" t="s">
        <v>1286</v>
      </c>
      <c r="DT114" s="961"/>
      <c r="DU114" s="962">
        <v>0</v>
      </c>
      <c r="DV114" s="961"/>
      <c r="DW114" s="961"/>
      <c r="DX114" s="961"/>
      <c r="DY114" s="961"/>
      <c r="DZ114" s="961"/>
      <c r="EA114" s="961"/>
      <c r="EB114" s="961"/>
      <c r="EC114" s="962">
        <v>1</v>
      </c>
      <c r="ED114" s="962">
        <v>0</v>
      </c>
      <c r="EE114" s="961"/>
      <c r="EF114" s="961"/>
      <c r="EG114" s="962">
        <v>0</v>
      </c>
      <c r="EH114" s="962">
        <v>0</v>
      </c>
      <c r="EI114" s="963"/>
      <c r="EJ114" s="963"/>
      <c r="EK114" s="964">
        <v>1</v>
      </c>
      <c r="EL114" s="912"/>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161"/>
      <c r="FJ114" s="161"/>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row>
    <row r="115" spans="1:210">
      <c r="A115" s="73"/>
      <c r="B115" s="73"/>
      <c r="C115" s="73"/>
      <c r="D115" s="73" t="s">
        <v>1292</v>
      </c>
      <c r="E115" s="967"/>
      <c r="F115" s="967">
        <v>0</v>
      </c>
      <c r="G115" s="967"/>
      <c r="H115" s="967"/>
      <c r="I115" s="967"/>
      <c r="J115" s="967"/>
      <c r="K115" s="967"/>
      <c r="L115" s="967"/>
      <c r="M115" s="967"/>
      <c r="N115" s="967">
        <v>0</v>
      </c>
      <c r="O115" s="967"/>
      <c r="P115" s="967"/>
      <c r="Q115" s="967">
        <v>0</v>
      </c>
      <c r="R115" s="967">
        <v>1</v>
      </c>
      <c r="S115" s="967">
        <v>15</v>
      </c>
      <c r="T115" s="73"/>
      <c r="U115" s="73"/>
      <c r="V115" s="73">
        <v>16</v>
      </c>
      <c r="W115" s="73"/>
      <c r="Y115" s="73"/>
      <c r="Z115" s="73"/>
      <c r="AA115" s="73"/>
      <c r="AB115" s="73" t="s">
        <v>1286</v>
      </c>
      <c r="AC115" s="3261">
        <v>0</v>
      </c>
      <c r="AD115" s="3261">
        <v>1</v>
      </c>
      <c r="AE115" s="3261">
        <v>0</v>
      </c>
      <c r="AF115" s="3261">
        <v>0</v>
      </c>
      <c r="AG115" s="3261">
        <v>0</v>
      </c>
      <c r="AH115" s="3261"/>
      <c r="AI115" s="3261">
        <v>0</v>
      </c>
      <c r="AJ115" s="3261">
        <v>0</v>
      </c>
      <c r="AK115" s="3261">
        <v>0</v>
      </c>
      <c r="AL115" s="3261">
        <v>0</v>
      </c>
      <c r="AM115" s="3261"/>
      <c r="AN115" s="3261">
        <v>0</v>
      </c>
      <c r="AO115" s="3261">
        <v>0</v>
      </c>
      <c r="AP115" s="3261">
        <v>0</v>
      </c>
      <c r="AQ115" s="3261">
        <v>0</v>
      </c>
      <c r="AR115" s="161">
        <v>0</v>
      </c>
      <c r="AS115" s="161">
        <v>0</v>
      </c>
      <c r="AT115" s="161">
        <v>1</v>
      </c>
      <c r="AU115" s="73"/>
      <c r="AY115" s="73" t="s">
        <v>131</v>
      </c>
      <c r="AZ115" s="73" t="s">
        <v>1284</v>
      </c>
      <c r="BA115" s="2607"/>
      <c r="BB115" s="2607">
        <v>1</v>
      </c>
      <c r="BC115" s="2607"/>
      <c r="BD115" s="2607"/>
      <c r="BE115" s="2607"/>
      <c r="BF115" s="2607"/>
      <c r="BG115" s="2607"/>
      <c r="BH115" s="2607"/>
      <c r="BI115" s="2607"/>
      <c r="BJ115" s="2607"/>
      <c r="BK115" s="2607"/>
      <c r="BL115" s="2607"/>
      <c r="BM115" s="2607"/>
      <c r="BN115" s="2607">
        <v>0</v>
      </c>
      <c r="BO115" s="2607">
        <v>0</v>
      </c>
      <c r="BP115" s="73">
        <v>1</v>
      </c>
      <c r="BQ115" s="73">
        <v>0</v>
      </c>
      <c r="BR115" s="73">
        <v>2</v>
      </c>
      <c r="BS115" s="73"/>
      <c r="BU115" s="2207"/>
      <c r="BV115" s="2207"/>
      <c r="BW115" s="2207"/>
      <c r="BX115" s="2208" t="s">
        <v>1292</v>
      </c>
      <c r="BY115" s="2209"/>
      <c r="BZ115" s="2210">
        <v>0</v>
      </c>
      <c r="CA115" s="2210">
        <v>0</v>
      </c>
      <c r="CB115" s="2209"/>
      <c r="CC115" s="2209"/>
      <c r="CD115" s="2209"/>
      <c r="CE115" s="2209"/>
      <c r="CF115" s="2209"/>
      <c r="CG115" s="2209"/>
      <c r="CH115" s="2210">
        <v>0</v>
      </c>
      <c r="CI115" s="2210">
        <v>0</v>
      </c>
      <c r="CJ115" s="2210">
        <v>1</v>
      </c>
      <c r="CK115" s="2210">
        <v>10</v>
      </c>
      <c r="CL115" s="2212">
        <v>0</v>
      </c>
      <c r="CM115" s="2212">
        <v>3</v>
      </c>
      <c r="CN115" s="2212">
        <v>14</v>
      </c>
      <c r="CO115" s="73"/>
      <c r="CQ115" s="955"/>
      <c r="CR115" s="955"/>
      <c r="CS115" s="955" t="s">
        <v>338</v>
      </c>
      <c r="CT115" s="956" t="s">
        <v>1284</v>
      </c>
      <c r="CU115" s="957"/>
      <c r="CV115" s="957"/>
      <c r="CW115" s="957"/>
      <c r="CX115" s="958">
        <v>1</v>
      </c>
      <c r="CY115" s="957"/>
      <c r="CZ115" s="957"/>
      <c r="DA115" s="957"/>
      <c r="DB115" s="957"/>
      <c r="DC115" s="957"/>
      <c r="DD115" s="957"/>
      <c r="DE115" s="957"/>
      <c r="DF115" s="958">
        <v>0</v>
      </c>
      <c r="DG115" s="958">
        <v>0</v>
      </c>
      <c r="DH115" s="958">
        <v>0</v>
      </c>
      <c r="DI115" s="958">
        <v>0</v>
      </c>
      <c r="DJ115" s="959"/>
      <c r="DK115" s="960">
        <v>0</v>
      </c>
      <c r="DL115" s="960">
        <v>1</v>
      </c>
      <c r="DM115" s="161"/>
      <c r="DO115" s="788"/>
      <c r="DP115" s="788"/>
      <c r="DQ115" s="788"/>
      <c r="DR115" s="788"/>
      <c r="DS115" s="789" t="s">
        <v>1288</v>
      </c>
      <c r="DT115" s="961"/>
      <c r="DU115" s="962">
        <v>0</v>
      </c>
      <c r="DV115" s="961"/>
      <c r="DW115" s="961"/>
      <c r="DX115" s="961"/>
      <c r="DY115" s="961"/>
      <c r="DZ115" s="961"/>
      <c r="EA115" s="961"/>
      <c r="EB115" s="961"/>
      <c r="EC115" s="962">
        <v>0</v>
      </c>
      <c r="ED115" s="962">
        <v>1</v>
      </c>
      <c r="EE115" s="961"/>
      <c r="EF115" s="961"/>
      <c r="EG115" s="962">
        <v>2</v>
      </c>
      <c r="EH115" s="962">
        <v>0</v>
      </c>
      <c r="EI115" s="963"/>
      <c r="EJ115" s="963"/>
      <c r="EK115" s="964">
        <v>3</v>
      </c>
      <c r="EL115" s="912"/>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161"/>
      <c r="FJ115" s="161"/>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row>
    <row r="116" spans="1:210">
      <c r="A116" s="73"/>
      <c r="B116" s="73"/>
      <c r="C116" s="73"/>
      <c r="D116" s="73" t="s">
        <v>1398</v>
      </c>
      <c r="E116" s="967"/>
      <c r="F116" s="967">
        <v>0</v>
      </c>
      <c r="G116" s="967"/>
      <c r="H116" s="967"/>
      <c r="I116" s="967"/>
      <c r="J116" s="967"/>
      <c r="K116" s="967"/>
      <c r="L116" s="967"/>
      <c r="M116" s="967"/>
      <c r="N116" s="967">
        <v>0</v>
      </c>
      <c r="O116" s="967"/>
      <c r="P116" s="967"/>
      <c r="Q116" s="967">
        <v>2</v>
      </c>
      <c r="R116" s="967">
        <v>0</v>
      </c>
      <c r="S116" s="967">
        <v>0</v>
      </c>
      <c r="T116" s="73"/>
      <c r="U116" s="73"/>
      <c r="V116" s="73">
        <v>2</v>
      </c>
      <c r="W116" s="73"/>
      <c r="Y116" s="73"/>
      <c r="Z116" s="73"/>
      <c r="AA116" s="73"/>
      <c r="AB116" s="73" t="s">
        <v>1288</v>
      </c>
      <c r="AC116" s="3261">
        <v>0</v>
      </c>
      <c r="AD116" s="3261">
        <v>0</v>
      </c>
      <c r="AE116" s="3261">
        <v>0</v>
      </c>
      <c r="AF116" s="3261">
        <v>0</v>
      </c>
      <c r="AG116" s="3261">
        <v>0</v>
      </c>
      <c r="AH116" s="3261"/>
      <c r="AI116" s="3261">
        <v>0</v>
      </c>
      <c r="AJ116" s="3261">
        <v>1</v>
      </c>
      <c r="AK116" s="3261">
        <v>0</v>
      </c>
      <c r="AL116" s="3261">
        <v>0</v>
      </c>
      <c r="AM116" s="3261"/>
      <c r="AN116" s="3261">
        <v>0</v>
      </c>
      <c r="AO116" s="3261">
        <v>9</v>
      </c>
      <c r="AP116" s="3261">
        <v>10</v>
      </c>
      <c r="AQ116" s="3261">
        <v>2</v>
      </c>
      <c r="AR116" s="161">
        <v>1</v>
      </c>
      <c r="AS116" s="161">
        <v>0</v>
      </c>
      <c r="AT116" s="161">
        <v>23</v>
      </c>
      <c r="AU116" s="73"/>
      <c r="AY116" s="73"/>
      <c r="AZ116" s="73" t="s">
        <v>1288</v>
      </c>
      <c r="BA116" s="2607"/>
      <c r="BB116" s="2607">
        <v>0</v>
      </c>
      <c r="BC116" s="2607"/>
      <c r="BD116" s="2607"/>
      <c r="BE116" s="2607"/>
      <c r="BF116" s="2607"/>
      <c r="BG116" s="2607"/>
      <c r="BH116" s="2607"/>
      <c r="BI116" s="2607"/>
      <c r="BJ116" s="2607"/>
      <c r="BK116" s="2607"/>
      <c r="BL116" s="2607"/>
      <c r="BM116" s="2607"/>
      <c r="BN116" s="2607">
        <v>1</v>
      </c>
      <c r="BO116" s="2607">
        <v>3</v>
      </c>
      <c r="BP116" s="73">
        <v>0</v>
      </c>
      <c r="BQ116" s="73">
        <v>0</v>
      </c>
      <c r="BR116" s="73">
        <v>4</v>
      </c>
      <c r="BS116" s="73"/>
      <c r="BU116" s="2207"/>
      <c r="BV116" s="2207"/>
      <c r="BW116" s="2207"/>
      <c r="BX116" s="2208" t="s">
        <v>1398</v>
      </c>
      <c r="BY116" s="2209"/>
      <c r="BZ116" s="2210">
        <v>0</v>
      </c>
      <c r="CA116" s="2210">
        <v>0</v>
      </c>
      <c r="CB116" s="2209"/>
      <c r="CC116" s="2209"/>
      <c r="CD116" s="2209"/>
      <c r="CE116" s="2209"/>
      <c r="CF116" s="2209"/>
      <c r="CG116" s="2209"/>
      <c r="CH116" s="2210">
        <v>3</v>
      </c>
      <c r="CI116" s="2210">
        <v>3</v>
      </c>
      <c r="CJ116" s="2210">
        <v>4</v>
      </c>
      <c r="CK116" s="2210">
        <v>0</v>
      </c>
      <c r="CL116" s="2212">
        <v>0</v>
      </c>
      <c r="CM116" s="2212">
        <v>0</v>
      </c>
      <c r="CN116" s="2212">
        <v>10</v>
      </c>
      <c r="CO116" s="73"/>
      <c r="CQ116" s="955"/>
      <c r="CR116" s="955"/>
      <c r="CS116" s="955"/>
      <c r="CT116" s="956" t="s">
        <v>1288</v>
      </c>
      <c r="CU116" s="957"/>
      <c r="CV116" s="957"/>
      <c r="CW116" s="957"/>
      <c r="CX116" s="958">
        <v>0</v>
      </c>
      <c r="CY116" s="957"/>
      <c r="CZ116" s="957"/>
      <c r="DA116" s="957"/>
      <c r="DB116" s="957"/>
      <c r="DC116" s="957"/>
      <c r="DD116" s="957"/>
      <c r="DE116" s="957"/>
      <c r="DF116" s="958">
        <v>1</v>
      </c>
      <c r="DG116" s="958">
        <v>0</v>
      </c>
      <c r="DH116" s="958">
        <v>1</v>
      </c>
      <c r="DI116" s="958">
        <v>0</v>
      </c>
      <c r="DJ116" s="959"/>
      <c r="DK116" s="960">
        <v>0</v>
      </c>
      <c r="DL116" s="960">
        <v>2</v>
      </c>
      <c r="DM116" s="161"/>
      <c r="DO116" s="788"/>
      <c r="DP116" s="788"/>
      <c r="DQ116" s="788"/>
      <c r="DR116" s="788"/>
      <c r="DS116" s="789" t="s">
        <v>1292</v>
      </c>
      <c r="DT116" s="961"/>
      <c r="DU116" s="962">
        <v>0</v>
      </c>
      <c r="DV116" s="961"/>
      <c r="DW116" s="961"/>
      <c r="DX116" s="961"/>
      <c r="DY116" s="961"/>
      <c r="DZ116" s="961"/>
      <c r="EA116" s="961"/>
      <c r="EB116" s="961"/>
      <c r="EC116" s="962">
        <v>0</v>
      </c>
      <c r="ED116" s="962">
        <v>0</v>
      </c>
      <c r="EE116" s="961"/>
      <c r="EF116" s="961"/>
      <c r="EG116" s="962">
        <v>0</v>
      </c>
      <c r="EH116" s="962">
        <v>5</v>
      </c>
      <c r="EI116" s="963"/>
      <c r="EJ116" s="963"/>
      <c r="EK116" s="964">
        <v>5</v>
      </c>
      <c r="EL116" s="912"/>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161"/>
      <c r="FJ116" s="161"/>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row>
    <row r="117" spans="1:210">
      <c r="A117" s="73"/>
      <c r="B117" s="73"/>
      <c r="C117" s="73"/>
      <c r="D117" s="738" t="s">
        <v>15</v>
      </c>
      <c r="E117" s="4694"/>
      <c r="F117" s="4694">
        <v>1</v>
      </c>
      <c r="G117" s="4694"/>
      <c r="H117" s="4694"/>
      <c r="I117" s="4694"/>
      <c r="J117" s="4694"/>
      <c r="K117" s="4694"/>
      <c r="L117" s="4694"/>
      <c r="M117" s="4694"/>
      <c r="N117" s="4694">
        <v>1</v>
      </c>
      <c r="O117" s="4694"/>
      <c r="P117" s="4694"/>
      <c r="Q117" s="4694">
        <v>2</v>
      </c>
      <c r="R117" s="4694">
        <v>9</v>
      </c>
      <c r="S117" s="4694">
        <v>15</v>
      </c>
      <c r="T117" s="738"/>
      <c r="U117" s="738"/>
      <c r="V117" s="738">
        <v>28</v>
      </c>
      <c r="W117" s="912">
        <f>+(V116+V114)/V117</f>
        <v>0.25</v>
      </c>
      <c r="X117" s="3197"/>
      <c r="Y117" s="73"/>
      <c r="Z117" s="73"/>
      <c r="AA117" s="73"/>
      <c r="AB117" s="73" t="s">
        <v>1292</v>
      </c>
      <c r="AC117" s="3261">
        <v>0</v>
      </c>
      <c r="AD117" s="3261">
        <v>0</v>
      </c>
      <c r="AE117" s="3261">
        <v>0</v>
      </c>
      <c r="AF117" s="3261">
        <v>0</v>
      </c>
      <c r="AG117" s="3261">
        <v>0</v>
      </c>
      <c r="AH117" s="3261"/>
      <c r="AI117" s="3261">
        <v>0</v>
      </c>
      <c r="AJ117" s="3261">
        <v>0</v>
      </c>
      <c r="AK117" s="3261">
        <v>0</v>
      </c>
      <c r="AL117" s="3261">
        <v>0</v>
      </c>
      <c r="AM117" s="3261"/>
      <c r="AN117" s="3261">
        <v>0</v>
      </c>
      <c r="AO117" s="3261">
        <v>0</v>
      </c>
      <c r="AP117" s="3261">
        <v>0</v>
      </c>
      <c r="AQ117" s="3261">
        <v>32</v>
      </c>
      <c r="AR117" s="161">
        <v>4</v>
      </c>
      <c r="AS117" s="161">
        <v>15</v>
      </c>
      <c r="AT117" s="161">
        <v>51</v>
      </c>
      <c r="AU117" s="73"/>
      <c r="AY117" s="73"/>
      <c r="AZ117" s="73" t="s">
        <v>1292</v>
      </c>
      <c r="BA117" s="2607"/>
      <c r="BB117" s="2607">
        <v>0</v>
      </c>
      <c r="BC117" s="2607"/>
      <c r="BD117" s="2607"/>
      <c r="BE117" s="2607"/>
      <c r="BF117" s="2607"/>
      <c r="BG117" s="2607"/>
      <c r="BH117" s="2607"/>
      <c r="BI117" s="2607"/>
      <c r="BJ117" s="2607"/>
      <c r="BK117" s="2607"/>
      <c r="BL117" s="2607"/>
      <c r="BM117" s="2607"/>
      <c r="BN117" s="2607">
        <v>0</v>
      </c>
      <c r="BO117" s="2607">
        <v>2</v>
      </c>
      <c r="BP117" s="73">
        <v>0</v>
      </c>
      <c r="BQ117" s="73">
        <v>2</v>
      </c>
      <c r="BR117" s="73">
        <v>4</v>
      </c>
      <c r="BS117" s="73"/>
      <c r="BU117" s="2207"/>
      <c r="BV117" s="2207"/>
      <c r="BW117" s="2207"/>
      <c r="BX117" s="2204" t="s">
        <v>575</v>
      </c>
      <c r="BY117" s="2213"/>
      <c r="BZ117" s="2214">
        <v>2</v>
      </c>
      <c r="CA117" s="2214">
        <v>1</v>
      </c>
      <c r="CB117" s="2213"/>
      <c r="CC117" s="2213"/>
      <c r="CD117" s="2213"/>
      <c r="CE117" s="2213"/>
      <c r="CF117" s="2213"/>
      <c r="CG117" s="2213"/>
      <c r="CH117" s="2214">
        <v>4</v>
      </c>
      <c r="CI117" s="2214">
        <v>7</v>
      </c>
      <c r="CJ117" s="2214">
        <v>9</v>
      </c>
      <c r="CK117" s="2214">
        <v>19</v>
      </c>
      <c r="CL117" s="2216">
        <v>1</v>
      </c>
      <c r="CM117" s="2216">
        <v>5</v>
      </c>
      <c r="CN117" s="2216">
        <v>48</v>
      </c>
      <c r="CO117" s="2154">
        <f>+(CN114+CN116)/CN117</f>
        <v>0.33333333333333331</v>
      </c>
      <c r="CQ117" s="955"/>
      <c r="CR117" s="955"/>
      <c r="CS117" s="955"/>
      <c r="CT117" s="956" t="s">
        <v>1292</v>
      </c>
      <c r="CU117" s="957"/>
      <c r="CV117" s="957"/>
      <c r="CW117" s="957"/>
      <c r="CX117" s="958">
        <v>0</v>
      </c>
      <c r="CY117" s="957"/>
      <c r="CZ117" s="957"/>
      <c r="DA117" s="957"/>
      <c r="DB117" s="957"/>
      <c r="DC117" s="957"/>
      <c r="DD117" s="957"/>
      <c r="DE117" s="957"/>
      <c r="DF117" s="958">
        <v>0</v>
      </c>
      <c r="DG117" s="958">
        <v>0</v>
      </c>
      <c r="DH117" s="958">
        <v>1</v>
      </c>
      <c r="DI117" s="958">
        <v>9</v>
      </c>
      <c r="DJ117" s="959"/>
      <c r="DK117" s="960">
        <v>4</v>
      </c>
      <c r="DL117" s="960">
        <v>14</v>
      </c>
      <c r="DM117" s="161"/>
      <c r="DO117" s="788"/>
      <c r="DP117" s="788"/>
      <c r="DQ117" s="788"/>
      <c r="DR117" s="73"/>
      <c r="DS117" s="809" t="s">
        <v>15</v>
      </c>
      <c r="DT117" s="970"/>
      <c r="DU117" s="971">
        <v>1</v>
      </c>
      <c r="DV117" s="970"/>
      <c r="DW117" s="970"/>
      <c r="DX117" s="970"/>
      <c r="DY117" s="970"/>
      <c r="DZ117" s="970"/>
      <c r="EA117" s="970"/>
      <c r="EB117" s="970"/>
      <c r="EC117" s="971">
        <v>1</v>
      </c>
      <c r="ED117" s="971">
        <v>1</v>
      </c>
      <c r="EE117" s="970"/>
      <c r="EF117" s="970"/>
      <c r="EG117" s="971">
        <v>3</v>
      </c>
      <c r="EH117" s="971">
        <v>5</v>
      </c>
      <c r="EI117" s="972"/>
      <c r="EJ117" s="972"/>
      <c r="EK117" s="973">
        <v>11</v>
      </c>
      <c r="EL117" s="912">
        <f>+EK115/EK117</f>
        <v>0.27272727272727271</v>
      </c>
      <c r="EM117" s="73"/>
      <c r="EN117" s="73"/>
      <c r="EO117" s="73"/>
      <c r="EP117" s="947"/>
      <c r="EQ117" s="947"/>
      <c r="ER117" s="4939" t="s">
        <v>1372</v>
      </c>
      <c r="ES117" s="4939"/>
      <c r="ET117" s="4939"/>
      <c r="EU117" s="4939"/>
      <c r="EV117" s="4939"/>
      <c r="EW117" s="4939"/>
      <c r="EX117" s="4939"/>
      <c r="EY117" s="4939"/>
      <c r="EZ117" s="4939"/>
      <c r="FA117" s="4939"/>
      <c r="FB117" s="4939"/>
      <c r="FC117" s="4939"/>
      <c r="FD117" s="4939"/>
      <c r="FE117" s="946"/>
      <c r="FF117" s="73"/>
      <c r="FG117" s="73"/>
      <c r="FH117" s="73"/>
      <c r="FI117" s="161"/>
      <c r="FJ117" s="161"/>
      <c r="FK117" s="73" t="s">
        <v>332</v>
      </c>
      <c r="FL117" s="738" t="s">
        <v>332</v>
      </c>
      <c r="FM117" s="4942" t="s">
        <v>1373</v>
      </c>
      <c r="FN117" s="4942"/>
      <c r="FO117" s="4942"/>
      <c r="FP117" s="4942"/>
      <c r="FQ117" s="4942"/>
      <c r="FR117" s="4942"/>
      <c r="FS117" s="4942"/>
      <c r="FT117" s="4942"/>
      <c r="FU117" s="4942"/>
      <c r="FV117" s="4942"/>
      <c r="FW117" s="4942"/>
      <c r="FX117" s="4942"/>
      <c r="FY117" s="4942"/>
      <c r="FZ117" s="4942"/>
      <c r="GA117" s="4942"/>
      <c r="GB117" s="4942"/>
      <c r="GC117" s="738"/>
      <c r="GD117" s="73"/>
      <c r="GE117" s="73"/>
      <c r="GF117" s="73"/>
      <c r="GG117" s="73"/>
      <c r="GH117" s="73"/>
      <c r="GI117" s="73"/>
      <c r="GJ117" s="4941" t="s">
        <v>1373</v>
      </c>
      <c r="GK117" s="4941"/>
      <c r="GL117" s="4941"/>
      <c r="GM117" s="4941"/>
      <c r="GN117" s="4941"/>
      <c r="GO117" s="4941"/>
      <c r="GP117" s="4941"/>
      <c r="GQ117" s="4941"/>
      <c r="GR117" s="4941"/>
      <c r="GS117" s="4941"/>
      <c r="GT117" s="4941"/>
      <c r="GU117" s="4941"/>
      <c r="GV117" s="4941"/>
      <c r="GW117" s="4941"/>
      <c r="GX117" s="4941"/>
      <c r="GY117" s="4941"/>
      <c r="GZ117" s="73"/>
      <c r="HA117" s="73"/>
      <c r="HB117" s="73"/>
    </row>
    <row r="118" spans="1:210" ht="24.75" thickBot="1">
      <c r="A118" s="73"/>
      <c r="B118" s="73"/>
      <c r="C118" s="73" t="s">
        <v>128</v>
      </c>
      <c r="D118" s="73" t="s">
        <v>1284</v>
      </c>
      <c r="E118" s="967"/>
      <c r="F118" s="967"/>
      <c r="G118" s="967"/>
      <c r="H118" s="967">
        <v>0</v>
      </c>
      <c r="I118" s="967"/>
      <c r="J118" s="967"/>
      <c r="K118" s="967">
        <v>0</v>
      </c>
      <c r="L118" s="967"/>
      <c r="M118" s="967"/>
      <c r="N118" s="967"/>
      <c r="O118" s="967">
        <v>0</v>
      </c>
      <c r="P118" s="967"/>
      <c r="Q118" s="967">
        <v>1</v>
      </c>
      <c r="R118" s="967">
        <v>7</v>
      </c>
      <c r="S118" s="967">
        <v>0</v>
      </c>
      <c r="T118" s="73"/>
      <c r="U118" s="73"/>
      <c r="V118" s="73">
        <v>8</v>
      </c>
      <c r="W118" s="73"/>
      <c r="Y118" s="73"/>
      <c r="Z118" s="73"/>
      <c r="AA118" s="73"/>
      <c r="AB118" s="73" t="s">
        <v>1398</v>
      </c>
      <c r="AC118" s="3261">
        <v>0</v>
      </c>
      <c r="AD118" s="3261">
        <v>0</v>
      </c>
      <c r="AE118" s="3261">
        <v>0</v>
      </c>
      <c r="AF118" s="3261">
        <v>0</v>
      </c>
      <c r="AG118" s="3261">
        <v>0</v>
      </c>
      <c r="AH118" s="3261"/>
      <c r="AI118" s="3261">
        <v>0</v>
      </c>
      <c r="AJ118" s="3261">
        <v>0</v>
      </c>
      <c r="AK118" s="3261">
        <v>0</v>
      </c>
      <c r="AL118" s="3261">
        <v>1</v>
      </c>
      <c r="AM118" s="3261"/>
      <c r="AN118" s="3261">
        <v>4</v>
      </c>
      <c r="AO118" s="3261">
        <v>8</v>
      </c>
      <c r="AP118" s="3261">
        <v>10</v>
      </c>
      <c r="AQ118" s="3261">
        <v>2</v>
      </c>
      <c r="AR118" s="161">
        <v>0</v>
      </c>
      <c r="AS118" s="161">
        <v>0</v>
      </c>
      <c r="AT118" s="161">
        <v>25</v>
      </c>
      <c r="AU118" s="73"/>
      <c r="AY118" s="73"/>
      <c r="AZ118" s="73" t="s">
        <v>1398</v>
      </c>
      <c r="BA118" s="2607"/>
      <c r="BB118" s="2607">
        <v>0</v>
      </c>
      <c r="BC118" s="2607"/>
      <c r="BD118" s="2607"/>
      <c r="BE118" s="2607"/>
      <c r="BF118" s="2607"/>
      <c r="BG118" s="2607"/>
      <c r="BH118" s="2607"/>
      <c r="BI118" s="2607"/>
      <c r="BJ118" s="2607"/>
      <c r="BK118" s="2607"/>
      <c r="BL118" s="2607"/>
      <c r="BM118" s="2607"/>
      <c r="BN118" s="2607">
        <v>2</v>
      </c>
      <c r="BO118" s="2607">
        <v>1</v>
      </c>
      <c r="BP118" s="73">
        <v>1</v>
      </c>
      <c r="BQ118" s="73">
        <v>0</v>
      </c>
      <c r="BR118" s="73">
        <v>4</v>
      </c>
      <c r="BS118" s="73"/>
      <c r="BU118" s="2207"/>
      <c r="BV118" s="2207"/>
      <c r="BW118" s="2207" t="s">
        <v>111</v>
      </c>
      <c r="BX118" s="2208" t="s">
        <v>1283</v>
      </c>
      <c r="BY118" s="2209"/>
      <c r="BZ118" s="2210">
        <v>0</v>
      </c>
      <c r="CA118" s="2210">
        <v>0</v>
      </c>
      <c r="CB118" s="2209"/>
      <c r="CC118" s="2210">
        <v>0</v>
      </c>
      <c r="CD118" s="2210">
        <v>0</v>
      </c>
      <c r="CE118" s="2210">
        <v>0</v>
      </c>
      <c r="CF118" s="2210">
        <v>0</v>
      </c>
      <c r="CG118" s="2210">
        <v>0</v>
      </c>
      <c r="CH118" s="2210">
        <v>0</v>
      </c>
      <c r="CI118" s="2210">
        <v>0</v>
      </c>
      <c r="CJ118" s="2210">
        <v>0</v>
      </c>
      <c r="CK118" s="2210">
        <v>7</v>
      </c>
      <c r="CL118" s="2212">
        <v>1</v>
      </c>
      <c r="CM118" s="2212">
        <v>2</v>
      </c>
      <c r="CN118" s="2212">
        <v>10</v>
      </c>
      <c r="CO118" s="73"/>
      <c r="CQ118" s="955"/>
      <c r="CR118" s="955"/>
      <c r="CS118" s="955"/>
      <c r="CT118" s="956" t="s">
        <v>1398</v>
      </c>
      <c r="CU118" s="957"/>
      <c r="CV118" s="957"/>
      <c r="CW118" s="957"/>
      <c r="CX118" s="958">
        <v>0</v>
      </c>
      <c r="CY118" s="957"/>
      <c r="CZ118" s="957"/>
      <c r="DA118" s="957"/>
      <c r="DB118" s="957"/>
      <c r="DC118" s="957"/>
      <c r="DD118" s="957"/>
      <c r="DE118" s="957"/>
      <c r="DF118" s="958">
        <v>1</v>
      </c>
      <c r="DG118" s="958">
        <v>1</v>
      </c>
      <c r="DH118" s="958">
        <v>0</v>
      </c>
      <c r="DI118" s="958">
        <v>2</v>
      </c>
      <c r="DJ118" s="959"/>
      <c r="DK118" s="960">
        <v>0</v>
      </c>
      <c r="DL118" s="960">
        <v>4</v>
      </c>
      <c r="DM118" s="161"/>
      <c r="DO118" s="788"/>
      <c r="DP118" s="788"/>
      <c r="DQ118" s="809" t="s">
        <v>575</v>
      </c>
      <c r="DR118" s="788" t="s">
        <v>1282</v>
      </c>
      <c r="DS118" s="789" t="s">
        <v>1284</v>
      </c>
      <c r="DT118" s="961"/>
      <c r="DU118" s="962">
        <v>1</v>
      </c>
      <c r="DV118" s="961"/>
      <c r="DW118" s="961"/>
      <c r="DX118" s="961"/>
      <c r="DY118" s="961"/>
      <c r="DZ118" s="961"/>
      <c r="EA118" s="961"/>
      <c r="EB118" s="961"/>
      <c r="EC118" s="962">
        <v>1</v>
      </c>
      <c r="ED118" s="962">
        <v>0</v>
      </c>
      <c r="EE118" s="962">
        <v>0</v>
      </c>
      <c r="EF118" s="962">
        <v>1</v>
      </c>
      <c r="EG118" s="962">
        <v>1</v>
      </c>
      <c r="EH118" s="962">
        <v>1</v>
      </c>
      <c r="EI118" s="963"/>
      <c r="EJ118" s="964">
        <v>0</v>
      </c>
      <c r="EK118" s="964">
        <v>5</v>
      </c>
      <c r="EL118" s="912"/>
      <c r="EM118" s="73"/>
      <c r="EN118" s="993" t="s">
        <v>0</v>
      </c>
      <c r="EO118" s="993"/>
      <c r="EP118" s="993" t="s">
        <v>1</v>
      </c>
      <c r="EQ118" s="993" t="s">
        <v>1282</v>
      </c>
      <c r="ER118" s="993">
        <v>1</v>
      </c>
      <c r="ES118" s="993">
        <v>5</v>
      </c>
      <c r="ET118" s="993">
        <v>6</v>
      </c>
      <c r="EU118" s="993">
        <v>7</v>
      </c>
      <c r="EV118" s="993">
        <v>8</v>
      </c>
      <c r="EW118" s="993">
        <v>9</v>
      </c>
      <c r="EX118" s="993">
        <v>10</v>
      </c>
      <c r="EY118" s="993">
        <v>11</v>
      </c>
      <c r="EZ118" s="993">
        <v>12</v>
      </c>
      <c r="FA118" s="993">
        <v>13</v>
      </c>
      <c r="FB118" s="993">
        <v>14</v>
      </c>
      <c r="FC118" s="993">
        <v>15</v>
      </c>
      <c r="FD118" s="993">
        <v>16</v>
      </c>
      <c r="FE118" s="993" t="s">
        <v>15</v>
      </c>
      <c r="FF118" s="994" t="s">
        <v>66</v>
      </c>
      <c r="FG118" s="73"/>
      <c r="FH118" s="73"/>
      <c r="FI118" s="995"/>
      <c r="FJ118" s="996" t="s">
        <v>0</v>
      </c>
      <c r="FK118" s="996" t="s">
        <v>1</v>
      </c>
      <c r="FL118" s="996" t="s">
        <v>1282</v>
      </c>
      <c r="FM118" s="996">
        <v>1</v>
      </c>
      <c r="FN118" s="996">
        <v>2</v>
      </c>
      <c r="FO118" s="996">
        <v>3</v>
      </c>
      <c r="FP118" s="996">
        <v>4</v>
      </c>
      <c r="FQ118" s="996">
        <v>5</v>
      </c>
      <c r="FR118" s="996">
        <v>6</v>
      </c>
      <c r="FS118" s="996">
        <v>7</v>
      </c>
      <c r="FT118" s="996">
        <v>8</v>
      </c>
      <c r="FU118" s="996">
        <v>9</v>
      </c>
      <c r="FV118" s="996">
        <v>10</v>
      </c>
      <c r="FW118" s="996">
        <v>11</v>
      </c>
      <c r="FX118" s="996">
        <v>12</v>
      </c>
      <c r="FY118" s="996">
        <v>13</v>
      </c>
      <c r="FZ118" s="996">
        <v>14</v>
      </c>
      <c r="GA118" s="996">
        <v>15</v>
      </c>
      <c r="GB118" s="996">
        <v>16</v>
      </c>
      <c r="GC118" s="996" t="s">
        <v>15</v>
      </c>
      <c r="GD118" s="996" t="s">
        <v>66</v>
      </c>
      <c r="GE118" s="997"/>
      <c r="GF118" s="998"/>
      <c r="GG118" s="999" t="s">
        <v>0</v>
      </c>
      <c r="GH118" s="999" t="s">
        <v>1</v>
      </c>
      <c r="GI118" s="1000" t="s">
        <v>1375</v>
      </c>
      <c r="GJ118" s="999">
        <v>0</v>
      </c>
      <c r="GK118" s="999">
        <v>1</v>
      </c>
      <c r="GL118" s="999">
        <v>2</v>
      </c>
      <c r="GM118" s="999">
        <v>3</v>
      </c>
      <c r="GN118" s="999">
        <v>5</v>
      </c>
      <c r="GO118" s="999">
        <v>6</v>
      </c>
      <c r="GP118" s="999">
        <v>7</v>
      </c>
      <c r="GQ118" s="999">
        <v>8</v>
      </c>
      <c r="GR118" s="999">
        <v>9</v>
      </c>
      <c r="GS118" s="999">
        <v>10</v>
      </c>
      <c r="GT118" s="999">
        <v>11</v>
      </c>
      <c r="GU118" s="999">
        <v>12</v>
      </c>
      <c r="GV118" s="999">
        <v>13</v>
      </c>
      <c r="GW118" s="999">
        <v>14</v>
      </c>
      <c r="GX118" s="999">
        <v>15</v>
      </c>
      <c r="GY118" s="999">
        <v>16</v>
      </c>
      <c r="GZ118" s="999" t="s">
        <v>15</v>
      </c>
      <c r="HA118" s="1000" t="s">
        <v>66</v>
      </c>
      <c r="HB118" s="999" t="s">
        <v>1376</v>
      </c>
    </row>
    <row r="119" spans="1:210">
      <c r="A119" s="73"/>
      <c r="B119" s="73"/>
      <c r="C119" s="73"/>
      <c r="D119" s="73" t="s">
        <v>1286</v>
      </c>
      <c r="E119" s="967"/>
      <c r="F119" s="967"/>
      <c r="G119" s="967"/>
      <c r="H119" s="967">
        <v>1</v>
      </c>
      <c r="I119" s="967"/>
      <c r="J119" s="967"/>
      <c r="K119" s="967">
        <v>1</v>
      </c>
      <c r="L119" s="967"/>
      <c r="M119" s="967"/>
      <c r="N119" s="967"/>
      <c r="O119" s="967">
        <v>0</v>
      </c>
      <c r="P119" s="967"/>
      <c r="Q119" s="967">
        <v>0</v>
      </c>
      <c r="R119" s="967">
        <v>0</v>
      </c>
      <c r="S119" s="967">
        <v>0</v>
      </c>
      <c r="T119" s="73"/>
      <c r="U119" s="73"/>
      <c r="V119" s="73">
        <v>2</v>
      </c>
      <c r="W119" s="73"/>
      <c r="Y119" s="73"/>
      <c r="Z119" s="73"/>
      <c r="AA119" s="73"/>
      <c r="AB119" s="73" t="s">
        <v>2013</v>
      </c>
      <c r="AC119" s="3261">
        <v>1</v>
      </c>
      <c r="AD119" s="3261">
        <v>0</v>
      </c>
      <c r="AE119" s="3261">
        <v>0</v>
      </c>
      <c r="AF119" s="3261">
        <v>0</v>
      </c>
      <c r="AG119" s="3261">
        <v>0</v>
      </c>
      <c r="AH119" s="3261"/>
      <c r="AI119" s="3261">
        <v>0</v>
      </c>
      <c r="AJ119" s="3261">
        <v>0</v>
      </c>
      <c r="AK119" s="3261">
        <v>0</v>
      </c>
      <c r="AL119" s="3261">
        <v>0</v>
      </c>
      <c r="AM119" s="3261"/>
      <c r="AN119" s="3261">
        <v>0</v>
      </c>
      <c r="AO119" s="3261">
        <v>0</v>
      </c>
      <c r="AP119" s="3261">
        <v>0</v>
      </c>
      <c r="AQ119" s="3261">
        <v>0</v>
      </c>
      <c r="AR119" s="161">
        <v>0</v>
      </c>
      <c r="AS119" s="161">
        <v>0</v>
      </c>
      <c r="AT119" s="161">
        <v>1</v>
      </c>
      <c r="AU119" s="73"/>
      <c r="AY119" s="73"/>
      <c r="AZ119" s="738" t="s">
        <v>15</v>
      </c>
      <c r="BA119" s="2608"/>
      <c r="BB119" s="2608">
        <v>1</v>
      </c>
      <c r="BC119" s="2608"/>
      <c r="BD119" s="2608"/>
      <c r="BE119" s="2608"/>
      <c r="BF119" s="2608"/>
      <c r="BG119" s="2608"/>
      <c r="BH119" s="2608"/>
      <c r="BI119" s="2608"/>
      <c r="BJ119" s="2608"/>
      <c r="BK119" s="2608"/>
      <c r="BL119" s="2608"/>
      <c r="BM119" s="2608"/>
      <c r="BN119" s="2608">
        <v>3</v>
      </c>
      <c r="BO119" s="2608">
        <v>6</v>
      </c>
      <c r="BP119" s="738">
        <v>2</v>
      </c>
      <c r="BQ119" s="738">
        <v>2</v>
      </c>
      <c r="BR119" s="738">
        <v>14</v>
      </c>
      <c r="BS119" s="912">
        <f>+(BR116+BR118-BP118)/BR119</f>
        <v>0.5</v>
      </c>
      <c r="BU119" s="2207"/>
      <c r="BV119" s="2207"/>
      <c r="BW119" s="2207"/>
      <c r="BX119" s="2208" t="s">
        <v>1284</v>
      </c>
      <c r="BY119" s="2209"/>
      <c r="BZ119" s="2210">
        <v>5</v>
      </c>
      <c r="CA119" s="2210">
        <v>1</v>
      </c>
      <c r="CB119" s="2209"/>
      <c r="CC119" s="2210">
        <v>2</v>
      </c>
      <c r="CD119" s="2210">
        <v>1</v>
      </c>
      <c r="CE119" s="2210">
        <v>0</v>
      </c>
      <c r="CF119" s="2210">
        <v>2</v>
      </c>
      <c r="CG119" s="2210">
        <v>2</v>
      </c>
      <c r="CH119" s="2210">
        <v>2</v>
      </c>
      <c r="CI119" s="2210">
        <v>6</v>
      </c>
      <c r="CJ119" s="2210">
        <v>7</v>
      </c>
      <c r="CK119" s="2210">
        <v>6</v>
      </c>
      <c r="CL119" s="2212">
        <v>1</v>
      </c>
      <c r="CM119" s="2212">
        <v>0</v>
      </c>
      <c r="CN119" s="2212">
        <v>35</v>
      </c>
      <c r="CO119" s="73"/>
      <c r="CQ119" s="955"/>
      <c r="CR119" s="955"/>
      <c r="CS119" s="955"/>
      <c r="CT119" s="974" t="s">
        <v>15</v>
      </c>
      <c r="CU119" s="975"/>
      <c r="CV119" s="975"/>
      <c r="CW119" s="975"/>
      <c r="CX119" s="976">
        <v>1</v>
      </c>
      <c r="CY119" s="975"/>
      <c r="CZ119" s="975"/>
      <c r="DA119" s="975"/>
      <c r="DB119" s="975"/>
      <c r="DC119" s="975"/>
      <c r="DD119" s="975"/>
      <c r="DE119" s="975"/>
      <c r="DF119" s="976">
        <v>2</v>
      </c>
      <c r="DG119" s="976">
        <v>1</v>
      </c>
      <c r="DH119" s="976">
        <v>2</v>
      </c>
      <c r="DI119" s="976">
        <v>11</v>
      </c>
      <c r="DJ119" s="977"/>
      <c r="DK119" s="978">
        <v>4</v>
      </c>
      <c r="DL119" s="978">
        <v>21</v>
      </c>
      <c r="DM119" s="912">
        <f>+(DL116+DL118)/DL119</f>
        <v>0.2857142857142857</v>
      </c>
      <c r="DO119" s="788"/>
      <c r="DP119" s="788"/>
      <c r="DQ119" s="788"/>
      <c r="DR119" s="788"/>
      <c r="DS119" s="789" t="s">
        <v>1286</v>
      </c>
      <c r="DT119" s="961"/>
      <c r="DU119" s="962">
        <v>0</v>
      </c>
      <c r="DV119" s="961"/>
      <c r="DW119" s="961"/>
      <c r="DX119" s="961"/>
      <c r="DY119" s="961"/>
      <c r="DZ119" s="961"/>
      <c r="EA119" s="961"/>
      <c r="EB119" s="961"/>
      <c r="EC119" s="962">
        <v>1</v>
      </c>
      <c r="ED119" s="962">
        <v>0</v>
      </c>
      <c r="EE119" s="962">
        <v>0</v>
      </c>
      <c r="EF119" s="962">
        <v>0</v>
      </c>
      <c r="EG119" s="962">
        <v>0</v>
      </c>
      <c r="EH119" s="962">
        <v>0</v>
      </c>
      <c r="EI119" s="963"/>
      <c r="EJ119" s="964">
        <v>0</v>
      </c>
      <c r="EK119" s="964">
        <v>1</v>
      </c>
      <c r="EL119" s="912"/>
      <c r="EM119" s="73"/>
      <c r="EN119" s="965" t="s">
        <v>3</v>
      </c>
      <c r="EO119" s="73"/>
      <c r="EP119" s="965" t="s">
        <v>572</v>
      </c>
      <c r="EQ119" s="734" t="s">
        <v>1284</v>
      </c>
      <c r="ER119" s="966"/>
      <c r="ES119" s="966"/>
      <c r="ET119" s="966"/>
      <c r="EU119" s="735">
        <v>0</v>
      </c>
      <c r="EV119" s="735">
        <v>0</v>
      </c>
      <c r="EW119" s="735">
        <v>0</v>
      </c>
      <c r="EX119" s="735">
        <v>0</v>
      </c>
      <c r="EY119" s="735">
        <v>0</v>
      </c>
      <c r="EZ119" s="735">
        <v>1</v>
      </c>
      <c r="FA119" s="735">
        <v>1</v>
      </c>
      <c r="FB119" s="735">
        <v>0</v>
      </c>
      <c r="FC119" s="966"/>
      <c r="FD119" s="966"/>
      <c r="FE119" s="735">
        <v>2</v>
      </c>
      <c r="FF119" s="967"/>
      <c r="FG119" s="73"/>
      <c r="FH119" s="73"/>
      <c r="FI119" s="161"/>
      <c r="FJ119" s="161" t="s">
        <v>3</v>
      </c>
      <c r="FK119" s="161" t="s">
        <v>4</v>
      </c>
      <c r="FL119" s="73" t="s">
        <v>1286</v>
      </c>
      <c r="FM119" s="73"/>
      <c r="FN119" s="73"/>
      <c r="FO119" s="73">
        <v>1</v>
      </c>
      <c r="FP119" s="73"/>
      <c r="FQ119" s="73"/>
      <c r="FR119" s="73">
        <v>0</v>
      </c>
      <c r="FS119" s="73"/>
      <c r="FT119" s="73"/>
      <c r="FU119" s="73">
        <v>0</v>
      </c>
      <c r="FV119" s="73">
        <v>0</v>
      </c>
      <c r="FW119" s="73">
        <v>0</v>
      </c>
      <c r="FX119" s="73">
        <v>0</v>
      </c>
      <c r="FY119" s="73">
        <v>0</v>
      </c>
      <c r="FZ119" s="73"/>
      <c r="GA119" s="73"/>
      <c r="GB119" s="73"/>
      <c r="GC119" s="73">
        <v>1</v>
      </c>
      <c r="GD119" s="73"/>
      <c r="GE119" s="73"/>
      <c r="GF119" s="968"/>
      <c r="GG119" s="968" t="s">
        <v>1379</v>
      </c>
      <c r="GH119" s="968" t="s">
        <v>4</v>
      </c>
      <c r="GI119" s="968" t="s">
        <v>1286</v>
      </c>
      <c r="GJ119" s="968">
        <v>0</v>
      </c>
      <c r="GK119" s="968">
        <v>0</v>
      </c>
      <c r="GL119" s="968">
        <v>1</v>
      </c>
      <c r="GM119" s="968">
        <v>0</v>
      </c>
      <c r="GN119" s="968">
        <v>0</v>
      </c>
      <c r="GO119" s="968">
        <v>0</v>
      </c>
      <c r="GP119" s="968">
        <v>0</v>
      </c>
      <c r="GQ119" s="968">
        <v>0</v>
      </c>
      <c r="GR119" s="968">
        <v>0</v>
      </c>
      <c r="GS119" s="968">
        <v>0</v>
      </c>
      <c r="GT119" s="968">
        <v>0</v>
      </c>
      <c r="GU119" s="968">
        <v>0</v>
      </c>
      <c r="GV119" s="968">
        <v>0</v>
      </c>
      <c r="GW119" s="968">
        <v>0</v>
      </c>
      <c r="GX119" s="968">
        <v>0</v>
      </c>
      <c r="GY119" s="968">
        <v>0</v>
      </c>
      <c r="GZ119" s="968">
        <v>1</v>
      </c>
      <c r="HA119" s="968"/>
      <c r="HB119" s="969"/>
    </row>
    <row r="120" spans="1:210">
      <c r="A120" s="73"/>
      <c r="B120" s="73"/>
      <c r="C120" s="73"/>
      <c r="D120" s="73" t="s">
        <v>1288</v>
      </c>
      <c r="E120" s="967"/>
      <c r="F120" s="967"/>
      <c r="G120" s="967"/>
      <c r="H120" s="967">
        <v>0</v>
      </c>
      <c r="I120" s="967"/>
      <c r="J120" s="967"/>
      <c r="K120" s="967">
        <v>0</v>
      </c>
      <c r="L120" s="967"/>
      <c r="M120" s="967"/>
      <c r="N120" s="967"/>
      <c r="O120" s="967">
        <v>0</v>
      </c>
      <c r="P120" s="967"/>
      <c r="Q120" s="967">
        <v>2</v>
      </c>
      <c r="R120" s="967">
        <v>8</v>
      </c>
      <c r="S120" s="967">
        <v>0</v>
      </c>
      <c r="T120" s="73"/>
      <c r="U120" s="73"/>
      <c r="V120" s="73">
        <v>10</v>
      </c>
      <c r="W120" s="73"/>
      <c r="Y120" s="73"/>
      <c r="Z120" s="73"/>
      <c r="AA120" s="73"/>
      <c r="AB120" s="738" t="s">
        <v>111</v>
      </c>
      <c r="AC120" s="3262">
        <v>2</v>
      </c>
      <c r="AD120" s="3262">
        <v>3</v>
      </c>
      <c r="AE120" s="3262">
        <v>1</v>
      </c>
      <c r="AF120" s="3262">
        <v>1</v>
      </c>
      <c r="AG120" s="3262">
        <v>5</v>
      </c>
      <c r="AH120" s="3262"/>
      <c r="AI120" s="3262">
        <v>2</v>
      </c>
      <c r="AJ120" s="3262">
        <v>2</v>
      </c>
      <c r="AK120" s="3262">
        <v>1</v>
      </c>
      <c r="AL120" s="3262">
        <v>1</v>
      </c>
      <c r="AM120" s="3262"/>
      <c r="AN120" s="3262">
        <v>6</v>
      </c>
      <c r="AO120" s="3262">
        <v>26</v>
      </c>
      <c r="AP120" s="3262">
        <v>28</v>
      </c>
      <c r="AQ120" s="3262">
        <v>38</v>
      </c>
      <c r="AR120" s="151">
        <v>7</v>
      </c>
      <c r="AS120" s="151">
        <v>15</v>
      </c>
      <c r="AT120" s="151">
        <v>138</v>
      </c>
      <c r="AU120" s="912">
        <f>+(AT116-AR116+AT118)/(AT120-AT119)</f>
        <v>0.34306569343065696</v>
      </c>
      <c r="AY120" s="73" t="s">
        <v>338</v>
      </c>
      <c r="AZ120" s="73" t="s">
        <v>1284</v>
      </c>
      <c r="BA120" s="2607"/>
      <c r="BB120" s="2607"/>
      <c r="BC120" s="2607"/>
      <c r="BD120" s="2607"/>
      <c r="BE120" s="2607"/>
      <c r="BF120" s="2607"/>
      <c r="BG120" s="2607"/>
      <c r="BH120" s="2607"/>
      <c r="BI120" s="2607"/>
      <c r="BJ120" s="2607"/>
      <c r="BK120" s="2607"/>
      <c r="BL120" s="2607">
        <v>2</v>
      </c>
      <c r="BM120" s="2607">
        <v>4</v>
      </c>
      <c r="BN120" s="2607">
        <v>3</v>
      </c>
      <c r="BO120" s="2607">
        <v>0</v>
      </c>
      <c r="BP120" s="73">
        <v>0</v>
      </c>
      <c r="BQ120" s="73">
        <v>0</v>
      </c>
      <c r="BR120" s="73">
        <v>9</v>
      </c>
      <c r="BS120" s="73"/>
      <c r="BU120" s="2207"/>
      <c r="BV120" s="2207"/>
      <c r="BW120" s="2207"/>
      <c r="BX120" s="2208" t="s">
        <v>1286</v>
      </c>
      <c r="BY120" s="2209"/>
      <c r="BZ120" s="2210">
        <v>2</v>
      </c>
      <c r="CA120" s="2210">
        <v>1</v>
      </c>
      <c r="CB120" s="2209"/>
      <c r="CC120" s="2210">
        <v>0</v>
      </c>
      <c r="CD120" s="2210">
        <v>0</v>
      </c>
      <c r="CE120" s="2210">
        <v>0</v>
      </c>
      <c r="CF120" s="2210">
        <v>0</v>
      </c>
      <c r="CG120" s="2210">
        <v>0</v>
      </c>
      <c r="CH120" s="2210">
        <v>0</v>
      </c>
      <c r="CI120" s="2210">
        <v>0</v>
      </c>
      <c r="CJ120" s="2210">
        <v>0</v>
      </c>
      <c r="CK120" s="2210">
        <v>0</v>
      </c>
      <c r="CL120" s="2212">
        <v>0</v>
      </c>
      <c r="CM120" s="2212">
        <v>0</v>
      </c>
      <c r="CN120" s="2212">
        <v>3</v>
      </c>
      <c r="CO120" s="73"/>
      <c r="CQ120" s="955"/>
      <c r="CR120" s="955"/>
      <c r="CS120" s="955" t="s">
        <v>575</v>
      </c>
      <c r="CT120" s="956" t="s">
        <v>1283</v>
      </c>
      <c r="CU120" s="957"/>
      <c r="CV120" s="958">
        <v>0</v>
      </c>
      <c r="CW120" s="957"/>
      <c r="CX120" s="958">
        <v>0</v>
      </c>
      <c r="CY120" s="957"/>
      <c r="CZ120" s="957"/>
      <c r="DA120" s="957"/>
      <c r="DB120" s="957"/>
      <c r="DC120" s="957"/>
      <c r="DD120" s="957"/>
      <c r="DE120" s="957"/>
      <c r="DF120" s="958">
        <v>0</v>
      </c>
      <c r="DG120" s="958">
        <v>1</v>
      </c>
      <c r="DH120" s="958">
        <v>0</v>
      </c>
      <c r="DI120" s="958">
        <v>3</v>
      </c>
      <c r="DJ120" s="960">
        <v>0</v>
      </c>
      <c r="DK120" s="960">
        <v>0</v>
      </c>
      <c r="DL120" s="960">
        <v>4</v>
      </c>
      <c r="DM120" s="161"/>
      <c r="DO120" s="788"/>
      <c r="DP120" s="788"/>
      <c r="DQ120" s="788"/>
      <c r="DR120" s="788"/>
      <c r="DS120" s="789" t="s">
        <v>1288</v>
      </c>
      <c r="DT120" s="961"/>
      <c r="DU120" s="962">
        <v>0</v>
      </c>
      <c r="DV120" s="961"/>
      <c r="DW120" s="961"/>
      <c r="DX120" s="961"/>
      <c r="DY120" s="961"/>
      <c r="DZ120" s="961"/>
      <c r="EA120" s="961"/>
      <c r="EB120" s="961"/>
      <c r="EC120" s="962">
        <v>0</v>
      </c>
      <c r="ED120" s="962">
        <v>1</v>
      </c>
      <c r="EE120" s="962">
        <v>0</v>
      </c>
      <c r="EF120" s="962">
        <v>2</v>
      </c>
      <c r="EG120" s="962">
        <v>5</v>
      </c>
      <c r="EH120" s="962">
        <v>1</v>
      </c>
      <c r="EI120" s="963"/>
      <c r="EJ120" s="964">
        <v>0</v>
      </c>
      <c r="EK120" s="964">
        <v>9</v>
      </c>
      <c r="EL120" s="912"/>
      <c r="EM120" s="73"/>
      <c r="EN120" s="73"/>
      <c r="EO120" s="73"/>
      <c r="EP120" s="965"/>
      <c r="EQ120" s="734" t="s">
        <v>1288</v>
      </c>
      <c r="ER120" s="966"/>
      <c r="ES120" s="966"/>
      <c r="ET120" s="966"/>
      <c r="EU120" s="735">
        <v>0</v>
      </c>
      <c r="EV120" s="735">
        <v>1</v>
      </c>
      <c r="EW120" s="735">
        <v>0</v>
      </c>
      <c r="EX120" s="735">
        <v>0</v>
      </c>
      <c r="EY120" s="735">
        <v>0</v>
      </c>
      <c r="EZ120" s="735">
        <v>0</v>
      </c>
      <c r="FA120" s="735">
        <v>0</v>
      </c>
      <c r="FB120" s="735">
        <v>0</v>
      </c>
      <c r="FC120" s="966"/>
      <c r="FD120" s="966"/>
      <c r="FE120" s="735">
        <v>1</v>
      </c>
      <c r="FF120" s="967"/>
      <c r="FG120" s="73"/>
      <c r="FH120" s="73"/>
      <c r="FI120" s="161"/>
      <c r="FJ120" s="161"/>
      <c r="FK120" s="161"/>
      <c r="FL120" s="73" t="s">
        <v>1288</v>
      </c>
      <c r="FM120" s="73"/>
      <c r="FN120" s="73"/>
      <c r="FO120" s="73">
        <v>0</v>
      </c>
      <c r="FP120" s="73"/>
      <c r="FQ120" s="73"/>
      <c r="FR120" s="73">
        <v>0</v>
      </c>
      <c r="FS120" s="73"/>
      <c r="FT120" s="73"/>
      <c r="FU120" s="73">
        <v>1</v>
      </c>
      <c r="FV120" s="73">
        <v>0</v>
      </c>
      <c r="FW120" s="73">
        <v>0</v>
      </c>
      <c r="FX120" s="73">
        <v>0</v>
      </c>
      <c r="FY120" s="73">
        <v>0</v>
      </c>
      <c r="FZ120" s="73"/>
      <c r="GA120" s="73"/>
      <c r="GB120" s="73"/>
      <c r="GC120" s="73">
        <v>1</v>
      </c>
      <c r="GD120" s="73"/>
      <c r="GE120" s="73"/>
      <c r="GF120" s="968"/>
      <c r="GG120" s="968"/>
      <c r="GH120" s="968"/>
      <c r="GI120" s="968" t="s">
        <v>1288</v>
      </c>
      <c r="GJ120" s="968">
        <v>0</v>
      </c>
      <c r="GK120" s="968">
        <v>0</v>
      </c>
      <c r="GL120" s="968">
        <v>0</v>
      </c>
      <c r="GM120" s="968">
        <v>0</v>
      </c>
      <c r="GN120" s="968">
        <v>0</v>
      </c>
      <c r="GO120" s="968">
        <v>0</v>
      </c>
      <c r="GP120" s="968">
        <v>0</v>
      </c>
      <c r="GQ120" s="968">
        <v>0</v>
      </c>
      <c r="GR120" s="968">
        <v>1</v>
      </c>
      <c r="GS120" s="968">
        <v>0</v>
      </c>
      <c r="GT120" s="968">
        <v>0</v>
      </c>
      <c r="GU120" s="968">
        <v>0</v>
      </c>
      <c r="GV120" s="968">
        <v>1</v>
      </c>
      <c r="GW120" s="968">
        <v>0</v>
      </c>
      <c r="GX120" s="968">
        <v>0</v>
      </c>
      <c r="GY120" s="968">
        <v>0</v>
      </c>
      <c r="GZ120" s="968">
        <v>2</v>
      </c>
      <c r="HA120" s="968"/>
      <c r="HB120" s="969"/>
    </row>
    <row r="121" spans="1:210">
      <c r="A121" s="73"/>
      <c r="B121" s="73"/>
      <c r="C121" s="73"/>
      <c r="D121" s="73" t="s">
        <v>1289</v>
      </c>
      <c r="E121" s="967"/>
      <c r="F121" s="967"/>
      <c r="G121" s="967"/>
      <c r="H121" s="967">
        <v>1</v>
      </c>
      <c r="I121" s="967"/>
      <c r="J121" s="967"/>
      <c r="K121" s="967">
        <v>0</v>
      </c>
      <c r="L121" s="967"/>
      <c r="M121" s="967"/>
      <c r="N121" s="967"/>
      <c r="O121" s="967">
        <v>1</v>
      </c>
      <c r="P121" s="967"/>
      <c r="Q121" s="967">
        <v>0</v>
      </c>
      <c r="R121" s="967">
        <v>0</v>
      </c>
      <c r="S121" s="967">
        <v>0</v>
      </c>
      <c r="T121" s="73"/>
      <c r="U121" s="73"/>
      <c r="V121" s="73">
        <v>2</v>
      </c>
      <c r="W121" s="73"/>
      <c r="Y121" s="73" t="s">
        <v>48</v>
      </c>
      <c r="Z121" s="73" t="s">
        <v>16</v>
      </c>
      <c r="AA121" s="73" t="s">
        <v>145</v>
      </c>
      <c r="AB121" s="73" t="s">
        <v>1284</v>
      </c>
      <c r="AC121" s="3261"/>
      <c r="AD121" s="3261">
        <v>1</v>
      </c>
      <c r="AE121" s="3261">
        <v>2</v>
      </c>
      <c r="AF121" s="3261"/>
      <c r="AG121" s="3261"/>
      <c r="AH121" s="3261"/>
      <c r="AI121" s="3261"/>
      <c r="AJ121" s="3261"/>
      <c r="AK121" s="3261">
        <v>1</v>
      </c>
      <c r="AL121" s="3261">
        <v>1</v>
      </c>
      <c r="AM121" s="3261"/>
      <c r="AN121" s="3261"/>
      <c r="AO121" s="3261">
        <v>21</v>
      </c>
      <c r="AP121" s="3261">
        <v>7</v>
      </c>
      <c r="AQ121" s="3261">
        <v>1</v>
      </c>
      <c r="AR121" s="161">
        <v>1</v>
      </c>
      <c r="AS121" s="161">
        <v>0</v>
      </c>
      <c r="AT121" s="161">
        <v>35</v>
      </c>
      <c r="AU121" s="73"/>
      <c r="AY121" s="73"/>
      <c r="AZ121" s="73" t="s">
        <v>1288</v>
      </c>
      <c r="BA121" s="2607"/>
      <c r="BB121" s="2607"/>
      <c r="BC121" s="2607"/>
      <c r="BD121" s="2607"/>
      <c r="BE121" s="2607"/>
      <c r="BF121" s="2607"/>
      <c r="BG121" s="2607"/>
      <c r="BH121" s="2607"/>
      <c r="BI121" s="2607"/>
      <c r="BJ121" s="2607"/>
      <c r="BK121" s="2607"/>
      <c r="BL121" s="2607">
        <v>0</v>
      </c>
      <c r="BM121" s="2607">
        <v>0</v>
      </c>
      <c r="BN121" s="2607">
        <v>1</v>
      </c>
      <c r="BO121" s="2607">
        <v>0</v>
      </c>
      <c r="BP121" s="73">
        <v>2</v>
      </c>
      <c r="BQ121" s="73">
        <v>0</v>
      </c>
      <c r="BR121" s="73">
        <v>3</v>
      </c>
      <c r="BS121" s="73"/>
      <c r="BU121" s="2207"/>
      <c r="BV121" s="2207"/>
      <c r="BW121" s="2207"/>
      <c r="BX121" s="2208" t="s">
        <v>1288</v>
      </c>
      <c r="BY121" s="2209"/>
      <c r="BZ121" s="2210">
        <v>0</v>
      </c>
      <c r="CA121" s="2210">
        <v>0</v>
      </c>
      <c r="CB121" s="2209"/>
      <c r="CC121" s="2210">
        <v>0</v>
      </c>
      <c r="CD121" s="2210">
        <v>0</v>
      </c>
      <c r="CE121" s="2210">
        <v>2</v>
      </c>
      <c r="CF121" s="2210">
        <v>4</v>
      </c>
      <c r="CG121" s="2210">
        <v>4</v>
      </c>
      <c r="CH121" s="2210">
        <v>1</v>
      </c>
      <c r="CI121" s="2210">
        <v>10</v>
      </c>
      <c r="CJ121" s="2210">
        <v>6</v>
      </c>
      <c r="CK121" s="2210">
        <v>1</v>
      </c>
      <c r="CL121" s="2212">
        <v>1</v>
      </c>
      <c r="CM121" s="2212">
        <v>0</v>
      </c>
      <c r="CN121" s="2212">
        <v>29</v>
      </c>
      <c r="CO121" s="73"/>
      <c r="CQ121" s="955"/>
      <c r="CR121" s="955"/>
      <c r="CS121" s="955"/>
      <c r="CT121" s="956" t="s">
        <v>1284</v>
      </c>
      <c r="CU121" s="957"/>
      <c r="CV121" s="958">
        <v>1</v>
      </c>
      <c r="CW121" s="957"/>
      <c r="CX121" s="958">
        <v>1</v>
      </c>
      <c r="CY121" s="957"/>
      <c r="CZ121" s="957"/>
      <c r="DA121" s="957"/>
      <c r="DB121" s="957"/>
      <c r="DC121" s="957"/>
      <c r="DD121" s="957"/>
      <c r="DE121" s="957"/>
      <c r="DF121" s="958">
        <v>0</v>
      </c>
      <c r="DG121" s="958">
        <v>0</v>
      </c>
      <c r="DH121" s="958">
        <v>2</v>
      </c>
      <c r="DI121" s="958">
        <v>0</v>
      </c>
      <c r="DJ121" s="960">
        <v>0</v>
      </c>
      <c r="DK121" s="960">
        <v>0</v>
      </c>
      <c r="DL121" s="960">
        <v>4</v>
      </c>
      <c r="DM121" s="161"/>
      <c r="DO121" s="788"/>
      <c r="DP121" s="788"/>
      <c r="DQ121" s="788"/>
      <c r="DR121" s="788"/>
      <c r="DS121" s="789" t="s">
        <v>1292</v>
      </c>
      <c r="DT121" s="961"/>
      <c r="DU121" s="962">
        <v>0</v>
      </c>
      <c r="DV121" s="961"/>
      <c r="DW121" s="961"/>
      <c r="DX121" s="961"/>
      <c r="DY121" s="961"/>
      <c r="DZ121" s="961"/>
      <c r="EA121" s="961"/>
      <c r="EB121" s="961"/>
      <c r="EC121" s="962">
        <v>0</v>
      </c>
      <c r="ED121" s="962">
        <v>0</v>
      </c>
      <c r="EE121" s="962">
        <v>0</v>
      </c>
      <c r="EF121" s="962">
        <v>1</v>
      </c>
      <c r="EG121" s="962">
        <v>0</v>
      </c>
      <c r="EH121" s="962">
        <v>11</v>
      </c>
      <c r="EI121" s="963"/>
      <c r="EJ121" s="964">
        <v>2</v>
      </c>
      <c r="EK121" s="964">
        <v>14</v>
      </c>
      <c r="EL121" s="912"/>
      <c r="EM121" s="73"/>
      <c r="EN121" s="73"/>
      <c r="EO121" s="73"/>
      <c r="EP121" s="965"/>
      <c r="EQ121" s="734" t="s">
        <v>1289</v>
      </c>
      <c r="ER121" s="966"/>
      <c r="ES121" s="966"/>
      <c r="ET121" s="966"/>
      <c r="EU121" s="735">
        <v>1</v>
      </c>
      <c r="EV121" s="735">
        <v>1</v>
      </c>
      <c r="EW121" s="735">
        <v>0</v>
      </c>
      <c r="EX121" s="735">
        <v>1</v>
      </c>
      <c r="EY121" s="735">
        <v>1</v>
      </c>
      <c r="EZ121" s="735">
        <v>0</v>
      </c>
      <c r="FA121" s="735">
        <v>0</v>
      </c>
      <c r="FB121" s="735">
        <v>0</v>
      </c>
      <c r="FC121" s="966"/>
      <c r="FD121" s="966"/>
      <c r="FE121" s="735">
        <v>4</v>
      </c>
      <c r="FF121" s="967"/>
      <c r="FG121" s="73"/>
      <c r="FH121" s="73"/>
      <c r="FI121" s="161"/>
      <c r="FJ121" s="161"/>
      <c r="FK121" s="161"/>
      <c r="FL121" s="73" t="s">
        <v>1289</v>
      </c>
      <c r="FM121" s="73"/>
      <c r="FN121" s="73"/>
      <c r="FO121" s="73">
        <v>0</v>
      </c>
      <c r="FP121" s="73"/>
      <c r="FQ121" s="73"/>
      <c r="FR121" s="73">
        <v>1</v>
      </c>
      <c r="FS121" s="73"/>
      <c r="FT121" s="73"/>
      <c r="FU121" s="73">
        <v>0</v>
      </c>
      <c r="FV121" s="73">
        <v>0</v>
      </c>
      <c r="FW121" s="73">
        <v>0</v>
      </c>
      <c r="FX121" s="73">
        <v>3</v>
      </c>
      <c r="FY121" s="73">
        <v>0</v>
      </c>
      <c r="FZ121" s="73"/>
      <c r="GA121" s="73"/>
      <c r="GB121" s="73"/>
      <c r="GC121" s="73">
        <v>4</v>
      </c>
      <c r="GD121" s="73"/>
      <c r="GE121" s="73"/>
      <c r="GF121" s="968"/>
      <c r="GG121" s="968"/>
      <c r="GH121" s="968"/>
      <c r="GI121" s="968" t="s">
        <v>1289</v>
      </c>
      <c r="GJ121" s="968">
        <v>0</v>
      </c>
      <c r="GK121" s="968">
        <v>0</v>
      </c>
      <c r="GL121" s="968">
        <v>0</v>
      </c>
      <c r="GM121" s="968">
        <v>0</v>
      </c>
      <c r="GN121" s="968">
        <v>0</v>
      </c>
      <c r="GO121" s="968">
        <v>0</v>
      </c>
      <c r="GP121" s="968">
        <v>1</v>
      </c>
      <c r="GQ121" s="968">
        <v>0</v>
      </c>
      <c r="GR121" s="968">
        <v>0</v>
      </c>
      <c r="GS121" s="968">
        <v>0</v>
      </c>
      <c r="GT121" s="968">
        <v>0</v>
      </c>
      <c r="GU121" s="968">
        <v>0</v>
      </c>
      <c r="GV121" s="968">
        <v>0</v>
      </c>
      <c r="GW121" s="968">
        <v>0</v>
      </c>
      <c r="GX121" s="968">
        <v>0</v>
      </c>
      <c r="GY121" s="968">
        <v>0</v>
      </c>
      <c r="GZ121" s="968">
        <v>1</v>
      </c>
      <c r="HA121" s="968"/>
      <c r="HB121" s="969"/>
    </row>
    <row r="122" spans="1:210">
      <c r="A122" s="73"/>
      <c r="B122" s="73"/>
      <c r="C122" s="73"/>
      <c r="D122" s="73" t="s">
        <v>1292</v>
      </c>
      <c r="E122" s="967"/>
      <c r="F122" s="967"/>
      <c r="G122" s="967"/>
      <c r="H122" s="967">
        <v>0</v>
      </c>
      <c r="I122" s="967"/>
      <c r="J122" s="967"/>
      <c r="K122" s="967">
        <v>0</v>
      </c>
      <c r="L122" s="967"/>
      <c r="M122" s="967"/>
      <c r="N122" s="967"/>
      <c r="O122" s="967">
        <v>0</v>
      </c>
      <c r="P122" s="967"/>
      <c r="Q122" s="967">
        <v>0</v>
      </c>
      <c r="R122" s="967">
        <v>0</v>
      </c>
      <c r="S122" s="967">
        <v>2</v>
      </c>
      <c r="T122" s="73"/>
      <c r="U122" s="73"/>
      <c r="V122" s="73">
        <v>2</v>
      </c>
      <c r="W122" s="73"/>
      <c r="Y122" s="73"/>
      <c r="Z122" s="73"/>
      <c r="AA122" s="73"/>
      <c r="AB122" s="73" t="s">
        <v>1288</v>
      </c>
      <c r="AC122" s="3261"/>
      <c r="AD122" s="3261">
        <v>0</v>
      </c>
      <c r="AE122" s="3261">
        <v>0</v>
      </c>
      <c r="AF122" s="3261"/>
      <c r="AG122" s="3261"/>
      <c r="AH122" s="3261"/>
      <c r="AI122" s="3261"/>
      <c r="AJ122" s="3261"/>
      <c r="AK122" s="3261">
        <v>0</v>
      </c>
      <c r="AL122" s="3261">
        <v>0</v>
      </c>
      <c r="AM122" s="3261"/>
      <c r="AN122" s="3261"/>
      <c r="AO122" s="3261">
        <v>3</v>
      </c>
      <c r="AP122" s="3261">
        <v>0</v>
      </c>
      <c r="AQ122" s="3261">
        <v>0</v>
      </c>
      <c r="AR122" s="161">
        <v>0</v>
      </c>
      <c r="AS122" s="161">
        <v>0</v>
      </c>
      <c r="AT122" s="161">
        <v>3</v>
      </c>
      <c r="AU122" s="73"/>
      <c r="AY122" s="73"/>
      <c r="AZ122" s="73" t="s">
        <v>1292</v>
      </c>
      <c r="BA122" s="2607"/>
      <c r="BB122" s="2607"/>
      <c r="BC122" s="2607"/>
      <c r="BD122" s="2607"/>
      <c r="BE122" s="2607"/>
      <c r="BF122" s="2607"/>
      <c r="BG122" s="2607"/>
      <c r="BH122" s="2607"/>
      <c r="BI122" s="2607"/>
      <c r="BJ122" s="2607"/>
      <c r="BK122" s="2607"/>
      <c r="BL122" s="2607">
        <v>0</v>
      </c>
      <c r="BM122" s="2607">
        <v>0</v>
      </c>
      <c r="BN122" s="2607">
        <v>0</v>
      </c>
      <c r="BO122" s="2607">
        <v>2</v>
      </c>
      <c r="BP122" s="73">
        <v>1</v>
      </c>
      <c r="BQ122" s="73">
        <v>5</v>
      </c>
      <c r="BR122" s="73">
        <v>8</v>
      </c>
      <c r="BS122" s="73"/>
      <c r="BU122" s="2207"/>
      <c r="BV122" s="2207"/>
      <c r="BW122" s="2207"/>
      <c r="BX122" s="2208" t="s">
        <v>1289</v>
      </c>
      <c r="BY122" s="2209"/>
      <c r="BZ122" s="2210">
        <v>0</v>
      </c>
      <c r="CA122" s="2210">
        <v>2</v>
      </c>
      <c r="CB122" s="2209"/>
      <c r="CC122" s="2210">
        <v>1</v>
      </c>
      <c r="CD122" s="2210">
        <v>0</v>
      </c>
      <c r="CE122" s="2210">
        <v>0</v>
      </c>
      <c r="CF122" s="2210">
        <v>0</v>
      </c>
      <c r="CG122" s="2210">
        <v>1</v>
      </c>
      <c r="CH122" s="2210">
        <v>0</v>
      </c>
      <c r="CI122" s="2210">
        <v>0</v>
      </c>
      <c r="CJ122" s="2210">
        <v>0</v>
      </c>
      <c r="CK122" s="2210">
        <v>0</v>
      </c>
      <c r="CL122" s="2212">
        <v>0</v>
      </c>
      <c r="CM122" s="2212">
        <v>0</v>
      </c>
      <c r="CN122" s="2212">
        <v>4</v>
      </c>
      <c r="CO122" s="73"/>
      <c r="CQ122" s="955"/>
      <c r="CR122" s="955"/>
      <c r="CS122" s="955"/>
      <c r="CT122" s="956" t="s">
        <v>1288</v>
      </c>
      <c r="CU122" s="957"/>
      <c r="CV122" s="958">
        <v>0</v>
      </c>
      <c r="CW122" s="957"/>
      <c r="CX122" s="958">
        <v>0</v>
      </c>
      <c r="CY122" s="957"/>
      <c r="CZ122" s="957"/>
      <c r="DA122" s="957"/>
      <c r="DB122" s="957"/>
      <c r="DC122" s="957"/>
      <c r="DD122" s="957"/>
      <c r="DE122" s="957"/>
      <c r="DF122" s="958">
        <v>1</v>
      </c>
      <c r="DG122" s="958">
        <v>4</v>
      </c>
      <c r="DH122" s="958">
        <v>8</v>
      </c>
      <c r="DI122" s="958">
        <v>0</v>
      </c>
      <c r="DJ122" s="960">
        <v>0</v>
      </c>
      <c r="DK122" s="960">
        <v>0</v>
      </c>
      <c r="DL122" s="960">
        <v>13</v>
      </c>
      <c r="DM122" s="161"/>
      <c r="DO122" s="788"/>
      <c r="DP122" s="788"/>
      <c r="DQ122" s="788"/>
      <c r="DR122" s="788"/>
      <c r="DS122" s="789" t="s">
        <v>1398</v>
      </c>
      <c r="DT122" s="961"/>
      <c r="DU122" s="962">
        <v>0</v>
      </c>
      <c r="DV122" s="961"/>
      <c r="DW122" s="961"/>
      <c r="DX122" s="961"/>
      <c r="DY122" s="961"/>
      <c r="DZ122" s="961"/>
      <c r="EA122" s="961"/>
      <c r="EB122" s="961"/>
      <c r="EC122" s="962">
        <v>0</v>
      </c>
      <c r="ED122" s="962">
        <v>1</v>
      </c>
      <c r="EE122" s="962">
        <v>1</v>
      </c>
      <c r="EF122" s="962">
        <v>2</v>
      </c>
      <c r="EG122" s="962">
        <v>1</v>
      </c>
      <c r="EH122" s="962">
        <v>2</v>
      </c>
      <c r="EI122" s="963"/>
      <c r="EJ122" s="964">
        <v>0</v>
      </c>
      <c r="EK122" s="964">
        <v>7</v>
      </c>
      <c r="EL122" s="912"/>
      <c r="EM122" s="73"/>
      <c r="EN122" s="73"/>
      <c r="EO122" s="73"/>
      <c r="EP122" s="965"/>
      <c r="EQ122" s="734" t="s">
        <v>1292</v>
      </c>
      <c r="ER122" s="966"/>
      <c r="ES122" s="966"/>
      <c r="ET122" s="966"/>
      <c r="EU122" s="735">
        <v>0</v>
      </c>
      <c r="EV122" s="735">
        <v>0</v>
      </c>
      <c r="EW122" s="735">
        <v>0</v>
      </c>
      <c r="EX122" s="735">
        <v>0</v>
      </c>
      <c r="EY122" s="735">
        <v>0</v>
      </c>
      <c r="EZ122" s="735">
        <v>0</v>
      </c>
      <c r="FA122" s="735">
        <v>0</v>
      </c>
      <c r="FB122" s="735">
        <v>3</v>
      </c>
      <c r="FC122" s="966"/>
      <c r="FD122" s="966"/>
      <c r="FE122" s="735">
        <v>3</v>
      </c>
      <c r="FF122" s="967"/>
      <c r="FG122" s="73"/>
      <c r="FH122" s="73"/>
      <c r="FI122" s="161"/>
      <c r="FJ122" s="161"/>
      <c r="FK122" s="161"/>
      <c r="FL122" s="73" t="s">
        <v>1292</v>
      </c>
      <c r="FM122" s="73"/>
      <c r="FN122" s="73"/>
      <c r="FO122" s="73">
        <v>0</v>
      </c>
      <c r="FP122" s="73"/>
      <c r="FQ122" s="73"/>
      <c r="FR122" s="73">
        <v>0</v>
      </c>
      <c r="FS122" s="73"/>
      <c r="FT122" s="73"/>
      <c r="FU122" s="73">
        <v>0</v>
      </c>
      <c r="FV122" s="73">
        <v>0</v>
      </c>
      <c r="FW122" s="73">
        <v>1</v>
      </c>
      <c r="FX122" s="73">
        <v>0</v>
      </c>
      <c r="FY122" s="73">
        <v>0</v>
      </c>
      <c r="FZ122" s="73"/>
      <c r="GA122" s="73"/>
      <c r="GB122" s="73"/>
      <c r="GC122" s="73">
        <v>1</v>
      </c>
      <c r="GD122" s="73"/>
      <c r="GE122" s="73"/>
      <c r="GF122" s="968"/>
      <c r="GG122" s="968"/>
      <c r="GH122" s="968"/>
      <c r="GI122" s="968" t="s">
        <v>1292</v>
      </c>
      <c r="GJ122" s="968">
        <v>0</v>
      </c>
      <c r="GK122" s="968">
        <v>0</v>
      </c>
      <c r="GL122" s="968">
        <v>0</v>
      </c>
      <c r="GM122" s="968">
        <v>0</v>
      </c>
      <c r="GN122" s="968">
        <v>0</v>
      </c>
      <c r="GO122" s="968">
        <v>0</v>
      </c>
      <c r="GP122" s="968">
        <v>0</v>
      </c>
      <c r="GQ122" s="968">
        <v>0</v>
      </c>
      <c r="GR122" s="968">
        <v>0</v>
      </c>
      <c r="GS122" s="968">
        <v>0</v>
      </c>
      <c r="GT122" s="968">
        <v>0</v>
      </c>
      <c r="GU122" s="968">
        <v>0</v>
      </c>
      <c r="GV122" s="968">
        <v>1</v>
      </c>
      <c r="GW122" s="968">
        <v>0</v>
      </c>
      <c r="GX122" s="968">
        <v>0</v>
      </c>
      <c r="GY122" s="968">
        <v>0</v>
      </c>
      <c r="GZ122" s="968">
        <v>1</v>
      </c>
      <c r="HA122" s="968"/>
      <c r="HB122" s="969"/>
    </row>
    <row r="123" spans="1:210">
      <c r="A123" s="73"/>
      <c r="B123" s="73"/>
      <c r="C123" s="73"/>
      <c r="D123" s="73" t="s">
        <v>1398</v>
      </c>
      <c r="E123" s="967"/>
      <c r="F123" s="967"/>
      <c r="G123" s="967"/>
      <c r="H123" s="967">
        <v>0</v>
      </c>
      <c r="I123" s="967"/>
      <c r="J123" s="967"/>
      <c r="K123" s="967">
        <v>0</v>
      </c>
      <c r="L123" s="967"/>
      <c r="M123" s="967"/>
      <c r="N123" s="967"/>
      <c r="O123" s="967">
        <v>0</v>
      </c>
      <c r="P123" s="967"/>
      <c r="Q123" s="967">
        <v>2</v>
      </c>
      <c r="R123" s="967">
        <v>2</v>
      </c>
      <c r="S123" s="967">
        <v>0</v>
      </c>
      <c r="T123" s="73"/>
      <c r="U123" s="73"/>
      <c r="V123" s="73">
        <v>4</v>
      </c>
      <c r="W123" s="73"/>
      <c r="Y123" s="73"/>
      <c r="Z123" s="73"/>
      <c r="AA123" s="73"/>
      <c r="AB123" s="73" t="s">
        <v>1292</v>
      </c>
      <c r="AC123" s="3261"/>
      <c r="AD123" s="3261">
        <v>0</v>
      </c>
      <c r="AE123" s="3261">
        <v>0</v>
      </c>
      <c r="AF123" s="3261"/>
      <c r="AG123" s="3261"/>
      <c r="AH123" s="3261"/>
      <c r="AI123" s="3261"/>
      <c r="AJ123" s="3261"/>
      <c r="AK123" s="3261">
        <v>0</v>
      </c>
      <c r="AL123" s="3261">
        <v>0</v>
      </c>
      <c r="AM123" s="3261"/>
      <c r="AN123" s="3261"/>
      <c r="AO123" s="3261">
        <v>0</v>
      </c>
      <c r="AP123" s="3261">
        <v>0</v>
      </c>
      <c r="AQ123" s="3261">
        <v>1</v>
      </c>
      <c r="AR123" s="161">
        <v>0</v>
      </c>
      <c r="AS123" s="161">
        <v>4</v>
      </c>
      <c r="AT123" s="161">
        <v>5</v>
      </c>
      <c r="AU123" s="73"/>
      <c r="AY123" s="73"/>
      <c r="AZ123" s="738" t="s">
        <v>15</v>
      </c>
      <c r="BA123" s="2608"/>
      <c r="BB123" s="2608"/>
      <c r="BC123" s="2608"/>
      <c r="BD123" s="2608"/>
      <c r="BE123" s="2608"/>
      <c r="BF123" s="2608"/>
      <c r="BG123" s="2608"/>
      <c r="BH123" s="2608"/>
      <c r="BI123" s="2608"/>
      <c r="BJ123" s="2608"/>
      <c r="BK123" s="2608"/>
      <c r="BL123" s="2608">
        <v>2</v>
      </c>
      <c r="BM123" s="2608">
        <v>4</v>
      </c>
      <c r="BN123" s="2608">
        <v>4</v>
      </c>
      <c r="BO123" s="2608">
        <v>2</v>
      </c>
      <c r="BP123" s="738">
        <v>3</v>
      </c>
      <c r="BQ123" s="738">
        <v>5</v>
      </c>
      <c r="BR123" s="738">
        <v>20</v>
      </c>
      <c r="BS123" s="912">
        <f>+(BR121-BP121)/BR123</f>
        <v>0.05</v>
      </c>
      <c r="BU123" s="2207"/>
      <c r="BV123" s="2207"/>
      <c r="BW123" s="2207"/>
      <c r="BX123" s="2208" t="s">
        <v>1292</v>
      </c>
      <c r="BY123" s="2209"/>
      <c r="BZ123" s="2210">
        <v>0</v>
      </c>
      <c r="CA123" s="2210">
        <v>0</v>
      </c>
      <c r="CB123" s="2209"/>
      <c r="CC123" s="2210">
        <v>0</v>
      </c>
      <c r="CD123" s="2210">
        <v>0</v>
      </c>
      <c r="CE123" s="2210">
        <v>0</v>
      </c>
      <c r="CF123" s="2210">
        <v>0</v>
      </c>
      <c r="CG123" s="2210">
        <v>0</v>
      </c>
      <c r="CH123" s="2210">
        <v>0</v>
      </c>
      <c r="CI123" s="2210">
        <v>0</v>
      </c>
      <c r="CJ123" s="2210">
        <v>1</v>
      </c>
      <c r="CK123" s="2210">
        <v>46</v>
      </c>
      <c r="CL123" s="2212">
        <v>4</v>
      </c>
      <c r="CM123" s="2212">
        <v>21</v>
      </c>
      <c r="CN123" s="2212">
        <v>72</v>
      </c>
      <c r="CO123" s="73"/>
      <c r="CQ123" s="955"/>
      <c r="CR123" s="955"/>
      <c r="CS123" s="955"/>
      <c r="CT123" s="956" t="s">
        <v>1292</v>
      </c>
      <c r="CU123" s="957"/>
      <c r="CV123" s="958">
        <v>0</v>
      </c>
      <c r="CW123" s="957"/>
      <c r="CX123" s="958">
        <v>0</v>
      </c>
      <c r="CY123" s="957"/>
      <c r="CZ123" s="957"/>
      <c r="DA123" s="957"/>
      <c r="DB123" s="957"/>
      <c r="DC123" s="957"/>
      <c r="DD123" s="957"/>
      <c r="DE123" s="957"/>
      <c r="DF123" s="958">
        <v>0</v>
      </c>
      <c r="DG123" s="958">
        <v>0</v>
      </c>
      <c r="DH123" s="958">
        <v>1</v>
      </c>
      <c r="DI123" s="958">
        <v>11</v>
      </c>
      <c r="DJ123" s="960">
        <v>1</v>
      </c>
      <c r="DK123" s="960">
        <v>11</v>
      </c>
      <c r="DL123" s="960">
        <v>24</v>
      </c>
      <c r="DM123" s="161"/>
      <c r="DO123" s="788"/>
      <c r="DP123" s="788"/>
      <c r="DQ123" s="788"/>
      <c r="DR123" s="73"/>
      <c r="DS123" s="809" t="s">
        <v>575</v>
      </c>
      <c r="DT123" s="970"/>
      <c r="DU123" s="971">
        <v>1</v>
      </c>
      <c r="DV123" s="970"/>
      <c r="DW123" s="970"/>
      <c r="DX123" s="970"/>
      <c r="DY123" s="970"/>
      <c r="DZ123" s="970"/>
      <c r="EA123" s="970"/>
      <c r="EB123" s="970"/>
      <c r="EC123" s="971">
        <v>2</v>
      </c>
      <c r="ED123" s="971">
        <v>2</v>
      </c>
      <c r="EE123" s="971">
        <v>1</v>
      </c>
      <c r="EF123" s="971">
        <v>6</v>
      </c>
      <c r="EG123" s="971">
        <v>7</v>
      </c>
      <c r="EH123" s="971">
        <v>15</v>
      </c>
      <c r="EI123" s="972"/>
      <c r="EJ123" s="973">
        <v>2</v>
      </c>
      <c r="EK123" s="973">
        <v>36</v>
      </c>
      <c r="EL123" s="912">
        <f>+(EK122+EK120)/EK123</f>
        <v>0.44444444444444442</v>
      </c>
      <c r="EM123" s="73"/>
      <c r="EN123" s="73"/>
      <c r="EO123" s="73"/>
      <c r="EP123" s="965"/>
      <c r="EQ123" s="734" t="s">
        <v>1293</v>
      </c>
      <c r="ER123" s="966"/>
      <c r="ES123" s="966"/>
      <c r="ET123" s="966"/>
      <c r="EU123" s="735">
        <v>0</v>
      </c>
      <c r="EV123" s="735">
        <v>0</v>
      </c>
      <c r="EW123" s="735">
        <v>1</v>
      </c>
      <c r="EX123" s="735">
        <v>0</v>
      </c>
      <c r="EY123" s="735">
        <v>0</v>
      </c>
      <c r="EZ123" s="735">
        <v>0</v>
      </c>
      <c r="FA123" s="735">
        <v>1</v>
      </c>
      <c r="FB123" s="735">
        <v>0</v>
      </c>
      <c r="FC123" s="966"/>
      <c r="FD123" s="966"/>
      <c r="FE123" s="735">
        <v>2</v>
      </c>
      <c r="FF123" s="967"/>
      <c r="FG123" s="73"/>
      <c r="FH123" s="73"/>
      <c r="FI123" s="161"/>
      <c r="FJ123" s="161"/>
      <c r="FK123" s="161"/>
      <c r="FL123" s="73" t="s">
        <v>1293</v>
      </c>
      <c r="FM123" s="73"/>
      <c r="FN123" s="73"/>
      <c r="FO123" s="73">
        <v>0</v>
      </c>
      <c r="FP123" s="73"/>
      <c r="FQ123" s="73"/>
      <c r="FR123" s="73">
        <v>0</v>
      </c>
      <c r="FS123" s="73"/>
      <c r="FT123" s="73"/>
      <c r="FU123" s="73">
        <v>0</v>
      </c>
      <c r="FV123" s="73">
        <v>2</v>
      </c>
      <c r="FW123" s="73">
        <v>1</v>
      </c>
      <c r="FX123" s="73">
        <v>0</v>
      </c>
      <c r="FY123" s="73">
        <v>0</v>
      </c>
      <c r="FZ123" s="73"/>
      <c r="GA123" s="73"/>
      <c r="GB123" s="73"/>
      <c r="GC123" s="73">
        <v>3</v>
      </c>
      <c r="GD123" s="73"/>
      <c r="GE123" s="73"/>
      <c r="GF123" s="968"/>
      <c r="GG123" s="968"/>
      <c r="GH123" s="968"/>
      <c r="GI123" s="968" t="s">
        <v>1398</v>
      </c>
      <c r="GJ123" s="968">
        <v>0</v>
      </c>
      <c r="GK123" s="968">
        <v>0</v>
      </c>
      <c r="GL123" s="968">
        <v>0</v>
      </c>
      <c r="GM123" s="968">
        <v>0</v>
      </c>
      <c r="GN123" s="968">
        <v>0</v>
      </c>
      <c r="GO123" s="968">
        <v>0</v>
      </c>
      <c r="GP123" s="968">
        <v>0</v>
      </c>
      <c r="GQ123" s="968">
        <v>0</v>
      </c>
      <c r="GR123" s="968">
        <v>0</v>
      </c>
      <c r="GS123" s="968">
        <v>0</v>
      </c>
      <c r="GT123" s="968">
        <v>1</v>
      </c>
      <c r="GU123" s="968">
        <v>3</v>
      </c>
      <c r="GV123" s="968">
        <v>0</v>
      </c>
      <c r="GW123" s="968">
        <v>0</v>
      </c>
      <c r="GX123" s="968">
        <v>0</v>
      </c>
      <c r="GY123" s="968">
        <v>0</v>
      </c>
      <c r="GZ123" s="968">
        <v>4</v>
      </c>
      <c r="HA123" s="968"/>
      <c r="HB123" s="969"/>
    </row>
    <row r="124" spans="1:210">
      <c r="A124" s="73"/>
      <c r="B124" s="73"/>
      <c r="C124" s="73"/>
      <c r="D124" s="738" t="s">
        <v>15</v>
      </c>
      <c r="E124" s="4694"/>
      <c r="F124" s="4694"/>
      <c r="G124" s="4694"/>
      <c r="H124" s="4694">
        <v>2</v>
      </c>
      <c r="I124" s="4694"/>
      <c r="J124" s="4694"/>
      <c r="K124" s="4694">
        <v>1</v>
      </c>
      <c r="L124" s="4694"/>
      <c r="M124" s="4694"/>
      <c r="N124" s="4694"/>
      <c r="O124" s="4694">
        <v>1</v>
      </c>
      <c r="P124" s="4694"/>
      <c r="Q124" s="4694">
        <v>5</v>
      </c>
      <c r="R124" s="4694">
        <v>17</v>
      </c>
      <c r="S124" s="4694">
        <v>2</v>
      </c>
      <c r="T124" s="738"/>
      <c r="U124" s="738"/>
      <c r="V124" s="738">
        <v>28</v>
      </c>
      <c r="W124" s="912">
        <f>+(V123+V120)/V124</f>
        <v>0.5</v>
      </c>
      <c r="X124" s="3197"/>
      <c r="Y124" s="73"/>
      <c r="Z124" s="73"/>
      <c r="AA124" s="73"/>
      <c r="AB124" s="73" t="s">
        <v>1293</v>
      </c>
      <c r="AC124" s="3261"/>
      <c r="AD124" s="3261">
        <v>0</v>
      </c>
      <c r="AE124" s="3261">
        <v>0</v>
      </c>
      <c r="AF124" s="3261"/>
      <c r="AG124" s="3261"/>
      <c r="AH124" s="3261"/>
      <c r="AI124" s="3261"/>
      <c r="AJ124" s="3261"/>
      <c r="AK124" s="3261">
        <v>0</v>
      </c>
      <c r="AL124" s="3261">
        <v>0</v>
      </c>
      <c r="AM124" s="3261"/>
      <c r="AN124" s="3261"/>
      <c r="AO124" s="3261">
        <v>4</v>
      </c>
      <c r="AP124" s="3261">
        <v>0</v>
      </c>
      <c r="AQ124" s="3261">
        <v>1</v>
      </c>
      <c r="AR124" s="161">
        <v>0</v>
      </c>
      <c r="AS124" s="161">
        <v>0</v>
      </c>
      <c r="AT124" s="161">
        <v>5</v>
      </c>
      <c r="AU124" s="73"/>
      <c r="AY124" s="73" t="s">
        <v>575</v>
      </c>
      <c r="AZ124" s="73" t="s">
        <v>1283</v>
      </c>
      <c r="BA124" s="2607">
        <v>0</v>
      </c>
      <c r="BB124" s="2607">
        <v>0</v>
      </c>
      <c r="BC124" s="2607">
        <v>0</v>
      </c>
      <c r="BD124" s="2607"/>
      <c r="BE124" s="2607"/>
      <c r="BF124" s="2607"/>
      <c r="BG124" s="2607"/>
      <c r="BH124" s="2607">
        <v>0</v>
      </c>
      <c r="BI124" s="2607">
        <v>0</v>
      </c>
      <c r="BJ124" s="2607"/>
      <c r="BK124" s="2607"/>
      <c r="BL124" s="2607">
        <v>0</v>
      </c>
      <c r="BM124" s="2607">
        <v>0</v>
      </c>
      <c r="BN124" s="2607">
        <v>0</v>
      </c>
      <c r="BO124" s="2607">
        <v>0</v>
      </c>
      <c r="BP124" s="73">
        <v>0</v>
      </c>
      <c r="BQ124" s="73">
        <v>1</v>
      </c>
      <c r="BR124" s="73">
        <v>1</v>
      </c>
      <c r="BS124" s="73"/>
      <c r="BU124" s="2207"/>
      <c r="BV124" s="2207"/>
      <c r="BW124" s="2207"/>
      <c r="BX124" s="2208" t="s">
        <v>1398</v>
      </c>
      <c r="BY124" s="2209"/>
      <c r="BZ124" s="2210">
        <v>0</v>
      </c>
      <c r="CA124" s="2210">
        <v>0</v>
      </c>
      <c r="CB124" s="2209"/>
      <c r="CC124" s="2210">
        <v>0</v>
      </c>
      <c r="CD124" s="2210">
        <v>0</v>
      </c>
      <c r="CE124" s="2210">
        <v>1</v>
      </c>
      <c r="CF124" s="2210">
        <v>3</v>
      </c>
      <c r="CG124" s="2210">
        <v>1</v>
      </c>
      <c r="CH124" s="2210">
        <v>5</v>
      </c>
      <c r="CI124" s="2210">
        <v>12</v>
      </c>
      <c r="CJ124" s="2210">
        <v>5</v>
      </c>
      <c r="CK124" s="2210">
        <v>0</v>
      </c>
      <c r="CL124" s="2212">
        <v>0</v>
      </c>
      <c r="CM124" s="2212">
        <v>0</v>
      </c>
      <c r="CN124" s="2212">
        <v>27</v>
      </c>
      <c r="CO124" s="73"/>
      <c r="CQ124" s="955"/>
      <c r="CR124" s="955"/>
      <c r="CS124" s="955"/>
      <c r="CT124" s="956" t="s">
        <v>1398</v>
      </c>
      <c r="CU124" s="957"/>
      <c r="CV124" s="958">
        <v>0</v>
      </c>
      <c r="CW124" s="957"/>
      <c r="CX124" s="958">
        <v>0</v>
      </c>
      <c r="CY124" s="957"/>
      <c r="CZ124" s="957"/>
      <c r="DA124" s="957"/>
      <c r="DB124" s="957"/>
      <c r="DC124" s="957"/>
      <c r="DD124" s="957"/>
      <c r="DE124" s="957"/>
      <c r="DF124" s="958">
        <v>1</v>
      </c>
      <c r="DG124" s="958">
        <v>6</v>
      </c>
      <c r="DH124" s="958">
        <v>4</v>
      </c>
      <c r="DI124" s="958">
        <v>8</v>
      </c>
      <c r="DJ124" s="960">
        <v>0</v>
      </c>
      <c r="DK124" s="960">
        <v>0</v>
      </c>
      <c r="DL124" s="960">
        <v>19</v>
      </c>
      <c r="DM124" s="161"/>
      <c r="DO124" s="788"/>
      <c r="DP124" s="788"/>
      <c r="DQ124" s="809" t="s">
        <v>111</v>
      </c>
      <c r="DR124" s="788" t="s">
        <v>1282</v>
      </c>
      <c r="DS124" s="789" t="s">
        <v>1283</v>
      </c>
      <c r="DT124" s="961"/>
      <c r="DU124" s="962">
        <v>0</v>
      </c>
      <c r="DV124" s="962">
        <v>0</v>
      </c>
      <c r="DW124" s="962">
        <v>0</v>
      </c>
      <c r="DX124" s="962">
        <v>0</v>
      </c>
      <c r="DY124" s="961"/>
      <c r="DZ124" s="962">
        <v>0</v>
      </c>
      <c r="EA124" s="962">
        <v>0</v>
      </c>
      <c r="EB124" s="962">
        <v>0</v>
      </c>
      <c r="EC124" s="962">
        <v>0</v>
      </c>
      <c r="ED124" s="962">
        <v>0</v>
      </c>
      <c r="EE124" s="962">
        <v>0</v>
      </c>
      <c r="EF124" s="962">
        <v>0</v>
      </c>
      <c r="EG124" s="962">
        <v>0</v>
      </c>
      <c r="EH124" s="962">
        <v>4</v>
      </c>
      <c r="EI124" s="964">
        <v>1</v>
      </c>
      <c r="EJ124" s="964">
        <v>0</v>
      </c>
      <c r="EK124" s="964">
        <v>5</v>
      </c>
      <c r="EL124" s="912"/>
      <c r="EM124" s="73"/>
      <c r="EN124" s="73"/>
      <c r="EO124" s="73"/>
      <c r="EP124" s="965"/>
      <c r="EQ124" s="734" t="s">
        <v>1398</v>
      </c>
      <c r="ER124" s="966"/>
      <c r="ES124" s="966"/>
      <c r="ET124" s="966"/>
      <c r="EU124" s="735">
        <v>0</v>
      </c>
      <c r="EV124" s="735">
        <v>0</v>
      </c>
      <c r="EW124" s="735">
        <v>1</v>
      </c>
      <c r="EX124" s="735">
        <v>0</v>
      </c>
      <c r="EY124" s="735">
        <v>0</v>
      </c>
      <c r="EZ124" s="735">
        <v>0</v>
      </c>
      <c r="FA124" s="735">
        <v>0</v>
      </c>
      <c r="FB124" s="735">
        <v>0</v>
      </c>
      <c r="FC124" s="966"/>
      <c r="FD124" s="966"/>
      <c r="FE124" s="735">
        <v>1</v>
      </c>
      <c r="FF124" s="967"/>
      <c r="FG124" s="73"/>
      <c r="FH124" s="73"/>
      <c r="FI124" s="161"/>
      <c r="FJ124" s="161"/>
      <c r="FK124" s="161"/>
      <c r="FL124" s="73" t="s">
        <v>1398</v>
      </c>
      <c r="FM124" s="73"/>
      <c r="FN124" s="73"/>
      <c r="FO124" s="73">
        <v>0</v>
      </c>
      <c r="FP124" s="73"/>
      <c r="FQ124" s="73"/>
      <c r="FR124" s="73">
        <v>0</v>
      </c>
      <c r="FS124" s="73"/>
      <c r="FT124" s="73"/>
      <c r="FU124" s="73">
        <v>0</v>
      </c>
      <c r="FV124" s="73">
        <v>1</v>
      </c>
      <c r="FW124" s="73">
        <v>0</v>
      </c>
      <c r="FX124" s="73">
        <v>0</v>
      </c>
      <c r="FY124" s="73">
        <v>1</v>
      </c>
      <c r="FZ124" s="73"/>
      <c r="GA124" s="73"/>
      <c r="GB124" s="73"/>
      <c r="GC124" s="73">
        <v>2</v>
      </c>
      <c r="GD124" s="73"/>
      <c r="GE124" s="73"/>
      <c r="GF124" s="968"/>
      <c r="GG124" s="968"/>
      <c r="GH124" s="968"/>
      <c r="GI124" s="979" t="s">
        <v>15</v>
      </c>
      <c r="GJ124" s="979">
        <v>0</v>
      </c>
      <c r="GK124" s="979">
        <v>0</v>
      </c>
      <c r="GL124" s="979">
        <v>1</v>
      </c>
      <c r="GM124" s="979">
        <v>0</v>
      </c>
      <c r="GN124" s="979">
        <v>0</v>
      </c>
      <c r="GO124" s="979">
        <v>0</v>
      </c>
      <c r="GP124" s="979">
        <v>1</v>
      </c>
      <c r="GQ124" s="979">
        <v>0</v>
      </c>
      <c r="GR124" s="979">
        <v>1</v>
      </c>
      <c r="GS124" s="979">
        <v>0</v>
      </c>
      <c r="GT124" s="979">
        <v>1</v>
      </c>
      <c r="GU124" s="979">
        <v>3</v>
      </c>
      <c r="GV124" s="979">
        <v>2</v>
      </c>
      <c r="GW124" s="979">
        <v>0</v>
      </c>
      <c r="GX124" s="979">
        <v>0</v>
      </c>
      <c r="GY124" s="979">
        <v>0</v>
      </c>
      <c r="GZ124" s="979">
        <v>9</v>
      </c>
      <c r="HA124" s="980">
        <f>+(GZ123+GZ120)/GZ124</f>
        <v>0.66666666666666663</v>
      </c>
      <c r="HB124" s="969">
        <f>+GZ120+GZ123</f>
        <v>6</v>
      </c>
    </row>
    <row r="125" spans="1:210">
      <c r="A125" s="73"/>
      <c r="B125" s="73"/>
      <c r="C125" s="73" t="s">
        <v>129</v>
      </c>
      <c r="D125" s="73" t="s">
        <v>1284</v>
      </c>
      <c r="E125" s="967"/>
      <c r="F125" s="967"/>
      <c r="G125" s="967"/>
      <c r="H125" s="967"/>
      <c r="I125" s="967"/>
      <c r="J125" s="967"/>
      <c r="K125" s="967"/>
      <c r="L125" s="967"/>
      <c r="M125" s="967"/>
      <c r="N125" s="967"/>
      <c r="O125" s="967"/>
      <c r="P125" s="967"/>
      <c r="Q125" s="967">
        <v>3</v>
      </c>
      <c r="R125" s="967">
        <v>0</v>
      </c>
      <c r="S125" s="967"/>
      <c r="T125" s="73">
        <v>1</v>
      </c>
      <c r="U125" s="73"/>
      <c r="V125" s="73">
        <v>4</v>
      </c>
      <c r="W125" s="73"/>
      <c r="Y125" s="73"/>
      <c r="Z125" s="73"/>
      <c r="AA125" s="73"/>
      <c r="AB125" s="73" t="s">
        <v>1398</v>
      </c>
      <c r="AC125" s="3261"/>
      <c r="AD125" s="3261">
        <v>0</v>
      </c>
      <c r="AE125" s="3261">
        <v>0</v>
      </c>
      <c r="AF125" s="3261"/>
      <c r="AG125" s="3261"/>
      <c r="AH125" s="3261"/>
      <c r="AI125" s="3261"/>
      <c r="AJ125" s="3261"/>
      <c r="AK125" s="3261">
        <v>0</v>
      </c>
      <c r="AL125" s="3261">
        <v>0</v>
      </c>
      <c r="AM125" s="3261"/>
      <c r="AN125" s="3261"/>
      <c r="AO125" s="3261">
        <v>3</v>
      </c>
      <c r="AP125" s="3261">
        <v>1</v>
      </c>
      <c r="AQ125" s="3261">
        <v>2</v>
      </c>
      <c r="AR125" s="161">
        <v>0</v>
      </c>
      <c r="AS125" s="161">
        <v>0</v>
      </c>
      <c r="AT125" s="161">
        <v>6</v>
      </c>
      <c r="AU125" s="73"/>
      <c r="AY125" s="73"/>
      <c r="AZ125" s="73" t="s">
        <v>1284</v>
      </c>
      <c r="BA125" s="2607">
        <v>0</v>
      </c>
      <c r="BB125" s="2607">
        <v>1</v>
      </c>
      <c r="BC125" s="2607">
        <v>1</v>
      </c>
      <c r="BD125" s="2607"/>
      <c r="BE125" s="2607"/>
      <c r="BF125" s="2607"/>
      <c r="BG125" s="2607"/>
      <c r="BH125" s="2607">
        <v>1</v>
      </c>
      <c r="BI125" s="2607">
        <v>1</v>
      </c>
      <c r="BJ125" s="2607"/>
      <c r="BK125" s="2607"/>
      <c r="BL125" s="2607">
        <v>2</v>
      </c>
      <c r="BM125" s="2607">
        <v>5</v>
      </c>
      <c r="BN125" s="2607">
        <v>5</v>
      </c>
      <c r="BO125" s="2607">
        <v>0</v>
      </c>
      <c r="BP125" s="73">
        <v>1</v>
      </c>
      <c r="BQ125" s="73">
        <v>0</v>
      </c>
      <c r="BR125" s="73">
        <v>17</v>
      </c>
      <c r="BS125" s="73"/>
      <c r="BU125" s="2207"/>
      <c r="BV125" s="2207"/>
      <c r="BW125" s="2207"/>
      <c r="BX125" s="2204" t="s">
        <v>111</v>
      </c>
      <c r="BY125" s="2213"/>
      <c r="BZ125" s="2214">
        <v>7</v>
      </c>
      <c r="CA125" s="2214">
        <v>4</v>
      </c>
      <c r="CB125" s="2213"/>
      <c r="CC125" s="2214">
        <v>3</v>
      </c>
      <c r="CD125" s="2214">
        <v>1</v>
      </c>
      <c r="CE125" s="2214">
        <v>3</v>
      </c>
      <c r="CF125" s="2214">
        <v>9</v>
      </c>
      <c r="CG125" s="2214">
        <v>8</v>
      </c>
      <c r="CH125" s="2214">
        <v>8</v>
      </c>
      <c r="CI125" s="2214">
        <v>28</v>
      </c>
      <c r="CJ125" s="2214">
        <v>19</v>
      </c>
      <c r="CK125" s="2214">
        <v>60</v>
      </c>
      <c r="CL125" s="2216">
        <v>7</v>
      </c>
      <c r="CM125" s="2216">
        <v>23</v>
      </c>
      <c r="CN125" s="2216">
        <v>180</v>
      </c>
      <c r="CO125" s="2154">
        <f>+(CN121-CL121+CN124)/CN125</f>
        <v>0.30555555555555558</v>
      </c>
      <c r="CQ125" s="955"/>
      <c r="CR125" s="955"/>
      <c r="CS125" s="955"/>
      <c r="CT125" s="974" t="s">
        <v>575</v>
      </c>
      <c r="CU125" s="975"/>
      <c r="CV125" s="976">
        <v>1</v>
      </c>
      <c r="CW125" s="975"/>
      <c r="CX125" s="976">
        <v>1</v>
      </c>
      <c r="CY125" s="975"/>
      <c r="CZ125" s="975"/>
      <c r="DA125" s="975"/>
      <c r="DB125" s="975"/>
      <c r="DC125" s="975"/>
      <c r="DD125" s="975"/>
      <c r="DE125" s="975"/>
      <c r="DF125" s="976">
        <v>2</v>
      </c>
      <c r="DG125" s="976">
        <v>11</v>
      </c>
      <c r="DH125" s="976">
        <v>15</v>
      </c>
      <c r="DI125" s="976">
        <v>22</v>
      </c>
      <c r="DJ125" s="978">
        <v>1</v>
      </c>
      <c r="DK125" s="978">
        <v>11</v>
      </c>
      <c r="DL125" s="978">
        <v>64</v>
      </c>
      <c r="DM125" s="912">
        <f>+(DL122+DL124)/DL125</f>
        <v>0.5</v>
      </c>
      <c r="DO125" s="788"/>
      <c r="DP125" s="788"/>
      <c r="DQ125" s="788"/>
      <c r="DR125" s="788"/>
      <c r="DS125" s="789" t="s">
        <v>1284</v>
      </c>
      <c r="DT125" s="961"/>
      <c r="DU125" s="962">
        <v>1</v>
      </c>
      <c r="DV125" s="962">
        <v>2</v>
      </c>
      <c r="DW125" s="962">
        <v>1</v>
      </c>
      <c r="DX125" s="962">
        <v>1</v>
      </c>
      <c r="DY125" s="961"/>
      <c r="DZ125" s="962">
        <v>1</v>
      </c>
      <c r="EA125" s="962">
        <v>1</v>
      </c>
      <c r="EB125" s="962">
        <v>2</v>
      </c>
      <c r="EC125" s="962">
        <v>3</v>
      </c>
      <c r="ED125" s="962">
        <v>0</v>
      </c>
      <c r="EE125" s="962">
        <v>1</v>
      </c>
      <c r="EF125" s="962">
        <v>9</v>
      </c>
      <c r="EG125" s="962">
        <v>6</v>
      </c>
      <c r="EH125" s="962">
        <v>3</v>
      </c>
      <c r="EI125" s="964">
        <v>0</v>
      </c>
      <c r="EJ125" s="964">
        <v>0</v>
      </c>
      <c r="EK125" s="964">
        <v>31</v>
      </c>
      <c r="EL125" s="912"/>
      <c r="EM125" s="73"/>
      <c r="EN125" s="73"/>
      <c r="EO125" s="73"/>
      <c r="EP125" s="965"/>
      <c r="EQ125" s="981" t="s">
        <v>572</v>
      </c>
      <c r="ER125" s="982"/>
      <c r="ES125" s="982"/>
      <c r="ET125" s="982"/>
      <c r="EU125" s="740">
        <v>1</v>
      </c>
      <c r="EV125" s="740">
        <v>2</v>
      </c>
      <c r="EW125" s="740">
        <v>2</v>
      </c>
      <c r="EX125" s="740">
        <v>1</v>
      </c>
      <c r="EY125" s="740">
        <v>1</v>
      </c>
      <c r="EZ125" s="740">
        <v>1</v>
      </c>
      <c r="FA125" s="740">
        <v>2</v>
      </c>
      <c r="FB125" s="740">
        <v>3</v>
      </c>
      <c r="FC125" s="982"/>
      <c r="FD125" s="982"/>
      <c r="FE125" s="740">
        <v>13</v>
      </c>
      <c r="FF125" s="905">
        <f>+(FE124+FE123+FE120)/FE125</f>
        <v>0.30769230769230771</v>
      </c>
      <c r="FG125" s="73"/>
      <c r="FH125" s="73"/>
      <c r="FI125" s="161"/>
      <c r="FJ125" s="161"/>
      <c r="FK125" s="161"/>
      <c r="FL125" s="738" t="s">
        <v>15</v>
      </c>
      <c r="FM125" s="738"/>
      <c r="FN125" s="738"/>
      <c r="FO125" s="738">
        <v>1</v>
      </c>
      <c r="FP125" s="738"/>
      <c r="FQ125" s="738"/>
      <c r="FR125" s="738">
        <v>1</v>
      </c>
      <c r="FS125" s="738"/>
      <c r="FT125" s="738"/>
      <c r="FU125" s="738">
        <v>1</v>
      </c>
      <c r="FV125" s="738">
        <v>3</v>
      </c>
      <c r="FW125" s="738">
        <v>2</v>
      </c>
      <c r="FX125" s="738">
        <v>3</v>
      </c>
      <c r="FY125" s="738">
        <v>1</v>
      </c>
      <c r="FZ125" s="738"/>
      <c r="GA125" s="738"/>
      <c r="GB125" s="738"/>
      <c r="GC125" s="738">
        <v>12</v>
      </c>
      <c r="GD125" s="983">
        <f>+(GC120+GC123+GC124)/GC125</f>
        <v>0.5</v>
      </c>
      <c r="GE125" s="73"/>
      <c r="GF125" s="968"/>
      <c r="GG125" s="968"/>
      <c r="GH125" s="968" t="s">
        <v>16</v>
      </c>
      <c r="GI125" s="968" t="s">
        <v>1284</v>
      </c>
      <c r="GJ125" s="968">
        <v>0</v>
      </c>
      <c r="GK125" s="968">
        <v>0</v>
      </c>
      <c r="GL125" s="968">
        <v>0</v>
      </c>
      <c r="GM125" s="968">
        <v>0</v>
      </c>
      <c r="GN125" s="968">
        <v>0</v>
      </c>
      <c r="GO125" s="968">
        <v>0</v>
      </c>
      <c r="GP125" s="968">
        <v>0</v>
      </c>
      <c r="GQ125" s="968">
        <v>0</v>
      </c>
      <c r="GR125" s="968">
        <v>0</v>
      </c>
      <c r="GS125" s="968">
        <v>0</v>
      </c>
      <c r="GT125" s="968">
        <v>2</v>
      </c>
      <c r="GU125" s="968">
        <v>0</v>
      </c>
      <c r="GV125" s="968">
        <v>0</v>
      </c>
      <c r="GW125" s="968">
        <v>0</v>
      </c>
      <c r="GX125" s="968">
        <v>0</v>
      </c>
      <c r="GY125" s="968">
        <v>0</v>
      </c>
      <c r="GZ125" s="968">
        <v>2</v>
      </c>
      <c r="HA125" s="968"/>
      <c r="HB125" s="969"/>
    </row>
    <row r="126" spans="1:210">
      <c r="A126" s="73"/>
      <c r="B126" s="73"/>
      <c r="C126" s="73"/>
      <c r="D126" s="73" t="s">
        <v>1288</v>
      </c>
      <c r="E126" s="967"/>
      <c r="F126" s="967"/>
      <c r="G126" s="967"/>
      <c r="H126" s="967"/>
      <c r="I126" s="967"/>
      <c r="J126" s="967"/>
      <c r="K126" s="967"/>
      <c r="L126" s="967"/>
      <c r="M126" s="967"/>
      <c r="N126" s="967"/>
      <c r="O126" s="967"/>
      <c r="P126" s="967"/>
      <c r="Q126" s="967">
        <v>2</v>
      </c>
      <c r="R126" s="967">
        <v>0</v>
      </c>
      <c r="S126" s="967"/>
      <c r="T126" s="73">
        <v>0</v>
      </c>
      <c r="U126" s="73"/>
      <c r="V126" s="73">
        <v>2</v>
      </c>
      <c r="W126" s="73"/>
      <c r="Y126" s="73"/>
      <c r="Z126" s="73"/>
      <c r="AA126" s="73"/>
      <c r="AB126" s="738" t="s">
        <v>15</v>
      </c>
      <c r="AC126" s="3262"/>
      <c r="AD126" s="3262">
        <v>1</v>
      </c>
      <c r="AE126" s="3262">
        <v>2</v>
      </c>
      <c r="AF126" s="3262"/>
      <c r="AG126" s="3262"/>
      <c r="AH126" s="3262"/>
      <c r="AI126" s="3262"/>
      <c r="AJ126" s="3262"/>
      <c r="AK126" s="3262">
        <v>1</v>
      </c>
      <c r="AL126" s="3262">
        <v>1</v>
      </c>
      <c r="AM126" s="3262"/>
      <c r="AN126" s="3262"/>
      <c r="AO126" s="3262">
        <v>31</v>
      </c>
      <c r="AP126" s="3262">
        <v>8</v>
      </c>
      <c r="AQ126" s="3262">
        <v>5</v>
      </c>
      <c r="AR126" s="151">
        <v>1</v>
      </c>
      <c r="AS126" s="151">
        <v>4</v>
      </c>
      <c r="AT126" s="151">
        <v>54</v>
      </c>
      <c r="AU126" s="912">
        <f>+(AT122+AT124+AT125)/AT126</f>
        <v>0.25925925925925924</v>
      </c>
      <c r="AY126" s="73"/>
      <c r="AZ126" s="73" t="s">
        <v>1288</v>
      </c>
      <c r="BA126" s="2607">
        <v>0</v>
      </c>
      <c r="BB126" s="2607">
        <v>0</v>
      </c>
      <c r="BC126" s="2607">
        <v>0</v>
      </c>
      <c r="BD126" s="2607"/>
      <c r="BE126" s="2607"/>
      <c r="BF126" s="2607"/>
      <c r="BG126" s="2607"/>
      <c r="BH126" s="2607">
        <v>0</v>
      </c>
      <c r="BI126" s="2607">
        <v>0</v>
      </c>
      <c r="BJ126" s="2607"/>
      <c r="BK126" s="2607"/>
      <c r="BL126" s="2607">
        <v>0</v>
      </c>
      <c r="BM126" s="2607">
        <v>0</v>
      </c>
      <c r="BN126" s="2607">
        <v>3</v>
      </c>
      <c r="BO126" s="2607">
        <v>3</v>
      </c>
      <c r="BP126" s="73">
        <v>2</v>
      </c>
      <c r="BQ126" s="73">
        <v>0</v>
      </c>
      <c r="BR126" s="73">
        <v>8</v>
      </c>
      <c r="BS126" s="73"/>
      <c r="BU126" s="2207" t="s">
        <v>48</v>
      </c>
      <c r="BV126" s="2207" t="s">
        <v>16</v>
      </c>
      <c r="BW126" s="2207" t="s">
        <v>145</v>
      </c>
      <c r="BX126" s="2208" t="s">
        <v>1284</v>
      </c>
      <c r="BY126" s="2209"/>
      <c r="BZ126" s="2210">
        <v>3</v>
      </c>
      <c r="CA126" s="2209"/>
      <c r="CB126" s="2210">
        <v>1</v>
      </c>
      <c r="CC126" s="2210">
        <v>1</v>
      </c>
      <c r="CD126" s="2209"/>
      <c r="CE126" s="2209"/>
      <c r="CF126" s="2210">
        <v>1</v>
      </c>
      <c r="CG126" s="2210">
        <v>2</v>
      </c>
      <c r="CH126" s="2210">
        <v>2</v>
      </c>
      <c r="CI126" s="2210">
        <v>13</v>
      </c>
      <c r="CJ126" s="2210">
        <v>3</v>
      </c>
      <c r="CK126" s="2210">
        <v>1</v>
      </c>
      <c r="CL126" s="2212">
        <v>0</v>
      </c>
      <c r="CM126" s="2212">
        <v>0</v>
      </c>
      <c r="CN126" s="2212">
        <v>27</v>
      </c>
      <c r="CO126" s="73"/>
      <c r="CQ126" s="955"/>
      <c r="CR126" s="955"/>
      <c r="CS126" s="955" t="s">
        <v>111</v>
      </c>
      <c r="CT126" s="956" t="s">
        <v>1283</v>
      </c>
      <c r="CU126" s="957"/>
      <c r="CV126" s="958">
        <v>0</v>
      </c>
      <c r="CW126" s="958">
        <v>0</v>
      </c>
      <c r="CX126" s="958">
        <v>0</v>
      </c>
      <c r="CY126" s="958">
        <v>0</v>
      </c>
      <c r="CZ126" s="958">
        <v>0</v>
      </c>
      <c r="DA126" s="958">
        <v>0</v>
      </c>
      <c r="DB126" s="958">
        <v>0</v>
      </c>
      <c r="DC126" s="958">
        <v>0</v>
      </c>
      <c r="DD126" s="958">
        <v>0</v>
      </c>
      <c r="DE126" s="958">
        <v>0</v>
      </c>
      <c r="DF126" s="958">
        <v>0</v>
      </c>
      <c r="DG126" s="958">
        <v>2</v>
      </c>
      <c r="DH126" s="958">
        <v>0</v>
      </c>
      <c r="DI126" s="958">
        <v>4</v>
      </c>
      <c r="DJ126" s="960">
        <v>0</v>
      </c>
      <c r="DK126" s="960">
        <v>0</v>
      </c>
      <c r="DL126" s="960">
        <v>6</v>
      </c>
      <c r="DM126" s="161"/>
      <c r="DO126" s="788"/>
      <c r="DP126" s="788"/>
      <c r="DQ126" s="788"/>
      <c r="DR126" s="788"/>
      <c r="DS126" s="789" t="s">
        <v>1286</v>
      </c>
      <c r="DT126" s="961"/>
      <c r="DU126" s="962">
        <v>0</v>
      </c>
      <c r="DV126" s="962">
        <v>0</v>
      </c>
      <c r="DW126" s="962">
        <v>0</v>
      </c>
      <c r="DX126" s="962">
        <v>0</v>
      </c>
      <c r="DY126" s="961"/>
      <c r="DZ126" s="962">
        <v>0</v>
      </c>
      <c r="EA126" s="962">
        <v>0</v>
      </c>
      <c r="EB126" s="962">
        <v>0</v>
      </c>
      <c r="EC126" s="962">
        <v>1</v>
      </c>
      <c r="ED126" s="962">
        <v>0</v>
      </c>
      <c r="EE126" s="962">
        <v>0</v>
      </c>
      <c r="EF126" s="962">
        <v>0</v>
      </c>
      <c r="EG126" s="962">
        <v>0</v>
      </c>
      <c r="EH126" s="962">
        <v>0</v>
      </c>
      <c r="EI126" s="964">
        <v>0</v>
      </c>
      <c r="EJ126" s="964">
        <v>0</v>
      </c>
      <c r="EK126" s="964">
        <v>1</v>
      </c>
      <c r="EL126" s="912"/>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161"/>
      <c r="FJ126" s="161"/>
      <c r="FK126" s="161" t="s">
        <v>16</v>
      </c>
      <c r="FL126" s="73" t="s">
        <v>1284</v>
      </c>
      <c r="FM126" s="73">
        <v>2</v>
      </c>
      <c r="FN126" s="73"/>
      <c r="FO126" s="73"/>
      <c r="FP126" s="73"/>
      <c r="FQ126" s="73"/>
      <c r="FR126" s="73"/>
      <c r="FS126" s="73">
        <v>0</v>
      </c>
      <c r="FT126" s="73">
        <v>1</v>
      </c>
      <c r="FU126" s="73">
        <v>11</v>
      </c>
      <c r="FV126" s="73">
        <v>6</v>
      </c>
      <c r="FW126" s="73">
        <v>1</v>
      </c>
      <c r="FX126" s="73">
        <v>1</v>
      </c>
      <c r="FY126" s="73"/>
      <c r="FZ126" s="73"/>
      <c r="GA126" s="73"/>
      <c r="GB126" s="73">
        <v>0</v>
      </c>
      <c r="GC126" s="73">
        <v>22</v>
      </c>
      <c r="GD126" s="73"/>
      <c r="GE126" s="73"/>
      <c r="GF126" s="968"/>
      <c r="GG126" s="968"/>
      <c r="GH126" s="968"/>
      <c r="GI126" s="979" t="s">
        <v>15</v>
      </c>
      <c r="GJ126" s="979">
        <v>0</v>
      </c>
      <c r="GK126" s="979">
        <v>0</v>
      </c>
      <c r="GL126" s="979">
        <v>0</v>
      </c>
      <c r="GM126" s="979">
        <v>0</v>
      </c>
      <c r="GN126" s="979">
        <v>0</v>
      </c>
      <c r="GO126" s="979">
        <v>0</v>
      </c>
      <c r="GP126" s="979">
        <v>0</v>
      </c>
      <c r="GQ126" s="979">
        <v>0</v>
      </c>
      <c r="GR126" s="979">
        <v>0</v>
      </c>
      <c r="GS126" s="979">
        <v>0</v>
      </c>
      <c r="GT126" s="979">
        <v>2</v>
      </c>
      <c r="GU126" s="979">
        <v>0</v>
      </c>
      <c r="GV126" s="979">
        <v>0</v>
      </c>
      <c r="GW126" s="979">
        <v>0</v>
      </c>
      <c r="GX126" s="979">
        <v>0</v>
      </c>
      <c r="GY126" s="979">
        <v>0</v>
      </c>
      <c r="GZ126" s="979">
        <v>2</v>
      </c>
      <c r="HA126" s="980">
        <f>0/GZ126</f>
        <v>0</v>
      </c>
      <c r="HB126" s="969">
        <v>0</v>
      </c>
    </row>
    <row r="127" spans="1:210">
      <c r="A127" s="73"/>
      <c r="B127" s="73"/>
      <c r="C127" s="73"/>
      <c r="D127" s="73" t="s">
        <v>1293</v>
      </c>
      <c r="E127" s="967"/>
      <c r="F127" s="967"/>
      <c r="G127" s="967"/>
      <c r="H127" s="967"/>
      <c r="I127" s="967"/>
      <c r="J127" s="967"/>
      <c r="K127" s="967"/>
      <c r="L127" s="967"/>
      <c r="M127" s="967"/>
      <c r="N127" s="967"/>
      <c r="O127" s="967"/>
      <c r="P127" s="967"/>
      <c r="Q127" s="967">
        <v>1</v>
      </c>
      <c r="R127" s="967">
        <v>0</v>
      </c>
      <c r="S127" s="967"/>
      <c r="T127" s="73">
        <v>0</v>
      </c>
      <c r="U127" s="73"/>
      <c r="V127" s="73">
        <v>1</v>
      </c>
      <c r="W127" s="73"/>
      <c r="Y127" s="73"/>
      <c r="Z127" s="73"/>
      <c r="AA127" s="73" t="s">
        <v>112</v>
      </c>
      <c r="AB127" s="73" t="s">
        <v>1284</v>
      </c>
      <c r="AC127" s="3261"/>
      <c r="AD127" s="3261"/>
      <c r="AE127" s="3261"/>
      <c r="AF127" s="3261"/>
      <c r="AG127" s="3261"/>
      <c r="AH127" s="3261"/>
      <c r="AI127" s="3261"/>
      <c r="AJ127" s="3261"/>
      <c r="AK127" s="3261">
        <v>0</v>
      </c>
      <c r="AL127" s="3261">
        <v>3</v>
      </c>
      <c r="AM127" s="3261">
        <v>3</v>
      </c>
      <c r="AN127" s="3261">
        <v>4</v>
      </c>
      <c r="AO127" s="3261">
        <v>1</v>
      </c>
      <c r="AP127" s="3261">
        <v>0</v>
      </c>
      <c r="AQ127" s="3261"/>
      <c r="AR127" s="161"/>
      <c r="AS127" s="161"/>
      <c r="AT127" s="161">
        <v>11</v>
      </c>
      <c r="AU127" s="73"/>
      <c r="AY127" s="73"/>
      <c r="AZ127" s="73" t="s">
        <v>1292</v>
      </c>
      <c r="BA127" s="2607">
        <v>0</v>
      </c>
      <c r="BB127" s="2607">
        <v>0</v>
      </c>
      <c r="BC127" s="2607">
        <v>0</v>
      </c>
      <c r="BD127" s="2607"/>
      <c r="BE127" s="2607"/>
      <c r="BF127" s="2607"/>
      <c r="BG127" s="2607"/>
      <c r="BH127" s="2607">
        <v>0</v>
      </c>
      <c r="BI127" s="2607">
        <v>0</v>
      </c>
      <c r="BJ127" s="2607"/>
      <c r="BK127" s="2607"/>
      <c r="BL127" s="2607">
        <v>0</v>
      </c>
      <c r="BM127" s="2607">
        <v>0</v>
      </c>
      <c r="BN127" s="2607">
        <v>0</v>
      </c>
      <c r="BO127" s="2607">
        <v>14</v>
      </c>
      <c r="BP127" s="73">
        <v>1</v>
      </c>
      <c r="BQ127" s="73">
        <v>9</v>
      </c>
      <c r="BR127" s="73">
        <v>24</v>
      </c>
      <c r="BS127" s="73"/>
      <c r="BU127" s="2207"/>
      <c r="BV127" s="2207"/>
      <c r="BW127" s="2207"/>
      <c r="BX127" s="2208" t="s">
        <v>1288</v>
      </c>
      <c r="BY127" s="2209"/>
      <c r="BZ127" s="2210">
        <v>0</v>
      </c>
      <c r="CA127" s="2209"/>
      <c r="CB127" s="2210">
        <v>0</v>
      </c>
      <c r="CC127" s="2210">
        <v>0</v>
      </c>
      <c r="CD127" s="2209"/>
      <c r="CE127" s="2209"/>
      <c r="CF127" s="2210">
        <v>0</v>
      </c>
      <c r="CG127" s="2210">
        <v>0</v>
      </c>
      <c r="CH127" s="2210">
        <v>0</v>
      </c>
      <c r="CI127" s="2210">
        <v>3</v>
      </c>
      <c r="CJ127" s="2210">
        <v>2</v>
      </c>
      <c r="CK127" s="2210">
        <v>0</v>
      </c>
      <c r="CL127" s="2212">
        <v>0</v>
      </c>
      <c r="CM127" s="2212">
        <v>0</v>
      </c>
      <c r="CN127" s="2212">
        <v>5</v>
      </c>
      <c r="CO127" s="73"/>
      <c r="CQ127" s="955"/>
      <c r="CR127" s="955"/>
      <c r="CS127" s="955"/>
      <c r="CT127" s="956" t="s">
        <v>1284</v>
      </c>
      <c r="CU127" s="957"/>
      <c r="CV127" s="958">
        <v>5</v>
      </c>
      <c r="CW127" s="958">
        <v>2</v>
      </c>
      <c r="CX127" s="958">
        <v>2</v>
      </c>
      <c r="CY127" s="958">
        <v>1</v>
      </c>
      <c r="CZ127" s="958">
        <v>2</v>
      </c>
      <c r="DA127" s="958">
        <v>1</v>
      </c>
      <c r="DB127" s="958">
        <v>2</v>
      </c>
      <c r="DC127" s="958">
        <v>2</v>
      </c>
      <c r="DD127" s="958">
        <v>1</v>
      </c>
      <c r="DE127" s="958">
        <v>2</v>
      </c>
      <c r="DF127" s="958">
        <v>3</v>
      </c>
      <c r="DG127" s="958">
        <v>8</v>
      </c>
      <c r="DH127" s="958">
        <v>8</v>
      </c>
      <c r="DI127" s="958">
        <v>1</v>
      </c>
      <c r="DJ127" s="960">
        <v>0</v>
      </c>
      <c r="DK127" s="960">
        <v>0</v>
      </c>
      <c r="DL127" s="960">
        <v>40</v>
      </c>
      <c r="DM127" s="161"/>
      <c r="DO127" s="788"/>
      <c r="DP127" s="788"/>
      <c r="DQ127" s="788"/>
      <c r="DR127" s="788"/>
      <c r="DS127" s="789" t="s">
        <v>1288</v>
      </c>
      <c r="DT127" s="961"/>
      <c r="DU127" s="962">
        <v>0</v>
      </c>
      <c r="DV127" s="962">
        <v>0</v>
      </c>
      <c r="DW127" s="962">
        <v>0</v>
      </c>
      <c r="DX127" s="962">
        <v>0</v>
      </c>
      <c r="DY127" s="961"/>
      <c r="DZ127" s="962">
        <v>1</v>
      </c>
      <c r="EA127" s="962">
        <v>0</v>
      </c>
      <c r="EB127" s="962">
        <v>0</v>
      </c>
      <c r="EC127" s="962">
        <v>0</v>
      </c>
      <c r="ED127" s="962">
        <v>6</v>
      </c>
      <c r="EE127" s="962">
        <v>5</v>
      </c>
      <c r="EF127" s="962">
        <v>9</v>
      </c>
      <c r="EG127" s="962">
        <v>12</v>
      </c>
      <c r="EH127" s="962">
        <v>3</v>
      </c>
      <c r="EI127" s="964">
        <v>3</v>
      </c>
      <c r="EJ127" s="964">
        <v>0</v>
      </c>
      <c r="EK127" s="964">
        <v>39</v>
      </c>
      <c r="EL127" s="912"/>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161"/>
      <c r="FJ127" s="161"/>
      <c r="FK127" s="161"/>
      <c r="FL127" s="73" t="s">
        <v>1288</v>
      </c>
      <c r="FM127" s="73">
        <v>0</v>
      </c>
      <c r="FN127" s="73"/>
      <c r="FO127" s="73"/>
      <c r="FP127" s="73"/>
      <c r="FQ127" s="73"/>
      <c r="FR127" s="73"/>
      <c r="FS127" s="73">
        <v>0</v>
      </c>
      <c r="FT127" s="73">
        <v>0</v>
      </c>
      <c r="FU127" s="73">
        <v>3</v>
      </c>
      <c r="FV127" s="73">
        <v>0</v>
      </c>
      <c r="FW127" s="73">
        <v>0</v>
      </c>
      <c r="FX127" s="73">
        <v>0</v>
      </c>
      <c r="FY127" s="73"/>
      <c r="FZ127" s="73"/>
      <c r="GA127" s="73"/>
      <c r="GB127" s="73">
        <v>0</v>
      </c>
      <c r="GC127" s="73">
        <v>3</v>
      </c>
      <c r="GD127" s="73"/>
      <c r="GE127" s="73"/>
      <c r="GF127" s="968"/>
      <c r="GG127" s="968"/>
      <c r="GH127" s="968" t="s">
        <v>105</v>
      </c>
      <c r="GI127" s="968" t="s">
        <v>1284</v>
      </c>
      <c r="GJ127" s="968">
        <v>0</v>
      </c>
      <c r="GK127" s="968">
        <v>0</v>
      </c>
      <c r="GL127" s="968">
        <v>0</v>
      </c>
      <c r="GM127" s="968">
        <v>0</v>
      </c>
      <c r="GN127" s="968">
        <v>0</v>
      </c>
      <c r="GO127" s="968">
        <v>1</v>
      </c>
      <c r="GP127" s="968">
        <v>0</v>
      </c>
      <c r="GQ127" s="968">
        <v>0</v>
      </c>
      <c r="GR127" s="968">
        <v>0</v>
      </c>
      <c r="GS127" s="968">
        <v>0</v>
      </c>
      <c r="GT127" s="968">
        <v>0</v>
      </c>
      <c r="GU127" s="968">
        <v>0</v>
      </c>
      <c r="GV127" s="968">
        <v>0</v>
      </c>
      <c r="GW127" s="968">
        <v>0</v>
      </c>
      <c r="GX127" s="968">
        <v>0</v>
      </c>
      <c r="GY127" s="968">
        <v>0</v>
      </c>
      <c r="GZ127" s="968">
        <v>1</v>
      </c>
      <c r="HA127" s="968"/>
      <c r="HB127" s="969"/>
    </row>
    <row r="128" spans="1:210">
      <c r="A128" s="73"/>
      <c r="B128" s="73"/>
      <c r="C128" s="73"/>
      <c r="D128" s="73" t="s">
        <v>1398</v>
      </c>
      <c r="E128" s="967"/>
      <c r="F128" s="967"/>
      <c r="G128" s="967"/>
      <c r="H128" s="967"/>
      <c r="I128" s="967"/>
      <c r="J128" s="967"/>
      <c r="K128" s="967"/>
      <c r="L128" s="967"/>
      <c r="M128" s="967"/>
      <c r="N128" s="967"/>
      <c r="O128" s="967"/>
      <c r="P128" s="967"/>
      <c r="Q128" s="967">
        <v>0</v>
      </c>
      <c r="R128" s="967">
        <v>1</v>
      </c>
      <c r="S128" s="967"/>
      <c r="T128" s="73">
        <v>0</v>
      </c>
      <c r="U128" s="73"/>
      <c r="V128" s="73">
        <v>1</v>
      </c>
      <c r="W128" s="73"/>
      <c r="Y128" s="73"/>
      <c r="Z128" s="73"/>
      <c r="AA128" s="73"/>
      <c r="AB128" s="73" t="s">
        <v>1288</v>
      </c>
      <c r="AC128" s="3261"/>
      <c r="AD128" s="3261"/>
      <c r="AE128" s="3261"/>
      <c r="AF128" s="3261"/>
      <c r="AG128" s="3261"/>
      <c r="AH128" s="3261"/>
      <c r="AI128" s="3261"/>
      <c r="AJ128" s="3261"/>
      <c r="AK128" s="3261">
        <v>0</v>
      </c>
      <c r="AL128" s="3261">
        <v>0</v>
      </c>
      <c r="AM128" s="3261">
        <v>0</v>
      </c>
      <c r="AN128" s="3261">
        <v>0</v>
      </c>
      <c r="AO128" s="3261">
        <v>1</v>
      </c>
      <c r="AP128" s="3261">
        <v>1</v>
      </c>
      <c r="AQ128" s="3261"/>
      <c r="AR128" s="161"/>
      <c r="AS128" s="161"/>
      <c r="AT128" s="161">
        <v>2</v>
      </c>
      <c r="AU128" s="73"/>
      <c r="AY128" s="73"/>
      <c r="AZ128" s="73" t="s">
        <v>1398</v>
      </c>
      <c r="BA128" s="2607">
        <v>0</v>
      </c>
      <c r="BB128" s="2607">
        <v>0</v>
      </c>
      <c r="BC128" s="2607">
        <v>0</v>
      </c>
      <c r="BD128" s="2607"/>
      <c r="BE128" s="2607"/>
      <c r="BF128" s="2607"/>
      <c r="BG128" s="2607"/>
      <c r="BH128" s="2607">
        <v>0</v>
      </c>
      <c r="BI128" s="2607">
        <v>0</v>
      </c>
      <c r="BJ128" s="2607"/>
      <c r="BK128" s="2607"/>
      <c r="BL128" s="2607">
        <v>0</v>
      </c>
      <c r="BM128" s="2607">
        <v>1</v>
      </c>
      <c r="BN128" s="2607">
        <v>3</v>
      </c>
      <c r="BO128" s="2607">
        <v>2</v>
      </c>
      <c r="BP128" s="73">
        <v>1</v>
      </c>
      <c r="BQ128" s="73">
        <v>0</v>
      </c>
      <c r="BR128" s="73">
        <v>7</v>
      </c>
      <c r="BS128" s="73"/>
      <c r="BU128" s="2207"/>
      <c r="BV128" s="2207"/>
      <c r="BW128" s="2207"/>
      <c r="BX128" s="2208" t="s">
        <v>1292</v>
      </c>
      <c r="BY128" s="2209"/>
      <c r="BZ128" s="2210">
        <v>0</v>
      </c>
      <c r="CA128" s="2209"/>
      <c r="CB128" s="2210">
        <v>0</v>
      </c>
      <c r="CC128" s="2210">
        <v>0</v>
      </c>
      <c r="CD128" s="2209"/>
      <c r="CE128" s="2209"/>
      <c r="CF128" s="2210">
        <v>0</v>
      </c>
      <c r="CG128" s="2210">
        <v>0</v>
      </c>
      <c r="CH128" s="2210">
        <v>0</v>
      </c>
      <c r="CI128" s="2210">
        <v>0</v>
      </c>
      <c r="CJ128" s="2210">
        <v>3</v>
      </c>
      <c r="CK128" s="2210">
        <v>0</v>
      </c>
      <c r="CL128" s="2212">
        <v>1</v>
      </c>
      <c r="CM128" s="2212">
        <v>1</v>
      </c>
      <c r="CN128" s="2212">
        <v>5</v>
      </c>
      <c r="CO128" s="73"/>
      <c r="CQ128" s="955"/>
      <c r="CR128" s="955"/>
      <c r="CS128" s="955"/>
      <c r="CT128" s="956" t="s">
        <v>1286</v>
      </c>
      <c r="CU128" s="957"/>
      <c r="CV128" s="958">
        <v>0</v>
      </c>
      <c r="CW128" s="958">
        <v>0</v>
      </c>
      <c r="CX128" s="958">
        <v>1</v>
      </c>
      <c r="CY128" s="958">
        <v>0</v>
      </c>
      <c r="CZ128" s="958">
        <v>0</v>
      </c>
      <c r="DA128" s="958">
        <v>0</v>
      </c>
      <c r="DB128" s="958">
        <v>0</v>
      </c>
      <c r="DC128" s="958">
        <v>0</v>
      </c>
      <c r="DD128" s="958">
        <v>0</v>
      </c>
      <c r="DE128" s="958">
        <v>0</v>
      </c>
      <c r="DF128" s="958">
        <v>0</v>
      </c>
      <c r="DG128" s="958">
        <v>0</v>
      </c>
      <c r="DH128" s="958">
        <v>0</v>
      </c>
      <c r="DI128" s="958">
        <v>0</v>
      </c>
      <c r="DJ128" s="960">
        <v>0</v>
      </c>
      <c r="DK128" s="960">
        <v>0</v>
      </c>
      <c r="DL128" s="960">
        <v>1</v>
      </c>
      <c r="DM128" s="161"/>
      <c r="DO128" s="788"/>
      <c r="DP128" s="788"/>
      <c r="DQ128" s="788"/>
      <c r="DR128" s="788"/>
      <c r="DS128" s="789" t="s">
        <v>1289</v>
      </c>
      <c r="DT128" s="961"/>
      <c r="DU128" s="962">
        <v>0</v>
      </c>
      <c r="DV128" s="962">
        <v>1</v>
      </c>
      <c r="DW128" s="962">
        <v>0</v>
      </c>
      <c r="DX128" s="962">
        <v>0</v>
      </c>
      <c r="DY128" s="961"/>
      <c r="DZ128" s="962">
        <v>0</v>
      </c>
      <c r="EA128" s="962">
        <v>0</v>
      </c>
      <c r="EB128" s="962">
        <v>0</v>
      </c>
      <c r="EC128" s="962">
        <v>1</v>
      </c>
      <c r="ED128" s="962">
        <v>0</v>
      </c>
      <c r="EE128" s="962">
        <v>0</v>
      </c>
      <c r="EF128" s="962">
        <v>0</v>
      </c>
      <c r="EG128" s="962">
        <v>0</v>
      </c>
      <c r="EH128" s="962">
        <v>0</v>
      </c>
      <c r="EI128" s="964">
        <v>0</v>
      </c>
      <c r="EJ128" s="964">
        <v>0</v>
      </c>
      <c r="EK128" s="964">
        <v>2</v>
      </c>
      <c r="EL128" s="912"/>
      <c r="EM128" s="73"/>
      <c r="EN128" s="73"/>
      <c r="EO128" s="73"/>
      <c r="EP128" s="965" t="s">
        <v>888</v>
      </c>
      <c r="EQ128" s="734" t="s">
        <v>1286</v>
      </c>
      <c r="ER128" s="735">
        <v>1</v>
      </c>
      <c r="ES128" s="966"/>
      <c r="ET128" s="735">
        <v>0</v>
      </c>
      <c r="EU128" s="735">
        <v>0</v>
      </c>
      <c r="EV128" s="735">
        <v>0</v>
      </c>
      <c r="EW128" s="735">
        <v>0</v>
      </c>
      <c r="EX128" s="966"/>
      <c r="EY128" s="966"/>
      <c r="EZ128" s="966"/>
      <c r="FA128" s="966"/>
      <c r="FB128" s="735">
        <v>0</v>
      </c>
      <c r="FC128" s="966"/>
      <c r="FD128" s="966"/>
      <c r="FE128" s="735">
        <v>1</v>
      </c>
      <c r="FF128" s="967"/>
      <c r="FG128" s="73"/>
      <c r="FH128" s="73"/>
      <c r="FI128" s="161"/>
      <c r="FJ128" s="161"/>
      <c r="FK128" s="161"/>
      <c r="FL128" s="73" t="s">
        <v>1292</v>
      </c>
      <c r="FM128" s="73">
        <v>0</v>
      </c>
      <c r="FN128" s="73"/>
      <c r="FO128" s="73"/>
      <c r="FP128" s="73"/>
      <c r="FQ128" s="73"/>
      <c r="FR128" s="73"/>
      <c r="FS128" s="73">
        <v>0</v>
      </c>
      <c r="FT128" s="73">
        <v>0</v>
      </c>
      <c r="FU128" s="73">
        <v>0</v>
      </c>
      <c r="FV128" s="73">
        <v>0</v>
      </c>
      <c r="FW128" s="73">
        <v>0</v>
      </c>
      <c r="FX128" s="73">
        <v>0</v>
      </c>
      <c r="FY128" s="73"/>
      <c r="FZ128" s="73"/>
      <c r="GA128" s="73"/>
      <c r="GB128" s="73">
        <v>2</v>
      </c>
      <c r="GC128" s="73">
        <v>2</v>
      </c>
      <c r="GD128" s="73"/>
      <c r="GE128" s="73"/>
      <c r="GF128" s="968"/>
      <c r="GG128" s="968"/>
      <c r="GH128" s="968"/>
      <c r="GI128" s="968" t="s">
        <v>1288</v>
      </c>
      <c r="GJ128" s="968">
        <v>0</v>
      </c>
      <c r="GK128" s="968">
        <v>0</v>
      </c>
      <c r="GL128" s="968">
        <v>0</v>
      </c>
      <c r="GM128" s="968">
        <v>0</v>
      </c>
      <c r="GN128" s="968">
        <v>0</v>
      </c>
      <c r="GO128" s="968">
        <v>1</v>
      </c>
      <c r="GP128" s="968">
        <v>0</v>
      </c>
      <c r="GQ128" s="968">
        <v>0</v>
      </c>
      <c r="GR128" s="968">
        <v>0</v>
      </c>
      <c r="GS128" s="968">
        <v>0</v>
      </c>
      <c r="GT128" s="968">
        <v>0</v>
      </c>
      <c r="GU128" s="968">
        <v>0</v>
      </c>
      <c r="GV128" s="968">
        <v>0</v>
      </c>
      <c r="GW128" s="968">
        <v>0</v>
      </c>
      <c r="GX128" s="968">
        <v>0</v>
      </c>
      <c r="GY128" s="968">
        <v>0</v>
      </c>
      <c r="GZ128" s="968">
        <v>1</v>
      </c>
      <c r="HA128" s="968"/>
      <c r="HB128" s="969"/>
    </row>
    <row r="129" spans="1:210">
      <c r="A129" s="73"/>
      <c r="B129" s="73"/>
      <c r="C129" s="73"/>
      <c r="D129" s="738" t="s">
        <v>15</v>
      </c>
      <c r="E129" s="4694"/>
      <c r="F129" s="4694"/>
      <c r="G129" s="4694"/>
      <c r="H129" s="4694"/>
      <c r="I129" s="4694"/>
      <c r="J129" s="4694"/>
      <c r="K129" s="4694"/>
      <c r="L129" s="4694"/>
      <c r="M129" s="4694"/>
      <c r="N129" s="4694"/>
      <c r="O129" s="4694"/>
      <c r="P129" s="4694"/>
      <c r="Q129" s="4694">
        <v>6</v>
      </c>
      <c r="R129" s="4694">
        <v>1</v>
      </c>
      <c r="S129" s="4694"/>
      <c r="T129" s="738">
        <v>1</v>
      </c>
      <c r="U129" s="738"/>
      <c r="V129" s="738">
        <v>8</v>
      </c>
      <c r="W129" s="912">
        <f>+(V128+V126)/V129</f>
        <v>0.375</v>
      </c>
      <c r="X129" s="3197"/>
      <c r="Y129" s="73"/>
      <c r="Z129" s="73"/>
      <c r="AA129" s="73"/>
      <c r="AB129" s="73" t="s">
        <v>1289</v>
      </c>
      <c r="AC129" s="3261"/>
      <c r="AD129" s="3261"/>
      <c r="AE129" s="3261"/>
      <c r="AF129" s="3261"/>
      <c r="AG129" s="3261"/>
      <c r="AH129" s="3261"/>
      <c r="AI129" s="3261"/>
      <c r="AJ129" s="3261"/>
      <c r="AK129" s="3261">
        <v>0</v>
      </c>
      <c r="AL129" s="3261">
        <v>1</v>
      </c>
      <c r="AM129" s="3261">
        <v>0</v>
      </c>
      <c r="AN129" s="3261">
        <v>0</v>
      </c>
      <c r="AO129" s="3261">
        <v>0</v>
      </c>
      <c r="AP129" s="3261">
        <v>0</v>
      </c>
      <c r="AQ129" s="3261"/>
      <c r="AR129" s="161"/>
      <c r="AS129" s="161"/>
      <c r="AT129" s="161">
        <v>1</v>
      </c>
      <c r="AU129" s="73"/>
      <c r="AY129" s="73"/>
      <c r="AZ129" s="73" t="s">
        <v>2013</v>
      </c>
      <c r="BA129" s="2607">
        <v>1</v>
      </c>
      <c r="BB129" s="2607">
        <v>0</v>
      </c>
      <c r="BC129" s="2607">
        <v>0</v>
      </c>
      <c r="BD129" s="2607"/>
      <c r="BE129" s="2607"/>
      <c r="BF129" s="2607"/>
      <c r="BG129" s="2607"/>
      <c r="BH129" s="2607">
        <v>0</v>
      </c>
      <c r="BI129" s="2607">
        <v>0</v>
      </c>
      <c r="BJ129" s="2607"/>
      <c r="BK129" s="2607"/>
      <c r="BL129" s="2607">
        <v>0</v>
      </c>
      <c r="BM129" s="2607">
        <v>0</v>
      </c>
      <c r="BN129" s="2607">
        <v>0</v>
      </c>
      <c r="BO129" s="2607">
        <v>0</v>
      </c>
      <c r="BP129" s="73">
        <v>0</v>
      </c>
      <c r="BQ129" s="73">
        <v>0</v>
      </c>
      <c r="BR129" s="73">
        <v>1</v>
      </c>
      <c r="BS129" s="73"/>
      <c r="BU129" s="2207"/>
      <c r="BV129" s="2207"/>
      <c r="BW129" s="2207"/>
      <c r="BX129" s="2208" t="s">
        <v>1293</v>
      </c>
      <c r="BY129" s="2209"/>
      <c r="BZ129" s="2210">
        <v>0</v>
      </c>
      <c r="CA129" s="2209"/>
      <c r="CB129" s="2210">
        <v>0</v>
      </c>
      <c r="CC129" s="2210">
        <v>0</v>
      </c>
      <c r="CD129" s="2209"/>
      <c r="CE129" s="2209"/>
      <c r="CF129" s="2210">
        <v>0</v>
      </c>
      <c r="CG129" s="2210">
        <v>0</v>
      </c>
      <c r="CH129" s="2210">
        <v>1</v>
      </c>
      <c r="CI129" s="2210">
        <v>2</v>
      </c>
      <c r="CJ129" s="2210">
        <v>0</v>
      </c>
      <c r="CK129" s="2210">
        <v>0</v>
      </c>
      <c r="CL129" s="2212">
        <v>0</v>
      </c>
      <c r="CM129" s="2212">
        <v>0</v>
      </c>
      <c r="CN129" s="2212">
        <v>3</v>
      </c>
      <c r="CO129" s="73"/>
      <c r="CQ129" s="955"/>
      <c r="CR129" s="955"/>
      <c r="CS129" s="955"/>
      <c r="CT129" s="956" t="s">
        <v>1288</v>
      </c>
      <c r="CU129" s="957"/>
      <c r="CV129" s="958">
        <v>0</v>
      </c>
      <c r="CW129" s="958">
        <v>0</v>
      </c>
      <c r="CX129" s="958">
        <v>0</v>
      </c>
      <c r="CY129" s="958">
        <v>0</v>
      </c>
      <c r="CZ129" s="958">
        <v>0</v>
      </c>
      <c r="DA129" s="958">
        <v>1</v>
      </c>
      <c r="DB129" s="958">
        <v>2</v>
      </c>
      <c r="DC129" s="958">
        <v>1</v>
      </c>
      <c r="DD129" s="958">
        <v>0</v>
      </c>
      <c r="DE129" s="958">
        <v>0</v>
      </c>
      <c r="DF129" s="958">
        <v>2</v>
      </c>
      <c r="DG129" s="958">
        <v>7</v>
      </c>
      <c r="DH129" s="958">
        <v>25</v>
      </c>
      <c r="DI129" s="958">
        <v>1</v>
      </c>
      <c r="DJ129" s="960">
        <v>0</v>
      </c>
      <c r="DK129" s="960">
        <v>0</v>
      </c>
      <c r="DL129" s="960">
        <v>39</v>
      </c>
      <c r="DM129" s="161"/>
      <c r="DO129" s="788"/>
      <c r="DP129" s="788"/>
      <c r="DQ129" s="788"/>
      <c r="DR129" s="788"/>
      <c r="DS129" s="789" t="s">
        <v>1292</v>
      </c>
      <c r="DT129" s="961"/>
      <c r="DU129" s="962">
        <v>0</v>
      </c>
      <c r="DV129" s="962">
        <v>0</v>
      </c>
      <c r="DW129" s="962">
        <v>0</v>
      </c>
      <c r="DX129" s="962">
        <v>0</v>
      </c>
      <c r="DY129" s="961"/>
      <c r="DZ129" s="962">
        <v>0</v>
      </c>
      <c r="EA129" s="962">
        <v>0</v>
      </c>
      <c r="EB129" s="962">
        <v>0</v>
      </c>
      <c r="EC129" s="962">
        <v>0</v>
      </c>
      <c r="ED129" s="962">
        <v>0</v>
      </c>
      <c r="EE129" s="962">
        <v>0</v>
      </c>
      <c r="EF129" s="962">
        <v>1</v>
      </c>
      <c r="EG129" s="962">
        <v>1</v>
      </c>
      <c r="EH129" s="962">
        <v>43</v>
      </c>
      <c r="EI129" s="964">
        <v>4</v>
      </c>
      <c r="EJ129" s="964">
        <v>12</v>
      </c>
      <c r="EK129" s="964">
        <v>61</v>
      </c>
      <c r="EL129" s="912"/>
      <c r="EM129" s="73"/>
      <c r="EN129" s="73"/>
      <c r="EO129" s="73"/>
      <c r="EP129" s="965"/>
      <c r="EQ129" s="734" t="s">
        <v>1289</v>
      </c>
      <c r="ER129" s="735">
        <v>0</v>
      </c>
      <c r="ES129" s="966"/>
      <c r="ET129" s="735">
        <v>6</v>
      </c>
      <c r="EU129" s="735">
        <v>2</v>
      </c>
      <c r="EV129" s="735">
        <v>2</v>
      </c>
      <c r="EW129" s="735">
        <v>0</v>
      </c>
      <c r="EX129" s="966"/>
      <c r="EY129" s="966"/>
      <c r="EZ129" s="966"/>
      <c r="FA129" s="966"/>
      <c r="FB129" s="735">
        <v>0</v>
      </c>
      <c r="FC129" s="966"/>
      <c r="FD129" s="966"/>
      <c r="FE129" s="735">
        <v>10</v>
      </c>
      <c r="FF129" s="967"/>
      <c r="FG129" s="73"/>
      <c r="FH129" s="73"/>
      <c r="FI129" s="161"/>
      <c r="FJ129" s="161"/>
      <c r="FK129" s="161"/>
      <c r="FL129" s="73" t="s">
        <v>1293</v>
      </c>
      <c r="FM129" s="73">
        <v>0</v>
      </c>
      <c r="FN129" s="73"/>
      <c r="FO129" s="73"/>
      <c r="FP129" s="73"/>
      <c r="FQ129" s="73"/>
      <c r="FR129" s="73"/>
      <c r="FS129" s="73">
        <v>0</v>
      </c>
      <c r="FT129" s="73">
        <v>0</v>
      </c>
      <c r="FU129" s="73">
        <v>2</v>
      </c>
      <c r="FV129" s="73">
        <v>0</v>
      </c>
      <c r="FW129" s="73">
        <v>0</v>
      </c>
      <c r="FX129" s="73">
        <v>0</v>
      </c>
      <c r="FY129" s="73"/>
      <c r="FZ129" s="73"/>
      <c r="GA129" s="73"/>
      <c r="GB129" s="73">
        <v>0</v>
      </c>
      <c r="GC129" s="73">
        <v>2</v>
      </c>
      <c r="GD129" s="73"/>
      <c r="GE129" s="73"/>
      <c r="GF129" s="968"/>
      <c r="GG129" s="968"/>
      <c r="GH129" s="968"/>
      <c r="GI129" s="968" t="s">
        <v>1289</v>
      </c>
      <c r="GJ129" s="968">
        <v>0</v>
      </c>
      <c r="GK129" s="968">
        <v>0</v>
      </c>
      <c r="GL129" s="968">
        <v>0</v>
      </c>
      <c r="GM129" s="968">
        <v>0</v>
      </c>
      <c r="GN129" s="968">
        <v>2</v>
      </c>
      <c r="GO129" s="968">
        <v>0</v>
      </c>
      <c r="GP129" s="968">
        <v>0</v>
      </c>
      <c r="GQ129" s="968">
        <v>0</v>
      </c>
      <c r="GR129" s="968">
        <v>1</v>
      </c>
      <c r="GS129" s="968">
        <v>0</v>
      </c>
      <c r="GT129" s="968">
        <v>0</v>
      </c>
      <c r="GU129" s="968">
        <v>0</v>
      </c>
      <c r="GV129" s="968">
        <v>0</v>
      </c>
      <c r="GW129" s="968">
        <v>0</v>
      </c>
      <c r="GX129" s="968">
        <v>0</v>
      </c>
      <c r="GY129" s="968">
        <v>0</v>
      </c>
      <c r="GZ129" s="968">
        <v>3</v>
      </c>
      <c r="HA129" s="968"/>
      <c r="HB129" s="969"/>
    </row>
    <row r="130" spans="1:210">
      <c r="A130" s="73"/>
      <c r="B130" s="73"/>
      <c r="C130" s="738" t="s">
        <v>573</v>
      </c>
      <c r="D130" s="738" t="s">
        <v>1284</v>
      </c>
      <c r="E130" s="4694"/>
      <c r="F130" s="4694">
        <v>0</v>
      </c>
      <c r="G130" s="4694"/>
      <c r="H130" s="4694">
        <v>1</v>
      </c>
      <c r="I130" s="4694"/>
      <c r="J130" s="4694">
        <v>1</v>
      </c>
      <c r="K130" s="4694">
        <v>0</v>
      </c>
      <c r="L130" s="4694"/>
      <c r="M130" s="4694"/>
      <c r="N130" s="4694">
        <v>1</v>
      </c>
      <c r="O130" s="4694">
        <v>0</v>
      </c>
      <c r="P130" s="4694">
        <v>1</v>
      </c>
      <c r="Q130" s="4694">
        <v>6</v>
      </c>
      <c r="R130" s="4694">
        <v>10</v>
      </c>
      <c r="S130" s="4694">
        <v>0</v>
      </c>
      <c r="T130" s="738">
        <v>1</v>
      </c>
      <c r="U130" s="738"/>
      <c r="V130" s="738">
        <v>21</v>
      </c>
      <c r="W130" s="73"/>
      <c r="Y130" s="73"/>
      <c r="Z130" s="73"/>
      <c r="AA130" s="73"/>
      <c r="AB130" s="73" t="s">
        <v>1293</v>
      </c>
      <c r="AC130" s="3261"/>
      <c r="AD130" s="3261"/>
      <c r="AE130" s="3261"/>
      <c r="AF130" s="3261"/>
      <c r="AG130" s="3261"/>
      <c r="AH130" s="3261"/>
      <c r="AI130" s="3261"/>
      <c r="AJ130" s="3261"/>
      <c r="AK130" s="3261">
        <v>0</v>
      </c>
      <c r="AL130" s="3261">
        <v>1</v>
      </c>
      <c r="AM130" s="3261">
        <v>0</v>
      </c>
      <c r="AN130" s="3261">
        <v>0</v>
      </c>
      <c r="AO130" s="3261">
        <v>1</v>
      </c>
      <c r="AP130" s="3261">
        <v>0</v>
      </c>
      <c r="AQ130" s="3261"/>
      <c r="AR130" s="161"/>
      <c r="AS130" s="161"/>
      <c r="AT130" s="161">
        <v>2</v>
      </c>
      <c r="AU130" s="73"/>
      <c r="AY130" s="73"/>
      <c r="AZ130" s="738" t="s">
        <v>15</v>
      </c>
      <c r="BA130" s="2608">
        <v>1</v>
      </c>
      <c r="BB130" s="2608">
        <v>1</v>
      </c>
      <c r="BC130" s="2608">
        <v>1</v>
      </c>
      <c r="BD130" s="2608"/>
      <c r="BE130" s="2608"/>
      <c r="BF130" s="2608"/>
      <c r="BG130" s="2608"/>
      <c r="BH130" s="2608">
        <v>1</v>
      </c>
      <c r="BI130" s="2608">
        <v>1</v>
      </c>
      <c r="BJ130" s="2608"/>
      <c r="BK130" s="2608"/>
      <c r="BL130" s="2608">
        <v>2</v>
      </c>
      <c r="BM130" s="2608">
        <v>6</v>
      </c>
      <c r="BN130" s="2608">
        <v>11</v>
      </c>
      <c r="BO130" s="2608">
        <v>19</v>
      </c>
      <c r="BP130" s="738">
        <v>5</v>
      </c>
      <c r="BQ130" s="738">
        <v>10</v>
      </c>
      <c r="BR130" s="738">
        <v>58</v>
      </c>
      <c r="BS130" s="912">
        <f>+(BR126+BR128-BP126)/(BR130-BR129)</f>
        <v>0.22807017543859648</v>
      </c>
      <c r="BU130" s="2207"/>
      <c r="BV130" s="2207"/>
      <c r="BW130" s="2207"/>
      <c r="BX130" s="2208" t="s">
        <v>1398</v>
      </c>
      <c r="BY130" s="2209"/>
      <c r="BZ130" s="2210">
        <v>0</v>
      </c>
      <c r="CA130" s="2209"/>
      <c r="CB130" s="2210">
        <v>0</v>
      </c>
      <c r="CC130" s="2210">
        <v>0</v>
      </c>
      <c r="CD130" s="2209"/>
      <c r="CE130" s="2209"/>
      <c r="CF130" s="2210">
        <v>2</v>
      </c>
      <c r="CG130" s="2210">
        <v>0</v>
      </c>
      <c r="CH130" s="2210">
        <v>0</v>
      </c>
      <c r="CI130" s="2210">
        <v>5</v>
      </c>
      <c r="CJ130" s="2210">
        <v>2</v>
      </c>
      <c r="CK130" s="2210">
        <v>0</v>
      </c>
      <c r="CL130" s="2212">
        <v>0</v>
      </c>
      <c r="CM130" s="2212">
        <v>0</v>
      </c>
      <c r="CN130" s="2212">
        <v>9</v>
      </c>
      <c r="CO130" s="73"/>
      <c r="CQ130" s="955"/>
      <c r="CR130" s="955"/>
      <c r="CS130" s="955"/>
      <c r="CT130" s="956" t="s">
        <v>1289</v>
      </c>
      <c r="CU130" s="957"/>
      <c r="CV130" s="958">
        <v>0</v>
      </c>
      <c r="CW130" s="958">
        <v>1</v>
      </c>
      <c r="CX130" s="958">
        <v>1</v>
      </c>
      <c r="CY130" s="958">
        <v>1</v>
      </c>
      <c r="CZ130" s="958">
        <v>0</v>
      </c>
      <c r="DA130" s="958">
        <v>0</v>
      </c>
      <c r="DB130" s="958">
        <v>0</v>
      </c>
      <c r="DC130" s="958">
        <v>0</v>
      </c>
      <c r="DD130" s="958">
        <v>0</v>
      </c>
      <c r="DE130" s="958">
        <v>0</v>
      </c>
      <c r="DF130" s="958">
        <v>0</v>
      </c>
      <c r="DG130" s="958">
        <v>0</v>
      </c>
      <c r="DH130" s="958">
        <v>0</v>
      </c>
      <c r="DI130" s="958">
        <v>0</v>
      </c>
      <c r="DJ130" s="960">
        <v>0</v>
      </c>
      <c r="DK130" s="960">
        <v>0</v>
      </c>
      <c r="DL130" s="960">
        <v>3</v>
      </c>
      <c r="DM130" s="161"/>
      <c r="DO130" s="788"/>
      <c r="DP130" s="788"/>
      <c r="DQ130" s="788"/>
      <c r="DR130" s="788"/>
      <c r="DS130" s="789" t="s">
        <v>1398</v>
      </c>
      <c r="DT130" s="961"/>
      <c r="DU130" s="962">
        <v>0</v>
      </c>
      <c r="DV130" s="962">
        <v>0</v>
      </c>
      <c r="DW130" s="962">
        <v>0</v>
      </c>
      <c r="DX130" s="962">
        <v>0</v>
      </c>
      <c r="DY130" s="961"/>
      <c r="DZ130" s="962">
        <v>0</v>
      </c>
      <c r="EA130" s="962">
        <v>0</v>
      </c>
      <c r="EB130" s="962">
        <v>1</v>
      </c>
      <c r="EC130" s="962">
        <v>1</v>
      </c>
      <c r="ED130" s="962">
        <v>2</v>
      </c>
      <c r="EE130" s="962">
        <v>3</v>
      </c>
      <c r="EF130" s="962">
        <v>12</v>
      </c>
      <c r="EG130" s="962">
        <v>2</v>
      </c>
      <c r="EH130" s="962">
        <v>3</v>
      </c>
      <c r="EI130" s="964">
        <v>0</v>
      </c>
      <c r="EJ130" s="964">
        <v>0</v>
      </c>
      <c r="EK130" s="964">
        <v>24</v>
      </c>
      <c r="EL130" s="912"/>
      <c r="EM130" s="73"/>
      <c r="EN130" s="73"/>
      <c r="EO130" s="73"/>
      <c r="EP130" s="965"/>
      <c r="EQ130" s="734" t="s">
        <v>1292</v>
      </c>
      <c r="ER130" s="735">
        <v>0</v>
      </c>
      <c r="ES130" s="966"/>
      <c r="ET130" s="735">
        <v>0</v>
      </c>
      <c r="EU130" s="735">
        <v>0</v>
      </c>
      <c r="EV130" s="735">
        <v>1</v>
      </c>
      <c r="EW130" s="735">
        <v>1</v>
      </c>
      <c r="EX130" s="966"/>
      <c r="EY130" s="966"/>
      <c r="EZ130" s="966"/>
      <c r="FA130" s="966"/>
      <c r="FB130" s="735">
        <v>1</v>
      </c>
      <c r="FC130" s="966"/>
      <c r="FD130" s="966"/>
      <c r="FE130" s="735">
        <v>3</v>
      </c>
      <c r="FF130" s="967"/>
      <c r="FG130" s="73"/>
      <c r="FH130" s="73"/>
      <c r="FI130" s="161"/>
      <c r="FJ130" s="161"/>
      <c r="FK130" s="161"/>
      <c r="FL130" s="73" t="s">
        <v>1398</v>
      </c>
      <c r="FM130" s="73">
        <v>0</v>
      </c>
      <c r="FN130" s="73"/>
      <c r="FO130" s="73"/>
      <c r="FP130" s="73"/>
      <c r="FQ130" s="73"/>
      <c r="FR130" s="73"/>
      <c r="FS130" s="73">
        <v>1</v>
      </c>
      <c r="FT130" s="73">
        <v>0</v>
      </c>
      <c r="FU130" s="73">
        <v>2</v>
      </c>
      <c r="FV130" s="73">
        <v>0</v>
      </c>
      <c r="FW130" s="73">
        <v>0</v>
      </c>
      <c r="FX130" s="73">
        <v>0</v>
      </c>
      <c r="FY130" s="73"/>
      <c r="FZ130" s="73"/>
      <c r="GA130" s="73"/>
      <c r="GB130" s="73">
        <v>0</v>
      </c>
      <c r="GC130" s="73">
        <v>3</v>
      </c>
      <c r="GD130" s="73"/>
      <c r="GE130" s="73"/>
      <c r="GF130" s="968"/>
      <c r="GG130" s="968"/>
      <c r="GH130" s="968"/>
      <c r="GI130" s="979" t="s">
        <v>15</v>
      </c>
      <c r="GJ130" s="979">
        <v>0</v>
      </c>
      <c r="GK130" s="979">
        <v>0</v>
      </c>
      <c r="GL130" s="979">
        <v>0</v>
      </c>
      <c r="GM130" s="979">
        <v>0</v>
      </c>
      <c r="GN130" s="979">
        <v>2</v>
      </c>
      <c r="GO130" s="979">
        <v>2</v>
      </c>
      <c r="GP130" s="979">
        <v>0</v>
      </c>
      <c r="GQ130" s="979">
        <v>0</v>
      </c>
      <c r="GR130" s="979">
        <v>1</v>
      </c>
      <c r="GS130" s="979">
        <v>0</v>
      </c>
      <c r="GT130" s="979">
        <v>0</v>
      </c>
      <c r="GU130" s="979">
        <v>0</v>
      </c>
      <c r="GV130" s="979">
        <v>0</v>
      </c>
      <c r="GW130" s="979">
        <v>0</v>
      </c>
      <c r="GX130" s="979">
        <v>0</v>
      </c>
      <c r="GY130" s="979">
        <v>0</v>
      </c>
      <c r="GZ130" s="979">
        <v>5</v>
      </c>
      <c r="HA130" s="980">
        <f>+GZ128/GZ130</f>
        <v>0.2</v>
      </c>
      <c r="HB130" s="969">
        <f>+GZ128</f>
        <v>1</v>
      </c>
    </row>
    <row r="131" spans="1:210">
      <c r="A131" s="73"/>
      <c r="B131" s="73"/>
      <c r="C131" s="738"/>
      <c r="D131" s="738" t="s">
        <v>1286</v>
      </c>
      <c r="E131" s="4694"/>
      <c r="F131" s="4694">
        <v>1</v>
      </c>
      <c r="G131" s="4694"/>
      <c r="H131" s="4694">
        <v>1</v>
      </c>
      <c r="I131" s="4694"/>
      <c r="J131" s="4694">
        <v>0</v>
      </c>
      <c r="K131" s="4694">
        <v>1</v>
      </c>
      <c r="L131" s="4694"/>
      <c r="M131" s="4694"/>
      <c r="N131" s="4694">
        <v>0</v>
      </c>
      <c r="O131" s="4694">
        <v>0</v>
      </c>
      <c r="P131" s="4694">
        <v>0</v>
      </c>
      <c r="Q131" s="4694">
        <v>0</v>
      </c>
      <c r="R131" s="4694">
        <v>0</v>
      </c>
      <c r="S131" s="4694">
        <v>0</v>
      </c>
      <c r="T131" s="738">
        <v>0</v>
      </c>
      <c r="U131" s="738"/>
      <c r="V131" s="738">
        <v>3</v>
      </c>
      <c r="W131" s="73"/>
      <c r="Y131" s="73"/>
      <c r="Z131" s="73"/>
      <c r="AA131" s="73"/>
      <c r="AB131" s="73" t="s">
        <v>1398</v>
      </c>
      <c r="AC131" s="3261"/>
      <c r="AD131" s="3261"/>
      <c r="AE131" s="3261"/>
      <c r="AF131" s="3261"/>
      <c r="AG131" s="3261"/>
      <c r="AH131" s="3261"/>
      <c r="AI131" s="3261"/>
      <c r="AJ131" s="3261"/>
      <c r="AK131" s="3261">
        <v>1</v>
      </c>
      <c r="AL131" s="3261">
        <v>0</v>
      </c>
      <c r="AM131" s="3261">
        <v>0</v>
      </c>
      <c r="AN131" s="3261">
        <v>0</v>
      </c>
      <c r="AO131" s="3261">
        <v>0</v>
      </c>
      <c r="AP131" s="3261">
        <v>0</v>
      </c>
      <c r="AQ131" s="3261"/>
      <c r="AR131" s="161"/>
      <c r="AS131" s="161"/>
      <c r="AT131" s="161">
        <v>1</v>
      </c>
      <c r="AU131" s="73"/>
      <c r="AY131" s="73" t="s">
        <v>111</v>
      </c>
      <c r="AZ131" s="73" t="s">
        <v>1283</v>
      </c>
      <c r="BA131" s="2607">
        <v>0</v>
      </c>
      <c r="BB131" s="2607">
        <v>0</v>
      </c>
      <c r="BC131" s="2607">
        <v>0</v>
      </c>
      <c r="BD131" s="2607">
        <v>0</v>
      </c>
      <c r="BE131" s="2607"/>
      <c r="BF131" s="2607">
        <v>0</v>
      </c>
      <c r="BG131" s="2607"/>
      <c r="BH131" s="2607">
        <v>0</v>
      </c>
      <c r="BI131" s="2607">
        <v>0</v>
      </c>
      <c r="BJ131" s="2607">
        <v>0</v>
      </c>
      <c r="BK131" s="2607">
        <v>0</v>
      </c>
      <c r="BL131" s="2607">
        <v>0</v>
      </c>
      <c r="BM131" s="2607">
        <v>0</v>
      </c>
      <c r="BN131" s="2607">
        <v>0</v>
      </c>
      <c r="BO131" s="2607">
        <v>3</v>
      </c>
      <c r="BP131" s="73">
        <v>0</v>
      </c>
      <c r="BQ131" s="73">
        <v>2</v>
      </c>
      <c r="BR131" s="73">
        <v>5</v>
      </c>
      <c r="BS131" s="73"/>
      <c r="BU131" s="2207"/>
      <c r="BV131" s="2207"/>
      <c r="BW131" s="2207"/>
      <c r="BX131" s="2204" t="s">
        <v>15</v>
      </c>
      <c r="BY131" s="2213"/>
      <c r="BZ131" s="2214">
        <v>3</v>
      </c>
      <c r="CA131" s="2213"/>
      <c r="CB131" s="2214">
        <v>1</v>
      </c>
      <c r="CC131" s="2214">
        <v>1</v>
      </c>
      <c r="CD131" s="2213"/>
      <c r="CE131" s="2213"/>
      <c r="CF131" s="2214">
        <v>3</v>
      </c>
      <c r="CG131" s="2214">
        <v>2</v>
      </c>
      <c r="CH131" s="2214">
        <v>3</v>
      </c>
      <c r="CI131" s="2214">
        <v>23</v>
      </c>
      <c r="CJ131" s="2214">
        <v>10</v>
      </c>
      <c r="CK131" s="2214">
        <v>1</v>
      </c>
      <c r="CL131" s="2216">
        <v>1</v>
      </c>
      <c r="CM131" s="2216">
        <v>1</v>
      </c>
      <c r="CN131" s="2216">
        <v>49</v>
      </c>
      <c r="CO131" s="2154">
        <f>+(CN127+CN129+CN130)/CN131</f>
        <v>0.34693877551020408</v>
      </c>
      <c r="CQ131" s="955"/>
      <c r="CR131" s="955"/>
      <c r="CS131" s="955"/>
      <c r="CT131" s="956" t="s">
        <v>1292</v>
      </c>
      <c r="CU131" s="957"/>
      <c r="CV131" s="958">
        <v>0</v>
      </c>
      <c r="CW131" s="958">
        <v>0</v>
      </c>
      <c r="CX131" s="958">
        <v>0</v>
      </c>
      <c r="CY131" s="958">
        <v>0</v>
      </c>
      <c r="CZ131" s="958">
        <v>0</v>
      </c>
      <c r="DA131" s="958">
        <v>0</v>
      </c>
      <c r="DB131" s="958">
        <v>0</v>
      </c>
      <c r="DC131" s="958">
        <v>0</v>
      </c>
      <c r="DD131" s="958">
        <v>0</v>
      </c>
      <c r="DE131" s="958">
        <v>0</v>
      </c>
      <c r="DF131" s="958">
        <v>0</v>
      </c>
      <c r="DG131" s="958">
        <v>0</v>
      </c>
      <c r="DH131" s="958">
        <v>3</v>
      </c>
      <c r="DI131" s="958">
        <v>45</v>
      </c>
      <c r="DJ131" s="960">
        <v>7</v>
      </c>
      <c r="DK131" s="960">
        <v>27</v>
      </c>
      <c r="DL131" s="960">
        <v>82</v>
      </c>
      <c r="DM131" s="161"/>
      <c r="DO131" s="788"/>
      <c r="DP131" s="788"/>
      <c r="DQ131" s="788"/>
      <c r="DR131" s="73"/>
      <c r="DS131" s="809" t="s">
        <v>111</v>
      </c>
      <c r="DT131" s="970"/>
      <c r="DU131" s="971">
        <v>1</v>
      </c>
      <c r="DV131" s="971">
        <v>3</v>
      </c>
      <c r="DW131" s="971">
        <v>1</v>
      </c>
      <c r="DX131" s="971">
        <v>1</v>
      </c>
      <c r="DY131" s="970"/>
      <c r="DZ131" s="971">
        <v>2</v>
      </c>
      <c r="EA131" s="971">
        <v>1</v>
      </c>
      <c r="EB131" s="971">
        <v>3</v>
      </c>
      <c r="EC131" s="971">
        <v>6</v>
      </c>
      <c r="ED131" s="971">
        <v>8</v>
      </c>
      <c r="EE131" s="971">
        <v>9</v>
      </c>
      <c r="EF131" s="971">
        <v>31</v>
      </c>
      <c r="EG131" s="971">
        <v>21</v>
      </c>
      <c r="EH131" s="971">
        <v>56</v>
      </c>
      <c r="EI131" s="973">
        <v>8</v>
      </c>
      <c r="EJ131" s="973">
        <v>12</v>
      </c>
      <c r="EK131" s="973">
        <v>163</v>
      </c>
      <c r="EL131" s="912">
        <f>+(EK130+EK127-EI127)/EK131</f>
        <v>0.36809815950920244</v>
      </c>
      <c r="EM131" s="73"/>
      <c r="EN131" s="73"/>
      <c r="EO131" s="73"/>
      <c r="EP131" s="965"/>
      <c r="EQ131" s="981" t="s">
        <v>888</v>
      </c>
      <c r="ER131" s="740">
        <v>1</v>
      </c>
      <c r="ES131" s="982"/>
      <c r="ET131" s="740">
        <v>6</v>
      </c>
      <c r="EU131" s="740">
        <v>2</v>
      </c>
      <c r="EV131" s="740">
        <v>3</v>
      </c>
      <c r="EW131" s="740">
        <v>1</v>
      </c>
      <c r="EX131" s="982"/>
      <c r="EY131" s="982"/>
      <c r="EZ131" s="982"/>
      <c r="FA131" s="982"/>
      <c r="FB131" s="740">
        <v>1</v>
      </c>
      <c r="FC131" s="982"/>
      <c r="FD131" s="982"/>
      <c r="FE131" s="740">
        <v>14</v>
      </c>
      <c r="FF131" s="905">
        <v>0</v>
      </c>
      <c r="FG131" s="73"/>
      <c r="FH131" s="73"/>
      <c r="FI131" s="161"/>
      <c r="FJ131" s="161"/>
      <c r="FK131" s="161"/>
      <c r="FL131" s="738" t="s">
        <v>15</v>
      </c>
      <c r="FM131" s="738">
        <v>2</v>
      </c>
      <c r="FN131" s="738"/>
      <c r="FO131" s="738"/>
      <c r="FP131" s="738"/>
      <c r="FQ131" s="738"/>
      <c r="FR131" s="738"/>
      <c r="FS131" s="738">
        <v>1</v>
      </c>
      <c r="FT131" s="738">
        <v>1</v>
      </c>
      <c r="FU131" s="738">
        <v>18</v>
      </c>
      <c r="FV131" s="738">
        <v>6</v>
      </c>
      <c r="FW131" s="738">
        <v>1</v>
      </c>
      <c r="FX131" s="738">
        <v>1</v>
      </c>
      <c r="FY131" s="738"/>
      <c r="FZ131" s="738"/>
      <c r="GA131" s="738"/>
      <c r="GB131" s="738">
        <v>2</v>
      </c>
      <c r="GC131" s="738">
        <v>32</v>
      </c>
      <c r="GD131" s="983">
        <f>+(GC127+GC129+GC130)/GC131</f>
        <v>0.25</v>
      </c>
      <c r="GE131" s="73"/>
      <c r="GF131" s="968"/>
      <c r="GG131" s="968" t="s">
        <v>1380</v>
      </c>
      <c r="GH131" s="968" t="s">
        <v>4</v>
      </c>
      <c r="GI131" s="968" t="s">
        <v>1283</v>
      </c>
      <c r="GJ131" s="968">
        <v>0</v>
      </c>
      <c r="GK131" s="968">
        <v>0</v>
      </c>
      <c r="GL131" s="968">
        <v>0</v>
      </c>
      <c r="GM131" s="968">
        <v>0</v>
      </c>
      <c r="GN131" s="968">
        <v>0</v>
      </c>
      <c r="GO131" s="968">
        <v>0</v>
      </c>
      <c r="GP131" s="968">
        <v>0</v>
      </c>
      <c r="GQ131" s="968">
        <v>0</v>
      </c>
      <c r="GR131" s="968">
        <v>0</v>
      </c>
      <c r="GS131" s="968">
        <v>0</v>
      </c>
      <c r="GT131" s="968">
        <v>0</v>
      </c>
      <c r="GU131" s="968">
        <v>0</v>
      </c>
      <c r="GV131" s="968">
        <v>0</v>
      </c>
      <c r="GW131" s="968">
        <v>1</v>
      </c>
      <c r="GX131" s="968">
        <v>0</v>
      </c>
      <c r="GY131" s="968">
        <v>0</v>
      </c>
      <c r="GZ131" s="968">
        <v>1</v>
      </c>
      <c r="HA131" s="968"/>
      <c r="HB131" s="969"/>
    </row>
    <row r="132" spans="1:210">
      <c r="A132" s="73"/>
      <c r="B132" s="73"/>
      <c r="C132" s="738"/>
      <c r="D132" s="738" t="s">
        <v>1288</v>
      </c>
      <c r="E132" s="4694"/>
      <c r="F132" s="4694">
        <v>0</v>
      </c>
      <c r="G132" s="4694"/>
      <c r="H132" s="4694">
        <v>0</v>
      </c>
      <c r="I132" s="4694"/>
      <c r="J132" s="4694">
        <v>0</v>
      </c>
      <c r="K132" s="4694">
        <v>0</v>
      </c>
      <c r="L132" s="4694"/>
      <c r="M132" s="4694"/>
      <c r="N132" s="4694">
        <v>0</v>
      </c>
      <c r="O132" s="4694">
        <v>0</v>
      </c>
      <c r="P132" s="4694">
        <v>0</v>
      </c>
      <c r="Q132" s="4694">
        <v>8</v>
      </c>
      <c r="R132" s="4694">
        <v>19</v>
      </c>
      <c r="S132" s="4694">
        <v>0</v>
      </c>
      <c r="T132" s="738">
        <v>0</v>
      </c>
      <c r="U132" s="738"/>
      <c r="V132" s="738">
        <v>27</v>
      </c>
      <c r="W132" s="73"/>
      <c r="Y132" s="73"/>
      <c r="Z132" s="73"/>
      <c r="AA132" s="73"/>
      <c r="AB132" s="738" t="s">
        <v>15</v>
      </c>
      <c r="AC132" s="3262"/>
      <c r="AD132" s="3262"/>
      <c r="AE132" s="3262"/>
      <c r="AF132" s="3262"/>
      <c r="AG132" s="3262"/>
      <c r="AH132" s="3262"/>
      <c r="AI132" s="3262"/>
      <c r="AJ132" s="3262"/>
      <c r="AK132" s="3262">
        <v>1</v>
      </c>
      <c r="AL132" s="3262">
        <v>5</v>
      </c>
      <c r="AM132" s="3262">
        <v>3</v>
      </c>
      <c r="AN132" s="3262">
        <v>4</v>
      </c>
      <c r="AO132" s="3262">
        <v>3</v>
      </c>
      <c r="AP132" s="3262">
        <v>1</v>
      </c>
      <c r="AQ132" s="3262"/>
      <c r="AR132" s="151"/>
      <c r="AS132" s="151"/>
      <c r="AT132" s="151">
        <v>17</v>
      </c>
      <c r="AU132" s="912">
        <f>+(AT128+AT130+AT131)/AT132</f>
        <v>0.29411764705882354</v>
      </c>
      <c r="AY132" s="73"/>
      <c r="AZ132" s="73" t="s">
        <v>1284</v>
      </c>
      <c r="BA132" s="2607">
        <v>1</v>
      </c>
      <c r="BB132" s="2607">
        <v>3</v>
      </c>
      <c r="BC132" s="2607">
        <v>1</v>
      </c>
      <c r="BD132" s="2607">
        <v>1</v>
      </c>
      <c r="BE132" s="2607"/>
      <c r="BF132" s="2607">
        <v>2</v>
      </c>
      <c r="BG132" s="2607"/>
      <c r="BH132" s="2607">
        <v>2</v>
      </c>
      <c r="BI132" s="2607">
        <v>2</v>
      </c>
      <c r="BJ132" s="2607">
        <v>0</v>
      </c>
      <c r="BK132" s="2607">
        <v>1</v>
      </c>
      <c r="BL132" s="2607">
        <v>2</v>
      </c>
      <c r="BM132" s="2607">
        <v>18</v>
      </c>
      <c r="BN132" s="2607">
        <v>14</v>
      </c>
      <c r="BO132" s="2607">
        <v>0</v>
      </c>
      <c r="BP132" s="73">
        <v>2</v>
      </c>
      <c r="BQ132" s="73">
        <v>0</v>
      </c>
      <c r="BR132" s="73">
        <v>49</v>
      </c>
      <c r="BS132" s="73"/>
      <c r="BU132" s="2207"/>
      <c r="BV132" s="2207"/>
      <c r="BW132" s="2207" t="s">
        <v>112</v>
      </c>
      <c r="BX132" s="2208" t="s">
        <v>1284</v>
      </c>
      <c r="BY132" s="2210">
        <v>1</v>
      </c>
      <c r="BZ132" s="2209"/>
      <c r="CA132" s="2209"/>
      <c r="CB132" s="2209"/>
      <c r="CC132" s="2210">
        <v>1</v>
      </c>
      <c r="CD132" s="2209"/>
      <c r="CE132" s="2210">
        <v>2</v>
      </c>
      <c r="CF132" s="2209"/>
      <c r="CG132" s="2210">
        <v>1</v>
      </c>
      <c r="CH132" s="2210">
        <v>5</v>
      </c>
      <c r="CI132" s="2210">
        <v>9</v>
      </c>
      <c r="CJ132" s="2209"/>
      <c r="CK132" s="2209"/>
      <c r="CL132" s="2211"/>
      <c r="CM132" s="2211"/>
      <c r="CN132" s="2212">
        <v>19</v>
      </c>
      <c r="CO132" s="73"/>
      <c r="CQ132" s="955"/>
      <c r="CR132" s="955"/>
      <c r="CS132" s="955"/>
      <c r="CT132" s="956" t="s">
        <v>1398</v>
      </c>
      <c r="CU132" s="957"/>
      <c r="CV132" s="958">
        <v>0</v>
      </c>
      <c r="CW132" s="958">
        <v>0</v>
      </c>
      <c r="CX132" s="958">
        <v>0</v>
      </c>
      <c r="CY132" s="958">
        <v>0</v>
      </c>
      <c r="CZ132" s="958">
        <v>0</v>
      </c>
      <c r="DA132" s="958">
        <v>2</v>
      </c>
      <c r="DB132" s="958">
        <v>1</v>
      </c>
      <c r="DC132" s="958">
        <v>2</v>
      </c>
      <c r="DD132" s="958">
        <v>2</v>
      </c>
      <c r="DE132" s="958">
        <v>6</v>
      </c>
      <c r="DF132" s="958">
        <v>4</v>
      </c>
      <c r="DG132" s="958">
        <v>10</v>
      </c>
      <c r="DH132" s="958">
        <v>8</v>
      </c>
      <c r="DI132" s="958">
        <v>9</v>
      </c>
      <c r="DJ132" s="960">
        <v>0</v>
      </c>
      <c r="DK132" s="960">
        <v>0</v>
      </c>
      <c r="DL132" s="960">
        <v>44</v>
      </c>
      <c r="DM132" s="161"/>
      <c r="DO132" s="788" t="s">
        <v>48</v>
      </c>
      <c r="DP132" s="788" t="s">
        <v>16</v>
      </c>
      <c r="DQ132" s="788" t="s">
        <v>145</v>
      </c>
      <c r="DR132" s="788" t="s">
        <v>1282</v>
      </c>
      <c r="DS132" s="789" t="s">
        <v>1284</v>
      </c>
      <c r="DT132" s="961"/>
      <c r="DU132" s="962">
        <v>1</v>
      </c>
      <c r="DV132" s="961"/>
      <c r="DW132" s="962">
        <v>1</v>
      </c>
      <c r="DX132" s="961"/>
      <c r="DY132" s="962">
        <v>1</v>
      </c>
      <c r="DZ132" s="961"/>
      <c r="EA132" s="961"/>
      <c r="EB132" s="961"/>
      <c r="EC132" s="962">
        <v>1</v>
      </c>
      <c r="ED132" s="961"/>
      <c r="EE132" s="962">
        <v>3</v>
      </c>
      <c r="EF132" s="962">
        <v>12</v>
      </c>
      <c r="EG132" s="962">
        <v>4</v>
      </c>
      <c r="EH132" s="962">
        <v>3</v>
      </c>
      <c r="EI132" s="964">
        <v>5</v>
      </c>
      <c r="EJ132" s="964">
        <v>0</v>
      </c>
      <c r="EK132" s="964">
        <v>31</v>
      </c>
      <c r="EL132" s="912"/>
      <c r="EM132" s="73"/>
      <c r="EN132" s="965" t="s">
        <v>25</v>
      </c>
      <c r="EO132" s="73"/>
      <c r="EP132" s="965" t="s">
        <v>572</v>
      </c>
      <c r="EQ132" s="734" t="s">
        <v>1283</v>
      </c>
      <c r="ER132" s="966"/>
      <c r="ES132" s="966"/>
      <c r="ET132" s="966"/>
      <c r="EU132" s="966"/>
      <c r="EV132" s="966"/>
      <c r="EW132" s="735">
        <v>0</v>
      </c>
      <c r="EX132" s="735">
        <v>0</v>
      </c>
      <c r="EY132" s="735">
        <v>1</v>
      </c>
      <c r="EZ132" s="966"/>
      <c r="FA132" s="735">
        <v>0</v>
      </c>
      <c r="FB132" s="735">
        <v>0</v>
      </c>
      <c r="FC132" s="735">
        <v>0</v>
      </c>
      <c r="FD132" s="735">
        <v>0</v>
      </c>
      <c r="FE132" s="735">
        <v>1</v>
      </c>
      <c r="FF132" s="967"/>
      <c r="FG132" s="73"/>
      <c r="FH132" s="73"/>
      <c r="FI132" s="161"/>
      <c r="FJ132" s="161"/>
      <c r="FK132" s="161" t="s">
        <v>105</v>
      </c>
      <c r="FL132" s="73" t="s">
        <v>1284</v>
      </c>
      <c r="FM132" s="73"/>
      <c r="FN132" s="73">
        <v>0</v>
      </c>
      <c r="FO132" s="73">
        <v>0</v>
      </c>
      <c r="FP132" s="73"/>
      <c r="FQ132" s="73"/>
      <c r="FR132" s="73">
        <v>1</v>
      </c>
      <c r="FS132" s="73">
        <v>2</v>
      </c>
      <c r="FT132" s="73">
        <v>0</v>
      </c>
      <c r="FU132" s="73"/>
      <c r="FV132" s="73"/>
      <c r="FW132" s="73"/>
      <c r="FX132" s="73"/>
      <c r="FY132" s="73"/>
      <c r="FZ132" s="73"/>
      <c r="GA132" s="73"/>
      <c r="GB132" s="73"/>
      <c r="GC132" s="73">
        <v>3</v>
      </c>
      <c r="GD132" s="73"/>
      <c r="GE132" s="73"/>
      <c r="GF132" s="968"/>
      <c r="GG132" s="968"/>
      <c r="GH132" s="968"/>
      <c r="GI132" s="968" t="s">
        <v>1284</v>
      </c>
      <c r="GJ132" s="968">
        <v>0</v>
      </c>
      <c r="GK132" s="968">
        <v>0</v>
      </c>
      <c r="GL132" s="968">
        <v>0</v>
      </c>
      <c r="GM132" s="968">
        <v>1</v>
      </c>
      <c r="GN132" s="968">
        <v>0</v>
      </c>
      <c r="GO132" s="968">
        <v>0</v>
      </c>
      <c r="GP132" s="968">
        <v>0</v>
      </c>
      <c r="GQ132" s="968">
        <v>1</v>
      </c>
      <c r="GR132" s="968">
        <v>0</v>
      </c>
      <c r="GS132" s="968">
        <v>0</v>
      </c>
      <c r="GT132" s="968">
        <v>2</v>
      </c>
      <c r="GU132" s="968">
        <v>1</v>
      </c>
      <c r="GV132" s="968">
        <v>0</v>
      </c>
      <c r="GW132" s="968">
        <v>1</v>
      </c>
      <c r="GX132" s="968">
        <v>0</v>
      </c>
      <c r="GY132" s="968">
        <v>0</v>
      </c>
      <c r="GZ132" s="968">
        <v>6</v>
      </c>
      <c r="HA132" s="968"/>
      <c r="HB132" s="969"/>
    </row>
    <row r="133" spans="1:210">
      <c r="A133" s="73"/>
      <c r="B133" s="73"/>
      <c r="C133" s="738"/>
      <c r="D133" s="738" t="s">
        <v>1289</v>
      </c>
      <c r="E133" s="4694"/>
      <c r="F133" s="4694">
        <v>1</v>
      </c>
      <c r="G133" s="4694"/>
      <c r="H133" s="4694">
        <v>1</v>
      </c>
      <c r="I133" s="4694"/>
      <c r="J133" s="4694">
        <v>0</v>
      </c>
      <c r="K133" s="4694">
        <v>0</v>
      </c>
      <c r="L133" s="4694"/>
      <c r="M133" s="4694"/>
      <c r="N133" s="4694">
        <v>0</v>
      </c>
      <c r="O133" s="4694">
        <v>1</v>
      </c>
      <c r="P133" s="4694">
        <v>0</v>
      </c>
      <c r="Q133" s="4694">
        <v>0</v>
      </c>
      <c r="R133" s="4694">
        <v>0</v>
      </c>
      <c r="S133" s="4694">
        <v>0</v>
      </c>
      <c r="T133" s="738">
        <v>0</v>
      </c>
      <c r="U133" s="738"/>
      <c r="V133" s="738">
        <v>3</v>
      </c>
      <c r="W133" s="73"/>
      <c r="Y133" s="73"/>
      <c r="Z133" s="73"/>
      <c r="AA133" s="73" t="s">
        <v>573</v>
      </c>
      <c r="AB133" s="73" t="s">
        <v>1284</v>
      </c>
      <c r="AC133" s="3261"/>
      <c r="AD133" s="3261">
        <v>1</v>
      </c>
      <c r="AE133" s="3261">
        <v>2</v>
      </c>
      <c r="AF133" s="3261"/>
      <c r="AG133" s="3261"/>
      <c r="AH133" s="3261"/>
      <c r="AI133" s="3261"/>
      <c r="AJ133" s="3261"/>
      <c r="AK133" s="3261">
        <v>1</v>
      </c>
      <c r="AL133" s="3261">
        <v>4</v>
      </c>
      <c r="AM133" s="3261">
        <v>3</v>
      </c>
      <c r="AN133" s="3261">
        <v>4</v>
      </c>
      <c r="AO133" s="3261">
        <v>22</v>
      </c>
      <c r="AP133" s="3261">
        <v>7</v>
      </c>
      <c r="AQ133" s="3261">
        <v>1</v>
      </c>
      <c r="AR133" s="161">
        <v>1</v>
      </c>
      <c r="AS133" s="161">
        <v>0</v>
      </c>
      <c r="AT133" s="161">
        <v>46</v>
      </c>
      <c r="AU133" s="73"/>
      <c r="AY133" s="73"/>
      <c r="AZ133" s="73" t="s">
        <v>1286</v>
      </c>
      <c r="BA133" s="2607">
        <v>0</v>
      </c>
      <c r="BB133" s="2607">
        <v>1</v>
      </c>
      <c r="BC133" s="2607">
        <v>0</v>
      </c>
      <c r="BD133" s="2607">
        <v>0</v>
      </c>
      <c r="BE133" s="2607"/>
      <c r="BF133" s="2607">
        <v>0</v>
      </c>
      <c r="BG133" s="2607"/>
      <c r="BH133" s="2607">
        <v>0</v>
      </c>
      <c r="BI133" s="2607">
        <v>0</v>
      </c>
      <c r="BJ133" s="2607">
        <v>0</v>
      </c>
      <c r="BK133" s="2607">
        <v>0</v>
      </c>
      <c r="BL133" s="2607">
        <v>0</v>
      </c>
      <c r="BM133" s="2607">
        <v>0</v>
      </c>
      <c r="BN133" s="2607">
        <v>0</v>
      </c>
      <c r="BO133" s="2607">
        <v>0</v>
      </c>
      <c r="BP133" s="73">
        <v>0</v>
      </c>
      <c r="BQ133" s="73">
        <v>0</v>
      </c>
      <c r="BR133" s="73">
        <v>1</v>
      </c>
      <c r="BS133" s="73"/>
      <c r="BU133" s="2207"/>
      <c r="BV133" s="2207"/>
      <c r="BW133" s="2207"/>
      <c r="BX133" s="2208" t="s">
        <v>1293</v>
      </c>
      <c r="BY133" s="2210">
        <v>0</v>
      </c>
      <c r="BZ133" s="2209"/>
      <c r="CA133" s="2209"/>
      <c r="CB133" s="2209"/>
      <c r="CC133" s="2210">
        <v>0</v>
      </c>
      <c r="CD133" s="2209"/>
      <c r="CE133" s="2210">
        <v>0</v>
      </c>
      <c r="CF133" s="2209"/>
      <c r="CG133" s="2210">
        <v>0</v>
      </c>
      <c r="CH133" s="2210">
        <v>1</v>
      </c>
      <c r="CI133" s="2210">
        <v>2</v>
      </c>
      <c r="CJ133" s="2209"/>
      <c r="CK133" s="2209"/>
      <c r="CL133" s="2211"/>
      <c r="CM133" s="2211"/>
      <c r="CN133" s="2212">
        <v>3</v>
      </c>
      <c r="CO133" s="73"/>
      <c r="CQ133" s="955"/>
      <c r="CR133" s="955"/>
      <c r="CS133" s="955"/>
      <c r="CT133" s="974" t="s">
        <v>111</v>
      </c>
      <c r="CU133" s="975"/>
      <c r="CV133" s="976">
        <v>5</v>
      </c>
      <c r="CW133" s="976">
        <v>3</v>
      </c>
      <c r="CX133" s="976">
        <v>4</v>
      </c>
      <c r="CY133" s="976">
        <v>2</v>
      </c>
      <c r="CZ133" s="976">
        <v>2</v>
      </c>
      <c r="DA133" s="976">
        <v>4</v>
      </c>
      <c r="DB133" s="976">
        <v>5</v>
      </c>
      <c r="DC133" s="976">
        <v>5</v>
      </c>
      <c r="DD133" s="976">
        <v>3</v>
      </c>
      <c r="DE133" s="976">
        <v>8</v>
      </c>
      <c r="DF133" s="976">
        <v>9</v>
      </c>
      <c r="DG133" s="976">
        <v>27</v>
      </c>
      <c r="DH133" s="976">
        <v>44</v>
      </c>
      <c r="DI133" s="976">
        <v>60</v>
      </c>
      <c r="DJ133" s="978">
        <v>7</v>
      </c>
      <c r="DK133" s="978">
        <v>27</v>
      </c>
      <c r="DL133" s="978">
        <v>215</v>
      </c>
      <c r="DM133" s="912">
        <f>+(DL129+DL132)/DL133</f>
        <v>0.38604651162790699</v>
      </c>
      <c r="DO133" s="788"/>
      <c r="DP133" s="788"/>
      <c r="DQ133" s="788"/>
      <c r="DR133" s="788"/>
      <c r="DS133" s="789" t="s">
        <v>1288</v>
      </c>
      <c r="DT133" s="961"/>
      <c r="DU133" s="962">
        <v>0</v>
      </c>
      <c r="DV133" s="961"/>
      <c r="DW133" s="962">
        <v>0</v>
      </c>
      <c r="DX133" s="961"/>
      <c r="DY133" s="962">
        <v>0</v>
      </c>
      <c r="DZ133" s="961"/>
      <c r="EA133" s="961"/>
      <c r="EB133" s="961"/>
      <c r="EC133" s="962">
        <v>0</v>
      </c>
      <c r="ED133" s="961"/>
      <c r="EE133" s="962">
        <v>0</v>
      </c>
      <c r="EF133" s="962">
        <v>1</v>
      </c>
      <c r="EG133" s="962">
        <v>0</v>
      </c>
      <c r="EH133" s="962">
        <v>0</v>
      </c>
      <c r="EI133" s="964">
        <v>0</v>
      </c>
      <c r="EJ133" s="964">
        <v>0</v>
      </c>
      <c r="EK133" s="964">
        <v>1</v>
      </c>
      <c r="EL133" s="912"/>
      <c r="EM133" s="73"/>
      <c r="EN133" s="965"/>
      <c r="EO133" s="73"/>
      <c r="EP133" s="965"/>
      <c r="EQ133" s="734" t="s">
        <v>1284</v>
      </c>
      <c r="ER133" s="966"/>
      <c r="ES133" s="966"/>
      <c r="ET133" s="966"/>
      <c r="EU133" s="966"/>
      <c r="EV133" s="966"/>
      <c r="EW133" s="735">
        <v>0</v>
      </c>
      <c r="EX133" s="735">
        <v>1</v>
      </c>
      <c r="EY133" s="735">
        <v>1</v>
      </c>
      <c r="EZ133" s="966"/>
      <c r="FA133" s="735">
        <v>0</v>
      </c>
      <c r="FB133" s="735">
        <v>0</v>
      </c>
      <c r="FC133" s="735">
        <v>2</v>
      </c>
      <c r="FD133" s="735">
        <v>0</v>
      </c>
      <c r="FE133" s="735">
        <v>4</v>
      </c>
      <c r="FF133" s="967"/>
      <c r="FG133" s="73"/>
      <c r="FH133" s="73"/>
      <c r="FI133" s="161"/>
      <c r="FJ133" s="161"/>
      <c r="FK133" s="161"/>
      <c r="FL133" s="73" t="s">
        <v>1289</v>
      </c>
      <c r="FM133" s="73"/>
      <c r="FN133" s="73">
        <v>1</v>
      </c>
      <c r="FO133" s="73">
        <v>1</v>
      </c>
      <c r="FP133" s="73"/>
      <c r="FQ133" s="73"/>
      <c r="FR133" s="73">
        <v>0</v>
      </c>
      <c r="FS133" s="73">
        <v>2</v>
      </c>
      <c r="FT133" s="73">
        <v>1</v>
      </c>
      <c r="FU133" s="73"/>
      <c r="FV133" s="73"/>
      <c r="FW133" s="73"/>
      <c r="FX133" s="73"/>
      <c r="FY133" s="73"/>
      <c r="FZ133" s="73"/>
      <c r="GA133" s="73"/>
      <c r="GB133" s="73"/>
      <c r="GC133" s="73">
        <v>5</v>
      </c>
      <c r="GD133" s="73"/>
      <c r="GE133" s="73"/>
      <c r="GF133" s="968"/>
      <c r="GG133" s="968"/>
      <c r="GH133" s="968"/>
      <c r="GI133" s="968" t="s">
        <v>1288</v>
      </c>
      <c r="GJ133" s="968">
        <v>0</v>
      </c>
      <c r="GK133" s="968">
        <v>0</v>
      </c>
      <c r="GL133" s="968">
        <v>0</v>
      </c>
      <c r="GM133" s="968">
        <v>0</v>
      </c>
      <c r="GN133" s="968">
        <v>0</v>
      </c>
      <c r="GO133" s="968">
        <v>0</v>
      </c>
      <c r="GP133" s="968">
        <v>0</v>
      </c>
      <c r="GQ133" s="968">
        <v>0</v>
      </c>
      <c r="GR133" s="968">
        <v>0</v>
      </c>
      <c r="GS133" s="968">
        <v>1</v>
      </c>
      <c r="GT133" s="968">
        <v>1</v>
      </c>
      <c r="GU133" s="968">
        <v>0</v>
      </c>
      <c r="GV133" s="968">
        <v>1</v>
      </c>
      <c r="GW133" s="968">
        <v>3</v>
      </c>
      <c r="GX133" s="968">
        <v>0</v>
      </c>
      <c r="GY133" s="968">
        <v>0</v>
      </c>
      <c r="GZ133" s="968">
        <v>6</v>
      </c>
      <c r="HA133" s="968"/>
      <c r="HB133" s="969"/>
    </row>
    <row r="134" spans="1:210">
      <c r="A134" s="73"/>
      <c r="B134" s="73"/>
      <c r="C134" s="738"/>
      <c r="D134" s="738" t="s">
        <v>1292</v>
      </c>
      <c r="E134" s="4694"/>
      <c r="F134" s="4694">
        <v>0</v>
      </c>
      <c r="G134" s="4694"/>
      <c r="H134" s="4694">
        <v>0</v>
      </c>
      <c r="I134" s="4694"/>
      <c r="J134" s="4694">
        <v>0</v>
      </c>
      <c r="K134" s="4694">
        <v>0</v>
      </c>
      <c r="L134" s="4694"/>
      <c r="M134" s="4694"/>
      <c r="N134" s="4694">
        <v>0</v>
      </c>
      <c r="O134" s="4694">
        <v>0</v>
      </c>
      <c r="P134" s="4694">
        <v>0</v>
      </c>
      <c r="Q134" s="4694">
        <v>0</v>
      </c>
      <c r="R134" s="4694">
        <v>9</v>
      </c>
      <c r="S134" s="4694">
        <v>24</v>
      </c>
      <c r="T134" s="738">
        <v>0</v>
      </c>
      <c r="U134" s="738"/>
      <c r="V134" s="738">
        <v>33</v>
      </c>
      <c r="W134" s="73"/>
      <c r="Y134" s="73"/>
      <c r="Z134" s="73"/>
      <c r="AA134" s="73"/>
      <c r="AB134" s="73" t="s">
        <v>1288</v>
      </c>
      <c r="AC134" s="3261"/>
      <c r="AD134" s="3261">
        <v>0</v>
      </c>
      <c r="AE134" s="3261">
        <v>0</v>
      </c>
      <c r="AF134" s="3261"/>
      <c r="AG134" s="3261"/>
      <c r="AH134" s="3261"/>
      <c r="AI134" s="3261"/>
      <c r="AJ134" s="3261"/>
      <c r="AK134" s="3261">
        <v>0</v>
      </c>
      <c r="AL134" s="3261">
        <v>0</v>
      </c>
      <c r="AM134" s="3261">
        <v>0</v>
      </c>
      <c r="AN134" s="3261">
        <v>0</v>
      </c>
      <c r="AO134" s="3261">
        <v>4</v>
      </c>
      <c r="AP134" s="3261">
        <v>1</v>
      </c>
      <c r="AQ134" s="3261">
        <v>0</v>
      </c>
      <c r="AR134" s="161">
        <v>0</v>
      </c>
      <c r="AS134" s="161">
        <v>0</v>
      </c>
      <c r="AT134" s="161">
        <v>5</v>
      </c>
      <c r="AU134" s="73"/>
      <c r="AY134" s="73"/>
      <c r="AZ134" s="73" t="s">
        <v>1288</v>
      </c>
      <c r="BA134" s="2607">
        <v>0</v>
      </c>
      <c r="BB134" s="2607">
        <v>0</v>
      </c>
      <c r="BC134" s="2607">
        <v>0</v>
      </c>
      <c r="BD134" s="2607">
        <v>0</v>
      </c>
      <c r="BE134" s="2607"/>
      <c r="BF134" s="2607">
        <v>0</v>
      </c>
      <c r="BG134" s="2607"/>
      <c r="BH134" s="2607">
        <v>0</v>
      </c>
      <c r="BI134" s="2607">
        <v>0</v>
      </c>
      <c r="BJ134" s="2607">
        <v>0</v>
      </c>
      <c r="BK134" s="2607">
        <v>0</v>
      </c>
      <c r="BL134" s="2607">
        <v>0</v>
      </c>
      <c r="BM134" s="2607">
        <v>19</v>
      </c>
      <c r="BN134" s="2607">
        <v>20</v>
      </c>
      <c r="BO134" s="2607">
        <v>3</v>
      </c>
      <c r="BP134" s="73">
        <v>2</v>
      </c>
      <c r="BQ134" s="73">
        <v>0</v>
      </c>
      <c r="BR134" s="73">
        <v>44</v>
      </c>
      <c r="BS134" s="73"/>
      <c r="BU134" s="2207"/>
      <c r="BV134" s="2207"/>
      <c r="BW134" s="2207"/>
      <c r="BX134" s="2208" t="s">
        <v>1398</v>
      </c>
      <c r="BY134" s="2210">
        <v>0</v>
      </c>
      <c r="BZ134" s="2209"/>
      <c r="CA134" s="2209"/>
      <c r="CB134" s="2209"/>
      <c r="CC134" s="2210">
        <v>0</v>
      </c>
      <c r="CD134" s="2209"/>
      <c r="CE134" s="2210">
        <v>0</v>
      </c>
      <c r="CF134" s="2209"/>
      <c r="CG134" s="2210">
        <v>0</v>
      </c>
      <c r="CH134" s="2210">
        <v>1</v>
      </c>
      <c r="CI134" s="2210">
        <v>0</v>
      </c>
      <c r="CJ134" s="2209"/>
      <c r="CK134" s="2209"/>
      <c r="CL134" s="2211"/>
      <c r="CM134" s="2211"/>
      <c r="CN134" s="2212">
        <v>1</v>
      </c>
      <c r="CO134" s="73"/>
      <c r="CQ134" s="955" t="s">
        <v>48</v>
      </c>
      <c r="CR134" s="955" t="s">
        <v>41</v>
      </c>
      <c r="CS134" s="955" t="s">
        <v>146</v>
      </c>
      <c r="CT134" s="956" t="s">
        <v>1283</v>
      </c>
      <c r="CU134" s="957"/>
      <c r="CV134" s="957"/>
      <c r="CW134" s="957"/>
      <c r="CX134" s="957"/>
      <c r="CY134" s="957"/>
      <c r="CZ134" s="957"/>
      <c r="DA134" s="958">
        <v>0</v>
      </c>
      <c r="DB134" s="957"/>
      <c r="DC134" s="958">
        <v>0</v>
      </c>
      <c r="DD134" s="958">
        <v>1</v>
      </c>
      <c r="DE134" s="958">
        <v>0</v>
      </c>
      <c r="DF134" s="957"/>
      <c r="DG134" s="957"/>
      <c r="DH134" s="957"/>
      <c r="DI134" s="957"/>
      <c r="DJ134" s="959"/>
      <c r="DK134" s="959"/>
      <c r="DL134" s="960">
        <v>1</v>
      </c>
      <c r="DM134" s="161"/>
      <c r="DO134" s="788"/>
      <c r="DP134" s="788"/>
      <c r="DQ134" s="788"/>
      <c r="DR134" s="788"/>
      <c r="DS134" s="789" t="s">
        <v>1292</v>
      </c>
      <c r="DT134" s="961"/>
      <c r="DU134" s="962">
        <v>0</v>
      </c>
      <c r="DV134" s="961"/>
      <c r="DW134" s="962">
        <v>0</v>
      </c>
      <c r="DX134" s="961"/>
      <c r="DY134" s="962">
        <v>0</v>
      </c>
      <c r="DZ134" s="961"/>
      <c r="EA134" s="961"/>
      <c r="EB134" s="961"/>
      <c r="EC134" s="962">
        <v>0</v>
      </c>
      <c r="ED134" s="961"/>
      <c r="EE134" s="962">
        <v>0</v>
      </c>
      <c r="EF134" s="962">
        <v>1</v>
      </c>
      <c r="EG134" s="962">
        <v>0</v>
      </c>
      <c r="EH134" s="962">
        <v>0</v>
      </c>
      <c r="EI134" s="964">
        <v>1</v>
      </c>
      <c r="EJ134" s="964">
        <v>2</v>
      </c>
      <c r="EK134" s="964">
        <v>4</v>
      </c>
      <c r="EL134" s="912"/>
      <c r="EM134" s="73"/>
      <c r="EN134" s="965"/>
      <c r="EO134" s="73"/>
      <c r="EP134" s="965"/>
      <c r="EQ134" s="734" t="s">
        <v>1288</v>
      </c>
      <c r="ER134" s="966"/>
      <c r="ES134" s="966"/>
      <c r="ET134" s="966"/>
      <c r="EU134" s="966"/>
      <c r="EV134" s="966"/>
      <c r="EW134" s="735">
        <v>1</v>
      </c>
      <c r="EX134" s="735">
        <v>0</v>
      </c>
      <c r="EY134" s="735">
        <v>0</v>
      </c>
      <c r="EZ134" s="966"/>
      <c r="FA134" s="735">
        <v>2</v>
      </c>
      <c r="FB134" s="735">
        <v>0</v>
      </c>
      <c r="FC134" s="735">
        <v>1</v>
      </c>
      <c r="FD134" s="735">
        <v>0</v>
      </c>
      <c r="FE134" s="735">
        <v>4</v>
      </c>
      <c r="FF134" s="967"/>
      <c r="FG134" s="73"/>
      <c r="FH134" s="73"/>
      <c r="FI134" s="161"/>
      <c r="FJ134" s="161"/>
      <c r="FK134" s="161"/>
      <c r="FL134" s="738" t="s">
        <v>15</v>
      </c>
      <c r="FM134" s="738"/>
      <c r="FN134" s="738">
        <v>1</v>
      </c>
      <c r="FO134" s="738">
        <v>1</v>
      </c>
      <c r="FP134" s="738"/>
      <c r="FQ134" s="738"/>
      <c r="FR134" s="738">
        <v>1</v>
      </c>
      <c r="FS134" s="738">
        <v>4</v>
      </c>
      <c r="FT134" s="738">
        <v>1</v>
      </c>
      <c r="FU134" s="738"/>
      <c r="FV134" s="738"/>
      <c r="FW134" s="738"/>
      <c r="FX134" s="738"/>
      <c r="FY134" s="738"/>
      <c r="FZ134" s="738"/>
      <c r="GA134" s="738"/>
      <c r="GB134" s="738"/>
      <c r="GC134" s="738">
        <v>8</v>
      </c>
      <c r="GD134" s="984">
        <v>0</v>
      </c>
      <c r="GE134" s="73"/>
      <c r="GF134" s="968"/>
      <c r="GG134" s="968"/>
      <c r="GH134" s="968"/>
      <c r="GI134" s="968" t="s">
        <v>1292</v>
      </c>
      <c r="GJ134" s="968">
        <v>0</v>
      </c>
      <c r="GK134" s="968">
        <v>0</v>
      </c>
      <c r="GL134" s="968">
        <v>0</v>
      </c>
      <c r="GM134" s="968">
        <v>0</v>
      </c>
      <c r="GN134" s="968">
        <v>0</v>
      </c>
      <c r="GO134" s="968">
        <v>0</v>
      </c>
      <c r="GP134" s="968">
        <v>0</v>
      </c>
      <c r="GQ134" s="968">
        <v>0</v>
      </c>
      <c r="GR134" s="968">
        <v>0</v>
      </c>
      <c r="GS134" s="968">
        <v>0</v>
      </c>
      <c r="GT134" s="968">
        <v>0</v>
      </c>
      <c r="GU134" s="968">
        <v>0</v>
      </c>
      <c r="GV134" s="968">
        <v>3</v>
      </c>
      <c r="GW134" s="968">
        <v>4</v>
      </c>
      <c r="GX134" s="968">
        <v>5</v>
      </c>
      <c r="GY134" s="968">
        <v>9</v>
      </c>
      <c r="GZ134" s="968">
        <v>21</v>
      </c>
      <c r="HA134" s="968"/>
      <c r="HB134" s="969"/>
    </row>
    <row r="135" spans="1:210">
      <c r="A135" s="73"/>
      <c r="B135" s="73"/>
      <c r="C135" s="738"/>
      <c r="D135" s="738" t="s">
        <v>1293</v>
      </c>
      <c r="E135" s="4694"/>
      <c r="F135" s="4694">
        <v>0</v>
      </c>
      <c r="G135" s="4694"/>
      <c r="H135" s="4694">
        <v>0</v>
      </c>
      <c r="I135" s="4694"/>
      <c r="J135" s="4694">
        <v>0</v>
      </c>
      <c r="K135" s="4694">
        <v>0</v>
      </c>
      <c r="L135" s="4694"/>
      <c r="M135" s="4694"/>
      <c r="N135" s="4694">
        <v>0</v>
      </c>
      <c r="O135" s="4694">
        <v>0</v>
      </c>
      <c r="P135" s="4694">
        <v>0</v>
      </c>
      <c r="Q135" s="4694">
        <v>1</v>
      </c>
      <c r="R135" s="4694">
        <v>0</v>
      </c>
      <c r="S135" s="4694">
        <v>0</v>
      </c>
      <c r="T135" s="738">
        <v>0</v>
      </c>
      <c r="U135" s="738"/>
      <c r="V135" s="738">
        <v>1</v>
      </c>
      <c r="W135" s="73"/>
      <c r="Y135" s="73"/>
      <c r="Z135" s="73"/>
      <c r="AA135" s="73"/>
      <c r="AB135" s="73" t="s">
        <v>1289</v>
      </c>
      <c r="AC135" s="3261"/>
      <c r="AD135" s="3261">
        <v>0</v>
      </c>
      <c r="AE135" s="3261">
        <v>0</v>
      </c>
      <c r="AF135" s="3261"/>
      <c r="AG135" s="3261"/>
      <c r="AH135" s="3261"/>
      <c r="AI135" s="3261"/>
      <c r="AJ135" s="3261"/>
      <c r="AK135" s="3261">
        <v>0</v>
      </c>
      <c r="AL135" s="3261">
        <v>1</v>
      </c>
      <c r="AM135" s="3261">
        <v>0</v>
      </c>
      <c r="AN135" s="3261">
        <v>0</v>
      </c>
      <c r="AO135" s="3261">
        <v>0</v>
      </c>
      <c r="AP135" s="3261">
        <v>0</v>
      </c>
      <c r="AQ135" s="3261">
        <v>0</v>
      </c>
      <c r="AR135" s="161">
        <v>0</v>
      </c>
      <c r="AS135" s="161">
        <v>0</v>
      </c>
      <c r="AT135" s="161">
        <v>1</v>
      </c>
      <c r="AU135" s="73"/>
      <c r="AY135" s="73"/>
      <c r="AZ135" s="73" t="s">
        <v>1289</v>
      </c>
      <c r="BA135" s="2607">
        <v>0</v>
      </c>
      <c r="BB135" s="2607">
        <v>2</v>
      </c>
      <c r="BC135" s="2607">
        <v>0</v>
      </c>
      <c r="BD135" s="2607">
        <v>1</v>
      </c>
      <c r="BE135" s="2607"/>
      <c r="BF135" s="2607">
        <v>0</v>
      </c>
      <c r="BG135" s="2607"/>
      <c r="BH135" s="2607">
        <v>0</v>
      </c>
      <c r="BI135" s="2607">
        <v>0</v>
      </c>
      <c r="BJ135" s="2607">
        <v>2</v>
      </c>
      <c r="BK135" s="2607">
        <v>0</v>
      </c>
      <c r="BL135" s="2607">
        <v>0</v>
      </c>
      <c r="BM135" s="2607">
        <v>0</v>
      </c>
      <c r="BN135" s="2607">
        <v>1</v>
      </c>
      <c r="BO135" s="2607">
        <v>0</v>
      </c>
      <c r="BP135" s="73">
        <v>0</v>
      </c>
      <c r="BQ135" s="73">
        <v>0</v>
      </c>
      <c r="BR135" s="73">
        <v>6</v>
      </c>
      <c r="BS135" s="73"/>
      <c r="BU135" s="2207"/>
      <c r="BV135" s="2207"/>
      <c r="BW135" s="2207"/>
      <c r="BX135" s="2204" t="s">
        <v>15</v>
      </c>
      <c r="BY135" s="2214">
        <v>1</v>
      </c>
      <c r="BZ135" s="2213"/>
      <c r="CA135" s="2213"/>
      <c r="CB135" s="2213"/>
      <c r="CC135" s="2214">
        <v>1</v>
      </c>
      <c r="CD135" s="2213"/>
      <c r="CE135" s="2214">
        <v>2</v>
      </c>
      <c r="CF135" s="2213"/>
      <c r="CG135" s="2214">
        <v>1</v>
      </c>
      <c r="CH135" s="2214">
        <v>7</v>
      </c>
      <c r="CI135" s="2214">
        <v>11</v>
      </c>
      <c r="CJ135" s="2213"/>
      <c r="CK135" s="2213"/>
      <c r="CL135" s="2215"/>
      <c r="CM135" s="2215"/>
      <c r="CN135" s="2216">
        <v>23</v>
      </c>
      <c r="CO135" s="2154">
        <f>+(CN133+CN134)/CN135</f>
        <v>0.17391304347826086</v>
      </c>
      <c r="CQ135" s="955"/>
      <c r="CR135" s="955"/>
      <c r="CS135" s="955"/>
      <c r="CT135" s="956" t="s">
        <v>1284</v>
      </c>
      <c r="CU135" s="957"/>
      <c r="CV135" s="957"/>
      <c r="CW135" s="957"/>
      <c r="CX135" s="957"/>
      <c r="CY135" s="957"/>
      <c r="CZ135" s="957"/>
      <c r="DA135" s="958">
        <v>0</v>
      </c>
      <c r="DB135" s="957"/>
      <c r="DC135" s="958">
        <v>1</v>
      </c>
      <c r="DD135" s="958">
        <v>2</v>
      </c>
      <c r="DE135" s="958">
        <v>4</v>
      </c>
      <c r="DF135" s="957"/>
      <c r="DG135" s="957"/>
      <c r="DH135" s="957"/>
      <c r="DI135" s="957"/>
      <c r="DJ135" s="959"/>
      <c r="DK135" s="959"/>
      <c r="DL135" s="960">
        <v>7</v>
      </c>
      <c r="DM135" s="161"/>
      <c r="DO135" s="788"/>
      <c r="DP135" s="788"/>
      <c r="DQ135" s="788"/>
      <c r="DR135" s="788"/>
      <c r="DS135" s="789" t="s">
        <v>1293</v>
      </c>
      <c r="DT135" s="961"/>
      <c r="DU135" s="962">
        <v>0</v>
      </c>
      <c r="DV135" s="961"/>
      <c r="DW135" s="962">
        <v>0</v>
      </c>
      <c r="DX135" s="961"/>
      <c r="DY135" s="962">
        <v>0</v>
      </c>
      <c r="DZ135" s="961"/>
      <c r="EA135" s="961"/>
      <c r="EB135" s="961"/>
      <c r="EC135" s="962">
        <v>0</v>
      </c>
      <c r="ED135" s="961"/>
      <c r="EE135" s="962">
        <v>0</v>
      </c>
      <c r="EF135" s="962">
        <v>1</v>
      </c>
      <c r="EG135" s="962">
        <v>0</v>
      </c>
      <c r="EH135" s="962">
        <v>0</v>
      </c>
      <c r="EI135" s="964">
        <v>1</v>
      </c>
      <c r="EJ135" s="964">
        <v>0</v>
      </c>
      <c r="EK135" s="964">
        <v>2</v>
      </c>
      <c r="EL135" s="912"/>
      <c r="EM135" s="73"/>
      <c r="EN135" s="965"/>
      <c r="EO135" s="73"/>
      <c r="EP135" s="965"/>
      <c r="EQ135" s="734" t="s">
        <v>1292</v>
      </c>
      <c r="ER135" s="966"/>
      <c r="ES135" s="966"/>
      <c r="ET135" s="966"/>
      <c r="EU135" s="966"/>
      <c r="EV135" s="966"/>
      <c r="EW135" s="735">
        <v>0</v>
      </c>
      <c r="EX135" s="735">
        <v>0</v>
      </c>
      <c r="EY135" s="735">
        <v>0</v>
      </c>
      <c r="EZ135" s="966"/>
      <c r="FA135" s="735">
        <v>2</v>
      </c>
      <c r="FB135" s="735">
        <v>9</v>
      </c>
      <c r="FC135" s="735">
        <v>2</v>
      </c>
      <c r="FD135" s="735">
        <v>4</v>
      </c>
      <c r="FE135" s="735">
        <v>17</v>
      </c>
      <c r="FF135" s="967"/>
      <c r="FG135" s="73"/>
      <c r="FH135" s="73"/>
      <c r="FI135" s="161"/>
      <c r="FJ135" s="161" t="s">
        <v>25</v>
      </c>
      <c r="FK135" s="161" t="s">
        <v>4</v>
      </c>
      <c r="FL135" s="73" t="s">
        <v>1283</v>
      </c>
      <c r="FM135" s="73"/>
      <c r="FN135" s="73"/>
      <c r="FO135" s="73">
        <v>0</v>
      </c>
      <c r="FP135" s="73"/>
      <c r="FQ135" s="73"/>
      <c r="FR135" s="73"/>
      <c r="FS135" s="73">
        <v>0</v>
      </c>
      <c r="FT135" s="73"/>
      <c r="FU135" s="73">
        <v>0</v>
      </c>
      <c r="FV135" s="73">
        <v>0</v>
      </c>
      <c r="FW135" s="73">
        <v>0</v>
      </c>
      <c r="FX135" s="73">
        <v>0</v>
      </c>
      <c r="FY135" s="73">
        <v>1</v>
      </c>
      <c r="FZ135" s="73">
        <v>5</v>
      </c>
      <c r="GA135" s="73">
        <v>1</v>
      </c>
      <c r="GB135" s="73">
        <v>1</v>
      </c>
      <c r="GC135" s="73">
        <v>8</v>
      </c>
      <c r="GD135" s="73"/>
      <c r="GE135" s="73"/>
      <c r="GF135" s="968"/>
      <c r="GG135" s="968"/>
      <c r="GH135" s="968"/>
      <c r="GI135" s="968" t="s">
        <v>1398</v>
      </c>
      <c r="GJ135" s="968">
        <v>0</v>
      </c>
      <c r="GK135" s="968">
        <v>0</v>
      </c>
      <c r="GL135" s="968">
        <v>0</v>
      </c>
      <c r="GM135" s="968">
        <v>0</v>
      </c>
      <c r="GN135" s="968">
        <v>0</v>
      </c>
      <c r="GO135" s="968">
        <v>0</v>
      </c>
      <c r="GP135" s="968">
        <v>0</v>
      </c>
      <c r="GQ135" s="968">
        <v>0</v>
      </c>
      <c r="GR135" s="968">
        <v>0</v>
      </c>
      <c r="GS135" s="968">
        <v>0</v>
      </c>
      <c r="GT135" s="968">
        <v>0</v>
      </c>
      <c r="GU135" s="968">
        <v>1</v>
      </c>
      <c r="GV135" s="968">
        <v>2</v>
      </c>
      <c r="GW135" s="968">
        <v>1</v>
      </c>
      <c r="GX135" s="968">
        <v>0</v>
      </c>
      <c r="GY135" s="968">
        <v>0</v>
      </c>
      <c r="GZ135" s="968">
        <v>4</v>
      </c>
      <c r="HA135" s="968"/>
      <c r="HB135" s="969"/>
    </row>
    <row r="136" spans="1:210">
      <c r="A136" s="73"/>
      <c r="B136" s="73"/>
      <c r="C136" s="738"/>
      <c r="D136" s="738" t="s">
        <v>1398</v>
      </c>
      <c r="E136" s="4694"/>
      <c r="F136" s="4694">
        <v>0</v>
      </c>
      <c r="G136" s="4694"/>
      <c r="H136" s="4694">
        <v>0</v>
      </c>
      <c r="I136" s="4694"/>
      <c r="J136" s="4694">
        <v>0</v>
      </c>
      <c r="K136" s="4694">
        <v>0</v>
      </c>
      <c r="L136" s="4694"/>
      <c r="M136" s="4694"/>
      <c r="N136" s="4694">
        <v>0</v>
      </c>
      <c r="O136" s="4694">
        <v>0</v>
      </c>
      <c r="P136" s="4694">
        <v>0</v>
      </c>
      <c r="Q136" s="4694">
        <v>8</v>
      </c>
      <c r="R136" s="4694">
        <v>3</v>
      </c>
      <c r="S136" s="4694">
        <v>0</v>
      </c>
      <c r="T136" s="738">
        <v>0</v>
      </c>
      <c r="U136" s="738"/>
      <c r="V136" s="738">
        <v>11</v>
      </c>
      <c r="W136" s="73"/>
      <c r="Y136" s="73"/>
      <c r="Z136" s="73"/>
      <c r="AA136" s="73"/>
      <c r="AB136" s="73" t="s">
        <v>1292</v>
      </c>
      <c r="AC136" s="3261"/>
      <c r="AD136" s="3261">
        <v>0</v>
      </c>
      <c r="AE136" s="3261">
        <v>0</v>
      </c>
      <c r="AF136" s="3261"/>
      <c r="AG136" s="3261"/>
      <c r="AH136" s="3261"/>
      <c r="AI136" s="3261"/>
      <c r="AJ136" s="3261"/>
      <c r="AK136" s="3261">
        <v>0</v>
      </c>
      <c r="AL136" s="3261">
        <v>0</v>
      </c>
      <c r="AM136" s="3261">
        <v>0</v>
      </c>
      <c r="AN136" s="3261">
        <v>0</v>
      </c>
      <c r="AO136" s="3261">
        <v>0</v>
      </c>
      <c r="AP136" s="3261">
        <v>0</v>
      </c>
      <c r="AQ136" s="3261">
        <v>1</v>
      </c>
      <c r="AR136" s="161">
        <v>0</v>
      </c>
      <c r="AS136" s="161">
        <v>4</v>
      </c>
      <c r="AT136" s="161">
        <v>5</v>
      </c>
      <c r="AU136" s="73"/>
      <c r="AY136" s="73"/>
      <c r="AZ136" s="73" t="s">
        <v>1292</v>
      </c>
      <c r="BA136" s="2607">
        <v>0</v>
      </c>
      <c r="BB136" s="2607">
        <v>0</v>
      </c>
      <c r="BC136" s="2607">
        <v>0</v>
      </c>
      <c r="BD136" s="2607">
        <v>0</v>
      </c>
      <c r="BE136" s="2607"/>
      <c r="BF136" s="2607">
        <v>0</v>
      </c>
      <c r="BG136" s="2607"/>
      <c r="BH136" s="2607">
        <v>0</v>
      </c>
      <c r="BI136" s="2607">
        <v>0</v>
      </c>
      <c r="BJ136" s="2607">
        <v>0</v>
      </c>
      <c r="BK136" s="2607">
        <v>0</v>
      </c>
      <c r="BL136" s="2607">
        <v>0</v>
      </c>
      <c r="BM136" s="2607">
        <v>0</v>
      </c>
      <c r="BN136" s="2607">
        <v>1</v>
      </c>
      <c r="BO136" s="2607">
        <v>39</v>
      </c>
      <c r="BP136" s="73">
        <v>10</v>
      </c>
      <c r="BQ136" s="73">
        <v>21</v>
      </c>
      <c r="BR136" s="73">
        <v>71</v>
      </c>
      <c r="BS136" s="73"/>
      <c r="BU136" s="2207"/>
      <c r="BV136" s="2207"/>
      <c r="BW136" s="2207" t="s">
        <v>573</v>
      </c>
      <c r="BX136" s="2208" t="s">
        <v>1284</v>
      </c>
      <c r="BY136" s="2210">
        <v>1</v>
      </c>
      <c r="BZ136" s="2210">
        <v>3</v>
      </c>
      <c r="CA136" s="2209"/>
      <c r="CB136" s="2210">
        <v>1</v>
      </c>
      <c r="CC136" s="2210">
        <v>2</v>
      </c>
      <c r="CD136" s="2209"/>
      <c r="CE136" s="2210">
        <v>2</v>
      </c>
      <c r="CF136" s="2210">
        <v>1</v>
      </c>
      <c r="CG136" s="2210">
        <v>3</v>
      </c>
      <c r="CH136" s="2210">
        <v>7</v>
      </c>
      <c r="CI136" s="2210">
        <v>22</v>
      </c>
      <c r="CJ136" s="2210">
        <v>3</v>
      </c>
      <c r="CK136" s="2210">
        <v>1</v>
      </c>
      <c r="CL136" s="2212">
        <v>0</v>
      </c>
      <c r="CM136" s="2212">
        <v>0</v>
      </c>
      <c r="CN136" s="2212">
        <v>46</v>
      </c>
      <c r="CO136" s="73"/>
      <c r="CQ136" s="955"/>
      <c r="CR136" s="955"/>
      <c r="CS136" s="955"/>
      <c r="CT136" s="956" t="s">
        <v>1289</v>
      </c>
      <c r="CU136" s="957"/>
      <c r="CV136" s="957"/>
      <c r="CW136" s="957"/>
      <c r="CX136" s="957"/>
      <c r="CY136" s="957"/>
      <c r="CZ136" s="957"/>
      <c r="DA136" s="958">
        <v>1</v>
      </c>
      <c r="DB136" s="957"/>
      <c r="DC136" s="958">
        <v>0</v>
      </c>
      <c r="DD136" s="958">
        <v>0</v>
      </c>
      <c r="DE136" s="958">
        <v>0</v>
      </c>
      <c r="DF136" s="957"/>
      <c r="DG136" s="957"/>
      <c r="DH136" s="957"/>
      <c r="DI136" s="957"/>
      <c r="DJ136" s="959"/>
      <c r="DK136" s="959"/>
      <c r="DL136" s="960">
        <v>1</v>
      </c>
      <c r="DM136" s="161"/>
      <c r="DO136" s="788"/>
      <c r="DP136" s="788"/>
      <c r="DQ136" s="788"/>
      <c r="DR136" s="788"/>
      <c r="DS136" s="789" t="s">
        <v>1398</v>
      </c>
      <c r="DT136" s="961"/>
      <c r="DU136" s="962">
        <v>0</v>
      </c>
      <c r="DV136" s="961"/>
      <c r="DW136" s="962">
        <v>0</v>
      </c>
      <c r="DX136" s="961"/>
      <c r="DY136" s="962">
        <v>0</v>
      </c>
      <c r="DZ136" s="961"/>
      <c r="EA136" s="961"/>
      <c r="EB136" s="961"/>
      <c r="EC136" s="962">
        <v>0</v>
      </c>
      <c r="ED136" s="961"/>
      <c r="EE136" s="962">
        <v>0</v>
      </c>
      <c r="EF136" s="962">
        <v>5</v>
      </c>
      <c r="EG136" s="962">
        <v>2</v>
      </c>
      <c r="EH136" s="962">
        <v>1</v>
      </c>
      <c r="EI136" s="964">
        <v>0</v>
      </c>
      <c r="EJ136" s="964">
        <v>0</v>
      </c>
      <c r="EK136" s="964">
        <v>8</v>
      </c>
      <c r="EL136" s="912"/>
      <c r="EM136" s="73"/>
      <c r="EN136" s="965"/>
      <c r="EO136" s="73"/>
      <c r="EP136" s="965"/>
      <c r="EQ136" s="734" t="s">
        <v>1398</v>
      </c>
      <c r="ER136" s="966"/>
      <c r="ES136" s="966"/>
      <c r="ET136" s="966"/>
      <c r="EU136" s="966"/>
      <c r="EV136" s="966"/>
      <c r="EW136" s="735">
        <v>1</v>
      </c>
      <c r="EX136" s="735">
        <v>0</v>
      </c>
      <c r="EY136" s="735">
        <v>0</v>
      </c>
      <c r="EZ136" s="966"/>
      <c r="FA136" s="735">
        <v>0</v>
      </c>
      <c r="FB136" s="735">
        <v>0</v>
      </c>
      <c r="FC136" s="735">
        <v>0</v>
      </c>
      <c r="FD136" s="735">
        <v>0</v>
      </c>
      <c r="FE136" s="735">
        <v>1</v>
      </c>
      <c r="FF136" s="967"/>
      <c r="FG136" s="73"/>
      <c r="FH136" s="73"/>
      <c r="FI136" s="161"/>
      <c r="FJ136" s="161"/>
      <c r="FK136" s="161"/>
      <c r="FL136" s="73" t="s">
        <v>1284</v>
      </c>
      <c r="FM136" s="73"/>
      <c r="FN136" s="73"/>
      <c r="FO136" s="73">
        <v>1</v>
      </c>
      <c r="FP136" s="73"/>
      <c r="FQ136" s="73"/>
      <c r="FR136" s="73"/>
      <c r="FS136" s="73">
        <v>1</v>
      </c>
      <c r="FT136" s="73"/>
      <c r="FU136" s="73">
        <v>1</v>
      </c>
      <c r="FV136" s="73">
        <v>2</v>
      </c>
      <c r="FW136" s="73">
        <v>0</v>
      </c>
      <c r="FX136" s="73">
        <v>0</v>
      </c>
      <c r="FY136" s="73">
        <v>0</v>
      </c>
      <c r="FZ136" s="73">
        <v>0</v>
      </c>
      <c r="GA136" s="73">
        <v>0</v>
      </c>
      <c r="GB136" s="73">
        <v>0</v>
      </c>
      <c r="GC136" s="73">
        <v>5</v>
      </c>
      <c r="GD136" s="73"/>
      <c r="GE136" s="73"/>
      <c r="GF136" s="968"/>
      <c r="GG136" s="968"/>
      <c r="GH136" s="968"/>
      <c r="GI136" s="979" t="s">
        <v>15</v>
      </c>
      <c r="GJ136" s="979">
        <v>0</v>
      </c>
      <c r="GK136" s="979">
        <v>0</v>
      </c>
      <c r="GL136" s="979">
        <v>0</v>
      </c>
      <c r="GM136" s="979">
        <v>1</v>
      </c>
      <c r="GN136" s="979">
        <v>0</v>
      </c>
      <c r="GO136" s="979">
        <v>0</v>
      </c>
      <c r="GP136" s="979">
        <v>0</v>
      </c>
      <c r="GQ136" s="979">
        <v>1</v>
      </c>
      <c r="GR136" s="979">
        <v>0</v>
      </c>
      <c r="GS136" s="979">
        <v>1</v>
      </c>
      <c r="GT136" s="979">
        <v>3</v>
      </c>
      <c r="GU136" s="979">
        <v>2</v>
      </c>
      <c r="GV136" s="979">
        <v>6</v>
      </c>
      <c r="GW136" s="979">
        <v>10</v>
      </c>
      <c r="GX136" s="979">
        <v>5</v>
      </c>
      <c r="GY136" s="979">
        <v>9</v>
      </c>
      <c r="GZ136" s="979">
        <v>38</v>
      </c>
      <c r="HA136" s="980">
        <f>+(GZ135+GZ133)/GZ136</f>
        <v>0.26315789473684209</v>
      </c>
      <c r="HB136" s="969">
        <f>+GZ133+GZ135</f>
        <v>10</v>
      </c>
    </row>
    <row r="137" spans="1:210">
      <c r="A137" s="73"/>
      <c r="B137" s="73"/>
      <c r="C137" s="738"/>
      <c r="D137" s="738" t="s">
        <v>15</v>
      </c>
      <c r="E137" s="4694"/>
      <c r="F137" s="4694">
        <v>2</v>
      </c>
      <c r="G137" s="4694"/>
      <c r="H137" s="4694">
        <v>3</v>
      </c>
      <c r="I137" s="4694"/>
      <c r="J137" s="4694">
        <v>1</v>
      </c>
      <c r="K137" s="4694">
        <v>1</v>
      </c>
      <c r="L137" s="4694"/>
      <c r="M137" s="4694"/>
      <c r="N137" s="4694">
        <v>1</v>
      </c>
      <c r="O137" s="4694">
        <v>1</v>
      </c>
      <c r="P137" s="4694">
        <v>1</v>
      </c>
      <c r="Q137" s="4694">
        <v>23</v>
      </c>
      <c r="R137" s="4694">
        <v>41</v>
      </c>
      <c r="S137" s="4694">
        <v>24</v>
      </c>
      <c r="T137" s="738">
        <v>1</v>
      </c>
      <c r="U137" s="738"/>
      <c r="V137" s="738">
        <v>99</v>
      </c>
      <c r="W137" s="912">
        <f>+(V136+V135+V132)/V137</f>
        <v>0.39393939393939392</v>
      </c>
      <c r="X137" s="3197"/>
      <c r="Y137" s="73"/>
      <c r="Z137" s="73"/>
      <c r="AA137" s="73"/>
      <c r="AB137" s="73" t="s">
        <v>1293</v>
      </c>
      <c r="AC137" s="3261"/>
      <c r="AD137" s="3261">
        <v>0</v>
      </c>
      <c r="AE137" s="3261">
        <v>0</v>
      </c>
      <c r="AF137" s="3261"/>
      <c r="AG137" s="3261"/>
      <c r="AH137" s="3261"/>
      <c r="AI137" s="3261"/>
      <c r="AJ137" s="3261"/>
      <c r="AK137" s="3261">
        <v>0</v>
      </c>
      <c r="AL137" s="3261">
        <v>1</v>
      </c>
      <c r="AM137" s="3261">
        <v>0</v>
      </c>
      <c r="AN137" s="3261">
        <v>0</v>
      </c>
      <c r="AO137" s="3261">
        <v>5</v>
      </c>
      <c r="AP137" s="3261">
        <v>0</v>
      </c>
      <c r="AQ137" s="3261">
        <v>1</v>
      </c>
      <c r="AR137" s="161">
        <v>0</v>
      </c>
      <c r="AS137" s="161">
        <v>0</v>
      </c>
      <c r="AT137" s="161">
        <v>7</v>
      </c>
      <c r="AU137" s="73"/>
      <c r="AY137" s="73"/>
      <c r="AZ137" s="73" t="s">
        <v>1398</v>
      </c>
      <c r="BA137" s="2607">
        <v>0</v>
      </c>
      <c r="BB137" s="2607">
        <v>0</v>
      </c>
      <c r="BC137" s="2607">
        <v>0</v>
      </c>
      <c r="BD137" s="2607">
        <v>0</v>
      </c>
      <c r="BE137" s="2607"/>
      <c r="BF137" s="2607">
        <v>0</v>
      </c>
      <c r="BG137" s="2607"/>
      <c r="BH137" s="2607">
        <v>0</v>
      </c>
      <c r="BI137" s="2607">
        <v>0</v>
      </c>
      <c r="BJ137" s="2607">
        <v>0</v>
      </c>
      <c r="BK137" s="2607">
        <v>0</v>
      </c>
      <c r="BL137" s="2607">
        <v>0</v>
      </c>
      <c r="BM137" s="2607">
        <v>10</v>
      </c>
      <c r="BN137" s="2607">
        <v>12</v>
      </c>
      <c r="BO137" s="2607">
        <v>2</v>
      </c>
      <c r="BP137" s="73">
        <v>1</v>
      </c>
      <c r="BQ137" s="73">
        <v>0</v>
      </c>
      <c r="BR137" s="73">
        <v>25</v>
      </c>
      <c r="BS137" s="73"/>
      <c r="BU137" s="2207"/>
      <c r="BV137" s="2207"/>
      <c r="BW137" s="2207"/>
      <c r="BX137" s="2208" t="s">
        <v>1288</v>
      </c>
      <c r="BY137" s="2210">
        <v>0</v>
      </c>
      <c r="BZ137" s="2210">
        <v>0</v>
      </c>
      <c r="CA137" s="2209"/>
      <c r="CB137" s="2210">
        <v>0</v>
      </c>
      <c r="CC137" s="2210">
        <v>0</v>
      </c>
      <c r="CD137" s="2209"/>
      <c r="CE137" s="2210">
        <v>0</v>
      </c>
      <c r="CF137" s="2210">
        <v>0</v>
      </c>
      <c r="CG137" s="2210">
        <v>0</v>
      </c>
      <c r="CH137" s="2210">
        <v>0</v>
      </c>
      <c r="CI137" s="2210">
        <v>3</v>
      </c>
      <c r="CJ137" s="2210">
        <v>2</v>
      </c>
      <c r="CK137" s="2210">
        <v>0</v>
      </c>
      <c r="CL137" s="2212">
        <v>0</v>
      </c>
      <c r="CM137" s="2212">
        <v>0</v>
      </c>
      <c r="CN137" s="2212">
        <v>5</v>
      </c>
      <c r="CO137" s="73"/>
      <c r="CQ137" s="955"/>
      <c r="CR137" s="955"/>
      <c r="CS137" s="955"/>
      <c r="CT137" s="956" t="s">
        <v>1398</v>
      </c>
      <c r="CU137" s="957"/>
      <c r="CV137" s="957"/>
      <c r="CW137" s="957"/>
      <c r="CX137" s="957"/>
      <c r="CY137" s="957"/>
      <c r="CZ137" s="957"/>
      <c r="DA137" s="958">
        <v>0</v>
      </c>
      <c r="DB137" s="957"/>
      <c r="DC137" s="958">
        <v>0</v>
      </c>
      <c r="DD137" s="958">
        <v>2</v>
      </c>
      <c r="DE137" s="958">
        <v>2</v>
      </c>
      <c r="DF137" s="957"/>
      <c r="DG137" s="957"/>
      <c r="DH137" s="957"/>
      <c r="DI137" s="957"/>
      <c r="DJ137" s="959"/>
      <c r="DK137" s="959"/>
      <c r="DL137" s="960">
        <v>4</v>
      </c>
      <c r="DM137" s="161"/>
      <c r="DO137" s="788"/>
      <c r="DP137" s="788"/>
      <c r="DQ137" s="788"/>
      <c r="DR137" s="73"/>
      <c r="DS137" s="809" t="s">
        <v>15</v>
      </c>
      <c r="DT137" s="970"/>
      <c r="DU137" s="971">
        <v>1</v>
      </c>
      <c r="DV137" s="970"/>
      <c r="DW137" s="971">
        <v>1</v>
      </c>
      <c r="DX137" s="970"/>
      <c r="DY137" s="971">
        <v>1</v>
      </c>
      <c r="DZ137" s="970"/>
      <c r="EA137" s="970"/>
      <c r="EB137" s="970"/>
      <c r="EC137" s="971">
        <v>1</v>
      </c>
      <c r="ED137" s="970"/>
      <c r="EE137" s="971">
        <v>3</v>
      </c>
      <c r="EF137" s="971">
        <v>20</v>
      </c>
      <c r="EG137" s="971">
        <v>6</v>
      </c>
      <c r="EH137" s="971">
        <v>4</v>
      </c>
      <c r="EI137" s="973">
        <v>7</v>
      </c>
      <c r="EJ137" s="973">
        <v>2</v>
      </c>
      <c r="EK137" s="973">
        <v>46</v>
      </c>
      <c r="EL137" s="912">
        <f>+(EK136+EK135+EK133-EI135)/EK137</f>
        <v>0.21739130434782608</v>
      </c>
      <c r="EM137" s="73"/>
      <c r="EN137" s="965"/>
      <c r="EO137" s="73"/>
      <c r="EP137" s="965"/>
      <c r="EQ137" s="981" t="s">
        <v>572</v>
      </c>
      <c r="ER137" s="982"/>
      <c r="ES137" s="982"/>
      <c r="ET137" s="982"/>
      <c r="EU137" s="982"/>
      <c r="EV137" s="982"/>
      <c r="EW137" s="740">
        <v>2</v>
      </c>
      <c r="EX137" s="740">
        <v>1</v>
      </c>
      <c r="EY137" s="740">
        <v>2</v>
      </c>
      <c r="EZ137" s="982"/>
      <c r="FA137" s="740">
        <v>4</v>
      </c>
      <c r="FB137" s="740">
        <v>9</v>
      </c>
      <c r="FC137" s="740">
        <v>5</v>
      </c>
      <c r="FD137" s="740">
        <v>4</v>
      </c>
      <c r="FE137" s="740">
        <v>27</v>
      </c>
      <c r="FF137" s="905">
        <f>+(FE136+FE134-FC134)/FE137</f>
        <v>0.14814814814814814</v>
      </c>
      <c r="FG137" s="73"/>
      <c r="FH137" s="73"/>
      <c r="FI137" s="161"/>
      <c r="FJ137" s="161"/>
      <c r="FK137" s="161"/>
      <c r="FL137" s="73" t="s">
        <v>1288</v>
      </c>
      <c r="FM137" s="73"/>
      <c r="FN137" s="73"/>
      <c r="FO137" s="73">
        <v>0</v>
      </c>
      <c r="FP137" s="73"/>
      <c r="FQ137" s="73"/>
      <c r="FR137" s="73"/>
      <c r="FS137" s="73">
        <v>0</v>
      </c>
      <c r="FT137" s="73"/>
      <c r="FU137" s="73">
        <v>0</v>
      </c>
      <c r="FV137" s="73">
        <v>0</v>
      </c>
      <c r="FW137" s="73">
        <v>0</v>
      </c>
      <c r="FX137" s="73">
        <v>0</v>
      </c>
      <c r="FY137" s="73">
        <v>1</v>
      </c>
      <c r="FZ137" s="73">
        <v>0</v>
      </c>
      <c r="GA137" s="73">
        <v>0</v>
      </c>
      <c r="GB137" s="73">
        <v>0</v>
      </c>
      <c r="GC137" s="73">
        <v>1</v>
      </c>
      <c r="GD137" s="73"/>
      <c r="GE137" s="73"/>
      <c r="GF137" s="968"/>
      <c r="GG137" s="968"/>
      <c r="GH137" s="968" t="s">
        <v>16</v>
      </c>
      <c r="GI137" s="968" t="s">
        <v>1283</v>
      </c>
      <c r="GJ137" s="968">
        <v>0</v>
      </c>
      <c r="GK137" s="968">
        <v>0</v>
      </c>
      <c r="GL137" s="968">
        <v>0</v>
      </c>
      <c r="GM137" s="968">
        <v>0</v>
      </c>
      <c r="GN137" s="968">
        <v>0</v>
      </c>
      <c r="GO137" s="968">
        <v>1</v>
      </c>
      <c r="GP137" s="968">
        <v>0</v>
      </c>
      <c r="GQ137" s="968">
        <v>0</v>
      </c>
      <c r="GR137" s="968">
        <v>0</v>
      </c>
      <c r="GS137" s="968">
        <v>0</v>
      </c>
      <c r="GT137" s="968">
        <v>0</v>
      </c>
      <c r="GU137" s="968">
        <v>0</v>
      </c>
      <c r="GV137" s="968">
        <v>0</v>
      </c>
      <c r="GW137" s="968">
        <v>0</v>
      </c>
      <c r="GX137" s="968">
        <v>0</v>
      </c>
      <c r="GY137" s="968">
        <v>0</v>
      </c>
      <c r="GZ137" s="968">
        <v>1</v>
      </c>
      <c r="HA137" s="968"/>
      <c r="HB137" s="969"/>
    </row>
    <row r="138" spans="1:210">
      <c r="A138" s="73"/>
      <c r="B138" s="73" t="s">
        <v>41</v>
      </c>
      <c r="C138" s="73" t="s">
        <v>130</v>
      </c>
      <c r="D138" s="73" t="s">
        <v>1283</v>
      </c>
      <c r="E138" s="967">
        <v>0</v>
      </c>
      <c r="F138" s="967"/>
      <c r="G138" s="967"/>
      <c r="H138" s="967"/>
      <c r="I138" s="967"/>
      <c r="J138" s="967">
        <v>0</v>
      </c>
      <c r="K138" s="967"/>
      <c r="L138" s="967"/>
      <c r="M138" s="967"/>
      <c r="N138" s="967"/>
      <c r="O138" s="967"/>
      <c r="P138" s="967">
        <v>0</v>
      </c>
      <c r="Q138" s="967">
        <v>0</v>
      </c>
      <c r="R138" s="967">
        <v>0</v>
      </c>
      <c r="S138" s="967">
        <v>0</v>
      </c>
      <c r="T138" s="73">
        <v>0</v>
      </c>
      <c r="U138" s="73">
        <v>1</v>
      </c>
      <c r="V138" s="73">
        <v>1</v>
      </c>
      <c r="W138" s="73"/>
      <c r="Y138" s="73"/>
      <c r="Z138" s="73"/>
      <c r="AA138" s="73"/>
      <c r="AB138" s="73" t="s">
        <v>1398</v>
      </c>
      <c r="AC138" s="3261"/>
      <c r="AD138" s="3261">
        <v>0</v>
      </c>
      <c r="AE138" s="3261">
        <v>0</v>
      </c>
      <c r="AF138" s="3261"/>
      <c r="AG138" s="3261"/>
      <c r="AH138" s="3261"/>
      <c r="AI138" s="3261"/>
      <c r="AJ138" s="3261"/>
      <c r="AK138" s="3261">
        <v>1</v>
      </c>
      <c r="AL138" s="3261">
        <v>0</v>
      </c>
      <c r="AM138" s="3261">
        <v>0</v>
      </c>
      <c r="AN138" s="3261">
        <v>0</v>
      </c>
      <c r="AO138" s="3261">
        <v>3</v>
      </c>
      <c r="AP138" s="3261">
        <v>1</v>
      </c>
      <c r="AQ138" s="3261">
        <v>2</v>
      </c>
      <c r="AR138" s="161">
        <v>0</v>
      </c>
      <c r="AS138" s="161">
        <v>0</v>
      </c>
      <c r="AT138" s="161">
        <v>7</v>
      </c>
      <c r="AU138" s="73"/>
      <c r="AY138" s="73"/>
      <c r="AZ138" s="73" t="s">
        <v>2013</v>
      </c>
      <c r="BA138" s="2607">
        <v>1</v>
      </c>
      <c r="BB138" s="2607">
        <v>0</v>
      </c>
      <c r="BC138" s="2607">
        <v>0</v>
      </c>
      <c r="BD138" s="2607">
        <v>0</v>
      </c>
      <c r="BE138" s="2607"/>
      <c r="BF138" s="2607">
        <v>0</v>
      </c>
      <c r="BG138" s="2607"/>
      <c r="BH138" s="2607">
        <v>0</v>
      </c>
      <c r="BI138" s="2607">
        <v>0</v>
      </c>
      <c r="BJ138" s="2607">
        <v>0</v>
      </c>
      <c r="BK138" s="2607">
        <v>0</v>
      </c>
      <c r="BL138" s="2607">
        <v>0</v>
      </c>
      <c r="BM138" s="2607">
        <v>0</v>
      </c>
      <c r="BN138" s="2607">
        <v>0</v>
      </c>
      <c r="BO138" s="2607">
        <v>0</v>
      </c>
      <c r="BP138" s="73">
        <v>0</v>
      </c>
      <c r="BQ138" s="73">
        <v>0</v>
      </c>
      <c r="BR138" s="73">
        <v>1</v>
      </c>
      <c r="BS138" s="73"/>
      <c r="BU138" s="2207"/>
      <c r="BV138" s="2207"/>
      <c r="BW138" s="2207"/>
      <c r="BX138" s="2208" t="s">
        <v>1292</v>
      </c>
      <c r="BY138" s="2210">
        <v>0</v>
      </c>
      <c r="BZ138" s="2210">
        <v>0</v>
      </c>
      <c r="CA138" s="2209"/>
      <c r="CB138" s="2210">
        <v>0</v>
      </c>
      <c r="CC138" s="2210">
        <v>0</v>
      </c>
      <c r="CD138" s="2209"/>
      <c r="CE138" s="2210">
        <v>0</v>
      </c>
      <c r="CF138" s="2210">
        <v>0</v>
      </c>
      <c r="CG138" s="2210">
        <v>0</v>
      </c>
      <c r="CH138" s="2210">
        <v>0</v>
      </c>
      <c r="CI138" s="2210">
        <v>0</v>
      </c>
      <c r="CJ138" s="2210">
        <v>3</v>
      </c>
      <c r="CK138" s="2210">
        <v>0</v>
      </c>
      <c r="CL138" s="2212">
        <v>1</v>
      </c>
      <c r="CM138" s="2212">
        <v>1</v>
      </c>
      <c r="CN138" s="2212">
        <v>5</v>
      </c>
      <c r="CO138" s="73"/>
      <c r="CQ138" s="955"/>
      <c r="CR138" s="955"/>
      <c r="CS138" s="955"/>
      <c r="CT138" s="974" t="s">
        <v>15</v>
      </c>
      <c r="CU138" s="975"/>
      <c r="CV138" s="975"/>
      <c r="CW138" s="975"/>
      <c r="CX138" s="975"/>
      <c r="CY138" s="975"/>
      <c r="CZ138" s="975"/>
      <c r="DA138" s="976">
        <v>1</v>
      </c>
      <c r="DB138" s="975"/>
      <c r="DC138" s="976">
        <v>1</v>
      </c>
      <c r="DD138" s="976">
        <v>5</v>
      </c>
      <c r="DE138" s="976">
        <v>6</v>
      </c>
      <c r="DF138" s="975"/>
      <c r="DG138" s="975"/>
      <c r="DH138" s="975"/>
      <c r="DI138" s="975"/>
      <c r="DJ138" s="977"/>
      <c r="DK138" s="977"/>
      <c r="DL138" s="978">
        <v>13</v>
      </c>
      <c r="DM138" s="912">
        <f>+DL137/DL138</f>
        <v>0.30769230769230771</v>
      </c>
      <c r="DO138" s="788"/>
      <c r="DP138" s="788"/>
      <c r="DQ138" s="788" t="s">
        <v>129</v>
      </c>
      <c r="DR138" s="789" t="s">
        <v>1282</v>
      </c>
      <c r="DS138" s="789" t="s">
        <v>1288</v>
      </c>
      <c r="DT138" s="961"/>
      <c r="DU138" s="961"/>
      <c r="DV138" s="961"/>
      <c r="DW138" s="961"/>
      <c r="DX138" s="961"/>
      <c r="DY138" s="961"/>
      <c r="DZ138" s="961"/>
      <c r="EA138" s="961"/>
      <c r="EB138" s="961"/>
      <c r="EC138" s="961"/>
      <c r="ED138" s="961"/>
      <c r="EE138" s="962">
        <v>1</v>
      </c>
      <c r="EF138" s="961"/>
      <c r="EG138" s="962">
        <v>1</v>
      </c>
      <c r="EH138" s="961"/>
      <c r="EI138" s="963"/>
      <c r="EJ138" s="963"/>
      <c r="EK138" s="964">
        <v>2</v>
      </c>
      <c r="EL138" s="912"/>
      <c r="EM138" s="73"/>
      <c r="EN138" s="965"/>
      <c r="EO138" s="73"/>
      <c r="EP138" s="965" t="s">
        <v>573</v>
      </c>
      <c r="EQ138" s="734" t="s">
        <v>1283</v>
      </c>
      <c r="ER138" s="735">
        <v>0</v>
      </c>
      <c r="ES138" s="735">
        <v>0</v>
      </c>
      <c r="ET138" s="735">
        <v>0</v>
      </c>
      <c r="EU138" s="735">
        <v>0</v>
      </c>
      <c r="EV138" s="966"/>
      <c r="EW138" s="735">
        <v>0</v>
      </c>
      <c r="EX138" s="735">
        <v>0</v>
      </c>
      <c r="EY138" s="735">
        <v>0</v>
      </c>
      <c r="EZ138" s="735">
        <v>1</v>
      </c>
      <c r="FA138" s="735">
        <v>1</v>
      </c>
      <c r="FB138" s="735">
        <v>0</v>
      </c>
      <c r="FC138" s="735">
        <v>0</v>
      </c>
      <c r="FD138" s="735">
        <v>0</v>
      </c>
      <c r="FE138" s="735">
        <v>2</v>
      </c>
      <c r="FF138" s="967"/>
      <c r="FG138" s="73"/>
      <c r="FH138" s="73"/>
      <c r="FI138" s="161"/>
      <c r="FJ138" s="161"/>
      <c r="FK138" s="161"/>
      <c r="FL138" s="73" t="s">
        <v>1292</v>
      </c>
      <c r="FM138" s="73"/>
      <c r="FN138" s="73"/>
      <c r="FO138" s="73">
        <v>0</v>
      </c>
      <c r="FP138" s="73"/>
      <c r="FQ138" s="73"/>
      <c r="FR138" s="73"/>
      <c r="FS138" s="73">
        <v>0</v>
      </c>
      <c r="FT138" s="73"/>
      <c r="FU138" s="73">
        <v>0</v>
      </c>
      <c r="FV138" s="73">
        <v>0</v>
      </c>
      <c r="FW138" s="73">
        <v>0</v>
      </c>
      <c r="FX138" s="73">
        <v>0</v>
      </c>
      <c r="FY138" s="73">
        <v>0</v>
      </c>
      <c r="FZ138" s="73">
        <v>6</v>
      </c>
      <c r="GA138" s="73">
        <v>4</v>
      </c>
      <c r="GB138" s="73">
        <v>4</v>
      </c>
      <c r="GC138" s="73">
        <v>14</v>
      </c>
      <c r="GD138" s="73"/>
      <c r="GE138" s="73"/>
      <c r="GF138" s="968"/>
      <c r="GG138" s="968"/>
      <c r="GH138" s="968"/>
      <c r="GI138" s="968" t="s">
        <v>1284</v>
      </c>
      <c r="GJ138" s="968">
        <v>0</v>
      </c>
      <c r="GK138" s="968">
        <v>0</v>
      </c>
      <c r="GL138" s="968">
        <v>0</v>
      </c>
      <c r="GM138" s="968">
        <v>0</v>
      </c>
      <c r="GN138" s="968">
        <v>0</v>
      </c>
      <c r="GO138" s="968">
        <v>0</v>
      </c>
      <c r="GP138" s="968">
        <v>0</v>
      </c>
      <c r="GQ138" s="968">
        <v>0</v>
      </c>
      <c r="GR138" s="968">
        <v>3</v>
      </c>
      <c r="GS138" s="968">
        <v>1</v>
      </c>
      <c r="GT138" s="968">
        <v>0</v>
      </c>
      <c r="GU138" s="968">
        <v>1</v>
      </c>
      <c r="GV138" s="968">
        <v>0</v>
      </c>
      <c r="GW138" s="968">
        <v>0</v>
      </c>
      <c r="GX138" s="968">
        <v>0</v>
      </c>
      <c r="GY138" s="968">
        <v>0</v>
      </c>
      <c r="GZ138" s="968">
        <v>5</v>
      </c>
      <c r="HA138" s="968"/>
      <c r="HB138" s="969"/>
    </row>
    <row r="139" spans="1:210">
      <c r="A139" s="73"/>
      <c r="B139" s="73"/>
      <c r="C139" s="73"/>
      <c r="D139" s="73" t="s">
        <v>1284</v>
      </c>
      <c r="E139" s="967">
        <v>1</v>
      </c>
      <c r="F139" s="967"/>
      <c r="G139" s="967"/>
      <c r="H139" s="967"/>
      <c r="I139" s="967"/>
      <c r="J139" s="967">
        <v>0</v>
      </c>
      <c r="K139" s="967"/>
      <c r="L139" s="967"/>
      <c r="M139" s="967"/>
      <c r="N139" s="967"/>
      <c r="O139" s="967"/>
      <c r="P139" s="967">
        <v>0</v>
      </c>
      <c r="Q139" s="967">
        <v>0</v>
      </c>
      <c r="R139" s="967">
        <v>0</v>
      </c>
      <c r="S139" s="967">
        <v>0</v>
      </c>
      <c r="T139" s="73">
        <v>0</v>
      </c>
      <c r="U139" s="73">
        <v>0</v>
      </c>
      <c r="V139" s="73">
        <v>1</v>
      </c>
      <c r="W139" s="73"/>
      <c r="Y139" s="73"/>
      <c r="Z139" s="73"/>
      <c r="AA139" s="73"/>
      <c r="AB139" s="738" t="s">
        <v>573</v>
      </c>
      <c r="AC139" s="3262"/>
      <c r="AD139" s="3262">
        <v>1</v>
      </c>
      <c r="AE139" s="3262">
        <v>2</v>
      </c>
      <c r="AF139" s="3262"/>
      <c r="AG139" s="3262"/>
      <c r="AH139" s="3262"/>
      <c r="AI139" s="3262"/>
      <c r="AJ139" s="3262"/>
      <c r="AK139" s="3262">
        <v>2</v>
      </c>
      <c r="AL139" s="3262">
        <v>6</v>
      </c>
      <c r="AM139" s="3262">
        <v>3</v>
      </c>
      <c r="AN139" s="3262">
        <v>4</v>
      </c>
      <c r="AO139" s="3262">
        <v>34</v>
      </c>
      <c r="AP139" s="3262">
        <v>9</v>
      </c>
      <c r="AQ139" s="3262">
        <v>5</v>
      </c>
      <c r="AR139" s="151">
        <v>1</v>
      </c>
      <c r="AS139" s="151">
        <v>4</v>
      </c>
      <c r="AT139" s="151">
        <v>71</v>
      </c>
      <c r="AU139" s="912">
        <f>+(AT134+AT137+AT138)/AT139</f>
        <v>0.26760563380281688</v>
      </c>
      <c r="AY139" s="73"/>
      <c r="AZ139" s="738" t="s">
        <v>111</v>
      </c>
      <c r="BA139" s="2608">
        <v>2</v>
      </c>
      <c r="BB139" s="2608">
        <v>6</v>
      </c>
      <c r="BC139" s="2608">
        <v>1</v>
      </c>
      <c r="BD139" s="2608">
        <v>2</v>
      </c>
      <c r="BE139" s="2608"/>
      <c r="BF139" s="2608">
        <v>2</v>
      </c>
      <c r="BG139" s="2608"/>
      <c r="BH139" s="2608">
        <v>2</v>
      </c>
      <c r="BI139" s="2608">
        <v>2</v>
      </c>
      <c r="BJ139" s="2608">
        <v>2</v>
      </c>
      <c r="BK139" s="2608">
        <v>1</v>
      </c>
      <c r="BL139" s="2608">
        <v>2</v>
      </c>
      <c r="BM139" s="2608">
        <v>47</v>
      </c>
      <c r="BN139" s="2608">
        <v>48</v>
      </c>
      <c r="BO139" s="2608">
        <v>47</v>
      </c>
      <c r="BP139" s="738">
        <v>15</v>
      </c>
      <c r="BQ139" s="738">
        <v>23</v>
      </c>
      <c r="BR139" s="738">
        <v>202</v>
      </c>
      <c r="BS139" s="912">
        <f>+(BR134+BR137-BP134-BP137)/(BR139-BR138)</f>
        <v>0.32835820895522388</v>
      </c>
      <c r="BU139" s="2207"/>
      <c r="BV139" s="2207"/>
      <c r="BW139" s="2207"/>
      <c r="BX139" s="2208" t="s">
        <v>1293</v>
      </c>
      <c r="BY139" s="2210">
        <v>0</v>
      </c>
      <c r="BZ139" s="2210">
        <v>0</v>
      </c>
      <c r="CA139" s="2209"/>
      <c r="CB139" s="2210">
        <v>0</v>
      </c>
      <c r="CC139" s="2210">
        <v>0</v>
      </c>
      <c r="CD139" s="2209"/>
      <c r="CE139" s="2210">
        <v>0</v>
      </c>
      <c r="CF139" s="2210">
        <v>0</v>
      </c>
      <c r="CG139" s="2210">
        <v>0</v>
      </c>
      <c r="CH139" s="2210">
        <v>2</v>
      </c>
      <c r="CI139" s="2210">
        <v>4</v>
      </c>
      <c r="CJ139" s="2210">
        <v>0</v>
      </c>
      <c r="CK139" s="2210">
        <v>0</v>
      </c>
      <c r="CL139" s="2212">
        <v>0</v>
      </c>
      <c r="CM139" s="2212">
        <v>0</v>
      </c>
      <c r="CN139" s="2212">
        <v>6</v>
      </c>
      <c r="CO139" s="73"/>
      <c r="CQ139" s="955"/>
      <c r="CR139" s="955"/>
      <c r="CS139" s="955" t="s">
        <v>338</v>
      </c>
      <c r="CT139" s="956" t="s">
        <v>1284</v>
      </c>
      <c r="CU139" s="957"/>
      <c r="CV139" s="957"/>
      <c r="CW139" s="957"/>
      <c r="CX139" s="957"/>
      <c r="CY139" s="957"/>
      <c r="CZ139" s="957"/>
      <c r="DA139" s="957"/>
      <c r="DB139" s="957"/>
      <c r="DC139" s="958">
        <v>1</v>
      </c>
      <c r="DD139" s="958">
        <v>2</v>
      </c>
      <c r="DE139" s="958">
        <v>0</v>
      </c>
      <c r="DF139" s="958">
        <v>1</v>
      </c>
      <c r="DG139" s="957"/>
      <c r="DH139" s="958">
        <v>1</v>
      </c>
      <c r="DI139" s="957"/>
      <c r="DJ139" s="959"/>
      <c r="DK139" s="959"/>
      <c r="DL139" s="960">
        <v>5</v>
      </c>
      <c r="DM139" s="161"/>
      <c r="DO139" s="788"/>
      <c r="DP139" s="788"/>
      <c r="DQ139" s="788"/>
      <c r="DR139" s="73"/>
      <c r="DS139" s="809" t="s">
        <v>15</v>
      </c>
      <c r="DT139" s="970"/>
      <c r="DU139" s="970"/>
      <c r="DV139" s="970"/>
      <c r="DW139" s="970"/>
      <c r="DX139" s="970"/>
      <c r="DY139" s="970"/>
      <c r="DZ139" s="970"/>
      <c r="EA139" s="970"/>
      <c r="EB139" s="970"/>
      <c r="EC139" s="970"/>
      <c r="ED139" s="970"/>
      <c r="EE139" s="971">
        <v>1</v>
      </c>
      <c r="EF139" s="970"/>
      <c r="EG139" s="971">
        <v>1</v>
      </c>
      <c r="EH139" s="970"/>
      <c r="EI139" s="972"/>
      <c r="EJ139" s="972"/>
      <c r="EK139" s="973">
        <v>2</v>
      </c>
      <c r="EL139" s="912">
        <f>+EK138/EK139</f>
        <v>1</v>
      </c>
      <c r="EM139" s="73"/>
      <c r="EN139" s="965"/>
      <c r="EO139" s="73"/>
      <c r="EP139" s="965"/>
      <c r="EQ139" s="734" t="s">
        <v>1284</v>
      </c>
      <c r="ER139" s="735">
        <v>0</v>
      </c>
      <c r="ES139" s="735">
        <v>0</v>
      </c>
      <c r="ET139" s="735">
        <v>2</v>
      </c>
      <c r="EU139" s="735">
        <v>0</v>
      </c>
      <c r="EV139" s="966"/>
      <c r="EW139" s="735">
        <v>1</v>
      </c>
      <c r="EX139" s="735">
        <v>1</v>
      </c>
      <c r="EY139" s="735">
        <v>1</v>
      </c>
      <c r="EZ139" s="735">
        <v>1</v>
      </c>
      <c r="FA139" s="735">
        <v>0</v>
      </c>
      <c r="FB139" s="735">
        <v>0</v>
      </c>
      <c r="FC139" s="735">
        <v>0</v>
      </c>
      <c r="FD139" s="735">
        <v>0</v>
      </c>
      <c r="FE139" s="735">
        <v>6</v>
      </c>
      <c r="FF139" s="967"/>
      <c r="FG139" s="73"/>
      <c r="FH139" s="73"/>
      <c r="FI139" s="161"/>
      <c r="FJ139" s="161"/>
      <c r="FK139" s="161"/>
      <c r="FL139" s="73" t="s">
        <v>1398</v>
      </c>
      <c r="FM139" s="73"/>
      <c r="FN139" s="73"/>
      <c r="FO139" s="73">
        <v>0</v>
      </c>
      <c r="FP139" s="73"/>
      <c r="FQ139" s="73"/>
      <c r="FR139" s="73"/>
      <c r="FS139" s="73">
        <v>0</v>
      </c>
      <c r="FT139" s="73"/>
      <c r="FU139" s="73">
        <v>0</v>
      </c>
      <c r="FV139" s="73">
        <v>1</v>
      </c>
      <c r="FW139" s="73">
        <v>1</v>
      </c>
      <c r="FX139" s="73">
        <v>2</v>
      </c>
      <c r="FY139" s="73">
        <v>2</v>
      </c>
      <c r="FZ139" s="73">
        <v>1</v>
      </c>
      <c r="GA139" s="73">
        <v>0</v>
      </c>
      <c r="GB139" s="73">
        <v>0</v>
      </c>
      <c r="GC139" s="73">
        <v>7</v>
      </c>
      <c r="GD139" s="73"/>
      <c r="GE139" s="73"/>
      <c r="GF139" s="968"/>
      <c r="GG139" s="968"/>
      <c r="GH139" s="968"/>
      <c r="GI139" s="968" t="s">
        <v>1286</v>
      </c>
      <c r="GJ139" s="968">
        <v>0</v>
      </c>
      <c r="GK139" s="968">
        <v>0</v>
      </c>
      <c r="GL139" s="968">
        <v>0</v>
      </c>
      <c r="GM139" s="968">
        <v>0</v>
      </c>
      <c r="GN139" s="968">
        <v>0</v>
      </c>
      <c r="GO139" s="968">
        <v>0</v>
      </c>
      <c r="GP139" s="968">
        <v>0</v>
      </c>
      <c r="GQ139" s="968">
        <v>1</v>
      </c>
      <c r="GR139" s="968">
        <v>0</v>
      </c>
      <c r="GS139" s="968">
        <v>0</v>
      </c>
      <c r="GT139" s="968">
        <v>0</v>
      </c>
      <c r="GU139" s="968">
        <v>0</v>
      </c>
      <c r="GV139" s="968">
        <v>0</v>
      </c>
      <c r="GW139" s="968">
        <v>0</v>
      </c>
      <c r="GX139" s="968">
        <v>0</v>
      </c>
      <c r="GY139" s="968">
        <v>0</v>
      </c>
      <c r="GZ139" s="968">
        <v>1</v>
      </c>
      <c r="HA139" s="968"/>
      <c r="HB139" s="969"/>
    </row>
    <row r="140" spans="1:210">
      <c r="A140" s="73"/>
      <c r="B140" s="73"/>
      <c r="C140" s="73"/>
      <c r="D140" s="73" t="s">
        <v>1286</v>
      </c>
      <c r="E140" s="967">
        <v>0</v>
      </c>
      <c r="F140" s="967"/>
      <c r="G140" s="967"/>
      <c r="H140" s="967"/>
      <c r="I140" s="967"/>
      <c r="J140" s="967">
        <v>1</v>
      </c>
      <c r="K140" s="967"/>
      <c r="L140" s="967"/>
      <c r="M140" s="967"/>
      <c r="N140" s="967"/>
      <c r="O140" s="967"/>
      <c r="P140" s="967">
        <v>0</v>
      </c>
      <c r="Q140" s="967">
        <v>0</v>
      </c>
      <c r="R140" s="967">
        <v>0</v>
      </c>
      <c r="S140" s="967">
        <v>0</v>
      </c>
      <c r="T140" s="73">
        <v>0</v>
      </c>
      <c r="U140" s="73">
        <v>0</v>
      </c>
      <c r="V140" s="73">
        <v>1</v>
      </c>
      <c r="W140" s="73"/>
      <c r="Y140" s="73"/>
      <c r="Z140" s="73" t="s">
        <v>41</v>
      </c>
      <c r="AA140" s="73" t="s">
        <v>338</v>
      </c>
      <c r="AB140" s="73" t="s">
        <v>1284</v>
      </c>
      <c r="AC140" s="3261"/>
      <c r="AD140" s="3261"/>
      <c r="AE140" s="3261"/>
      <c r="AF140" s="3261"/>
      <c r="AG140" s="3261"/>
      <c r="AH140" s="3261"/>
      <c r="AI140" s="3261"/>
      <c r="AJ140" s="3261"/>
      <c r="AK140" s="3261">
        <v>1</v>
      </c>
      <c r="AL140" s="3261"/>
      <c r="AM140" s="3261">
        <v>1</v>
      </c>
      <c r="AN140" s="3261"/>
      <c r="AO140" s="3261">
        <v>0</v>
      </c>
      <c r="AP140" s="3261">
        <v>1</v>
      </c>
      <c r="AQ140" s="3261">
        <v>0</v>
      </c>
      <c r="AR140" s="161"/>
      <c r="AS140" s="161">
        <v>0</v>
      </c>
      <c r="AT140" s="161">
        <v>3</v>
      </c>
      <c r="AU140" s="73"/>
      <c r="AW140" s="161" t="s">
        <v>48</v>
      </c>
      <c r="AX140" s="161" t="s">
        <v>41</v>
      </c>
      <c r="AY140" s="73" t="s">
        <v>146</v>
      </c>
      <c r="AZ140" s="73" t="s">
        <v>1284</v>
      </c>
      <c r="BA140" s="2607"/>
      <c r="BB140" s="2607"/>
      <c r="BC140" s="2607">
        <v>1</v>
      </c>
      <c r="BD140" s="2607"/>
      <c r="BE140" s="2607"/>
      <c r="BF140" s="2607"/>
      <c r="BG140" s="2607"/>
      <c r="BH140" s="2607">
        <v>1</v>
      </c>
      <c r="BI140" s="2607"/>
      <c r="BJ140" s="2607">
        <v>5</v>
      </c>
      <c r="BK140" s="2607">
        <v>2</v>
      </c>
      <c r="BL140" s="2607"/>
      <c r="BM140" s="2607">
        <v>0</v>
      </c>
      <c r="BN140" s="2607"/>
      <c r="BO140" s="2607">
        <v>0</v>
      </c>
      <c r="BP140" s="73"/>
      <c r="BQ140" s="73"/>
      <c r="BR140" s="73">
        <v>9</v>
      </c>
      <c r="BS140" s="73"/>
      <c r="BU140" s="2207"/>
      <c r="BV140" s="2207"/>
      <c r="BW140" s="2207"/>
      <c r="BX140" s="2208" t="s">
        <v>1398</v>
      </c>
      <c r="BY140" s="2210">
        <v>0</v>
      </c>
      <c r="BZ140" s="2210">
        <v>0</v>
      </c>
      <c r="CA140" s="2209"/>
      <c r="CB140" s="2210">
        <v>0</v>
      </c>
      <c r="CC140" s="2210">
        <v>0</v>
      </c>
      <c r="CD140" s="2209"/>
      <c r="CE140" s="2210">
        <v>0</v>
      </c>
      <c r="CF140" s="2210">
        <v>2</v>
      </c>
      <c r="CG140" s="2210">
        <v>0</v>
      </c>
      <c r="CH140" s="2210">
        <v>1</v>
      </c>
      <c r="CI140" s="2210">
        <v>5</v>
      </c>
      <c r="CJ140" s="2210">
        <v>2</v>
      </c>
      <c r="CK140" s="2210">
        <v>0</v>
      </c>
      <c r="CL140" s="2212">
        <v>0</v>
      </c>
      <c r="CM140" s="2212">
        <v>0</v>
      </c>
      <c r="CN140" s="2212">
        <v>10</v>
      </c>
      <c r="CO140" s="73"/>
      <c r="CQ140" s="955"/>
      <c r="CR140" s="955"/>
      <c r="CS140" s="955"/>
      <c r="CT140" s="956" t="s">
        <v>1288</v>
      </c>
      <c r="CU140" s="957"/>
      <c r="CV140" s="957"/>
      <c r="CW140" s="957"/>
      <c r="CX140" s="957"/>
      <c r="CY140" s="957"/>
      <c r="CZ140" s="957"/>
      <c r="DA140" s="957"/>
      <c r="DB140" s="957"/>
      <c r="DC140" s="958">
        <v>0</v>
      </c>
      <c r="DD140" s="958">
        <v>0</v>
      </c>
      <c r="DE140" s="958">
        <v>1</v>
      </c>
      <c r="DF140" s="958">
        <v>0</v>
      </c>
      <c r="DG140" s="957"/>
      <c r="DH140" s="958">
        <v>0</v>
      </c>
      <c r="DI140" s="957"/>
      <c r="DJ140" s="959"/>
      <c r="DK140" s="959"/>
      <c r="DL140" s="960">
        <v>1</v>
      </c>
      <c r="DM140" s="161"/>
      <c r="DO140" s="788"/>
      <c r="DP140" s="788"/>
      <c r="DQ140" s="788" t="s">
        <v>112</v>
      </c>
      <c r="DR140" s="788" t="s">
        <v>1282</v>
      </c>
      <c r="DS140" s="789" t="s">
        <v>1284</v>
      </c>
      <c r="DT140" s="961"/>
      <c r="DU140" s="961"/>
      <c r="DV140" s="961"/>
      <c r="DW140" s="962">
        <v>1</v>
      </c>
      <c r="DX140" s="961"/>
      <c r="DY140" s="961"/>
      <c r="DZ140" s="961"/>
      <c r="EA140" s="961"/>
      <c r="EB140" s="961"/>
      <c r="EC140" s="961"/>
      <c r="ED140" s="961"/>
      <c r="EE140" s="962">
        <v>1</v>
      </c>
      <c r="EF140" s="962">
        <v>8</v>
      </c>
      <c r="EG140" s="962">
        <v>1</v>
      </c>
      <c r="EH140" s="962">
        <v>0</v>
      </c>
      <c r="EI140" s="963"/>
      <c r="EJ140" s="963"/>
      <c r="EK140" s="964">
        <v>11</v>
      </c>
      <c r="EL140" s="912"/>
      <c r="EM140" s="73"/>
      <c r="EN140" s="965"/>
      <c r="EO140" s="73"/>
      <c r="EP140" s="965"/>
      <c r="EQ140" s="734" t="s">
        <v>1286</v>
      </c>
      <c r="ER140" s="735">
        <v>1</v>
      </c>
      <c r="ES140" s="735">
        <v>1</v>
      </c>
      <c r="ET140" s="735">
        <v>0</v>
      </c>
      <c r="EU140" s="735">
        <v>1</v>
      </c>
      <c r="EV140" s="966"/>
      <c r="EW140" s="735">
        <v>0</v>
      </c>
      <c r="EX140" s="735">
        <v>0</v>
      </c>
      <c r="EY140" s="735">
        <v>0</v>
      </c>
      <c r="EZ140" s="735">
        <v>0</v>
      </c>
      <c r="FA140" s="735">
        <v>0</v>
      </c>
      <c r="FB140" s="735">
        <v>0</v>
      </c>
      <c r="FC140" s="735">
        <v>0</v>
      </c>
      <c r="FD140" s="735">
        <v>0</v>
      </c>
      <c r="FE140" s="735">
        <v>3</v>
      </c>
      <c r="FF140" s="967"/>
      <c r="FG140" s="73"/>
      <c r="FH140" s="73"/>
      <c r="FI140" s="161"/>
      <c r="FJ140" s="161"/>
      <c r="FK140" s="161"/>
      <c r="FL140" s="738" t="s">
        <v>15</v>
      </c>
      <c r="FM140" s="738"/>
      <c r="FN140" s="738"/>
      <c r="FO140" s="738">
        <v>1</v>
      </c>
      <c r="FP140" s="738"/>
      <c r="FQ140" s="738"/>
      <c r="FR140" s="738"/>
      <c r="FS140" s="738">
        <v>1</v>
      </c>
      <c r="FT140" s="738"/>
      <c r="FU140" s="738">
        <v>1</v>
      </c>
      <c r="FV140" s="738">
        <v>3</v>
      </c>
      <c r="FW140" s="738">
        <v>1</v>
      </c>
      <c r="FX140" s="738">
        <v>2</v>
      </c>
      <c r="FY140" s="738">
        <v>4</v>
      </c>
      <c r="FZ140" s="738">
        <v>12</v>
      </c>
      <c r="GA140" s="738">
        <v>5</v>
      </c>
      <c r="GB140" s="738">
        <v>5</v>
      </c>
      <c r="GC140" s="738">
        <v>35</v>
      </c>
      <c r="GD140" s="983">
        <f>+(GC137+GC139)/GC140</f>
        <v>0.22857142857142856</v>
      </c>
      <c r="GE140" s="73"/>
      <c r="GF140" s="968"/>
      <c r="GG140" s="968"/>
      <c r="GH140" s="968"/>
      <c r="GI140" s="968" t="s">
        <v>1288</v>
      </c>
      <c r="GJ140" s="968">
        <v>0</v>
      </c>
      <c r="GK140" s="968">
        <v>0</v>
      </c>
      <c r="GL140" s="968">
        <v>0</v>
      </c>
      <c r="GM140" s="968">
        <v>0</v>
      </c>
      <c r="GN140" s="968">
        <v>0</v>
      </c>
      <c r="GO140" s="968">
        <v>0</v>
      </c>
      <c r="GP140" s="968">
        <v>0</v>
      </c>
      <c r="GQ140" s="968">
        <v>0</v>
      </c>
      <c r="GR140" s="968">
        <v>2</v>
      </c>
      <c r="GS140" s="968">
        <v>4</v>
      </c>
      <c r="GT140" s="968">
        <v>0</v>
      </c>
      <c r="GU140" s="968">
        <v>9</v>
      </c>
      <c r="GV140" s="968">
        <v>0</v>
      </c>
      <c r="GW140" s="968">
        <v>0</v>
      </c>
      <c r="GX140" s="968">
        <v>0</v>
      </c>
      <c r="GY140" s="968">
        <v>0</v>
      </c>
      <c r="GZ140" s="968">
        <v>15</v>
      </c>
      <c r="HA140" s="968"/>
      <c r="HB140" s="969"/>
    </row>
    <row r="141" spans="1:210">
      <c r="A141" s="73"/>
      <c r="B141" s="73"/>
      <c r="C141" s="73"/>
      <c r="D141" s="73" t="s">
        <v>1288</v>
      </c>
      <c r="E141" s="967">
        <v>0</v>
      </c>
      <c r="F141" s="967"/>
      <c r="G141" s="967"/>
      <c r="H141" s="967"/>
      <c r="I141" s="967"/>
      <c r="J141" s="967">
        <v>0</v>
      </c>
      <c r="K141" s="967"/>
      <c r="L141" s="967"/>
      <c r="M141" s="967"/>
      <c r="N141" s="967"/>
      <c r="O141" s="967"/>
      <c r="P141" s="967">
        <v>0</v>
      </c>
      <c r="Q141" s="967">
        <v>2</v>
      </c>
      <c r="R141" s="967">
        <v>2</v>
      </c>
      <c r="S141" s="967">
        <v>0</v>
      </c>
      <c r="T141" s="73">
        <v>1</v>
      </c>
      <c r="U141" s="73">
        <v>0</v>
      </c>
      <c r="V141" s="73">
        <v>5</v>
      </c>
      <c r="W141" s="73"/>
      <c r="Y141" s="73"/>
      <c r="Z141" s="73"/>
      <c r="AA141" s="73"/>
      <c r="AB141" s="73" t="s">
        <v>1288</v>
      </c>
      <c r="AC141" s="3261"/>
      <c r="AD141" s="3261"/>
      <c r="AE141" s="3261"/>
      <c r="AF141" s="3261"/>
      <c r="AG141" s="3261"/>
      <c r="AH141" s="3261"/>
      <c r="AI141" s="3261"/>
      <c r="AJ141" s="3261"/>
      <c r="AK141" s="3261">
        <v>0</v>
      </c>
      <c r="AL141" s="3261"/>
      <c r="AM141" s="3261">
        <v>0</v>
      </c>
      <c r="AN141" s="3261"/>
      <c r="AO141" s="3261">
        <v>1</v>
      </c>
      <c r="AP141" s="3261">
        <v>0</v>
      </c>
      <c r="AQ141" s="3261">
        <v>0</v>
      </c>
      <c r="AR141" s="161"/>
      <c r="AS141" s="161">
        <v>0</v>
      </c>
      <c r="AT141" s="161">
        <v>1</v>
      </c>
      <c r="AU141" s="73"/>
      <c r="AY141" s="73"/>
      <c r="AZ141" s="73" t="s">
        <v>1292</v>
      </c>
      <c r="BA141" s="2607"/>
      <c r="BB141" s="2607"/>
      <c r="BC141" s="2607">
        <v>0</v>
      </c>
      <c r="BD141" s="2607"/>
      <c r="BE141" s="2607"/>
      <c r="BF141" s="2607"/>
      <c r="BG141" s="2607"/>
      <c r="BH141" s="2607">
        <v>0</v>
      </c>
      <c r="BI141" s="2607"/>
      <c r="BJ141" s="2607">
        <v>0</v>
      </c>
      <c r="BK141" s="2607">
        <v>0</v>
      </c>
      <c r="BL141" s="2607"/>
      <c r="BM141" s="2607">
        <v>1</v>
      </c>
      <c r="BN141" s="2607"/>
      <c r="BO141" s="2607">
        <v>1</v>
      </c>
      <c r="BP141" s="73"/>
      <c r="BQ141" s="73"/>
      <c r="BR141" s="73">
        <v>2</v>
      </c>
      <c r="BS141" s="73"/>
      <c r="BU141" s="2207"/>
      <c r="BV141" s="2207"/>
      <c r="BW141" s="2207"/>
      <c r="BX141" s="2204" t="s">
        <v>573</v>
      </c>
      <c r="BY141" s="2214">
        <v>1</v>
      </c>
      <c r="BZ141" s="2214">
        <v>3</v>
      </c>
      <c r="CA141" s="2213"/>
      <c r="CB141" s="2214">
        <v>1</v>
      </c>
      <c r="CC141" s="2214">
        <v>2</v>
      </c>
      <c r="CD141" s="2213"/>
      <c r="CE141" s="2214">
        <v>2</v>
      </c>
      <c r="CF141" s="2214">
        <v>3</v>
      </c>
      <c r="CG141" s="2214">
        <v>3</v>
      </c>
      <c r="CH141" s="2214">
        <v>10</v>
      </c>
      <c r="CI141" s="2214">
        <v>34</v>
      </c>
      <c r="CJ141" s="2214">
        <v>10</v>
      </c>
      <c r="CK141" s="2214">
        <v>1</v>
      </c>
      <c r="CL141" s="2216">
        <v>1</v>
      </c>
      <c r="CM141" s="2216">
        <v>1</v>
      </c>
      <c r="CN141" s="2216">
        <v>72</v>
      </c>
      <c r="CO141" s="2154">
        <f>+(CN137+CN139+CN140)/CN141</f>
        <v>0.29166666666666669</v>
      </c>
      <c r="CQ141" s="955"/>
      <c r="CR141" s="955"/>
      <c r="CS141" s="955"/>
      <c r="CT141" s="956" t="s">
        <v>1398</v>
      </c>
      <c r="CU141" s="957"/>
      <c r="CV141" s="957"/>
      <c r="CW141" s="957"/>
      <c r="CX141" s="957"/>
      <c r="CY141" s="957"/>
      <c r="CZ141" s="957"/>
      <c r="DA141" s="957"/>
      <c r="DB141" s="957"/>
      <c r="DC141" s="958">
        <v>0</v>
      </c>
      <c r="DD141" s="958">
        <v>2</v>
      </c>
      <c r="DE141" s="958">
        <v>2</v>
      </c>
      <c r="DF141" s="958">
        <v>1</v>
      </c>
      <c r="DG141" s="957"/>
      <c r="DH141" s="958">
        <v>0</v>
      </c>
      <c r="DI141" s="957"/>
      <c r="DJ141" s="959"/>
      <c r="DK141" s="959"/>
      <c r="DL141" s="960">
        <v>5</v>
      </c>
      <c r="DM141" s="161"/>
      <c r="DO141" s="788"/>
      <c r="DP141" s="788"/>
      <c r="DQ141" s="788"/>
      <c r="DR141" s="788"/>
      <c r="DS141" s="789" t="s">
        <v>1292</v>
      </c>
      <c r="DT141" s="961"/>
      <c r="DU141" s="961"/>
      <c r="DV141" s="961"/>
      <c r="DW141" s="962">
        <v>0</v>
      </c>
      <c r="DX141" s="961"/>
      <c r="DY141" s="961"/>
      <c r="DZ141" s="961"/>
      <c r="EA141" s="961"/>
      <c r="EB141" s="961"/>
      <c r="EC141" s="961"/>
      <c r="ED141" s="961"/>
      <c r="EE141" s="962">
        <v>0</v>
      </c>
      <c r="EF141" s="962">
        <v>0</v>
      </c>
      <c r="EG141" s="962">
        <v>1</v>
      </c>
      <c r="EH141" s="962">
        <v>1</v>
      </c>
      <c r="EI141" s="963"/>
      <c r="EJ141" s="963"/>
      <c r="EK141" s="964">
        <v>2</v>
      </c>
      <c r="EL141" s="912"/>
      <c r="EM141" s="73"/>
      <c r="EN141" s="965"/>
      <c r="EO141" s="73"/>
      <c r="EP141" s="965"/>
      <c r="EQ141" s="734" t="s">
        <v>1288</v>
      </c>
      <c r="ER141" s="735">
        <v>0</v>
      </c>
      <c r="ES141" s="735">
        <v>0</v>
      </c>
      <c r="ET141" s="735">
        <v>0</v>
      </c>
      <c r="EU141" s="735">
        <v>0</v>
      </c>
      <c r="EV141" s="966"/>
      <c r="EW141" s="735">
        <v>5</v>
      </c>
      <c r="EX141" s="735">
        <v>5</v>
      </c>
      <c r="EY141" s="735">
        <v>4</v>
      </c>
      <c r="EZ141" s="735">
        <v>11</v>
      </c>
      <c r="FA141" s="735">
        <v>4</v>
      </c>
      <c r="FB141" s="735">
        <v>1</v>
      </c>
      <c r="FC141" s="735">
        <v>0</v>
      </c>
      <c r="FD141" s="735">
        <v>0</v>
      </c>
      <c r="FE141" s="735">
        <v>30</v>
      </c>
      <c r="FF141" s="967"/>
      <c r="FG141" s="73"/>
      <c r="FH141" s="73"/>
      <c r="FI141" s="161"/>
      <c r="FJ141" s="161"/>
      <c r="FK141" s="161" t="s">
        <v>16</v>
      </c>
      <c r="FL141" s="73" t="s">
        <v>1283</v>
      </c>
      <c r="FM141" s="73">
        <v>0</v>
      </c>
      <c r="FN141" s="73">
        <v>0</v>
      </c>
      <c r="FO141" s="73">
        <v>0</v>
      </c>
      <c r="FP141" s="73"/>
      <c r="FQ141" s="73">
        <v>1</v>
      </c>
      <c r="FR141" s="73"/>
      <c r="FS141" s="73"/>
      <c r="FT141" s="73"/>
      <c r="FU141" s="73">
        <v>0</v>
      </c>
      <c r="FV141" s="73">
        <v>0</v>
      </c>
      <c r="FW141" s="73">
        <v>0</v>
      </c>
      <c r="FX141" s="73">
        <v>0</v>
      </c>
      <c r="FY141" s="73">
        <v>0</v>
      </c>
      <c r="FZ141" s="73">
        <v>1</v>
      </c>
      <c r="GA141" s="73"/>
      <c r="GB141" s="73">
        <v>0</v>
      </c>
      <c r="GC141" s="73">
        <v>2</v>
      </c>
      <c r="GD141" s="73"/>
      <c r="GE141" s="73"/>
      <c r="GF141" s="968"/>
      <c r="GG141" s="968"/>
      <c r="GH141" s="968"/>
      <c r="GI141" s="968" t="s">
        <v>1289</v>
      </c>
      <c r="GJ141" s="968">
        <v>1</v>
      </c>
      <c r="GK141" s="968">
        <v>1</v>
      </c>
      <c r="GL141" s="968">
        <v>0</v>
      </c>
      <c r="GM141" s="968">
        <v>0</v>
      </c>
      <c r="GN141" s="968">
        <v>0</v>
      </c>
      <c r="GO141" s="968">
        <v>0</v>
      </c>
      <c r="GP141" s="968">
        <v>1</v>
      </c>
      <c r="GQ141" s="968">
        <v>1</v>
      </c>
      <c r="GR141" s="968">
        <v>2</v>
      </c>
      <c r="GS141" s="968">
        <v>0</v>
      </c>
      <c r="GT141" s="968">
        <v>1</v>
      </c>
      <c r="GU141" s="968">
        <v>4</v>
      </c>
      <c r="GV141" s="968">
        <v>0</v>
      </c>
      <c r="GW141" s="968">
        <v>0</v>
      </c>
      <c r="GX141" s="968">
        <v>0</v>
      </c>
      <c r="GY141" s="968">
        <v>0</v>
      </c>
      <c r="GZ141" s="968">
        <v>11</v>
      </c>
      <c r="HA141" s="968"/>
      <c r="HB141" s="969"/>
    </row>
    <row r="142" spans="1:210">
      <c r="A142" s="73"/>
      <c r="B142" s="73"/>
      <c r="C142" s="73"/>
      <c r="D142" s="73" t="s">
        <v>1292</v>
      </c>
      <c r="E142" s="967">
        <v>0</v>
      </c>
      <c r="F142" s="967"/>
      <c r="G142" s="967"/>
      <c r="H142" s="967"/>
      <c r="I142" s="967"/>
      <c r="J142" s="967">
        <v>0</v>
      </c>
      <c r="K142" s="967"/>
      <c r="L142" s="967"/>
      <c r="M142" s="967"/>
      <c r="N142" s="967"/>
      <c r="O142" s="967"/>
      <c r="P142" s="967">
        <v>0</v>
      </c>
      <c r="Q142" s="967">
        <v>0</v>
      </c>
      <c r="R142" s="967">
        <v>0</v>
      </c>
      <c r="S142" s="967">
        <v>4</v>
      </c>
      <c r="T142" s="73">
        <v>1</v>
      </c>
      <c r="U142" s="73">
        <v>5</v>
      </c>
      <c r="V142" s="73">
        <v>10</v>
      </c>
      <c r="W142" s="73"/>
      <c r="Y142" s="73"/>
      <c r="Z142" s="73"/>
      <c r="AA142" s="73"/>
      <c r="AB142" s="73" t="s">
        <v>1292</v>
      </c>
      <c r="AC142" s="3261"/>
      <c r="AD142" s="3261"/>
      <c r="AE142" s="3261"/>
      <c r="AF142" s="3261"/>
      <c r="AG142" s="3261"/>
      <c r="AH142" s="3261"/>
      <c r="AI142" s="3261"/>
      <c r="AJ142" s="3261"/>
      <c r="AK142" s="3261">
        <v>0</v>
      </c>
      <c r="AL142" s="3261"/>
      <c r="AM142" s="3261">
        <v>0</v>
      </c>
      <c r="AN142" s="3261"/>
      <c r="AO142" s="3261">
        <v>0</v>
      </c>
      <c r="AP142" s="3261">
        <v>0</v>
      </c>
      <c r="AQ142" s="3261">
        <v>2</v>
      </c>
      <c r="AR142" s="161"/>
      <c r="AS142" s="161">
        <v>2</v>
      </c>
      <c r="AT142" s="161">
        <v>4</v>
      </c>
      <c r="AU142" s="73"/>
      <c r="AY142" s="73"/>
      <c r="AZ142" s="73" t="s">
        <v>1398</v>
      </c>
      <c r="BA142" s="2607"/>
      <c r="BB142" s="2607"/>
      <c r="BC142" s="2607">
        <v>0</v>
      </c>
      <c r="BD142" s="2607"/>
      <c r="BE142" s="2607"/>
      <c r="BF142" s="2607"/>
      <c r="BG142" s="2607"/>
      <c r="BH142" s="2607">
        <v>0</v>
      </c>
      <c r="BI142" s="2607"/>
      <c r="BJ142" s="2607">
        <v>1</v>
      </c>
      <c r="BK142" s="2607">
        <v>1</v>
      </c>
      <c r="BL142" s="2607"/>
      <c r="BM142" s="2607">
        <v>0</v>
      </c>
      <c r="BN142" s="2607"/>
      <c r="BO142" s="2607">
        <v>0</v>
      </c>
      <c r="BP142" s="73"/>
      <c r="BQ142" s="73"/>
      <c r="BR142" s="73">
        <v>2</v>
      </c>
      <c r="BS142" s="73"/>
      <c r="BU142" s="2207"/>
      <c r="BV142" s="2207" t="s">
        <v>41</v>
      </c>
      <c r="BW142" s="2207" t="s">
        <v>338</v>
      </c>
      <c r="BX142" s="2208" t="s">
        <v>1283</v>
      </c>
      <c r="BY142" s="2209"/>
      <c r="BZ142" s="2209"/>
      <c r="CA142" s="2209"/>
      <c r="CB142" s="2209"/>
      <c r="CC142" s="2209"/>
      <c r="CD142" s="2209"/>
      <c r="CE142" s="2209"/>
      <c r="CF142" s="2210">
        <v>0</v>
      </c>
      <c r="CG142" s="2209"/>
      <c r="CH142" s="2210">
        <v>0</v>
      </c>
      <c r="CI142" s="2210">
        <v>0</v>
      </c>
      <c r="CJ142" s="2210">
        <v>0</v>
      </c>
      <c r="CK142" s="2210">
        <v>1</v>
      </c>
      <c r="CL142" s="2212">
        <v>0</v>
      </c>
      <c r="CM142" s="2212">
        <v>1</v>
      </c>
      <c r="CN142" s="2212">
        <v>2</v>
      </c>
      <c r="CO142" s="73"/>
      <c r="CQ142" s="955"/>
      <c r="CR142" s="955"/>
      <c r="CS142" s="955"/>
      <c r="CT142" s="974" t="s">
        <v>15</v>
      </c>
      <c r="CU142" s="975"/>
      <c r="CV142" s="975"/>
      <c r="CW142" s="975"/>
      <c r="CX142" s="975"/>
      <c r="CY142" s="975"/>
      <c r="CZ142" s="975"/>
      <c r="DA142" s="975"/>
      <c r="DB142" s="975"/>
      <c r="DC142" s="976">
        <v>1</v>
      </c>
      <c r="DD142" s="976">
        <v>4</v>
      </c>
      <c r="DE142" s="976">
        <v>3</v>
      </c>
      <c r="DF142" s="976">
        <v>2</v>
      </c>
      <c r="DG142" s="975"/>
      <c r="DH142" s="976">
        <v>1</v>
      </c>
      <c r="DI142" s="975"/>
      <c r="DJ142" s="977"/>
      <c r="DK142" s="977"/>
      <c r="DL142" s="978">
        <v>11</v>
      </c>
      <c r="DM142" s="912">
        <f>+(DL140+DL141)/DL142</f>
        <v>0.54545454545454541</v>
      </c>
      <c r="DO142" s="788"/>
      <c r="DP142" s="788"/>
      <c r="DQ142" s="788"/>
      <c r="DR142" s="788"/>
      <c r="DS142" s="789" t="s">
        <v>1293</v>
      </c>
      <c r="DT142" s="961"/>
      <c r="DU142" s="961"/>
      <c r="DV142" s="961"/>
      <c r="DW142" s="962">
        <v>0</v>
      </c>
      <c r="DX142" s="961"/>
      <c r="DY142" s="961"/>
      <c r="DZ142" s="961"/>
      <c r="EA142" s="961"/>
      <c r="EB142" s="961"/>
      <c r="EC142" s="961"/>
      <c r="ED142" s="961"/>
      <c r="EE142" s="962">
        <v>0</v>
      </c>
      <c r="EF142" s="962">
        <v>1</v>
      </c>
      <c r="EG142" s="962">
        <v>0</v>
      </c>
      <c r="EH142" s="962">
        <v>0</v>
      </c>
      <c r="EI142" s="963"/>
      <c r="EJ142" s="963"/>
      <c r="EK142" s="964">
        <v>1</v>
      </c>
      <c r="EL142" s="912"/>
      <c r="EM142" s="73"/>
      <c r="EN142" s="965"/>
      <c r="EO142" s="965"/>
      <c r="EP142" s="965"/>
      <c r="EQ142" s="734" t="s">
        <v>1289</v>
      </c>
      <c r="ER142" s="735">
        <v>0</v>
      </c>
      <c r="ES142" s="735">
        <v>1</v>
      </c>
      <c r="ET142" s="735">
        <v>1</v>
      </c>
      <c r="EU142" s="735">
        <v>0</v>
      </c>
      <c r="EV142" s="966"/>
      <c r="EW142" s="735">
        <v>3</v>
      </c>
      <c r="EX142" s="735">
        <v>2</v>
      </c>
      <c r="EY142" s="735">
        <v>1</v>
      </c>
      <c r="EZ142" s="735">
        <v>2</v>
      </c>
      <c r="FA142" s="735">
        <v>0</v>
      </c>
      <c r="FB142" s="735">
        <v>0</v>
      </c>
      <c r="FC142" s="735">
        <v>0</v>
      </c>
      <c r="FD142" s="735">
        <v>0</v>
      </c>
      <c r="FE142" s="735">
        <v>10</v>
      </c>
      <c r="FF142" s="967"/>
      <c r="FG142" s="73"/>
      <c r="FH142" s="73"/>
      <c r="FI142" s="161"/>
      <c r="FJ142" s="161"/>
      <c r="FK142" s="161"/>
      <c r="FL142" s="73" t="s">
        <v>1284</v>
      </c>
      <c r="FM142" s="73">
        <v>2</v>
      </c>
      <c r="FN142" s="73">
        <v>0</v>
      </c>
      <c r="FO142" s="73">
        <v>0</v>
      </c>
      <c r="FP142" s="73"/>
      <c r="FQ142" s="73">
        <v>1</v>
      </c>
      <c r="FR142" s="73"/>
      <c r="FS142" s="73"/>
      <c r="FT142" s="73"/>
      <c r="FU142" s="73">
        <v>1</v>
      </c>
      <c r="FV142" s="73">
        <v>2</v>
      </c>
      <c r="FW142" s="73">
        <v>3</v>
      </c>
      <c r="FX142" s="73">
        <v>2</v>
      </c>
      <c r="FY142" s="73">
        <v>3</v>
      </c>
      <c r="FZ142" s="73">
        <v>0</v>
      </c>
      <c r="GA142" s="73"/>
      <c r="GB142" s="73">
        <v>0</v>
      </c>
      <c r="GC142" s="73">
        <v>14</v>
      </c>
      <c r="GD142" s="73"/>
      <c r="GE142" s="73"/>
      <c r="GF142" s="968"/>
      <c r="GG142" s="968"/>
      <c r="GH142" s="968"/>
      <c r="GI142" s="968" t="s">
        <v>1292</v>
      </c>
      <c r="GJ142" s="968">
        <v>0</v>
      </c>
      <c r="GK142" s="968">
        <v>0</v>
      </c>
      <c r="GL142" s="968">
        <v>0</v>
      </c>
      <c r="GM142" s="968">
        <v>0</v>
      </c>
      <c r="GN142" s="968">
        <v>0</v>
      </c>
      <c r="GO142" s="968">
        <v>0</v>
      </c>
      <c r="GP142" s="968">
        <v>0</v>
      </c>
      <c r="GQ142" s="968">
        <v>0</v>
      </c>
      <c r="GR142" s="968">
        <v>0</v>
      </c>
      <c r="GS142" s="968">
        <v>0</v>
      </c>
      <c r="GT142" s="968">
        <v>0</v>
      </c>
      <c r="GU142" s="968">
        <v>0</v>
      </c>
      <c r="GV142" s="968">
        <v>0</v>
      </c>
      <c r="GW142" s="968">
        <v>3</v>
      </c>
      <c r="GX142" s="968">
        <v>1</v>
      </c>
      <c r="GY142" s="968">
        <v>0</v>
      </c>
      <c r="GZ142" s="968">
        <v>4</v>
      </c>
      <c r="HA142" s="968"/>
      <c r="HB142" s="969"/>
    </row>
    <row r="143" spans="1:210">
      <c r="A143" s="73"/>
      <c r="B143" s="73"/>
      <c r="C143" s="73"/>
      <c r="D143" s="73" t="s">
        <v>1398</v>
      </c>
      <c r="E143" s="967">
        <v>0</v>
      </c>
      <c r="F143" s="967"/>
      <c r="G143" s="967"/>
      <c r="H143" s="967"/>
      <c r="I143" s="967"/>
      <c r="J143" s="967">
        <v>0</v>
      </c>
      <c r="K143" s="967"/>
      <c r="L143" s="967"/>
      <c r="M143" s="967"/>
      <c r="N143" s="967"/>
      <c r="O143" s="967"/>
      <c r="P143" s="967">
        <v>1</v>
      </c>
      <c r="Q143" s="967">
        <v>0</v>
      </c>
      <c r="R143" s="967">
        <v>1</v>
      </c>
      <c r="S143" s="967">
        <v>1</v>
      </c>
      <c r="T143" s="73">
        <v>0</v>
      </c>
      <c r="U143" s="73">
        <v>0</v>
      </c>
      <c r="V143" s="73">
        <v>3</v>
      </c>
      <c r="W143" s="73"/>
      <c r="Y143" s="73"/>
      <c r="Z143" s="73"/>
      <c r="AA143" s="73"/>
      <c r="AB143" s="73" t="s">
        <v>1293</v>
      </c>
      <c r="AC143" s="3261"/>
      <c r="AD143" s="3261"/>
      <c r="AE143" s="3261"/>
      <c r="AF143" s="3261"/>
      <c r="AG143" s="3261"/>
      <c r="AH143" s="3261"/>
      <c r="AI143" s="3261"/>
      <c r="AJ143" s="3261"/>
      <c r="AK143" s="3261">
        <v>0</v>
      </c>
      <c r="AL143" s="3261"/>
      <c r="AM143" s="3261">
        <v>0</v>
      </c>
      <c r="AN143" s="3261"/>
      <c r="AO143" s="3261">
        <v>1</v>
      </c>
      <c r="AP143" s="3261">
        <v>0</v>
      </c>
      <c r="AQ143" s="3261">
        <v>0</v>
      </c>
      <c r="AR143" s="161"/>
      <c r="AS143" s="161">
        <v>0</v>
      </c>
      <c r="AT143" s="161">
        <v>1</v>
      </c>
      <c r="AU143" s="73"/>
      <c r="AY143" s="73"/>
      <c r="AZ143" s="738" t="s">
        <v>15</v>
      </c>
      <c r="BA143" s="2608"/>
      <c r="BB143" s="2608"/>
      <c r="BC143" s="2608">
        <v>1</v>
      </c>
      <c r="BD143" s="2608"/>
      <c r="BE143" s="2608"/>
      <c r="BF143" s="2608"/>
      <c r="BG143" s="2608"/>
      <c r="BH143" s="2608">
        <v>1</v>
      </c>
      <c r="BI143" s="2608"/>
      <c r="BJ143" s="2608">
        <v>6</v>
      </c>
      <c r="BK143" s="2608">
        <v>3</v>
      </c>
      <c r="BL143" s="2608"/>
      <c r="BM143" s="2608">
        <v>1</v>
      </c>
      <c r="BN143" s="2608"/>
      <c r="BO143" s="2608">
        <v>1</v>
      </c>
      <c r="BP143" s="738"/>
      <c r="BQ143" s="738"/>
      <c r="BR143" s="738">
        <v>13</v>
      </c>
      <c r="BS143" s="912">
        <f>+BR142/BR143</f>
        <v>0.15384615384615385</v>
      </c>
      <c r="BU143" s="2207"/>
      <c r="BV143" s="2207"/>
      <c r="BW143" s="2207"/>
      <c r="BX143" s="2208" t="s">
        <v>1284</v>
      </c>
      <c r="BY143" s="2209"/>
      <c r="BZ143" s="2209"/>
      <c r="CA143" s="2209"/>
      <c r="CB143" s="2209"/>
      <c r="CC143" s="2209"/>
      <c r="CD143" s="2209"/>
      <c r="CE143" s="2209"/>
      <c r="CF143" s="2210">
        <v>0</v>
      </c>
      <c r="CG143" s="2209"/>
      <c r="CH143" s="2210">
        <v>0</v>
      </c>
      <c r="CI143" s="2210">
        <v>0</v>
      </c>
      <c r="CJ143" s="2210">
        <v>0</v>
      </c>
      <c r="CK143" s="2210">
        <v>1</v>
      </c>
      <c r="CL143" s="2212">
        <v>0</v>
      </c>
      <c r="CM143" s="2212">
        <v>0</v>
      </c>
      <c r="CN143" s="2212">
        <v>1</v>
      </c>
      <c r="CO143" s="73"/>
      <c r="CQ143" s="955"/>
      <c r="CR143" s="955"/>
      <c r="CS143" s="955" t="s">
        <v>575</v>
      </c>
      <c r="CT143" s="956" t="s">
        <v>1283</v>
      </c>
      <c r="CU143" s="957"/>
      <c r="CV143" s="957"/>
      <c r="CW143" s="957"/>
      <c r="CX143" s="957"/>
      <c r="CY143" s="957"/>
      <c r="CZ143" s="957"/>
      <c r="DA143" s="958">
        <v>0</v>
      </c>
      <c r="DB143" s="957"/>
      <c r="DC143" s="958">
        <v>0</v>
      </c>
      <c r="DD143" s="958">
        <v>1</v>
      </c>
      <c r="DE143" s="958">
        <v>0</v>
      </c>
      <c r="DF143" s="958">
        <v>0</v>
      </c>
      <c r="DG143" s="957"/>
      <c r="DH143" s="958">
        <v>0</v>
      </c>
      <c r="DI143" s="957"/>
      <c r="DJ143" s="959"/>
      <c r="DK143" s="959"/>
      <c r="DL143" s="960">
        <v>1</v>
      </c>
      <c r="DM143" s="161"/>
      <c r="DO143" s="788"/>
      <c r="DP143" s="788"/>
      <c r="DQ143" s="788"/>
      <c r="DR143" s="73"/>
      <c r="DS143" s="809" t="s">
        <v>15</v>
      </c>
      <c r="DT143" s="970"/>
      <c r="DU143" s="970"/>
      <c r="DV143" s="970"/>
      <c r="DW143" s="971">
        <v>1</v>
      </c>
      <c r="DX143" s="970"/>
      <c r="DY143" s="970"/>
      <c r="DZ143" s="970"/>
      <c r="EA143" s="970"/>
      <c r="EB143" s="970"/>
      <c r="EC143" s="970"/>
      <c r="ED143" s="970"/>
      <c r="EE143" s="971">
        <v>1</v>
      </c>
      <c r="EF143" s="971">
        <v>9</v>
      </c>
      <c r="EG143" s="971">
        <v>2</v>
      </c>
      <c r="EH143" s="971">
        <v>1</v>
      </c>
      <c r="EI143" s="972"/>
      <c r="EJ143" s="972"/>
      <c r="EK143" s="973">
        <v>14</v>
      </c>
      <c r="EL143" s="912">
        <f>+EK142/EK143</f>
        <v>7.1428571428571425E-2</v>
      </c>
      <c r="EM143" s="73"/>
      <c r="EN143" s="965"/>
      <c r="EO143" s="965"/>
      <c r="EP143" s="965"/>
      <c r="EQ143" s="734" t="s">
        <v>1292</v>
      </c>
      <c r="ER143" s="735">
        <v>0</v>
      </c>
      <c r="ES143" s="735">
        <v>0</v>
      </c>
      <c r="ET143" s="735">
        <v>0</v>
      </c>
      <c r="EU143" s="735">
        <v>0</v>
      </c>
      <c r="EV143" s="966"/>
      <c r="EW143" s="735">
        <v>0</v>
      </c>
      <c r="EX143" s="735">
        <v>0</v>
      </c>
      <c r="EY143" s="735">
        <v>0</v>
      </c>
      <c r="EZ143" s="735">
        <v>0</v>
      </c>
      <c r="FA143" s="735">
        <v>6</v>
      </c>
      <c r="FB143" s="735">
        <v>14</v>
      </c>
      <c r="FC143" s="735">
        <v>1</v>
      </c>
      <c r="FD143" s="735">
        <v>2</v>
      </c>
      <c r="FE143" s="735">
        <v>23</v>
      </c>
      <c r="FF143" s="967"/>
      <c r="FG143" s="73"/>
      <c r="FH143" s="73"/>
      <c r="FI143" s="161"/>
      <c r="FJ143" s="161"/>
      <c r="FK143" s="161"/>
      <c r="FL143" s="73" t="s">
        <v>1286</v>
      </c>
      <c r="FM143" s="73">
        <v>0</v>
      </c>
      <c r="FN143" s="73">
        <v>1</v>
      </c>
      <c r="FO143" s="73">
        <v>0</v>
      </c>
      <c r="FP143" s="73"/>
      <c r="FQ143" s="73">
        <v>2</v>
      </c>
      <c r="FR143" s="73"/>
      <c r="FS143" s="73"/>
      <c r="FT143" s="73"/>
      <c r="FU143" s="73">
        <v>0</v>
      </c>
      <c r="FV143" s="73">
        <v>0</v>
      </c>
      <c r="FW143" s="73">
        <v>0</v>
      </c>
      <c r="FX143" s="73">
        <v>0</v>
      </c>
      <c r="FY143" s="73">
        <v>0</v>
      </c>
      <c r="FZ143" s="73">
        <v>0</v>
      </c>
      <c r="GA143" s="73"/>
      <c r="GB143" s="73">
        <v>0</v>
      </c>
      <c r="GC143" s="73">
        <v>3</v>
      </c>
      <c r="GD143" s="73"/>
      <c r="GE143" s="73"/>
      <c r="GF143" s="968"/>
      <c r="GG143" s="968"/>
      <c r="GH143" s="968"/>
      <c r="GI143" s="968" t="s">
        <v>1398</v>
      </c>
      <c r="GJ143" s="968">
        <v>0</v>
      </c>
      <c r="GK143" s="968">
        <v>0</v>
      </c>
      <c r="GL143" s="968">
        <v>0</v>
      </c>
      <c r="GM143" s="968">
        <v>0</v>
      </c>
      <c r="GN143" s="968">
        <v>0</v>
      </c>
      <c r="GO143" s="968">
        <v>0</v>
      </c>
      <c r="GP143" s="968">
        <v>1</v>
      </c>
      <c r="GQ143" s="968">
        <v>1</v>
      </c>
      <c r="GR143" s="968">
        <v>1</v>
      </c>
      <c r="GS143" s="968">
        <v>1</v>
      </c>
      <c r="GT143" s="968">
        <v>0</v>
      </c>
      <c r="GU143" s="968">
        <v>6</v>
      </c>
      <c r="GV143" s="968">
        <v>0</v>
      </c>
      <c r="GW143" s="968">
        <v>0</v>
      </c>
      <c r="GX143" s="968">
        <v>0</v>
      </c>
      <c r="GY143" s="968">
        <v>0</v>
      </c>
      <c r="GZ143" s="968">
        <v>10</v>
      </c>
      <c r="HA143" s="968"/>
      <c r="HB143" s="969"/>
    </row>
    <row r="144" spans="1:210">
      <c r="A144" s="73"/>
      <c r="B144" s="73"/>
      <c r="C144" s="73"/>
      <c r="D144" s="738" t="s">
        <v>15</v>
      </c>
      <c r="E144" s="4694">
        <v>1</v>
      </c>
      <c r="F144" s="4694"/>
      <c r="G144" s="4694"/>
      <c r="H144" s="4694"/>
      <c r="I144" s="4694"/>
      <c r="J144" s="4694">
        <v>1</v>
      </c>
      <c r="K144" s="4694"/>
      <c r="L144" s="4694"/>
      <c r="M144" s="4694"/>
      <c r="N144" s="4694"/>
      <c r="O144" s="4694"/>
      <c r="P144" s="4694">
        <v>1</v>
      </c>
      <c r="Q144" s="4694">
        <v>2</v>
      </c>
      <c r="R144" s="4694">
        <v>3</v>
      </c>
      <c r="S144" s="4694">
        <v>5</v>
      </c>
      <c r="T144" s="738">
        <v>2</v>
      </c>
      <c r="U144" s="738">
        <v>6</v>
      </c>
      <c r="V144" s="738">
        <v>21</v>
      </c>
      <c r="W144" s="912">
        <f>+(V143+V141-T141)/V144</f>
        <v>0.33333333333333331</v>
      </c>
      <c r="X144" s="3197"/>
      <c r="Y144" s="73"/>
      <c r="Z144" s="73"/>
      <c r="AA144" s="73"/>
      <c r="AB144" s="73" t="s">
        <v>1398</v>
      </c>
      <c r="AC144" s="3261"/>
      <c r="AD144" s="3261"/>
      <c r="AE144" s="3261"/>
      <c r="AF144" s="3261"/>
      <c r="AG144" s="3261"/>
      <c r="AH144" s="3261"/>
      <c r="AI144" s="3261"/>
      <c r="AJ144" s="3261"/>
      <c r="AK144" s="3261">
        <v>0</v>
      </c>
      <c r="AL144" s="3261"/>
      <c r="AM144" s="3261">
        <v>0</v>
      </c>
      <c r="AN144" s="3261"/>
      <c r="AO144" s="3261">
        <v>3</v>
      </c>
      <c r="AP144" s="3261">
        <v>0</v>
      </c>
      <c r="AQ144" s="3261">
        <v>0</v>
      </c>
      <c r="AR144" s="161"/>
      <c r="AS144" s="161">
        <v>0</v>
      </c>
      <c r="AT144" s="161">
        <v>3</v>
      </c>
      <c r="AU144" s="73"/>
      <c r="AY144" s="73" t="s">
        <v>338</v>
      </c>
      <c r="AZ144" s="73" t="s">
        <v>1284</v>
      </c>
      <c r="BA144" s="2607"/>
      <c r="BB144" s="2607"/>
      <c r="BC144" s="2607"/>
      <c r="BD144" s="2607"/>
      <c r="BE144" s="2607"/>
      <c r="BF144" s="2607"/>
      <c r="BG144" s="2607"/>
      <c r="BH144" s="2607"/>
      <c r="BI144" s="2607"/>
      <c r="BJ144" s="2607"/>
      <c r="BK144" s="2607"/>
      <c r="BL144" s="2607">
        <v>0</v>
      </c>
      <c r="BM144" s="2607">
        <v>1</v>
      </c>
      <c r="BN144" s="2607">
        <v>0</v>
      </c>
      <c r="BO144" s="2607">
        <v>1</v>
      </c>
      <c r="BP144" s="73"/>
      <c r="BQ144" s="73">
        <v>0</v>
      </c>
      <c r="BR144" s="73">
        <v>2</v>
      </c>
      <c r="BS144" s="73"/>
      <c r="BU144" s="2207"/>
      <c r="BV144" s="2207"/>
      <c r="BW144" s="2207"/>
      <c r="BX144" s="2208" t="s">
        <v>1288</v>
      </c>
      <c r="BY144" s="2209"/>
      <c r="BZ144" s="2209"/>
      <c r="CA144" s="2209"/>
      <c r="CB144" s="2209"/>
      <c r="CC144" s="2209"/>
      <c r="CD144" s="2209"/>
      <c r="CE144" s="2209"/>
      <c r="CF144" s="2210">
        <v>0</v>
      </c>
      <c r="CG144" s="2209"/>
      <c r="CH144" s="2210">
        <v>1</v>
      </c>
      <c r="CI144" s="2210">
        <v>0</v>
      </c>
      <c r="CJ144" s="2210">
        <v>1</v>
      </c>
      <c r="CK144" s="2210">
        <v>0</v>
      </c>
      <c r="CL144" s="2212">
        <v>0</v>
      </c>
      <c r="CM144" s="2212">
        <v>0</v>
      </c>
      <c r="CN144" s="2212">
        <v>2</v>
      </c>
      <c r="CO144" s="73"/>
      <c r="CQ144" s="955"/>
      <c r="CR144" s="955"/>
      <c r="CS144" s="955"/>
      <c r="CT144" s="956" t="s">
        <v>1284</v>
      </c>
      <c r="CU144" s="957"/>
      <c r="CV144" s="957"/>
      <c r="CW144" s="957"/>
      <c r="CX144" s="957"/>
      <c r="CY144" s="957"/>
      <c r="CZ144" s="957"/>
      <c r="DA144" s="958">
        <v>0</v>
      </c>
      <c r="DB144" s="957"/>
      <c r="DC144" s="958">
        <v>2</v>
      </c>
      <c r="DD144" s="958">
        <v>4</v>
      </c>
      <c r="DE144" s="958">
        <v>4</v>
      </c>
      <c r="DF144" s="958">
        <v>1</v>
      </c>
      <c r="DG144" s="957"/>
      <c r="DH144" s="958">
        <v>1</v>
      </c>
      <c r="DI144" s="957"/>
      <c r="DJ144" s="959"/>
      <c r="DK144" s="959"/>
      <c r="DL144" s="960">
        <v>12</v>
      </c>
      <c r="DM144" s="161"/>
      <c r="DO144" s="788"/>
      <c r="DP144" s="788"/>
      <c r="DQ144" s="809" t="s">
        <v>573</v>
      </c>
      <c r="DR144" s="788" t="s">
        <v>1282</v>
      </c>
      <c r="DS144" s="789" t="s">
        <v>1284</v>
      </c>
      <c r="DT144" s="961"/>
      <c r="DU144" s="962">
        <v>1</v>
      </c>
      <c r="DV144" s="961"/>
      <c r="DW144" s="962">
        <v>2</v>
      </c>
      <c r="DX144" s="961"/>
      <c r="DY144" s="962">
        <v>1</v>
      </c>
      <c r="DZ144" s="961"/>
      <c r="EA144" s="961"/>
      <c r="EB144" s="961"/>
      <c r="EC144" s="962">
        <v>1</v>
      </c>
      <c r="ED144" s="961"/>
      <c r="EE144" s="962">
        <v>4</v>
      </c>
      <c r="EF144" s="962">
        <v>20</v>
      </c>
      <c r="EG144" s="962">
        <v>5</v>
      </c>
      <c r="EH144" s="962">
        <v>3</v>
      </c>
      <c r="EI144" s="964">
        <v>5</v>
      </c>
      <c r="EJ144" s="964">
        <v>0</v>
      </c>
      <c r="EK144" s="964">
        <v>42</v>
      </c>
      <c r="EL144" s="912"/>
      <c r="EM144" s="73"/>
      <c r="EN144" s="965"/>
      <c r="EO144" s="965"/>
      <c r="EP144" s="965"/>
      <c r="EQ144" s="734" t="s">
        <v>1398</v>
      </c>
      <c r="ER144" s="735">
        <v>0</v>
      </c>
      <c r="ES144" s="735">
        <v>0</v>
      </c>
      <c r="ET144" s="735">
        <v>0</v>
      </c>
      <c r="EU144" s="735">
        <v>1</v>
      </c>
      <c r="EV144" s="966"/>
      <c r="EW144" s="735">
        <v>3</v>
      </c>
      <c r="EX144" s="735">
        <v>5</v>
      </c>
      <c r="EY144" s="735">
        <v>1</v>
      </c>
      <c r="EZ144" s="735">
        <v>3</v>
      </c>
      <c r="FA144" s="735">
        <v>0</v>
      </c>
      <c r="FB144" s="735">
        <v>0</v>
      </c>
      <c r="FC144" s="735">
        <v>0</v>
      </c>
      <c r="FD144" s="735">
        <v>0</v>
      </c>
      <c r="FE144" s="735">
        <v>13</v>
      </c>
      <c r="FF144" s="967"/>
      <c r="FG144" s="73"/>
      <c r="FH144" s="73"/>
      <c r="FI144" s="161"/>
      <c r="FJ144" s="161"/>
      <c r="FK144" s="161"/>
      <c r="FL144" s="73" t="s">
        <v>1288</v>
      </c>
      <c r="FM144" s="73">
        <v>0</v>
      </c>
      <c r="FN144" s="73">
        <v>0</v>
      </c>
      <c r="FO144" s="73">
        <v>0</v>
      </c>
      <c r="FP144" s="73"/>
      <c r="FQ144" s="73">
        <v>0</v>
      </c>
      <c r="FR144" s="73"/>
      <c r="FS144" s="73"/>
      <c r="FT144" s="73"/>
      <c r="FU144" s="73">
        <v>0</v>
      </c>
      <c r="FV144" s="73">
        <v>3</v>
      </c>
      <c r="FW144" s="73">
        <v>4</v>
      </c>
      <c r="FX144" s="73">
        <v>8</v>
      </c>
      <c r="FY144" s="73">
        <v>2</v>
      </c>
      <c r="FZ144" s="73">
        <v>0</v>
      </c>
      <c r="GA144" s="73"/>
      <c r="GB144" s="73">
        <v>0</v>
      </c>
      <c r="GC144" s="73">
        <v>17</v>
      </c>
      <c r="GD144" s="73"/>
      <c r="GE144" s="73"/>
      <c r="GF144" s="968"/>
      <c r="GG144" s="968"/>
      <c r="GH144" s="968"/>
      <c r="GI144" s="979" t="s">
        <v>15</v>
      </c>
      <c r="GJ144" s="979">
        <v>1</v>
      </c>
      <c r="GK144" s="979">
        <v>1</v>
      </c>
      <c r="GL144" s="979">
        <v>0</v>
      </c>
      <c r="GM144" s="979">
        <v>0</v>
      </c>
      <c r="GN144" s="979">
        <v>0</v>
      </c>
      <c r="GO144" s="979">
        <v>1</v>
      </c>
      <c r="GP144" s="979">
        <v>2</v>
      </c>
      <c r="GQ144" s="979">
        <v>3</v>
      </c>
      <c r="GR144" s="979">
        <v>8</v>
      </c>
      <c r="GS144" s="979">
        <v>6</v>
      </c>
      <c r="GT144" s="979">
        <v>1</v>
      </c>
      <c r="GU144" s="979">
        <v>20</v>
      </c>
      <c r="GV144" s="979">
        <v>0</v>
      </c>
      <c r="GW144" s="979">
        <v>3</v>
      </c>
      <c r="GX144" s="979">
        <v>1</v>
      </c>
      <c r="GY144" s="979">
        <v>0</v>
      </c>
      <c r="GZ144" s="979">
        <v>47</v>
      </c>
      <c r="HA144" s="980">
        <f>+(GZ143+GZ140)/GZ144</f>
        <v>0.53191489361702127</v>
      </c>
      <c r="HB144" s="969">
        <f>+GZ140+GZ143</f>
        <v>25</v>
      </c>
    </row>
    <row r="145" spans="1:210">
      <c r="A145" s="73"/>
      <c r="B145" s="73"/>
      <c r="C145" s="73" t="s">
        <v>131</v>
      </c>
      <c r="D145" s="73" t="s">
        <v>1283</v>
      </c>
      <c r="E145" s="967"/>
      <c r="F145" s="967"/>
      <c r="G145" s="967"/>
      <c r="H145" s="967"/>
      <c r="I145" s="967"/>
      <c r="J145" s="967">
        <v>0</v>
      </c>
      <c r="K145" s="967"/>
      <c r="L145" s="967"/>
      <c r="M145" s="967"/>
      <c r="N145" s="967"/>
      <c r="O145" s="967"/>
      <c r="P145" s="967">
        <v>0</v>
      </c>
      <c r="Q145" s="967">
        <v>0</v>
      </c>
      <c r="R145" s="967">
        <v>0</v>
      </c>
      <c r="S145" s="967">
        <v>1</v>
      </c>
      <c r="T145" s="73"/>
      <c r="U145" s="73"/>
      <c r="V145" s="73">
        <v>1</v>
      </c>
      <c r="W145" s="73"/>
      <c r="Y145" s="73"/>
      <c r="Z145" s="73"/>
      <c r="AA145" s="73"/>
      <c r="AB145" s="738" t="s">
        <v>15</v>
      </c>
      <c r="AC145" s="3262"/>
      <c r="AD145" s="3262"/>
      <c r="AE145" s="3262"/>
      <c r="AF145" s="3262"/>
      <c r="AG145" s="3262"/>
      <c r="AH145" s="3262"/>
      <c r="AI145" s="3262"/>
      <c r="AJ145" s="3262"/>
      <c r="AK145" s="3262">
        <v>1</v>
      </c>
      <c r="AL145" s="3262"/>
      <c r="AM145" s="3262">
        <v>1</v>
      </c>
      <c r="AN145" s="3262"/>
      <c r="AO145" s="3262">
        <v>5</v>
      </c>
      <c r="AP145" s="3262">
        <v>1</v>
      </c>
      <c r="AQ145" s="3262">
        <v>2</v>
      </c>
      <c r="AR145" s="151"/>
      <c r="AS145" s="151">
        <v>2</v>
      </c>
      <c r="AT145" s="151">
        <v>12</v>
      </c>
      <c r="AU145" s="912">
        <f>+(AT141+AT143+AT144)/AT145</f>
        <v>0.41666666666666669</v>
      </c>
      <c r="AY145" s="73"/>
      <c r="AZ145" s="73" t="s">
        <v>1288</v>
      </c>
      <c r="BA145" s="2607"/>
      <c r="BB145" s="2607"/>
      <c r="BC145" s="2607"/>
      <c r="BD145" s="2607"/>
      <c r="BE145" s="2607"/>
      <c r="BF145" s="2607"/>
      <c r="BG145" s="2607"/>
      <c r="BH145" s="2607"/>
      <c r="BI145" s="2607"/>
      <c r="BJ145" s="2607"/>
      <c r="BK145" s="2607"/>
      <c r="BL145" s="2607">
        <v>0</v>
      </c>
      <c r="BM145" s="2607">
        <v>0</v>
      </c>
      <c r="BN145" s="2607">
        <v>1</v>
      </c>
      <c r="BO145" s="2607">
        <v>0</v>
      </c>
      <c r="BP145" s="73"/>
      <c r="BQ145" s="73">
        <v>0</v>
      </c>
      <c r="BR145" s="73">
        <v>1</v>
      </c>
      <c r="BS145" s="73"/>
      <c r="BU145" s="2207"/>
      <c r="BV145" s="2207"/>
      <c r="BW145" s="2207"/>
      <c r="BX145" s="2208" t="s">
        <v>1292</v>
      </c>
      <c r="BY145" s="2209"/>
      <c r="BZ145" s="2209"/>
      <c r="CA145" s="2209"/>
      <c r="CB145" s="2209"/>
      <c r="CC145" s="2209"/>
      <c r="CD145" s="2209"/>
      <c r="CE145" s="2209"/>
      <c r="CF145" s="2210">
        <v>0</v>
      </c>
      <c r="CG145" s="2209"/>
      <c r="CH145" s="2210">
        <v>1</v>
      </c>
      <c r="CI145" s="2210">
        <v>1</v>
      </c>
      <c r="CJ145" s="2210">
        <v>0</v>
      </c>
      <c r="CK145" s="2210">
        <v>4</v>
      </c>
      <c r="CL145" s="2212">
        <v>0</v>
      </c>
      <c r="CM145" s="2212">
        <v>1</v>
      </c>
      <c r="CN145" s="2212">
        <v>7</v>
      </c>
      <c r="CO145" s="73"/>
      <c r="CQ145" s="955"/>
      <c r="CR145" s="955"/>
      <c r="CS145" s="955"/>
      <c r="CT145" s="956" t="s">
        <v>1288</v>
      </c>
      <c r="CU145" s="957"/>
      <c r="CV145" s="957"/>
      <c r="CW145" s="957"/>
      <c r="CX145" s="957"/>
      <c r="CY145" s="957"/>
      <c r="CZ145" s="957"/>
      <c r="DA145" s="958">
        <v>0</v>
      </c>
      <c r="DB145" s="957"/>
      <c r="DC145" s="958">
        <v>0</v>
      </c>
      <c r="DD145" s="958">
        <v>0</v>
      </c>
      <c r="DE145" s="958">
        <v>1</v>
      </c>
      <c r="DF145" s="958">
        <v>0</v>
      </c>
      <c r="DG145" s="957"/>
      <c r="DH145" s="958">
        <v>0</v>
      </c>
      <c r="DI145" s="957"/>
      <c r="DJ145" s="959"/>
      <c r="DK145" s="959"/>
      <c r="DL145" s="960">
        <v>1</v>
      </c>
      <c r="DM145" s="161"/>
      <c r="DO145" s="788"/>
      <c r="DP145" s="788"/>
      <c r="DQ145" s="788"/>
      <c r="DR145" s="788"/>
      <c r="DS145" s="789" t="s">
        <v>1288</v>
      </c>
      <c r="DT145" s="961"/>
      <c r="DU145" s="962">
        <v>0</v>
      </c>
      <c r="DV145" s="961"/>
      <c r="DW145" s="962">
        <v>0</v>
      </c>
      <c r="DX145" s="961"/>
      <c r="DY145" s="962">
        <v>0</v>
      </c>
      <c r="DZ145" s="961"/>
      <c r="EA145" s="961"/>
      <c r="EB145" s="961"/>
      <c r="EC145" s="962">
        <v>0</v>
      </c>
      <c r="ED145" s="961"/>
      <c r="EE145" s="962">
        <v>1</v>
      </c>
      <c r="EF145" s="962">
        <v>1</v>
      </c>
      <c r="EG145" s="962">
        <v>1</v>
      </c>
      <c r="EH145" s="962">
        <v>0</v>
      </c>
      <c r="EI145" s="964">
        <v>0</v>
      </c>
      <c r="EJ145" s="964">
        <v>0</v>
      </c>
      <c r="EK145" s="964">
        <v>3</v>
      </c>
      <c r="EL145" s="912"/>
      <c r="EM145" s="73"/>
      <c r="EN145" s="965"/>
      <c r="EO145" s="965"/>
      <c r="EP145" s="965"/>
      <c r="EQ145" s="981" t="s">
        <v>573</v>
      </c>
      <c r="ER145" s="740">
        <v>1</v>
      </c>
      <c r="ES145" s="740">
        <v>2</v>
      </c>
      <c r="ET145" s="740">
        <v>3</v>
      </c>
      <c r="EU145" s="740">
        <v>2</v>
      </c>
      <c r="EV145" s="982"/>
      <c r="EW145" s="740">
        <v>12</v>
      </c>
      <c r="EX145" s="740">
        <v>13</v>
      </c>
      <c r="EY145" s="740">
        <v>7</v>
      </c>
      <c r="EZ145" s="740">
        <v>18</v>
      </c>
      <c r="FA145" s="740">
        <v>11</v>
      </c>
      <c r="FB145" s="740">
        <v>15</v>
      </c>
      <c r="FC145" s="740">
        <v>1</v>
      </c>
      <c r="FD145" s="740">
        <v>2</v>
      </c>
      <c r="FE145" s="740">
        <v>87</v>
      </c>
      <c r="FF145" s="905">
        <f>+(FE144+FE141)/FE145</f>
        <v>0.4942528735632184</v>
      </c>
      <c r="FG145" s="73"/>
      <c r="FH145" s="73"/>
      <c r="FI145" s="161"/>
      <c r="FJ145" s="161"/>
      <c r="FK145" s="161"/>
      <c r="FL145" s="73" t="s">
        <v>1289</v>
      </c>
      <c r="FM145" s="73">
        <v>0</v>
      </c>
      <c r="FN145" s="73">
        <v>0</v>
      </c>
      <c r="FO145" s="73">
        <v>1</v>
      </c>
      <c r="FP145" s="73"/>
      <c r="FQ145" s="73">
        <v>0</v>
      </c>
      <c r="FR145" s="73"/>
      <c r="FS145" s="73"/>
      <c r="FT145" s="73"/>
      <c r="FU145" s="73">
        <v>0</v>
      </c>
      <c r="FV145" s="73">
        <v>0</v>
      </c>
      <c r="FW145" s="73">
        <v>1</v>
      </c>
      <c r="FX145" s="73">
        <v>11</v>
      </c>
      <c r="FY145" s="73">
        <v>0</v>
      </c>
      <c r="FZ145" s="73">
        <v>0</v>
      </c>
      <c r="GA145" s="73"/>
      <c r="GB145" s="73">
        <v>0</v>
      </c>
      <c r="GC145" s="73">
        <v>13</v>
      </c>
      <c r="GD145" s="73"/>
      <c r="GE145" s="73"/>
      <c r="GF145" s="968"/>
      <c r="GG145" s="968"/>
      <c r="GH145" s="968" t="s">
        <v>41</v>
      </c>
      <c r="GI145" s="968" t="s">
        <v>1284</v>
      </c>
      <c r="GJ145" s="968">
        <v>1</v>
      </c>
      <c r="GK145" s="968">
        <v>0</v>
      </c>
      <c r="GL145" s="968">
        <v>0</v>
      </c>
      <c r="GM145" s="968">
        <v>0</v>
      </c>
      <c r="GN145" s="968">
        <v>0</v>
      </c>
      <c r="GO145" s="968">
        <v>0</v>
      </c>
      <c r="GP145" s="968">
        <v>0</v>
      </c>
      <c r="GQ145" s="968">
        <v>0</v>
      </c>
      <c r="GR145" s="968">
        <v>0</v>
      </c>
      <c r="GS145" s="968">
        <v>0</v>
      </c>
      <c r="GT145" s="968">
        <v>0</v>
      </c>
      <c r="GU145" s="968">
        <v>0</v>
      </c>
      <c r="GV145" s="968">
        <v>0</v>
      </c>
      <c r="GW145" s="968">
        <v>0</v>
      </c>
      <c r="GX145" s="968">
        <v>0</v>
      </c>
      <c r="GY145" s="968">
        <v>0</v>
      </c>
      <c r="GZ145" s="968">
        <v>1</v>
      </c>
      <c r="HA145" s="1001"/>
      <c r="HB145" s="969"/>
    </row>
    <row r="146" spans="1:210">
      <c r="A146" s="73"/>
      <c r="B146" s="73"/>
      <c r="C146" s="73"/>
      <c r="D146" s="73" t="s">
        <v>1284</v>
      </c>
      <c r="E146" s="967"/>
      <c r="F146" s="967"/>
      <c r="G146" s="967"/>
      <c r="H146" s="967"/>
      <c r="I146" s="967"/>
      <c r="J146" s="967">
        <v>0</v>
      </c>
      <c r="K146" s="967"/>
      <c r="L146" s="967"/>
      <c r="M146" s="967"/>
      <c r="N146" s="967"/>
      <c r="O146" s="967"/>
      <c r="P146" s="967">
        <v>1</v>
      </c>
      <c r="Q146" s="967">
        <v>0</v>
      </c>
      <c r="R146" s="967">
        <v>0</v>
      </c>
      <c r="S146" s="967">
        <v>0</v>
      </c>
      <c r="T146" s="73"/>
      <c r="U146" s="73"/>
      <c r="V146" s="73">
        <v>1</v>
      </c>
      <c r="W146" s="73"/>
      <c r="Y146" s="73"/>
      <c r="Z146" s="73"/>
      <c r="AA146" s="73" t="s">
        <v>2024</v>
      </c>
      <c r="AB146" s="73" t="s">
        <v>1284</v>
      </c>
      <c r="AC146" s="3261"/>
      <c r="AD146" s="3261"/>
      <c r="AE146" s="3261"/>
      <c r="AF146" s="3261"/>
      <c r="AG146" s="3261"/>
      <c r="AH146" s="3261"/>
      <c r="AI146" s="3261"/>
      <c r="AJ146" s="3261"/>
      <c r="AK146" s="3261"/>
      <c r="AL146" s="3261"/>
      <c r="AM146" s="3261"/>
      <c r="AN146" s="3261"/>
      <c r="AO146" s="3261">
        <v>0</v>
      </c>
      <c r="AP146" s="3261">
        <v>1</v>
      </c>
      <c r="AQ146" s="3261">
        <v>0</v>
      </c>
      <c r="AR146" s="161">
        <v>0</v>
      </c>
      <c r="AS146" s="161">
        <v>0</v>
      </c>
      <c r="AT146" s="161">
        <v>1</v>
      </c>
      <c r="AU146" s="73"/>
      <c r="AY146" s="73"/>
      <c r="AZ146" s="73" t="s">
        <v>1292</v>
      </c>
      <c r="BA146" s="2607"/>
      <c r="BB146" s="2607"/>
      <c r="BC146" s="2607"/>
      <c r="BD146" s="2607"/>
      <c r="BE146" s="2607"/>
      <c r="BF146" s="2607"/>
      <c r="BG146" s="2607"/>
      <c r="BH146" s="2607"/>
      <c r="BI146" s="2607"/>
      <c r="BJ146" s="2607"/>
      <c r="BK146" s="2607"/>
      <c r="BL146" s="2607">
        <v>0</v>
      </c>
      <c r="BM146" s="2607">
        <v>0</v>
      </c>
      <c r="BN146" s="2607">
        <v>0</v>
      </c>
      <c r="BO146" s="2607">
        <v>3</v>
      </c>
      <c r="BP146" s="73"/>
      <c r="BQ146" s="73">
        <v>3</v>
      </c>
      <c r="BR146" s="73">
        <v>6</v>
      </c>
      <c r="BS146" s="73"/>
      <c r="BU146" s="2207"/>
      <c r="BV146" s="2207"/>
      <c r="BW146" s="2207"/>
      <c r="BX146" s="2208" t="s">
        <v>1293</v>
      </c>
      <c r="BY146" s="2209"/>
      <c r="BZ146" s="2209"/>
      <c r="CA146" s="2209"/>
      <c r="CB146" s="2209"/>
      <c r="CC146" s="2209"/>
      <c r="CD146" s="2209"/>
      <c r="CE146" s="2209"/>
      <c r="CF146" s="2210">
        <v>1</v>
      </c>
      <c r="CG146" s="2209"/>
      <c r="CH146" s="2210">
        <v>0</v>
      </c>
      <c r="CI146" s="2210">
        <v>0</v>
      </c>
      <c r="CJ146" s="2210">
        <v>1</v>
      </c>
      <c r="CK146" s="2210">
        <v>0</v>
      </c>
      <c r="CL146" s="2212">
        <v>1</v>
      </c>
      <c r="CM146" s="2212">
        <v>0</v>
      </c>
      <c r="CN146" s="2212">
        <v>3</v>
      </c>
      <c r="CO146" s="73"/>
      <c r="CQ146" s="955"/>
      <c r="CR146" s="955"/>
      <c r="CS146" s="955"/>
      <c r="CT146" s="956" t="s">
        <v>1289</v>
      </c>
      <c r="CU146" s="957"/>
      <c r="CV146" s="957"/>
      <c r="CW146" s="957"/>
      <c r="CX146" s="957"/>
      <c r="CY146" s="957"/>
      <c r="CZ146" s="957"/>
      <c r="DA146" s="958">
        <v>1</v>
      </c>
      <c r="DB146" s="957"/>
      <c r="DC146" s="958">
        <v>0</v>
      </c>
      <c r="DD146" s="958">
        <v>0</v>
      </c>
      <c r="DE146" s="958">
        <v>0</v>
      </c>
      <c r="DF146" s="958">
        <v>0</v>
      </c>
      <c r="DG146" s="957"/>
      <c r="DH146" s="958">
        <v>0</v>
      </c>
      <c r="DI146" s="957"/>
      <c r="DJ146" s="959"/>
      <c r="DK146" s="959"/>
      <c r="DL146" s="960">
        <v>1</v>
      </c>
      <c r="DM146" s="161"/>
      <c r="DO146" s="788"/>
      <c r="DP146" s="788"/>
      <c r="DQ146" s="788"/>
      <c r="DR146" s="788"/>
      <c r="DS146" s="789" t="s">
        <v>1292</v>
      </c>
      <c r="DT146" s="961"/>
      <c r="DU146" s="962">
        <v>0</v>
      </c>
      <c r="DV146" s="961"/>
      <c r="DW146" s="962">
        <v>0</v>
      </c>
      <c r="DX146" s="961"/>
      <c r="DY146" s="962">
        <v>0</v>
      </c>
      <c r="DZ146" s="961"/>
      <c r="EA146" s="961"/>
      <c r="EB146" s="961"/>
      <c r="EC146" s="962">
        <v>0</v>
      </c>
      <c r="ED146" s="961"/>
      <c r="EE146" s="962">
        <v>0</v>
      </c>
      <c r="EF146" s="962">
        <v>1</v>
      </c>
      <c r="EG146" s="962">
        <v>1</v>
      </c>
      <c r="EH146" s="962">
        <v>1</v>
      </c>
      <c r="EI146" s="964">
        <v>1</v>
      </c>
      <c r="EJ146" s="964">
        <v>2</v>
      </c>
      <c r="EK146" s="964">
        <v>6</v>
      </c>
      <c r="EL146" s="912"/>
      <c r="EM146" s="73"/>
      <c r="EN146" s="965"/>
      <c r="EO146" s="965"/>
      <c r="EP146" s="965" t="s">
        <v>575</v>
      </c>
      <c r="EQ146" s="734" t="s">
        <v>1283</v>
      </c>
      <c r="ER146" s="735">
        <v>0</v>
      </c>
      <c r="ES146" s="966"/>
      <c r="ET146" s="966"/>
      <c r="EU146" s="735">
        <v>1</v>
      </c>
      <c r="EV146" s="966"/>
      <c r="EW146" s="735">
        <v>0</v>
      </c>
      <c r="EX146" s="735">
        <v>0</v>
      </c>
      <c r="EY146" s="735">
        <v>0</v>
      </c>
      <c r="EZ146" s="735">
        <v>0</v>
      </c>
      <c r="FA146" s="735">
        <v>0</v>
      </c>
      <c r="FB146" s="735">
        <v>2</v>
      </c>
      <c r="FC146" s="735">
        <v>0</v>
      </c>
      <c r="FD146" s="735">
        <v>0</v>
      </c>
      <c r="FE146" s="735">
        <v>3</v>
      </c>
      <c r="FF146" s="967"/>
      <c r="FG146" s="73"/>
      <c r="FH146" s="73"/>
      <c r="FI146" s="161"/>
      <c r="FJ146" s="161"/>
      <c r="FK146" s="161"/>
      <c r="FL146" s="73" t="s">
        <v>1292</v>
      </c>
      <c r="FM146" s="73">
        <v>0</v>
      </c>
      <c r="FN146" s="73">
        <v>0</v>
      </c>
      <c r="FO146" s="73">
        <v>0</v>
      </c>
      <c r="FP146" s="73"/>
      <c r="FQ146" s="73">
        <v>0</v>
      </c>
      <c r="FR146" s="73"/>
      <c r="FS146" s="73"/>
      <c r="FT146" s="73"/>
      <c r="FU146" s="73">
        <v>0</v>
      </c>
      <c r="FV146" s="73">
        <v>0</v>
      </c>
      <c r="FW146" s="73">
        <v>0</v>
      </c>
      <c r="FX146" s="73">
        <v>0</v>
      </c>
      <c r="FY146" s="73">
        <v>0</v>
      </c>
      <c r="FZ146" s="73">
        <v>10</v>
      </c>
      <c r="GA146" s="73"/>
      <c r="GB146" s="73">
        <v>1</v>
      </c>
      <c r="GC146" s="73">
        <v>11</v>
      </c>
      <c r="GD146" s="73"/>
      <c r="GE146" s="73"/>
      <c r="GF146" s="968"/>
      <c r="GG146" s="968"/>
      <c r="GH146" s="968"/>
      <c r="GI146" s="968" t="s">
        <v>1288</v>
      </c>
      <c r="GJ146" s="968">
        <v>0</v>
      </c>
      <c r="GK146" s="968">
        <v>0</v>
      </c>
      <c r="GL146" s="968">
        <v>0</v>
      </c>
      <c r="GM146" s="968">
        <v>0</v>
      </c>
      <c r="GN146" s="968">
        <v>0</v>
      </c>
      <c r="GO146" s="968">
        <v>0</v>
      </c>
      <c r="GP146" s="968">
        <v>0</v>
      </c>
      <c r="GQ146" s="968">
        <v>0</v>
      </c>
      <c r="GR146" s="968">
        <v>0</v>
      </c>
      <c r="GS146" s="968">
        <v>0</v>
      </c>
      <c r="GT146" s="968">
        <v>1</v>
      </c>
      <c r="GU146" s="968">
        <v>0</v>
      </c>
      <c r="GV146" s="968">
        <v>2</v>
      </c>
      <c r="GW146" s="968">
        <v>1</v>
      </c>
      <c r="GX146" s="968">
        <v>2</v>
      </c>
      <c r="GY146" s="968">
        <v>0</v>
      </c>
      <c r="GZ146" s="968">
        <v>6</v>
      </c>
      <c r="HA146" s="968"/>
      <c r="HB146" s="969"/>
    </row>
    <row r="147" spans="1:210">
      <c r="A147" s="73"/>
      <c r="B147" s="73"/>
      <c r="C147" s="73"/>
      <c r="D147" s="73" t="s">
        <v>1286</v>
      </c>
      <c r="E147" s="967"/>
      <c r="F147" s="967"/>
      <c r="G147" s="967"/>
      <c r="H147" s="967"/>
      <c r="I147" s="967"/>
      <c r="J147" s="967">
        <v>1</v>
      </c>
      <c r="K147" s="967"/>
      <c r="L147" s="967"/>
      <c r="M147" s="967"/>
      <c r="N147" s="967"/>
      <c r="O147" s="967"/>
      <c r="P147" s="967">
        <v>0</v>
      </c>
      <c r="Q147" s="967">
        <v>0</v>
      </c>
      <c r="R147" s="967">
        <v>0</v>
      </c>
      <c r="S147" s="967">
        <v>0</v>
      </c>
      <c r="T147" s="73"/>
      <c r="U147" s="73"/>
      <c r="V147" s="73">
        <v>1</v>
      </c>
      <c r="W147" s="73"/>
      <c r="Y147" s="73"/>
      <c r="Z147" s="73"/>
      <c r="AA147" s="73"/>
      <c r="AB147" s="73" t="s">
        <v>1288</v>
      </c>
      <c r="AC147" s="3261"/>
      <c r="AD147" s="3261"/>
      <c r="AE147" s="3261"/>
      <c r="AF147" s="3261"/>
      <c r="AG147" s="3261"/>
      <c r="AH147" s="3261"/>
      <c r="AI147" s="3261"/>
      <c r="AJ147" s="3261"/>
      <c r="AK147" s="3261"/>
      <c r="AL147" s="3261"/>
      <c r="AM147" s="3261"/>
      <c r="AN147" s="3261"/>
      <c r="AO147" s="3261">
        <v>1</v>
      </c>
      <c r="AP147" s="3261">
        <v>1</v>
      </c>
      <c r="AQ147" s="3261">
        <v>0</v>
      </c>
      <c r="AR147" s="161">
        <v>0</v>
      </c>
      <c r="AS147" s="161">
        <v>0</v>
      </c>
      <c r="AT147" s="161">
        <v>2</v>
      </c>
      <c r="AU147" s="73"/>
      <c r="AY147" s="73"/>
      <c r="AZ147" s="73" t="s">
        <v>1293</v>
      </c>
      <c r="BA147" s="2607"/>
      <c r="BB147" s="2607"/>
      <c r="BC147" s="2607"/>
      <c r="BD147" s="2607"/>
      <c r="BE147" s="2607"/>
      <c r="BF147" s="2607"/>
      <c r="BG147" s="2607"/>
      <c r="BH147" s="2607"/>
      <c r="BI147" s="2607"/>
      <c r="BJ147" s="2607"/>
      <c r="BK147" s="2607"/>
      <c r="BL147" s="2607">
        <v>2</v>
      </c>
      <c r="BM147" s="2607">
        <v>1</v>
      </c>
      <c r="BN147" s="2607">
        <v>0</v>
      </c>
      <c r="BO147" s="2607">
        <v>1</v>
      </c>
      <c r="BP147" s="73"/>
      <c r="BQ147" s="73">
        <v>0</v>
      </c>
      <c r="BR147" s="73">
        <v>4</v>
      </c>
      <c r="BS147" s="73"/>
      <c r="BU147" s="2207"/>
      <c r="BV147" s="2207"/>
      <c r="BW147" s="2207"/>
      <c r="BX147" s="2208" t="s">
        <v>1398</v>
      </c>
      <c r="BY147" s="2209"/>
      <c r="BZ147" s="2209"/>
      <c r="CA147" s="2209"/>
      <c r="CB147" s="2209"/>
      <c r="CC147" s="2209"/>
      <c r="CD147" s="2209"/>
      <c r="CE147" s="2209"/>
      <c r="CF147" s="2210">
        <v>0</v>
      </c>
      <c r="CG147" s="2209"/>
      <c r="CH147" s="2210">
        <v>0</v>
      </c>
      <c r="CI147" s="2210">
        <v>0</v>
      </c>
      <c r="CJ147" s="2210">
        <v>2</v>
      </c>
      <c r="CK147" s="2210">
        <v>0</v>
      </c>
      <c r="CL147" s="2212">
        <v>0</v>
      </c>
      <c r="CM147" s="2212">
        <v>0</v>
      </c>
      <c r="CN147" s="2212">
        <v>2</v>
      </c>
      <c r="CO147" s="73"/>
      <c r="CQ147" s="955"/>
      <c r="CR147" s="955"/>
      <c r="CS147" s="955"/>
      <c r="CT147" s="956" t="s">
        <v>1398</v>
      </c>
      <c r="CU147" s="957"/>
      <c r="CV147" s="957"/>
      <c r="CW147" s="957"/>
      <c r="CX147" s="957"/>
      <c r="CY147" s="957"/>
      <c r="CZ147" s="957"/>
      <c r="DA147" s="958">
        <v>0</v>
      </c>
      <c r="DB147" s="957"/>
      <c r="DC147" s="958">
        <v>0</v>
      </c>
      <c r="DD147" s="958">
        <v>4</v>
      </c>
      <c r="DE147" s="958">
        <v>4</v>
      </c>
      <c r="DF147" s="958">
        <v>1</v>
      </c>
      <c r="DG147" s="957"/>
      <c r="DH147" s="958">
        <v>0</v>
      </c>
      <c r="DI147" s="957"/>
      <c r="DJ147" s="959"/>
      <c r="DK147" s="959"/>
      <c r="DL147" s="960">
        <v>9</v>
      </c>
      <c r="DM147" s="161"/>
      <c r="DO147" s="788"/>
      <c r="DP147" s="788"/>
      <c r="DQ147" s="788"/>
      <c r="DR147" s="788"/>
      <c r="DS147" s="789" t="s">
        <v>1293</v>
      </c>
      <c r="DT147" s="961"/>
      <c r="DU147" s="962">
        <v>0</v>
      </c>
      <c r="DV147" s="961"/>
      <c r="DW147" s="962">
        <v>0</v>
      </c>
      <c r="DX147" s="961"/>
      <c r="DY147" s="962">
        <v>0</v>
      </c>
      <c r="DZ147" s="961"/>
      <c r="EA147" s="961"/>
      <c r="EB147" s="961"/>
      <c r="EC147" s="962">
        <v>0</v>
      </c>
      <c r="ED147" s="961"/>
      <c r="EE147" s="962">
        <v>0</v>
      </c>
      <c r="EF147" s="962">
        <v>2</v>
      </c>
      <c r="EG147" s="962">
        <v>0</v>
      </c>
      <c r="EH147" s="962">
        <v>0</v>
      </c>
      <c r="EI147" s="964">
        <v>1</v>
      </c>
      <c r="EJ147" s="964">
        <v>0</v>
      </c>
      <c r="EK147" s="964">
        <v>3</v>
      </c>
      <c r="EL147" s="912"/>
      <c r="EM147" s="73"/>
      <c r="EN147" s="965"/>
      <c r="EO147" s="965"/>
      <c r="EP147" s="965"/>
      <c r="EQ147" s="734" t="s">
        <v>1284</v>
      </c>
      <c r="ER147" s="735">
        <v>1</v>
      </c>
      <c r="ES147" s="966"/>
      <c r="ET147" s="966"/>
      <c r="EU147" s="735">
        <v>0</v>
      </c>
      <c r="EV147" s="966"/>
      <c r="EW147" s="735">
        <v>0</v>
      </c>
      <c r="EX147" s="735">
        <v>0</v>
      </c>
      <c r="EY147" s="735">
        <v>1</v>
      </c>
      <c r="EZ147" s="735">
        <v>0</v>
      </c>
      <c r="FA147" s="735">
        <v>0</v>
      </c>
      <c r="FB147" s="735">
        <v>0</v>
      </c>
      <c r="FC147" s="735">
        <v>1</v>
      </c>
      <c r="FD147" s="735">
        <v>0</v>
      </c>
      <c r="FE147" s="735">
        <v>3</v>
      </c>
      <c r="FF147" s="967"/>
      <c r="FG147" s="73"/>
      <c r="FH147" s="73"/>
      <c r="FI147" s="161"/>
      <c r="FJ147" s="161"/>
      <c r="FK147" s="161"/>
      <c r="FL147" s="73" t="s">
        <v>1398</v>
      </c>
      <c r="FM147" s="73">
        <v>0</v>
      </c>
      <c r="FN147" s="73">
        <v>0</v>
      </c>
      <c r="FO147" s="73">
        <v>0</v>
      </c>
      <c r="FP147" s="73"/>
      <c r="FQ147" s="73">
        <v>0</v>
      </c>
      <c r="FR147" s="73"/>
      <c r="FS147" s="73"/>
      <c r="FT147" s="73"/>
      <c r="FU147" s="73">
        <v>1</v>
      </c>
      <c r="FV147" s="73">
        <v>0</v>
      </c>
      <c r="FW147" s="73">
        <v>1</v>
      </c>
      <c r="FX147" s="73">
        <v>2</v>
      </c>
      <c r="FY147" s="73">
        <v>0</v>
      </c>
      <c r="FZ147" s="73">
        <v>0</v>
      </c>
      <c r="GA147" s="73"/>
      <c r="GB147" s="73">
        <v>0</v>
      </c>
      <c r="GC147" s="73">
        <v>4</v>
      </c>
      <c r="GD147" s="73"/>
      <c r="GE147" s="73"/>
      <c r="GF147" s="968"/>
      <c r="GG147" s="968"/>
      <c r="GH147" s="968"/>
      <c r="GI147" s="968" t="s">
        <v>1292</v>
      </c>
      <c r="GJ147" s="968">
        <v>0</v>
      </c>
      <c r="GK147" s="968">
        <v>0</v>
      </c>
      <c r="GL147" s="968">
        <v>0</v>
      </c>
      <c r="GM147" s="968">
        <v>0</v>
      </c>
      <c r="GN147" s="968">
        <v>0</v>
      </c>
      <c r="GO147" s="968">
        <v>0</v>
      </c>
      <c r="GP147" s="968">
        <v>0</v>
      </c>
      <c r="GQ147" s="968">
        <v>0</v>
      </c>
      <c r="GR147" s="968">
        <v>0</v>
      </c>
      <c r="GS147" s="968">
        <v>0</v>
      </c>
      <c r="GT147" s="968">
        <v>0</v>
      </c>
      <c r="GU147" s="968">
        <v>0</v>
      </c>
      <c r="GV147" s="968">
        <v>1</v>
      </c>
      <c r="GW147" s="968">
        <v>6</v>
      </c>
      <c r="GX147" s="968">
        <v>1</v>
      </c>
      <c r="GY147" s="968">
        <v>5</v>
      </c>
      <c r="GZ147" s="968">
        <v>13</v>
      </c>
      <c r="HA147" s="968"/>
      <c r="HB147" s="969"/>
    </row>
    <row r="148" spans="1:210">
      <c r="A148" s="73"/>
      <c r="B148" s="73"/>
      <c r="C148" s="73"/>
      <c r="D148" s="73" t="s">
        <v>1288</v>
      </c>
      <c r="E148" s="967"/>
      <c r="F148" s="967"/>
      <c r="G148" s="967"/>
      <c r="H148" s="967"/>
      <c r="I148" s="967"/>
      <c r="J148" s="967">
        <v>0</v>
      </c>
      <c r="K148" s="967"/>
      <c r="L148" s="967"/>
      <c r="M148" s="967"/>
      <c r="N148" s="967"/>
      <c r="O148" s="967"/>
      <c r="P148" s="967">
        <v>0</v>
      </c>
      <c r="Q148" s="967">
        <v>1</v>
      </c>
      <c r="R148" s="967">
        <v>1</v>
      </c>
      <c r="S148" s="967">
        <v>1</v>
      </c>
      <c r="T148" s="73"/>
      <c r="U148" s="73"/>
      <c r="V148" s="73">
        <v>3</v>
      </c>
      <c r="W148" s="73"/>
      <c r="Y148" s="73"/>
      <c r="Z148" s="73"/>
      <c r="AA148" s="73"/>
      <c r="AB148" s="73" t="s">
        <v>1292</v>
      </c>
      <c r="AC148" s="3261"/>
      <c r="AD148" s="3261"/>
      <c r="AE148" s="3261"/>
      <c r="AF148" s="3261"/>
      <c r="AG148" s="3261"/>
      <c r="AH148" s="3261"/>
      <c r="AI148" s="3261"/>
      <c r="AJ148" s="3261"/>
      <c r="AK148" s="3261"/>
      <c r="AL148" s="3261"/>
      <c r="AM148" s="3261"/>
      <c r="AN148" s="3261"/>
      <c r="AO148" s="3261">
        <v>0</v>
      </c>
      <c r="AP148" s="3261">
        <v>0</v>
      </c>
      <c r="AQ148" s="3261">
        <v>0</v>
      </c>
      <c r="AR148" s="161">
        <v>0</v>
      </c>
      <c r="AS148" s="161">
        <v>4</v>
      </c>
      <c r="AT148" s="161">
        <v>4</v>
      </c>
      <c r="AU148" s="73"/>
      <c r="AY148" s="73"/>
      <c r="AZ148" s="73" t="s">
        <v>1398</v>
      </c>
      <c r="BA148" s="2607"/>
      <c r="BB148" s="2607"/>
      <c r="BC148" s="2607"/>
      <c r="BD148" s="2607"/>
      <c r="BE148" s="2607"/>
      <c r="BF148" s="2607"/>
      <c r="BG148" s="2607"/>
      <c r="BH148" s="2607"/>
      <c r="BI148" s="2607"/>
      <c r="BJ148" s="2607"/>
      <c r="BK148" s="2607"/>
      <c r="BL148" s="2607">
        <v>0</v>
      </c>
      <c r="BM148" s="2607">
        <v>0</v>
      </c>
      <c r="BN148" s="2607">
        <v>1</v>
      </c>
      <c r="BO148" s="2607">
        <v>0</v>
      </c>
      <c r="BP148" s="73"/>
      <c r="BQ148" s="73">
        <v>0</v>
      </c>
      <c r="BR148" s="73">
        <v>1</v>
      </c>
      <c r="BS148" s="73"/>
      <c r="BU148" s="2207"/>
      <c r="BV148" s="2207"/>
      <c r="BW148" s="2207"/>
      <c r="BX148" s="2204" t="s">
        <v>15</v>
      </c>
      <c r="BY148" s="2213"/>
      <c r="BZ148" s="2213"/>
      <c r="CA148" s="2213"/>
      <c r="CB148" s="2213"/>
      <c r="CC148" s="2213"/>
      <c r="CD148" s="2213"/>
      <c r="CE148" s="2213"/>
      <c r="CF148" s="2214">
        <v>1</v>
      </c>
      <c r="CG148" s="2213"/>
      <c r="CH148" s="2214">
        <v>2</v>
      </c>
      <c r="CI148" s="2214">
        <v>1</v>
      </c>
      <c r="CJ148" s="2214">
        <v>4</v>
      </c>
      <c r="CK148" s="2214">
        <v>6</v>
      </c>
      <c r="CL148" s="2216">
        <v>1</v>
      </c>
      <c r="CM148" s="2216">
        <v>2</v>
      </c>
      <c r="CN148" s="2216">
        <v>17</v>
      </c>
      <c r="CO148" s="2154">
        <f>+(CN144+CN146-CL146+CN147)/CN148</f>
        <v>0.35294117647058826</v>
      </c>
      <c r="CQ148" s="955"/>
      <c r="CR148" s="955"/>
      <c r="CS148" s="955"/>
      <c r="CT148" s="974" t="s">
        <v>575</v>
      </c>
      <c r="CU148" s="975"/>
      <c r="CV148" s="975"/>
      <c r="CW148" s="975"/>
      <c r="CX148" s="975"/>
      <c r="CY148" s="975"/>
      <c r="CZ148" s="975"/>
      <c r="DA148" s="976">
        <v>1</v>
      </c>
      <c r="DB148" s="975"/>
      <c r="DC148" s="976">
        <v>2</v>
      </c>
      <c r="DD148" s="976">
        <v>9</v>
      </c>
      <c r="DE148" s="976">
        <v>9</v>
      </c>
      <c r="DF148" s="976">
        <v>2</v>
      </c>
      <c r="DG148" s="975"/>
      <c r="DH148" s="976">
        <v>1</v>
      </c>
      <c r="DI148" s="975"/>
      <c r="DJ148" s="977"/>
      <c r="DK148" s="977"/>
      <c r="DL148" s="978">
        <v>24</v>
      </c>
      <c r="DM148" s="912">
        <f>+(DL145+DL147)/DL148</f>
        <v>0.41666666666666669</v>
      </c>
      <c r="DO148" s="788"/>
      <c r="DP148" s="788"/>
      <c r="DQ148" s="788"/>
      <c r="DR148" s="788"/>
      <c r="DS148" s="789" t="s">
        <v>1398</v>
      </c>
      <c r="DT148" s="961"/>
      <c r="DU148" s="962">
        <v>0</v>
      </c>
      <c r="DV148" s="961"/>
      <c r="DW148" s="962">
        <v>0</v>
      </c>
      <c r="DX148" s="961"/>
      <c r="DY148" s="962">
        <v>0</v>
      </c>
      <c r="DZ148" s="961"/>
      <c r="EA148" s="961"/>
      <c r="EB148" s="961"/>
      <c r="EC148" s="962">
        <v>0</v>
      </c>
      <c r="ED148" s="961"/>
      <c r="EE148" s="962">
        <v>0</v>
      </c>
      <c r="EF148" s="962">
        <v>5</v>
      </c>
      <c r="EG148" s="962">
        <v>2</v>
      </c>
      <c r="EH148" s="962">
        <v>1</v>
      </c>
      <c r="EI148" s="964">
        <v>0</v>
      </c>
      <c r="EJ148" s="964">
        <v>0</v>
      </c>
      <c r="EK148" s="964">
        <v>8</v>
      </c>
      <c r="EL148" s="912"/>
      <c r="EM148" s="73"/>
      <c r="EN148" s="73"/>
      <c r="EO148" s="73"/>
      <c r="EP148" s="965"/>
      <c r="EQ148" s="734" t="s">
        <v>1286</v>
      </c>
      <c r="ER148" s="735">
        <v>0</v>
      </c>
      <c r="ES148" s="966"/>
      <c r="ET148" s="966"/>
      <c r="EU148" s="735">
        <v>1</v>
      </c>
      <c r="EV148" s="966"/>
      <c r="EW148" s="735">
        <v>0</v>
      </c>
      <c r="EX148" s="735">
        <v>0</v>
      </c>
      <c r="EY148" s="735">
        <v>0</v>
      </c>
      <c r="EZ148" s="735">
        <v>0</v>
      </c>
      <c r="FA148" s="735">
        <v>0</v>
      </c>
      <c r="FB148" s="735">
        <v>0</v>
      </c>
      <c r="FC148" s="735">
        <v>0</v>
      </c>
      <c r="FD148" s="735">
        <v>0</v>
      </c>
      <c r="FE148" s="735">
        <v>1</v>
      </c>
      <c r="FF148" s="967"/>
      <c r="FG148" s="73"/>
      <c r="FH148" s="73"/>
      <c r="FI148" s="161"/>
      <c r="FJ148" s="161"/>
      <c r="FK148" s="161"/>
      <c r="FL148" s="738" t="s">
        <v>15</v>
      </c>
      <c r="FM148" s="738">
        <v>2</v>
      </c>
      <c r="FN148" s="738">
        <v>1</v>
      </c>
      <c r="FO148" s="738">
        <v>1</v>
      </c>
      <c r="FP148" s="738"/>
      <c r="FQ148" s="738">
        <v>4</v>
      </c>
      <c r="FR148" s="738"/>
      <c r="FS148" s="738"/>
      <c r="FT148" s="738"/>
      <c r="FU148" s="738">
        <v>2</v>
      </c>
      <c r="FV148" s="738">
        <v>5</v>
      </c>
      <c r="FW148" s="738">
        <v>9</v>
      </c>
      <c r="FX148" s="738">
        <v>23</v>
      </c>
      <c r="FY148" s="738">
        <v>5</v>
      </c>
      <c r="FZ148" s="738">
        <v>11</v>
      </c>
      <c r="GA148" s="738"/>
      <c r="GB148" s="738">
        <v>1</v>
      </c>
      <c r="GC148" s="738">
        <v>64</v>
      </c>
      <c r="GD148" s="983">
        <f>+(GC144+GC147)/GC148</f>
        <v>0.328125</v>
      </c>
      <c r="GE148" s="73"/>
      <c r="GF148" s="968"/>
      <c r="GG148" s="968"/>
      <c r="GH148" s="968"/>
      <c r="GI148" s="968" t="s">
        <v>1398</v>
      </c>
      <c r="GJ148" s="968">
        <v>0</v>
      </c>
      <c r="GK148" s="968">
        <v>0</v>
      </c>
      <c r="GL148" s="968">
        <v>0</v>
      </c>
      <c r="GM148" s="968">
        <v>0</v>
      </c>
      <c r="GN148" s="968">
        <v>0</v>
      </c>
      <c r="GO148" s="968">
        <v>0</v>
      </c>
      <c r="GP148" s="968">
        <v>0</v>
      </c>
      <c r="GQ148" s="968">
        <v>0</v>
      </c>
      <c r="GR148" s="968">
        <v>1</v>
      </c>
      <c r="GS148" s="968">
        <v>3</v>
      </c>
      <c r="GT148" s="968">
        <v>5</v>
      </c>
      <c r="GU148" s="968">
        <v>0</v>
      </c>
      <c r="GV148" s="968">
        <v>1</v>
      </c>
      <c r="GW148" s="968">
        <v>1</v>
      </c>
      <c r="GX148" s="968">
        <v>0</v>
      </c>
      <c r="GY148" s="968">
        <v>0</v>
      </c>
      <c r="GZ148" s="968">
        <v>11</v>
      </c>
      <c r="HA148" s="968"/>
      <c r="HB148" s="969"/>
    </row>
    <row r="149" spans="1:210">
      <c r="A149" s="73"/>
      <c r="B149" s="73"/>
      <c r="C149" s="73"/>
      <c r="D149" s="73" t="s">
        <v>1292</v>
      </c>
      <c r="E149" s="967"/>
      <c r="F149" s="967"/>
      <c r="G149" s="967"/>
      <c r="H149" s="967"/>
      <c r="I149" s="967"/>
      <c r="J149" s="967">
        <v>0</v>
      </c>
      <c r="K149" s="967"/>
      <c r="L149" s="967"/>
      <c r="M149" s="967"/>
      <c r="N149" s="967"/>
      <c r="O149" s="967"/>
      <c r="P149" s="967">
        <v>0</v>
      </c>
      <c r="Q149" s="967">
        <v>0</v>
      </c>
      <c r="R149" s="967">
        <v>0</v>
      </c>
      <c r="S149" s="967">
        <v>5</v>
      </c>
      <c r="T149" s="73"/>
      <c r="U149" s="73"/>
      <c r="V149" s="73">
        <v>5</v>
      </c>
      <c r="W149" s="73"/>
      <c r="Y149" s="73"/>
      <c r="Z149" s="73"/>
      <c r="AA149" s="73"/>
      <c r="AB149" s="73" t="s">
        <v>1293</v>
      </c>
      <c r="AC149" s="3261"/>
      <c r="AD149" s="3261"/>
      <c r="AE149" s="3261"/>
      <c r="AF149" s="3261"/>
      <c r="AG149" s="3261"/>
      <c r="AH149" s="3261"/>
      <c r="AI149" s="3261"/>
      <c r="AJ149" s="3261"/>
      <c r="AK149" s="3261"/>
      <c r="AL149" s="3261"/>
      <c r="AM149" s="3261"/>
      <c r="AN149" s="3261"/>
      <c r="AO149" s="3261">
        <v>0</v>
      </c>
      <c r="AP149" s="3261">
        <v>0</v>
      </c>
      <c r="AQ149" s="3261">
        <v>0</v>
      </c>
      <c r="AR149" s="161">
        <v>1</v>
      </c>
      <c r="AS149" s="161">
        <v>0</v>
      </c>
      <c r="AT149" s="161">
        <v>1</v>
      </c>
      <c r="AU149" s="73"/>
      <c r="AY149" s="73"/>
      <c r="AZ149" s="738" t="s">
        <v>15</v>
      </c>
      <c r="BA149" s="2608"/>
      <c r="BB149" s="2608"/>
      <c r="BC149" s="2608"/>
      <c r="BD149" s="2608"/>
      <c r="BE149" s="2608"/>
      <c r="BF149" s="2608"/>
      <c r="BG149" s="2608"/>
      <c r="BH149" s="2608"/>
      <c r="BI149" s="2608"/>
      <c r="BJ149" s="2608"/>
      <c r="BK149" s="2608"/>
      <c r="BL149" s="2608">
        <v>2</v>
      </c>
      <c r="BM149" s="2608">
        <v>2</v>
      </c>
      <c r="BN149" s="2608">
        <v>2</v>
      </c>
      <c r="BO149" s="2608">
        <v>5</v>
      </c>
      <c r="BP149" s="738"/>
      <c r="BQ149" s="738">
        <v>3</v>
      </c>
      <c r="BR149" s="738">
        <v>14</v>
      </c>
      <c r="BS149" s="912">
        <f>+(BR145+BR147+BR148)/BR149</f>
        <v>0.42857142857142855</v>
      </c>
      <c r="BU149" s="2207"/>
      <c r="BV149" s="2207"/>
      <c r="BW149" s="2207" t="s">
        <v>575</v>
      </c>
      <c r="BX149" s="2208" t="s">
        <v>1283</v>
      </c>
      <c r="BY149" s="2209"/>
      <c r="BZ149" s="2209"/>
      <c r="CA149" s="2209"/>
      <c r="CB149" s="2209"/>
      <c r="CC149" s="2209"/>
      <c r="CD149" s="2209"/>
      <c r="CE149" s="2209"/>
      <c r="CF149" s="2210">
        <v>0</v>
      </c>
      <c r="CG149" s="2209"/>
      <c r="CH149" s="2210">
        <v>0</v>
      </c>
      <c r="CI149" s="2210">
        <v>0</v>
      </c>
      <c r="CJ149" s="2210">
        <v>0</v>
      </c>
      <c r="CK149" s="2210">
        <v>1</v>
      </c>
      <c r="CL149" s="2212">
        <v>0</v>
      </c>
      <c r="CM149" s="2212">
        <v>1</v>
      </c>
      <c r="CN149" s="2212">
        <v>2</v>
      </c>
      <c r="CO149" s="73"/>
      <c r="CQ149" s="955"/>
      <c r="CR149" s="955" t="s">
        <v>105</v>
      </c>
      <c r="CS149" s="955" t="s">
        <v>147</v>
      </c>
      <c r="CT149" s="956" t="s">
        <v>1283</v>
      </c>
      <c r="CU149" s="957"/>
      <c r="CV149" s="958">
        <v>0</v>
      </c>
      <c r="CW149" s="958">
        <v>0</v>
      </c>
      <c r="CX149" s="957"/>
      <c r="CY149" s="957"/>
      <c r="CZ149" s="957"/>
      <c r="DA149" s="957"/>
      <c r="DB149" s="957"/>
      <c r="DC149" s="957"/>
      <c r="DD149" s="957"/>
      <c r="DE149" s="957"/>
      <c r="DF149" s="957"/>
      <c r="DG149" s="958">
        <v>0</v>
      </c>
      <c r="DH149" s="958">
        <v>1</v>
      </c>
      <c r="DI149" s="958">
        <v>0</v>
      </c>
      <c r="DJ149" s="960">
        <v>0</v>
      </c>
      <c r="DK149" s="960">
        <v>0</v>
      </c>
      <c r="DL149" s="960">
        <v>1</v>
      </c>
      <c r="DM149" s="161"/>
      <c r="DO149" s="788"/>
      <c r="DP149" s="788"/>
      <c r="DQ149" s="788"/>
      <c r="DR149" s="73"/>
      <c r="DS149" s="809" t="s">
        <v>573</v>
      </c>
      <c r="DT149" s="970"/>
      <c r="DU149" s="971">
        <v>1</v>
      </c>
      <c r="DV149" s="970"/>
      <c r="DW149" s="971">
        <v>2</v>
      </c>
      <c r="DX149" s="970"/>
      <c r="DY149" s="971">
        <v>1</v>
      </c>
      <c r="DZ149" s="970"/>
      <c r="EA149" s="970"/>
      <c r="EB149" s="970"/>
      <c r="EC149" s="971">
        <v>1</v>
      </c>
      <c r="ED149" s="970"/>
      <c r="EE149" s="971">
        <v>5</v>
      </c>
      <c r="EF149" s="971">
        <v>29</v>
      </c>
      <c r="EG149" s="971">
        <v>9</v>
      </c>
      <c r="EH149" s="971">
        <v>5</v>
      </c>
      <c r="EI149" s="973">
        <v>7</v>
      </c>
      <c r="EJ149" s="973">
        <v>2</v>
      </c>
      <c r="EK149" s="973">
        <v>62</v>
      </c>
      <c r="EL149" s="912">
        <f>+(EK148+EK147+EK145-EI147)/EK149</f>
        <v>0.20967741935483872</v>
      </c>
      <c r="EM149" s="73"/>
      <c r="EN149" s="73"/>
      <c r="EO149" s="73"/>
      <c r="EP149" s="965"/>
      <c r="EQ149" s="734" t="s">
        <v>1288</v>
      </c>
      <c r="ER149" s="735">
        <v>0</v>
      </c>
      <c r="ES149" s="966"/>
      <c r="ET149" s="966"/>
      <c r="EU149" s="735">
        <v>0</v>
      </c>
      <c r="EV149" s="966"/>
      <c r="EW149" s="735">
        <v>0</v>
      </c>
      <c r="EX149" s="735">
        <v>0</v>
      </c>
      <c r="EY149" s="735">
        <v>1</v>
      </c>
      <c r="EZ149" s="735">
        <v>1</v>
      </c>
      <c r="FA149" s="735">
        <v>2</v>
      </c>
      <c r="FB149" s="735">
        <v>2</v>
      </c>
      <c r="FC149" s="735">
        <v>1</v>
      </c>
      <c r="FD149" s="735">
        <v>0</v>
      </c>
      <c r="FE149" s="735">
        <v>7</v>
      </c>
      <c r="FF149" s="967"/>
      <c r="FG149" s="73"/>
      <c r="FH149" s="73"/>
      <c r="FI149" s="161"/>
      <c r="FJ149" s="161"/>
      <c r="FK149" s="161" t="s">
        <v>41</v>
      </c>
      <c r="FL149" s="73" t="s">
        <v>1284</v>
      </c>
      <c r="FM149" s="73"/>
      <c r="FN149" s="73"/>
      <c r="FO149" s="73"/>
      <c r="FP149" s="73"/>
      <c r="FQ149" s="73"/>
      <c r="FR149" s="73">
        <v>0</v>
      </c>
      <c r="FS149" s="73">
        <v>0</v>
      </c>
      <c r="FT149" s="73"/>
      <c r="FU149" s="73">
        <v>1</v>
      </c>
      <c r="FV149" s="73">
        <v>1</v>
      </c>
      <c r="FW149" s="73">
        <v>0</v>
      </c>
      <c r="FX149" s="73"/>
      <c r="FY149" s="73">
        <v>0</v>
      </c>
      <c r="FZ149" s="73">
        <v>0</v>
      </c>
      <c r="GA149" s="73">
        <v>0</v>
      </c>
      <c r="GB149" s="73">
        <v>0</v>
      </c>
      <c r="GC149" s="73">
        <v>2</v>
      </c>
      <c r="GD149" s="73"/>
      <c r="GE149" s="73"/>
      <c r="GF149" s="968"/>
      <c r="GG149" s="968"/>
      <c r="GH149" s="968"/>
      <c r="GI149" s="979" t="s">
        <v>15</v>
      </c>
      <c r="GJ149" s="979">
        <v>1</v>
      </c>
      <c r="GK149" s="979">
        <v>0</v>
      </c>
      <c r="GL149" s="979">
        <v>0</v>
      </c>
      <c r="GM149" s="979">
        <v>0</v>
      </c>
      <c r="GN149" s="979">
        <v>0</v>
      </c>
      <c r="GO149" s="979">
        <v>0</v>
      </c>
      <c r="GP149" s="979">
        <v>0</v>
      </c>
      <c r="GQ149" s="979">
        <v>0</v>
      </c>
      <c r="GR149" s="979">
        <v>1</v>
      </c>
      <c r="GS149" s="979">
        <v>3</v>
      </c>
      <c r="GT149" s="979">
        <v>6</v>
      </c>
      <c r="GU149" s="979">
        <v>0</v>
      </c>
      <c r="GV149" s="979">
        <v>4</v>
      </c>
      <c r="GW149" s="979">
        <v>8</v>
      </c>
      <c r="GX149" s="979">
        <v>3</v>
      </c>
      <c r="GY149" s="979">
        <v>5</v>
      </c>
      <c r="GZ149" s="979">
        <v>31</v>
      </c>
      <c r="HA149" s="1002">
        <f>+(GZ148+GZ146-GX146)/GZ149</f>
        <v>0.4838709677419355</v>
      </c>
      <c r="HB149" s="969">
        <f>+GZ146+GZ148-GX146</f>
        <v>15</v>
      </c>
    </row>
    <row r="150" spans="1:210">
      <c r="A150" s="73"/>
      <c r="B150" s="73"/>
      <c r="C150" s="73"/>
      <c r="D150" s="73" t="s">
        <v>1398</v>
      </c>
      <c r="E150" s="967"/>
      <c r="F150" s="967"/>
      <c r="G150" s="967"/>
      <c r="H150" s="967"/>
      <c r="I150" s="967"/>
      <c r="J150" s="967">
        <v>0</v>
      </c>
      <c r="K150" s="967"/>
      <c r="L150" s="967"/>
      <c r="M150" s="967"/>
      <c r="N150" s="967"/>
      <c r="O150" s="967"/>
      <c r="P150" s="967">
        <v>0</v>
      </c>
      <c r="Q150" s="967">
        <v>2</v>
      </c>
      <c r="R150" s="967">
        <v>0</v>
      </c>
      <c r="S150" s="967">
        <v>0</v>
      </c>
      <c r="T150" s="73"/>
      <c r="U150" s="73"/>
      <c r="V150" s="73">
        <v>2</v>
      </c>
      <c r="W150" s="73"/>
      <c r="Y150" s="73"/>
      <c r="Z150" s="73"/>
      <c r="AA150" s="73"/>
      <c r="AB150" s="73" t="s">
        <v>1398</v>
      </c>
      <c r="AC150" s="3261"/>
      <c r="AD150" s="3261"/>
      <c r="AE150" s="3261"/>
      <c r="AF150" s="3261"/>
      <c r="AG150" s="3261"/>
      <c r="AH150" s="3261"/>
      <c r="AI150" s="3261"/>
      <c r="AJ150" s="3261"/>
      <c r="AK150" s="3261"/>
      <c r="AL150" s="3261"/>
      <c r="AM150" s="3261"/>
      <c r="AN150" s="3261"/>
      <c r="AO150" s="3261">
        <v>0</v>
      </c>
      <c r="AP150" s="3261">
        <v>0</v>
      </c>
      <c r="AQ150" s="3261">
        <v>1</v>
      </c>
      <c r="AR150" s="161">
        <v>0</v>
      </c>
      <c r="AS150" s="161">
        <v>0</v>
      </c>
      <c r="AT150" s="161">
        <v>1</v>
      </c>
      <c r="AU150" s="73"/>
      <c r="AY150" s="73" t="s">
        <v>575</v>
      </c>
      <c r="AZ150" s="73" t="s">
        <v>1284</v>
      </c>
      <c r="BA150" s="2607"/>
      <c r="BB150" s="2607"/>
      <c r="BC150" s="2607">
        <v>1</v>
      </c>
      <c r="BD150" s="2607"/>
      <c r="BE150" s="2607"/>
      <c r="BF150" s="2607"/>
      <c r="BG150" s="2607"/>
      <c r="BH150" s="2607">
        <v>1</v>
      </c>
      <c r="BI150" s="2607"/>
      <c r="BJ150" s="2607">
        <v>5</v>
      </c>
      <c r="BK150" s="2607">
        <v>2</v>
      </c>
      <c r="BL150" s="2607">
        <v>0</v>
      </c>
      <c r="BM150" s="2607">
        <v>1</v>
      </c>
      <c r="BN150" s="2607">
        <v>0</v>
      </c>
      <c r="BO150" s="2607">
        <v>1</v>
      </c>
      <c r="BP150" s="73"/>
      <c r="BQ150" s="73">
        <v>0</v>
      </c>
      <c r="BR150" s="73">
        <v>11</v>
      </c>
      <c r="BS150" s="73"/>
      <c r="BU150" s="2207"/>
      <c r="BV150" s="2207"/>
      <c r="BW150" s="2207"/>
      <c r="BX150" s="2208" t="s">
        <v>1284</v>
      </c>
      <c r="BY150" s="2209"/>
      <c r="BZ150" s="2209"/>
      <c r="CA150" s="2209"/>
      <c r="CB150" s="2209"/>
      <c r="CC150" s="2209"/>
      <c r="CD150" s="2209"/>
      <c r="CE150" s="2209"/>
      <c r="CF150" s="2210">
        <v>0</v>
      </c>
      <c r="CG150" s="2209"/>
      <c r="CH150" s="2210">
        <v>0</v>
      </c>
      <c r="CI150" s="2210">
        <v>0</v>
      </c>
      <c r="CJ150" s="2210">
        <v>0</v>
      </c>
      <c r="CK150" s="2210">
        <v>1</v>
      </c>
      <c r="CL150" s="2212">
        <v>0</v>
      </c>
      <c r="CM150" s="2212">
        <v>0</v>
      </c>
      <c r="CN150" s="2212">
        <v>1</v>
      </c>
      <c r="CO150" s="73"/>
      <c r="CQ150" s="955"/>
      <c r="CR150" s="955"/>
      <c r="CS150" s="955"/>
      <c r="CT150" s="956" t="s">
        <v>1284</v>
      </c>
      <c r="CU150" s="957"/>
      <c r="CV150" s="958">
        <v>1</v>
      </c>
      <c r="CW150" s="958">
        <v>0</v>
      </c>
      <c r="CX150" s="957"/>
      <c r="CY150" s="957"/>
      <c r="CZ150" s="957"/>
      <c r="DA150" s="957"/>
      <c r="DB150" s="957"/>
      <c r="DC150" s="957"/>
      <c r="DD150" s="957"/>
      <c r="DE150" s="957"/>
      <c r="DF150" s="957"/>
      <c r="DG150" s="958">
        <v>2</v>
      </c>
      <c r="DH150" s="958">
        <v>0</v>
      </c>
      <c r="DI150" s="958">
        <v>0</v>
      </c>
      <c r="DJ150" s="960">
        <v>2</v>
      </c>
      <c r="DK150" s="960">
        <v>0</v>
      </c>
      <c r="DL150" s="960">
        <v>5</v>
      </c>
      <c r="DM150" s="161"/>
      <c r="DO150" s="788"/>
      <c r="DP150" s="788" t="s">
        <v>41</v>
      </c>
      <c r="DQ150" s="788" t="s">
        <v>146</v>
      </c>
      <c r="DR150" s="788" t="s">
        <v>1282</v>
      </c>
      <c r="DS150" s="789" t="s">
        <v>1284</v>
      </c>
      <c r="DT150" s="961"/>
      <c r="DU150" s="961"/>
      <c r="DV150" s="962">
        <v>2</v>
      </c>
      <c r="DW150" s="961"/>
      <c r="DX150" s="961"/>
      <c r="DY150" s="961"/>
      <c r="DZ150" s="961"/>
      <c r="EA150" s="961"/>
      <c r="EB150" s="962">
        <v>0</v>
      </c>
      <c r="EC150" s="961"/>
      <c r="ED150" s="962">
        <v>0</v>
      </c>
      <c r="EE150" s="962">
        <v>4</v>
      </c>
      <c r="EF150" s="962">
        <v>1</v>
      </c>
      <c r="EG150" s="962">
        <v>1</v>
      </c>
      <c r="EH150" s="962">
        <v>1</v>
      </c>
      <c r="EI150" s="963"/>
      <c r="EJ150" s="964">
        <v>0</v>
      </c>
      <c r="EK150" s="964">
        <v>9</v>
      </c>
      <c r="EL150" s="912"/>
      <c r="EM150" s="73"/>
      <c r="EN150" s="73"/>
      <c r="EO150" s="73"/>
      <c r="EP150" s="965"/>
      <c r="EQ150" s="734" t="s">
        <v>1292</v>
      </c>
      <c r="ER150" s="735">
        <v>0</v>
      </c>
      <c r="ES150" s="966"/>
      <c r="ET150" s="966"/>
      <c r="EU150" s="735">
        <v>0</v>
      </c>
      <c r="EV150" s="966"/>
      <c r="EW150" s="735">
        <v>0</v>
      </c>
      <c r="EX150" s="735">
        <v>0</v>
      </c>
      <c r="EY150" s="735">
        <v>0</v>
      </c>
      <c r="EZ150" s="735">
        <v>1</v>
      </c>
      <c r="FA150" s="735">
        <v>0</v>
      </c>
      <c r="FB150" s="735">
        <v>13</v>
      </c>
      <c r="FC150" s="735">
        <v>0</v>
      </c>
      <c r="FD150" s="735">
        <v>5</v>
      </c>
      <c r="FE150" s="735">
        <v>19</v>
      </c>
      <c r="FF150" s="967"/>
      <c r="FG150" s="73"/>
      <c r="FH150" s="73"/>
      <c r="FI150" s="161"/>
      <c r="FJ150" s="161"/>
      <c r="FK150" s="161"/>
      <c r="FL150" s="73" t="s">
        <v>1288</v>
      </c>
      <c r="FM150" s="73"/>
      <c r="FN150" s="73"/>
      <c r="FO150" s="73"/>
      <c r="FP150" s="73"/>
      <c r="FQ150" s="73"/>
      <c r="FR150" s="73">
        <v>0</v>
      </c>
      <c r="FS150" s="73">
        <v>0</v>
      </c>
      <c r="FT150" s="73"/>
      <c r="FU150" s="73">
        <v>0</v>
      </c>
      <c r="FV150" s="73">
        <v>0</v>
      </c>
      <c r="FW150" s="73">
        <v>0</v>
      </c>
      <c r="FX150" s="73"/>
      <c r="FY150" s="73">
        <v>0</v>
      </c>
      <c r="FZ150" s="73">
        <v>0</v>
      </c>
      <c r="GA150" s="73">
        <v>1</v>
      </c>
      <c r="GB150" s="73">
        <v>0</v>
      </c>
      <c r="GC150" s="73">
        <v>1</v>
      </c>
      <c r="GD150" s="73"/>
      <c r="GE150" s="73"/>
      <c r="GF150" s="968"/>
      <c r="GG150" s="968" t="s">
        <v>1381</v>
      </c>
      <c r="GH150" s="968" t="s">
        <v>16</v>
      </c>
      <c r="GI150" s="968" t="s">
        <v>1284</v>
      </c>
      <c r="GJ150" s="968">
        <v>0</v>
      </c>
      <c r="GK150" s="968">
        <v>0</v>
      </c>
      <c r="GL150" s="968">
        <v>0</v>
      </c>
      <c r="GM150" s="968">
        <v>0</v>
      </c>
      <c r="GN150" s="968">
        <v>0</v>
      </c>
      <c r="GO150" s="968">
        <v>0</v>
      </c>
      <c r="GP150" s="968">
        <v>0</v>
      </c>
      <c r="GQ150" s="968">
        <v>0</v>
      </c>
      <c r="GR150" s="968">
        <v>0</v>
      </c>
      <c r="GS150" s="968">
        <v>0</v>
      </c>
      <c r="GT150" s="968">
        <v>0</v>
      </c>
      <c r="GU150" s="968">
        <v>1</v>
      </c>
      <c r="GV150" s="968">
        <v>0</v>
      </c>
      <c r="GW150" s="968">
        <v>0</v>
      </c>
      <c r="GX150" s="968">
        <v>0</v>
      </c>
      <c r="GY150" s="968">
        <v>0</v>
      </c>
      <c r="GZ150" s="968">
        <v>1</v>
      </c>
      <c r="HA150" s="968"/>
      <c r="HB150" s="969"/>
    </row>
    <row r="151" spans="1:210">
      <c r="A151" s="73"/>
      <c r="B151" s="73"/>
      <c r="C151" s="73"/>
      <c r="D151" s="738" t="s">
        <v>15</v>
      </c>
      <c r="E151" s="4694"/>
      <c r="F151" s="4694"/>
      <c r="G151" s="4694"/>
      <c r="H151" s="4694"/>
      <c r="I151" s="4694"/>
      <c r="J151" s="4694">
        <v>1</v>
      </c>
      <c r="K151" s="4694"/>
      <c r="L151" s="4694"/>
      <c r="M151" s="4694"/>
      <c r="N151" s="4694"/>
      <c r="O151" s="4694"/>
      <c r="P151" s="4694">
        <v>1</v>
      </c>
      <c r="Q151" s="4694">
        <v>3</v>
      </c>
      <c r="R151" s="4694">
        <v>1</v>
      </c>
      <c r="S151" s="4694">
        <v>7</v>
      </c>
      <c r="T151" s="738"/>
      <c r="U151" s="738"/>
      <c r="V151" s="738">
        <v>13</v>
      </c>
      <c r="W151" s="912">
        <f>+(V150+V148)/V151</f>
        <v>0.38461538461538464</v>
      </c>
      <c r="X151" s="3197"/>
      <c r="Y151" s="73"/>
      <c r="Z151" s="73"/>
      <c r="AA151" s="73"/>
      <c r="AB151" s="738" t="s">
        <v>15</v>
      </c>
      <c r="AC151" s="3262"/>
      <c r="AD151" s="3262"/>
      <c r="AE151" s="3262"/>
      <c r="AF151" s="3262"/>
      <c r="AG151" s="3262"/>
      <c r="AH151" s="3262"/>
      <c r="AI151" s="3262"/>
      <c r="AJ151" s="3262"/>
      <c r="AK151" s="3262"/>
      <c r="AL151" s="3262"/>
      <c r="AM151" s="3262"/>
      <c r="AN151" s="3262"/>
      <c r="AO151" s="3262">
        <v>1</v>
      </c>
      <c r="AP151" s="3262">
        <v>2</v>
      </c>
      <c r="AQ151" s="3262">
        <v>1</v>
      </c>
      <c r="AR151" s="151">
        <v>1</v>
      </c>
      <c r="AS151" s="151">
        <v>4</v>
      </c>
      <c r="AT151" s="151">
        <v>9</v>
      </c>
      <c r="AU151" s="912">
        <f>+(AT147+AT150)/AT151</f>
        <v>0.33333333333333331</v>
      </c>
      <c r="AY151" s="73"/>
      <c r="AZ151" s="73" t="s">
        <v>1288</v>
      </c>
      <c r="BA151" s="2607"/>
      <c r="BB151" s="2607"/>
      <c r="BC151" s="2607">
        <v>0</v>
      </c>
      <c r="BD151" s="2607"/>
      <c r="BE151" s="2607"/>
      <c r="BF151" s="2607"/>
      <c r="BG151" s="2607"/>
      <c r="BH151" s="2607">
        <v>0</v>
      </c>
      <c r="BI151" s="2607"/>
      <c r="BJ151" s="2607">
        <v>0</v>
      </c>
      <c r="BK151" s="2607">
        <v>0</v>
      </c>
      <c r="BL151" s="2607">
        <v>0</v>
      </c>
      <c r="BM151" s="2607">
        <v>0</v>
      </c>
      <c r="BN151" s="2607">
        <v>1</v>
      </c>
      <c r="BO151" s="2607">
        <v>0</v>
      </c>
      <c r="BP151" s="73"/>
      <c r="BQ151" s="73">
        <v>0</v>
      </c>
      <c r="BR151" s="73">
        <v>1</v>
      </c>
      <c r="BS151" s="73"/>
      <c r="BU151" s="2207"/>
      <c r="BV151" s="2207"/>
      <c r="BW151" s="2207"/>
      <c r="BX151" s="2208" t="s">
        <v>1288</v>
      </c>
      <c r="BY151" s="2209"/>
      <c r="BZ151" s="2209"/>
      <c r="CA151" s="2209"/>
      <c r="CB151" s="2209"/>
      <c r="CC151" s="2209"/>
      <c r="CD151" s="2209"/>
      <c r="CE151" s="2209"/>
      <c r="CF151" s="2210">
        <v>0</v>
      </c>
      <c r="CG151" s="2209"/>
      <c r="CH151" s="2210">
        <v>1</v>
      </c>
      <c r="CI151" s="2210">
        <v>0</v>
      </c>
      <c r="CJ151" s="2210">
        <v>1</v>
      </c>
      <c r="CK151" s="2210">
        <v>0</v>
      </c>
      <c r="CL151" s="2212">
        <v>0</v>
      </c>
      <c r="CM151" s="2212">
        <v>0</v>
      </c>
      <c r="CN151" s="2212">
        <v>2</v>
      </c>
      <c r="CO151" s="73"/>
      <c r="CQ151" s="955"/>
      <c r="CR151" s="955"/>
      <c r="CS151" s="955"/>
      <c r="CT151" s="956" t="s">
        <v>1286</v>
      </c>
      <c r="CU151" s="957"/>
      <c r="CV151" s="958">
        <v>0</v>
      </c>
      <c r="CW151" s="958">
        <v>1</v>
      </c>
      <c r="CX151" s="957"/>
      <c r="CY151" s="957"/>
      <c r="CZ151" s="957"/>
      <c r="DA151" s="957"/>
      <c r="DB151" s="957"/>
      <c r="DC151" s="957"/>
      <c r="DD151" s="957"/>
      <c r="DE151" s="957"/>
      <c r="DF151" s="957"/>
      <c r="DG151" s="958">
        <v>0</v>
      </c>
      <c r="DH151" s="958">
        <v>0</v>
      </c>
      <c r="DI151" s="958">
        <v>0</v>
      </c>
      <c r="DJ151" s="960">
        <v>0</v>
      </c>
      <c r="DK151" s="960">
        <v>0</v>
      </c>
      <c r="DL151" s="960">
        <v>1</v>
      </c>
      <c r="DM151" s="161"/>
      <c r="DO151" s="788"/>
      <c r="DP151" s="788"/>
      <c r="DQ151" s="788"/>
      <c r="DR151" s="788"/>
      <c r="DS151" s="789" t="s">
        <v>1288</v>
      </c>
      <c r="DT151" s="961"/>
      <c r="DU151" s="961"/>
      <c r="DV151" s="962">
        <v>0</v>
      </c>
      <c r="DW151" s="961"/>
      <c r="DX151" s="961"/>
      <c r="DY151" s="961"/>
      <c r="DZ151" s="961"/>
      <c r="EA151" s="961"/>
      <c r="EB151" s="962">
        <v>1</v>
      </c>
      <c r="EC151" s="961"/>
      <c r="ED151" s="962">
        <v>0</v>
      </c>
      <c r="EE151" s="962">
        <v>0</v>
      </c>
      <c r="EF151" s="962">
        <v>0</v>
      </c>
      <c r="EG151" s="962">
        <v>0</v>
      </c>
      <c r="EH151" s="962">
        <v>1</v>
      </c>
      <c r="EI151" s="963"/>
      <c r="EJ151" s="964">
        <v>0</v>
      </c>
      <c r="EK151" s="964">
        <v>2</v>
      </c>
      <c r="EL151" s="912"/>
      <c r="EM151" s="73"/>
      <c r="EN151" s="73"/>
      <c r="EO151" s="73"/>
      <c r="EP151" s="965"/>
      <c r="EQ151" s="734" t="s">
        <v>1398</v>
      </c>
      <c r="ER151" s="735">
        <v>0</v>
      </c>
      <c r="ES151" s="966"/>
      <c r="ET151" s="966"/>
      <c r="EU151" s="735">
        <v>0</v>
      </c>
      <c r="EV151" s="966"/>
      <c r="EW151" s="735">
        <v>1</v>
      </c>
      <c r="EX151" s="735">
        <v>1</v>
      </c>
      <c r="EY151" s="735">
        <v>1</v>
      </c>
      <c r="EZ151" s="735">
        <v>4</v>
      </c>
      <c r="FA151" s="735">
        <v>2</v>
      </c>
      <c r="FB151" s="735">
        <v>0</v>
      </c>
      <c r="FC151" s="735">
        <v>0</v>
      </c>
      <c r="FD151" s="735">
        <v>0</v>
      </c>
      <c r="FE151" s="735">
        <v>9</v>
      </c>
      <c r="FF151" s="967"/>
      <c r="FG151" s="73"/>
      <c r="FH151" s="73"/>
      <c r="FI151" s="161"/>
      <c r="FJ151" s="161"/>
      <c r="FK151" s="161"/>
      <c r="FL151" s="73" t="s">
        <v>1292</v>
      </c>
      <c r="FM151" s="73"/>
      <c r="FN151" s="73"/>
      <c r="FO151" s="73"/>
      <c r="FP151" s="73"/>
      <c r="FQ151" s="73"/>
      <c r="FR151" s="73">
        <v>0</v>
      </c>
      <c r="FS151" s="73">
        <v>0</v>
      </c>
      <c r="FT151" s="73"/>
      <c r="FU151" s="73">
        <v>0</v>
      </c>
      <c r="FV151" s="73">
        <v>0</v>
      </c>
      <c r="FW151" s="73">
        <v>0</v>
      </c>
      <c r="FX151" s="73"/>
      <c r="FY151" s="73">
        <v>0</v>
      </c>
      <c r="FZ151" s="73">
        <v>8</v>
      </c>
      <c r="GA151" s="73">
        <v>0</v>
      </c>
      <c r="GB151" s="73">
        <v>6</v>
      </c>
      <c r="GC151" s="73">
        <v>14</v>
      </c>
      <c r="GD151" s="73"/>
      <c r="GE151" s="73"/>
      <c r="GF151" s="968"/>
      <c r="GG151" s="968"/>
      <c r="GH151" s="968"/>
      <c r="GI151" s="968" t="s">
        <v>1292</v>
      </c>
      <c r="GJ151" s="968">
        <v>0</v>
      </c>
      <c r="GK151" s="968">
        <v>0</v>
      </c>
      <c r="GL151" s="968">
        <v>0</v>
      </c>
      <c r="GM151" s="968">
        <v>0</v>
      </c>
      <c r="GN151" s="968">
        <v>0</v>
      </c>
      <c r="GO151" s="968">
        <v>0</v>
      </c>
      <c r="GP151" s="968">
        <v>0</v>
      </c>
      <c r="GQ151" s="968">
        <v>0</v>
      </c>
      <c r="GR151" s="968">
        <v>0</v>
      </c>
      <c r="GS151" s="968">
        <v>0</v>
      </c>
      <c r="GT151" s="968">
        <v>0</v>
      </c>
      <c r="GU151" s="968">
        <v>0</v>
      </c>
      <c r="GV151" s="968">
        <v>0</v>
      </c>
      <c r="GW151" s="968">
        <v>0</v>
      </c>
      <c r="GX151" s="968">
        <v>0</v>
      </c>
      <c r="GY151" s="968">
        <v>1</v>
      </c>
      <c r="GZ151" s="968">
        <v>1</v>
      </c>
      <c r="HA151" s="968"/>
      <c r="HB151" s="969"/>
    </row>
    <row r="152" spans="1:210">
      <c r="A152" s="73"/>
      <c r="B152" s="73"/>
      <c r="C152" s="73" t="s">
        <v>338</v>
      </c>
      <c r="D152" s="73" t="s">
        <v>1284</v>
      </c>
      <c r="E152" s="967"/>
      <c r="F152" s="967"/>
      <c r="G152" s="967"/>
      <c r="H152" s="967"/>
      <c r="I152" s="967"/>
      <c r="J152" s="967"/>
      <c r="K152" s="967"/>
      <c r="L152" s="967"/>
      <c r="M152" s="967"/>
      <c r="N152" s="967">
        <v>1</v>
      </c>
      <c r="O152" s="967"/>
      <c r="P152" s="967"/>
      <c r="Q152" s="967">
        <v>1</v>
      </c>
      <c r="R152" s="967">
        <v>1</v>
      </c>
      <c r="S152" s="967">
        <v>0</v>
      </c>
      <c r="T152" s="73">
        <v>0</v>
      </c>
      <c r="U152" s="73">
        <v>0</v>
      </c>
      <c r="V152" s="73">
        <v>3</v>
      </c>
      <c r="W152" s="73"/>
      <c r="Y152" s="73"/>
      <c r="Z152" s="73"/>
      <c r="AA152" s="73" t="s">
        <v>575</v>
      </c>
      <c r="AB152" s="73" t="s">
        <v>1284</v>
      </c>
      <c r="AC152" s="3261"/>
      <c r="AD152" s="3261"/>
      <c r="AE152" s="3261"/>
      <c r="AF152" s="3261"/>
      <c r="AG152" s="3261"/>
      <c r="AH152" s="3261"/>
      <c r="AI152" s="3261"/>
      <c r="AJ152" s="3261"/>
      <c r="AK152" s="3261">
        <v>1</v>
      </c>
      <c r="AL152" s="3261"/>
      <c r="AM152" s="3261">
        <v>1</v>
      </c>
      <c r="AN152" s="3261"/>
      <c r="AO152" s="3261">
        <v>0</v>
      </c>
      <c r="AP152" s="3261">
        <v>2</v>
      </c>
      <c r="AQ152" s="3261">
        <v>0</v>
      </c>
      <c r="AR152" s="161">
        <v>0</v>
      </c>
      <c r="AS152" s="161">
        <v>0</v>
      </c>
      <c r="AT152" s="161">
        <v>4</v>
      </c>
      <c r="AU152" s="73"/>
      <c r="AY152" s="73"/>
      <c r="AZ152" s="73" t="s">
        <v>1292</v>
      </c>
      <c r="BA152" s="2607"/>
      <c r="BB152" s="2607"/>
      <c r="BC152" s="2607">
        <v>0</v>
      </c>
      <c r="BD152" s="2607"/>
      <c r="BE152" s="2607"/>
      <c r="BF152" s="2607"/>
      <c r="BG152" s="2607"/>
      <c r="BH152" s="2607">
        <v>0</v>
      </c>
      <c r="BI152" s="2607"/>
      <c r="BJ152" s="2607">
        <v>0</v>
      </c>
      <c r="BK152" s="2607">
        <v>0</v>
      </c>
      <c r="BL152" s="2607">
        <v>0</v>
      </c>
      <c r="BM152" s="2607">
        <v>1</v>
      </c>
      <c r="BN152" s="2607">
        <v>0</v>
      </c>
      <c r="BO152" s="2607">
        <v>4</v>
      </c>
      <c r="BP152" s="73"/>
      <c r="BQ152" s="73">
        <v>3</v>
      </c>
      <c r="BR152" s="73">
        <v>8</v>
      </c>
      <c r="BS152" s="73"/>
      <c r="BU152" s="2207"/>
      <c r="BV152" s="2207"/>
      <c r="BW152" s="2207"/>
      <c r="BX152" s="2208" t="s">
        <v>1292</v>
      </c>
      <c r="BY152" s="2209"/>
      <c r="BZ152" s="2209"/>
      <c r="CA152" s="2209"/>
      <c r="CB152" s="2209"/>
      <c r="CC152" s="2209"/>
      <c r="CD152" s="2209"/>
      <c r="CE152" s="2209"/>
      <c r="CF152" s="2210">
        <v>0</v>
      </c>
      <c r="CG152" s="2209"/>
      <c r="CH152" s="2210">
        <v>1</v>
      </c>
      <c r="CI152" s="2210">
        <v>1</v>
      </c>
      <c r="CJ152" s="2210">
        <v>0</v>
      </c>
      <c r="CK152" s="2210">
        <v>4</v>
      </c>
      <c r="CL152" s="2212">
        <v>0</v>
      </c>
      <c r="CM152" s="2212">
        <v>1</v>
      </c>
      <c r="CN152" s="2212">
        <v>7</v>
      </c>
      <c r="CO152" s="73"/>
      <c r="CQ152" s="955"/>
      <c r="CR152" s="955"/>
      <c r="CS152" s="955"/>
      <c r="CT152" s="956" t="s">
        <v>1288</v>
      </c>
      <c r="CU152" s="957"/>
      <c r="CV152" s="958">
        <v>0</v>
      </c>
      <c r="CW152" s="958">
        <v>0</v>
      </c>
      <c r="CX152" s="957"/>
      <c r="CY152" s="957"/>
      <c r="CZ152" s="957"/>
      <c r="DA152" s="957"/>
      <c r="DB152" s="957"/>
      <c r="DC152" s="957"/>
      <c r="DD152" s="957"/>
      <c r="DE152" s="957"/>
      <c r="DF152" s="957"/>
      <c r="DG152" s="958">
        <v>0</v>
      </c>
      <c r="DH152" s="958">
        <v>1</v>
      </c>
      <c r="DI152" s="958">
        <v>1</v>
      </c>
      <c r="DJ152" s="960">
        <v>0</v>
      </c>
      <c r="DK152" s="960">
        <v>0</v>
      </c>
      <c r="DL152" s="960">
        <v>2</v>
      </c>
      <c r="DM152" s="161"/>
      <c r="DO152" s="788"/>
      <c r="DP152" s="788"/>
      <c r="DQ152" s="788"/>
      <c r="DR152" s="788"/>
      <c r="DS152" s="789" t="s">
        <v>1292</v>
      </c>
      <c r="DT152" s="961"/>
      <c r="DU152" s="961"/>
      <c r="DV152" s="962">
        <v>0</v>
      </c>
      <c r="DW152" s="961"/>
      <c r="DX152" s="961"/>
      <c r="DY152" s="961"/>
      <c r="DZ152" s="961"/>
      <c r="EA152" s="961"/>
      <c r="EB152" s="962">
        <v>0</v>
      </c>
      <c r="EC152" s="961"/>
      <c r="ED152" s="962">
        <v>0</v>
      </c>
      <c r="EE152" s="962">
        <v>0</v>
      </c>
      <c r="EF152" s="962">
        <v>0</v>
      </c>
      <c r="EG152" s="962">
        <v>0</v>
      </c>
      <c r="EH152" s="962">
        <v>0</v>
      </c>
      <c r="EI152" s="963"/>
      <c r="EJ152" s="964">
        <v>1</v>
      </c>
      <c r="EK152" s="964">
        <v>1</v>
      </c>
      <c r="EL152" s="912"/>
      <c r="EM152" s="73"/>
      <c r="EN152" s="73"/>
      <c r="EO152" s="73"/>
      <c r="EP152" s="965"/>
      <c r="EQ152" s="981" t="s">
        <v>575</v>
      </c>
      <c r="ER152" s="740">
        <v>1</v>
      </c>
      <c r="ES152" s="982"/>
      <c r="ET152" s="982"/>
      <c r="EU152" s="740">
        <v>2</v>
      </c>
      <c r="EV152" s="982"/>
      <c r="EW152" s="740">
        <v>1</v>
      </c>
      <c r="EX152" s="740">
        <v>1</v>
      </c>
      <c r="EY152" s="740">
        <v>3</v>
      </c>
      <c r="EZ152" s="740">
        <v>6</v>
      </c>
      <c r="FA152" s="740">
        <v>4</v>
      </c>
      <c r="FB152" s="740">
        <v>17</v>
      </c>
      <c r="FC152" s="740">
        <v>2</v>
      </c>
      <c r="FD152" s="740">
        <v>5</v>
      </c>
      <c r="FE152" s="740">
        <v>42</v>
      </c>
      <c r="FF152" s="905">
        <f>+(FE151+FE149-FC149)/FE152</f>
        <v>0.35714285714285715</v>
      </c>
      <c r="FG152" s="73"/>
      <c r="FH152" s="73"/>
      <c r="FI152" s="161"/>
      <c r="FJ152" s="161"/>
      <c r="FK152" s="161"/>
      <c r="FL152" s="73" t="s">
        <v>1398</v>
      </c>
      <c r="FM152" s="73"/>
      <c r="FN152" s="73"/>
      <c r="FO152" s="73"/>
      <c r="FP152" s="73"/>
      <c r="FQ152" s="73"/>
      <c r="FR152" s="73">
        <v>1</v>
      </c>
      <c r="FS152" s="73">
        <v>2</v>
      </c>
      <c r="FT152" s="73"/>
      <c r="FU152" s="73">
        <v>0</v>
      </c>
      <c r="FV152" s="73">
        <v>2</v>
      </c>
      <c r="FW152" s="73">
        <v>2</v>
      </c>
      <c r="FX152" s="73"/>
      <c r="FY152" s="73">
        <v>2</v>
      </c>
      <c r="FZ152" s="73">
        <v>0</v>
      </c>
      <c r="GA152" s="73">
        <v>0</v>
      </c>
      <c r="GB152" s="73">
        <v>0</v>
      </c>
      <c r="GC152" s="73">
        <v>9</v>
      </c>
      <c r="GD152" s="73"/>
      <c r="GE152" s="73"/>
      <c r="GF152" s="968"/>
      <c r="GG152" s="968"/>
      <c r="GH152" s="968"/>
      <c r="GI152" s="979" t="s">
        <v>15</v>
      </c>
      <c r="GJ152" s="979">
        <v>0</v>
      </c>
      <c r="GK152" s="979">
        <v>0</v>
      </c>
      <c r="GL152" s="979">
        <v>0</v>
      </c>
      <c r="GM152" s="979">
        <v>0</v>
      </c>
      <c r="GN152" s="979">
        <v>0</v>
      </c>
      <c r="GO152" s="979">
        <v>0</v>
      </c>
      <c r="GP152" s="979">
        <v>0</v>
      </c>
      <c r="GQ152" s="979">
        <v>0</v>
      </c>
      <c r="GR152" s="979">
        <v>0</v>
      </c>
      <c r="GS152" s="979">
        <v>0</v>
      </c>
      <c r="GT152" s="979">
        <v>0</v>
      </c>
      <c r="GU152" s="979">
        <v>1</v>
      </c>
      <c r="GV152" s="979">
        <v>0</v>
      </c>
      <c r="GW152" s="979">
        <v>0</v>
      </c>
      <c r="GX152" s="979">
        <v>0</v>
      </c>
      <c r="GY152" s="979">
        <v>1</v>
      </c>
      <c r="GZ152" s="979">
        <v>2</v>
      </c>
      <c r="HA152" s="980">
        <f>0/GZ152</f>
        <v>0</v>
      </c>
      <c r="HB152" s="969">
        <v>0</v>
      </c>
    </row>
    <row r="153" spans="1:210">
      <c r="A153" s="73"/>
      <c r="B153" s="73"/>
      <c r="C153" s="73"/>
      <c r="D153" s="73" t="s">
        <v>1288</v>
      </c>
      <c r="E153" s="967"/>
      <c r="F153" s="967"/>
      <c r="G153" s="967"/>
      <c r="H153" s="967"/>
      <c r="I153" s="967"/>
      <c r="J153" s="967"/>
      <c r="K153" s="967"/>
      <c r="L153" s="967"/>
      <c r="M153" s="967"/>
      <c r="N153" s="967">
        <v>0</v>
      </c>
      <c r="O153" s="967"/>
      <c r="P153" s="967"/>
      <c r="Q153" s="967">
        <v>2</v>
      </c>
      <c r="R153" s="967">
        <v>2</v>
      </c>
      <c r="S153" s="967">
        <v>0</v>
      </c>
      <c r="T153" s="73">
        <v>0</v>
      </c>
      <c r="U153" s="73">
        <v>0</v>
      </c>
      <c r="V153" s="73">
        <v>4</v>
      </c>
      <c r="W153" s="73"/>
      <c r="Y153" s="73"/>
      <c r="Z153" s="73"/>
      <c r="AA153" s="73"/>
      <c r="AB153" s="73" t="s">
        <v>1288</v>
      </c>
      <c r="AC153" s="3261"/>
      <c r="AD153" s="3261"/>
      <c r="AE153" s="3261"/>
      <c r="AF153" s="3261"/>
      <c r="AG153" s="3261"/>
      <c r="AH153" s="3261"/>
      <c r="AI153" s="3261"/>
      <c r="AJ153" s="3261"/>
      <c r="AK153" s="3261">
        <v>0</v>
      </c>
      <c r="AL153" s="3261"/>
      <c r="AM153" s="3261">
        <v>0</v>
      </c>
      <c r="AN153" s="3261"/>
      <c r="AO153" s="3261">
        <v>2</v>
      </c>
      <c r="AP153" s="3261">
        <v>1</v>
      </c>
      <c r="AQ153" s="3261">
        <v>0</v>
      </c>
      <c r="AR153" s="161">
        <v>0</v>
      </c>
      <c r="AS153" s="161">
        <v>0</v>
      </c>
      <c r="AT153" s="161">
        <v>3</v>
      </c>
      <c r="AU153" s="73"/>
      <c r="AY153" s="73"/>
      <c r="AZ153" s="73" t="s">
        <v>1293</v>
      </c>
      <c r="BA153" s="2607"/>
      <c r="BB153" s="2607"/>
      <c r="BC153" s="2607">
        <v>0</v>
      </c>
      <c r="BD153" s="2607"/>
      <c r="BE153" s="2607"/>
      <c r="BF153" s="2607"/>
      <c r="BG153" s="2607"/>
      <c r="BH153" s="2607">
        <v>0</v>
      </c>
      <c r="BI153" s="2607"/>
      <c r="BJ153" s="2607">
        <v>0</v>
      </c>
      <c r="BK153" s="2607">
        <v>0</v>
      </c>
      <c r="BL153" s="2607">
        <v>2</v>
      </c>
      <c r="BM153" s="2607">
        <v>1</v>
      </c>
      <c r="BN153" s="2607">
        <v>0</v>
      </c>
      <c r="BO153" s="2607">
        <v>1</v>
      </c>
      <c r="BP153" s="73"/>
      <c r="BQ153" s="73">
        <v>0</v>
      </c>
      <c r="BR153" s="73">
        <v>4</v>
      </c>
      <c r="BS153" s="73"/>
      <c r="BU153" s="2207"/>
      <c r="BV153" s="2207"/>
      <c r="BW153" s="2207"/>
      <c r="BX153" s="2208" t="s">
        <v>1293</v>
      </c>
      <c r="BY153" s="2209"/>
      <c r="BZ153" s="2209"/>
      <c r="CA153" s="2209"/>
      <c r="CB153" s="2209"/>
      <c r="CC153" s="2209"/>
      <c r="CD153" s="2209"/>
      <c r="CE153" s="2209"/>
      <c r="CF153" s="2210">
        <v>1</v>
      </c>
      <c r="CG153" s="2209"/>
      <c r="CH153" s="2210">
        <v>0</v>
      </c>
      <c r="CI153" s="2210">
        <v>0</v>
      </c>
      <c r="CJ153" s="2210">
        <v>1</v>
      </c>
      <c r="CK153" s="2210">
        <v>0</v>
      </c>
      <c r="CL153" s="2212">
        <v>1</v>
      </c>
      <c r="CM153" s="2212">
        <v>0</v>
      </c>
      <c r="CN153" s="2212">
        <v>3</v>
      </c>
      <c r="CO153" s="73"/>
      <c r="CQ153" s="955"/>
      <c r="CR153" s="955"/>
      <c r="CS153" s="955"/>
      <c r="CT153" s="956" t="s">
        <v>1292</v>
      </c>
      <c r="CU153" s="957"/>
      <c r="CV153" s="958">
        <v>0</v>
      </c>
      <c r="CW153" s="958">
        <v>0</v>
      </c>
      <c r="CX153" s="957"/>
      <c r="CY153" s="957"/>
      <c r="CZ153" s="957"/>
      <c r="DA153" s="957"/>
      <c r="DB153" s="957"/>
      <c r="DC153" s="957"/>
      <c r="DD153" s="957"/>
      <c r="DE153" s="957"/>
      <c r="DF153" s="957"/>
      <c r="DG153" s="958">
        <v>0</v>
      </c>
      <c r="DH153" s="958">
        <v>0</v>
      </c>
      <c r="DI153" s="958">
        <v>0</v>
      </c>
      <c r="DJ153" s="960">
        <v>0</v>
      </c>
      <c r="DK153" s="960">
        <v>1</v>
      </c>
      <c r="DL153" s="960">
        <v>1</v>
      </c>
      <c r="DM153" s="161"/>
      <c r="DO153" s="788"/>
      <c r="DP153" s="788"/>
      <c r="DQ153" s="788"/>
      <c r="DR153" s="788"/>
      <c r="DS153" s="789" t="s">
        <v>1398</v>
      </c>
      <c r="DT153" s="961"/>
      <c r="DU153" s="961"/>
      <c r="DV153" s="962">
        <v>0</v>
      </c>
      <c r="DW153" s="961"/>
      <c r="DX153" s="961"/>
      <c r="DY153" s="961"/>
      <c r="DZ153" s="961"/>
      <c r="EA153" s="961"/>
      <c r="EB153" s="962">
        <v>0</v>
      </c>
      <c r="EC153" s="961"/>
      <c r="ED153" s="962">
        <v>1</v>
      </c>
      <c r="EE153" s="962">
        <v>0</v>
      </c>
      <c r="EF153" s="962">
        <v>0</v>
      </c>
      <c r="EG153" s="962">
        <v>0</v>
      </c>
      <c r="EH153" s="962">
        <v>0</v>
      </c>
      <c r="EI153" s="963"/>
      <c r="EJ153" s="964">
        <v>0</v>
      </c>
      <c r="EK153" s="964">
        <v>1</v>
      </c>
      <c r="EL153" s="912"/>
      <c r="EM153" s="73"/>
      <c r="EN153" s="73" t="s">
        <v>48</v>
      </c>
      <c r="EO153" s="73"/>
      <c r="EP153" s="965" t="s">
        <v>573</v>
      </c>
      <c r="EQ153" s="734" t="s">
        <v>1284</v>
      </c>
      <c r="ER153" s="966"/>
      <c r="ES153" s="966"/>
      <c r="ET153" s="966"/>
      <c r="EU153" s="966"/>
      <c r="EV153" s="966"/>
      <c r="EW153" s="966"/>
      <c r="EX153" s="735">
        <v>4</v>
      </c>
      <c r="EY153" s="735">
        <v>5</v>
      </c>
      <c r="EZ153" s="735">
        <v>4</v>
      </c>
      <c r="FA153" s="966"/>
      <c r="FB153" s="966"/>
      <c r="FC153" s="966"/>
      <c r="FD153" s="735">
        <v>0</v>
      </c>
      <c r="FE153" s="735">
        <v>13</v>
      </c>
      <c r="FF153" s="967"/>
      <c r="FG153" s="73"/>
      <c r="FH153" s="73"/>
      <c r="FI153" s="161"/>
      <c r="FJ153" s="161"/>
      <c r="FK153" s="161"/>
      <c r="FL153" s="738" t="s">
        <v>15</v>
      </c>
      <c r="FM153" s="738"/>
      <c r="FN153" s="738"/>
      <c r="FO153" s="738"/>
      <c r="FP153" s="738"/>
      <c r="FQ153" s="738"/>
      <c r="FR153" s="738">
        <v>1</v>
      </c>
      <c r="FS153" s="738">
        <v>2</v>
      </c>
      <c r="FT153" s="738"/>
      <c r="FU153" s="738">
        <v>1</v>
      </c>
      <c r="FV153" s="738">
        <v>3</v>
      </c>
      <c r="FW153" s="738">
        <v>2</v>
      </c>
      <c r="FX153" s="738"/>
      <c r="FY153" s="738">
        <v>2</v>
      </c>
      <c r="FZ153" s="738">
        <v>8</v>
      </c>
      <c r="GA153" s="738">
        <v>1</v>
      </c>
      <c r="GB153" s="738">
        <v>6</v>
      </c>
      <c r="GC153" s="738">
        <v>26</v>
      </c>
      <c r="GD153" s="983">
        <f>+(GC150+GC152)/GC153</f>
        <v>0.38461538461538464</v>
      </c>
      <c r="GE153" s="73"/>
      <c r="GF153" s="968"/>
      <c r="GG153" s="968"/>
      <c r="GH153" s="968" t="s">
        <v>41</v>
      </c>
      <c r="GI153" s="968" t="s">
        <v>1284</v>
      </c>
      <c r="GJ153" s="968">
        <v>0</v>
      </c>
      <c r="GK153" s="968">
        <v>0</v>
      </c>
      <c r="GL153" s="968">
        <v>1</v>
      </c>
      <c r="GM153" s="968">
        <v>0</v>
      </c>
      <c r="GN153" s="968">
        <v>0</v>
      </c>
      <c r="GO153" s="968">
        <v>1</v>
      </c>
      <c r="GP153" s="968">
        <v>0</v>
      </c>
      <c r="GQ153" s="968">
        <v>2</v>
      </c>
      <c r="GR153" s="968">
        <v>5</v>
      </c>
      <c r="GS153" s="968">
        <v>2</v>
      </c>
      <c r="GT153" s="968">
        <v>1</v>
      </c>
      <c r="GU153" s="968">
        <v>0</v>
      </c>
      <c r="GV153" s="968">
        <v>0</v>
      </c>
      <c r="GW153" s="968">
        <v>0</v>
      </c>
      <c r="GX153" s="968">
        <v>0</v>
      </c>
      <c r="GY153" s="968">
        <v>0</v>
      </c>
      <c r="GZ153" s="968">
        <v>12</v>
      </c>
      <c r="HA153" s="968"/>
      <c r="HB153" s="969"/>
    </row>
    <row r="154" spans="1:210">
      <c r="A154" s="73"/>
      <c r="B154" s="73"/>
      <c r="C154" s="73"/>
      <c r="D154" s="73" t="s">
        <v>1292</v>
      </c>
      <c r="E154" s="967"/>
      <c r="F154" s="967"/>
      <c r="G154" s="967"/>
      <c r="H154" s="967"/>
      <c r="I154" s="967"/>
      <c r="J154" s="967"/>
      <c r="K154" s="967"/>
      <c r="L154" s="967"/>
      <c r="M154" s="967"/>
      <c r="N154" s="967">
        <v>0</v>
      </c>
      <c r="O154" s="967"/>
      <c r="P154" s="967"/>
      <c r="Q154" s="967">
        <v>0</v>
      </c>
      <c r="R154" s="967">
        <v>1</v>
      </c>
      <c r="S154" s="967">
        <v>10</v>
      </c>
      <c r="T154" s="73">
        <v>2</v>
      </c>
      <c r="U154" s="73">
        <v>4</v>
      </c>
      <c r="V154" s="73">
        <v>17</v>
      </c>
      <c r="W154" s="73"/>
      <c r="Y154" s="73"/>
      <c r="Z154" s="73"/>
      <c r="AA154" s="73"/>
      <c r="AB154" s="73" t="s">
        <v>1292</v>
      </c>
      <c r="AC154" s="3261"/>
      <c r="AD154" s="3261"/>
      <c r="AE154" s="3261"/>
      <c r="AF154" s="3261"/>
      <c r="AG154" s="3261"/>
      <c r="AH154" s="3261"/>
      <c r="AI154" s="3261"/>
      <c r="AJ154" s="3261"/>
      <c r="AK154" s="3261">
        <v>0</v>
      </c>
      <c r="AL154" s="3261"/>
      <c r="AM154" s="3261">
        <v>0</v>
      </c>
      <c r="AN154" s="3261"/>
      <c r="AO154" s="3261">
        <v>0</v>
      </c>
      <c r="AP154" s="3261">
        <v>0</v>
      </c>
      <c r="AQ154" s="3261">
        <v>2</v>
      </c>
      <c r="AR154" s="161">
        <v>0</v>
      </c>
      <c r="AS154" s="161">
        <v>6</v>
      </c>
      <c r="AT154" s="161">
        <v>8</v>
      </c>
      <c r="AU154" s="73"/>
      <c r="AY154" s="73"/>
      <c r="AZ154" s="73" t="s">
        <v>1398</v>
      </c>
      <c r="BA154" s="2607"/>
      <c r="BB154" s="2607"/>
      <c r="BC154" s="2607">
        <v>0</v>
      </c>
      <c r="BD154" s="2607"/>
      <c r="BE154" s="2607"/>
      <c r="BF154" s="2607"/>
      <c r="BG154" s="2607"/>
      <c r="BH154" s="2607">
        <v>0</v>
      </c>
      <c r="BI154" s="2607"/>
      <c r="BJ154" s="2607">
        <v>1</v>
      </c>
      <c r="BK154" s="2607">
        <v>1</v>
      </c>
      <c r="BL154" s="2607">
        <v>0</v>
      </c>
      <c r="BM154" s="2607">
        <v>0</v>
      </c>
      <c r="BN154" s="2607">
        <v>1</v>
      </c>
      <c r="BO154" s="2607">
        <v>0</v>
      </c>
      <c r="BP154" s="73"/>
      <c r="BQ154" s="73">
        <v>0</v>
      </c>
      <c r="BR154" s="73">
        <v>3</v>
      </c>
      <c r="BS154" s="73"/>
      <c r="BU154" s="2207"/>
      <c r="BV154" s="2207"/>
      <c r="BW154" s="2207"/>
      <c r="BX154" s="2208" t="s">
        <v>1398</v>
      </c>
      <c r="BY154" s="2209"/>
      <c r="BZ154" s="2209"/>
      <c r="CA154" s="2209"/>
      <c r="CB154" s="2209"/>
      <c r="CC154" s="2209"/>
      <c r="CD154" s="2209"/>
      <c r="CE154" s="2209"/>
      <c r="CF154" s="2210">
        <v>0</v>
      </c>
      <c r="CG154" s="2209"/>
      <c r="CH154" s="2210">
        <v>0</v>
      </c>
      <c r="CI154" s="2210">
        <v>0</v>
      </c>
      <c r="CJ154" s="2210">
        <v>2</v>
      </c>
      <c r="CK154" s="2210">
        <v>0</v>
      </c>
      <c r="CL154" s="2212">
        <v>0</v>
      </c>
      <c r="CM154" s="2212">
        <v>0</v>
      </c>
      <c r="CN154" s="2212">
        <v>2</v>
      </c>
      <c r="CO154" s="73"/>
      <c r="CQ154" s="955"/>
      <c r="CR154" s="955"/>
      <c r="CS154" s="955"/>
      <c r="CT154" s="956" t="s">
        <v>1398</v>
      </c>
      <c r="CU154" s="957"/>
      <c r="CV154" s="958">
        <v>0</v>
      </c>
      <c r="CW154" s="958">
        <v>0</v>
      </c>
      <c r="CX154" s="957"/>
      <c r="CY154" s="957"/>
      <c r="CZ154" s="957"/>
      <c r="DA154" s="957"/>
      <c r="DB154" s="957"/>
      <c r="DC154" s="957"/>
      <c r="DD154" s="957"/>
      <c r="DE154" s="957"/>
      <c r="DF154" s="957"/>
      <c r="DG154" s="958">
        <v>1</v>
      </c>
      <c r="DH154" s="958">
        <v>0</v>
      </c>
      <c r="DI154" s="958">
        <v>0</v>
      </c>
      <c r="DJ154" s="960">
        <v>0</v>
      </c>
      <c r="DK154" s="960">
        <v>0</v>
      </c>
      <c r="DL154" s="960">
        <v>1</v>
      </c>
      <c r="DM154" s="161"/>
      <c r="DO154" s="788"/>
      <c r="DP154" s="788"/>
      <c r="DQ154" s="788"/>
      <c r="DR154" s="73"/>
      <c r="DS154" s="809" t="s">
        <v>15</v>
      </c>
      <c r="DT154" s="970"/>
      <c r="DU154" s="970"/>
      <c r="DV154" s="971">
        <v>2</v>
      </c>
      <c r="DW154" s="970"/>
      <c r="DX154" s="970"/>
      <c r="DY154" s="970"/>
      <c r="DZ154" s="970"/>
      <c r="EA154" s="970"/>
      <c r="EB154" s="971">
        <v>1</v>
      </c>
      <c r="EC154" s="970"/>
      <c r="ED154" s="971">
        <v>1</v>
      </c>
      <c r="EE154" s="971">
        <v>4</v>
      </c>
      <c r="EF154" s="971">
        <v>1</v>
      </c>
      <c r="EG154" s="971">
        <v>1</v>
      </c>
      <c r="EH154" s="971">
        <v>2</v>
      </c>
      <c r="EI154" s="972"/>
      <c r="EJ154" s="973">
        <v>1</v>
      </c>
      <c r="EK154" s="973">
        <v>13</v>
      </c>
      <c r="EL154" s="912">
        <f>+(EK153+EK151)/EK154</f>
        <v>0.23076923076923078</v>
      </c>
      <c r="EM154" s="73"/>
      <c r="EN154" s="73"/>
      <c r="EO154" s="73"/>
      <c r="EP154" s="965"/>
      <c r="EQ154" s="734" t="s">
        <v>1292</v>
      </c>
      <c r="ER154" s="966"/>
      <c r="ES154" s="966"/>
      <c r="ET154" s="966"/>
      <c r="EU154" s="966"/>
      <c r="EV154" s="966"/>
      <c r="EW154" s="966"/>
      <c r="EX154" s="735">
        <v>0</v>
      </c>
      <c r="EY154" s="735">
        <v>0</v>
      </c>
      <c r="EZ154" s="735">
        <v>0</v>
      </c>
      <c r="FA154" s="966"/>
      <c r="FB154" s="966"/>
      <c r="FC154" s="966"/>
      <c r="FD154" s="735">
        <v>1</v>
      </c>
      <c r="FE154" s="735">
        <v>1</v>
      </c>
      <c r="FF154" s="967"/>
      <c r="FG154" s="73"/>
      <c r="FH154" s="73"/>
      <c r="FI154" s="161"/>
      <c r="FJ154" s="161" t="s">
        <v>48</v>
      </c>
      <c r="FK154" s="161" t="s">
        <v>16</v>
      </c>
      <c r="FL154" s="73" t="s">
        <v>1284</v>
      </c>
      <c r="FM154" s="73"/>
      <c r="FN154" s="73">
        <v>1</v>
      </c>
      <c r="FO154" s="73">
        <v>2</v>
      </c>
      <c r="FP154" s="73">
        <v>1</v>
      </c>
      <c r="FQ154" s="73">
        <v>1</v>
      </c>
      <c r="FR154" s="73"/>
      <c r="FS154" s="73"/>
      <c r="FT154" s="73"/>
      <c r="FU154" s="73">
        <v>11</v>
      </c>
      <c r="FV154" s="73">
        <v>4</v>
      </c>
      <c r="FW154" s="73">
        <v>8</v>
      </c>
      <c r="FX154" s="73">
        <v>26</v>
      </c>
      <c r="FY154" s="73">
        <v>3</v>
      </c>
      <c r="FZ154" s="73">
        <v>0</v>
      </c>
      <c r="GA154" s="73">
        <v>1</v>
      </c>
      <c r="GB154" s="73">
        <v>0</v>
      </c>
      <c r="GC154" s="73">
        <v>58</v>
      </c>
      <c r="GD154" s="73"/>
      <c r="GE154" s="73"/>
      <c r="GF154" s="968"/>
      <c r="GG154" s="968"/>
      <c r="GH154" s="968"/>
      <c r="GI154" s="968" t="s">
        <v>1292</v>
      </c>
      <c r="GJ154" s="968">
        <v>0</v>
      </c>
      <c r="GK154" s="968">
        <v>0</v>
      </c>
      <c r="GL154" s="968">
        <v>0</v>
      </c>
      <c r="GM154" s="968">
        <v>0</v>
      </c>
      <c r="GN154" s="968">
        <v>0</v>
      </c>
      <c r="GO154" s="968">
        <v>0</v>
      </c>
      <c r="GP154" s="968">
        <v>0</v>
      </c>
      <c r="GQ154" s="968">
        <v>1</v>
      </c>
      <c r="GR154" s="968">
        <v>0</v>
      </c>
      <c r="GS154" s="968">
        <v>0</v>
      </c>
      <c r="GT154" s="968">
        <v>0</v>
      </c>
      <c r="GU154" s="968">
        <v>0</v>
      </c>
      <c r="GV154" s="968">
        <v>0</v>
      </c>
      <c r="GW154" s="968">
        <v>2</v>
      </c>
      <c r="GX154" s="968">
        <v>0</v>
      </c>
      <c r="GY154" s="968">
        <v>2</v>
      </c>
      <c r="GZ154" s="968">
        <v>5</v>
      </c>
      <c r="HA154" s="968"/>
      <c r="HB154" s="969"/>
    </row>
    <row r="155" spans="1:210">
      <c r="A155" s="73"/>
      <c r="B155" s="73"/>
      <c r="C155" s="73"/>
      <c r="D155" s="73" t="s">
        <v>1398</v>
      </c>
      <c r="E155" s="967"/>
      <c r="F155" s="967"/>
      <c r="G155" s="967"/>
      <c r="H155" s="967"/>
      <c r="I155" s="967"/>
      <c r="J155" s="967"/>
      <c r="K155" s="967"/>
      <c r="L155" s="967"/>
      <c r="M155" s="967"/>
      <c r="N155" s="967">
        <v>0</v>
      </c>
      <c r="O155" s="967"/>
      <c r="P155" s="967"/>
      <c r="Q155" s="967">
        <v>0</v>
      </c>
      <c r="R155" s="967">
        <v>1</v>
      </c>
      <c r="S155" s="967">
        <v>0</v>
      </c>
      <c r="T155" s="73">
        <v>0</v>
      </c>
      <c r="U155" s="73">
        <v>0</v>
      </c>
      <c r="V155" s="73">
        <v>1</v>
      </c>
      <c r="W155" s="73"/>
      <c r="Y155" s="73"/>
      <c r="Z155" s="73"/>
      <c r="AA155" s="73"/>
      <c r="AB155" s="73" t="s">
        <v>1293</v>
      </c>
      <c r="AC155" s="3261"/>
      <c r="AD155" s="3261"/>
      <c r="AE155" s="3261"/>
      <c r="AF155" s="3261"/>
      <c r="AG155" s="3261"/>
      <c r="AH155" s="3261"/>
      <c r="AI155" s="3261"/>
      <c r="AJ155" s="3261"/>
      <c r="AK155" s="3261">
        <v>0</v>
      </c>
      <c r="AL155" s="3261"/>
      <c r="AM155" s="3261">
        <v>0</v>
      </c>
      <c r="AN155" s="3261"/>
      <c r="AO155" s="3261">
        <v>1</v>
      </c>
      <c r="AP155" s="3261">
        <v>0</v>
      </c>
      <c r="AQ155" s="3261">
        <v>0</v>
      </c>
      <c r="AR155" s="161">
        <v>1</v>
      </c>
      <c r="AS155" s="161">
        <v>0</v>
      </c>
      <c r="AT155" s="161">
        <v>2</v>
      </c>
      <c r="AU155" s="73"/>
      <c r="AY155" s="73"/>
      <c r="AZ155" s="738" t="s">
        <v>575</v>
      </c>
      <c r="BA155" s="2608"/>
      <c r="BB155" s="2608"/>
      <c r="BC155" s="2608">
        <v>1</v>
      </c>
      <c r="BD155" s="2608"/>
      <c r="BE155" s="2608"/>
      <c r="BF155" s="2608"/>
      <c r="BG155" s="2608"/>
      <c r="BH155" s="2608">
        <v>1</v>
      </c>
      <c r="BI155" s="2608"/>
      <c r="BJ155" s="2608">
        <v>6</v>
      </c>
      <c r="BK155" s="2608">
        <v>3</v>
      </c>
      <c r="BL155" s="2608">
        <v>2</v>
      </c>
      <c r="BM155" s="2608">
        <v>3</v>
      </c>
      <c r="BN155" s="2608">
        <v>2</v>
      </c>
      <c r="BO155" s="2608">
        <v>6</v>
      </c>
      <c r="BP155" s="738"/>
      <c r="BQ155" s="738">
        <v>3</v>
      </c>
      <c r="BR155" s="738">
        <v>27</v>
      </c>
      <c r="BS155" s="912">
        <f>+(BR151+BR153+BR154)/BR155</f>
        <v>0.29629629629629628</v>
      </c>
      <c r="BU155" s="2207"/>
      <c r="BV155" s="2207"/>
      <c r="BW155" s="2207"/>
      <c r="BX155" s="2204" t="s">
        <v>575</v>
      </c>
      <c r="BY155" s="2213"/>
      <c r="BZ155" s="2213"/>
      <c r="CA155" s="2213"/>
      <c r="CB155" s="2213"/>
      <c r="CC155" s="2213"/>
      <c r="CD155" s="2213"/>
      <c r="CE155" s="2213"/>
      <c r="CF155" s="2214">
        <v>1</v>
      </c>
      <c r="CG155" s="2213"/>
      <c r="CH155" s="2214">
        <v>2</v>
      </c>
      <c r="CI155" s="2214">
        <v>1</v>
      </c>
      <c r="CJ155" s="2214">
        <v>4</v>
      </c>
      <c r="CK155" s="2214">
        <v>6</v>
      </c>
      <c r="CL155" s="2216">
        <v>1</v>
      </c>
      <c r="CM155" s="2216">
        <v>2</v>
      </c>
      <c r="CN155" s="2216">
        <v>17</v>
      </c>
      <c r="CO155" s="2154">
        <f>+(CN151+CN153-CL153+CN154)/CN155</f>
        <v>0.35294117647058826</v>
      </c>
      <c r="CQ155" s="955"/>
      <c r="CR155" s="955"/>
      <c r="CS155" s="955"/>
      <c r="CT155" s="974" t="s">
        <v>15</v>
      </c>
      <c r="CU155" s="975"/>
      <c r="CV155" s="976">
        <v>1</v>
      </c>
      <c r="CW155" s="976">
        <v>1</v>
      </c>
      <c r="CX155" s="975"/>
      <c r="CY155" s="975"/>
      <c r="CZ155" s="975"/>
      <c r="DA155" s="975"/>
      <c r="DB155" s="975"/>
      <c r="DC155" s="975"/>
      <c r="DD155" s="975"/>
      <c r="DE155" s="975"/>
      <c r="DF155" s="975"/>
      <c r="DG155" s="976">
        <v>3</v>
      </c>
      <c r="DH155" s="976">
        <v>2</v>
      </c>
      <c r="DI155" s="976">
        <v>1</v>
      </c>
      <c r="DJ155" s="978">
        <v>2</v>
      </c>
      <c r="DK155" s="978">
        <v>1</v>
      </c>
      <c r="DL155" s="978">
        <v>11</v>
      </c>
      <c r="DM155" s="912">
        <f>+(DL152+DL154)/DL155</f>
        <v>0.27272727272727271</v>
      </c>
      <c r="DO155" s="788"/>
      <c r="DP155" s="788"/>
      <c r="DQ155" s="788" t="s">
        <v>338</v>
      </c>
      <c r="DR155" s="788" t="s">
        <v>1282</v>
      </c>
      <c r="DS155" s="789" t="s">
        <v>1284</v>
      </c>
      <c r="DT155" s="961"/>
      <c r="DU155" s="961"/>
      <c r="DV155" s="961"/>
      <c r="DW155" s="961"/>
      <c r="DX155" s="961"/>
      <c r="DY155" s="961"/>
      <c r="DZ155" s="961"/>
      <c r="EA155" s="962">
        <v>1</v>
      </c>
      <c r="EB155" s="961"/>
      <c r="EC155" s="962">
        <v>2</v>
      </c>
      <c r="ED155" s="962">
        <v>1</v>
      </c>
      <c r="EE155" s="962">
        <v>1</v>
      </c>
      <c r="EF155" s="961"/>
      <c r="EG155" s="962">
        <v>2</v>
      </c>
      <c r="EH155" s="962">
        <v>0</v>
      </c>
      <c r="EI155" s="963"/>
      <c r="EJ155" s="963"/>
      <c r="EK155" s="964">
        <v>7</v>
      </c>
      <c r="EL155" s="912"/>
      <c r="EM155" s="73"/>
      <c r="EN155" s="73"/>
      <c r="EO155" s="73"/>
      <c r="EP155" s="965"/>
      <c r="EQ155" s="734" t="s">
        <v>1398</v>
      </c>
      <c r="ER155" s="966"/>
      <c r="ES155" s="966"/>
      <c r="ET155" s="966"/>
      <c r="EU155" s="966"/>
      <c r="EV155" s="966"/>
      <c r="EW155" s="966"/>
      <c r="EX155" s="735">
        <v>0</v>
      </c>
      <c r="EY155" s="735">
        <v>1</v>
      </c>
      <c r="EZ155" s="735">
        <v>0</v>
      </c>
      <c r="FA155" s="966"/>
      <c r="FB155" s="966"/>
      <c r="FC155" s="966"/>
      <c r="FD155" s="735">
        <v>0</v>
      </c>
      <c r="FE155" s="735">
        <v>1</v>
      </c>
      <c r="FF155" s="967"/>
      <c r="FG155" s="73"/>
      <c r="FH155" s="73"/>
      <c r="FI155" s="161"/>
      <c r="FJ155" s="161"/>
      <c r="FK155" s="161"/>
      <c r="FL155" s="73" t="s">
        <v>1288</v>
      </c>
      <c r="FM155" s="73"/>
      <c r="FN155" s="73">
        <v>0</v>
      </c>
      <c r="FO155" s="73">
        <v>0</v>
      </c>
      <c r="FP155" s="73">
        <v>0</v>
      </c>
      <c r="FQ155" s="73">
        <v>0</v>
      </c>
      <c r="FR155" s="73"/>
      <c r="FS155" s="73"/>
      <c r="FT155" s="73"/>
      <c r="FU155" s="73">
        <v>1</v>
      </c>
      <c r="FV155" s="73">
        <v>0</v>
      </c>
      <c r="FW155" s="73">
        <v>0</v>
      </c>
      <c r="FX155" s="73">
        <v>0</v>
      </c>
      <c r="FY155" s="73">
        <v>0</v>
      </c>
      <c r="FZ155" s="73">
        <v>1</v>
      </c>
      <c r="GA155" s="73">
        <v>0</v>
      </c>
      <c r="GB155" s="73">
        <v>0</v>
      </c>
      <c r="GC155" s="73">
        <v>2</v>
      </c>
      <c r="GD155" s="73"/>
      <c r="GE155" s="73"/>
      <c r="GF155" s="968"/>
      <c r="GG155" s="968"/>
      <c r="GH155" s="968"/>
      <c r="GI155" s="968" t="s">
        <v>1293</v>
      </c>
      <c r="GJ155" s="968">
        <v>0</v>
      </c>
      <c r="GK155" s="968">
        <v>0</v>
      </c>
      <c r="GL155" s="968">
        <v>0</v>
      </c>
      <c r="GM155" s="968">
        <v>0</v>
      </c>
      <c r="GN155" s="968">
        <v>0</v>
      </c>
      <c r="GO155" s="968">
        <v>0</v>
      </c>
      <c r="GP155" s="968">
        <v>0</v>
      </c>
      <c r="GQ155" s="968">
        <v>0</v>
      </c>
      <c r="GR155" s="968">
        <v>0</v>
      </c>
      <c r="GS155" s="968">
        <v>2</v>
      </c>
      <c r="GT155" s="968">
        <v>0</v>
      </c>
      <c r="GU155" s="968">
        <v>1</v>
      </c>
      <c r="GV155" s="968">
        <v>2</v>
      </c>
      <c r="GW155" s="968">
        <v>0</v>
      </c>
      <c r="GX155" s="968">
        <v>0</v>
      </c>
      <c r="GY155" s="968">
        <v>0</v>
      </c>
      <c r="GZ155" s="968">
        <v>5</v>
      </c>
      <c r="HA155" s="968"/>
      <c r="HB155" s="969"/>
    </row>
    <row r="156" spans="1:210">
      <c r="A156" s="73"/>
      <c r="B156" s="73"/>
      <c r="C156" s="73"/>
      <c r="D156" s="738" t="s">
        <v>15</v>
      </c>
      <c r="E156" s="4694"/>
      <c r="F156" s="4694"/>
      <c r="G156" s="4694"/>
      <c r="H156" s="4694"/>
      <c r="I156" s="4694"/>
      <c r="J156" s="4694"/>
      <c r="K156" s="4694"/>
      <c r="L156" s="4694"/>
      <c r="M156" s="4694"/>
      <c r="N156" s="4694">
        <v>1</v>
      </c>
      <c r="O156" s="4694"/>
      <c r="P156" s="4694"/>
      <c r="Q156" s="4694">
        <v>3</v>
      </c>
      <c r="R156" s="4694">
        <v>5</v>
      </c>
      <c r="S156" s="4694">
        <v>10</v>
      </c>
      <c r="T156" s="738">
        <v>2</v>
      </c>
      <c r="U156" s="738">
        <v>4</v>
      </c>
      <c r="V156" s="738">
        <v>25</v>
      </c>
      <c r="W156" s="912">
        <f>+(V155+V153)/V156</f>
        <v>0.2</v>
      </c>
      <c r="X156" s="3197"/>
      <c r="Y156" s="73"/>
      <c r="Z156" s="73"/>
      <c r="AA156" s="73"/>
      <c r="AB156" s="73" t="s">
        <v>1398</v>
      </c>
      <c r="AC156" s="3261"/>
      <c r="AD156" s="3261"/>
      <c r="AE156" s="3261"/>
      <c r="AF156" s="3261"/>
      <c r="AG156" s="3261"/>
      <c r="AH156" s="3261"/>
      <c r="AI156" s="3261"/>
      <c r="AJ156" s="3261"/>
      <c r="AK156" s="3261">
        <v>0</v>
      </c>
      <c r="AL156" s="3261"/>
      <c r="AM156" s="3261">
        <v>0</v>
      </c>
      <c r="AN156" s="3261"/>
      <c r="AO156" s="3261">
        <v>3</v>
      </c>
      <c r="AP156" s="3261">
        <v>0</v>
      </c>
      <c r="AQ156" s="3261">
        <v>1</v>
      </c>
      <c r="AR156" s="161">
        <v>0</v>
      </c>
      <c r="AS156" s="161">
        <v>0</v>
      </c>
      <c r="AT156" s="161">
        <v>4</v>
      </c>
      <c r="AU156" s="73"/>
      <c r="AX156" s="161" t="s">
        <v>105</v>
      </c>
      <c r="AY156" s="73" t="s">
        <v>147</v>
      </c>
      <c r="AZ156" s="73" t="s">
        <v>1284</v>
      </c>
      <c r="BA156" s="2607"/>
      <c r="BB156" s="2607"/>
      <c r="BC156" s="2607"/>
      <c r="BD156" s="2607"/>
      <c r="BE156" s="2607"/>
      <c r="BF156" s="2607"/>
      <c r="BG156" s="2607"/>
      <c r="BH156" s="2607"/>
      <c r="BI156" s="2607"/>
      <c r="BJ156" s="2607"/>
      <c r="BK156" s="2607"/>
      <c r="BL156" s="2607"/>
      <c r="BM156" s="2607">
        <v>6</v>
      </c>
      <c r="BN156" s="2607">
        <v>1</v>
      </c>
      <c r="BO156" s="2607">
        <v>1</v>
      </c>
      <c r="BP156" s="73"/>
      <c r="BQ156" s="73"/>
      <c r="BR156" s="73">
        <v>8</v>
      </c>
      <c r="BS156" s="73"/>
      <c r="BU156" s="2207"/>
      <c r="BV156" s="2207" t="s">
        <v>105</v>
      </c>
      <c r="BW156" s="2207" t="s">
        <v>147</v>
      </c>
      <c r="BX156" s="2208" t="s">
        <v>1284</v>
      </c>
      <c r="BY156" s="2209"/>
      <c r="BZ156" s="2209"/>
      <c r="CA156" s="2209"/>
      <c r="CB156" s="2209"/>
      <c r="CC156" s="2209"/>
      <c r="CD156" s="2209"/>
      <c r="CE156" s="2209"/>
      <c r="CF156" s="2209"/>
      <c r="CG156" s="2209"/>
      <c r="CH156" s="2209"/>
      <c r="CI156" s="2210">
        <v>4</v>
      </c>
      <c r="CJ156" s="2210">
        <v>0</v>
      </c>
      <c r="CK156" s="2209"/>
      <c r="CL156" s="2211"/>
      <c r="CM156" s="2211"/>
      <c r="CN156" s="2212">
        <v>4</v>
      </c>
      <c r="CO156" s="73"/>
      <c r="CQ156" s="955"/>
      <c r="CR156" s="955"/>
      <c r="CS156" s="955" t="s">
        <v>888</v>
      </c>
      <c r="CT156" s="956" t="s">
        <v>1283</v>
      </c>
      <c r="CU156" s="957"/>
      <c r="CV156" s="958">
        <v>0</v>
      </c>
      <c r="CW156" s="958">
        <v>0</v>
      </c>
      <c r="CX156" s="957"/>
      <c r="CY156" s="957"/>
      <c r="CZ156" s="957"/>
      <c r="DA156" s="957"/>
      <c r="DB156" s="957"/>
      <c r="DC156" s="957"/>
      <c r="DD156" s="957"/>
      <c r="DE156" s="957"/>
      <c r="DF156" s="957"/>
      <c r="DG156" s="958">
        <v>0</v>
      </c>
      <c r="DH156" s="958">
        <v>1</v>
      </c>
      <c r="DI156" s="958">
        <v>0</v>
      </c>
      <c r="DJ156" s="960">
        <v>0</v>
      </c>
      <c r="DK156" s="960">
        <v>0</v>
      </c>
      <c r="DL156" s="960">
        <v>1</v>
      </c>
      <c r="DM156" s="161"/>
      <c r="DO156" s="788"/>
      <c r="DP156" s="788"/>
      <c r="DQ156" s="788"/>
      <c r="DR156" s="788"/>
      <c r="DS156" s="789" t="s">
        <v>1288</v>
      </c>
      <c r="DT156" s="961"/>
      <c r="DU156" s="961"/>
      <c r="DV156" s="961"/>
      <c r="DW156" s="961"/>
      <c r="DX156" s="961"/>
      <c r="DY156" s="961"/>
      <c r="DZ156" s="961"/>
      <c r="EA156" s="962">
        <v>0</v>
      </c>
      <c r="EB156" s="961"/>
      <c r="EC156" s="962">
        <v>0</v>
      </c>
      <c r="ED156" s="962">
        <v>0</v>
      </c>
      <c r="EE156" s="962">
        <v>1</v>
      </c>
      <c r="EF156" s="961"/>
      <c r="EG156" s="962">
        <v>0</v>
      </c>
      <c r="EH156" s="962">
        <v>0</v>
      </c>
      <c r="EI156" s="963"/>
      <c r="EJ156" s="963"/>
      <c r="EK156" s="964">
        <v>1</v>
      </c>
      <c r="EL156" s="912"/>
      <c r="EM156" s="73"/>
      <c r="EN156" s="965"/>
      <c r="EO156" s="965"/>
      <c r="EP156" s="965"/>
      <c r="EQ156" s="981" t="s">
        <v>573</v>
      </c>
      <c r="ER156" s="982"/>
      <c r="ES156" s="982"/>
      <c r="ET156" s="982"/>
      <c r="EU156" s="982"/>
      <c r="EV156" s="982"/>
      <c r="EW156" s="982"/>
      <c r="EX156" s="740">
        <v>4</v>
      </c>
      <c r="EY156" s="740">
        <v>6</v>
      </c>
      <c r="EZ156" s="740">
        <v>4</v>
      </c>
      <c r="FA156" s="982"/>
      <c r="FB156" s="982"/>
      <c r="FC156" s="982"/>
      <c r="FD156" s="740">
        <v>1</v>
      </c>
      <c r="FE156" s="740">
        <v>15</v>
      </c>
      <c r="FF156" s="905">
        <f>+FE155/FE156</f>
        <v>6.6666666666666666E-2</v>
      </c>
      <c r="FG156" s="73"/>
      <c r="FH156" s="73"/>
      <c r="FI156" s="161"/>
      <c r="FJ156" s="161"/>
      <c r="FK156" s="161"/>
      <c r="FL156" s="73" t="s">
        <v>1292</v>
      </c>
      <c r="FM156" s="73"/>
      <c r="FN156" s="73">
        <v>0</v>
      </c>
      <c r="FO156" s="73">
        <v>0</v>
      </c>
      <c r="FP156" s="73">
        <v>0</v>
      </c>
      <c r="FQ156" s="73">
        <v>0</v>
      </c>
      <c r="FR156" s="73"/>
      <c r="FS156" s="73"/>
      <c r="FT156" s="73"/>
      <c r="FU156" s="73">
        <v>0</v>
      </c>
      <c r="FV156" s="73">
        <v>2</v>
      </c>
      <c r="FW156" s="73">
        <v>1</v>
      </c>
      <c r="FX156" s="73">
        <v>1</v>
      </c>
      <c r="FY156" s="73">
        <v>1</v>
      </c>
      <c r="FZ156" s="73">
        <v>0</v>
      </c>
      <c r="GA156" s="73">
        <v>3</v>
      </c>
      <c r="GB156" s="73">
        <v>6</v>
      </c>
      <c r="GC156" s="73">
        <v>14</v>
      </c>
      <c r="GD156" s="73"/>
      <c r="GE156" s="73"/>
      <c r="GF156" s="968"/>
      <c r="GG156" s="968"/>
      <c r="GH156" s="968"/>
      <c r="GI156" s="968" t="s">
        <v>1398</v>
      </c>
      <c r="GJ156" s="968">
        <v>0</v>
      </c>
      <c r="GK156" s="968">
        <v>0</v>
      </c>
      <c r="GL156" s="968">
        <v>0</v>
      </c>
      <c r="GM156" s="968">
        <v>0</v>
      </c>
      <c r="GN156" s="968">
        <v>0</v>
      </c>
      <c r="GO156" s="968">
        <v>0</v>
      </c>
      <c r="GP156" s="968">
        <v>0</v>
      </c>
      <c r="GQ156" s="968">
        <v>2</v>
      </c>
      <c r="GR156" s="968">
        <v>0</v>
      </c>
      <c r="GS156" s="968">
        <v>0</v>
      </c>
      <c r="GT156" s="968">
        <v>1</v>
      </c>
      <c r="GU156" s="968">
        <v>0</v>
      </c>
      <c r="GV156" s="968">
        <v>0</v>
      </c>
      <c r="GW156" s="968">
        <v>0</v>
      </c>
      <c r="GX156" s="968">
        <v>0</v>
      </c>
      <c r="GY156" s="968">
        <v>0</v>
      </c>
      <c r="GZ156" s="968">
        <v>3</v>
      </c>
      <c r="HA156" s="968"/>
      <c r="HB156" s="969"/>
    </row>
    <row r="157" spans="1:210">
      <c r="A157" s="73"/>
      <c r="B157" s="73"/>
      <c r="C157" s="738" t="s">
        <v>575</v>
      </c>
      <c r="D157" s="738" t="s">
        <v>1283</v>
      </c>
      <c r="E157" s="4694">
        <v>0</v>
      </c>
      <c r="F157" s="4694"/>
      <c r="G157" s="4694"/>
      <c r="H157" s="4694"/>
      <c r="I157" s="4694"/>
      <c r="J157" s="4694">
        <v>0</v>
      </c>
      <c r="K157" s="4694"/>
      <c r="L157" s="4694"/>
      <c r="M157" s="4694"/>
      <c r="N157" s="4694">
        <v>0</v>
      </c>
      <c r="O157" s="4694"/>
      <c r="P157" s="4694">
        <v>0</v>
      </c>
      <c r="Q157" s="4694">
        <v>0</v>
      </c>
      <c r="R157" s="4694">
        <v>0</v>
      </c>
      <c r="S157" s="4694">
        <v>1</v>
      </c>
      <c r="T157" s="738">
        <v>0</v>
      </c>
      <c r="U157" s="738">
        <v>1</v>
      </c>
      <c r="V157" s="738">
        <v>2</v>
      </c>
      <c r="W157" s="73"/>
      <c r="Y157" s="73"/>
      <c r="Z157" s="73"/>
      <c r="AA157" s="73"/>
      <c r="AB157" s="738" t="s">
        <v>575</v>
      </c>
      <c r="AC157" s="3262"/>
      <c r="AD157" s="3262"/>
      <c r="AE157" s="3262"/>
      <c r="AF157" s="3262"/>
      <c r="AG157" s="3262"/>
      <c r="AH157" s="3262"/>
      <c r="AI157" s="3262"/>
      <c r="AJ157" s="3262"/>
      <c r="AK157" s="3262">
        <v>1</v>
      </c>
      <c r="AL157" s="3262"/>
      <c r="AM157" s="3262">
        <v>1</v>
      </c>
      <c r="AN157" s="3262"/>
      <c r="AO157" s="3262">
        <v>6</v>
      </c>
      <c r="AP157" s="3262">
        <v>3</v>
      </c>
      <c r="AQ157" s="3262">
        <v>3</v>
      </c>
      <c r="AR157" s="151">
        <v>1</v>
      </c>
      <c r="AS157" s="151">
        <v>6</v>
      </c>
      <c r="AT157" s="151">
        <v>21</v>
      </c>
      <c r="AU157" s="912">
        <f>+(AT153+AT155-AR155+AT156)/AT157</f>
        <v>0.38095238095238093</v>
      </c>
      <c r="AY157" s="73"/>
      <c r="AZ157" s="73" t="s">
        <v>1293</v>
      </c>
      <c r="BA157" s="2607"/>
      <c r="BB157" s="2607"/>
      <c r="BC157" s="2607"/>
      <c r="BD157" s="2607"/>
      <c r="BE157" s="2607"/>
      <c r="BF157" s="2607"/>
      <c r="BG157" s="2607"/>
      <c r="BH157" s="2607"/>
      <c r="BI157" s="2607"/>
      <c r="BJ157" s="2607"/>
      <c r="BK157" s="2607"/>
      <c r="BL157" s="2607"/>
      <c r="BM157" s="2607">
        <v>0</v>
      </c>
      <c r="BN157" s="2607">
        <v>1</v>
      </c>
      <c r="BO157" s="2607">
        <v>0</v>
      </c>
      <c r="BP157" s="73"/>
      <c r="BQ157" s="73"/>
      <c r="BR157" s="73">
        <v>1</v>
      </c>
      <c r="BS157" s="73"/>
      <c r="BU157" s="2207"/>
      <c r="BV157" s="2207"/>
      <c r="BW157" s="2207"/>
      <c r="BX157" s="2208" t="s">
        <v>1288</v>
      </c>
      <c r="BY157" s="2209"/>
      <c r="BZ157" s="2209"/>
      <c r="CA157" s="2209"/>
      <c r="CB157" s="2209"/>
      <c r="CC157" s="2209"/>
      <c r="CD157" s="2209"/>
      <c r="CE157" s="2209"/>
      <c r="CF157" s="2209"/>
      <c r="CG157" s="2209"/>
      <c r="CH157" s="2209"/>
      <c r="CI157" s="2210">
        <v>2</v>
      </c>
      <c r="CJ157" s="2210">
        <v>0</v>
      </c>
      <c r="CK157" s="2209"/>
      <c r="CL157" s="2211"/>
      <c r="CM157" s="2211"/>
      <c r="CN157" s="2212">
        <v>2</v>
      </c>
      <c r="CO157" s="73"/>
      <c r="CQ157" s="955"/>
      <c r="CR157" s="955"/>
      <c r="CS157" s="955"/>
      <c r="CT157" s="956" t="s">
        <v>1284</v>
      </c>
      <c r="CU157" s="957"/>
      <c r="CV157" s="958">
        <v>1</v>
      </c>
      <c r="CW157" s="958">
        <v>0</v>
      </c>
      <c r="CX157" s="957"/>
      <c r="CY157" s="957"/>
      <c r="CZ157" s="957"/>
      <c r="DA157" s="957"/>
      <c r="DB157" s="957"/>
      <c r="DC157" s="957"/>
      <c r="DD157" s="957"/>
      <c r="DE157" s="957"/>
      <c r="DF157" s="957"/>
      <c r="DG157" s="958">
        <v>2</v>
      </c>
      <c r="DH157" s="958">
        <v>0</v>
      </c>
      <c r="DI157" s="958">
        <v>0</v>
      </c>
      <c r="DJ157" s="960">
        <v>2</v>
      </c>
      <c r="DK157" s="960">
        <v>0</v>
      </c>
      <c r="DL157" s="960">
        <v>5</v>
      </c>
      <c r="DM157" s="161"/>
      <c r="DO157" s="788"/>
      <c r="DP157" s="788"/>
      <c r="DQ157" s="788"/>
      <c r="DR157" s="788"/>
      <c r="DS157" s="789" t="s">
        <v>1292</v>
      </c>
      <c r="DT157" s="961"/>
      <c r="DU157" s="961"/>
      <c r="DV157" s="961"/>
      <c r="DW157" s="961"/>
      <c r="DX157" s="961"/>
      <c r="DY157" s="961"/>
      <c r="DZ157" s="961"/>
      <c r="EA157" s="962">
        <v>0</v>
      </c>
      <c r="EB157" s="961"/>
      <c r="EC157" s="962">
        <v>0</v>
      </c>
      <c r="ED157" s="962">
        <v>0</v>
      </c>
      <c r="EE157" s="962">
        <v>0</v>
      </c>
      <c r="EF157" s="961"/>
      <c r="EG157" s="962">
        <v>0</v>
      </c>
      <c r="EH157" s="962">
        <v>3</v>
      </c>
      <c r="EI157" s="963"/>
      <c r="EJ157" s="963"/>
      <c r="EK157" s="964">
        <v>3</v>
      </c>
      <c r="EL157" s="912"/>
      <c r="EM157" s="73"/>
      <c r="EN157" s="965"/>
      <c r="EO157" s="965"/>
      <c r="EP157" s="965" t="s">
        <v>575</v>
      </c>
      <c r="EQ157" s="734" t="s">
        <v>1284</v>
      </c>
      <c r="ER157" s="966"/>
      <c r="ES157" s="966"/>
      <c r="ET157" s="966"/>
      <c r="EU157" s="966"/>
      <c r="EV157" s="735">
        <v>0</v>
      </c>
      <c r="EW157" s="735">
        <v>1</v>
      </c>
      <c r="EX157" s="735">
        <v>0</v>
      </c>
      <c r="EY157" s="966"/>
      <c r="EZ157" s="735">
        <v>0</v>
      </c>
      <c r="FA157" s="735">
        <v>0</v>
      </c>
      <c r="FB157" s="735">
        <v>0</v>
      </c>
      <c r="FC157" s="966"/>
      <c r="FD157" s="735">
        <v>0</v>
      </c>
      <c r="FE157" s="735">
        <v>1</v>
      </c>
      <c r="FF157" s="967"/>
      <c r="FG157" s="73"/>
      <c r="FH157" s="73"/>
      <c r="FI157" s="161"/>
      <c r="FJ157" s="161"/>
      <c r="FK157" s="161"/>
      <c r="FL157" s="73" t="s">
        <v>1293</v>
      </c>
      <c r="FM157" s="73"/>
      <c r="FN157" s="73">
        <v>0</v>
      </c>
      <c r="FO157" s="73">
        <v>0</v>
      </c>
      <c r="FP157" s="73">
        <v>0</v>
      </c>
      <c r="FQ157" s="73">
        <v>0</v>
      </c>
      <c r="FR157" s="73"/>
      <c r="FS157" s="73"/>
      <c r="FT157" s="73"/>
      <c r="FU157" s="73">
        <v>1</v>
      </c>
      <c r="FV157" s="73">
        <v>0</v>
      </c>
      <c r="FW157" s="73">
        <v>0</v>
      </c>
      <c r="FX157" s="73">
        <v>3</v>
      </c>
      <c r="FY157" s="73">
        <v>0</v>
      </c>
      <c r="FZ157" s="73">
        <v>0</v>
      </c>
      <c r="GA157" s="73">
        <v>0</v>
      </c>
      <c r="GB157" s="73">
        <v>0</v>
      </c>
      <c r="GC157" s="73">
        <v>4</v>
      </c>
      <c r="GD157" s="73"/>
      <c r="GE157" s="73"/>
      <c r="GF157" s="968"/>
      <c r="GG157" s="968"/>
      <c r="GH157" s="968"/>
      <c r="GI157" s="979" t="s">
        <v>15</v>
      </c>
      <c r="GJ157" s="979">
        <v>0</v>
      </c>
      <c r="GK157" s="979">
        <v>0</v>
      </c>
      <c r="GL157" s="979">
        <v>1</v>
      </c>
      <c r="GM157" s="979">
        <v>0</v>
      </c>
      <c r="GN157" s="979">
        <v>0</v>
      </c>
      <c r="GO157" s="979">
        <v>1</v>
      </c>
      <c r="GP157" s="979">
        <v>0</v>
      </c>
      <c r="GQ157" s="979">
        <v>5</v>
      </c>
      <c r="GR157" s="979">
        <v>5</v>
      </c>
      <c r="GS157" s="979">
        <v>4</v>
      </c>
      <c r="GT157" s="979">
        <v>2</v>
      </c>
      <c r="GU157" s="979">
        <v>1</v>
      </c>
      <c r="GV157" s="979">
        <v>2</v>
      </c>
      <c r="GW157" s="979">
        <v>2</v>
      </c>
      <c r="GX157" s="979">
        <v>0</v>
      </c>
      <c r="GY157" s="979">
        <v>2</v>
      </c>
      <c r="GZ157" s="979">
        <v>25</v>
      </c>
      <c r="HA157" s="980">
        <f>+(GZ156+GZ155)/GZ157</f>
        <v>0.32</v>
      </c>
      <c r="HB157" s="969">
        <f>+GZ155+GZ156</f>
        <v>8</v>
      </c>
    </row>
    <row r="158" spans="1:210">
      <c r="A158" s="73"/>
      <c r="B158" s="73"/>
      <c r="C158" s="738"/>
      <c r="D158" s="738" t="s">
        <v>1284</v>
      </c>
      <c r="E158" s="4694">
        <v>1</v>
      </c>
      <c r="F158" s="4694"/>
      <c r="G158" s="4694"/>
      <c r="H158" s="4694"/>
      <c r="I158" s="4694"/>
      <c r="J158" s="4694">
        <v>0</v>
      </c>
      <c r="K158" s="4694"/>
      <c r="L158" s="4694"/>
      <c r="M158" s="4694"/>
      <c r="N158" s="4694">
        <v>1</v>
      </c>
      <c r="O158" s="4694"/>
      <c r="P158" s="4694">
        <v>1</v>
      </c>
      <c r="Q158" s="4694">
        <v>1</v>
      </c>
      <c r="R158" s="4694">
        <v>1</v>
      </c>
      <c r="S158" s="4694">
        <v>0</v>
      </c>
      <c r="T158" s="738">
        <v>0</v>
      </c>
      <c r="U158" s="738">
        <v>0</v>
      </c>
      <c r="V158" s="738">
        <v>5</v>
      </c>
      <c r="W158" s="73"/>
      <c r="Y158" s="73"/>
      <c r="Z158" s="73" t="s">
        <v>21</v>
      </c>
      <c r="AA158" s="73" t="s">
        <v>147</v>
      </c>
      <c r="AB158" s="73" t="s">
        <v>1283</v>
      </c>
      <c r="AC158" s="3261"/>
      <c r="AD158" s="3261"/>
      <c r="AE158" s="3261"/>
      <c r="AF158" s="3261"/>
      <c r="AG158" s="3261"/>
      <c r="AH158" s="3261">
        <v>0</v>
      </c>
      <c r="AI158" s="3261"/>
      <c r="AJ158" s="3261">
        <v>1</v>
      </c>
      <c r="AK158" s="3261"/>
      <c r="AL158" s="3261"/>
      <c r="AM158" s="3261"/>
      <c r="AN158" s="3261"/>
      <c r="AO158" s="3261">
        <v>0</v>
      </c>
      <c r="AP158" s="3261"/>
      <c r="AQ158" s="3261"/>
      <c r="AR158" s="161"/>
      <c r="AS158" s="161"/>
      <c r="AT158" s="161">
        <v>1</v>
      </c>
      <c r="AU158" s="73"/>
      <c r="AY158" s="73"/>
      <c r="AZ158" s="73" t="s">
        <v>1398</v>
      </c>
      <c r="BA158" s="2607"/>
      <c r="BB158" s="2607"/>
      <c r="BC158" s="2607"/>
      <c r="BD158" s="2607"/>
      <c r="BE158" s="2607"/>
      <c r="BF158" s="2607"/>
      <c r="BG158" s="2607"/>
      <c r="BH158" s="2607"/>
      <c r="BI158" s="2607"/>
      <c r="BJ158" s="2607"/>
      <c r="BK158" s="2607"/>
      <c r="BL158" s="2607"/>
      <c r="BM158" s="2607">
        <v>0</v>
      </c>
      <c r="BN158" s="2607">
        <v>1</v>
      </c>
      <c r="BO158" s="2607">
        <v>0</v>
      </c>
      <c r="BP158" s="73"/>
      <c r="BQ158" s="73"/>
      <c r="BR158" s="73">
        <v>1</v>
      </c>
      <c r="BS158" s="73"/>
      <c r="BU158" s="2207"/>
      <c r="BV158" s="2207"/>
      <c r="BW158" s="2207"/>
      <c r="BX158" s="2208" t="s">
        <v>1398</v>
      </c>
      <c r="BY158" s="2209"/>
      <c r="BZ158" s="2209"/>
      <c r="CA158" s="2209"/>
      <c r="CB158" s="2209"/>
      <c r="CC158" s="2209"/>
      <c r="CD158" s="2209"/>
      <c r="CE158" s="2209"/>
      <c r="CF158" s="2209"/>
      <c r="CG158" s="2209"/>
      <c r="CH158" s="2209"/>
      <c r="CI158" s="2210">
        <v>1</v>
      </c>
      <c r="CJ158" s="2210">
        <v>1</v>
      </c>
      <c r="CK158" s="2209"/>
      <c r="CL158" s="2211"/>
      <c r="CM158" s="2211"/>
      <c r="CN158" s="2212">
        <v>2</v>
      </c>
      <c r="CO158" s="73"/>
      <c r="CQ158" s="955"/>
      <c r="CR158" s="955"/>
      <c r="CS158" s="955"/>
      <c r="CT158" s="956" t="s">
        <v>1286</v>
      </c>
      <c r="CU158" s="957"/>
      <c r="CV158" s="958">
        <v>0</v>
      </c>
      <c r="CW158" s="958">
        <v>1</v>
      </c>
      <c r="CX158" s="957"/>
      <c r="CY158" s="957"/>
      <c r="CZ158" s="957"/>
      <c r="DA158" s="957"/>
      <c r="DB158" s="957"/>
      <c r="DC158" s="957"/>
      <c r="DD158" s="957"/>
      <c r="DE158" s="957"/>
      <c r="DF158" s="957"/>
      <c r="DG158" s="958">
        <v>0</v>
      </c>
      <c r="DH158" s="958">
        <v>0</v>
      </c>
      <c r="DI158" s="958">
        <v>0</v>
      </c>
      <c r="DJ158" s="960">
        <v>0</v>
      </c>
      <c r="DK158" s="960">
        <v>0</v>
      </c>
      <c r="DL158" s="960">
        <v>1</v>
      </c>
      <c r="DM158" s="161"/>
      <c r="DO158" s="788"/>
      <c r="DP158" s="788"/>
      <c r="DQ158" s="788"/>
      <c r="DR158" s="788"/>
      <c r="DS158" s="789" t="s">
        <v>1398</v>
      </c>
      <c r="DT158" s="961"/>
      <c r="DU158" s="961"/>
      <c r="DV158" s="961"/>
      <c r="DW158" s="961"/>
      <c r="DX158" s="961"/>
      <c r="DY158" s="961"/>
      <c r="DZ158" s="961"/>
      <c r="EA158" s="962">
        <v>0</v>
      </c>
      <c r="EB158" s="961"/>
      <c r="EC158" s="962">
        <v>1</v>
      </c>
      <c r="ED158" s="962">
        <v>1</v>
      </c>
      <c r="EE158" s="962">
        <v>0</v>
      </c>
      <c r="EF158" s="961"/>
      <c r="EG158" s="962">
        <v>0</v>
      </c>
      <c r="EH158" s="962">
        <v>0</v>
      </c>
      <c r="EI158" s="963"/>
      <c r="EJ158" s="963"/>
      <c r="EK158" s="964">
        <v>2</v>
      </c>
      <c r="EL158" s="912"/>
      <c r="EM158" s="73"/>
      <c r="EN158" s="965"/>
      <c r="EO158" s="965"/>
      <c r="EP158" s="965"/>
      <c r="EQ158" s="734" t="s">
        <v>1288</v>
      </c>
      <c r="ER158" s="966"/>
      <c r="ES158" s="966"/>
      <c r="ET158" s="966"/>
      <c r="EU158" s="966"/>
      <c r="EV158" s="735">
        <v>0</v>
      </c>
      <c r="EW158" s="735">
        <v>0</v>
      </c>
      <c r="EX158" s="735">
        <v>0</v>
      </c>
      <c r="EY158" s="966"/>
      <c r="EZ158" s="735">
        <v>0</v>
      </c>
      <c r="FA158" s="735">
        <v>1</v>
      </c>
      <c r="FB158" s="735">
        <v>0</v>
      </c>
      <c r="FC158" s="966"/>
      <c r="FD158" s="735">
        <v>0</v>
      </c>
      <c r="FE158" s="735">
        <v>1</v>
      </c>
      <c r="FF158" s="967"/>
      <c r="FG158" s="73"/>
      <c r="FH158" s="73"/>
      <c r="FI158" s="161"/>
      <c r="FJ158" s="161"/>
      <c r="FK158" s="161"/>
      <c r="FL158" s="73" t="s">
        <v>1398</v>
      </c>
      <c r="FM158" s="73"/>
      <c r="FN158" s="73">
        <v>0</v>
      </c>
      <c r="FO158" s="73">
        <v>0</v>
      </c>
      <c r="FP158" s="73">
        <v>0</v>
      </c>
      <c r="FQ158" s="73">
        <v>0</v>
      </c>
      <c r="FR158" s="73"/>
      <c r="FS158" s="73"/>
      <c r="FT158" s="73"/>
      <c r="FU158" s="73">
        <v>7</v>
      </c>
      <c r="FV158" s="73">
        <v>1</v>
      </c>
      <c r="FW158" s="73">
        <v>2</v>
      </c>
      <c r="FX158" s="73">
        <v>9</v>
      </c>
      <c r="FY158" s="73">
        <v>0</v>
      </c>
      <c r="FZ158" s="73">
        <v>0</v>
      </c>
      <c r="GA158" s="73">
        <v>0</v>
      </c>
      <c r="GB158" s="73">
        <v>0</v>
      </c>
      <c r="GC158" s="73">
        <v>19</v>
      </c>
      <c r="GD158" s="73"/>
      <c r="GE158" s="73"/>
      <c r="GF158" s="968"/>
      <c r="GG158" s="968"/>
      <c r="GH158" s="968" t="s">
        <v>105</v>
      </c>
      <c r="GI158" s="968" t="s">
        <v>1284</v>
      </c>
      <c r="GJ158" s="968">
        <v>0</v>
      </c>
      <c r="GK158" s="968">
        <v>0</v>
      </c>
      <c r="GL158" s="968">
        <v>0</v>
      </c>
      <c r="GM158" s="968">
        <v>2</v>
      </c>
      <c r="GN158" s="968">
        <v>0</v>
      </c>
      <c r="GO158" s="968">
        <v>0</v>
      </c>
      <c r="GP158" s="968">
        <v>0</v>
      </c>
      <c r="GQ158" s="968">
        <v>0</v>
      </c>
      <c r="GR158" s="968">
        <v>1</v>
      </c>
      <c r="GS158" s="968">
        <v>2</v>
      </c>
      <c r="GT158" s="968">
        <v>0</v>
      </c>
      <c r="GU158" s="968">
        <v>2</v>
      </c>
      <c r="GV158" s="968">
        <v>2</v>
      </c>
      <c r="GW158" s="968">
        <v>0</v>
      </c>
      <c r="GX158" s="968">
        <v>0</v>
      </c>
      <c r="GY158" s="968">
        <v>0</v>
      </c>
      <c r="GZ158" s="968">
        <v>9</v>
      </c>
      <c r="HA158" s="968"/>
      <c r="HB158" s="969"/>
    </row>
    <row r="159" spans="1:210">
      <c r="A159" s="73"/>
      <c r="B159" s="73"/>
      <c r="C159" s="738"/>
      <c r="D159" s="738" t="s">
        <v>1286</v>
      </c>
      <c r="E159" s="4694">
        <v>0</v>
      </c>
      <c r="F159" s="4694"/>
      <c r="G159" s="4694"/>
      <c r="H159" s="4694"/>
      <c r="I159" s="4694"/>
      <c r="J159" s="4694">
        <v>2</v>
      </c>
      <c r="K159" s="4694"/>
      <c r="L159" s="4694"/>
      <c r="M159" s="4694"/>
      <c r="N159" s="4694">
        <v>0</v>
      </c>
      <c r="O159" s="4694"/>
      <c r="P159" s="4694">
        <v>0</v>
      </c>
      <c r="Q159" s="4694">
        <v>0</v>
      </c>
      <c r="R159" s="4694">
        <v>0</v>
      </c>
      <c r="S159" s="4694">
        <v>0</v>
      </c>
      <c r="T159" s="738">
        <v>0</v>
      </c>
      <c r="U159" s="738">
        <v>0</v>
      </c>
      <c r="V159" s="738">
        <v>2</v>
      </c>
      <c r="W159" s="73"/>
      <c r="Y159" s="73"/>
      <c r="Z159" s="73"/>
      <c r="AA159" s="73"/>
      <c r="AB159" s="73" t="s">
        <v>1284</v>
      </c>
      <c r="AC159" s="3261"/>
      <c r="AD159" s="3261"/>
      <c r="AE159" s="3261"/>
      <c r="AF159" s="3261"/>
      <c r="AG159" s="3261"/>
      <c r="AH159" s="3261">
        <v>2</v>
      </c>
      <c r="AI159" s="3261"/>
      <c r="AJ159" s="3261">
        <v>0</v>
      </c>
      <c r="AK159" s="3261"/>
      <c r="AL159" s="3261"/>
      <c r="AM159" s="3261"/>
      <c r="AN159" s="3261"/>
      <c r="AO159" s="3261">
        <v>3</v>
      </c>
      <c r="AP159" s="3261"/>
      <c r="AQ159" s="3261"/>
      <c r="AR159" s="161"/>
      <c r="AS159" s="161"/>
      <c r="AT159" s="161">
        <v>5</v>
      </c>
      <c r="AU159" s="73"/>
      <c r="AY159" s="73"/>
      <c r="AZ159" s="738" t="s">
        <v>15</v>
      </c>
      <c r="BA159" s="2608"/>
      <c r="BB159" s="2608"/>
      <c r="BC159" s="2608"/>
      <c r="BD159" s="2608"/>
      <c r="BE159" s="2608"/>
      <c r="BF159" s="2608"/>
      <c r="BG159" s="2608"/>
      <c r="BH159" s="2608"/>
      <c r="BI159" s="2608"/>
      <c r="BJ159" s="2608"/>
      <c r="BK159" s="2608"/>
      <c r="BL159" s="2608"/>
      <c r="BM159" s="2608">
        <v>6</v>
      </c>
      <c r="BN159" s="2608">
        <v>3</v>
      </c>
      <c r="BO159" s="2608">
        <v>1</v>
      </c>
      <c r="BP159" s="738"/>
      <c r="BQ159" s="738"/>
      <c r="BR159" s="738">
        <v>10</v>
      </c>
      <c r="BS159" s="912">
        <f>+(BR157+BR158)/BR159</f>
        <v>0.2</v>
      </c>
      <c r="BU159" s="2207"/>
      <c r="BV159" s="2207"/>
      <c r="BW159" s="2207"/>
      <c r="BX159" s="2204" t="s">
        <v>15</v>
      </c>
      <c r="BY159" s="2213"/>
      <c r="BZ159" s="2213"/>
      <c r="CA159" s="2213"/>
      <c r="CB159" s="2213"/>
      <c r="CC159" s="2213"/>
      <c r="CD159" s="2213"/>
      <c r="CE159" s="2213"/>
      <c r="CF159" s="2213"/>
      <c r="CG159" s="2213"/>
      <c r="CH159" s="2213"/>
      <c r="CI159" s="2214">
        <v>7</v>
      </c>
      <c r="CJ159" s="2214">
        <v>1</v>
      </c>
      <c r="CK159" s="2213"/>
      <c r="CL159" s="2215"/>
      <c r="CM159" s="2215"/>
      <c r="CN159" s="2216">
        <v>8</v>
      </c>
      <c r="CO159" s="2154">
        <f>+(CN157+CN158)/CN159</f>
        <v>0.5</v>
      </c>
      <c r="CQ159" s="955"/>
      <c r="CR159" s="955"/>
      <c r="CS159" s="955"/>
      <c r="CT159" s="956" t="s">
        <v>1288</v>
      </c>
      <c r="CU159" s="957"/>
      <c r="CV159" s="958">
        <v>0</v>
      </c>
      <c r="CW159" s="958">
        <v>0</v>
      </c>
      <c r="CX159" s="957"/>
      <c r="CY159" s="957"/>
      <c r="CZ159" s="957"/>
      <c r="DA159" s="957"/>
      <c r="DB159" s="957"/>
      <c r="DC159" s="957"/>
      <c r="DD159" s="957"/>
      <c r="DE159" s="957"/>
      <c r="DF159" s="957"/>
      <c r="DG159" s="958">
        <v>0</v>
      </c>
      <c r="DH159" s="958">
        <v>1</v>
      </c>
      <c r="DI159" s="958">
        <v>1</v>
      </c>
      <c r="DJ159" s="960">
        <v>0</v>
      </c>
      <c r="DK159" s="960">
        <v>0</v>
      </c>
      <c r="DL159" s="960">
        <v>2</v>
      </c>
      <c r="DM159" s="161"/>
      <c r="DO159" s="788"/>
      <c r="DP159" s="788"/>
      <c r="DQ159" s="788"/>
      <c r="DR159" s="73"/>
      <c r="DS159" s="809" t="s">
        <v>15</v>
      </c>
      <c r="DT159" s="970"/>
      <c r="DU159" s="970"/>
      <c r="DV159" s="970"/>
      <c r="DW159" s="970"/>
      <c r="DX159" s="970"/>
      <c r="DY159" s="970"/>
      <c r="DZ159" s="970"/>
      <c r="EA159" s="971">
        <v>1</v>
      </c>
      <c r="EB159" s="970"/>
      <c r="EC159" s="971">
        <v>3</v>
      </c>
      <c r="ED159" s="971">
        <v>2</v>
      </c>
      <c r="EE159" s="971">
        <v>2</v>
      </c>
      <c r="EF159" s="970"/>
      <c r="EG159" s="971">
        <v>2</v>
      </c>
      <c r="EH159" s="971">
        <v>3</v>
      </c>
      <c r="EI159" s="972"/>
      <c r="EJ159" s="972"/>
      <c r="EK159" s="973">
        <v>13</v>
      </c>
      <c r="EL159" s="912">
        <f>+(EK158+EK156)/EK159</f>
        <v>0.23076923076923078</v>
      </c>
      <c r="EM159" s="73"/>
      <c r="EN159" s="965"/>
      <c r="EO159" s="965"/>
      <c r="EP159" s="965"/>
      <c r="EQ159" s="734" t="s">
        <v>1292</v>
      </c>
      <c r="ER159" s="966"/>
      <c r="ES159" s="966"/>
      <c r="ET159" s="966"/>
      <c r="EU159" s="966"/>
      <c r="EV159" s="735">
        <v>1</v>
      </c>
      <c r="EW159" s="735">
        <v>0</v>
      </c>
      <c r="EX159" s="735">
        <v>0</v>
      </c>
      <c r="EY159" s="966"/>
      <c r="EZ159" s="735">
        <v>0</v>
      </c>
      <c r="FA159" s="735">
        <v>0</v>
      </c>
      <c r="FB159" s="735">
        <v>3</v>
      </c>
      <c r="FC159" s="966"/>
      <c r="FD159" s="735">
        <v>1</v>
      </c>
      <c r="FE159" s="735">
        <v>5</v>
      </c>
      <c r="FF159" s="967"/>
      <c r="FG159" s="73"/>
      <c r="FH159" s="73"/>
      <c r="FI159" s="161"/>
      <c r="FJ159" s="161"/>
      <c r="FK159" s="161"/>
      <c r="FL159" s="738" t="s">
        <v>15</v>
      </c>
      <c r="FM159" s="738"/>
      <c r="FN159" s="738">
        <v>1</v>
      </c>
      <c r="FO159" s="738">
        <v>2</v>
      </c>
      <c r="FP159" s="738">
        <v>1</v>
      </c>
      <c r="FQ159" s="738">
        <v>1</v>
      </c>
      <c r="FR159" s="738"/>
      <c r="FS159" s="738"/>
      <c r="FT159" s="738"/>
      <c r="FU159" s="738">
        <v>20</v>
      </c>
      <c r="FV159" s="738">
        <v>7</v>
      </c>
      <c r="FW159" s="738">
        <v>11</v>
      </c>
      <c r="FX159" s="738">
        <v>39</v>
      </c>
      <c r="FY159" s="738">
        <v>4</v>
      </c>
      <c r="FZ159" s="738">
        <v>1</v>
      </c>
      <c r="GA159" s="738">
        <v>4</v>
      </c>
      <c r="GB159" s="738">
        <v>6</v>
      </c>
      <c r="GC159" s="738">
        <v>97</v>
      </c>
      <c r="GD159" s="983">
        <f>+(GC155+GC157+GC158)/GC159</f>
        <v>0.25773195876288657</v>
      </c>
      <c r="GE159" s="73"/>
      <c r="GF159" s="968"/>
      <c r="GG159" s="968"/>
      <c r="GH159" s="968"/>
      <c r="GI159" s="968" t="s">
        <v>1288</v>
      </c>
      <c r="GJ159" s="968">
        <v>0</v>
      </c>
      <c r="GK159" s="968">
        <v>0</v>
      </c>
      <c r="GL159" s="968">
        <v>0</v>
      </c>
      <c r="GM159" s="968">
        <v>0</v>
      </c>
      <c r="GN159" s="968">
        <v>0</v>
      </c>
      <c r="GO159" s="968">
        <v>0</v>
      </c>
      <c r="GP159" s="968">
        <v>0</v>
      </c>
      <c r="GQ159" s="968">
        <v>0</v>
      </c>
      <c r="GR159" s="968">
        <v>0</v>
      </c>
      <c r="GS159" s="968">
        <v>0</v>
      </c>
      <c r="GT159" s="968">
        <v>0</v>
      </c>
      <c r="GU159" s="968">
        <v>1</v>
      </c>
      <c r="GV159" s="968">
        <v>0</v>
      </c>
      <c r="GW159" s="968">
        <v>0</v>
      </c>
      <c r="GX159" s="968">
        <v>1</v>
      </c>
      <c r="GY159" s="968">
        <v>0</v>
      </c>
      <c r="GZ159" s="968">
        <v>2</v>
      </c>
      <c r="HA159" s="968"/>
      <c r="HB159" s="969"/>
    </row>
    <row r="160" spans="1:210">
      <c r="A160" s="73"/>
      <c r="B160" s="73"/>
      <c r="C160" s="738"/>
      <c r="D160" s="738" t="s">
        <v>1288</v>
      </c>
      <c r="E160" s="4694">
        <v>0</v>
      </c>
      <c r="F160" s="4694"/>
      <c r="G160" s="4694"/>
      <c r="H160" s="4694"/>
      <c r="I160" s="4694"/>
      <c r="J160" s="4694">
        <v>0</v>
      </c>
      <c r="K160" s="4694"/>
      <c r="L160" s="4694"/>
      <c r="M160" s="4694"/>
      <c r="N160" s="4694">
        <v>0</v>
      </c>
      <c r="O160" s="4694"/>
      <c r="P160" s="4694">
        <v>0</v>
      </c>
      <c r="Q160" s="4694">
        <v>5</v>
      </c>
      <c r="R160" s="4694">
        <v>5</v>
      </c>
      <c r="S160" s="4694">
        <v>1</v>
      </c>
      <c r="T160" s="738">
        <v>1</v>
      </c>
      <c r="U160" s="738">
        <v>0</v>
      </c>
      <c r="V160" s="738">
        <v>12</v>
      </c>
      <c r="W160" s="73"/>
      <c r="Y160" s="73"/>
      <c r="Z160" s="73"/>
      <c r="AA160" s="73"/>
      <c r="AB160" s="73" t="s">
        <v>1398</v>
      </c>
      <c r="AC160" s="3261"/>
      <c r="AD160" s="3261"/>
      <c r="AE160" s="3261"/>
      <c r="AF160" s="3261"/>
      <c r="AG160" s="3261"/>
      <c r="AH160" s="3261">
        <v>0</v>
      </c>
      <c r="AI160" s="3261"/>
      <c r="AJ160" s="3261">
        <v>0</v>
      </c>
      <c r="AK160" s="3261"/>
      <c r="AL160" s="3261"/>
      <c r="AM160" s="3261"/>
      <c r="AN160" s="3261"/>
      <c r="AO160" s="3261">
        <v>2</v>
      </c>
      <c r="AP160" s="3261"/>
      <c r="AQ160" s="3261"/>
      <c r="AR160" s="161"/>
      <c r="AS160" s="161"/>
      <c r="AT160" s="161">
        <v>2</v>
      </c>
      <c r="AU160" s="73"/>
      <c r="AY160" s="73" t="s">
        <v>888</v>
      </c>
      <c r="AZ160" s="73" t="s">
        <v>1284</v>
      </c>
      <c r="BA160" s="2607"/>
      <c r="BB160" s="2607"/>
      <c r="BC160" s="2607"/>
      <c r="BD160" s="2607"/>
      <c r="BE160" s="2607"/>
      <c r="BF160" s="2607"/>
      <c r="BG160" s="2607"/>
      <c r="BH160" s="2607"/>
      <c r="BI160" s="2607"/>
      <c r="BJ160" s="2607"/>
      <c r="BK160" s="2607"/>
      <c r="BL160" s="2607"/>
      <c r="BM160" s="2607">
        <v>6</v>
      </c>
      <c r="BN160" s="2607">
        <v>1</v>
      </c>
      <c r="BO160" s="2607">
        <v>1</v>
      </c>
      <c r="BP160" s="73"/>
      <c r="BQ160" s="73"/>
      <c r="BR160" s="73">
        <v>8</v>
      </c>
      <c r="BS160" s="73"/>
      <c r="BU160" s="2207"/>
      <c r="BV160" s="2207"/>
      <c r="BW160" s="2207" t="s">
        <v>888</v>
      </c>
      <c r="BX160" s="2208" t="s">
        <v>1284</v>
      </c>
      <c r="BY160" s="2209"/>
      <c r="BZ160" s="2209"/>
      <c r="CA160" s="2209"/>
      <c r="CB160" s="2209"/>
      <c r="CC160" s="2209"/>
      <c r="CD160" s="2209"/>
      <c r="CE160" s="2209"/>
      <c r="CF160" s="2209"/>
      <c r="CG160" s="2209"/>
      <c r="CH160" s="2209"/>
      <c r="CI160" s="2210">
        <v>4</v>
      </c>
      <c r="CJ160" s="2210">
        <v>0</v>
      </c>
      <c r="CK160" s="2209"/>
      <c r="CL160" s="2211"/>
      <c r="CM160" s="2211"/>
      <c r="CN160" s="2212">
        <v>4</v>
      </c>
      <c r="CO160" s="73"/>
      <c r="CQ160" s="955"/>
      <c r="CR160" s="955"/>
      <c r="CS160" s="955"/>
      <c r="CT160" s="956" t="s">
        <v>1292</v>
      </c>
      <c r="CU160" s="957"/>
      <c r="CV160" s="958">
        <v>0</v>
      </c>
      <c r="CW160" s="958">
        <v>0</v>
      </c>
      <c r="CX160" s="957"/>
      <c r="CY160" s="957"/>
      <c r="CZ160" s="957"/>
      <c r="DA160" s="957"/>
      <c r="DB160" s="957"/>
      <c r="DC160" s="957"/>
      <c r="DD160" s="957"/>
      <c r="DE160" s="957"/>
      <c r="DF160" s="957"/>
      <c r="DG160" s="958">
        <v>0</v>
      </c>
      <c r="DH160" s="958">
        <v>0</v>
      </c>
      <c r="DI160" s="958">
        <v>0</v>
      </c>
      <c r="DJ160" s="960">
        <v>0</v>
      </c>
      <c r="DK160" s="960">
        <v>1</v>
      </c>
      <c r="DL160" s="960">
        <v>1</v>
      </c>
      <c r="DM160" s="161"/>
      <c r="DO160" s="788"/>
      <c r="DP160" s="788"/>
      <c r="DQ160" s="809" t="s">
        <v>575</v>
      </c>
      <c r="DR160" s="788" t="s">
        <v>1282</v>
      </c>
      <c r="DS160" s="789" t="s">
        <v>1284</v>
      </c>
      <c r="DT160" s="961"/>
      <c r="DU160" s="961"/>
      <c r="DV160" s="962">
        <v>2</v>
      </c>
      <c r="DW160" s="961"/>
      <c r="DX160" s="961"/>
      <c r="DY160" s="961"/>
      <c r="DZ160" s="961"/>
      <c r="EA160" s="962">
        <v>1</v>
      </c>
      <c r="EB160" s="962">
        <v>0</v>
      </c>
      <c r="EC160" s="962">
        <v>2</v>
      </c>
      <c r="ED160" s="962">
        <v>1</v>
      </c>
      <c r="EE160" s="962">
        <v>5</v>
      </c>
      <c r="EF160" s="962">
        <v>1</v>
      </c>
      <c r="EG160" s="962">
        <v>3</v>
      </c>
      <c r="EH160" s="962">
        <v>1</v>
      </c>
      <c r="EI160" s="963"/>
      <c r="EJ160" s="964">
        <v>0</v>
      </c>
      <c r="EK160" s="964">
        <v>16</v>
      </c>
      <c r="EL160" s="912"/>
      <c r="EM160" s="73"/>
      <c r="EN160" s="965"/>
      <c r="EO160" s="965"/>
      <c r="EP160" s="965"/>
      <c r="EQ160" s="734" t="s">
        <v>1293</v>
      </c>
      <c r="ER160" s="966"/>
      <c r="ES160" s="966"/>
      <c r="ET160" s="966"/>
      <c r="EU160" s="966"/>
      <c r="EV160" s="735">
        <v>0</v>
      </c>
      <c r="EW160" s="735">
        <v>0</v>
      </c>
      <c r="EX160" s="735">
        <v>0</v>
      </c>
      <c r="EY160" s="966"/>
      <c r="EZ160" s="735">
        <v>0</v>
      </c>
      <c r="FA160" s="735">
        <v>2</v>
      </c>
      <c r="FB160" s="735">
        <v>0</v>
      </c>
      <c r="FC160" s="966"/>
      <c r="FD160" s="735">
        <v>0</v>
      </c>
      <c r="FE160" s="735">
        <v>2</v>
      </c>
      <c r="FF160" s="967"/>
      <c r="FG160" s="73"/>
      <c r="FH160" s="73"/>
      <c r="FI160" s="161"/>
      <c r="FJ160" s="161"/>
      <c r="FK160" s="161" t="s">
        <v>41</v>
      </c>
      <c r="FL160" s="73" t="s">
        <v>1284</v>
      </c>
      <c r="FM160" s="73"/>
      <c r="FN160" s="73">
        <v>0</v>
      </c>
      <c r="FO160" s="73"/>
      <c r="FP160" s="73">
        <v>1</v>
      </c>
      <c r="FQ160" s="73"/>
      <c r="FR160" s="73"/>
      <c r="FS160" s="73">
        <v>0</v>
      </c>
      <c r="FT160" s="73">
        <v>3</v>
      </c>
      <c r="FU160" s="73">
        <v>4</v>
      </c>
      <c r="FV160" s="73">
        <v>1</v>
      </c>
      <c r="FW160" s="73">
        <v>1</v>
      </c>
      <c r="FX160" s="73">
        <v>0</v>
      </c>
      <c r="FY160" s="73">
        <v>0</v>
      </c>
      <c r="FZ160" s="73">
        <v>0</v>
      </c>
      <c r="GA160" s="73"/>
      <c r="GB160" s="73">
        <v>0</v>
      </c>
      <c r="GC160" s="73">
        <v>10</v>
      </c>
      <c r="GD160" s="73"/>
      <c r="GE160" s="73"/>
      <c r="GF160" s="968"/>
      <c r="GG160" s="968"/>
      <c r="GH160" s="968"/>
      <c r="GI160" s="968" t="s">
        <v>1292</v>
      </c>
      <c r="GJ160" s="968">
        <v>0</v>
      </c>
      <c r="GK160" s="968">
        <v>0</v>
      </c>
      <c r="GL160" s="968">
        <v>0</v>
      </c>
      <c r="GM160" s="968">
        <v>0</v>
      </c>
      <c r="GN160" s="968">
        <v>0</v>
      </c>
      <c r="GO160" s="968">
        <v>0</v>
      </c>
      <c r="GP160" s="968">
        <v>0</v>
      </c>
      <c r="GQ160" s="968">
        <v>0</v>
      </c>
      <c r="GR160" s="968">
        <v>0</v>
      </c>
      <c r="GS160" s="968">
        <v>0</v>
      </c>
      <c r="GT160" s="968">
        <v>1</v>
      </c>
      <c r="GU160" s="968">
        <v>0</v>
      </c>
      <c r="GV160" s="968">
        <v>0</v>
      </c>
      <c r="GW160" s="968">
        <v>0</v>
      </c>
      <c r="GX160" s="968">
        <v>0</v>
      </c>
      <c r="GY160" s="968">
        <v>2</v>
      </c>
      <c r="GZ160" s="968">
        <v>3</v>
      </c>
      <c r="HA160" s="968"/>
      <c r="HB160" s="969"/>
    </row>
    <row r="161" spans="1:210">
      <c r="A161" s="73"/>
      <c r="B161" s="73"/>
      <c r="C161" s="738"/>
      <c r="D161" s="738" t="s">
        <v>1292</v>
      </c>
      <c r="E161" s="4694">
        <v>0</v>
      </c>
      <c r="F161" s="4694"/>
      <c r="G161" s="4694"/>
      <c r="H161" s="4694"/>
      <c r="I161" s="4694"/>
      <c r="J161" s="4694">
        <v>0</v>
      </c>
      <c r="K161" s="4694"/>
      <c r="L161" s="4694"/>
      <c r="M161" s="4694"/>
      <c r="N161" s="4694">
        <v>0</v>
      </c>
      <c r="O161" s="4694"/>
      <c r="P161" s="4694">
        <v>0</v>
      </c>
      <c r="Q161" s="4694">
        <v>0</v>
      </c>
      <c r="R161" s="4694">
        <v>1</v>
      </c>
      <c r="S161" s="4694">
        <v>19</v>
      </c>
      <c r="T161" s="738">
        <v>3</v>
      </c>
      <c r="U161" s="738">
        <v>9</v>
      </c>
      <c r="V161" s="738">
        <v>32</v>
      </c>
      <c r="W161" s="73"/>
      <c r="Y161" s="73"/>
      <c r="Z161" s="73"/>
      <c r="AA161" s="73"/>
      <c r="AB161" s="738" t="s">
        <v>15</v>
      </c>
      <c r="AC161" s="3262"/>
      <c r="AD161" s="3262"/>
      <c r="AE161" s="3262"/>
      <c r="AF161" s="3262"/>
      <c r="AG161" s="3262"/>
      <c r="AH161" s="3262">
        <v>2</v>
      </c>
      <c r="AI161" s="3262"/>
      <c r="AJ161" s="3262">
        <v>1</v>
      </c>
      <c r="AK161" s="3262"/>
      <c r="AL161" s="3262"/>
      <c r="AM161" s="3262"/>
      <c r="AN161" s="3262"/>
      <c r="AO161" s="3262">
        <v>5</v>
      </c>
      <c r="AP161" s="3262"/>
      <c r="AQ161" s="3262"/>
      <c r="AR161" s="151"/>
      <c r="AS161" s="151"/>
      <c r="AT161" s="151">
        <v>8</v>
      </c>
      <c r="AU161" s="912">
        <f>+AT160/AT161</f>
        <v>0.25</v>
      </c>
      <c r="AY161" s="73"/>
      <c r="AZ161" s="73" t="s">
        <v>1293</v>
      </c>
      <c r="BA161" s="2607"/>
      <c r="BB161" s="2607"/>
      <c r="BC161" s="2607"/>
      <c r="BD161" s="2607"/>
      <c r="BE161" s="2607"/>
      <c r="BF161" s="2607"/>
      <c r="BG161" s="2607"/>
      <c r="BH161" s="2607"/>
      <c r="BI161" s="2607"/>
      <c r="BJ161" s="2607"/>
      <c r="BK161" s="2607"/>
      <c r="BL161" s="2607"/>
      <c r="BM161" s="2607">
        <v>0</v>
      </c>
      <c r="BN161" s="2607">
        <v>1</v>
      </c>
      <c r="BO161" s="2607">
        <v>0</v>
      </c>
      <c r="BP161" s="73"/>
      <c r="BQ161" s="73"/>
      <c r="BR161" s="73">
        <v>1</v>
      </c>
      <c r="BS161" s="73"/>
      <c r="BU161" s="2207"/>
      <c r="BV161" s="2207"/>
      <c r="BW161" s="2207"/>
      <c r="BX161" s="2208" t="s">
        <v>1288</v>
      </c>
      <c r="BY161" s="2209"/>
      <c r="BZ161" s="2209"/>
      <c r="CA161" s="2209"/>
      <c r="CB161" s="2209"/>
      <c r="CC161" s="2209"/>
      <c r="CD161" s="2209"/>
      <c r="CE161" s="2209"/>
      <c r="CF161" s="2209"/>
      <c r="CG161" s="2209"/>
      <c r="CH161" s="2209"/>
      <c r="CI161" s="2210">
        <v>2</v>
      </c>
      <c r="CJ161" s="2210">
        <v>0</v>
      </c>
      <c r="CK161" s="2209"/>
      <c r="CL161" s="2211"/>
      <c r="CM161" s="2211"/>
      <c r="CN161" s="2212">
        <v>2</v>
      </c>
      <c r="CO161" s="73"/>
      <c r="CQ161" s="955"/>
      <c r="CR161" s="955"/>
      <c r="CS161" s="955"/>
      <c r="CT161" s="956" t="s">
        <v>1398</v>
      </c>
      <c r="CU161" s="957"/>
      <c r="CV161" s="958">
        <v>0</v>
      </c>
      <c r="CW161" s="958">
        <v>0</v>
      </c>
      <c r="CX161" s="957"/>
      <c r="CY161" s="957"/>
      <c r="CZ161" s="957"/>
      <c r="DA161" s="957"/>
      <c r="DB161" s="957"/>
      <c r="DC161" s="957"/>
      <c r="DD161" s="957"/>
      <c r="DE161" s="957"/>
      <c r="DF161" s="957"/>
      <c r="DG161" s="958">
        <v>1</v>
      </c>
      <c r="DH161" s="958">
        <v>0</v>
      </c>
      <c r="DI161" s="958">
        <v>0</v>
      </c>
      <c r="DJ161" s="960">
        <v>0</v>
      </c>
      <c r="DK161" s="960">
        <v>0</v>
      </c>
      <c r="DL161" s="960">
        <v>1</v>
      </c>
      <c r="DM161" s="161"/>
      <c r="DO161" s="788"/>
      <c r="DP161" s="788"/>
      <c r="DQ161" s="788"/>
      <c r="DR161" s="788"/>
      <c r="DS161" s="789" t="s">
        <v>1288</v>
      </c>
      <c r="DT161" s="961"/>
      <c r="DU161" s="961"/>
      <c r="DV161" s="962">
        <v>0</v>
      </c>
      <c r="DW161" s="961"/>
      <c r="DX161" s="961"/>
      <c r="DY161" s="961"/>
      <c r="DZ161" s="961"/>
      <c r="EA161" s="962">
        <v>0</v>
      </c>
      <c r="EB161" s="962">
        <v>1</v>
      </c>
      <c r="EC161" s="962">
        <v>0</v>
      </c>
      <c r="ED161" s="962">
        <v>0</v>
      </c>
      <c r="EE161" s="962">
        <v>1</v>
      </c>
      <c r="EF161" s="962">
        <v>0</v>
      </c>
      <c r="EG161" s="962">
        <v>0</v>
      </c>
      <c r="EH161" s="962">
        <v>1</v>
      </c>
      <c r="EI161" s="963"/>
      <c r="EJ161" s="964">
        <v>0</v>
      </c>
      <c r="EK161" s="964">
        <v>3</v>
      </c>
      <c r="EL161" s="912"/>
      <c r="EM161" s="73"/>
      <c r="EN161" s="965"/>
      <c r="EO161" s="965"/>
      <c r="EP161" s="965"/>
      <c r="EQ161" s="734" t="s">
        <v>1398</v>
      </c>
      <c r="ER161" s="966"/>
      <c r="ES161" s="966"/>
      <c r="ET161" s="966"/>
      <c r="EU161" s="966"/>
      <c r="EV161" s="735">
        <v>0</v>
      </c>
      <c r="EW161" s="735">
        <v>1</v>
      </c>
      <c r="EX161" s="735">
        <v>1</v>
      </c>
      <c r="EY161" s="966"/>
      <c r="EZ161" s="735">
        <v>1</v>
      </c>
      <c r="FA161" s="735">
        <v>0</v>
      </c>
      <c r="FB161" s="735">
        <v>0</v>
      </c>
      <c r="FC161" s="966"/>
      <c r="FD161" s="735">
        <v>0</v>
      </c>
      <c r="FE161" s="735">
        <v>3</v>
      </c>
      <c r="FF161" s="967"/>
      <c r="FG161" s="73"/>
      <c r="FH161" s="73"/>
      <c r="FI161" s="161"/>
      <c r="FJ161" s="161"/>
      <c r="FK161" s="161"/>
      <c r="FL161" s="73" t="s">
        <v>1286</v>
      </c>
      <c r="FM161" s="73"/>
      <c r="FN161" s="73">
        <v>1</v>
      </c>
      <c r="FO161" s="73"/>
      <c r="FP161" s="73">
        <v>0</v>
      </c>
      <c r="FQ161" s="73"/>
      <c r="FR161" s="73"/>
      <c r="FS161" s="73">
        <v>0</v>
      </c>
      <c r="FT161" s="73">
        <v>0</v>
      </c>
      <c r="FU161" s="73">
        <v>0</v>
      </c>
      <c r="FV161" s="73">
        <v>0</v>
      </c>
      <c r="FW161" s="73">
        <v>0</v>
      </c>
      <c r="FX161" s="73">
        <v>0</v>
      </c>
      <c r="FY161" s="73">
        <v>0</v>
      </c>
      <c r="FZ161" s="73">
        <v>0</v>
      </c>
      <c r="GA161" s="73"/>
      <c r="GB161" s="73">
        <v>0</v>
      </c>
      <c r="GC161" s="73">
        <v>1</v>
      </c>
      <c r="GD161" s="73"/>
      <c r="GE161" s="73"/>
      <c r="GF161" s="968"/>
      <c r="GG161" s="968"/>
      <c r="GH161" s="968"/>
      <c r="GI161" s="968" t="s">
        <v>1398</v>
      </c>
      <c r="GJ161" s="968">
        <v>0</v>
      </c>
      <c r="GK161" s="968">
        <v>0</v>
      </c>
      <c r="GL161" s="968">
        <v>0</v>
      </c>
      <c r="GM161" s="968">
        <v>0</v>
      </c>
      <c r="GN161" s="968">
        <v>0</v>
      </c>
      <c r="GO161" s="968">
        <v>0</v>
      </c>
      <c r="GP161" s="968">
        <v>0</v>
      </c>
      <c r="GQ161" s="968">
        <v>0</v>
      </c>
      <c r="GR161" s="968">
        <v>0</v>
      </c>
      <c r="GS161" s="968">
        <v>0</v>
      </c>
      <c r="GT161" s="968">
        <v>0</v>
      </c>
      <c r="GU161" s="968">
        <v>2</v>
      </c>
      <c r="GV161" s="968">
        <v>0</v>
      </c>
      <c r="GW161" s="968">
        <v>0</v>
      </c>
      <c r="GX161" s="968">
        <v>0</v>
      </c>
      <c r="GY161" s="968">
        <v>0</v>
      </c>
      <c r="GZ161" s="968">
        <v>2</v>
      </c>
      <c r="HA161" s="968"/>
      <c r="HB161" s="969"/>
    </row>
    <row r="162" spans="1:210" ht="15.75" thickBot="1">
      <c r="A162" s="73"/>
      <c r="B162" s="73"/>
      <c r="C162" s="738"/>
      <c r="D162" s="738" t="s">
        <v>1398</v>
      </c>
      <c r="E162" s="4694">
        <v>0</v>
      </c>
      <c r="F162" s="4694"/>
      <c r="G162" s="4694"/>
      <c r="H162" s="4694"/>
      <c r="I162" s="4694"/>
      <c r="J162" s="4694">
        <v>0</v>
      </c>
      <c r="K162" s="4694"/>
      <c r="L162" s="4694"/>
      <c r="M162" s="4694"/>
      <c r="N162" s="4694">
        <v>0</v>
      </c>
      <c r="O162" s="4694"/>
      <c r="P162" s="4694">
        <v>1</v>
      </c>
      <c r="Q162" s="4694">
        <v>2</v>
      </c>
      <c r="R162" s="4694">
        <v>2</v>
      </c>
      <c r="S162" s="4694">
        <v>1</v>
      </c>
      <c r="T162" s="738">
        <v>0</v>
      </c>
      <c r="U162" s="738">
        <v>0</v>
      </c>
      <c r="V162" s="738">
        <v>6</v>
      </c>
      <c r="W162" s="73"/>
      <c r="Y162" s="73"/>
      <c r="Z162" s="73"/>
      <c r="AA162" s="73" t="s">
        <v>574</v>
      </c>
      <c r="AB162" s="73" t="s">
        <v>1283</v>
      </c>
      <c r="AC162" s="3261"/>
      <c r="AD162" s="3261"/>
      <c r="AE162" s="3261"/>
      <c r="AF162" s="3261"/>
      <c r="AG162" s="3261"/>
      <c r="AH162" s="3261">
        <v>0</v>
      </c>
      <c r="AI162" s="3261"/>
      <c r="AJ162" s="3261">
        <v>1</v>
      </c>
      <c r="AK162" s="3261"/>
      <c r="AL162" s="3261"/>
      <c r="AM162" s="3261"/>
      <c r="AN162" s="3261"/>
      <c r="AO162" s="3261">
        <v>0</v>
      </c>
      <c r="AP162" s="3261"/>
      <c r="AQ162" s="3261"/>
      <c r="AR162" s="161"/>
      <c r="AS162" s="161"/>
      <c r="AT162" s="161">
        <v>1</v>
      </c>
      <c r="AU162" s="73"/>
      <c r="AY162" s="73"/>
      <c r="AZ162" s="73" t="s">
        <v>1398</v>
      </c>
      <c r="BA162" s="2607"/>
      <c r="BB162" s="2607"/>
      <c r="BC162" s="2607"/>
      <c r="BD162" s="2607"/>
      <c r="BE162" s="2607"/>
      <c r="BF162" s="2607"/>
      <c r="BG162" s="2607"/>
      <c r="BH162" s="2607"/>
      <c r="BI162" s="2607"/>
      <c r="BJ162" s="2607"/>
      <c r="BK162" s="2607"/>
      <c r="BL162" s="2607"/>
      <c r="BM162" s="2607">
        <v>0</v>
      </c>
      <c r="BN162" s="2607">
        <v>1</v>
      </c>
      <c r="BO162" s="2607">
        <v>0</v>
      </c>
      <c r="BP162" s="73"/>
      <c r="BQ162" s="73"/>
      <c r="BR162" s="73">
        <v>1</v>
      </c>
      <c r="BS162" s="73"/>
      <c r="BU162" s="2207"/>
      <c r="BV162" s="2207"/>
      <c r="BW162" s="2207"/>
      <c r="BX162" s="2208" t="s">
        <v>1398</v>
      </c>
      <c r="BY162" s="2209"/>
      <c r="BZ162" s="2209"/>
      <c r="CA162" s="2209"/>
      <c r="CB162" s="2209"/>
      <c r="CC162" s="2209"/>
      <c r="CD162" s="2209"/>
      <c r="CE162" s="2209"/>
      <c r="CF162" s="2209"/>
      <c r="CG162" s="2209"/>
      <c r="CH162" s="2209"/>
      <c r="CI162" s="2210">
        <v>1</v>
      </c>
      <c r="CJ162" s="2210">
        <v>1</v>
      </c>
      <c r="CK162" s="2209"/>
      <c r="CL162" s="2211"/>
      <c r="CM162" s="2211"/>
      <c r="CN162" s="2212">
        <v>2</v>
      </c>
      <c r="CO162" s="73"/>
      <c r="CQ162" s="955"/>
      <c r="CR162" s="955"/>
      <c r="CS162" s="955"/>
      <c r="CT162" s="974" t="s">
        <v>888</v>
      </c>
      <c r="CU162" s="975"/>
      <c r="CV162" s="976">
        <v>1</v>
      </c>
      <c r="CW162" s="976">
        <v>1</v>
      </c>
      <c r="CX162" s="975"/>
      <c r="CY162" s="975"/>
      <c r="CZ162" s="975"/>
      <c r="DA162" s="975"/>
      <c r="DB162" s="975"/>
      <c r="DC162" s="975"/>
      <c r="DD162" s="975"/>
      <c r="DE162" s="975"/>
      <c r="DF162" s="975"/>
      <c r="DG162" s="976">
        <v>3</v>
      </c>
      <c r="DH162" s="976">
        <v>2</v>
      </c>
      <c r="DI162" s="976">
        <v>1</v>
      </c>
      <c r="DJ162" s="978">
        <v>2</v>
      </c>
      <c r="DK162" s="978">
        <v>1</v>
      </c>
      <c r="DL162" s="978">
        <v>11</v>
      </c>
      <c r="DM162" s="912">
        <f>+(DL159+DL161)/DL162</f>
        <v>0.27272727272727271</v>
      </c>
      <c r="DO162" s="788"/>
      <c r="DP162" s="788"/>
      <c r="DQ162" s="788"/>
      <c r="DR162" s="788"/>
      <c r="DS162" s="789" t="s">
        <v>1292</v>
      </c>
      <c r="DT162" s="961"/>
      <c r="DU162" s="961"/>
      <c r="DV162" s="962">
        <v>0</v>
      </c>
      <c r="DW162" s="961"/>
      <c r="DX162" s="961"/>
      <c r="DY162" s="961"/>
      <c r="DZ162" s="961"/>
      <c r="EA162" s="962">
        <v>0</v>
      </c>
      <c r="EB162" s="962">
        <v>0</v>
      </c>
      <c r="EC162" s="962">
        <v>0</v>
      </c>
      <c r="ED162" s="962">
        <v>0</v>
      </c>
      <c r="EE162" s="962">
        <v>0</v>
      </c>
      <c r="EF162" s="962">
        <v>0</v>
      </c>
      <c r="EG162" s="962">
        <v>0</v>
      </c>
      <c r="EH162" s="962">
        <v>3</v>
      </c>
      <c r="EI162" s="963"/>
      <c r="EJ162" s="964">
        <v>1</v>
      </c>
      <c r="EK162" s="964">
        <v>4</v>
      </c>
      <c r="EL162" s="912"/>
      <c r="EM162" s="73"/>
      <c r="EN162" s="965"/>
      <c r="EO162" s="965"/>
      <c r="EP162" s="965"/>
      <c r="EQ162" s="981" t="s">
        <v>575</v>
      </c>
      <c r="ER162" s="982"/>
      <c r="ES162" s="982"/>
      <c r="ET162" s="982"/>
      <c r="EU162" s="982"/>
      <c r="EV162" s="740">
        <v>1</v>
      </c>
      <c r="EW162" s="740">
        <v>2</v>
      </c>
      <c r="EX162" s="740">
        <v>1</v>
      </c>
      <c r="EY162" s="982"/>
      <c r="EZ162" s="740">
        <v>1</v>
      </c>
      <c r="FA162" s="740">
        <v>3</v>
      </c>
      <c r="FB162" s="740">
        <v>3</v>
      </c>
      <c r="FC162" s="982"/>
      <c r="FD162" s="740">
        <v>1</v>
      </c>
      <c r="FE162" s="740">
        <v>12</v>
      </c>
      <c r="FF162" s="905">
        <f>+(FE161+FE160+FE158)/FE162</f>
        <v>0.5</v>
      </c>
      <c r="FG162" s="73"/>
      <c r="FH162" s="73"/>
      <c r="FI162" s="161"/>
      <c r="FJ162" s="161"/>
      <c r="FK162" s="161"/>
      <c r="FL162" s="73" t="s">
        <v>1292</v>
      </c>
      <c r="FM162" s="73"/>
      <c r="FN162" s="73">
        <v>0</v>
      </c>
      <c r="FO162" s="73"/>
      <c r="FP162" s="73">
        <v>0</v>
      </c>
      <c r="FQ162" s="73"/>
      <c r="FR162" s="73"/>
      <c r="FS162" s="73">
        <v>0</v>
      </c>
      <c r="FT162" s="73">
        <v>0</v>
      </c>
      <c r="FU162" s="73">
        <v>0</v>
      </c>
      <c r="FV162" s="73">
        <v>0</v>
      </c>
      <c r="FW162" s="73">
        <v>0</v>
      </c>
      <c r="FX162" s="73">
        <v>0</v>
      </c>
      <c r="FY162" s="73">
        <v>3</v>
      </c>
      <c r="FZ162" s="73">
        <v>1</v>
      </c>
      <c r="GA162" s="73"/>
      <c r="GB162" s="73">
        <v>1</v>
      </c>
      <c r="GC162" s="73">
        <v>5</v>
      </c>
      <c r="GD162" s="73"/>
      <c r="GE162" s="73"/>
      <c r="GF162" s="998"/>
      <c r="GG162" s="998"/>
      <c r="GH162" s="998"/>
      <c r="GI162" s="986" t="s">
        <v>15</v>
      </c>
      <c r="GJ162" s="986">
        <v>0</v>
      </c>
      <c r="GK162" s="986">
        <v>0</v>
      </c>
      <c r="GL162" s="986">
        <v>0</v>
      </c>
      <c r="GM162" s="986">
        <v>2</v>
      </c>
      <c r="GN162" s="986">
        <v>0</v>
      </c>
      <c r="GO162" s="986">
        <v>0</v>
      </c>
      <c r="GP162" s="986">
        <v>0</v>
      </c>
      <c r="GQ162" s="986">
        <v>0</v>
      </c>
      <c r="GR162" s="986">
        <v>1</v>
      </c>
      <c r="GS162" s="986">
        <v>2</v>
      </c>
      <c r="GT162" s="986">
        <v>1</v>
      </c>
      <c r="GU162" s="986">
        <v>5</v>
      </c>
      <c r="GV162" s="986">
        <v>2</v>
      </c>
      <c r="GW162" s="986">
        <v>0</v>
      </c>
      <c r="GX162" s="986">
        <v>1</v>
      </c>
      <c r="GY162" s="986">
        <v>2</v>
      </c>
      <c r="GZ162" s="986">
        <v>16</v>
      </c>
      <c r="HA162" s="987">
        <f>+(GZ161+GZ159-GX159)/GZ162</f>
        <v>0.1875</v>
      </c>
      <c r="HB162" s="988">
        <f>+GZ159+GZ161-GX159</f>
        <v>3</v>
      </c>
    </row>
    <row r="163" spans="1:210">
      <c r="A163" s="73"/>
      <c r="B163" s="73"/>
      <c r="C163" s="738"/>
      <c r="D163" s="738" t="s">
        <v>575</v>
      </c>
      <c r="E163" s="4694">
        <v>1</v>
      </c>
      <c r="F163" s="4694"/>
      <c r="G163" s="4694"/>
      <c r="H163" s="4694"/>
      <c r="I163" s="4694"/>
      <c r="J163" s="4694">
        <v>2</v>
      </c>
      <c r="K163" s="4694"/>
      <c r="L163" s="4694"/>
      <c r="M163" s="4694"/>
      <c r="N163" s="4694">
        <v>1</v>
      </c>
      <c r="O163" s="4694"/>
      <c r="P163" s="4694">
        <v>2</v>
      </c>
      <c r="Q163" s="4694">
        <v>8</v>
      </c>
      <c r="R163" s="4694">
        <v>9</v>
      </c>
      <c r="S163" s="4694">
        <v>22</v>
      </c>
      <c r="T163" s="738">
        <v>4</v>
      </c>
      <c r="U163" s="738">
        <v>10</v>
      </c>
      <c r="V163" s="738">
        <v>59</v>
      </c>
      <c r="W163" s="912">
        <f>+(V162+V160-T160)/V163</f>
        <v>0.28813559322033899</v>
      </c>
      <c r="X163" s="3197"/>
      <c r="Y163" s="73"/>
      <c r="Z163" s="73"/>
      <c r="AA163" s="73"/>
      <c r="AB163" s="73" t="s">
        <v>1284</v>
      </c>
      <c r="AC163" s="3261"/>
      <c r="AD163" s="3261"/>
      <c r="AE163" s="3261"/>
      <c r="AF163" s="3261"/>
      <c r="AG163" s="3261"/>
      <c r="AH163" s="3261">
        <v>2</v>
      </c>
      <c r="AI163" s="3261"/>
      <c r="AJ163" s="3261">
        <v>0</v>
      </c>
      <c r="AK163" s="3261"/>
      <c r="AL163" s="3261"/>
      <c r="AM163" s="3261"/>
      <c r="AN163" s="3261"/>
      <c r="AO163" s="3261">
        <v>3</v>
      </c>
      <c r="AP163" s="3261"/>
      <c r="AQ163" s="3261"/>
      <c r="AR163" s="161"/>
      <c r="AS163" s="161"/>
      <c r="AT163" s="161">
        <v>5</v>
      </c>
      <c r="AU163" s="73"/>
      <c r="AY163" s="73"/>
      <c r="AZ163" s="738" t="s">
        <v>888</v>
      </c>
      <c r="BA163" s="2608"/>
      <c r="BB163" s="2608"/>
      <c r="BC163" s="2608"/>
      <c r="BD163" s="2608"/>
      <c r="BE163" s="2608"/>
      <c r="BF163" s="2608"/>
      <c r="BG163" s="2608"/>
      <c r="BH163" s="2608"/>
      <c r="BI163" s="2608"/>
      <c r="BJ163" s="2608"/>
      <c r="BK163" s="2608"/>
      <c r="BL163" s="2608"/>
      <c r="BM163" s="2608">
        <v>6</v>
      </c>
      <c r="BN163" s="2608">
        <v>3</v>
      </c>
      <c r="BO163" s="2608">
        <v>1</v>
      </c>
      <c r="BP163" s="738"/>
      <c r="BQ163" s="738"/>
      <c r="BR163" s="738">
        <v>10</v>
      </c>
      <c r="BS163" s="912">
        <f>+(BR161+BR162)/BR163</f>
        <v>0.2</v>
      </c>
      <c r="BU163" s="2207"/>
      <c r="BV163" s="2207"/>
      <c r="BW163" s="2207"/>
      <c r="BX163" s="2204" t="s">
        <v>888</v>
      </c>
      <c r="BY163" s="2213"/>
      <c r="BZ163" s="2213"/>
      <c r="CA163" s="2213"/>
      <c r="CB163" s="2213"/>
      <c r="CC163" s="2213"/>
      <c r="CD163" s="2213"/>
      <c r="CE163" s="2213"/>
      <c r="CF163" s="2213"/>
      <c r="CG163" s="2213"/>
      <c r="CH163" s="2213"/>
      <c r="CI163" s="2214">
        <v>7</v>
      </c>
      <c r="CJ163" s="2214">
        <v>1</v>
      </c>
      <c r="CK163" s="2213"/>
      <c r="CL163" s="2215"/>
      <c r="CM163" s="2215"/>
      <c r="CN163" s="2216">
        <v>8</v>
      </c>
      <c r="CO163" s="2154">
        <f>+(CN161+CN162)/CN163</f>
        <v>0.5</v>
      </c>
      <c r="CQ163" s="955"/>
      <c r="CR163" s="955"/>
      <c r="CS163" s="955" t="s">
        <v>461</v>
      </c>
      <c r="CT163" s="956" t="s">
        <v>1283</v>
      </c>
      <c r="CU163" s="957"/>
      <c r="CV163" s="958">
        <v>0</v>
      </c>
      <c r="CW163" s="958">
        <v>0</v>
      </c>
      <c r="CX163" s="957"/>
      <c r="CY163" s="957"/>
      <c r="CZ163" s="957"/>
      <c r="DA163" s="958">
        <v>0</v>
      </c>
      <c r="DB163" s="957"/>
      <c r="DC163" s="958">
        <v>0</v>
      </c>
      <c r="DD163" s="958">
        <v>1</v>
      </c>
      <c r="DE163" s="958">
        <v>0</v>
      </c>
      <c r="DF163" s="958">
        <v>0</v>
      </c>
      <c r="DG163" s="958">
        <v>0</v>
      </c>
      <c r="DH163" s="958">
        <v>1</v>
      </c>
      <c r="DI163" s="958">
        <v>0</v>
      </c>
      <c r="DJ163" s="960">
        <v>0</v>
      </c>
      <c r="DK163" s="960">
        <v>0</v>
      </c>
      <c r="DL163" s="960">
        <v>2</v>
      </c>
      <c r="DM163" s="161"/>
      <c r="DO163" s="788"/>
      <c r="DP163" s="788"/>
      <c r="DQ163" s="788"/>
      <c r="DR163" s="788"/>
      <c r="DS163" s="789" t="s">
        <v>1398</v>
      </c>
      <c r="DT163" s="961"/>
      <c r="DU163" s="961"/>
      <c r="DV163" s="962">
        <v>0</v>
      </c>
      <c r="DW163" s="961"/>
      <c r="DX163" s="961"/>
      <c r="DY163" s="961"/>
      <c r="DZ163" s="961"/>
      <c r="EA163" s="962">
        <v>0</v>
      </c>
      <c r="EB163" s="962">
        <v>0</v>
      </c>
      <c r="EC163" s="962">
        <v>1</v>
      </c>
      <c r="ED163" s="962">
        <v>2</v>
      </c>
      <c r="EE163" s="962">
        <v>0</v>
      </c>
      <c r="EF163" s="962">
        <v>0</v>
      </c>
      <c r="EG163" s="962">
        <v>0</v>
      </c>
      <c r="EH163" s="962">
        <v>0</v>
      </c>
      <c r="EI163" s="963"/>
      <c r="EJ163" s="964">
        <v>0</v>
      </c>
      <c r="EK163" s="964">
        <v>3</v>
      </c>
      <c r="EL163" s="912"/>
      <c r="EM163" s="73"/>
      <c r="EN163" s="965"/>
      <c r="EO163" s="965"/>
      <c r="EP163" s="965" t="s">
        <v>888</v>
      </c>
      <c r="EQ163" s="734" t="s">
        <v>1284</v>
      </c>
      <c r="ER163" s="966"/>
      <c r="ES163" s="966"/>
      <c r="ET163" s="966"/>
      <c r="EU163" s="966"/>
      <c r="EV163" s="966"/>
      <c r="EW163" s="966"/>
      <c r="EX163" s="966"/>
      <c r="EY163" s="966"/>
      <c r="EZ163" s="735">
        <v>0</v>
      </c>
      <c r="FA163" s="735">
        <v>1</v>
      </c>
      <c r="FB163" s="735">
        <v>2</v>
      </c>
      <c r="FC163" s="735">
        <v>0</v>
      </c>
      <c r="FD163" s="735">
        <v>0</v>
      </c>
      <c r="FE163" s="735">
        <v>3</v>
      </c>
      <c r="FF163" s="967"/>
      <c r="FG163" s="73"/>
      <c r="FH163" s="73"/>
      <c r="FI163" s="161"/>
      <c r="FJ163" s="161"/>
      <c r="FK163" s="161"/>
      <c r="FL163" s="73" t="s">
        <v>1293</v>
      </c>
      <c r="FM163" s="73"/>
      <c r="FN163" s="73">
        <v>0</v>
      </c>
      <c r="FO163" s="73"/>
      <c r="FP163" s="73">
        <v>0</v>
      </c>
      <c r="FQ163" s="73"/>
      <c r="FR163" s="73"/>
      <c r="FS163" s="73">
        <v>0</v>
      </c>
      <c r="FT163" s="73">
        <v>0</v>
      </c>
      <c r="FU163" s="73">
        <v>2</v>
      </c>
      <c r="FV163" s="73">
        <v>1</v>
      </c>
      <c r="FW163" s="73">
        <v>1</v>
      </c>
      <c r="FX163" s="73">
        <v>0</v>
      </c>
      <c r="FY163" s="73">
        <v>0</v>
      </c>
      <c r="FZ163" s="73">
        <v>1</v>
      </c>
      <c r="GA163" s="73"/>
      <c r="GB163" s="73">
        <v>0</v>
      </c>
      <c r="GC163" s="73">
        <v>5</v>
      </c>
      <c r="GD163" s="73"/>
      <c r="GE163" s="73"/>
      <c r="GF163" s="968"/>
      <c r="GG163" s="968"/>
      <c r="GH163" s="73"/>
      <c r="GI163" s="73"/>
      <c r="GJ163" s="73"/>
      <c r="GK163" s="73"/>
      <c r="GL163" s="73"/>
      <c r="GM163" s="73"/>
      <c r="GN163" s="73"/>
      <c r="GO163" s="73"/>
      <c r="GP163" s="73"/>
      <c r="GQ163" s="73"/>
      <c r="GR163" s="73"/>
      <c r="GS163" s="73"/>
      <c r="GT163" s="73"/>
      <c r="GU163" s="73"/>
      <c r="GV163" s="73"/>
      <c r="GW163" s="73"/>
      <c r="GX163" s="73"/>
      <c r="GY163" s="73"/>
      <c r="GZ163" s="73"/>
      <c r="HA163" s="73"/>
      <c r="HB163" s="73"/>
    </row>
    <row r="164" spans="1:210">
      <c r="A164" s="73"/>
      <c r="B164" s="73"/>
      <c r="C164" s="738" t="s">
        <v>111</v>
      </c>
      <c r="D164" s="738" t="s">
        <v>1283</v>
      </c>
      <c r="E164" s="4694">
        <v>0</v>
      </c>
      <c r="F164" s="4694">
        <v>0</v>
      </c>
      <c r="G164" s="4694">
        <v>0</v>
      </c>
      <c r="H164" s="4694">
        <v>0</v>
      </c>
      <c r="I164" s="4694"/>
      <c r="J164" s="4694">
        <v>0</v>
      </c>
      <c r="K164" s="4694">
        <v>0</v>
      </c>
      <c r="L164" s="4694"/>
      <c r="M164" s="4694"/>
      <c r="N164" s="4694">
        <v>0</v>
      </c>
      <c r="O164" s="4694">
        <v>0</v>
      </c>
      <c r="P164" s="4694">
        <v>0</v>
      </c>
      <c r="Q164" s="4694">
        <v>0</v>
      </c>
      <c r="R164" s="4694">
        <v>0</v>
      </c>
      <c r="S164" s="4694">
        <v>1</v>
      </c>
      <c r="T164" s="738">
        <v>0</v>
      </c>
      <c r="U164" s="738">
        <v>1</v>
      </c>
      <c r="V164" s="738">
        <v>2</v>
      </c>
      <c r="W164" s="73"/>
      <c r="Y164" s="73"/>
      <c r="Z164" s="73"/>
      <c r="AA164" s="73"/>
      <c r="AB164" s="73" t="s">
        <v>1398</v>
      </c>
      <c r="AC164" s="3261"/>
      <c r="AD164" s="3261"/>
      <c r="AE164" s="3261"/>
      <c r="AF164" s="3261"/>
      <c r="AG164" s="3261"/>
      <c r="AH164" s="3261">
        <v>0</v>
      </c>
      <c r="AI164" s="3261"/>
      <c r="AJ164" s="3261">
        <v>0</v>
      </c>
      <c r="AK164" s="3261"/>
      <c r="AL164" s="3261"/>
      <c r="AM164" s="3261"/>
      <c r="AN164" s="3261"/>
      <c r="AO164" s="3261">
        <v>2</v>
      </c>
      <c r="AP164" s="3261"/>
      <c r="AQ164" s="3261"/>
      <c r="AR164" s="161"/>
      <c r="AS164" s="161"/>
      <c r="AT164" s="161">
        <v>2</v>
      </c>
      <c r="AU164" s="73"/>
      <c r="AY164" s="73" t="s">
        <v>461</v>
      </c>
      <c r="AZ164" s="73" t="s">
        <v>1284</v>
      </c>
      <c r="BA164" s="2607"/>
      <c r="BB164" s="2607"/>
      <c r="BC164" s="2607">
        <v>1</v>
      </c>
      <c r="BD164" s="2607"/>
      <c r="BE164" s="2607"/>
      <c r="BF164" s="2607"/>
      <c r="BG164" s="2607"/>
      <c r="BH164" s="2607">
        <v>1</v>
      </c>
      <c r="BI164" s="2607"/>
      <c r="BJ164" s="2607">
        <v>5</v>
      </c>
      <c r="BK164" s="2607">
        <v>2</v>
      </c>
      <c r="BL164" s="2607">
        <v>0</v>
      </c>
      <c r="BM164" s="2607">
        <v>7</v>
      </c>
      <c r="BN164" s="2607">
        <v>1</v>
      </c>
      <c r="BO164" s="2607">
        <v>2</v>
      </c>
      <c r="BP164" s="73"/>
      <c r="BQ164" s="73">
        <v>0</v>
      </c>
      <c r="BR164" s="73">
        <v>19</v>
      </c>
      <c r="BS164" s="73"/>
      <c r="BU164" s="2207"/>
      <c r="BV164" s="2207"/>
      <c r="BW164" s="2207" t="s">
        <v>461</v>
      </c>
      <c r="BX164" s="2208" t="s">
        <v>1283</v>
      </c>
      <c r="BY164" s="2210">
        <v>0</v>
      </c>
      <c r="BZ164" s="2210">
        <v>0</v>
      </c>
      <c r="CA164" s="2209"/>
      <c r="CB164" s="2210">
        <v>0</v>
      </c>
      <c r="CC164" s="2210">
        <v>0</v>
      </c>
      <c r="CD164" s="2209"/>
      <c r="CE164" s="2210">
        <v>0</v>
      </c>
      <c r="CF164" s="2210">
        <v>0</v>
      </c>
      <c r="CG164" s="2210">
        <v>0</v>
      </c>
      <c r="CH164" s="2210">
        <v>0</v>
      </c>
      <c r="CI164" s="2210">
        <v>0</v>
      </c>
      <c r="CJ164" s="2210">
        <v>0</v>
      </c>
      <c r="CK164" s="2210">
        <v>1</v>
      </c>
      <c r="CL164" s="2212">
        <v>0</v>
      </c>
      <c r="CM164" s="2212">
        <v>1</v>
      </c>
      <c r="CN164" s="2212">
        <v>2</v>
      </c>
      <c r="CO164" s="73"/>
      <c r="CQ164" s="955"/>
      <c r="CR164" s="955"/>
      <c r="CS164" s="955"/>
      <c r="CT164" s="956" t="s">
        <v>1284</v>
      </c>
      <c r="CU164" s="957"/>
      <c r="CV164" s="958">
        <v>1</v>
      </c>
      <c r="CW164" s="958">
        <v>0</v>
      </c>
      <c r="CX164" s="957"/>
      <c r="CY164" s="957"/>
      <c r="CZ164" s="957"/>
      <c r="DA164" s="958">
        <v>0</v>
      </c>
      <c r="DB164" s="957"/>
      <c r="DC164" s="958">
        <v>2</v>
      </c>
      <c r="DD164" s="958">
        <v>4</v>
      </c>
      <c r="DE164" s="958">
        <v>4</v>
      </c>
      <c r="DF164" s="958">
        <v>1</v>
      </c>
      <c r="DG164" s="958">
        <v>2</v>
      </c>
      <c r="DH164" s="958">
        <v>1</v>
      </c>
      <c r="DI164" s="958">
        <v>0</v>
      </c>
      <c r="DJ164" s="960">
        <v>2</v>
      </c>
      <c r="DK164" s="960">
        <v>0</v>
      </c>
      <c r="DL164" s="960">
        <v>17</v>
      </c>
      <c r="DM164" s="161"/>
      <c r="DO164" s="788"/>
      <c r="DP164" s="788"/>
      <c r="DQ164" s="788"/>
      <c r="DR164" s="73"/>
      <c r="DS164" s="809" t="s">
        <v>575</v>
      </c>
      <c r="DT164" s="970"/>
      <c r="DU164" s="970"/>
      <c r="DV164" s="971">
        <v>2</v>
      </c>
      <c r="DW164" s="970"/>
      <c r="DX164" s="970"/>
      <c r="DY164" s="970"/>
      <c r="DZ164" s="970"/>
      <c r="EA164" s="971">
        <v>1</v>
      </c>
      <c r="EB164" s="971">
        <v>1</v>
      </c>
      <c r="EC164" s="971">
        <v>3</v>
      </c>
      <c r="ED164" s="971">
        <v>3</v>
      </c>
      <c r="EE164" s="971">
        <v>6</v>
      </c>
      <c r="EF164" s="971">
        <v>1</v>
      </c>
      <c r="EG164" s="971">
        <v>3</v>
      </c>
      <c r="EH164" s="971">
        <v>5</v>
      </c>
      <c r="EI164" s="972"/>
      <c r="EJ164" s="973">
        <v>1</v>
      </c>
      <c r="EK164" s="973">
        <v>26</v>
      </c>
      <c r="EL164" s="912">
        <f>+(EK163+EK161)/EK164</f>
        <v>0.23076923076923078</v>
      </c>
      <c r="EM164" s="73"/>
      <c r="EN164" s="965"/>
      <c r="EO164" s="965"/>
      <c r="EP164" s="965"/>
      <c r="EQ164" s="734" t="s">
        <v>1288</v>
      </c>
      <c r="ER164" s="966"/>
      <c r="ES164" s="966"/>
      <c r="ET164" s="966"/>
      <c r="EU164" s="966"/>
      <c r="EV164" s="966"/>
      <c r="EW164" s="966"/>
      <c r="EX164" s="966"/>
      <c r="EY164" s="966"/>
      <c r="EZ164" s="735">
        <v>0</v>
      </c>
      <c r="FA164" s="735">
        <v>0</v>
      </c>
      <c r="FB164" s="735">
        <v>0</v>
      </c>
      <c r="FC164" s="735">
        <v>1</v>
      </c>
      <c r="FD164" s="735">
        <v>0</v>
      </c>
      <c r="FE164" s="735">
        <v>1</v>
      </c>
      <c r="FF164" s="967"/>
      <c r="FG164" s="73"/>
      <c r="FH164" s="73"/>
      <c r="FI164" s="161"/>
      <c r="FJ164" s="161"/>
      <c r="FK164" s="161"/>
      <c r="FL164" s="73" t="s">
        <v>1398</v>
      </c>
      <c r="FM164" s="73"/>
      <c r="FN164" s="73">
        <v>0</v>
      </c>
      <c r="FO164" s="73"/>
      <c r="FP164" s="73">
        <v>0</v>
      </c>
      <c r="FQ164" s="73"/>
      <c r="FR164" s="73"/>
      <c r="FS164" s="73">
        <v>1</v>
      </c>
      <c r="FT164" s="73">
        <v>2</v>
      </c>
      <c r="FU164" s="73">
        <v>1</v>
      </c>
      <c r="FV164" s="73">
        <v>1</v>
      </c>
      <c r="FW164" s="73">
        <v>0</v>
      </c>
      <c r="FX164" s="73">
        <v>1</v>
      </c>
      <c r="FY164" s="73">
        <v>0</v>
      </c>
      <c r="FZ164" s="73">
        <v>0</v>
      </c>
      <c r="GA164" s="73"/>
      <c r="GB164" s="73">
        <v>0</v>
      </c>
      <c r="GC164" s="73">
        <v>6</v>
      </c>
      <c r="GD164" s="73"/>
      <c r="GE164" s="73"/>
      <c r="GF164" s="968"/>
      <c r="GG164" s="968"/>
      <c r="GH164" s="73"/>
      <c r="GI164" s="73"/>
      <c r="GJ164" s="73"/>
      <c r="GK164" s="73"/>
      <c r="GL164" s="73"/>
      <c r="GM164" s="73"/>
      <c r="GN164" s="73"/>
      <c r="GO164" s="73"/>
      <c r="GP164" s="73"/>
      <c r="GQ164" s="73"/>
      <c r="GR164" s="73"/>
      <c r="GS164" s="73"/>
      <c r="GT164" s="73"/>
      <c r="GU164" s="73"/>
      <c r="GV164" s="73"/>
      <c r="GW164" s="73"/>
      <c r="GX164" s="73"/>
      <c r="GY164" s="73"/>
      <c r="GZ164" s="73"/>
      <c r="HA164" s="73"/>
      <c r="HB164" s="73"/>
    </row>
    <row r="165" spans="1:210">
      <c r="A165" s="73"/>
      <c r="B165" s="73"/>
      <c r="C165" s="738"/>
      <c r="D165" s="738" t="s">
        <v>1284</v>
      </c>
      <c r="E165" s="4694">
        <v>2</v>
      </c>
      <c r="F165" s="4694">
        <v>0</v>
      </c>
      <c r="G165" s="4694">
        <v>1</v>
      </c>
      <c r="H165" s="4694">
        <v>2</v>
      </c>
      <c r="I165" s="4694"/>
      <c r="J165" s="4694">
        <v>1</v>
      </c>
      <c r="K165" s="4694">
        <v>0</v>
      </c>
      <c r="L165" s="4694"/>
      <c r="M165" s="4694"/>
      <c r="N165" s="4694">
        <v>2</v>
      </c>
      <c r="O165" s="4694">
        <v>0</v>
      </c>
      <c r="P165" s="4694">
        <v>3</v>
      </c>
      <c r="Q165" s="4694">
        <v>7</v>
      </c>
      <c r="R165" s="4694">
        <v>13</v>
      </c>
      <c r="S165" s="4694">
        <v>1</v>
      </c>
      <c r="T165" s="738">
        <v>1</v>
      </c>
      <c r="U165" s="738">
        <v>0</v>
      </c>
      <c r="V165" s="738">
        <v>33</v>
      </c>
      <c r="W165" s="73"/>
      <c r="Y165" s="73"/>
      <c r="Z165" s="73"/>
      <c r="AA165" s="73"/>
      <c r="AB165" s="738" t="s">
        <v>574</v>
      </c>
      <c r="AC165" s="3262"/>
      <c r="AD165" s="3262"/>
      <c r="AE165" s="3262"/>
      <c r="AF165" s="3262"/>
      <c r="AG165" s="3262"/>
      <c r="AH165" s="3262">
        <v>2</v>
      </c>
      <c r="AI165" s="3262"/>
      <c r="AJ165" s="3262">
        <v>1</v>
      </c>
      <c r="AK165" s="3262"/>
      <c r="AL165" s="3262"/>
      <c r="AM165" s="3262"/>
      <c r="AN165" s="3262"/>
      <c r="AO165" s="3262">
        <v>5</v>
      </c>
      <c r="AP165" s="3262"/>
      <c r="AQ165" s="3262"/>
      <c r="AR165" s="151"/>
      <c r="AS165" s="151"/>
      <c r="AT165" s="151">
        <v>8</v>
      </c>
      <c r="AU165" s="912">
        <f>+AT164/AT165</f>
        <v>0.25</v>
      </c>
      <c r="AY165" s="73"/>
      <c r="AZ165" s="73" t="s">
        <v>1288</v>
      </c>
      <c r="BA165" s="2607"/>
      <c r="BB165" s="2607"/>
      <c r="BC165" s="2607">
        <v>0</v>
      </c>
      <c r="BD165" s="2607"/>
      <c r="BE165" s="2607"/>
      <c r="BF165" s="2607"/>
      <c r="BG165" s="2607"/>
      <c r="BH165" s="2607">
        <v>0</v>
      </c>
      <c r="BI165" s="2607"/>
      <c r="BJ165" s="2607">
        <v>0</v>
      </c>
      <c r="BK165" s="2607">
        <v>0</v>
      </c>
      <c r="BL165" s="2607">
        <v>0</v>
      </c>
      <c r="BM165" s="2607">
        <v>0</v>
      </c>
      <c r="BN165" s="2607">
        <v>1</v>
      </c>
      <c r="BO165" s="2607">
        <v>0</v>
      </c>
      <c r="BP165" s="73"/>
      <c r="BQ165" s="73">
        <v>0</v>
      </c>
      <c r="BR165" s="73">
        <v>1</v>
      </c>
      <c r="BS165" s="73"/>
      <c r="BU165" s="2207"/>
      <c r="BV165" s="2207"/>
      <c r="BW165" s="2207"/>
      <c r="BX165" s="2208" t="s">
        <v>1284</v>
      </c>
      <c r="BY165" s="2210">
        <v>1</v>
      </c>
      <c r="BZ165" s="2210">
        <v>3</v>
      </c>
      <c r="CA165" s="2209"/>
      <c r="CB165" s="2210">
        <v>1</v>
      </c>
      <c r="CC165" s="2210">
        <v>2</v>
      </c>
      <c r="CD165" s="2209"/>
      <c r="CE165" s="2210">
        <v>2</v>
      </c>
      <c r="CF165" s="2210">
        <v>1</v>
      </c>
      <c r="CG165" s="2210">
        <v>3</v>
      </c>
      <c r="CH165" s="2210">
        <v>7</v>
      </c>
      <c r="CI165" s="2210">
        <v>26</v>
      </c>
      <c r="CJ165" s="2210">
        <v>3</v>
      </c>
      <c r="CK165" s="2210">
        <v>2</v>
      </c>
      <c r="CL165" s="2212">
        <v>0</v>
      </c>
      <c r="CM165" s="2212">
        <v>0</v>
      </c>
      <c r="CN165" s="2212">
        <v>51</v>
      </c>
      <c r="CO165" s="73"/>
      <c r="CQ165" s="955"/>
      <c r="CR165" s="955"/>
      <c r="CS165" s="955"/>
      <c r="CT165" s="956" t="s">
        <v>1286</v>
      </c>
      <c r="CU165" s="957"/>
      <c r="CV165" s="958">
        <v>0</v>
      </c>
      <c r="CW165" s="958">
        <v>1</v>
      </c>
      <c r="CX165" s="957"/>
      <c r="CY165" s="957"/>
      <c r="CZ165" s="957"/>
      <c r="DA165" s="958">
        <v>0</v>
      </c>
      <c r="DB165" s="957"/>
      <c r="DC165" s="958">
        <v>0</v>
      </c>
      <c r="DD165" s="958">
        <v>0</v>
      </c>
      <c r="DE165" s="958">
        <v>0</v>
      </c>
      <c r="DF165" s="958">
        <v>0</v>
      </c>
      <c r="DG165" s="958">
        <v>0</v>
      </c>
      <c r="DH165" s="958">
        <v>0</v>
      </c>
      <c r="DI165" s="958">
        <v>0</v>
      </c>
      <c r="DJ165" s="960">
        <v>0</v>
      </c>
      <c r="DK165" s="960">
        <v>0</v>
      </c>
      <c r="DL165" s="960">
        <v>1</v>
      </c>
      <c r="DM165" s="161"/>
      <c r="DO165" s="788"/>
      <c r="DP165" s="788" t="s">
        <v>105</v>
      </c>
      <c r="DQ165" s="788" t="s">
        <v>147</v>
      </c>
      <c r="DR165" s="788" t="s">
        <v>1282</v>
      </c>
      <c r="DS165" s="789" t="s">
        <v>1284</v>
      </c>
      <c r="DT165" s="961"/>
      <c r="DU165" s="962">
        <v>1</v>
      </c>
      <c r="DV165" s="961"/>
      <c r="DW165" s="961"/>
      <c r="DX165" s="961"/>
      <c r="DY165" s="961"/>
      <c r="DZ165" s="961"/>
      <c r="EA165" s="961"/>
      <c r="EB165" s="961"/>
      <c r="EC165" s="962">
        <v>2</v>
      </c>
      <c r="ED165" s="962">
        <v>1</v>
      </c>
      <c r="EE165" s="961"/>
      <c r="EF165" s="962">
        <v>0</v>
      </c>
      <c r="EG165" s="961"/>
      <c r="EH165" s="961"/>
      <c r="EI165" s="964">
        <v>0</v>
      </c>
      <c r="EJ165" s="964">
        <v>0</v>
      </c>
      <c r="EK165" s="964">
        <v>4</v>
      </c>
      <c r="EL165" s="912"/>
      <c r="EM165" s="73"/>
      <c r="EN165" s="965"/>
      <c r="EO165" s="965"/>
      <c r="EP165" s="965"/>
      <c r="EQ165" s="734" t="s">
        <v>1292</v>
      </c>
      <c r="ER165" s="966"/>
      <c r="ES165" s="966"/>
      <c r="ET165" s="966"/>
      <c r="EU165" s="966"/>
      <c r="EV165" s="966"/>
      <c r="EW165" s="966"/>
      <c r="EX165" s="966"/>
      <c r="EY165" s="966"/>
      <c r="EZ165" s="735">
        <v>0</v>
      </c>
      <c r="FA165" s="735">
        <v>0</v>
      </c>
      <c r="FB165" s="735">
        <v>0</v>
      </c>
      <c r="FC165" s="735">
        <v>0</v>
      </c>
      <c r="FD165" s="735">
        <v>4</v>
      </c>
      <c r="FE165" s="735">
        <v>4</v>
      </c>
      <c r="FF165" s="967"/>
      <c r="FG165" s="73"/>
      <c r="FH165" s="73"/>
      <c r="FI165" s="161"/>
      <c r="FJ165" s="161"/>
      <c r="FK165" s="161"/>
      <c r="FL165" s="738" t="s">
        <v>15</v>
      </c>
      <c r="FM165" s="738"/>
      <c r="FN165" s="738">
        <v>1</v>
      </c>
      <c r="FO165" s="738"/>
      <c r="FP165" s="738">
        <v>1</v>
      </c>
      <c r="FQ165" s="738"/>
      <c r="FR165" s="738"/>
      <c r="FS165" s="738">
        <v>1</v>
      </c>
      <c r="FT165" s="738">
        <v>5</v>
      </c>
      <c r="FU165" s="738">
        <v>7</v>
      </c>
      <c r="FV165" s="738">
        <v>3</v>
      </c>
      <c r="FW165" s="738">
        <v>2</v>
      </c>
      <c r="FX165" s="738">
        <v>1</v>
      </c>
      <c r="FY165" s="738">
        <v>3</v>
      </c>
      <c r="FZ165" s="738">
        <v>2</v>
      </c>
      <c r="GA165" s="738"/>
      <c r="GB165" s="738">
        <v>1</v>
      </c>
      <c r="GC165" s="738">
        <v>27</v>
      </c>
      <c r="GD165" s="983">
        <f>+(GC163+GC164)/GC165</f>
        <v>0.40740740740740738</v>
      </c>
      <c r="GE165" s="73"/>
      <c r="GF165" s="968"/>
      <c r="GG165" s="968"/>
      <c r="GH165" s="73"/>
      <c r="GI165" s="73"/>
      <c r="GJ165" s="73"/>
      <c r="GK165" s="73"/>
      <c r="GL165" s="73"/>
      <c r="GM165" s="73"/>
      <c r="GN165" s="73"/>
      <c r="GO165" s="73"/>
      <c r="GP165" s="73"/>
      <c r="GQ165" s="73"/>
      <c r="GR165" s="73"/>
      <c r="GS165" s="73"/>
      <c r="GT165" s="73"/>
      <c r="GU165" s="73"/>
      <c r="GV165" s="73"/>
      <c r="GW165" s="73"/>
      <c r="GX165" s="73"/>
      <c r="GY165" s="73"/>
      <c r="GZ165" s="73"/>
      <c r="HA165" s="73"/>
      <c r="HB165" s="73"/>
    </row>
    <row r="166" spans="1:210">
      <c r="A166" s="73"/>
      <c r="B166" s="73"/>
      <c r="C166" s="738"/>
      <c r="D166" s="738" t="s">
        <v>1286</v>
      </c>
      <c r="E166" s="4694">
        <v>0</v>
      </c>
      <c r="F166" s="4694">
        <v>2</v>
      </c>
      <c r="G166" s="4694">
        <v>0</v>
      </c>
      <c r="H166" s="4694">
        <v>1</v>
      </c>
      <c r="I166" s="4694"/>
      <c r="J166" s="4694">
        <v>2</v>
      </c>
      <c r="K166" s="4694">
        <v>1</v>
      </c>
      <c r="L166" s="4694"/>
      <c r="M166" s="4694"/>
      <c r="N166" s="4694">
        <v>0</v>
      </c>
      <c r="O166" s="4694">
        <v>0</v>
      </c>
      <c r="P166" s="4694">
        <v>0</v>
      </c>
      <c r="Q166" s="4694">
        <v>0</v>
      </c>
      <c r="R166" s="4694">
        <v>0</v>
      </c>
      <c r="S166" s="4694">
        <v>0</v>
      </c>
      <c r="T166" s="738">
        <v>0</v>
      </c>
      <c r="U166" s="738">
        <v>0</v>
      </c>
      <c r="V166" s="738">
        <v>6</v>
      </c>
      <c r="W166" s="73"/>
      <c r="Y166" s="73"/>
      <c r="Z166" s="73"/>
      <c r="AA166" s="73" t="s">
        <v>461</v>
      </c>
      <c r="AB166" s="73" t="s">
        <v>1283</v>
      </c>
      <c r="AC166" s="3261"/>
      <c r="AD166" s="3261">
        <v>0</v>
      </c>
      <c r="AE166" s="3261">
        <v>0</v>
      </c>
      <c r="AF166" s="3261"/>
      <c r="AG166" s="3261"/>
      <c r="AH166" s="3261">
        <v>0</v>
      </c>
      <c r="AI166" s="3261"/>
      <c r="AJ166" s="3261">
        <v>1</v>
      </c>
      <c r="AK166" s="3261">
        <v>0</v>
      </c>
      <c r="AL166" s="3261">
        <v>0</v>
      </c>
      <c r="AM166" s="3261">
        <v>0</v>
      </c>
      <c r="AN166" s="3261">
        <v>0</v>
      </c>
      <c r="AO166" s="3261">
        <v>0</v>
      </c>
      <c r="AP166" s="3261">
        <v>0</v>
      </c>
      <c r="AQ166" s="3261">
        <v>0</v>
      </c>
      <c r="AR166" s="161">
        <v>0</v>
      </c>
      <c r="AS166" s="161">
        <v>0</v>
      </c>
      <c r="AT166" s="161">
        <v>1</v>
      </c>
      <c r="AU166" s="73"/>
      <c r="AY166" s="73"/>
      <c r="AZ166" s="73" t="s">
        <v>1292</v>
      </c>
      <c r="BA166" s="2607"/>
      <c r="BB166" s="2607"/>
      <c r="BC166" s="2607">
        <v>0</v>
      </c>
      <c r="BD166" s="2607"/>
      <c r="BE166" s="2607"/>
      <c r="BF166" s="2607"/>
      <c r="BG166" s="2607"/>
      <c r="BH166" s="2607">
        <v>0</v>
      </c>
      <c r="BI166" s="2607"/>
      <c r="BJ166" s="2607">
        <v>0</v>
      </c>
      <c r="BK166" s="2607">
        <v>0</v>
      </c>
      <c r="BL166" s="2607">
        <v>0</v>
      </c>
      <c r="BM166" s="2607">
        <v>1</v>
      </c>
      <c r="BN166" s="2607">
        <v>0</v>
      </c>
      <c r="BO166" s="2607">
        <v>4</v>
      </c>
      <c r="BP166" s="73"/>
      <c r="BQ166" s="73">
        <v>3</v>
      </c>
      <c r="BR166" s="73">
        <v>8</v>
      </c>
      <c r="BS166" s="73"/>
      <c r="BU166" s="2207"/>
      <c r="BV166" s="2207"/>
      <c r="BW166" s="2207"/>
      <c r="BX166" s="2208" t="s">
        <v>1288</v>
      </c>
      <c r="BY166" s="2210">
        <v>0</v>
      </c>
      <c r="BZ166" s="2210">
        <v>0</v>
      </c>
      <c r="CA166" s="2209"/>
      <c r="CB166" s="2210">
        <v>0</v>
      </c>
      <c r="CC166" s="2210">
        <v>0</v>
      </c>
      <c r="CD166" s="2209"/>
      <c r="CE166" s="2210">
        <v>0</v>
      </c>
      <c r="CF166" s="2210">
        <v>0</v>
      </c>
      <c r="CG166" s="2210">
        <v>0</v>
      </c>
      <c r="CH166" s="2210">
        <v>1</v>
      </c>
      <c r="CI166" s="2210">
        <v>5</v>
      </c>
      <c r="CJ166" s="2210">
        <v>3</v>
      </c>
      <c r="CK166" s="2210">
        <v>0</v>
      </c>
      <c r="CL166" s="2212">
        <v>0</v>
      </c>
      <c r="CM166" s="2212">
        <v>0</v>
      </c>
      <c r="CN166" s="2212">
        <v>9</v>
      </c>
      <c r="CO166" s="73"/>
      <c r="CQ166" s="955"/>
      <c r="CR166" s="955"/>
      <c r="CS166" s="955"/>
      <c r="CT166" s="956" t="s">
        <v>1288</v>
      </c>
      <c r="CU166" s="957"/>
      <c r="CV166" s="958">
        <v>0</v>
      </c>
      <c r="CW166" s="958">
        <v>0</v>
      </c>
      <c r="CX166" s="957"/>
      <c r="CY166" s="957"/>
      <c r="CZ166" s="957"/>
      <c r="DA166" s="958">
        <v>0</v>
      </c>
      <c r="DB166" s="957"/>
      <c r="DC166" s="958">
        <v>0</v>
      </c>
      <c r="DD166" s="958">
        <v>0</v>
      </c>
      <c r="DE166" s="958">
        <v>1</v>
      </c>
      <c r="DF166" s="958">
        <v>0</v>
      </c>
      <c r="DG166" s="958">
        <v>0</v>
      </c>
      <c r="DH166" s="958">
        <v>1</v>
      </c>
      <c r="DI166" s="958">
        <v>1</v>
      </c>
      <c r="DJ166" s="960">
        <v>0</v>
      </c>
      <c r="DK166" s="960">
        <v>0</v>
      </c>
      <c r="DL166" s="960">
        <v>3</v>
      </c>
      <c r="DM166" s="161"/>
      <c r="DO166" s="788"/>
      <c r="DP166" s="788"/>
      <c r="DQ166" s="788"/>
      <c r="DR166" s="788"/>
      <c r="DS166" s="789" t="s">
        <v>1292</v>
      </c>
      <c r="DT166" s="961"/>
      <c r="DU166" s="962">
        <v>0</v>
      </c>
      <c r="DV166" s="961"/>
      <c r="DW166" s="961"/>
      <c r="DX166" s="961"/>
      <c r="DY166" s="961"/>
      <c r="DZ166" s="961"/>
      <c r="EA166" s="961"/>
      <c r="EB166" s="961"/>
      <c r="EC166" s="962">
        <v>0</v>
      </c>
      <c r="ED166" s="962">
        <v>0</v>
      </c>
      <c r="EE166" s="961"/>
      <c r="EF166" s="962">
        <v>0</v>
      </c>
      <c r="EG166" s="961"/>
      <c r="EH166" s="961"/>
      <c r="EI166" s="964">
        <v>1</v>
      </c>
      <c r="EJ166" s="964">
        <v>4</v>
      </c>
      <c r="EK166" s="964">
        <v>5</v>
      </c>
      <c r="EL166" s="912"/>
      <c r="EM166" s="73"/>
      <c r="EN166" s="965"/>
      <c r="EO166" s="965"/>
      <c r="EP166" s="965"/>
      <c r="EQ166" s="734" t="s">
        <v>1293</v>
      </c>
      <c r="ER166" s="966"/>
      <c r="ES166" s="966"/>
      <c r="ET166" s="966"/>
      <c r="EU166" s="966"/>
      <c r="EV166" s="966"/>
      <c r="EW166" s="966"/>
      <c r="EX166" s="966"/>
      <c r="EY166" s="966"/>
      <c r="EZ166" s="735">
        <v>0</v>
      </c>
      <c r="FA166" s="735">
        <v>0</v>
      </c>
      <c r="FB166" s="735">
        <v>1</v>
      </c>
      <c r="FC166" s="735">
        <v>0</v>
      </c>
      <c r="FD166" s="735">
        <v>0</v>
      </c>
      <c r="FE166" s="735">
        <v>1</v>
      </c>
      <c r="FF166" s="967"/>
      <c r="FG166" s="73"/>
      <c r="FH166" s="73"/>
      <c r="FI166" s="161"/>
      <c r="FJ166" s="161"/>
      <c r="FK166" s="161" t="s">
        <v>105</v>
      </c>
      <c r="FL166" s="73" t="s">
        <v>1284</v>
      </c>
      <c r="FM166" s="73"/>
      <c r="FN166" s="73"/>
      <c r="FO166" s="73">
        <v>1</v>
      </c>
      <c r="FP166" s="73">
        <v>1</v>
      </c>
      <c r="FQ166" s="73"/>
      <c r="FR166" s="73">
        <v>1</v>
      </c>
      <c r="FS166" s="73"/>
      <c r="FT166" s="73"/>
      <c r="FU166" s="73"/>
      <c r="FV166" s="73"/>
      <c r="FW166" s="73">
        <v>1</v>
      </c>
      <c r="FX166" s="73"/>
      <c r="FY166" s="73"/>
      <c r="FZ166" s="73"/>
      <c r="GA166" s="73">
        <v>0</v>
      </c>
      <c r="GB166" s="73">
        <v>0</v>
      </c>
      <c r="GC166" s="73">
        <v>4</v>
      </c>
      <c r="GD166" s="73"/>
      <c r="GE166" s="73"/>
      <c r="GF166" s="968"/>
      <c r="GG166" s="968"/>
      <c r="GH166" s="73"/>
      <c r="GI166" s="73"/>
      <c r="GJ166" s="73"/>
      <c r="GK166" s="73"/>
      <c r="GL166" s="73"/>
      <c r="GM166" s="73"/>
      <c r="GN166" s="73"/>
      <c r="GO166" s="73"/>
      <c r="GP166" s="73"/>
      <c r="GQ166" s="73"/>
      <c r="GR166" s="73"/>
      <c r="GS166" s="73"/>
      <c r="GT166" s="73"/>
      <c r="GU166" s="73"/>
      <c r="GV166" s="73"/>
      <c r="GW166" s="73"/>
      <c r="GX166" s="73"/>
      <c r="GY166" s="73"/>
      <c r="GZ166" s="73"/>
      <c r="HA166" s="73"/>
      <c r="HB166" s="73"/>
    </row>
    <row r="167" spans="1:210">
      <c r="A167" s="73"/>
      <c r="B167" s="73"/>
      <c r="C167" s="738"/>
      <c r="D167" s="738" t="s">
        <v>1288</v>
      </c>
      <c r="E167" s="4694">
        <v>0</v>
      </c>
      <c r="F167" s="4694">
        <v>0</v>
      </c>
      <c r="G167" s="4694">
        <v>0</v>
      </c>
      <c r="H167" s="4694">
        <v>0</v>
      </c>
      <c r="I167" s="4694"/>
      <c r="J167" s="4694">
        <v>0</v>
      </c>
      <c r="K167" s="4694">
        <v>0</v>
      </c>
      <c r="L167" s="4694"/>
      <c r="M167" s="4694"/>
      <c r="N167" s="4694">
        <v>0</v>
      </c>
      <c r="O167" s="4694">
        <v>0</v>
      </c>
      <c r="P167" s="4694">
        <v>1</v>
      </c>
      <c r="Q167" s="4694">
        <v>14</v>
      </c>
      <c r="R167" s="4694">
        <v>27</v>
      </c>
      <c r="S167" s="4694">
        <v>3</v>
      </c>
      <c r="T167" s="738">
        <v>3</v>
      </c>
      <c r="U167" s="738">
        <v>0</v>
      </c>
      <c r="V167" s="738">
        <v>48</v>
      </c>
      <c r="W167" s="73"/>
      <c r="Y167" s="73"/>
      <c r="Z167" s="73"/>
      <c r="AA167" s="73"/>
      <c r="AB167" s="73" t="s">
        <v>1284</v>
      </c>
      <c r="AC167" s="3261"/>
      <c r="AD167" s="3261">
        <v>1</v>
      </c>
      <c r="AE167" s="3261">
        <v>2</v>
      </c>
      <c r="AF167" s="3261"/>
      <c r="AG167" s="3261"/>
      <c r="AH167" s="3261">
        <v>2</v>
      </c>
      <c r="AI167" s="3261"/>
      <c r="AJ167" s="3261">
        <v>0</v>
      </c>
      <c r="AK167" s="3261">
        <v>2</v>
      </c>
      <c r="AL167" s="3261">
        <v>4</v>
      </c>
      <c r="AM167" s="3261">
        <v>4</v>
      </c>
      <c r="AN167" s="3261">
        <v>4</v>
      </c>
      <c r="AO167" s="3261">
        <v>25</v>
      </c>
      <c r="AP167" s="3261">
        <v>9</v>
      </c>
      <c r="AQ167" s="3261">
        <v>1</v>
      </c>
      <c r="AR167" s="161">
        <v>1</v>
      </c>
      <c r="AS167" s="161">
        <v>0</v>
      </c>
      <c r="AT167" s="161">
        <v>55</v>
      </c>
      <c r="AU167" s="73"/>
      <c r="AY167" s="73"/>
      <c r="AZ167" s="73" t="s">
        <v>1293</v>
      </c>
      <c r="BA167" s="2607"/>
      <c r="BB167" s="2607"/>
      <c r="BC167" s="2607">
        <v>0</v>
      </c>
      <c r="BD167" s="2607"/>
      <c r="BE167" s="2607"/>
      <c r="BF167" s="2607"/>
      <c r="BG167" s="2607"/>
      <c r="BH167" s="2607">
        <v>0</v>
      </c>
      <c r="BI167" s="2607"/>
      <c r="BJ167" s="2607">
        <v>0</v>
      </c>
      <c r="BK167" s="2607">
        <v>0</v>
      </c>
      <c r="BL167" s="2607">
        <v>2</v>
      </c>
      <c r="BM167" s="2607">
        <v>1</v>
      </c>
      <c r="BN167" s="2607">
        <v>1</v>
      </c>
      <c r="BO167" s="2607">
        <v>1</v>
      </c>
      <c r="BP167" s="73"/>
      <c r="BQ167" s="73">
        <v>0</v>
      </c>
      <c r="BR167" s="73">
        <v>5</v>
      </c>
      <c r="BS167" s="73"/>
      <c r="BU167" s="2207"/>
      <c r="BV167" s="2207"/>
      <c r="BW167" s="2207"/>
      <c r="BX167" s="2208" t="s">
        <v>1292</v>
      </c>
      <c r="BY167" s="2210">
        <v>0</v>
      </c>
      <c r="BZ167" s="2210">
        <v>0</v>
      </c>
      <c r="CA167" s="2209"/>
      <c r="CB167" s="2210">
        <v>0</v>
      </c>
      <c r="CC167" s="2210">
        <v>0</v>
      </c>
      <c r="CD167" s="2209"/>
      <c r="CE167" s="2210">
        <v>0</v>
      </c>
      <c r="CF167" s="2210">
        <v>0</v>
      </c>
      <c r="CG167" s="2210">
        <v>0</v>
      </c>
      <c r="CH167" s="2210">
        <v>1</v>
      </c>
      <c r="CI167" s="2210">
        <v>1</v>
      </c>
      <c r="CJ167" s="2210">
        <v>3</v>
      </c>
      <c r="CK167" s="2210">
        <v>4</v>
      </c>
      <c r="CL167" s="2212">
        <v>1</v>
      </c>
      <c r="CM167" s="2212">
        <v>2</v>
      </c>
      <c r="CN167" s="2212">
        <v>12</v>
      </c>
      <c r="CO167" s="73"/>
      <c r="CQ167" s="955"/>
      <c r="CR167" s="955"/>
      <c r="CS167" s="955"/>
      <c r="CT167" s="956" t="s">
        <v>1289</v>
      </c>
      <c r="CU167" s="957"/>
      <c r="CV167" s="958">
        <v>0</v>
      </c>
      <c r="CW167" s="958">
        <v>0</v>
      </c>
      <c r="CX167" s="957"/>
      <c r="CY167" s="957"/>
      <c r="CZ167" s="957"/>
      <c r="DA167" s="958">
        <v>1</v>
      </c>
      <c r="DB167" s="957"/>
      <c r="DC167" s="958">
        <v>0</v>
      </c>
      <c r="DD167" s="958">
        <v>0</v>
      </c>
      <c r="DE167" s="958">
        <v>0</v>
      </c>
      <c r="DF167" s="958">
        <v>0</v>
      </c>
      <c r="DG167" s="958">
        <v>0</v>
      </c>
      <c r="DH167" s="958">
        <v>0</v>
      </c>
      <c r="DI167" s="958">
        <v>0</v>
      </c>
      <c r="DJ167" s="960">
        <v>0</v>
      </c>
      <c r="DK167" s="960">
        <v>0</v>
      </c>
      <c r="DL167" s="960">
        <v>1</v>
      </c>
      <c r="DM167" s="161"/>
      <c r="DO167" s="788"/>
      <c r="DP167" s="788"/>
      <c r="DQ167" s="788"/>
      <c r="DR167" s="788"/>
      <c r="DS167" s="789" t="s">
        <v>1398</v>
      </c>
      <c r="DT167" s="961"/>
      <c r="DU167" s="962">
        <v>0</v>
      </c>
      <c r="DV167" s="961"/>
      <c r="DW167" s="961"/>
      <c r="DX167" s="961"/>
      <c r="DY167" s="961"/>
      <c r="DZ167" s="961"/>
      <c r="EA167" s="961"/>
      <c r="EB167" s="961"/>
      <c r="EC167" s="962">
        <v>0</v>
      </c>
      <c r="ED167" s="962">
        <v>0</v>
      </c>
      <c r="EE167" s="961"/>
      <c r="EF167" s="962">
        <v>1</v>
      </c>
      <c r="EG167" s="961"/>
      <c r="EH167" s="961"/>
      <c r="EI167" s="964">
        <v>0</v>
      </c>
      <c r="EJ167" s="964">
        <v>0</v>
      </c>
      <c r="EK167" s="964">
        <v>1</v>
      </c>
      <c r="EL167" s="912"/>
      <c r="EM167" s="73"/>
      <c r="EN167" s="965"/>
      <c r="EO167" s="965"/>
      <c r="EP167" s="965"/>
      <c r="EQ167" s="734" t="s">
        <v>1398</v>
      </c>
      <c r="ER167" s="966"/>
      <c r="ES167" s="966"/>
      <c r="ET167" s="966"/>
      <c r="EU167" s="966"/>
      <c r="EV167" s="966"/>
      <c r="EW167" s="966"/>
      <c r="EX167" s="966"/>
      <c r="EY167" s="966"/>
      <c r="EZ167" s="735">
        <v>2</v>
      </c>
      <c r="FA167" s="735">
        <v>0</v>
      </c>
      <c r="FB167" s="735">
        <v>0</v>
      </c>
      <c r="FC167" s="735">
        <v>0</v>
      </c>
      <c r="FD167" s="735">
        <v>0</v>
      </c>
      <c r="FE167" s="735">
        <v>2</v>
      </c>
      <c r="FF167" s="967"/>
      <c r="FG167" s="73"/>
      <c r="FH167" s="73"/>
      <c r="FI167" s="161"/>
      <c r="FJ167" s="161"/>
      <c r="FK167" s="161"/>
      <c r="FL167" s="73" t="s">
        <v>1292</v>
      </c>
      <c r="FM167" s="73"/>
      <c r="FN167" s="73"/>
      <c r="FO167" s="73">
        <v>0</v>
      </c>
      <c r="FP167" s="73">
        <v>0</v>
      </c>
      <c r="FQ167" s="73"/>
      <c r="FR167" s="73">
        <v>0</v>
      </c>
      <c r="FS167" s="73"/>
      <c r="FT167" s="73"/>
      <c r="FU167" s="73"/>
      <c r="FV167" s="73"/>
      <c r="FW167" s="73">
        <v>0</v>
      </c>
      <c r="FX167" s="73"/>
      <c r="FY167" s="73"/>
      <c r="FZ167" s="73"/>
      <c r="GA167" s="73">
        <v>1</v>
      </c>
      <c r="GB167" s="73">
        <v>1</v>
      </c>
      <c r="GC167" s="73">
        <v>2</v>
      </c>
      <c r="GD167" s="73"/>
      <c r="GE167" s="73"/>
      <c r="GF167" s="968"/>
      <c r="GG167" s="968"/>
      <c r="GH167" s="73"/>
      <c r="GI167" s="73"/>
      <c r="GJ167" s="73"/>
      <c r="GK167" s="73"/>
      <c r="GL167" s="73"/>
      <c r="GM167" s="73"/>
      <c r="GN167" s="73"/>
      <c r="GO167" s="73"/>
      <c r="GP167" s="73"/>
      <c r="GQ167" s="73"/>
      <c r="GR167" s="73"/>
      <c r="GS167" s="73"/>
      <c r="GT167" s="73"/>
      <c r="GU167" s="73"/>
      <c r="GV167" s="73"/>
      <c r="GW167" s="73"/>
      <c r="GX167" s="73"/>
      <c r="GY167" s="73"/>
      <c r="GZ167" s="73"/>
      <c r="HA167" s="73"/>
      <c r="HB167" s="73"/>
    </row>
    <row r="168" spans="1:210" ht="15.75" thickBot="1">
      <c r="A168" s="73"/>
      <c r="B168" s="73"/>
      <c r="C168" s="738"/>
      <c r="D168" s="738" t="s">
        <v>1289</v>
      </c>
      <c r="E168" s="4694">
        <v>0</v>
      </c>
      <c r="F168" s="4694">
        <v>1</v>
      </c>
      <c r="G168" s="4694">
        <v>0</v>
      </c>
      <c r="H168" s="4694">
        <v>1</v>
      </c>
      <c r="I168" s="4694"/>
      <c r="J168" s="4694">
        <v>0</v>
      </c>
      <c r="K168" s="4694">
        <v>0</v>
      </c>
      <c r="L168" s="4694"/>
      <c r="M168" s="4694"/>
      <c r="N168" s="4694">
        <v>0</v>
      </c>
      <c r="O168" s="4694">
        <v>1</v>
      </c>
      <c r="P168" s="4694">
        <v>0</v>
      </c>
      <c r="Q168" s="4694">
        <v>0</v>
      </c>
      <c r="R168" s="4694">
        <v>0</v>
      </c>
      <c r="S168" s="4694">
        <v>0</v>
      </c>
      <c r="T168" s="738">
        <v>0</v>
      </c>
      <c r="U168" s="738">
        <v>0</v>
      </c>
      <c r="V168" s="738">
        <v>3</v>
      </c>
      <c r="W168" s="73"/>
      <c r="Y168" s="73"/>
      <c r="Z168" s="73"/>
      <c r="AA168" s="73"/>
      <c r="AB168" s="73" t="s">
        <v>1288</v>
      </c>
      <c r="AC168" s="3261"/>
      <c r="AD168" s="3261">
        <v>0</v>
      </c>
      <c r="AE168" s="3261">
        <v>0</v>
      </c>
      <c r="AF168" s="3261"/>
      <c r="AG168" s="3261"/>
      <c r="AH168" s="3261">
        <v>0</v>
      </c>
      <c r="AI168" s="3261"/>
      <c r="AJ168" s="3261">
        <v>0</v>
      </c>
      <c r="AK168" s="3261">
        <v>0</v>
      </c>
      <c r="AL168" s="3261">
        <v>0</v>
      </c>
      <c r="AM168" s="3261">
        <v>0</v>
      </c>
      <c r="AN168" s="3261">
        <v>0</v>
      </c>
      <c r="AO168" s="3261">
        <v>6</v>
      </c>
      <c r="AP168" s="3261">
        <v>2</v>
      </c>
      <c r="AQ168" s="3261">
        <v>0</v>
      </c>
      <c r="AR168" s="161">
        <v>0</v>
      </c>
      <c r="AS168" s="161">
        <v>0</v>
      </c>
      <c r="AT168" s="161">
        <v>8</v>
      </c>
      <c r="AU168" s="73"/>
      <c r="AY168" s="73"/>
      <c r="AZ168" s="73" t="s">
        <v>1398</v>
      </c>
      <c r="BA168" s="2607"/>
      <c r="BB168" s="2607"/>
      <c r="BC168" s="2607">
        <v>0</v>
      </c>
      <c r="BD168" s="2607"/>
      <c r="BE168" s="2607"/>
      <c r="BF168" s="2607"/>
      <c r="BG168" s="2607"/>
      <c r="BH168" s="2607">
        <v>0</v>
      </c>
      <c r="BI168" s="2607"/>
      <c r="BJ168" s="2607">
        <v>1</v>
      </c>
      <c r="BK168" s="2607">
        <v>1</v>
      </c>
      <c r="BL168" s="2607">
        <v>0</v>
      </c>
      <c r="BM168" s="2607">
        <v>0</v>
      </c>
      <c r="BN168" s="2607">
        <v>2</v>
      </c>
      <c r="BO168" s="2607">
        <v>0</v>
      </c>
      <c r="BP168" s="73"/>
      <c r="BQ168" s="73">
        <v>0</v>
      </c>
      <c r="BR168" s="73">
        <v>4</v>
      </c>
      <c r="BS168" s="73"/>
      <c r="BU168" s="2207"/>
      <c r="BV168" s="2207"/>
      <c r="BW168" s="2207"/>
      <c r="BX168" s="2208" t="s">
        <v>1293</v>
      </c>
      <c r="BY168" s="2210">
        <v>0</v>
      </c>
      <c r="BZ168" s="2210">
        <v>0</v>
      </c>
      <c r="CA168" s="2209"/>
      <c r="CB168" s="2210">
        <v>0</v>
      </c>
      <c r="CC168" s="2210">
        <v>0</v>
      </c>
      <c r="CD168" s="2209"/>
      <c r="CE168" s="2210">
        <v>0</v>
      </c>
      <c r="CF168" s="2210">
        <v>1</v>
      </c>
      <c r="CG168" s="2210">
        <v>0</v>
      </c>
      <c r="CH168" s="2210">
        <v>2</v>
      </c>
      <c r="CI168" s="2210">
        <v>4</v>
      </c>
      <c r="CJ168" s="2210">
        <v>1</v>
      </c>
      <c r="CK168" s="2210">
        <v>0</v>
      </c>
      <c r="CL168" s="2212">
        <v>1</v>
      </c>
      <c r="CM168" s="2212">
        <v>0</v>
      </c>
      <c r="CN168" s="2212">
        <v>9</v>
      </c>
      <c r="CO168" s="73"/>
      <c r="CQ168" s="955"/>
      <c r="CR168" s="955"/>
      <c r="CS168" s="955"/>
      <c r="CT168" s="956" t="s">
        <v>1292</v>
      </c>
      <c r="CU168" s="957"/>
      <c r="CV168" s="958">
        <v>0</v>
      </c>
      <c r="CW168" s="958">
        <v>0</v>
      </c>
      <c r="CX168" s="957"/>
      <c r="CY168" s="957"/>
      <c r="CZ168" s="957"/>
      <c r="DA168" s="958">
        <v>0</v>
      </c>
      <c r="DB168" s="957"/>
      <c r="DC168" s="958">
        <v>0</v>
      </c>
      <c r="DD168" s="958">
        <v>0</v>
      </c>
      <c r="DE168" s="958">
        <v>0</v>
      </c>
      <c r="DF168" s="958">
        <v>0</v>
      </c>
      <c r="DG168" s="958">
        <v>0</v>
      </c>
      <c r="DH168" s="958">
        <v>0</v>
      </c>
      <c r="DI168" s="958">
        <v>0</v>
      </c>
      <c r="DJ168" s="960">
        <v>0</v>
      </c>
      <c r="DK168" s="960">
        <v>1</v>
      </c>
      <c r="DL168" s="960">
        <v>1</v>
      </c>
      <c r="DM168" s="161"/>
      <c r="DO168" s="788"/>
      <c r="DP168" s="788"/>
      <c r="DQ168" s="788"/>
      <c r="DR168" s="73"/>
      <c r="DS168" s="809" t="s">
        <v>15</v>
      </c>
      <c r="DT168" s="970"/>
      <c r="DU168" s="971">
        <v>1</v>
      </c>
      <c r="DV168" s="970"/>
      <c r="DW168" s="970"/>
      <c r="DX168" s="970"/>
      <c r="DY168" s="970"/>
      <c r="DZ168" s="970"/>
      <c r="EA168" s="970"/>
      <c r="EB168" s="970"/>
      <c r="EC168" s="971">
        <v>2</v>
      </c>
      <c r="ED168" s="971">
        <v>1</v>
      </c>
      <c r="EE168" s="970"/>
      <c r="EF168" s="971">
        <v>1</v>
      </c>
      <c r="EG168" s="970"/>
      <c r="EH168" s="970"/>
      <c r="EI168" s="973">
        <v>1</v>
      </c>
      <c r="EJ168" s="973">
        <v>4</v>
      </c>
      <c r="EK168" s="973">
        <v>10</v>
      </c>
      <c r="EL168" s="912">
        <f>+EK167/EK168</f>
        <v>0.1</v>
      </c>
      <c r="EM168" s="73"/>
      <c r="EN168" s="989"/>
      <c r="EO168" s="989"/>
      <c r="EP168" s="989"/>
      <c r="EQ168" s="990" t="s">
        <v>888</v>
      </c>
      <c r="ER168" s="991"/>
      <c r="ES168" s="991"/>
      <c r="ET168" s="991"/>
      <c r="EU168" s="991"/>
      <c r="EV168" s="991"/>
      <c r="EW168" s="991"/>
      <c r="EX168" s="991"/>
      <c r="EY168" s="991"/>
      <c r="EZ168" s="744">
        <v>2</v>
      </c>
      <c r="FA168" s="744">
        <v>1</v>
      </c>
      <c r="FB168" s="744">
        <v>3</v>
      </c>
      <c r="FC168" s="744">
        <v>1</v>
      </c>
      <c r="FD168" s="744">
        <v>4</v>
      </c>
      <c r="FE168" s="744">
        <v>11</v>
      </c>
      <c r="FF168" s="919">
        <f>+(FE167+FE166+FE164-FC164)/FE168</f>
        <v>0.27272727272727271</v>
      </c>
      <c r="FG168" s="73"/>
      <c r="FH168" s="73"/>
      <c r="FI168" s="741"/>
      <c r="FJ168" s="741"/>
      <c r="FK168" s="741"/>
      <c r="FL168" s="742" t="s">
        <v>15</v>
      </c>
      <c r="FM168" s="742"/>
      <c r="FN168" s="742"/>
      <c r="FO168" s="742">
        <v>1</v>
      </c>
      <c r="FP168" s="742">
        <v>1</v>
      </c>
      <c r="FQ168" s="742"/>
      <c r="FR168" s="742">
        <v>1</v>
      </c>
      <c r="FS168" s="742"/>
      <c r="FT168" s="742"/>
      <c r="FU168" s="742"/>
      <c r="FV168" s="742"/>
      <c r="FW168" s="742">
        <v>1</v>
      </c>
      <c r="FX168" s="742"/>
      <c r="FY168" s="742"/>
      <c r="FZ168" s="742"/>
      <c r="GA168" s="742">
        <v>1</v>
      </c>
      <c r="GB168" s="742">
        <v>1</v>
      </c>
      <c r="GC168" s="742">
        <v>6</v>
      </c>
      <c r="GD168" s="992">
        <v>0</v>
      </c>
      <c r="GE168" s="73"/>
      <c r="GF168" s="968"/>
      <c r="GG168" s="968"/>
      <c r="GH168" s="73"/>
      <c r="GI168" s="73"/>
      <c r="GJ168" s="73"/>
      <c r="GK168" s="73"/>
      <c r="GL168" s="73"/>
      <c r="GM168" s="73"/>
      <c r="GN168" s="73"/>
      <c r="GO168" s="73"/>
      <c r="GP168" s="73"/>
      <c r="GQ168" s="73"/>
      <c r="GR168" s="73"/>
      <c r="GS168" s="73"/>
      <c r="GT168" s="73"/>
      <c r="GU168" s="73"/>
      <c r="GV168" s="73"/>
      <c r="GW168" s="73"/>
      <c r="GX168" s="73"/>
      <c r="GY168" s="73"/>
      <c r="GZ168" s="73"/>
      <c r="HA168" s="73"/>
      <c r="HB168" s="73"/>
    </row>
    <row r="169" spans="1:210">
      <c r="A169" s="73"/>
      <c r="B169" s="73"/>
      <c r="C169" s="738"/>
      <c r="D169" s="738" t="s">
        <v>1292</v>
      </c>
      <c r="E169" s="4694">
        <v>0</v>
      </c>
      <c r="F169" s="4694">
        <v>0</v>
      </c>
      <c r="G169" s="4694">
        <v>0</v>
      </c>
      <c r="H169" s="4694">
        <v>0</v>
      </c>
      <c r="I169" s="4694"/>
      <c r="J169" s="4694">
        <v>0</v>
      </c>
      <c r="K169" s="4694">
        <v>0</v>
      </c>
      <c r="L169" s="4694"/>
      <c r="M169" s="4694"/>
      <c r="N169" s="4694">
        <v>0</v>
      </c>
      <c r="O169" s="4694">
        <v>0</v>
      </c>
      <c r="P169" s="4694">
        <v>0</v>
      </c>
      <c r="Q169" s="4694">
        <v>0</v>
      </c>
      <c r="R169" s="4694">
        <v>10</v>
      </c>
      <c r="S169" s="4694">
        <v>58</v>
      </c>
      <c r="T169" s="738">
        <v>9</v>
      </c>
      <c r="U169" s="738">
        <v>12</v>
      </c>
      <c r="V169" s="738">
        <v>89</v>
      </c>
      <c r="W169" s="73"/>
      <c r="Y169" s="73"/>
      <c r="Z169" s="73"/>
      <c r="AA169" s="73"/>
      <c r="AB169" s="73" t="s">
        <v>1289</v>
      </c>
      <c r="AC169" s="3261"/>
      <c r="AD169" s="3261">
        <v>0</v>
      </c>
      <c r="AE169" s="3261">
        <v>0</v>
      </c>
      <c r="AF169" s="3261"/>
      <c r="AG169" s="3261"/>
      <c r="AH169" s="3261">
        <v>0</v>
      </c>
      <c r="AI169" s="3261"/>
      <c r="AJ169" s="3261">
        <v>0</v>
      </c>
      <c r="AK169" s="3261">
        <v>0</v>
      </c>
      <c r="AL169" s="3261">
        <v>1</v>
      </c>
      <c r="AM169" s="3261">
        <v>0</v>
      </c>
      <c r="AN169" s="3261">
        <v>0</v>
      </c>
      <c r="AO169" s="3261">
        <v>0</v>
      </c>
      <c r="AP169" s="3261">
        <v>0</v>
      </c>
      <c r="AQ169" s="3261">
        <v>0</v>
      </c>
      <c r="AR169" s="161">
        <v>0</v>
      </c>
      <c r="AS169" s="161">
        <v>0</v>
      </c>
      <c r="AT169" s="161">
        <v>1</v>
      </c>
      <c r="AU169" s="73"/>
      <c r="AY169" s="73"/>
      <c r="AZ169" s="738" t="s">
        <v>461</v>
      </c>
      <c r="BA169" s="2608"/>
      <c r="BB169" s="2608"/>
      <c r="BC169" s="2608">
        <v>1</v>
      </c>
      <c r="BD169" s="2608"/>
      <c r="BE169" s="2608"/>
      <c r="BF169" s="2608"/>
      <c r="BG169" s="2608"/>
      <c r="BH169" s="2608">
        <v>1</v>
      </c>
      <c r="BI169" s="2608"/>
      <c r="BJ169" s="2608">
        <v>6</v>
      </c>
      <c r="BK169" s="2608">
        <v>3</v>
      </c>
      <c r="BL169" s="2608">
        <v>2</v>
      </c>
      <c r="BM169" s="2608">
        <v>9</v>
      </c>
      <c r="BN169" s="2608">
        <v>5</v>
      </c>
      <c r="BO169" s="2608">
        <v>7</v>
      </c>
      <c r="BP169" s="738"/>
      <c r="BQ169" s="738">
        <v>3</v>
      </c>
      <c r="BR169" s="738">
        <v>37</v>
      </c>
      <c r="BS169" s="912">
        <f>+(BR165+BR167+BR168)/BR169</f>
        <v>0.27027027027027029</v>
      </c>
      <c r="BU169" s="2207"/>
      <c r="BV169" s="2207"/>
      <c r="BW169" s="2207"/>
      <c r="BX169" s="2208" t="s">
        <v>1398</v>
      </c>
      <c r="BY169" s="2210">
        <v>0</v>
      </c>
      <c r="BZ169" s="2210">
        <v>0</v>
      </c>
      <c r="CA169" s="2209"/>
      <c r="CB169" s="2210">
        <v>0</v>
      </c>
      <c r="CC169" s="2210">
        <v>0</v>
      </c>
      <c r="CD169" s="2209"/>
      <c r="CE169" s="2210">
        <v>0</v>
      </c>
      <c r="CF169" s="2210">
        <v>2</v>
      </c>
      <c r="CG169" s="2210">
        <v>0</v>
      </c>
      <c r="CH169" s="2210">
        <v>1</v>
      </c>
      <c r="CI169" s="2210">
        <v>6</v>
      </c>
      <c r="CJ169" s="2210">
        <v>5</v>
      </c>
      <c r="CK169" s="2210">
        <v>0</v>
      </c>
      <c r="CL169" s="2212">
        <v>0</v>
      </c>
      <c r="CM169" s="2212">
        <v>0</v>
      </c>
      <c r="CN169" s="2212">
        <v>14</v>
      </c>
      <c r="CO169" s="73"/>
      <c r="CQ169" s="955"/>
      <c r="CR169" s="955"/>
      <c r="CS169" s="955"/>
      <c r="CT169" s="956" t="s">
        <v>1398</v>
      </c>
      <c r="CU169" s="957"/>
      <c r="CV169" s="958">
        <v>0</v>
      </c>
      <c r="CW169" s="958">
        <v>0</v>
      </c>
      <c r="CX169" s="957"/>
      <c r="CY169" s="957"/>
      <c r="CZ169" s="957"/>
      <c r="DA169" s="958">
        <v>0</v>
      </c>
      <c r="DB169" s="957"/>
      <c r="DC169" s="958">
        <v>0</v>
      </c>
      <c r="DD169" s="958">
        <v>4</v>
      </c>
      <c r="DE169" s="958">
        <v>4</v>
      </c>
      <c r="DF169" s="958">
        <v>1</v>
      </c>
      <c r="DG169" s="958">
        <v>1</v>
      </c>
      <c r="DH169" s="958">
        <v>0</v>
      </c>
      <c r="DI169" s="958">
        <v>0</v>
      </c>
      <c r="DJ169" s="960">
        <v>0</v>
      </c>
      <c r="DK169" s="960">
        <v>0</v>
      </c>
      <c r="DL169" s="960">
        <v>10</v>
      </c>
      <c r="DM169" s="161"/>
      <c r="DO169" s="788"/>
      <c r="DP169" s="788"/>
      <c r="DQ169" s="809" t="s">
        <v>888</v>
      </c>
      <c r="DR169" s="788" t="s">
        <v>1282</v>
      </c>
      <c r="DS169" s="789" t="s">
        <v>1284</v>
      </c>
      <c r="DT169" s="961"/>
      <c r="DU169" s="962">
        <v>1</v>
      </c>
      <c r="DV169" s="961"/>
      <c r="DW169" s="961"/>
      <c r="DX169" s="961"/>
      <c r="DY169" s="961"/>
      <c r="DZ169" s="961"/>
      <c r="EA169" s="961"/>
      <c r="EB169" s="961"/>
      <c r="EC169" s="962">
        <v>2</v>
      </c>
      <c r="ED169" s="962">
        <v>1</v>
      </c>
      <c r="EE169" s="961"/>
      <c r="EF169" s="962">
        <v>0</v>
      </c>
      <c r="EG169" s="961"/>
      <c r="EH169" s="961"/>
      <c r="EI169" s="964">
        <v>0</v>
      </c>
      <c r="EJ169" s="964">
        <v>0</v>
      </c>
      <c r="EK169" s="964">
        <v>4</v>
      </c>
      <c r="EL169" s="912"/>
      <c r="EM169" s="73"/>
      <c r="EN169" s="965"/>
      <c r="EO169" s="965"/>
      <c r="EP169" s="965"/>
      <c r="EQ169" s="981"/>
      <c r="ER169" s="982"/>
      <c r="ES169" s="982"/>
      <c r="ET169" s="982"/>
      <c r="EU169" s="740"/>
      <c r="EV169" s="740"/>
      <c r="EW169" s="740"/>
      <c r="EX169" s="740"/>
      <c r="EY169" s="740"/>
      <c r="EZ169" s="740"/>
      <c r="FA169" s="740"/>
      <c r="FB169" s="740"/>
      <c r="FC169" s="740"/>
      <c r="FD169" s="740"/>
      <c r="FE169" s="740"/>
      <c r="FF169" s="73"/>
      <c r="FG169" s="73"/>
      <c r="FH169" s="73"/>
      <c r="FI169" s="161"/>
      <c r="FJ169" s="161"/>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968"/>
      <c r="GG169" s="968"/>
      <c r="GH169" s="73"/>
      <c r="GI169" s="73"/>
      <c r="GJ169" s="73"/>
      <c r="GK169" s="73"/>
      <c r="GL169" s="73"/>
      <c r="GM169" s="73"/>
      <c r="GN169" s="73"/>
      <c r="GO169" s="73"/>
      <c r="GP169" s="73"/>
      <c r="GQ169" s="73"/>
      <c r="GR169" s="73"/>
      <c r="GS169" s="73"/>
      <c r="GT169" s="73"/>
      <c r="GU169" s="73"/>
      <c r="GV169" s="73"/>
      <c r="GW169" s="73"/>
      <c r="GX169" s="73"/>
      <c r="GY169" s="73"/>
      <c r="GZ169" s="73"/>
      <c r="HA169" s="73"/>
      <c r="HB169" s="73"/>
    </row>
    <row r="170" spans="1:210">
      <c r="A170" s="73"/>
      <c r="B170" s="73"/>
      <c r="C170" s="738"/>
      <c r="D170" s="738" t="s">
        <v>1293</v>
      </c>
      <c r="E170" s="4694">
        <v>0</v>
      </c>
      <c r="F170" s="4694">
        <v>0</v>
      </c>
      <c r="G170" s="4694">
        <v>0</v>
      </c>
      <c r="H170" s="4694">
        <v>0</v>
      </c>
      <c r="I170" s="4694"/>
      <c r="J170" s="4694">
        <v>0</v>
      </c>
      <c r="K170" s="4694">
        <v>0</v>
      </c>
      <c r="L170" s="4694"/>
      <c r="M170" s="4694"/>
      <c r="N170" s="4694">
        <v>0</v>
      </c>
      <c r="O170" s="4694">
        <v>0</v>
      </c>
      <c r="P170" s="4694">
        <v>0</v>
      </c>
      <c r="Q170" s="4694">
        <v>1</v>
      </c>
      <c r="R170" s="4694">
        <v>0</v>
      </c>
      <c r="S170" s="4694">
        <v>0</v>
      </c>
      <c r="T170" s="738">
        <v>0</v>
      </c>
      <c r="U170" s="738">
        <v>0</v>
      </c>
      <c r="V170" s="738">
        <v>1</v>
      </c>
      <c r="W170" s="73"/>
      <c r="Y170" s="73"/>
      <c r="Z170" s="73"/>
      <c r="AA170" s="73"/>
      <c r="AB170" s="73" t="s">
        <v>1292</v>
      </c>
      <c r="AC170" s="3261"/>
      <c r="AD170" s="3261">
        <v>0</v>
      </c>
      <c r="AE170" s="3261">
        <v>0</v>
      </c>
      <c r="AF170" s="3261"/>
      <c r="AG170" s="3261"/>
      <c r="AH170" s="3261">
        <v>0</v>
      </c>
      <c r="AI170" s="3261"/>
      <c r="AJ170" s="3261">
        <v>0</v>
      </c>
      <c r="AK170" s="3261">
        <v>0</v>
      </c>
      <c r="AL170" s="3261">
        <v>0</v>
      </c>
      <c r="AM170" s="3261">
        <v>0</v>
      </c>
      <c r="AN170" s="3261">
        <v>0</v>
      </c>
      <c r="AO170" s="3261">
        <v>0</v>
      </c>
      <c r="AP170" s="3261">
        <v>0</v>
      </c>
      <c r="AQ170" s="3261">
        <v>3</v>
      </c>
      <c r="AR170" s="161">
        <v>0</v>
      </c>
      <c r="AS170" s="161">
        <v>10</v>
      </c>
      <c r="AT170" s="161">
        <v>13</v>
      </c>
      <c r="AU170" s="73"/>
      <c r="AW170" s="161" t="s">
        <v>59</v>
      </c>
      <c r="AX170" s="161" t="s">
        <v>16</v>
      </c>
      <c r="AY170" s="73" t="s">
        <v>709</v>
      </c>
      <c r="AZ170" s="73" t="s">
        <v>1284</v>
      </c>
      <c r="BA170" s="2607"/>
      <c r="BB170" s="2607">
        <v>0</v>
      </c>
      <c r="BC170" s="2607"/>
      <c r="BD170" s="2607"/>
      <c r="BE170" s="2607">
        <v>0</v>
      </c>
      <c r="BF170" s="2607"/>
      <c r="BG170" s="2607"/>
      <c r="BH170" s="2607"/>
      <c r="BI170" s="2607"/>
      <c r="BJ170" s="2607">
        <v>3</v>
      </c>
      <c r="BK170" s="2607">
        <v>1</v>
      </c>
      <c r="BL170" s="2607"/>
      <c r="BM170" s="2607"/>
      <c r="BN170" s="2607"/>
      <c r="BO170" s="2607"/>
      <c r="BP170" s="73"/>
      <c r="BQ170" s="73">
        <v>0</v>
      </c>
      <c r="BR170" s="73">
        <v>4</v>
      </c>
      <c r="BS170" s="73"/>
      <c r="BU170" s="2207"/>
      <c r="BV170" s="2207"/>
      <c r="BW170" s="2207"/>
      <c r="BX170" s="2204" t="s">
        <v>461</v>
      </c>
      <c r="BY170" s="2214">
        <v>1</v>
      </c>
      <c r="BZ170" s="2214">
        <v>3</v>
      </c>
      <c r="CA170" s="2213"/>
      <c r="CB170" s="2214">
        <v>1</v>
      </c>
      <c r="CC170" s="2214">
        <v>2</v>
      </c>
      <c r="CD170" s="2213"/>
      <c r="CE170" s="2214">
        <v>2</v>
      </c>
      <c r="CF170" s="2214">
        <v>4</v>
      </c>
      <c r="CG170" s="2214">
        <v>3</v>
      </c>
      <c r="CH170" s="2214">
        <v>12</v>
      </c>
      <c r="CI170" s="2214">
        <v>42</v>
      </c>
      <c r="CJ170" s="2214">
        <v>15</v>
      </c>
      <c r="CK170" s="2214">
        <v>7</v>
      </c>
      <c r="CL170" s="2216">
        <v>2</v>
      </c>
      <c r="CM170" s="2216">
        <v>3</v>
      </c>
      <c r="CN170" s="2216">
        <v>97</v>
      </c>
      <c r="CO170" s="2154">
        <f>+(CN166+CN168-CL168+CN169)/CN170</f>
        <v>0.31958762886597936</v>
      </c>
      <c r="CQ170" s="955"/>
      <c r="CR170" s="955"/>
      <c r="CS170" s="955"/>
      <c r="CT170" s="974" t="s">
        <v>461</v>
      </c>
      <c r="CU170" s="975"/>
      <c r="CV170" s="976">
        <v>1</v>
      </c>
      <c r="CW170" s="976">
        <v>1</v>
      </c>
      <c r="CX170" s="975"/>
      <c r="CY170" s="975"/>
      <c r="CZ170" s="975"/>
      <c r="DA170" s="976">
        <v>1</v>
      </c>
      <c r="DB170" s="975"/>
      <c r="DC170" s="976">
        <v>2</v>
      </c>
      <c r="DD170" s="976">
        <v>9</v>
      </c>
      <c r="DE170" s="976">
        <v>9</v>
      </c>
      <c r="DF170" s="976">
        <v>2</v>
      </c>
      <c r="DG170" s="976">
        <v>3</v>
      </c>
      <c r="DH170" s="976">
        <v>3</v>
      </c>
      <c r="DI170" s="976">
        <v>1</v>
      </c>
      <c r="DJ170" s="978">
        <v>2</v>
      </c>
      <c r="DK170" s="978">
        <v>1</v>
      </c>
      <c r="DL170" s="978">
        <v>35</v>
      </c>
      <c r="DM170" s="912">
        <f>+(DL166+DL169)/DL170</f>
        <v>0.37142857142857144</v>
      </c>
      <c r="DO170" s="788"/>
      <c r="DP170" s="788"/>
      <c r="DQ170" s="788"/>
      <c r="DR170" s="788"/>
      <c r="DS170" s="789" t="s">
        <v>1292</v>
      </c>
      <c r="DT170" s="961"/>
      <c r="DU170" s="962">
        <v>0</v>
      </c>
      <c r="DV170" s="961"/>
      <c r="DW170" s="961"/>
      <c r="DX170" s="961"/>
      <c r="DY170" s="961"/>
      <c r="DZ170" s="961"/>
      <c r="EA170" s="961"/>
      <c r="EB170" s="961"/>
      <c r="EC170" s="962">
        <v>0</v>
      </c>
      <c r="ED170" s="962">
        <v>0</v>
      </c>
      <c r="EE170" s="961"/>
      <c r="EF170" s="962">
        <v>0</v>
      </c>
      <c r="EG170" s="961"/>
      <c r="EH170" s="961"/>
      <c r="EI170" s="964">
        <v>1</v>
      </c>
      <c r="EJ170" s="964">
        <v>4</v>
      </c>
      <c r="EK170" s="964">
        <v>5</v>
      </c>
      <c r="EL170" s="912"/>
      <c r="EM170" s="73"/>
      <c r="EN170" s="965"/>
      <c r="EO170" s="965"/>
      <c r="EP170" s="965"/>
      <c r="EQ170" s="981"/>
      <c r="ER170" s="982"/>
      <c r="ES170" s="982"/>
      <c r="ET170" s="982"/>
      <c r="EU170" s="740"/>
      <c r="EV170" s="740"/>
      <c r="EW170" s="740"/>
      <c r="EX170" s="740"/>
      <c r="EY170" s="740"/>
      <c r="EZ170" s="740"/>
      <c r="FA170" s="740"/>
      <c r="FB170" s="740"/>
      <c r="FC170" s="740"/>
      <c r="FD170" s="740"/>
      <c r="FE170" s="740"/>
      <c r="FF170" s="73"/>
      <c r="FG170" s="73"/>
      <c r="FH170" s="73"/>
      <c r="FI170" s="161"/>
      <c r="FJ170" s="161"/>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968"/>
      <c r="GG170" s="968"/>
      <c r="GH170" s="73"/>
      <c r="GI170" s="73"/>
      <c r="GJ170" s="73"/>
      <c r="GK170" s="73"/>
      <c r="GL170" s="73"/>
      <c r="GM170" s="73"/>
      <c r="GN170" s="73"/>
      <c r="GO170" s="73"/>
      <c r="GP170" s="73"/>
      <c r="GQ170" s="73"/>
      <c r="GR170" s="73"/>
      <c r="GS170" s="73"/>
      <c r="GT170" s="73"/>
      <c r="GU170" s="73"/>
      <c r="GV170" s="73"/>
      <c r="GW170" s="73"/>
      <c r="GX170" s="73"/>
      <c r="GY170" s="73"/>
      <c r="GZ170" s="73"/>
      <c r="HA170" s="73"/>
      <c r="HB170" s="73"/>
    </row>
    <row r="171" spans="1:210">
      <c r="A171" s="73"/>
      <c r="B171" s="73"/>
      <c r="C171" s="738"/>
      <c r="D171" s="738" t="s">
        <v>1398</v>
      </c>
      <c r="E171" s="4694">
        <v>0</v>
      </c>
      <c r="F171" s="4694">
        <v>0</v>
      </c>
      <c r="G171" s="4694">
        <v>0</v>
      </c>
      <c r="H171" s="4694">
        <v>0</v>
      </c>
      <c r="I171" s="4694"/>
      <c r="J171" s="4694">
        <v>0</v>
      </c>
      <c r="K171" s="4694">
        <v>0</v>
      </c>
      <c r="L171" s="4694"/>
      <c r="M171" s="4694"/>
      <c r="N171" s="4694">
        <v>0</v>
      </c>
      <c r="O171" s="4694">
        <v>1</v>
      </c>
      <c r="P171" s="4694">
        <v>2</v>
      </c>
      <c r="Q171" s="4694">
        <v>10</v>
      </c>
      <c r="R171" s="4694">
        <v>7</v>
      </c>
      <c r="S171" s="4694">
        <v>2</v>
      </c>
      <c r="T171" s="738">
        <v>0</v>
      </c>
      <c r="U171" s="738">
        <v>0</v>
      </c>
      <c r="V171" s="738">
        <v>22</v>
      </c>
      <c r="W171" s="73"/>
      <c r="Y171" s="73"/>
      <c r="Z171" s="73"/>
      <c r="AA171" s="73"/>
      <c r="AB171" s="73" t="s">
        <v>1293</v>
      </c>
      <c r="AC171" s="3261"/>
      <c r="AD171" s="3261">
        <v>0</v>
      </c>
      <c r="AE171" s="3261">
        <v>0</v>
      </c>
      <c r="AF171" s="3261"/>
      <c r="AG171" s="3261"/>
      <c r="AH171" s="3261">
        <v>0</v>
      </c>
      <c r="AI171" s="3261"/>
      <c r="AJ171" s="3261">
        <v>0</v>
      </c>
      <c r="AK171" s="3261">
        <v>0</v>
      </c>
      <c r="AL171" s="3261">
        <v>1</v>
      </c>
      <c r="AM171" s="3261">
        <v>0</v>
      </c>
      <c r="AN171" s="3261">
        <v>0</v>
      </c>
      <c r="AO171" s="3261">
        <v>6</v>
      </c>
      <c r="AP171" s="3261">
        <v>0</v>
      </c>
      <c r="AQ171" s="3261">
        <v>1</v>
      </c>
      <c r="AR171" s="161">
        <v>1</v>
      </c>
      <c r="AS171" s="161">
        <v>0</v>
      </c>
      <c r="AT171" s="161">
        <v>9</v>
      </c>
      <c r="AU171" s="73"/>
      <c r="AY171" s="73"/>
      <c r="AZ171" s="73" t="s">
        <v>1289</v>
      </c>
      <c r="BA171" s="2607"/>
      <c r="BB171" s="2607">
        <v>1</v>
      </c>
      <c r="BC171" s="2607"/>
      <c r="BD171" s="2607"/>
      <c r="BE171" s="2607">
        <v>1</v>
      </c>
      <c r="BF171" s="2607"/>
      <c r="BG171" s="2607"/>
      <c r="BH171" s="2607"/>
      <c r="BI171" s="2607"/>
      <c r="BJ171" s="2607">
        <v>0</v>
      </c>
      <c r="BK171" s="2607">
        <v>0</v>
      </c>
      <c r="BL171" s="2607"/>
      <c r="BM171" s="2607"/>
      <c r="BN171" s="2607"/>
      <c r="BO171" s="2607"/>
      <c r="BP171" s="73"/>
      <c r="BQ171" s="73">
        <v>0</v>
      </c>
      <c r="BR171" s="73">
        <v>2</v>
      </c>
      <c r="BS171" s="73"/>
      <c r="BU171" s="2207" t="s">
        <v>59</v>
      </c>
      <c r="BV171" s="2207" t="s">
        <v>16</v>
      </c>
      <c r="BW171" s="2207" t="s">
        <v>709</v>
      </c>
      <c r="BX171" s="2208" t="s">
        <v>1284</v>
      </c>
      <c r="BY171" s="2209"/>
      <c r="BZ171" s="2209"/>
      <c r="CA171" s="2209"/>
      <c r="CB171" s="2209"/>
      <c r="CC171" s="2209"/>
      <c r="CD171" s="2210">
        <v>0</v>
      </c>
      <c r="CE171" s="2209"/>
      <c r="CF171" s="2210">
        <v>8</v>
      </c>
      <c r="CG171" s="2209"/>
      <c r="CH171" s="2209"/>
      <c r="CI171" s="2209"/>
      <c r="CJ171" s="2209"/>
      <c r="CK171" s="2209"/>
      <c r="CL171" s="2211"/>
      <c r="CM171" s="2211"/>
      <c r="CN171" s="2212">
        <v>8</v>
      </c>
      <c r="CO171" s="73"/>
      <c r="CQ171" s="955"/>
      <c r="CR171" s="955"/>
      <c r="CS171" s="955" t="s">
        <v>114</v>
      </c>
      <c r="CT171" s="956" t="s">
        <v>1283</v>
      </c>
      <c r="CU171" s="958">
        <v>0</v>
      </c>
      <c r="CV171" s="958">
        <v>0</v>
      </c>
      <c r="CW171" s="958">
        <v>0</v>
      </c>
      <c r="CX171" s="958">
        <v>0</v>
      </c>
      <c r="CY171" s="958">
        <v>0</v>
      </c>
      <c r="CZ171" s="958">
        <v>0</v>
      </c>
      <c r="DA171" s="958">
        <v>0</v>
      </c>
      <c r="DB171" s="958">
        <v>0</v>
      </c>
      <c r="DC171" s="958">
        <v>0</v>
      </c>
      <c r="DD171" s="958">
        <v>1</v>
      </c>
      <c r="DE171" s="958">
        <v>0</v>
      </c>
      <c r="DF171" s="958">
        <v>0</v>
      </c>
      <c r="DG171" s="958">
        <v>2</v>
      </c>
      <c r="DH171" s="958">
        <v>1</v>
      </c>
      <c r="DI171" s="958">
        <v>4</v>
      </c>
      <c r="DJ171" s="960">
        <v>0</v>
      </c>
      <c r="DK171" s="960">
        <v>0</v>
      </c>
      <c r="DL171" s="960">
        <v>8</v>
      </c>
      <c r="DM171" s="161"/>
      <c r="DO171" s="788"/>
      <c r="DP171" s="788"/>
      <c r="DQ171" s="788"/>
      <c r="DR171" s="788"/>
      <c r="DS171" s="789" t="s">
        <v>1398</v>
      </c>
      <c r="DT171" s="961"/>
      <c r="DU171" s="962">
        <v>0</v>
      </c>
      <c r="DV171" s="961"/>
      <c r="DW171" s="961"/>
      <c r="DX171" s="961"/>
      <c r="DY171" s="961"/>
      <c r="DZ171" s="961"/>
      <c r="EA171" s="961"/>
      <c r="EB171" s="961"/>
      <c r="EC171" s="962">
        <v>0</v>
      </c>
      <c r="ED171" s="962">
        <v>0</v>
      </c>
      <c r="EE171" s="961"/>
      <c r="EF171" s="962">
        <v>1</v>
      </c>
      <c r="EG171" s="961"/>
      <c r="EH171" s="961"/>
      <c r="EI171" s="964">
        <v>0</v>
      </c>
      <c r="EJ171" s="964">
        <v>0</v>
      </c>
      <c r="EK171" s="964">
        <v>1</v>
      </c>
      <c r="EL171" s="912"/>
      <c r="EM171" s="73"/>
      <c r="EN171" s="965"/>
      <c r="EO171" s="965"/>
      <c r="EP171" s="965"/>
      <c r="EQ171" s="734"/>
      <c r="ER171" s="735"/>
      <c r="ES171" s="735"/>
      <c r="ET171" s="735"/>
      <c r="EU171" s="735"/>
      <c r="EV171" s="966"/>
      <c r="EW171" s="735"/>
      <c r="EX171" s="735"/>
      <c r="EY171" s="735"/>
      <c r="EZ171" s="735"/>
      <c r="FA171" s="735"/>
      <c r="FB171" s="735"/>
      <c r="FC171" s="735"/>
      <c r="FD171" s="735"/>
      <c r="FE171" s="735"/>
      <c r="FF171" s="73"/>
      <c r="FG171" s="73"/>
      <c r="FH171" s="73"/>
      <c r="FI171" s="161"/>
      <c r="FJ171" s="161"/>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968"/>
      <c r="GG171" s="969"/>
      <c r="GH171" s="969"/>
      <c r="GI171" s="969"/>
      <c r="GJ171" s="969"/>
      <c r="GK171" s="969"/>
      <c r="GL171" s="969"/>
      <c r="GM171" s="969"/>
      <c r="GN171" s="969"/>
      <c r="GO171" s="969"/>
      <c r="GP171" s="969"/>
      <c r="GQ171" s="969"/>
      <c r="GR171" s="969"/>
      <c r="GS171" s="969"/>
      <c r="GT171" s="969"/>
      <c r="GU171" s="969"/>
      <c r="GV171" s="969"/>
      <c r="GW171" s="969"/>
      <c r="GX171" s="969"/>
      <c r="GY171" s="969"/>
      <c r="GZ171" s="969"/>
      <c r="HA171" s="968"/>
      <c r="HB171" s="969"/>
    </row>
    <row r="172" spans="1:210">
      <c r="A172" s="73"/>
      <c r="B172" s="73"/>
      <c r="C172" s="738"/>
      <c r="D172" s="738" t="s">
        <v>111</v>
      </c>
      <c r="E172" s="4694">
        <v>2</v>
      </c>
      <c r="F172" s="4694">
        <v>3</v>
      </c>
      <c r="G172" s="4694">
        <v>1</v>
      </c>
      <c r="H172" s="4694">
        <v>4</v>
      </c>
      <c r="I172" s="4694"/>
      <c r="J172" s="4694">
        <v>3</v>
      </c>
      <c r="K172" s="4694">
        <v>1</v>
      </c>
      <c r="L172" s="4694"/>
      <c r="M172" s="4694"/>
      <c r="N172" s="4694">
        <v>2</v>
      </c>
      <c r="O172" s="4694">
        <v>2</v>
      </c>
      <c r="P172" s="4694">
        <v>6</v>
      </c>
      <c r="Q172" s="4694">
        <v>32</v>
      </c>
      <c r="R172" s="4694">
        <v>57</v>
      </c>
      <c r="S172" s="4694">
        <v>65</v>
      </c>
      <c r="T172" s="738">
        <v>13</v>
      </c>
      <c r="U172" s="738">
        <v>13</v>
      </c>
      <c r="V172" s="738">
        <v>204</v>
      </c>
      <c r="W172" s="912">
        <f>+(V171+V170+V167-T167)/V172</f>
        <v>0.33333333333333331</v>
      </c>
      <c r="X172" s="3197"/>
      <c r="Y172" s="73"/>
      <c r="Z172" s="73"/>
      <c r="AA172" s="73"/>
      <c r="AB172" s="73" t="s">
        <v>1398</v>
      </c>
      <c r="AC172" s="3261"/>
      <c r="AD172" s="3261">
        <v>0</v>
      </c>
      <c r="AE172" s="3261">
        <v>0</v>
      </c>
      <c r="AF172" s="3261"/>
      <c r="AG172" s="3261"/>
      <c r="AH172" s="3261">
        <v>0</v>
      </c>
      <c r="AI172" s="3261"/>
      <c r="AJ172" s="3261">
        <v>0</v>
      </c>
      <c r="AK172" s="3261">
        <v>1</v>
      </c>
      <c r="AL172" s="3261">
        <v>0</v>
      </c>
      <c r="AM172" s="3261">
        <v>0</v>
      </c>
      <c r="AN172" s="3261">
        <v>0</v>
      </c>
      <c r="AO172" s="3261">
        <v>8</v>
      </c>
      <c r="AP172" s="3261">
        <v>1</v>
      </c>
      <c r="AQ172" s="3261">
        <v>3</v>
      </c>
      <c r="AR172" s="161">
        <v>0</v>
      </c>
      <c r="AS172" s="161">
        <v>0</v>
      </c>
      <c r="AT172" s="161">
        <v>13</v>
      </c>
      <c r="AU172" s="73"/>
      <c r="AY172" s="73"/>
      <c r="AZ172" s="73" t="s">
        <v>1292</v>
      </c>
      <c r="BA172" s="2607"/>
      <c r="BB172" s="2607">
        <v>0</v>
      </c>
      <c r="BC172" s="2607"/>
      <c r="BD172" s="2607"/>
      <c r="BE172" s="2607">
        <v>0</v>
      </c>
      <c r="BF172" s="2607"/>
      <c r="BG172" s="2607"/>
      <c r="BH172" s="2607"/>
      <c r="BI172" s="2607"/>
      <c r="BJ172" s="2607">
        <v>0</v>
      </c>
      <c r="BK172" s="2607">
        <v>0</v>
      </c>
      <c r="BL172" s="2607"/>
      <c r="BM172" s="2607"/>
      <c r="BN172" s="2607"/>
      <c r="BO172" s="2607"/>
      <c r="BP172" s="73"/>
      <c r="BQ172" s="73">
        <v>1</v>
      </c>
      <c r="BR172" s="73">
        <v>1</v>
      </c>
      <c r="BS172" s="73"/>
      <c r="BU172" s="2207"/>
      <c r="BV172" s="2207"/>
      <c r="BW172" s="2207"/>
      <c r="BX172" s="2208" t="s">
        <v>1286</v>
      </c>
      <c r="BY172" s="2209"/>
      <c r="BZ172" s="2209"/>
      <c r="CA172" s="2209"/>
      <c r="CB172" s="2209"/>
      <c r="CC172" s="2209"/>
      <c r="CD172" s="2210">
        <v>1</v>
      </c>
      <c r="CE172" s="2209"/>
      <c r="CF172" s="2210">
        <v>0</v>
      </c>
      <c r="CG172" s="2209"/>
      <c r="CH172" s="2209"/>
      <c r="CI172" s="2209"/>
      <c r="CJ172" s="2209"/>
      <c r="CK172" s="2209"/>
      <c r="CL172" s="2211"/>
      <c r="CM172" s="2211"/>
      <c r="CN172" s="2212">
        <v>1</v>
      </c>
      <c r="CO172" s="73"/>
      <c r="CQ172" s="955"/>
      <c r="CR172" s="955"/>
      <c r="CS172" s="955"/>
      <c r="CT172" s="956" t="s">
        <v>1284</v>
      </c>
      <c r="CU172" s="958">
        <v>1</v>
      </c>
      <c r="CV172" s="958">
        <v>7</v>
      </c>
      <c r="CW172" s="958">
        <v>2</v>
      </c>
      <c r="CX172" s="958">
        <v>2</v>
      </c>
      <c r="CY172" s="958">
        <v>1</v>
      </c>
      <c r="CZ172" s="958">
        <v>2</v>
      </c>
      <c r="DA172" s="958">
        <v>1</v>
      </c>
      <c r="DB172" s="958">
        <v>3</v>
      </c>
      <c r="DC172" s="958">
        <v>4</v>
      </c>
      <c r="DD172" s="958">
        <v>7</v>
      </c>
      <c r="DE172" s="958">
        <v>8</v>
      </c>
      <c r="DF172" s="958">
        <v>4</v>
      </c>
      <c r="DG172" s="958">
        <v>11</v>
      </c>
      <c r="DH172" s="958">
        <v>10</v>
      </c>
      <c r="DI172" s="958">
        <v>1</v>
      </c>
      <c r="DJ172" s="960">
        <v>2</v>
      </c>
      <c r="DK172" s="960">
        <v>0</v>
      </c>
      <c r="DL172" s="960">
        <v>66</v>
      </c>
      <c r="DM172" s="161"/>
      <c r="DO172" s="788"/>
      <c r="DP172" s="788"/>
      <c r="DQ172" s="788"/>
      <c r="DR172" s="73"/>
      <c r="DS172" s="809" t="s">
        <v>888</v>
      </c>
      <c r="DT172" s="970"/>
      <c r="DU172" s="971">
        <v>1</v>
      </c>
      <c r="DV172" s="970"/>
      <c r="DW172" s="970"/>
      <c r="DX172" s="970"/>
      <c r="DY172" s="970"/>
      <c r="DZ172" s="970"/>
      <c r="EA172" s="970"/>
      <c r="EB172" s="970"/>
      <c r="EC172" s="971">
        <v>2</v>
      </c>
      <c r="ED172" s="971">
        <v>1</v>
      </c>
      <c r="EE172" s="970"/>
      <c r="EF172" s="971">
        <v>1</v>
      </c>
      <c r="EG172" s="970"/>
      <c r="EH172" s="970"/>
      <c r="EI172" s="973">
        <v>1</v>
      </c>
      <c r="EJ172" s="973">
        <v>4</v>
      </c>
      <c r="EK172" s="973">
        <v>10</v>
      </c>
      <c r="EL172" s="912">
        <f>+EK171/EK172</f>
        <v>0.1</v>
      </c>
      <c r="EM172" s="73"/>
      <c r="EN172" s="965"/>
      <c r="EO172" s="965"/>
      <c r="EP172" s="947"/>
      <c r="EQ172" s="947"/>
      <c r="ER172" s="4939" t="s">
        <v>1372</v>
      </c>
      <c r="ES172" s="4939"/>
      <c r="ET172" s="4939"/>
      <c r="EU172" s="4939"/>
      <c r="EV172" s="4939"/>
      <c r="EW172" s="4939"/>
      <c r="EX172" s="4939"/>
      <c r="EY172" s="4939"/>
      <c r="EZ172" s="4939"/>
      <c r="FA172" s="4939"/>
      <c r="FB172" s="4939"/>
      <c r="FC172" s="4939"/>
      <c r="FD172" s="4939"/>
      <c r="FE172" s="946"/>
      <c r="FF172" s="73"/>
      <c r="FG172" s="73"/>
      <c r="FH172" s="73"/>
      <c r="FI172" s="161"/>
      <c r="FJ172" s="161"/>
      <c r="FK172" s="73" t="s">
        <v>332</v>
      </c>
      <c r="FL172" s="738" t="s">
        <v>332</v>
      </c>
      <c r="FM172" s="4842" t="s">
        <v>1373</v>
      </c>
      <c r="FN172" s="4842"/>
      <c r="FO172" s="4842"/>
      <c r="FP172" s="4842"/>
      <c r="FQ172" s="4842"/>
      <c r="FR172" s="4842"/>
      <c r="FS172" s="4842"/>
      <c r="FT172" s="4842"/>
      <c r="FU172" s="4842"/>
      <c r="FV172" s="4842"/>
      <c r="FW172" s="4842"/>
      <c r="FX172" s="4842"/>
      <c r="FY172" s="4842"/>
      <c r="FZ172" s="4842"/>
      <c r="GA172" s="4842"/>
      <c r="GB172" s="4842"/>
      <c r="GC172" s="738"/>
      <c r="GD172" s="73"/>
      <c r="GE172" s="73"/>
      <c r="GF172" s="969"/>
      <c r="GG172" s="968"/>
      <c r="GH172" s="968"/>
      <c r="GI172" s="968"/>
      <c r="GJ172" s="4941" t="s">
        <v>1373</v>
      </c>
      <c r="GK172" s="4941"/>
      <c r="GL172" s="4941"/>
      <c r="GM172" s="4941"/>
      <c r="GN172" s="4941"/>
      <c r="GO172" s="4941"/>
      <c r="GP172" s="4941"/>
      <c r="GQ172" s="4941"/>
      <c r="GR172" s="4941"/>
      <c r="GS172" s="4941"/>
      <c r="GT172" s="4941"/>
      <c r="GU172" s="4941"/>
      <c r="GV172" s="4941"/>
      <c r="GW172" s="4941"/>
      <c r="GX172" s="4941"/>
      <c r="GY172" s="4941"/>
      <c r="GZ172" s="968"/>
      <c r="HA172" s="968"/>
      <c r="HB172" s="969"/>
    </row>
    <row r="173" spans="1:210" ht="24.75" thickBot="1">
      <c r="A173" s="73" t="s">
        <v>48</v>
      </c>
      <c r="B173" s="73" t="s">
        <v>16</v>
      </c>
      <c r="C173" s="73" t="s">
        <v>129</v>
      </c>
      <c r="D173" s="73" t="s">
        <v>1284</v>
      </c>
      <c r="E173" s="967"/>
      <c r="F173" s="967"/>
      <c r="G173" s="967"/>
      <c r="H173" s="967"/>
      <c r="I173" s="967"/>
      <c r="J173" s="967"/>
      <c r="K173" s="967"/>
      <c r="L173" s="967"/>
      <c r="M173" s="967"/>
      <c r="N173" s="967"/>
      <c r="O173" s="967"/>
      <c r="P173" s="967"/>
      <c r="Q173" s="967"/>
      <c r="R173" s="967"/>
      <c r="S173" s="967">
        <v>2</v>
      </c>
      <c r="T173" s="73"/>
      <c r="U173" s="73">
        <v>0</v>
      </c>
      <c r="V173" s="73">
        <v>2</v>
      </c>
      <c r="W173" s="73"/>
      <c r="Y173" s="73"/>
      <c r="Z173" s="73"/>
      <c r="AA173" s="73"/>
      <c r="AB173" s="738" t="s">
        <v>461</v>
      </c>
      <c r="AC173" s="3262"/>
      <c r="AD173" s="3262">
        <v>1</v>
      </c>
      <c r="AE173" s="3262">
        <v>2</v>
      </c>
      <c r="AF173" s="3262"/>
      <c r="AG173" s="3262"/>
      <c r="AH173" s="3262">
        <v>2</v>
      </c>
      <c r="AI173" s="3262"/>
      <c r="AJ173" s="3262">
        <v>1</v>
      </c>
      <c r="AK173" s="3262">
        <v>3</v>
      </c>
      <c r="AL173" s="3262">
        <v>6</v>
      </c>
      <c r="AM173" s="3262">
        <v>4</v>
      </c>
      <c r="AN173" s="3262">
        <v>4</v>
      </c>
      <c r="AO173" s="3262">
        <v>45</v>
      </c>
      <c r="AP173" s="3262">
        <v>12</v>
      </c>
      <c r="AQ173" s="3262">
        <v>8</v>
      </c>
      <c r="AR173" s="151">
        <v>2</v>
      </c>
      <c r="AS173" s="151">
        <v>10</v>
      </c>
      <c r="AT173" s="151">
        <v>100</v>
      </c>
      <c r="AU173" s="912">
        <f>+(AT168+AT171-AR171+AT172)/AT173</f>
        <v>0.28999999999999998</v>
      </c>
      <c r="AY173" s="73"/>
      <c r="AZ173" s="73" t="s">
        <v>1398</v>
      </c>
      <c r="BA173" s="2607"/>
      <c r="BB173" s="2607">
        <v>0</v>
      </c>
      <c r="BC173" s="2607"/>
      <c r="BD173" s="2607"/>
      <c r="BE173" s="2607">
        <v>0</v>
      </c>
      <c r="BF173" s="2607"/>
      <c r="BG173" s="2607"/>
      <c r="BH173" s="2607"/>
      <c r="BI173" s="2607"/>
      <c r="BJ173" s="2607">
        <v>2</v>
      </c>
      <c r="BK173" s="2607">
        <v>1</v>
      </c>
      <c r="BL173" s="2607"/>
      <c r="BM173" s="2607"/>
      <c r="BN173" s="2607"/>
      <c r="BO173" s="2607"/>
      <c r="BP173" s="73"/>
      <c r="BQ173" s="73">
        <v>0</v>
      </c>
      <c r="BR173" s="73">
        <v>3</v>
      </c>
      <c r="BS173" s="73"/>
      <c r="BU173" s="2207"/>
      <c r="BV173" s="2207"/>
      <c r="BW173" s="2207"/>
      <c r="BX173" s="2208" t="s">
        <v>1289</v>
      </c>
      <c r="BY173" s="2209"/>
      <c r="BZ173" s="2209"/>
      <c r="CA173" s="2209"/>
      <c r="CB173" s="2209"/>
      <c r="CC173" s="2209"/>
      <c r="CD173" s="2210">
        <v>1</v>
      </c>
      <c r="CE173" s="2209"/>
      <c r="CF173" s="2210">
        <v>0</v>
      </c>
      <c r="CG173" s="2209"/>
      <c r="CH173" s="2209"/>
      <c r="CI173" s="2209"/>
      <c r="CJ173" s="2209"/>
      <c r="CK173" s="2209"/>
      <c r="CL173" s="2211"/>
      <c r="CM173" s="2211"/>
      <c r="CN173" s="2212">
        <v>1</v>
      </c>
      <c r="CO173" s="73"/>
      <c r="CQ173" s="955"/>
      <c r="CR173" s="955"/>
      <c r="CS173" s="955"/>
      <c r="CT173" s="956" t="s">
        <v>1286</v>
      </c>
      <c r="CU173" s="958">
        <v>0</v>
      </c>
      <c r="CV173" s="958">
        <v>0</v>
      </c>
      <c r="CW173" s="958">
        <v>2</v>
      </c>
      <c r="CX173" s="958">
        <v>1</v>
      </c>
      <c r="CY173" s="958">
        <v>1</v>
      </c>
      <c r="CZ173" s="958">
        <v>0</v>
      </c>
      <c r="DA173" s="958">
        <v>0</v>
      </c>
      <c r="DB173" s="958">
        <v>0</v>
      </c>
      <c r="DC173" s="958">
        <v>0</v>
      </c>
      <c r="DD173" s="958">
        <v>1</v>
      </c>
      <c r="DE173" s="958">
        <v>0</v>
      </c>
      <c r="DF173" s="958">
        <v>0</v>
      </c>
      <c r="DG173" s="958">
        <v>0</v>
      </c>
      <c r="DH173" s="958">
        <v>0</v>
      </c>
      <c r="DI173" s="958">
        <v>0</v>
      </c>
      <c r="DJ173" s="960">
        <v>0</v>
      </c>
      <c r="DK173" s="960">
        <v>0</v>
      </c>
      <c r="DL173" s="960">
        <v>5</v>
      </c>
      <c r="DM173" s="161"/>
      <c r="DN173" s="78"/>
      <c r="DO173" s="788"/>
      <c r="DP173" s="788"/>
      <c r="DQ173" s="809" t="s">
        <v>461</v>
      </c>
      <c r="DR173" s="788" t="s">
        <v>1282</v>
      </c>
      <c r="DS173" s="789" t="s">
        <v>1284</v>
      </c>
      <c r="DT173" s="961"/>
      <c r="DU173" s="962">
        <v>2</v>
      </c>
      <c r="DV173" s="962">
        <v>2</v>
      </c>
      <c r="DW173" s="962">
        <v>2</v>
      </c>
      <c r="DX173" s="961"/>
      <c r="DY173" s="962">
        <v>1</v>
      </c>
      <c r="DZ173" s="961"/>
      <c r="EA173" s="962">
        <v>1</v>
      </c>
      <c r="EB173" s="962">
        <v>0</v>
      </c>
      <c r="EC173" s="962">
        <v>5</v>
      </c>
      <c r="ED173" s="962">
        <v>2</v>
      </c>
      <c r="EE173" s="962">
        <v>9</v>
      </c>
      <c r="EF173" s="962">
        <v>21</v>
      </c>
      <c r="EG173" s="962">
        <v>8</v>
      </c>
      <c r="EH173" s="962">
        <v>4</v>
      </c>
      <c r="EI173" s="964">
        <v>5</v>
      </c>
      <c r="EJ173" s="964">
        <v>0</v>
      </c>
      <c r="EK173" s="964">
        <v>62</v>
      </c>
      <c r="EL173" s="912"/>
      <c r="EM173" s="997"/>
      <c r="EN173" s="1003"/>
      <c r="EO173" s="1003"/>
      <c r="EP173" s="993" t="s">
        <v>0</v>
      </c>
      <c r="EQ173" s="993" t="s">
        <v>1282</v>
      </c>
      <c r="ER173" s="993">
        <v>1</v>
      </c>
      <c r="ES173" s="993">
        <v>5</v>
      </c>
      <c r="ET173" s="993">
        <v>6</v>
      </c>
      <c r="EU173" s="993">
        <v>7</v>
      </c>
      <c r="EV173" s="993">
        <v>8</v>
      </c>
      <c r="EW173" s="993">
        <v>9</v>
      </c>
      <c r="EX173" s="993">
        <v>10</v>
      </c>
      <c r="EY173" s="993">
        <v>11</v>
      </c>
      <c r="EZ173" s="993">
        <v>12</v>
      </c>
      <c r="FA173" s="993">
        <v>13</v>
      </c>
      <c r="FB173" s="993">
        <v>14</v>
      </c>
      <c r="FC173" s="993">
        <v>15</v>
      </c>
      <c r="FD173" s="993">
        <v>16</v>
      </c>
      <c r="FE173" s="993" t="s">
        <v>15</v>
      </c>
      <c r="FF173" s="994" t="s">
        <v>66</v>
      </c>
      <c r="FG173" s="997"/>
      <c r="FH173" s="997"/>
      <c r="FI173" s="1004"/>
      <c r="FJ173" s="1004"/>
      <c r="FK173" s="1005" t="s">
        <v>0</v>
      </c>
      <c r="FL173" s="1005" t="s">
        <v>1282</v>
      </c>
      <c r="FM173" s="1005">
        <v>1</v>
      </c>
      <c r="FN173" s="1005">
        <v>2</v>
      </c>
      <c r="FO173" s="1005">
        <v>3</v>
      </c>
      <c r="FP173" s="1005">
        <v>4</v>
      </c>
      <c r="FQ173" s="1005">
        <v>5</v>
      </c>
      <c r="FR173" s="1005">
        <v>6</v>
      </c>
      <c r="FS173" s="1005">
        <v>7</v>
      </c>
      <c r="FT173" s="1005">
        <v>8</v>
      </c>
      <c r="FU173" s="1005">
        <v>9</v>
      </c>
      <c r="FV173" s="1005">
        <v>10</v>
      </c>
      <c r="FW173" s="1005">
        <v>11</v>
      </c>
      <c r="FX173" s="1005">
        <v>12</v>
      </c>
      <c r="FY173" s="1005">
        <v>13</v>
      </c>
      <c r="FZ173" s="1005">
        <v>14</v>
      </c>
      <c r="GA173" s="1005">
        <v>15</v>
      </c>
      <c r="GB173" s="1005">
        <v>16</v>
      </c>
      <c r="GC173" s="1005" t="s">
        <v>15</v>
      </c>
      <c r="GD173" s="1005" t="s">
        <v>66</v>
      </c>
      <c r="GE173" s="73"/>
      <c r="GF173" s="968"/>
      <c r="GG173" s="968"/>
      <c r="GH173" s="999" t="s">
        <v>0</v>
      </c>
      <c r="GI173" s="1000" t="s">
        <v>1375</v>
      </c>
      <c r="GJ173" s="999">
        <v>0</v>
      </c>
      <c r="GK173" s="999">
        <v>1</v>
      </c>
      <c r="GL173" s="999">
        <v>2</v>
      </c>
      <c r="GM173" s="999">
        <v>3</v>
      </c>
      <c r="GN173" s="999">
        <v>5</v>
      </c>
      <c r="GO173" s="999">
        <v>6</v>
      </c>
      <c r="GP173" s="999">
        <v>7</v>
      </c>
      <c r="GQ173" s="999">
        <v>8</v>
      </c>
      <c r="GR173" s="999">
        <v>9</v>
      </c>
      <c r="GS173" s="999">
        <v>10</v>
      </c>
      <c r="GT173" s="999">
        <v>11</v>
      </c>
      <c r="GU173" s="999">
        <v>12</v>
      </c>
      <c r="GV173" s="999">
        <v>13</v>
      </c>
      <c r="GW173" s="999">
        <v>14</v>
      </c>
      <c r="GX173" s="999">
        <v>15</v>
      </c>
      <c r="GY173" s="999">
        <v>16</v>
      </c>
      <c r="GZ173" s="999" t="s">
        <v>15</v>
      </c>
      <c r="HA173" s="1000" t="s">
        <v>66</v>
      </c>
      <c r="HB173" s="999" t="s">
        <v>1376</v>
      </c>
    </row>
    <row r="174" spans="1:210">
      <c r="A174" s="73"/>
      <c r="B174" s="73"/>
      <c r="C174" s="73"/>
      <c r="D174" s="73" t="s">
        <v>1288</v>
      </c>
      <c r="E174" s="967"/>
      <c r="F174" s="967"/>
      <c r="G174" s="967"/>
      <c r="H174" s="967"/>
      <c r="I174" s="967"/>
      <c r="J174" s="967"/>
      <c r="K174" s="967"/>
      <c r="L174" s="967"/>
      <c r="M174" s="967"/>
      <c r="N174" s="967"/>
      <c r="O174" s="967"/>
      <c r="P174" s="967"/>
      <c r="Q174" s="967"/>
      <c r="R174" s="967"/>
      <c r="S174" s="967">
        <v>1</v>
      </c>
      <c r="T174" s="73"/>
      <c r="U174" s="73">
        <v>0</v>
      </c>
      <c r="V174" s="73">
        <v>1</v>
      </c>
      <c r="W174" s="73"/>
      <c r="Y174" s="73" t="s">
        <v>59</v>
      </c>
      <c r="Z174" s="73" t="s">
        <v>16</v>
      </c>
      <c r="AA174" s="73" t="s">
        <v>709</v>
      </c>
      <c r="AB174" s="73" t="s">
        <v>1283</v>
      </c>
      <c r="AC174" s="3261"/>
      <c r="AD174" s="3261"/>
      <c r="AE174" s="3261"/>
      <c r="AF174" s="3261"/>
      <c r="AG174" s="3261"/>
      <c r="AH174" s="3261"/>
      <c r="AI174" s="3261"/>
      <c r="AJ174" s="3261">
        <v>0</v>
      </c>
      <c r="AK174" s="3261"/>
      <c r="AL174" s="3261">
        <v>0</v>
      </c>
      <c r="AM174" s="3261">
        <v>0</v>
      </c>
      <c r="AN174" s="3261"/>
      <c r="AO174" s="3261"/>
      <c r="AP174" s="3261"/>
      <c r="AQ174" s="3261">
        <v>1</v>
      </c>
      <c r="AR174" s="161"/>
      <c r="AS174" s="161"/>
      <c r="AT174" s="161">
        <v>1</v>
      </c>
      <c r="AU174" s="73"/>
      <c r="AY174" s="73"/>
      <c r="AZ174" s="738" t="s">
        <v>15</v>
      </c>
      <c r="BA174" s="2608"/>
      <c r="BB174" s="2608">
        <v>1</v>
      </c>
      <c r="BC174" s="2608"/>
      <c r="BD174" s="2608"/>
      <c r="BE174" s="2608">
        <v>1</v>
      </c>
      <c r="BF174" s="2608"/>
      <c r="BG174" s="2608"/>
      <c r="BH174" s="2608"/>
      <c r="BI174" s="2608"/>
      <c r="BJ174" s="2608">
        <v>5</v>
      </c>
      <c r="BK174" s="2608">
        <v>2</v>
      </c>
      <c r="BL174" s="2608"/>
      <c r="BM174" s="2608"/>
      <c r="BN174" s="2608"/>
      <c r="BO174" s="2608"/>
      <c r="BP174" s="738"/>
      <c r="BQ174" s="738">
        <v>1</v>
      </c>
      <c r="BR174" s="738">
        <v>10</v>
      </c>
      <c r="BS174" s="912">
        <f>+BR173/BR174</f>
        <v>0.3</v>
      </c>
      <c r="BU174" s="2207"/>
      <c r="BV174" s="2207"/>
      <c r="BW174" s="2207"/>
      <c r="BX174" s="2208" t="s">
        <v>1398</v>
      </c>
      <c r="BY174" s="2209"/>
      <c r="BZ174" s="2209"/>
      <c r="CA174" s="2209"/>
      <c r="CB174" s="2209"/>
      <c r="CC174" s="2209"/>
      <c r="CD174" s="2210">
        <v>0</v>
      </c>
      <c r="CE174" s="2209"/>
      <c r="CF174" s="2210">
        <v>2</v>
      </c>
      <c r="CG174" s="2209"/>
      <c r="CH174" s="2209"/>
      <c r="CI174" s="2209"/>
      <c r="CJ174" s="2209"/>
      <c r="CK174" s="2209"/>
      <c r="CL174" s="2211"/>
      <c r="CM174" s="2211"/>
      <c r="CN174" s="2212">
        <v>2</v>
      </c>
      <c r="CO174" s="73"/>
      <c r="CQ174" s="955"/>
      <c r="CR174" s="955"/>
      <c r="CS174" s="955"/>
      <c r="CT174" s="956" t="s">
        <v>1288</v>
      </c>
      <c r="CU174" s="958">
        <v>0</v>
      </c>
      <c r="CV174" s="958">
        <v>0</v>
      </c>
      <c r="CW174" s="958">
        <v>0</v>
      </c>
      <c r="CX174" s="958">
        <v>0</v>
      </c>
      <c r="CY174" s="958">
        <v>0</v>
      </c>
      <c r="CZ174" s="958">
        <v>0</v>
      </c>
      <c r="DA174" s="958">
        <v>1</v>
      </c>
      <c r="DB174" s="958">
        <v>2</v>
      </c>
      <c r="DC174" s="958">
        <v>1</v>
      </c>
      <c r="DD174" s="958">
        <v>0</v>
      </c>
      <c r="DE174" s="958">
        <v>2</v>
      </c>
      <c r="DF174" s="958">
        <v>2</v>
      </c>
      <c r="DG174" s="958">
        <v>7</v>
      </c>
      <c r="DH174" s="958">
        <v>26</v>
      </c>
      <c r="DI174" s="958">
        <v>2</v>
      </c>
      <c r="DJ174" s="960">
        <v>0</v>
      </c>
      <c r="DK174" s="960">
        <v>0</v>
      </c>
      <c r="DL174" s="960">
        <v>43</v>
      </c>
      <c r="DM174" s="161"/>
      <c r="DO174" s="788"/>
      <c r="DP174" s="788"/>
      <c r="DQ174" s="788"/>
      <c r="DR174" s="788"/>
      <c r="DS174" s="789" t="s">
        <v>1288</v>
      </c>
      <c r="DT174" s="961"/>
      <c r="DU174" s="962">
        <v>0</v>
      </c>
      <c r="DV174" s="962">
        <v>0</v>
      </c>
      <c r="DW174" s="962">
        <v>0</v>
      </c>
      <c r="DX174" s="961"/>
      <c r="DY174" s="962">
        <v>0</v>
      </c>
      <c r="DZ174" s="961"/>
      <c r="EA174" s="962">
        <v>0</v>
      </c>
      <c r="EB174" s="962">
        <v>1</v>
      </c>
      <c r="EC174" s="962">
        <v>0</v>
      </c>
      <c r="ED174" s="962">
        <v>0</v>
      </c>
      <c r="EE174" s="962">
        <v>2</v>
      </c>
      <c r="EF174" s="962">
        <v>1</v>
      </c>
      <c r="EG174" s="962">
        <v>1</v>
      </c>
      <c r="EH174" s="962">
        <v>1</v>
      </c>
      <c r="EI174" s="964">
        <v>0</v>
      </c>
      <c r="EJ174" s="964">
        <v>0</v>
      </c>
      <c r="EK174" s="964">
        <v>6</v>
      </c>
      <c r="EL174" s="912"/>
      <c r="EM174" s="73"/>
      <c r="EN174" s="965"/>
      <c r="EO174" s="965"/>
      <c r="EP174" s="965" t="s">
        <v>107</v>
      </c>
      <c r="EQ174" s="734" t="s">
        <v>1284</v>
      </c>
      <c r="ER174" s="735">
        <v>0</v>
      </c>
      <c r="ES174" s="966"/>
      <c r="ET174" s="735">
        <v>0</v>
      </c>
      <c r="EU174" s="735">
        <v>0</v>
      </c>
      <c r="EV174" s="735">
        <v>0</v>
      </c>
      <c r="EW174" s="735">
        <v>0</v>
      </c>
      <c r="EX174" s="735">
        <v>0</v>
      </c>
      <c r="EY174" s="735">
        <v>0</v>
      </c>
      <c r="EZ174" s="735">
        <v>1</v>
      </c>
      <c r="FA174" s="735">
        <v>1</v>
      </c>
      <c r="FB174" s="735">
        <v>0</v>
      </c>
      <c r="FC174" s="966"/>
      <c r="FD174" s="966"/>
      <c r="FE174" s="735">
        <v>2</v>
      </c>
      <c r="FF174" s="905"/>
      <c r="FG174" s="73"/>
      <c r="FH174" s="73"/>
      <c r="FI174" s="161"/>
      <c r="FJ174" s="161"/>
      <c r="FK174" s="161" t="s">
        <v>3</v>
      </c>
      <c r="FL174" s="73" t="s">
        <v>1284</v>
      </c>
      <c r="FM174" s="73">
        <v>2</v>
      </c>
      <c r="FN174" s="73">
        <v>0</v>
      </c>
      <c r="FO174" s="73">
        <v>0</v>
      </c>
      <c r="FP174" s="73"/>
      <c r="FQ174" s="73"/>
      <c r="FR174" s="73">
        <v>1</v>
      </c>
      <c r="FS174" s="73">
        <v>2</v>
      </c>
      <c r="FT174" s="73">
        <v>1</v>
      </c>
      <c r="FU174" s="73">
        <v>11</v>
      </c>
      <c r="FV174" s="73">
        <v>6</v>
      </c>
      <c r="FW174" s="73">
        <v>1</v>
      </c>
      <c r="FX174" s="73">
        <v>1</v>
      </c>
      <c r="FY174" s="73">
        <v>0</v>
      </c>
      <c r="FZ174" s="73"/>
      <c r="GA174" s="73"/>
      <c r="GB174" s="73">
        <v>0</v>
      </c>
      <c r="GC174" s="73">
        <v>25</v>
      </c>
      <c r="GD174" s="73"/>
      <c r="GE174" s="73"/>
      <c r="GF174" s="968"/>
      <c r="GG174" s="968"/>
      <c r="GH174" s="968" t="s">
        <v>3</v>
      </c>
      <c r="GI174" s="968" t="s">
        <v>1284</v>
      </c>
      <c r="GJ174" s="968">
        <v>0</v>
      </c>
      <c r="GK174" s="968">
        <v>0</v>
      </c>
      <c r="GL174" s="968">
        <v>0</v>
      </c>
      <c r="GM174" s="968">
        <v>0</v>
      </c>
      <c r="GN174" s="968">
        <v>0</v>
      </c>
      <c r="GO174" s="968">
        <v>1</v>
      </c>
      <c r="GP174" s="968">
        <v>0</v>
      </c>
      <c r="GQ174" s="968">
        <v>0</v>
      </c>
      <c r="GR174" s="968">
        <v>0</v>
      </c>
      <c r="GS174" s="968">
        <v>0</v>
      </c>
      <c r="GT174" s="968">
        <v>2</v>
      </c>
      <c r="GU174" s="968">
        <v>0</v>
      </c>
      <c r="GV174" s="968">
        <v>0</v>
      </c>
      <c r="GW174" s="968">
        <v>0</v>
      </c>
      <c r="GX174" s="968">
        <v>0</v>
      </c>
      <c r="GY174" s="968">
        <v>0</v>
      </c>
      <c r="GZ174" s="968">
        <v>3</v>
      </c>
      <c r="HA174" s="968"/>
      <c r="HB174" s="969"/>
    </row>
    <row r="175" spans="1:210">
      <c r="A175" s="73"/>
      <c r="B175" s="73"/>
      <c r="C175" s="73"/>
      <c r="D175" s="73" t="s">
        <v>1292</v>
      </c>
      <c r="E175" s="967"/>
      <c r="F175" s="967"/>
      <c r="G175" s="967"/>
      <c r="H175" s="967"/>
      <c r="I175" s="967"/>
      <c r="J175" s="967"/>
      <c r="K175" s="967"/>
      <c r="L175" s="967"/>
      <c r="M175" s="967"/>
      <c r="N175" s="967"/>
      <c r="O175" s="967"/>
      <c r="P175" s="967"/>
      <c r="Q175" s="967"/>
      <c r="R175" s="967"/>
      <c r="S175" s="967">
        <v>0</v>
      </c>
      <c r="T175" s="73"/>
      <c r="U175" s="73">
        <v>5</v>
      </c>
      <c r="V175" s="73">
        <v>5</v>
      </c>
      <c r="W175" s="73"/>
      <c r="Y175" s="73"/>
      <c r="Z175" s="73"/>
      <c r="AA175" s="73"/>
      <c r="AB175" s="73" t="s">
        <v>1284</v>
      </c>
      <c r="AC175" s="3261"/>
      <c r="AD175" s="3261"/>
      <c r="AE175" s="3261"/>
      <c r="AF175" s="3261"/>
      <c r="AG175" s="3261"/>
      <c r="AH175" s="3261"/>
      <c r="AI175" s="3261"/>
      <c r="AJ175" s="3261">
        <v>0</v>
      </c>
      <c r="AK175" s="3261"/>
      <c r="AL175" s="3261">
        <v>6</v>
      </c>
      <c r="AM175" s="3261">
        <v>1</v>
      </c>
      <c r="AN175" s="3261"/>
      <c r="AO175" s="3261"/>
      <c r="AP175" s="3261"/>
      <c r="AQ175" s="3261">
        <v>0</v>
      </c>
      <c r="AR175" s="161"/>
      <c r="AS175" s="161"/>
      <c r="AT175" s="161">
        <v>7</v>
      </c>
      <c r="AU175" s="73"/>
      <c r="AY175" s="73" t="s">
        <v>573</v>
      </c>
      <c r="AZ175" s="73" t="s">
        <v>1284</v>
      </c>
      <c r="BA175" s="2607"/>
      <c r="BB175" s="2607">
        <v>0</v>
      </c>
      <c r="BC175" s="2607"/>
      <c r="BD175" s="2607"/>
      <c r="BE175" s="2607">
        <v>0</v>
      </c>
      <c r="BF175" s="2607"/>
      <c r="BG175" s="2607"/>
      <c r="BH175" s="2607"/>
      <c r="BI175" s="2607"/>
      <c r="BJ175" s="2607">
        <v>3</v>
      </c>
      <c r="BK175" s="2607">
        <v>1</v>
      </c>
      <c r="BL175" s="2607"/>
      <c r="BM175" s="2607"/>
      <c r="BN175" s="2607"/>
      <c r="BO175" s="2607"/>
      <c r="BP175" s="73"/>
      <c r="BQ175" s="73">
        <v>0</v>
      </c>
      <c r="BR175" s="73">
        <v>4</v>
      </c>
      <c r="BS175" s="73"/>
      <c r="BU175" s="2207"/>
      <c r="BV175" s="2207"/>
      <c r="BW175" s="2207"/>
      <c r="BX175" s="2204" t="s">
        <v>15</v>
      </c>
      <c r="BY175" s="2213"/>
      <c r="BZ175" s="2213"/>
      <c r="CA175" s="2213"/>
      <c r="CB175" s="2213"/>
      <c r="CC175" s="2213"/>
      <c r="CD175" s="2214">
        <v>2</v>
      </c>
      <c r="CE175" s="2213"/>
      <c r="CF175" s="2214">
        <v>10</v>
      </c>
      <c r="CG175" s="2213"/>
      <c r="CH175" s="2213"/>
      <c r="CI175" s="2213"/>
      <c r="CJ175" s="2213"/>
      <c r="CK175" s="2213"/>
      <c r="CL175" s="2215"/>
      <c r="CM175" s="2215"/>
      <c r="CN175" s="2216">
        <v>12</v>
      </c>
      <c r="CO175" s="2154">
        <f>+CN174/CN175</f>
        <v>0.16666666666666666</v>
      </c>
      <c r="CQ175" s="955"/>
      <c r="CR175" s="955"/>
      <c r="CS175" s="955"/>
      <c r="CT175" s="956" t="s">
        <v>1289</v>
      </c>
      <c r="CU175" s="958">
        <v>0</v>
      </c>
      <c r="CV175" s="958">
        <v>0</v>
      </c>
      <c r="CW175" s="958">
        <v>2</v>
      </c>
      <c r="CX175" s="958">
        <v>4</v>
      </c>
      <c r="CY175" s="958">
        <v>1</v>
      </c>
      <c r="CZ175" s="958">
        <v>1</v>
      </c>
      <c r="DA175" s="958">
        <v>11</v>
      </c>
      <c r="DB175" s="958">
        <v>5</v>
      </c>
      <c r="DC175" s="958">
        <v>3</v>
      </c>
      <c r="DD175" s="958">
        <v>0</v>
      </c>
      <c r="DE175" s="958">
        <v>2</v>
      </c>
      <c r="DF175" s="958">
        <v>0</v>
      </c>
      <c r="DG175" s="958">
        <v>4</v>
      </c>
      <c r="DH175" s="958">
        <v>0</v>
      </c>
      <c r="DI175" s="958">
        <v>0</v>
      </c>
      <c r="DJ175" s="960">
        <v>0</v>
      </c>
      <c r="DK175" s="960">
        <v>0</v>
      </c>
      <c r="DL175" s="960">
        <v>33</v>
      </c>
      <c r="DM175" s="161"/>
      <c r="DO175" s="788"/>
      <c r="DP175" s="788"/>
      <c r="DQ175" s="788"/>
      <c r="DR175" s="788"/>
      <c r="DS175" s="789" t="s">
        <v>1292</v>
      </c>
      <c r="DT175" s="961"/>
      <c r="DU175" s="962">
        <v>0</v>
      </c>
      <c r="DV175" s="962">
        <v>0</v>
      </c>
      <c r="DW175" s="962">
        <v>0</v>
      </c>
      <c r="DX175" s="961"/>
      <c r="DY175" s="962">
        <v>0</v>
      </c>
      <c r="DZ175" s="961"/>
      <c r="EA175" s="962">
        <v>0</v>
      </c>
      <c r="EB175" s="962">
        <v>0</v>
      </c>
      <c r="EC175" s="962">
        <v>0</v>
      </c>
      <c r="ED175" s="962">
        <v>0</v>
      </c>
      <c r="EE175" s="962">
        <v>0</v>
      </c>
      <c r="EF175" s="962">
        <v>1</v>
      </c>
      <c r="EG175" s="962">
        <v>1</v>
      </c>
      <c r="EH175" s="962">
        <v>4</v>
      </c>
      <c r="EI175" s="964">
        <v>2</v>
      </c>
      <c r="EJ175" s="964">
        <v>7</v>
      </c>
      <c r="EK175" s="964">
        <v>15</v>
      </c>
      <c r="EL175" s="912"/>
      <c r="EM175" s="73"/>
      <c r="EN175" s="965"/>
      <c r="EO175" s="965"/>
      <c r="EP175" s="965"/>
      <c r="EQ175" s="734" t="s">
        <v>1286</v>
      </c>
      <c r="ER175" s="735">
        <v>1</v>
      </c>
      <c r="ES175" s="966"/>
      <c r="ET175" s="735">
        <v>0</v>
      </c>
      <c r="EU175" s="735">
        <v>0</v>
      </c>
      <c r="EV175" s="735">
        <v>0</v>
      </c>
      <c r="EW175" s="735">
        <v>0</v>
      </c>
      <c r="EX175" s="735">
        <v>0</v>
      </c>
      <c r="EY175" s="735">
        <v>0</v>
      </c>
      <c r="EZ175" s="735">
        <v>0</v>
      </c>
      <c r="FA175" s="735">
        <v>0</v>
      </c>
      <c r="FB175" s="735">
        <v>0</v>
      </c>
      <c r="FC175" s="966"/>
      <c r="FD175" s="966"/>
      <c r="FE175" s="735">
        <v>1</v>
      </c>
      <c r="FF175" s="967"/>
      <c r="FG175" s="73"/>
      <c r="FH175" s="73"/>
      <c r="FI175" s="161"/>
      <c r="FJ175" s="161"/>
      <c r="FK175" s="161"/>
      <c r="FL175" s="73" t="s">
        <v>1286</v>
      </c>
      <c r="FM175" s="73">
        <v>0</v>
      </c>
      <c r="FN175" s="73">
        <v>0</v>
      </c>
      <c r="FO175" s="73">
        <v>1</v>
      </c>
      <c r="FP175" s="73"/>
      <c r="FQ175" s="73"/>
      <c r="FR175" s="73">
        <v>0</v>
      </c>
      <c r="FS175" s="73">
        <v>0</v>
      </c>
      <c r="FT175" s="73">
        <v>0</v>
      </c>
      <c r="FU175" s="73">
        <v>0</v>
      </c>
      <c r="FV175" s="73">
        <v>0</v>
      </c>
      <c r="FW175" s="73">
        <v>0</v>
      </c>
      <c r="FX175" s="73">
        <v>0</v>
      </c>
      <c r="FY175" s="73">
        <v>0</v>
      </c>
      <c r="FZ175" s="73"/>
      <c r="GA175" s="73"/>
      <c r="GB175" s="73">
        <v>0</v>
      </c>
      <c r="GC175" s="73">
        <v>1</v>
      </c>
      <c r="GD175" s="73"/>
      <c r="GE175" s="73"/>
      <c r="GF175" s="968"/>
      <c r="GG175" s="968"/>
      <c r="GH175" s="968"/>
      <c r="GI175" s="968" t="s">
        <v>1286</v>
      </c>
      <c r="GJ175" s="968">
        <v>0</v>
      </c>
      <c r="GK175" s="968">
        <v>0</v>
      </c>
      <c r="GL175" s="968">
        <v>1</v>
      </c>
      <c r="GM175" s="968">
        <v>0</v>
      </c>
      <c r="GN175" s="968">
        <v>0</v>
      </c>
      <c r="GO175" s="968">
        <v>0</v>
      </c>
      <c r="GP175" s="968">
        <v>0</v>
      </c>
      <c r="GQ175" s="968">
        <v>0</v>
      </c>
      <c r="GR175" s="968">
        <v>0</v>
      </c>
      <c r="GS175" s="968">
        <v>0</v>
      </c>
      <c r="GT175" s="968">
        <v>0</v>
      </c>
      <c r="GU175" s="968">
        <v>0</v>
      </c>
      <c r="GV175" s="968">
        <v>0</v>
      </c>
      <c r="GW175" s="968">
        <v>0</v>
      </c>
      <c r="GX175" s="968">
        <v>0</v>
      </c>
      <c r="GY175" s="968">
        <v>0</v>
      </c>
      <c r="GZ175" s="968">
        <v>1</v>
      </c>
      <c r="HA175" s="968"/>
      <c r="HB175" s="969"/>
    </row>
    <row r="176" spans="1:210">
      <c r="A176" s="73"/>
      <c r="B176" s="73"/>
      <c r="C176" s="73"/>
      <c r="D176" s="73" t="s">
        <v>1398</v>
      </c>
      <c r="E176" s="967"/>
      <c r="F176" s="967"/>
      <c r="G176" s="967"/>
      <c r="H176" s="967"/>
      <c r="I176" s="967"/>
      <c r="J176" s="967"/>
      <c r="K176" s="967"/>
      <c r="L176" s="967"/>
      <c r="M176" s="967"/>
      <c r="N176" s="967"/>
      <c r="O176" s="967"/>
      <c r="P176" s="967"/>
      <c r="Q176" s="967"/>
      <c r="R176" s="967"/>
      <c r="S176" s="967">
        <v>1</v>
      </c>
      <c r="T176" s="73"/>
      <c r="U176" s="73">
        <v>0</v>
      </c>
      <c r="V176" s="73">
        <v>1</v>
      </c>
      <c r="W176" s="73"/>
      <c r="Y176" s="73"/>
      <c r="Z176" s="73"/>
      <c r="AA176" s="73"/>
      <c r="AB176" s="73" t="s">
        <v>1286</v>
      </c>
      <c r="AC176" s="3261"/>
      <c r="AD176" s="3261"/>
      <c r="AE176" s="3261"/>
      <c r="AF176" s="3261"/>
      <c r="AG176" s="3261"/>
      <c r="AH176" s="3261"/>
      <c r="AI176" s="3261"/>
      <c r="AJ176" s="3261">
        <v>1</v>
      </c>
      <c r="AK176" s="3261"/>
      <c r="AL176" s="3261">
        <v>0</v>
      </c>
      <c r="AM176" s="3261">
        <v>0</v>
      </c>
      <c r="AN176" s="3261"/>
      <c r="AO176" s="3261"/>
      <c r="AP176" s="3261"/>
      <c r="AQ176" s="3261">
        <v>0</v>
      </c>
      <c r="AR176" s="161"/>
      <c r="AS176" s="161"/>
      <c r="AT176" s="161">
        <v>1</v>
      </c>
      <c r="AU176" s="73"/>
      <c r="AY176" s="73"/>
      <c r="AZ176" s="73" t="s">
        <v>1289</v>
      </c>
      <c r="BA176" s="2607"/>
      <c r="BB176" s="2607">
        <v>1</v>
      </c>
      <c r="BC176" s="2607"/>
      <c r="BD176" s="2607"/>
      <c r="BE176" s="2607">
        <v>1</v>
      </c>
      <c r="BF176" s="2607"/>
      <c r="BG176" s="2607"/>
      <c r="BH176" s="2607"/>
      <c r="BI176" s="2607"/>
      <c r="BJ176" s="2607">
        <v>0</v>
      </c>
      <c r="BK176" s="2607">
        <v>0</v>
      </c>
      <c r="BL176" s="2607"/>
      <c r="BM176" s="2607"/>
      <c r="BN176" s="2607"/>
      <c r="BO176" s="2607"/>
      <c r="BP176" s="73"/>
      <c r="BQ176" s="73">
        <v>0</v>
      </c>
      <c r="BR176" s="73">
        <v>2</v>
      </c>
      <c r="BS176" s="73"/>
      <c r="BU176" s="2207"/>
      <c r="BV176" s="2207"/>
      <c r="BW176" s="2207" t="s">
        <v>573</v>
      </c>
      <c r="BX176" s="2208" t="s">
        <v>1284</v>
      </c>
      <c r="BY176" s="2209"/>
      <c r="BZ176" s="2209"/>
      <c r="CA176" s="2209"/>
      <c r="CB176" s="2209"/>
      <c r="CC176" s="2209"/>
      <c r="CD176" s="2210">
        <v>0</v>
      </c>
      <c r="CE176" s="2209"/>
      <c r="CF176" s="2210">
        <v>8</v>
      </c>
      <c r="CG176" s="2209"/>
      <c r="CH176" s="2209"/>
      <c r="CI176" s="2209"/>
      <c r="CJ176" s="2209"/>
      <c r="CK176" s="2209"/>
      <c r="CL176" s="2211"/>
      <c r="CM176" s="2211"/>
      <c r="CN176" s="2212">
        <v>8</v>
      </c>
      <c r="CO176" s="73"/>
      <c r="CQ176" s="955"/>
      <c r="CR176" s="955"/>
      <c r="CS176" s="955"/>
      <c r="CT176" s="956" t="s">
        <v>1292</v>
      </c>
      <c r="CU176" s="958">
        <v>0</v>
      </c>
      <c r="CV176" s="958">
        <v>0</v>
      </c>
      <c r="CW176" s="958">
        <v>0</v>
      </c>
      <c r="CX176" s="958">
        <v>0</v>
      </c>
      <c r="CY176" s="958">
        <v>0</v>
      </c>
      <c r="CZ176" s="958">
        <v>0</v>
      </c>
      <c r="DA176" s="958">
        <v>0</v>
      </c>
      <c r="DB176" s="958">
        <v>0</v>
      </c>
      <c r="DC176" s="958">
        <v>0</v>
      </c>
      <c r="DD176" s="958">
        <v>0</v>
      </c>
      <c r="DE176" s="958">
        <v>0</v>
      </c>
      <c r="DF176" s="958">
        <v>0</v>
      </c>
      <c r="DG176" s="958">
        <v>0</v>
      </c>
      <c r="DH176" s="958">
        <v>3</v>
      </c>
      <c r="DI176" s="958">
        <v>45</v>
      </c>
      <c r="DJ176" s="960">
        <v>7</v>
      </c>
      <c r="DK176" s="960">
        <v>28</v>
      </c>
      <c r="DL176" s="960">
        <v>83</v>
      </c>
      <c r="DM176" s="161"/>
      <c r="DO176" s="788"/>
      <c r="DP176" s="788"/>
      <c r="DQ176" s="788"/>
      <c r="DR176" s="788"/>
      <c r="DS176" s="789" t="s">
        <v>1293</v>
      </c>
      <c r="DT176" s="961"/>
      <c r="DU176" s="962">
        <v>0</v>
      </c>
      <c r="DV176" s="962">
        <v>0</v>
      </c>
      <c r="DW176" s="962">
        <v>0</v>
      </c>
      <c r="DX176" s="961"/>
      <c r="DY176" s="962">
        <v>0</v>
      </c>
      <c r="DZ176" s="961"/>
      <c r="EA176" s="962">
        <v>0</v>
      </c>
      <c r="EB176" s="962">
        <v>0</v>
      </c>
      <c r="EC176" s="962">
        <v>0</v>
      </c>
      <c r="ED176" s="962">
        <v>0</v>
      </c>
      <c r="EE176" s="962">
        <v>0</v>
      </c>
      <c r="EF176" s="962">
        <v>2</v>
      </c>
      <c r="EG176" s="962">
        <v>0</v>
      </c>
      <c r="EH176" s="962">
        <v>0</v>
      </c>
      <c r="EI176" s="964">
        <v>1</v>
      </c>
      <c r="EJ176" s="964">
        <v>0</v>
      </c>
      <c r="EK176" s="964">
        <v>3</v>
      </c>
      <c r="EL176" s="912"/>
      <c r="EM176" s="73"/>
      <c r="EN176" s="965"/>
      <c r="EO176" s="965"/>
      <c r="EP176" s="965"/>
      <c r="EQ176" s="734" t="s">
        <v>1288</v>
      </c>
      <c r="ER176" s="735">
        <v>0</v>
      </c>
      <c r="ES176" s="966"/>
      <c r="ET176" s="735">
        <v>0</v>
      </c>
      <c r="EU176" s="735">
        <v>0</v>
      </c>
      <c r="EV176" s="735">
        <v>1</v>
      </c>
      <c r="EW176" s="735">
        <v>0</v>
      </c>
      <c r="EX176" s="735">
        <v>0</v>
      </c>
      <c r="EY176" s="735">
        <v>0</v>
      </c>
      <c r="EZ176" s="735">
        <v>0</v>
      </c>
      <c r="FA176" s="735">
        <v>0</v>
      </c>
      <c r="FB176" s="735">
        <v>0</v>
      </c>
      <c r="FC176" s="966"/>
      <c r="FD176" s="966"/>
      <c r="FE176" s="735">
        <v>1</v>
      </c>
      <c r="FF176" s="967"/>
      <c r="FG176" s="73"/>
      <c r="FH176" s="73"/>
      <c r="FI176" s="161"/>
      <c r="FJ176" s="161"/>
      <c r="FK176" s="161"/>
      <c r="FL176" s="73" t="s">
        <v>1288</v>
      </c>
      <c r="FM176" s="73">
        <v>0</v>
      </c>
      <c r="FN176" s="73">
        <v>0</v>
      </c>
      <c r="FO176" s="73">
        <v>0</v>
      </c>
      <c r="FP176" s="73"/>
      <c r="FQ176" s="73"/>
      <c r="FR176" s="73">
        <v>0</v>
      </c>
      <c r="FS176" s="73">
        <v>0</v>
      </c>
      <c r="FT176" s="73">
        <v>0</v>
      </c>
      <c r="FU176" s="73">
        <v>4</v>
      </c>
      <c r="FV176" s="73">
        <v>0</v>
      </c>
      <c r="FW176" s="73">
        <v>0</v>
      </c>
      <c r="FX176" s="73">
        <v>0</v>
      </c>
      <c r="FY176" s="73">
        <v>0</v>
      </c>
      <c r="FZ176" s="73"/>
      <c r="GA176" s="73"/>
      <c r="GB176" s="73">
        <v>0</v>
      </c>
      <c r="GC176" s="73">
        <v>4</v>
      </c>
      <c r="GD176" s="73"/>
      <c r="GE176" s="73"/>
      <c r="GF176" s="968"/>
      <c r="GG176" s="968"/>
      <c r="GH176" s="968"/>
      <c r="GI176" s="968" t="s">
        <v>1288</v>
      </c>
      <c r="GJ176" s="968">
        <v>0</v>
      </c>
      <c r="GK176" s="968">
        <v>0</v>
      </c>
      <c r="GL176" s="968">
        <v>0</v>
      </c>
      <c r="GM176" s="968">
        <v>0</v>
      </c>
      <c r="GN176" s="968">
        <v>0</v>
      </c>
      <c r="GO176" s="968">
        <v>1</v>
      </c>
      <c r="GP176" s="968">
        <v>0</v>
      </c>
      <c r="GQ176" s="968">
        <v>0</v>
      </c>
      <c r="GR176" s="968">
        <v>1</v>
      </c>
      <c r="GS176" s="968">
        <v>0</v>
      </c>
      <c r="GT176" s="968">
        <v>0</v>
      </c>
      <c r="GU176" s="968">
        <v>0</v>
      </c>
      <c r="GV176" s="968">
        <v>1</v>
      </c>
      <c r="GW176" s="968">
        <v>0</v>
      </c>
      <c r="GX176" s="968">
        <v>0</v>
      </c>
      <c r="GY176" s="968">
        <v>0</v>
      </c>
      <c r="GZ176" s="968">
        <v>3</v>
      </c>
      <c r="HA176" s="968"/>
      <c r="HB176" s="969"/>
    </row>
    <row r="177" spans="1:210">
      <c r="A177" s="73"/>
      <c r="B177" s="73"/>
      <c r="C177" s="73"/>
      <c r="D177" s="738" t="s">
        <v>15</v>
      </c>
      <c r="E177" s="4694"/>
      <c r="F177" s="4694"/>
      <c r="G177" s="4694"/>
      <c r="H177" s="4694"/>
      <c r="I177" s="4694"/>
      <c r="J177" s="4694"/>
      <c r="K177" s="4694"/>
      <c r="L177" s="4694"/>
      <c r="M177" s="4694"/>
      <c r="N177" s="4694"/>
      <c r="O177" s="4694"/>
      <c r="P177" s="4694"/>
      <c r="Q177" s="4694"/>
      <c r="R177" s="4694"/>
      <c r="S177" s="4694">
        <v>4</v>
      </c>
      <c r="T177" s="738"/>
      <c r="U177" s="738">
        <v>5</v>
      </c>
      <c r="V177" s="738">
        <v>9</v>
      </c>
      <c r="W177" s="912">
        <f>+(V176+V174)/V177</f>
        <v>0.22222222222222221</v>
      </c>
      <c r="X177" s="3197"/>
      <c r="Y177" s="73"/>
      <c r="Z177" s="73"/>
      <c r="AA177" s="73"/>
      <c r="AB177" s="73" t="s">
        <v>1288</v>
      </c>
      <c r="AC177" s="3261"/>
      <c r="AD177" s="3261"/>
      <c r="AE177" s="3261"/>
      <c r="AF177" s="3261"/>
      <c r="AG177" s="3261"/>
      <c r="AH177" s="3261"/>
      <c r="AI177" s="3261"/>
      <c r="AJ177" s="3261">
        <v>0</v>
      </c>
      <c r="AK177" s="3261"/>
      <c r="AL177" s="3261">
        <v>1</v>
      </c>
      <c r="AM177" s="3261">
        <v>0</v>
      </c>
      <c r="AN177" s="3261"/>
      <c r="AO177" s="3261"/>
      <c r="AP177" s="3261"/>
      <c r="AQ177" s="3261">
        <v>0</v>
      </c>
      <c r="AR177" s="161"/>
      <c r="AS177" s="161"/>
      <c r="AT177" s="161">
        <v>1</v>
      </c>
      <c r="AU177" s="73"/>
      <c r="AY177" s="73"/>
      <c r="AZ177" s="73" t="s">
        <v>1292</v>
      </c>
      <c r="BA177" s="2607"/>
      <c r="BB177" s="2607">
        <v>0</v>
      </c>
      <c r="BC177" s="2607"/>
      <c r="BD177" s="2607"/>
      <c r="BE177" s="2607">
        <v>0</v>
      </c>
      <c r="BF177" s="2607"/>
      <c r="BG177" s="2607"/>
      <c r="BH177" s="2607"/>
      <c r="BI177" s="2607"/>
      <c r="BJ177" s="2607">
        <v>0</v>
      </c>
      <c r="BK177" s="2607">
        <v>0</v>
      </c>
      <c r="BL177" s="2607"/>
      <c r="BM177" s="2607"/>
      <c r="BN177" s="2607"/>
      <c r="BO177" s="2607"/>
      <c r="BP177" s="73"/>
      <c r="BQ177" s="73">
        <v>1</v>
      </c>
      <c r="BR177" s="73">
        <v>1</v>
      </c>
      <c r="BS177" s="73"/>
      <c r="BU177" s="2207"/>
      <c r="BV177" s="2207"/>
      <c r="BW177" s="2207"/>
      <c r="BX177" s="2208" t="s">
        <v>1286</v>
      </c>
      <c r="BY177" s="2209"/>
      <c r="BZ177" s="2209"/>
      <c r="CA177" s="2209"/>
      <c r="CB177" s="2209"/>
      <c r="CC177" s="2209"/>
      <c r="CD177" s="2210">
        <v>1</v>
      </c>
      <c r="CE177" s="2209"/>
      <c r="CF177" s="2210">
        <v>0</v>
      </c>
      <c r="CG177" s="2209"/>
      <c r="CH177" s="2209"/>
      <c r="CI177" s="2209"/>
      <c r="CJ177" s="2209"/>
      <c r="CK177" s="2209"/>
      <c r="CL177" s="2211"/>
      <c r="CM177" s="2211"/>
      <c r="CN177" s="2212">
        <v>1</v>
      </c>
      <c r="CO177" s="73"/>
      <c r="CQ177" s="955"/>
      <c r="CR177" s="955"/>
      <c r="CS177" s="955"/>
      <c r="CT177" s="956" t="s">
        <v>1293</v>
      </c>
      <c r="CU177" s="958">
        <v>0</v>
      </c>
      <c r="CV177" s="958">
        <v>0</v>
      </c>
      <c r="CW177" s="958">
        <v>0</v>
      </c>
      <c r="CX177" s="958">
        <v>0</v>
      </c>
      <c r="CY177" s="958">
        <v>0</v>
      </c>
      <c r="CZ177" s="958">
        <v>0</v>
      </c>
      <c r="DA177" s="958">
        <v>0</v>
      </c>
      <c r="DB177" s="958">
        <v>0</v>
      </c>
      <c r="DC177" s="958">
        <v>0</v>
      </c>
      <c r="DD177" s="958">
        <v>0</v>
      </c>
      <c r="DE177" s="958">
        <v>1</v>
      </c>
      <c r="DF177" s="958">
        <v>2</v>
      </c>
      <c r="DG177" s="958">
        <v>0</v>
      </c>
      <c r="DH177" s="958">
        <v>0</v>
      </c>
      <c r="DI177" s="958">
        <v>0</v>
      </c>
      <c r="DJ177" s="960">
        <v>0</v>
      </c>
      <c r="DK177" s="960">
        <v>0</v>
      </c>
      <c r="DL177" s="960">
        <v>3</v>
      </c>
      <c r="DM177" s="161"/>
      <c r="DO177" s="788"/>
      <c r="DP177" s="788"/>
      <c r="DQ177" s="788"/>
      <c r="DR177" s="788"/>
      <c r="DS177" s="789" t="s">
        <v>1398</v>
      </c>
      <c r="DT177" s="961"/>
      <c r="DU177" s="962">
        <v>0</v>
      </c>
      <c r="DV177" s="962">
        <v>0</v>
      </c>
      <c r="DW177" s="962">
        <v>0</v>
      </c>
      <c r="DX177" s="961"/>
      <c r="DY177" s="962">
        <v>0</v>
      </c>
      <c r="DZ177" s="961"/>
      <c r="EA177" s="962">
        <v>0</v>
      </c>
      <c r="EB177" s="962">
        <v>0</v>
      </c>
      <c r="EC177" s="962">
        <v>1</v>
      </c>
      <c r="ED177" s="962">
        <v>2</v>
      </c>
      <c r="EE177" s="962">
        <v>0</v>
      </c>
      <c r="EF177" s="962">
        <v>6</v>
      </c>
      <c r="EG177" s="962">
        <v>2</v>
      </c>
      <c r="EH177" s="962">
        <v>1</v>
      </c>
      <c r="EI177" s="964">
        <v>0</v>
      </c>
      <c r="EJ177" s="964">
        <v>0</v>
      </c>
      <c r="EK177" s="964">
        <v>12</v>
      </c>
      <c r="EL177" s="912"/>
      <c r="EM177" s="73"/>
      <c r="EN177" s="965"/>
      <c r="EO177" s="965"/>
      <c r="EP177" s="965"/>
      <c r="EQ177" s="734" t="s">
        <v>1289</v>
      </c>
      <c r="ER177" s="735">
        <v>0</v>
      </c>
      <c r="ES177" s="966"/>
      <c r="ET177" s="735">
        <v>6</v>
      </c>
      <c r="EU177" s="735">
        <v>3</v>
      </c>
      <c r="EV177" s="735">
        <v>3</v>
      </c>
      <c r="EW177" s="735">
        <v>0</v>
      </c>
      <c r="EX177" s="735">
        <v>1</v>
      </c>
      <c r="EY177" s="735">
        <v>1</v>
      </c>
      <c r="EZ177" s="735">
        <v>0</v>
      </c>
      <c r="FA177" s="735">
        <v>0</v>
      </c>
      <c r="FB177" s="735">
        <v>0</v>
      </c>
      <c r="FC177" s="966"/>
      <c r="FD177" s="966"/>
      <c r="FE177" s="735">
        <v>14</v>
      </c>
      <c r="FF177" s="967"/>
      <c r="FG177" s="73"/>
      <c r="FH177" s="73"/>
      <c r="FI177" s="161"/>
      <c r="FJ177" s="161"/>
      <c r="FK177" s="161"/>
      <c r="FL177" s="73" t="s">
        <v>1289</v>
      </c>
      <c r="FM177" s="73">
        <v>0</v>
      </c>
      <c r="FN177" s="73">
        <v>1</v>
      </c>
      <c r="FO177" s="73">
        <v>1</v>
      </c>
      <c r="FP177" s="73"/>
      <c r="FQ177" s="73"/>
      <c r="FR177" s="73">
        <v>1</v>
      </c>
      <c r="FS177" s="73">
        <v>2</v>
      </c>
      <c r="FT177" s="73">
        <v>1</v>
      </c>
      <c r="FU177" s="73">
        <v>0</v>
      </c>
      <c r="FV177" s="73">
        <v>0</v>
      </c>
      <c r="FW177" s="73">
        <v>0</v>
      </c>
      <c r="FX177" s="73">
        <v>3</v>
      </c>
      <c r="FY177" s="73">
        <v>0</v>
      </c>
      <c r="FZ177" s="73"/>
      <c r="GA177" s="73"/>
      <c r="GB177" s="73">
        <v>0</v>
      </c>
      <c r="GC177" s="73">
        <v>9</v>
      </c>
      <c r="GD177" s="73"/>
      <c r="GE177" s="73"/>
      <c r="GF177" s="968"/>
      <c r="GG177" s="968"/>
      <c r="GH177" s="968"/>
      <c r="GI177" s="968" t="s">
        <v>1289</v>
      </c>
      <c r="GJ177" s="968">
        <v>0</v>
      </c>
      <c r="GK177" s="968">
        <v>0</v>
      </c>
      <c r="GL177" s="968">
        <v>0</v>
      </c>
      <c r="GM177" s="968">
        <v>0</v>
      </c>
      <c r="GN177" s="968">
        <v>2</v>
      </c>
      <c r="GO177" s="968">
        <v>0</v>
      </c>
      <c r="GP177" s="968">
        <v>1</v>
      </c>
      <c r="GQ177" s="968">
        <v>0</v>
      </c>
      <c r="GR177" s="968">
        <v>1</v>
      </c>
      <c r="GS177" s="968">
        <v>0</v>
      </c>
      <c r="GT177" s="968">
        <v>0</v>
      </c>
      <c r="GU177" s="968">
        <v>0</v>
      </c>
      <c r="GV177" s="968">
        <v>0</v>
      </c>
      <c r="GW177" s="968">
        <v>0</v>
      </c>
      <c r="GX177" s="968">
        <v>0</v>
      </c>
      <c r="GY177" s="968">
        <v>0</v>
      </c>
      <c r="GZ177" s="968">
        <v>4</v>
      </c>
      <c r="HA177" s="968"/>
      <c r="HB177" s="969"/>
    </row>
    <row r="178" spans="1:210">
      <c r="A178" s="73"/>
      <c r="B178" s="73"/>
      <c r="C178" s="738" t="s">
        <v>573</v>
      </c>
      <c r="D178" s="738" t="s">
        <v>1284</v>
      </c>
      <c r="E178" s="4694"/>
      <c r="F178" s="4694"/>
      <c r="G178" s="4694"/>
      <c r="H178" s="4694"/>
      <c r="I178" s="4694"/>
      <c r="J178" s="4694"/>
      <c r="K178" s="4694"/>
      <c r="L178" s="4694"/>
      <c r="M178" s="4694"/>
      <c r="N178" s="4694"/>
      <c r="O178" s="4694"/>
      <c r="P178" s="4694"/>
      <c r="Q178" s="4694"/>
      <c r="R178" s="4694"/>
      <c r="S178" s="4694">
        <v>2</v>
      </c>
      <c r="T178" s="738"/>
      <c r="U178" s="738">
        <v>0</v>
      </c>
      <c r="V178" s="738">
        <v>2</v>
      </c>
      <c r="W178" s="73"/>
      <c r="Y178" s="73"/>
      <c r="Z178" s="73"/>
      <c r="AA178" s="73"/>
      <c r="AB178" s="73" t="s">
        <v>1292</v>
      </c>
      <c r="AC178" s="3261"/>
      <c r="AD178" s="3261"/>
      <c r="AE178" s="3261"/>
      <c r="AF178" s="3261"/>
      <c r="AG178" s="3261"/>
      <c r="AH178" s="3261"/>
      <c r="AI178" s="3261"/>
      <c r="AJ178" s="3261">
        <v>0</v>
      </c>
      <c r="AK178" s="3261"/>
      <c r="AL178" s="3261">
        <v>0</v>
      </c>
      <c r="AM178" s="3261">
        <v>0</v>
      </c>
      <c r="AN178" s="3261"/>
      <c r="AO178" s="3261"/>
      <c r="AP178" s="3261"/>
      <c r="AQ178" s="3261">
        <v>1</v>
      </c>
      <c r="AR178" s="161"/>
      <c r="AS178" s="161"/>
      <c r="AT178" s="161">
        <v>1</v>
      </c>
      <c r="AU178" s="73"/>
      <c r="AY178" s="73"/>
      <c r="AZ178" s="73" t="s">
        <v>1398</v>
      </c>
      <c r="BA178" s="2607"/>
      <c r="BB178" s="2607">
        <v>0</v>
      </c>
      <c r="BC178" s="2607"/>
      <c r="BD178" s="2607"/>
      <c r="BE178" s="2607">
        <v>0</v>
      </c>
      <c r="BF178" s="2607"/>
      <c r="BG178" s="2607"/>
      <c r="BH178" s="2607"/>
      <c r="BI178" s="2607"/>
      <c r="BJ178" s="2607">
        <v>2</v>
      </c>
      <c r="BK178" s="2607">
        <v>1</v>
      </c>
      <c r="BL178" s="2607"/>
      <c r="BM178" s="2607"/>
      <c r="BN178" s="2607"/>
      <c r="BO178" s="2607"/>
      <c r="BP178" s="73"/>
      <c r="BQ178" s="73">
        <v>0</v>
      </c>
      <c r="BR178" s="73">
        <v>3</v>
      </c>
      <c r="BS178" s="73"/>
      <c r="BU178" s="2207"/>
      <c r="BV178" s="2207"/>
      <c r="BW178" s="2207"/>
      <c r="BX178" s="2208" t="s">
        <v>1289</v>
      </c>
      <c r="BY178" s="2209"/>
      <c r="BZ178" s="2209"/>
      <c r="CA178" s="2209"/>
      <c r="CB178" s="2209"/>
      <c r="CC178" s="2209"/>
      <c r="CD178" s="2210">
        <v>1</v>
      </c>
      <c r="CE178" s="2209"/>
      <c r="CF178" s="2210">
        <v>0</v>
      </c>
      <c r="CG178" s="2209"/>
      <c r="CH178" s="2209"/>
      <c r="CI178" s="2209"/>
      <c r="CJ178" s="2209"/>
      <c r="CK178" s="2209"/>
      <c r="CL178" s="2211"/>
      <c r="CM178" s="2211"/>
      <c r="CN178" s="2212">
        <v>1</v>
      </c>
      <c r="CO178" s="73"/>
      <c r="CQ178" s="955"/>
      <c r="CR178" s="955"/>
      <c r="CS178" s="955"/>
      <c r="CT178" s="956" t="s">
        <v>1398</v>
      </c>
      <c r="CU178" s="958">
        <v>0</v>
      </c>
      <c r="CV178" s="958">
        <v>0</v>
      </c>
      <c r="CW178" s="958">
        <v>0</v>
      </c>
      <c r="CX178" s="958">
        <v>0</v>
      </c>
      <c r="CY178" s="958">
        <v>0</v>
      </c>
      <c r="CZ178" s="958">
        <v>0</v>
      </c>
      <c r="DA178" s="958">
        <v>4</v>
      </c>
      <c r="DB178" s="958">
        <v>1</v>
      </c>
      <c r="DC178" s="958">
        <v>2</v>
      </c>
      <c r="DD178" s="958">
        <v>11</v>
      </c>
      <c r="DE178" s="958">
        <v>13</v>
      </c>
      <c r="DF178" s="958">
        <v>8</v>
      </c>
      <c r="DG178" s="958">
        <v>11</v>
      </c>
      <c r="DH178" s="958">
        <v>8</v>
      </c>
      <c r="DI178" s="958">
        <v>9</v>
      </c>
      <c r="DJ178" s="960">
        <v>0</v>
      </c>
      <c r="DK178" s="960">
        <v>0</v>
      </c>
      <c r="DL178" s="960">
        <v>67</v>
      </c>
      <c r="DM178" s="161"/>
      <c r="DO178" s="788"/>
      <c r="DP178" s="788"/>
      <c r="DQ178" s="788"/>
      <c r="DR178" s="73"/>
      <c r="DS178" s="809" t="s">
        <v>461</v>
      </c>
      <c r="DT178" s="970"/>
      <c r="DU178" s="971">
        <v>2</v>
      </c>
      <c r="DV178" s="971">
        <v>2</v>
      </c>
      <c r="DW178" s="971">
        <v>2</v>
      </c>
      <c r="DX178" s="970"/>
      <c r="DY178" s="971">
        <v>1</v>
      </c>
      <c r="DZ178" s="970"/>
      <c r="EA178" s="971">
        <v>1</v>
      </c>
      <c r="EB178" s="971">
        <v>1</v>
      </c>
      <c r="EC178" s="971">
        <v>6</v>
      </c>
      <c r="ED178" s="971">
        <v>4</v>
      </c>
      <c r="EE178" s="971">
        <v>11</v>
      </c>
      <c r="EF178" s="971">
        <v>31</v>
      </c>
      <c r="EG178" s="971">
        <v>12</v>
      </c>
      <c r="EH178" s="971">
        <v>10</v>
      </c>
      <c r="EI178" s="973">
        <v>8</v>
      </c>
      <c r="EJ178" s="973">
        <v>7</v>
      </c>
      <c r="EK178" s="973">
        <v>98</v>
      </c>
      <c r="EL178" s="912">
        <f>+(EK177+EK176+EK174-EI176)/EK178</f>
        <v>0.20408163265306123</v>
      </c>
      <c r="EM178" s="73"/>
      <c r="EN178" s="965"/>
      <c r="EO178" s="965"/>
      <c r="EP178" s="965"/>
      <c r="EQ178" s="734" t="s">
        <v>1292</v>
      </c>
      <c r="ER178" s="735">
        <v>0</v>
      </c>
      <c r="ES178" s="966"/>
      <c r="ET178" s="735">
        <v>0</v>
      </c>
      <c r="EU178" s="735">
        <v>0</v>
      </c>
      <c r="EV178" s="735">
        <v>1</v>
      </c>
      <c r="EW178" s="735">
        <v>1</v>
      </c>
      <c r="EX178" s="735">
        <v>0</v>
      </c>
      <c r="EY178" s="735">
        <v>0</v>
      </c>
      <c r="EZ178" s="735">
        <v>0</v>
      </c>
      <c r="FA178" s="735">
        <v>0</v>
      </c>
      <c r="FB178" s="735">
        <v>4</v>
      </c>
      <c r="FC178" s="966"/>
      <c r="FD178" s="966"/>
      <c r="FE178" s="735">
        <v>6</v>
      </c>
      <c r="FF178" s="967"/>
      <c r="FG178" s="73"/>
      <c r="FH178" s="73"/>
      <c r="FI178" s="161"/>
      <c r="FJ178" s="161"/>
      <c r="FK178" s="161"/>
      <c r="FL178" s="73" t="s">
        <v>1292</v>
      </c>
      <c r="FM178" s="73">
        <v>0</v>
      </c>
      <c r="FN178" s="73">
        <v>0</v>
      </c>
      <c r="FO178" s="73">
        <v>0</v>
      </c>
      <c r="FP178" s="73"/>
      <c r="FQ178" s="73"/>
      <c r="FR178" s="73">
        <v>0</v>
      </c>
      <c r="FS178" s="73">
        <v>0</v>
      </c>
      <c r="FT178" s="73">
        <v>0</v>
      </c>
      <c r="FU178" s="73">
        <v>0</v>
      </c>
      <c r="FV178" s="73">
        <v>0</v>
      </c>
      <c r="FW178" s="73">
        <v>1</v>
      </c>
      <c r="FX178" s="73">
        <v>0</v>
      </c>
      <c r="FY178" s="73">
        <v>0</v>
      </c>
      <c r="FZ178" s="73"/>
      <c r="GA178" s="73"/>
      <c r="GB178" s="73">
        <v>2</v>
      </c>
      <c r="GC178" s="73">
        <v>3</v>
      </c>
      <c r="GD178" s="73"/>
      <c r="GE178" s="73"/>
      <c r="GF178" s="968"/>
      <c r="GG178" s="968"/>
      <c r="GH178" s="968"/>
      <c r="GI178" s="968" t="s">
        <v>1292</v>
      </c>
      <c r="GJ178" s="968">
        <v>0</v>
      </c>
      <c r="GK178" s="968">
        <v>0</v>
      </c>
      <c r="GL178" s="968">
        <v>0</v>
      </c>
      <c r="GM178" s="968">
        <v>0</v>
      </c>
      <c r="GN178" s="968">
        <v>0</v>
      </c>
      <c r="GO178" s="968">
        <v>0</v>
      </c>
      <c r="GP178" s="968">
        <v>0</v>
      </c>
      <c r="GQ178" s="968">
        <v>0</v>
      </c>
      <c r="GR178" s="968">
        <v>0</v>
      </c>
      <c r="GS178" s="968">
        <v>0</v>
      </c>
      <c r="GT178" s="968">
        <v>0</v>
      </c>
      <c r="GU178" s="968">
        <v>0</v>
      </c>
      <c r="GV178" s="968">
        <v>1</v>
      </c>
      <c r="GW178" s="968">
        <v>0</v>
      </c>
      <c r="GX178" s="968">
        <v>0</v>
      </c>
      <c r="GY178" s="968">
        <v>0</v>
      </c>
      <c r="GZ178" s="968">
        <v>1</v>
      </c>
      <c r="HA178" s="968"/>
      <c r="HB178" s="969"/>
    </row>
    <row r="179" spans="1:210" ht="15.75" thickBot="1">
      <c r="A179" s="73"/>
      <c r="B179" s="73"/>
      <c r="C179" s="738"/>
      <c r="D179" s="738" t="s">
        <v>1288</v>
      </c>
      <c r="E179" s="4694"/>
      <c r="F179" s="4694"/>
      <c r="G179" s="4694"/>
      <c r="H179" s="4694"/>
      <c r="I179" s="4694"/>
      <c r="J179" s="4694"/>
      <c r="K179" s="4694"/>
      <c r="L179" s="4694"/>
      <c r="M179" s="4694"/>
      <c r="N179" s="4694"/>
      <c r="O179" s="4694"/>
      <c r="P179" s="4694"/>
      <c r="Q179" s="4694"/>
      <c r="R179" s="4694"/>
      <c r="S179" s="4694">
        <v>1</v>
      </c>
      <c r="T179" s="738"/>
      <c r="U179" s="738">
        <v>0</v>
      </c>
      <c r="V179" s="738">
        <v>1</v>
      </c>
      <c r="W179" s="73"/>
      <c r="Y179" s="73"/>
      <c r="Z179" s="73"/>
      <c r="AA179" s="73"/>
      <c r="AB179" s="73" t="s">
        <v>1398</v>
      </c>
      <c r="AC179" s="3261"/>
      <c r="AD179" s="3261"/>
      <c r="AE179" s="3261"/>
      <c r="AF179" s="3261"/>
      <c r="AG179" s="3261"/>
      <c r="AH179" s="3261"/>
      <c r="AI179" s="3261"/>
      <c r="AJ179" s="3261">
        <v>0</v>
      </c>
      <c r="AK179" s="3261"/>
      <c r="AL179" s="3261">
        <v>6</v>
      </c>
      <c r="AM179" s="3261">
        <v>0</v>
      </c>
      <c r="AN179" s="3261"/>
      <c r="AO179" s="3261"/>
      <c r="AP179" s="3261"/>
      <c r="AQ179" s="3261">
        <v>0</v>
      </c>
      <c r="AR179" s="161"/>
      <c r="AS179" s="161"/>
      <c r="AT179" s="161">
        <v>6</v>
      </c>
      <c r="AU179" s="73"/>
      <c r="AY179" s="73"/>
      <c r="AZ179" s="738" t="s">
        <v>573</v>
      </c>
      <c r="BA179" s="2608"/>
      <c r="BB179" s="2608">
        <v>1</v>
      </c>
      <c r="BC179" s="2608"/>
      <c r="BD179" s="2608"/>
      <c r="BE179" s="2608">
        <v>1</v>
      </c>
      <c r="BF179" s="2608"/>
      <c r="BG179" s="2608"/>
      <c r="BH179" s="2608"/>
      <c r="BI179" s="2608"/>
      <c r="BJ179" s="2608">
        <v>5</v>
      </c>
      <c r="BK179" s="2608">
        <v>2</v>
      </c>
      <c r="BL179" s="2608"/>
      <c r="BM179" s="2608"/>
      <c r="BN179" s="2608"/>
      <c r="BO179" s="2608"/>
      <c r="BP179" s="738"/>
      <c r="BQ179" s="738">
        <v>1</v>
      </c>
      <c r="BR179" s="738">
        <v>10</v>
      </c>
      <c r="BS179" s="912">
        <f>+BR178/BR179</f>
        <v>0.3</v>
      </c>
      <c r="BU179" s="2207"/>
      <c r="BV179" s="2207"/>
      <c r="BW179" s="2207"/>
      <c r="BX179" s="2208" t="s">
        <v>1398</v>
      </c>
      <c r="BY179" s="2209"/>
      <c r="BZ179" s="2209"/>
      <c r="CA179" s="2209"/>
      <c r="CB179" s="2209"/>
      <c r="CC179" s="2209"/>
      <c r="CD179" s="2210">
        <v>0</v>
      </c>
      <c r="CE179" s="2209"/>
      <c r="CF179" s="2210">
        <v>2</v>
      </c>
      <c r="CG179" s="2209"/>
      <c r="CH179" s="2209"/>
      <c r="CI179" s="2209"/>
      <c r="CJ179" s="2209"/>
      <c r="CK179" s="2209"/>
      <c r="CL179" s="2211"/>
      <c r="CM179" s="2211"/>
      <c r="CN179" s="2212">
        <v>2</v>
      </c>
      <c r="CO179" s="73"/>
      <c r="CQ179" s="1006"/>
      <c r="CR179" s="1006"/>
      <c r="CS179" s="1006"/>
      <c r="CT179" s="1007" t="s">
        <v>114</v>
      </c>
      <c r="CU179" s="1008">
        <v>1</v>
      </c>
      <c r="CV179" s="1008">
        <v>7</v>
      </c>
      <c r="CW179" s="1008">
        <v>6</v>
      </c>
      <c r="CX179" s="1008">
        <v>7</v>
      </c>
      <c r="CY179" s="1008">
        <v>3</v>
      </c>
      <c r="CZ179" s="1008">
        <v>3</v>
      </c>
      <c r="DA179" s="1008">
        <v>17</v>
      </c>
      <c r="DB179" s="1008">
        <v>11</v>
      </c>
      <c r="DC179" s="1008">
        <v>10</v>
      </c>
      <c r="DD179" s="1008">
        <v>20</v>
      </c>
      <c r="DE179" s="1008">
        <v>26</v>
      </c>
      <c r="DF179" s="1008">
        <v>16</v>
      </c>
      <c r="DG179" s="1008">
        <v>35</v>
      </c>
      <c r="DH179" s="1008">
        <v>48</v>
      </c>
      <c r="DI179" s="1008">
        <v>61</v>
      </c>
      <c r="DJ179" s="1009">
        <v>9</v>
      </c>
      <c r="DK179" s="1009">
        <v>28</v>
      </c>
      <c r="DL179" s="1009">
        <v>308</v>
      </c>
      <c r="DM179" s="939">
        <f>+(DL174+DL177+DL178)/DL179</f>
        <v>0.36688311688311687</v>
      </c>
      <c r="DO179" s="788"/>
      <c r="DP179" s="788"/>
      <c r="DQ179" s="809" t="s">
        <v>114</v>
      </c>
      <c r="DR179" s="788" t="s">
        <v>1282</v>
      </c>
      <c r="DS179" s="789" t="s">
        <v>1283</v>
      </c>
      <c r="DT179" s="962">
        <v>0</v>
      </c>
      <c r="DU179" s="962">
        <v>0</v>
      </c>
      <c r="DV179" s="962">
        <v>0</v>
      </c>
      <c r="DW179" s="962">
        <v>0</v>
      </c>
      <c r="DX179" s="962">
        <v>0</v>
      </c>
      <c r="DY179" s="962">
        <v>0</v>
      </c>
      <c r="DZ179" s="962">
        <v>0</v>
      </c>
      <c r="EA179" s="962">
        <v>0</v>
      </c>
      <c r="EB179" s="962">
        <v>0</v>
      </c>
      <c r="EC179" s="962">
        <v>0</v>
      </c>
      <c r="ED179" s="962">
        <v>0</v>
      </c>
      <c r="EE179" s="962">
        <v>0</v>
      </c>
      <c r="EF179" s="962">
        <v>0</v>
      </c>
      <c r="EG179" s="962">
        <v>0</v>
      </c>
      <c r="EH179" s="962">
        <v>4</v>
      </c>
      <c r="EI179" s="964">
        <v>1</v>
      </c>
      <c r="EJ179" s="964">
        <v>0</v>
      </c>
      <c r="EK179" s="964">
        <v>5</v>
      </c>
      <c r="EL179" s="912"/>
      <c r="EM179" s="73"/>
      <c r="EN179" s="965"/>
      <c r="EO179" s="965"/>
      <c r="EP179" s="965"/>
      <c r="EQ179" s="734" t="s">
        <v>1293</v>
      </c>
      <c r="ER179" s="735">
        <v>0</v>
      </c>
      <c r="ES179" s="966"/>
      <c r="ET179" s="735">
        <v>0</v>
      </c>
      <c r="EU179" s="735">
        <v>0</v>
      </c>
      <c r="EV179" s="735">
        <v>0</v>
      </c>
      <c r="EW179" s="735">
        <v>1</v>
      </c>
      <c r="EX179" s="735">
        <v>0</v>
      </c>
      <c r="EY179" s="735">
        <v>0</v>
      </c>
      <c r="EZ179" s="735">
        <v>0</v>
      </c>
      <c r="FA179" s="735">
        <v>1</v>
      </c>
      <c r="FB179" s="735">
        <v>0</v>
      </c>
      <c r="FC179" s="966"/>
      <c r="FD179" s="966"/>
      <c r="FE179" s="735">
        <v>2</v>
      </c>
      <c r="FF179" s="967"/>
      <c r="FG179" s="73"/>
      <c r="FH179" s="73"/>
      <c r="FI179" s="161"/>
      <c r="FJ179" s="161"/>
      <c r="FK179" s="161"/>
      <c r="FL179" s="73" t="s">
        <v>1293</v>
      </c>
      <c r="FM179" s="73">
        <v>0</v>
      </c>
      <c r="FN179" s="73">
        <v>0</v>
      </c>
      <c r="FO179" s="73">
        <v>0</v>
      </c>
      <c r="FP179" s="73"/>
      <c r="FQ179" s="73"/>
      <c r="FR179" s="73">
        <v>0</v>
      </c>
      <c r="FS179" s="73">
        <v>0</v>
      </c>
      <c r="FT179" s="73">
        <v>0</v>
      </c>
      <c r="FU179" s="73">
        <v>2</v>
      </c>
      <c r="FV179" s="73">
        <v>2</v>
      </c>
      <c r="FW179" s="73">
        <v>1</v>
      </c>
      <c r="FX179" s="73">
        <v>0</v>
      </c>
      <c r="FY179" s="73">
        <v>0</v>
      </c>
      <c r="FZ179" s="73"/>
      <c r="GA179" s="73"/>
      <c r="GB179" s="73">
        <v>0</v>
      </c>
      <c r="GC179" s="73">
        <v>5</v>
      </c>
      <c r="GD179" s="73"/>
      <c r="GE179" s="73"/>
      <c r="GF179" s="968"/>
      <c r="GG179" s="968"/>
      <c r="GH179" s="968"/>
      <c r="GI179" s="968" t="s">
        <v>1398</v>
      </c>
      <c r="GJ179" s="968">
        <v>0</v>
      </c>
      <c r="GK179" s="968">
        <v>0</v>
      </c>
      <c r="GL179" s="968">
        <v>0</v>
      </c>
      <c r="GM179" s="968">
        <v>0</v>
      </c>
      <c r="GN179" s="968">
        <v>0</v>
      </c>
      <c r="GO179" s="968">
        <v>0</v>
      </c>
      <c r="GP179" s="968">
        <v>0</v>
      </c>
      <c r="GQ179" s="968">
        <v>0</v>
      </c>
      <c r="GR179" s="968">
        <v>0</v>
      </c>
      <c r="GS179" s="968">
        <v>0</v>
      </c>
      <c r="GT179" s="968">
        <v>1</v>
      </c>
      <c r="GU179" s="968">
        <v>3</v>
      </c>
      <c r="GV179" s="968">
        <v>0</v>
      </c>
      <c r="GW179" s="968">
        <v>0</v>
      </c>
      <c r="GX179" s="968">
        <v>0</v>
      </c>
      <c r="GY179" s="968">
        <v>0</v>
      </c>
      <c r="GZ179" s="968">
        <v>4</v>
      </c>
      <c r="HA179" s="968"/>
      <c r="HB179" s="969"/>
    </row>
    <row r="180" spans="1:210">
      <c r="A180" s="73"/>
      <c r="B180" s="73"/>
      <c r="C180" s="738"/>
      <c r="D180" s="738" t="s">
        <v>1292</v>
      </c>
      <c r="E180" s="4694"/>
      <c r="F180" s="4694"/>
      <c r="G180" s="4694"/>
      <c r="H180" s="4694"/>
      <c r="I180" s="4694"/>
      <c r="J180" s="4694"/>
      <c r="K180" s="4694"/>
      <c r="L180" s="4694"/>
      <c r="M180" s="4694"/>
      <c r="N180" s="4694"/>
      <c r="O180" s="4694"/>
      <c r="P180" s="4694"/>
      <c r="Q180" s="4694"/>
      <c r="R180" s="4694"/>
      <c r="S180" s="4694">
        <v>0</v>
      </c>
      <c r="T180" s="738"/>
      <c r="U180" s="738">
        <v>5</v>
      </c>
      <c r="V180" s="738">
        <v>5</v>
      </c>
      <c r="W180" s="73"/>
      <c r="Y180" s="73"/>
      <c r="Z180" s="73"/>
      <c r="AA180" s="73"/>
      <c r="AB180" s="738" t="s">
        <v>15</v>
      </c>
      <c r="AC180" s="3262"/>
      <c r="AD180" s="3262"/>
      <c r="AE180" s="3262"/>
      <c r="AF180" s="3262"/>
      <c r="AG180" s="3262"/>
      <c r="AH180" s="3262"/>
      <c r="AI180" s="3262"/>
      <c r="AJ180" s="3262">
        <v>1</v>
      </c>
      <c r="AK180" s="3262"/>
      <c r="AL180" s="3262">
        <v>13</v>
      </c>
      <c r="AM180" s="3262">
        <v>1</v>
      </c>
      <c r="AN180" s="3262"/>
      <c r="AO180" s="3262"/>
      <c r="AP180" s="3262"/>
      <c r="AQ180" s="3262">
        <v>2</v>
      </c>
      <c r="AR180" s="151"/>
      <c r="AS180" s="151"/>
      <c r="AT180" s="151">
        <v>17</v>
      </c>
      <c r="AU180" s="912">
        <f>+(AT177+AT179)/AT180</f>
        <v>0.41176470588235292</v>
      </c>
      <c r="AX180" s="161" t="s">
        <v>64</v>
      </c>
      <c r="AY180" s="73" t="s">
        <v>710</v>
      </c>
      <c r="AZ180" s="73" t="s">
        <v>1284</v>
      </c>
      <c r="BA180" s="2607"/>
      <c r="BB180" s="2607"/>
      <c r="BC180" s="2607"/>
      <c r="BD180" s="2607"/>
      <c r="BE180" s="2607"/>
      <c r="BF180" s="2607"/>
      <c r="BG180" s="2607"/>
      <c r="BH180" s="2607"/>
      <c r="BI180" s="2607"/>
      <c r="BJ180" s="2607"/>
      <c r="BK180" s="2607">
        <v>1</v>
      </c>
      <c r="BL180" s="2607"/>
      <c r="BM180" s="2607">
        <v>1</v>
      </c>
      <c r="BN180" s="2607">
        <v>1</v>
      </c>
      <c r="BO180" s="2607">
        <v>0</v>
      </c>
      <c r="BP180" s="73">
        <v>0</v>
      </c>
      <c r="BQ180" s="73"/>
      <c r="BR180" s="73">
        <v>3</v>
      </c>
      <c r="BS180" s="73"/>
      <c r="BU180" s="2207"/>
      <c r="BV180" s="2207"/>
      <c r="BW180" s="2207"/>
      <c r="BX180" s="2204" t="s">
        <v>573</v>
      </c>
      <c r="BY180" s="2213"/>
      <c r="BZ180" s="2213"/>
      <c r="CA180" s="2213"/>
      <c r="CB180" s="2213"/>
      <c r="CC180" s="2213"/>
      <c r="CD180" s="2214">
        <v>2</v>
      </c>
      <c r="CE180" s="2213"/>
      <c r="CF180" s="2214">
        <v>10</v>
      </c>
      <c r="CG180" s="2213"/>
      <c r="CH180" s="2213"/>
      <c r="CI180" s="2213"/>
      <c r="CJ180" s="2213"/>
      <c r="CK180" s="2213"/>
      <c r="CL180" s="2215"/>
      <c r="CM180" s="2215"/>
      <c r="CN180" s="2216">
        <v>12</v>
      </c>
      <c r="CO180" s="2154">
        <f>+CN179/CN180</f>
        <v>0.16666666666666666</v>
      </c>
      <c r="DO180" s="788"/>
      <c r="DP180" s="788"/>
      <c r="DQ180" s="788"/>
      <c r="DR180" s="788"/>
      <c r="DS180" s="789" t="s">
        <v>1284</v>
      </c>
      <c r="DT180" s="962">
        <v>3</v>
      </c>
      <c r="DU180" s="962">
        <v>3</v>
      </c>
      <c r="DV180" s="962">
        <v>4</v>
      </c>
      <c r="DW180" s="962">
        <v>4</v>
      </c>
      <c r="DX180" s="962">
        <v>1</v>
      </c>
      <c r="DY180" s="962">
        <v>1</v>
      </c>
      <c r="DZ180" s="962">
        <v>4</v>
      </c>
      <c r="EA180" s="962">
        <v>2</v>
      </c>
      <c r="EB180" s="962">
        <v>2</v>
      </c>
      <c r="EC180" s="962">
        <v>8</v>
      </c>
      <c r="ED180" s="962">
        <v>2</v>
      </c>
      <c r="EE180" s="962">
        <v>10</v>
      </c>
      <c r="EF180" s="962">
        <v>31</v>
      </c>
      <c r="EG180" s="962">
        <v>14</v>
      </c>
      <c r="EH180" s="962">
        <v>7</v>
      </c>
      <c r="EI180" s="964">
        <v>5</v>
      </c>
      <c r="EJ180" s="964">
        <v>0</v>
      </c>
      <c r="EK180" s="964">
        <v>101</v>
      </c>
      <c r="EL180" s="912"/>
      <c r="EM180" s="73"/>
      <c r="EN180" s="965"/>
      <c r="EO180" s="965"/>
      <c r="EP180" s="965"/>
      <c r="EQ180" s="734" t="s">
        <v>1398</v>
      </c>
      <c r="ER180" s="735">
        <v>0</v>
      </c>
      <c r="ES180" s="966"/>
      <c r="ET180" s="735">
        <v>0</v>
      </c>
      <c r="EU180" s="735">
        <v>0</v>
      </c>
      <c r="EV180" s="735">
        <v>0</v>
      </c>
      <c r="EW180" s="735">
        <v>1</v>
      </c>
      <c r="EX180" s="735">
        <v>0</v>
      </c>
      <c r="EY180" s="735">
        <v>0</v>
      </c>
      <c r="EZ180" s="735">
        <v>0</v>
      </c>
      <c r="FA180" s="735">
        <v>0</v>
      </c>
      <c r="FB180" s="735">
        <v>0</v>
      </c>
      <c r="FC180" s="966"/>
      <c r="FD180" s="966"/>
      <c r="FE180" s="735">
        <v>1</v>
      </c>
      <c r="FF180" s="967"/>
      <c r="FG180" s="73"/>
      <c r="FH180" s="73"/>
      <c r="FI180" s="161"/>
      <c r="FJ180" s="161"/>
      <c r="FK180" s="161"/>
      <c r="FL180" s="73" t="s">
        <v>1398</v>
      </c>
      <c r="FM180" s="73">
        <v>0</v>
      </c>
      <c r="FN180" s="73">
        <v>0</v>
      </c>
      <c r="FO180" s="73">
        <v>0</v>
      </c>
      <c r="FP180" s="73"/>
      <c r="FQ180" s="73"/>
      <c r="FR180" s="73">
        <v>0</v>
      </c>
      <c r="FS180" s="73">
        <v>1</v>
      </c>
      <c r="FT180" s="73">
        <v>0</v>
      </c>
      <c r="FU180" s="73">
        <v>2</v>
      </c>
      <c r="FV180" s="73">
        <v>1</v>
      </c>
      <c r="FW180" s="73">
        <v>0</v>
      </c>
      <c r="FX180" s="73">
        <v>0</v>
      </c>
      <c r="FY180" s="73">
        <v>1</v>
      </c>
      <c r="FZ180" s="73"/>
      <c r="GA180" s="73"/>
      <c r="GB180" s="73">
        <v>0</v>
      </c>
      <c r="GC180" s="73">
        <v>5</v>
      </c>
      <c r="GD180" s="73"/>
      <c r="GE180" s="73"/>
      <c r="GF180" s="968"/>
      <c r="GG180" s="968"/>
      <c r="GH180" s="968"/>
      <c r="GI180" s="979" t="s">
        <v>15</v>
      </c>
      <c r="GJ180" s="979">
        <v>0</v>
      </c>
      <c r="GK180" s="979">
        <v>0</v>
      </c>
      <c r="GL180" s="979">
        <v>1</v>
      </c>
      <c r="GM180" s="979">
        <v>0</v>
      </c>
      <c r="GN180" s="979">
        <v>2</v>
      </c>
      <c r="GO180" s="979">
        <v>2</v>
      </c>
      <c r="GP180" s="979">
        <v>1</v>
      </c>
      <c r="GQ180" s="979">
        <v>0</v>
      </c>
      <c r="GR180" s="979">
        <v>2</v>
      </c>
      <c r="GS180" s="979">
        <v>0</v>
      </c>
      <c r="GT180" s="979">
        <v>3</v>
      </c>
      <c r="GU180" s="979">
        <v>3</v>
      </c>
      <c r="GV180" s="979">
        <v>2</v>
      </c>
      <c r="GW180" s="979">
        <v>0</v>
      </c>
      <c r="GX180" s="979">
        <v>0</v>
      </c>
      <c r="GY180" s="979">
        <v>0</v>
      </c>
      <c r="GZ180" s="979">
        <v>16</v>
      </c>
      <c r="HA180" s="980">
        <f>+(GZ179+GZ176)/GZ180</f>
        <v>0.4375</v>
      </c>
      <c r="HB180" s="969">
        <f>+GZ176+GZ179</f>
        <v>7</v>
      </c>
    </row>
    <row r="181" spans="1:210">
      <c r="A181" s="73"/>
      <c r="B181" s="73"/>
      <c r="C181" s="738"/>
      <c r="D181" s="738" t="s">
        <v>1398</v>
      </c>
      <c r="E181" s="4694"/>
      <c r="F181" s="4694"/>
      <c r="G181" s="4694"/>
      <c r="H181" s="4694"/>
      <c r="I181" s="4694"/>
      <c r="J181" s="4694"/>
      <c r="K181" s="4694"/>
      <c r="L181" s="4694"/>
      <c r="M181" s="4694"/>
      <c r="N181" s="4694"/>
      <c r="O181" s="4694"/>
      <c r="P181" s="4694"/>
      <c r="Q181" s="4694"/>
      <c r="R181" s="4694"/>
      <c r="S181" s="4694">
        <v>1</v>
      </c>
      <c r="T181" s="738"/>
      <c r="U181" s="738">
        <v>0</v>
      </c>
      <c r="V181" s="738">
        <v>1</v>
      </c>
      <c r="W181" s="73"/>
      <c r="Y181" s="73"/>
      <c r="Z181" s="73"/>
      <c r="AA181" s="73" t="s">
        <v>573</v>
      </c>
      <c r="AB181" s="73" t="s">
        <v>1283</v>
      </c>
      <c r="AC181" s="3261"/>
      <c r="AD181" s="3261"/>
      <c r="AE181" s="3261"/>
      <c r="AF181" s="3261"/>
      <c r="AG181" s="3261"/>
      <c r="AH181" s="3261"/>
      <c r="AI181" s="3261"/>
      <c r="AJ181" s="3261">
        <v>0</v>
      </c>
      <c r="AK181" s="3261"/>
      <c r="AL181" s="3261">
        <v>0</v>
      </c>
      <c r="AM181" s="3261">
        <v>0</v>
      </c>
      <c r="AN181" s="3261"/>
      <c r="AO181" s="3261"/>
      <c r="AP181" s="3261"/>
      <c r="AQ181" s="3261">
        <v>1</v>
      </c>
      <c r="AR181" s="161"/>
      <c r="AS181" s="161"/>
      <c r="AT181" s="161">
        <v>1</v>
      </c>
      <c r="AU181" s="73"/>
      <c r="AY181" s="73"/>
      <c r="AZ181" s="73" t="s">
        <v>1292</v>
      </c>
      <c r="BA181" s="2607"/>
      <c r="BB181" s="2607"/>
      <c r="BC181" s="2607"/>
      <c r="BD181" s="2607"/>
      <c r="BE181" s="2607"/>
      <c r="BF181" s="2607"/>
      <c r="BG181" s="2607"/>
      <c r="BH181" s="2607"/>
      <c r="BI181" s="2607"/>
      <c r="BJ181" s="2607"/>
      <c r="BK181" s="2607">
        <v>0</v>
      </c>
      <c r="BL181" s="2607"/>
      <c r="BM181" s="2607">
        <v>0</v>
      </c>
      <c r="BN181" s="2607">
        <v>0</v>
      </c>
      <c r="BO181" s="2607">
        <v>2</v>
      </c>
      <c r="BP181" s="73">
        <v>1</v>
      </c>
      <c r="BQ181" s="73"/>
      <c r="BR181" s="73">
        <v>3</v>
      </c>
      <c r="BS181" s="73"/>
      <c r="BU181" s="2207"/>
      <c r="BV181" s="2207"/>
      <c r="BW181" s="2207" t="s">
        <v>265</v>
      </c>
      <c r="BX181" s="2208" t="s">
        <v>1284</v>
      </c>
      <c r="BY181" s="2209"/>
      <c r="BZ181" s="2209"/>
      <c r="CA181" s="2209"/>
      <c r="CB181" s="2209"/>
      <c r="CC181" s="2209"/>
      <c r="CD181" s="2210">
        <v>0</v>
      </c>
      <c r="CE181" s="2209"/>
      <c r="CF181" s="2210">
        <v>8</v>
      </c>
      <c r="CG181" s="2209"/>
      <c r="CH181" s="2209"/>
      <c r="CI181" s="2209"/>
      <c r="CJ181" s="2209"/>
      <c r="CK181" s="2209"/>
      <c r="CL181" s="2211"/>
      <c r="CM181" s="2211"/>
      <c r="CN181" s="2212">
        <v>8</v>
      </c>
      <c r="CO181" s="73"/>
      <c r="CQ181" s="1010" t="s">
        <v>1410</v>
      </c>
      <c r="DO181" s="788"/>
      <c r="DP181" s="788"/>
      <c r="DQ181" s="788"/>
      <c r="DR181" s="788"/>
      <c r="DS181" s="789" t="s">
        <v>1286</v>
      </c>
      <c r="DT181" s="962">
        <v>0</v>
      </c>
      <c r="DU181" s="962">
        <v>0</v>
      </c>
      <c r="DV181" s="962">
        <v>0</v>
      </c>
      <c r="DW181" s="962">
        <v>0</v>
      </c>
      <c r="DX181" s="962">
        <v>0</v>
      </c>
      <c r="DY181" s="962">
        <v>0</v>
      </c>
      <c r="DZ181" s="962">
        <v>0</v>
      </c>
      <c r="EA181" s="962">
        <v>0</v>
      </c>
      <c r="EB181" s="962">
        <v>0</v>
      </c>
      <c r="EC181" s="962">
        <v>1</v>
      </c>
      <c r="ED181" s="962">
        <v>0</v>
      </c>
      <c r="EE181" s="962">
        <v>0</v>
      </c>
      <c r="EF181" s="962">
        <v>0</v>
      </c>
      <c r="EG181" s="962">
        <v>0</v>
      </c>
      <c r="EH181" s="962">
        <v>0</v>
      </c>
      <c r="EI181" s="964">
        <v>0</v>
      </c>
      <c r="EJ181" s="964">
        <v>0</v>
      </c>
      <c r="EK181" s="964">
        <v>1</v>
      </c>
      <c r="EL181" s="912"/>
      <c r="EM181" s="73"/>
      <c r="EN181" s="965"/>
      <c r="EO181" s="965"/>
      <c r="EP181" s="965"/>
      <c r="EQ181" s="981" t="s">
        <v>107</v>
      </c>
      <c r="ER181" s="740">
        <v>1</v>
      </c>
      <c r="ES181" s="982"/>
      <c r="ET181" s="740">
        <v>6</v>
      </c>
      <c r="EU181" s="740">
        <v>3</v>
      </c>
      <c r="EV181" s="740">
        <v>5</v>
      </c>
      <c r="EW181" s="740">
        <v>3</v>
      </c>
      <c r="EX181" s="740">
        <v>1</v>
      </c>
      <c r="EY181" s="740">
        <v>1</v>
      </c>
      <c r="EZ181" s="740">
        <v>1</v>
      </c>
      <c r="FA181" s="740">
        <v>2</v>
      </c>
      <c r="FB181" s="740">
        <v>4</v>
      </c>
      <c r="FC181" s="982"/>
      <c r="FD181" s="982"/>
      <c r="FE181" s="740">
        <v>27</v>
      </c>
      <c r="FF181" s="905">
        <f>+(FE180+FE179+FE176)/FE181</f>
        <v>0.14814814814814814</v>
      </c>
      <c r="FG181" s="73"/>
      <c r="FH181" s="73"/>
      <c r="FI181" s="161"/>
      <c r="FJ181" s="161"/>
      <c r="FK181" s="161"/>
      <c r="FL181" s="738" t="s">
        <v>15</v>
      </c>
      <c r="FM181" s="738">
        <v>2</v>
      </c>
      <c r="FN181" s="738">
        <v>1</v>
      </c>
      <c r="FO181" s="738">
        <v>2</v>
      </c>
      <c r="FP181" s="738"/>
      <c r="FQ181" s="738"/>
      <c r="FR181" s="738">
        <v>2</v>
      </c>
      <c r="FS181" s="738">
        <v>5</v>
      </c>
      <c r="FT181" s="738">
        <v>2</v>
      </c>
      <c r="FU181" s="738">
        <v>19</v>
      </c>
      <c r="FV181" s="738">
        <v>9</v>
      </c>
      <c r="FW181" s="738">
        <v>3</v>
      </c>
      <c r="FX181" s="738">
        <v>4</v>
      </c>
      <c r="FY181" s="738">
        <v>1</v>
      </c>
      <c r="FZ181" s="738"/>
      <c r="GA181" s="738"/>
      <c r="GB181" s="738">
        <v>2</v>
      </c>
      <c r="GC181" s="738">
        <v>52</v>
      </c>
      <c r="GD181" s="983">
        <f>+(GC176+GC179+GC180)/GC181</f>
        <v>0.26923076923076922</v>
      </c>
      <c r="GE181" s="73"/>
      <c r="GF181" s="968"/>
      <c r="GG181" s="968"/>
      <c r="GH181" s="968" t="s">
        <v>25</v>
      </c>
      <c r="GI181" s="968" t="s">
        <v>1283</v>
      </c>
      <c r="GJ181" s="968">
        <v>0</v>
      </c>
      <c r="GK181" s="968">
        <v>0</v>
      </c>
      <c r="GL181" s="968">
        <v>0</v>
      </c>
      <c r="GM181" s="968">
        <v>0</v>
      </c>
      <c r="GN181" s="968">
        <v>0</v>
      </c>
      <c r="GO181" s="968">
        <v>1</v>
      </c>
      <c r="GP181" s="968">
        <v>0</v>
      </c>
      <c r="GQ181" s="968">
        <v>0</v>
      </c>
      <c r="GR181" s="968">
        <v>0</v>
      </c>
      <c r="GS181" s="968">
        <v>0</v>
      </c>
      <c r="GT181" s="968">
        <v>0</v>
      </c>
      <c r="GU181" s="968">
        <v>0</v>
      </c>
      <c r="GV181" s="968">
        <v>0</v>
      </c>
      <c r="GW181" s="968">
        <v>1</v>
      </c>
      <c r="GX181" s="968">
        <v>0</v>
      </c>
      <c r="GY181" s="968">
        <v>0</v>
      </c>
      <c r="GZ181" s="968">
        <v>2</v>
      </c>
      <c r="HA181" s="968"/>
      <c r="HB181" s="969"/>
    </row>
    <row r="182" spans="1:210">
      <c r="A182" s="73"/>
      <c r="B182" s="73"/>
      <c r="C182" s="738"/>
      <c r="D182" s="738" t="s">
        <v>573</v>
      </c>
      <c r="E182" s="4694"/>
      <c r="F182" s="4694"/>
      <c r="G182" s="4694"/>
      <c r="H182" s="4694"/>
      <c r="I182" s="4694"/>
      <c r="J182" s="4694"/>
      <c r="K182" s="4694"/>
      <c r="L182" s="4694"/>
      <c r="M182" s="4694"/>
      <c r="N182" s="4694"/>
      <c r="O182" s="4694"/>
      <c r="P182" s="4694"/>
      <c r="Q182" s="4694"/>
      <c r="R182" s="4694"/>
      <c r="S182" s="4694">
        <v>4</v>
      </c>
      <c r="T182" s="738"/>
      <c r="U182" s="738">
        <v>5</v>
      </c>
      <c r="V182" s="738">
        <v>9</v>
      </c>
      <c r="W182" s="912">
        <f>+(V181+V179)/V182</f>
        <v>0.22222222222222221</v>
      </c>
      <c r="X182" s="3197"/>
      <c r="Y182" s="73"/>
      <c r="Z182" s="73"/>
      <c r="AA182" s="73"/>
      <c r="AB182" s="73" t="s">
        <v>1284</v>
      </c>
      <c r="AC182" s="3261"/>
      <c r="AD182" s="3261"/>
      <c r="AE182" s="3261"/>
      <c r="AF182" s="3261"/>
      <c r="AG182" s="3261"/>
      <c r="AH182" s="3261"/>
      <c r="AI182" s="3261"/>
      <c r="AJ182" s="3261">
        <v>0</v>
      </c>
      <c r="AK182" s="3261"/>
      <c r="AL182" s="3261">
        <v>6</v>
      </c>
      <c r="AM182" s="3261">
        <v>1</v>
      </c>
      <c r="AN182" s="3261"/>
      <c r="AO182" s="3261"/>
      <c r="AP182" s="3261"/>
      <c r="AQ182" s="3261">
        <v>0</v>
      </c>
      <c r="AR182" s="161"/>
      <c r="AS182" s="161"/>
      <c r="AT182" s="161">
        <v>7</v>
      </c>
      <c r="AU182" s="73"/>
      <c r="AY182" s="73"/>
      <c r="AZ182" s="73" t="s">
        <v>1398</v>
      </c>
      <c r="BA182" s="2607"/>
      <c r="BB182" s="2607"/>
      <c r="BC182" s="2607"/>
      <c r="BD182" s="2607"/>
      <c r="BE182" s="2607"/>
      <c r="BF182" s="2607"/>
      <c r="BG182" s="2607"/>
      <c r="BH182" s="2607"/>
      <c r="BI182" s="2607"/>
      <c r="BJ182" s="2607"/>
      <c r="BK182" s="2607">
        <v>1</v>
      </c>
      <c r="BL182" s="2607"/>
      <c r="BM182" s="2607">
        <v>0</v>
      </c>
      <c r="BN182" s="2607">
        <v>0</v>
      </c>
      <c r="BO182" s="2607">
        <v>0</v>
      </c>
      <c r="BP182" s="73">
        <v>0</v>
      </c>
      <c r="BQ182" s="73"/>
      <c r="BR182" s="73">
        <v>1</v>
      </c>
      <c r="BS182" s="73"/>
      <c r="BU182" s="2207"/>
      <c r="BV182" s="2207"/>
      <c r="BW182" s="2207"/>
      <c r="BX182" s="2208" t="s">
        <v>1286</v>
      </c>
      <c r="BY182" s="2209"/>
      <c r="BZ182" s="2209"/>
      <c r="CA182" s="2209"/>
      <c r="CB182" s="2209"/>
      <c r="CC182" s="2209"/>
      <c r="CD182" s="2210">
        <v>1</v>
      </c>
      <c r="CE182" s="2209"/>
      <c r="CF182" s="2210">
        <v>0</v>
      </c>
      <c r="CG182" s="2209"/>
      <c r="CH182" s="2209"/>
      <c r="CI182" s="2209"/>
      <c r="CJ182" s="2209"/>
      <c r="CK182" s="2209"/>
      <c r="CL182" s="2211"/>
      <c r="CM182" s="2211"/>
      <c r="CN182" s="2212">
        <v>1</v>
      </c>
      <c r="CO182" s="73"/>
      <c r="DO182" s="788"/>
      <c r="DP182" s="788"/>
      <c r="DQ182" s="788"/>
      <c r="DR182" s="788"/>
      <c r="DS182" s="789" t="s">
        <v>1288</v>
      </c>
      <c r="DT182" s="962">
        <v>0</v>
      </c>
      <c r="DU182" s="962">
        <v>0</v>
      </c>
      <c r="DV182" s="962">
        <v>0</v>
      </c>
      <c r="DW182" s="962">
        <v>0</v>
      </c>
      <c r="DX182" s="962">
        <v>0</v>
      </c>
      <c r="DY182" s="962">
        <v>0</v>
      </c>
      <c r="DZ182" s="962">
        <v>1</v>
      </c>
      <c r="EA182" s="962">
        <v>0</v>
      </c>
      <c r="EB182" s="962">
        <v>1</v>
      </c>
      <c r="EC182" s="962">
        <v>0</v>
      </c>
      <c r="ED182" s="962">
        <v>6</v>
      </c>
      <c r="EE182" s="962">
        <v>7</v>
      </c>
      <c r="EF182" s="962">
        <v>10</v>
      </c>
      <c r="EG182" s="962">
        <v>14</v>
      </c>
      <c r="EH182" s="962">
        <v>4</v>
      </c>
      <c r="EI182" s="964">
        <v>3</v>
      </c>
      <c r="EJ182" s="964">
        <v>0</v>
      </c>
      <c r="EK182" s="964">
        <v>46</v>
      </c>
      <c r="EL182" s="912"/>
      <c r="EM182" s="73"/>
      <c r="EN182" s="965"/>
      <c r="EO182" s="965"/>
      <c r="EP182" s="965" t="s">
        <v>111</v>
      </c>
      <c r="EQ182" s="734" t="s">
        <v>1283</v>
      </c>
      <c r="ER182" s="735">
        <v>0</v>
      </c>
      <c r="ES182" s="735">
        <v>0</v>
      </c>
      <c r="ET182" s="735">
        <v>0</v>
      </c>
      <c r="EU182" s="735">
        <v>1</v>
      </c>
      <c r="EV182" s="966"/>
      <c r="EW182" s="735">
        <v>0</v>
      </c>
      <c r="EX182" s="735">
        <v>0</v>
      </c>
      <c r="EY182" s="735">
        <v>1</v>
      </c>
      <c r="EZ182" s="735">
        <v>1</v>
      </c>
      <c r="FA182" s="735">
        <v>1</v>
      </c>
      <c r="FB182" s="735">
        <v>2</v>
      </c>
      <c r="FC182" s="735">
        <v>0</v>
      </c>
      <c r="FD182" s="735">
        <v>0</v>
      </c>
      <c r="FE182" s="735">
        <v>6</v>
      </c>
      <c r="FF182" s="967"/>
      <c r="FG182" s="73"/>
      <c r="FH182" s="73"/>
      <c r="FI182" s="161"/>
      <c r="FJ182" s="161"/>
      <c r="FK182" s="161" t="s">
        <v>25</v>
      </c>
      <c r="FL182" s="73" t="s">
        <v>1283</v>
      </c>
      <c r="FM182" s="73">
        <v>0</v>
      </c>
      <c r="FN182" s="73">
        <v>0</v>
      </c>
      <c r="FO182" s="73">
        <v>0</v>
      </c>
      <c r="FP182" s="73"/>
      <c r="FQ182" s="73">
        <v>1</v>
      </c>
      <c r="FR182" s="73">
        <v>0</v>
      </c>
      <c r="FS182" s="73">
        <v>0</v>
      </c>
      <c r="FT182" s="73"/>
      <c r="FU182" s="73">
        <v>0</v>
      </c>
      <c r="FV182" s="73">
        <v>0</v>
      </c>
      <c r="FW182" s="73">
        <v>0</v>
      </c>
      <c r="FX182" s="73">
        <v>0</v>
      </c>
      <c r="FY182" s="73">
        <v>1</v>
      </c>
      <c r="FZ182" s="73">
        <v>6</v>
      </c>
      <c r="GA182" s="73">
        <v>1</v>
      </c>
      <c r="GB182" s="73">
        <v>1</v>
      </c>
      <c r="GC182" s="73">
        <v>10</v>
      </c>
      <c r="GD182" s="73"/>
      <c r="GE182" s="73"/>
      <c r="GF182" s="968"/>
      <c r="GG182" s="968"/>
      <c r="GH182" s="968"/>
      <c r="GI182" s="968" t="s">
        <v>1284</v>
      </c>
      <c r="GJ182" s="968">
        <v>1</v>
      </c>
      <c r="GK182" s="968">
        <v>0</v>
      </c>
      <c r="GL182" s="968">
        <v>0</v>
      </c>
      <c r="GM182" s="968">
        <v>1</v>
      </c>
      <c r="GN182" s="968">
        <v>0</v>
      </c>
      <c r="GO182" s="968">
        <v>0</v>
      </c>
      <c r="GP182" s="968">
        <v>0</v>
      </c>
      <c r="GQ182" s="968">
        <v>1</v>
      </c>
      <c r="GR182" s="968">
        <v>3</v>
      </c>
      <c r="GS182" s="968">
        <v>1</v>
      </c>
      <c r="GT182" s="968">
        <v>2</v>
      </c>
      <c r="GU182" s="968">
        <v>2</v>
      </c>
      <c r="GV182" s="968">
        <v>0</v>
      </c>
      <c r="GW182" s="968">
        <v>1</v>
      </c>
      <c r="GX182" s="968">
        <v>0</v>
      </c>
      <c r="GY182" s="968">
        <v>0</v>
      </c>
      <c r="GZ182" s="968">
        <v>12</v>
      </c>
      <c r="HA182" s="968"/>
      <c r="HB182" s="969"/>
    </row>
    <row r="183" spans="1:210">
      <c r="A183" s="73"/>
      <c r="B183" s="73" t="s">
        <v>41</v>
      </c>
      <c r="C183" s="73" t="s">
        <v>146</v>
      </c>
      <c r="D183" s="73" t="s">
        <v>1284</v>
      </c>
      <c r="E183" s="967"/>
      <c r="F183" s="967"/>
      <c r="G183" s="967"/>
      <c r="H183" s="967"/>
      <c r="I183" s="967"/>
      <c r="J183" s="967"/>
      <c r="K183" s="967"/>
      <c r="L183" s="967"/>
      <c r="M183" s="967"/>
      <c r="N183" s="967">
        <v>3</v>
      </c>
      <c r="O183" s="967">
        <v>1</v>
      </c>
      <c r="P183" s="967"/>
      <c r="Q183" s="967">
        <v>0</v>
      </c>
      <c r="R183" s="967"/>
      <c r="S183" s="967">
        <v>0</v>
      </c>
      <c r="T183" s="73"/>
      <c r="U183" s="73"/>
      <c r="V183" s="73">
        <v>4</v>
      </c>
      <c r="W183" s="73"/>
      <c r="Y183" s="73"/>
      <c r="Z183" s="73"/>
      <c r="AA183" s="73"/>
      <c r="AB183" s="73" t="s">
        <v>1286</v>
      </c>
      <c r="AC183" s="3261"/>
      <c r="AD183" s="3261"/>
      <c r="AE183" s="3261"/>
      <c r="AF183" s="3261"/>
      <c r="AG183" s="3261"/>
      <c r="AH183" s="3261"/>
      <c r="AI183" s="3261"/>
      <c r="AJ183" s="3261">
        <v>1</v>
      </c>
      <c r="AK183" s="3261"/>
      <c r="AL183" s="3261">
        <v>0</v>
      </c>
      <c r="AM183" s="3261">
        <v>0</v>
      </c>
      <c r="AN183" s="3261"/>
      <c r="AO183" s="3261"/>
      <c r="AP183" s="3261"/>
      <c r="AQ183" s="3261">
        <v>0</v>
      </c>
      <c r="AR183" s="161"/>
      <c r="AS183" s="161"/>
      <c r="AT183" s="161">
        <v>1</v>
      </c>
      <c r="AU183" s="73"/>
      <c r="AY183" s="73"/>
      <c r="AZ183" s="738" t="s">
        <v>15</v>
      </c>
      <c r="BA183" s="2608"/>
      <c r="BB183" s="2608"/>
      <c r="BC183" s="2608"/>
      <c r="BD183" s="2608"/>
      <c r="BE183" s="2608"/>
      <c r="BF183" s="2608"/>
      <c r="BG183" s="2608"/>
      <c r="BH183" s="2608"/>
      <c r="BI183" s="2608"/>
      <c r="BJ183" s="2608"/>
      <c r="BK183" s="2608">
        <v>2</v>
      </c>
      <c r="BL183" s="2608"/>
      <c r="BM183" s="2608">
        <v>1</v>
      </c>
      <c r="BN183" s="2608">
        <v>1</v>
      </c>
      <c r="BO183" s="2608">
        <v>2</v>
      </c>
      <c r="BP183" s="738">
        <v>1</v>
      </c>
      <c r="BQ183" s="738"/>
      <c r="BR183" s="738">
        <v>7</v>
      </c>
      <c r="BS183" s="912">
        <f>+BR182/BR183</f>
        <v>0.14285714285714285</v>
      </c>
      <c r="BU183" s="2207"/>
      <c r="BV183" s="2207"/>
      <c r="BW183" s="2207"/>
      <c r="BX183" s="2208" t="s">
        <v>1289</v>
      </c>
      <c r="BY183" s="2209"/>
      <c r="BZ183" s="2209"/>
      <c r="CA183" s="2209"/>
      <c r="CB183" s="2209"/>
      <c r="CC183" s="2209"/>
      <c r="CD183" s="2210">
        <v>1</v>
      </c>
      <c r="CE183" s="2209"/>
      <c r="CF183" s="2210">
        <v>0</v>
      </c>
      <c r="CG183" s="2209"/>
      <c r="CH183" s="2209"/>
      <c r="CI183" s="2209"/>
      <c r="CJ183" s="2209"/>
      <c r="CK183" s="2209"/>
      <c r="CL183" s="2211"/>
      <c r="CM183" s="2211"/>
      <c r="CN183" s="2212">
        <v>1</v>
      </c>
      <c r="CO183" s="73"/>
      <c r="DO183" s="788"/>
      <c r="DP183" s="788"/>
      <c r="DQ183" s="788"/>
      <c r="DR183" s="788"/>
      <c r="DS183" s="789" t="s">
        <v>1289</v>
      </c>
      <c r="DT183" s="962">
        <v>0</v>
      </c>
      <c r="DU183" s="962">
        <v>0</v>
      </c>
      <c r="DV183" s="962">
        <v>1</v>
      </c>
      <c r="DW183" s="962">
        <v>0</v>
      </c>
      <c r="DX183" s="962">
        <v>0</v>
      </c>
      <c r="DY183" s="962">
        <v>1</v>
      </c>
      <c r="DZ183" s="962">
        <v>5</v>
      </c>
      <c r="EA183" s="962">
        <v>2</v>
      </c>
      <c r="EB183" s="962">
        <v>1</v>
      </c>
      <c r="EC183" s="962">
        <v>1</v>
      </c>
      <c r="ED183" s="962">
        <v>0</v>
      </c>
      <c r="EE183" s="962">
        <v>0</v>
      </c>
      <c r="EF183" s="962">
        <v>0</v>
      </c>
      <c r="EG183" s="962">
        <v>0</v>
      </c>
      <c r="EH183" s="962">
        <v>0</v>
      </c>
      <c r="EI183" s="964">
        <v>0</v>
      </c>
      <c r="EJ183" s="964">
        <v>0</v>
      </c>
      <c r="EK183" s="964">
        <v>11</v>
      </c>
      <c r="EL183" s="912"/>
      <c r="EM183" s="73"/>
      <c r="EN183" s="965"/>
      <c r="EO183" s="965"/>
      <c r="EP183" s="965"/>
      <c r="EQ183" s="734" t="s">
        <v>1284</v>
      </c>
      <c r="ER183" s="735">
        <v>1</v>
      </c>
      <c r="ES183" s="735">
        <v>0</v>
      </c>
      <c r="ET183" s="735">
        <v>2</v>
      </c>
      <c r="EU183" s="735">
        <v>0</v>
      </c>
      <c r="EV183" s="966"/>
      <c r="EW183" s="735">
        <v>1</v>
      </c>
      <c r="EX183" s="735">
        <v>2</v>
      </c>
      <c r="EY183" s="735">
        <v>3</v>
      </c>
      <c r="EZ183" s="735">
        <v>1</v>
      </c>
      <c r="FA183" s="735">
        <v>0</v>
      </c>
      <c r="FB183" s="735">
        <v>0</v>
      </c>
      <c r="FC183" s="735">
        <v>3</v>
      </c>
      <c r="FD183" s="735">
        <v>0</v>
      </c>
      <c r="FE183" s="735">
        <v>13</v>
      </c>
      <c r="FF183" s="967"/>
      <c r="FG183" s="73"/>
      <c r="FH183" s="73"/>
      <c r="FI183" s="161"/>
      <c r="FJ183" s="161"/>
      <c r="FK183" s="161"/>
      <c r="FL183" s="73" t="s">
        <v>1284</v>
      </c>
      <c r="FM183" s="73">
        <v>2</v>
      </c>
      <c r="FN183" s="73">
        <v>0</v>
      </c>
      <c r="FO183" s="73">
        <v>1</v>
      </c>
      <c r="FP183" s="73"/>
      <c r="FQ183" s="73">
        <v>1</v>
      </c>
      <c r="FR183" s="73">
        <v>0</v>
      </c>
      <c r="FS183" s="73">
        <v>1</v>
      </c>
      <c r="FT183" s="73"/>
      <c r="FU183" s="73">
        <v>3</v>
      </c>
      <c r="FV183" s="73">
        <v>5</v>
      </c>
      <c r="FW183" s="73">
        <v>3</v>
      </c>
      <c r="FX183" s="73">
        <v>2</v>
      </c>
      <c r="FY183" s="73">
        <v>3</v>
      </c>
      <c r="FZ183" s="73">
        <v>0</v>
      </c>
      <c r="GA183" s="73">
        <v>0</v>
      </c>
      <c r="GB183" s="73">
        <v>0</v>
      </c>
      <c r="GC183" s="73">
        <v>21</v>
      </c>
      <c r="GD183" s="73"/>
      <c r="GE183" s="73"/>
      <c r="GF183" s="968"/>
      <c r="GG183" s="968"/>
      <c r="GH183" s="968"/>
      <c r="GI183" s="968" t="s">
        <v>1286</v>
      </c>
      <c r="GJ183" s="968">
        <v>0</v>
      </c>
      <c r="GK183" s="968">
        <v>0</v>
      </c>
      <c r="GL183" s="968">
        <v>0</v>
      </c>
      <c r="GM183" s="968">
        <v>0</v>
      </c>
      <c r="GN183" s="968">
        <v>0</v>
      </c>
      <c r="GO183" s="968">
        <v>0</v>
      </c>
      <c r="GP183" s="968">
        <v>0</v>
      </c>
      <c r="GQ183" s="968">
        <v>1</v>
      </c>
      <c r="GR183" s="968">
        <v>0</v>
      </c>
      <c r="GS183" s="968">
        <v>0</v>
      </c>
      <c r="GT183" s="968">
        <v>0</v>
      </c>
      <c r="GU183" s="968">
        <v>0</v>
      </c>
      <c r="GV183" s="968">
        <v>0</v>
      </c>
      <c r="GW183" s="968">
        <v>0</v>
      </c>
      <c r="GX183" s="968">
        <v>0</v>
      </c>
      <c r="GY183" s="968">
        <v>0</v>
      </c>
      <c r="GZ183" s="968">
        <v>1</v>
      </c>
      <c r="HA183" s="968"/>
      <c r="HB183" s="969"/>
    </row>
    <row r="184" spans="1:210">
      <c r="A184" s="73"/>
      <c r="B184" s="73"/>
      <c r="C184" s="73"/>
      <c r="D184" s="73" t="s">
        <v>1288</v>
      </c>
      <c r="E184" s="967"/>
      <c r="F184" s="967"/>
      <c r="G184" s="967"/>
      <c r="H184" s="967"/>
      <c r="I184" s="967"/>
      <c r="J184" s="967"/>
      <c r="K184" s="967"/>
      <c r="L184" s="967"/>
      <c r="M184" s="967"/>
      <c r="N184" s="967">
        <v>2</v>
      </c>
      <c r="O184" s="967">
        <v>0</v>
      </c>
      <c r="P184" s="967"/>
      <c r="Q184" s="967">
        <v>1</v>
      </c>
      <c r="R184" s="967"/>
      <c r="S184" s="967">
        <v>0</v>
      </c>
      <c r="T184" s="73"/>
      <c r="U184" s="73"/>
      <c r="V184" s="73">
        <v>3</v>
      </c>
      <c r="W184" s="73"/>
      <c r="Y184" s="73"/>
      <c r="Z184" s="73"/>
      <c r="AA184" s="73"/>
      <c r="AB184" s="73" t="s">
        <v>1288</v>
      </c>
      <c r="AC184" s="3261"/>
      <c r="AD184" s="3261"/>
      <c r="AE184" s="3261"/>
      <c r="AF184" s="3261"/>
      <c r="AG184" s="3261"/>
      <c r="AH184" s="3261"/>
      <c r="AI184" s="3261"/>
      <c r="AJ184" s="3261">
        <v>0</v>
      </c>
      <c r="AK184" s="3261"/>
      <c r="AL184" s="3261">
        <v>1</v>
      </c>
      <c r="AM184" s="3261">
        <v>0</v>
      </c>
      <c r="AN184" s="3261"/>
      <c r="AO184" s="3261"/>
      <c r="AP184" s="3261"/>
      <c r="AQ184" s="3261">
        <v>0</v>
      </c>
      <c r="AR184" s="161"/>
      <c r="AS184" s="161"/>
      <c r="AT184" s="161">
        <v>1</v>
      </c>
      <c r="AU184" s="73"/>
      <c r="AY184" s="73" t="s">
        <v>577</v>
      </c>
      <c r="AZ184" s="73" t="s">
        <v>1284</v>
      </c>
      <c r="BA184" s="2607"/>
      <c r="BB184" s="2607"/>
      <c r="BC184" s="2607"/>
      <c r="BD184" s="2607"/>
      <c r="BE184" s="2607"/>
      <c r="BF184" s="2607"/>
      <c r="BG184" s="2607"/>
      <c r="BH184" s="2607"/>
      <c r="BI184" s="2607"/>
      <c r="BJ184" s="2607"/>
      <c r="BK184" s="2607">
        <v>1</v>
      </c>
      <c r="BL184" s="2607"/>
      <c r="BM184" s="2607">
        <v>1</v>
      </c>
      <c r="BN184" s="2607">
        <v>1</v>
      </c>
      <c r="BO184" s="2607">
        <v>0</v>
      </c>
      <c r="BP184" s="73">
        <v>0</v>
      </c>
      <c r="BQ184" s="73"/>
      <c r="BR184" s="73">
        <v>3</v>
      </c>
      <c r="BS184" s="73"/>
      <c r="BU184" s="2207"/>
      <c r="BV184" s="2207"/>
      <c r="BW184" s="2207"/>
      <c r="BX184" s="2208" t="s">
        <v>1398</v>
      </c>
      <c r="BY184" s="2209"/>
      <c r="BZ184" s="2209"/>
      <c r="CA184" s="2209"/>
      <c r="CB184" s="2209"/>
      <c r="CC184" s="2209"/>
      <c r="CD184" s="2210">
        <v>0</v>
      </c>
      <c r="CE184" s="2209"/>
      <c r="CF184" s="2210">
        <v>2</v>
      </c>
      <c r="CG184" s="2209"/>
      <c r="CH184" s="2209"/>
      <c r="CI184" s="2209"/>
      <c r="CJ184" s="2209"/>
      <c r="CK184" s="2209"/>
      <c r="CL184" s="2211"/>
      <c r="CM184" s="2211"/>
      <c r="CN184" s="2212">
        <v>2</v>
      </c>
      <c r="CO184" s="73"/>
      <c r="DO184" s="788"/>
      <c r="DP184" s="788"/>
      <c r="DQ184" s="788"/>
      <c r="DR184" s="788"/>
      <c r="DS184" s="789" t="s">
        <v>1292</v>
      </c>
      <c r="DT184" s="962">
        <v>0</v>
      </c>
      <c r="DU184" s="962">
        <v>0</v>
      </c>
      <c r="DV184" s="962">
        <v>0</v>
      </c>
      <c r="DW184" s="962">
        <v>0</v>
      </c>
      <c r="DX184" s="962">
        <v>0</v>
      </c>
      <c r="DY184" s="962">
        <v>0</v>
      </c>
      <c r="DZ184" s="962">
        <v>0</v>
      </c>
      <c r="EA184" s="962">
        <v>0</v>
      </c>
      <c r="EB184" s="962">
        <v>0</v>
      </c>
      <c r="EC184" s="962">
        <v>0</v>
      </c>
      <c r="ED184" s="962">
        <v>0</v>
      </c>
      <c r="EE184" s="962">
        <v>0</v>
      </c>
      <c r="EF184" s="962">
        <v>4</v>
      </c>
      <c r="EG184" s="962">
        <v>5</v>
      </c>
      <c r="EH184" s="962">
        <v>48</v>
      </c>
      <c r="EI184" s="964">
        <v>6</v>
      </c>
      <c r="EJ184" s="964">
        <v>19</v>
      </c>
      <c r="EK184" s="964">
        <v>82</v>
      </c>
      <c r="EL184" s="912"/>
      <c r="EM184" s="73"/>
      <c r="EN184" s="965"/>
      <c r="EO184" s="965"/>
      <c r="EP184" s="965"/>
      <c r="EQ184" s="734" t="s">
        <v>1286</v>
      </c>
      <c r="ER184" s="735">
        <v>1</v>
      </c>
      <c r="ES184" s="735">
        <v>1</v>
      </c>
      <c r="ET184" s="735">
        <v>0</v>
      </c>
      <c r="EU184" s="735">
        <v>2</v>
      </c>
      <c r="EV184" s="966"/>
      <c r="EW184" s="735">
        <v>0</v>
      </c>
      <c r="EX184" s="735">
        <v>0</v>
      </c>
      <c r="EY184" s="735">
        <v>0</v>
      </c>
      <c r="EZ184" s="735">
        <v>0</v>
      </c>
      <c r="FA184" s="735">
        <v>0</v>
      </c>
      <c r="FB184" s="735">
        <v>0</v>
      </c>
      <c r="FC184" s="735">
        <v>0</v>
      </c>
      <c r="FD184" s="735">
        <v>0</v>
      </c>
      <c r="FE184" s="735">
        <v>4</v>
      </c>
      <c r="FF184" s="967"/>
      <c r="FG184" s="73"/>
      <c r="FH184" s="73"/>
      <c r="FI184" s="161"/>
      <c r="FJ184" s="161"/>
      <c r="FK184" s="161"/>
      <c r="FL184" s="73" t="s">
        <v>1286</v>
      </c>
      <c r="FM184" s="73">
        <v>0</v>
      </c>
      <c r="FN184" s="73">
        <v>1</v>
      </c>
      <c r="FO184" s="73">
        <v>0</v>
      </c>
      <c r="FP184" s="73"/>
      <c r="FQ184" s="73">
        <v>2</v>
      </c>
      <c r="FR184" s="73">
        <v>0</v>
      </c>
      <c r="FS184" s="73">
        <v>0</v>
      </c>
      <c r="FT184" s="73"/>
      <c r="FU184" s="73">
        <v>0</v>
      </c>
      <c r="FV184" s="73">
        <v>0</v>
      </c>
      <c r="FW184" s="73">
        <v>0</v>
      </c>
      <c r="FX184" s="73">
        <v>0</v>
      </c>
      <c r="FY184" s="73">
        <v>0</v>
      </c>
      <c r="FZ184" s="73">
        <v>0</v>
      </c>
      <c r="GA184" s="73">
        <v>0</v>
      </c>
      <c r="GB184" s="73">
        <v>0</v>
      </c>
      <c r="GC184" s="73">
        <v>3</v>
      </c>
      <c r="GD184" s="73"/>
      <c r="GE184" s="73"/>
      <c r="GF184" s="968"/>
      <c r="GG184" s="968"/>
      <c r="GH184" s="968"/>
      <c r="GI184" s="968" t="s">
        <v>1288</v>
      </c>
      <c r="GJ184" s="968">
        <v>0</v>
      </c>
      <c r="GK184" s="968">
        <v>0</v>
      </c>
      <c r="GL184" s="968">
        <v>0</v>
      </c>
      <c r="GM184" s="968">
        <v>0</v>
      </c>
      <c r="GN184" s="968">
        <v>0</v>
      </c>
      <c r="GO184" s="968">
        <v>0</v>
      </c>
      <c r="GP184" s="968">
        <v>0</v>
      </c>
      <c r="GQ184" s="968">
        <v>0</v>
      </c>
      <c r="GR184" s="968">
        <v>2</v>
      </c>
      <c r="GS184" s="968">
        <v>5</v>
      </c>
      <c r="GT184" s="968">
        <v>2</v>
      </c>
      <c r="GU184" s="968">
        <v>9</v>
      </c>
      <c r="GV184" s="968">
        <v>3</v>
      </c>
      <c r="GW184" s="968">
        <v>4</v>
      </c>
      <c r="GX184" s="968">
        <v>2</v>
      </c>
      <c r="GY184" s="968">
        <v>0</v>
      </c>
      <c r="GZ184" s="968">
        <v>27</v>
      </c>
      <c r="HA184" s="968"/>
      <c r="HB184" s="969"/>
    </row>
    <row r="185" spans="1:210">
      <c r="A185" s="73"/>
      <c r="B185" s="73"/>
      <c r="C185" s="73"/>
      <c r="D185" s="73" t="s">
        <v>1292</v>
      </c>
      <c r="E185" s="967"/>
      <c r="F185" s="967"/>
      <c r="G185" s="967"/>
      <c r="H185" s="967"/>
      <c r="I185" s="967"/>
      <c r="J185" s="967"/>
      <c r="K185" s="967"/>
      <c r="L185" s="967"/>
      <c r="M185" s="967"/>
      <c r="N185" s="967">
        <v>0</v>
      </c>
      <c r="O185" s="967">
        <v>0</v>
      </c>
      <c r="P185" s="967"/>
      <c r="Q185" s="967">
        <v>0</v>
      </c>
      <c r="R185" s="967"/>
      <c r="S185" s="967">
        <v>1</v>
      </c>
      <c r="T185" s="73"/>
      <c r="U185" s="73"/>
      <c r="V185" s="73">
        <v>1</v>
      </c>
      <c r="W185" s="73"/>
      <c r="Y185" s="73"/>
      <c r="Z185" s="73"/>
      <c r="AA185" s="73"/>
      <c r="AB185" s="73" t="s">
        <v>1292</v>
      </c>
      <c r="AC185" s="3261"/>
      <c r="AD185" s="3261"/>
      <c r="AE185" s="3261"/>
      <c r="AF185" s="3261"/>
      <c r="AG185" s="3261"/>
      <c r="AH185" s="3261"/>
      <c r="AI185" s="3261"/>
      <c r="AJ185" s="3261">
        <v>0</v>
      </c>
      <c r="AK185" s="3261"/>
      <c r="AL185" s="3261">
        <v>0</v>
      </c>
      <c r="AM185" s="3261">
        <v>0</v>
      </c>
      <c r="AN185" s="3261"/>
      <c r="AO185" s="3261"/>
      <c r="AP185" s="3261"/>
      <c r="AQ185" s="3261">
        <v>1</v>
      </c>
      <c r="AR185" s="161"/>
      <c r="AS185" s="161"/>
      <c r="AT185" s="161">
        <v>1</v>
      </c>
      <c r="AU185" s="73"/>
      <c r="AY185" s="73"/>
      <c r="AZ185" s="73" t="s">
        <v>1292</v>
      </c>
      <c r="BA185" s="2607"/>
      <c r="BB185" s="2607"/>
      <c r="BC185" s="2607"/>
      <c r="BD185" s="2607"/>
      <c r="BE185" s="2607"/>
      <c r="BF185" s="2607"/>
      <c r="BG185" s="2607"/>
      <c r="BH185" s="2607"/>
      <c r="BI185" s="2607"/>
      <c r="BJ185" s="2607"/>
      <c r="BK185" s="2607">
        <v>0</v>
      </c>
      <c r="BL185" s="2607"/>
      <c r="BM185" s="2607">
        <v>0</v>
      </c>
      <c r="BN185" s="2607">
        <v>0</v>
      </c>
      <c r="BO185" s="2607">
        <v>2</v>
      </c>
      <c r="BP185" s="73">
        <v>1</v>
      </c>
      <c r="BQ185" s="73"/>
      <c r="BR185" s="73">
        <v>3</v>
      </c>
      <c r="BS185" s="73"/>
      <c r="BU185" s="2207"/>
      <c r="BV185" s="2207"/>
      <c r="BW185" s="2207"/>
      <c r="BX185" s="2204" t="s">
        <v>265</v>
      </c>
      <c r="BY185" s="2213"/>
      <c r="BZ185" s="2213"/>
      <c r="CA185" s="2213"/>
      <c r="CB185" s="2213"/>
      <c r="CC185" s="2213"/>
      <c r="CD185" s="2214">
        <v>2</v>
      </c>
      <c r="CE185" s="2213"/>
      <c r="CF185" s="2214">
        <v>10</v>
      </c>
      <c r="CG185" s="2213"/>
      <c r="CH185" s="2213"/>
      <c r="CI185" s="2213"/>
      <c r="CJ185" s="2213"/>
      <c r="CK185" s="2213"/>
      <c r="CL185" s="2215"/>
      <c r="CM185" s="2215"/>
      <c r="CN185" s="2216">
        <v>12</v>
      </c>
      <c r="CO185" s="2154">
        <f>+CN184/CN185</f>
        <v>0.16666666666666666</v>
      </c>
      <c r="DO185" s="788"/>
      <c r="DP185" s="788"/>
      <c r="DQ185" s="788"/>
      <c r="DR185" s="788"/>
      <c r="DS185" s="789" t="s">
        <v>1293</v>
      </c>
      <c r="DT185" s="962">
        <v>0</v>
      </c>
      <c r="DU185" s="962">
        <v>0</v>
      </c>
      <c r="DV185" s="962">
        <v>0</v>
      </c>
      <c r="DW185" s="962">
        <v>0</v>
      </c>
      <c r="DX185" s="962">
        <v>0</v>
      </c>
      <c r="DY185" s="962">
        <v>0</v>
      </c>
      <c r="DZ185" s="962">
        <v>0</v>
      </c>
      <c r="EA185" s="962">
        <v>0</v>
      </c>
      <c r="EB185" s="962">
        <v>0</v>
      </c>
      <c r="EC185" s="962">
        <v>0</v>
      </c>
      <c r="ED185" s="962">
        <v>0</v>
      </c>
      <c r="EE185" s="962">
        <v>0</v>
      </c>
      <c r="EF185" s="962">
        <v>2</v>
      </c>
      <c r="EG185" s="962">
        <v>0</v>
      </c>
      <c r="EH185" s="962">
        <v>0</v>
      </c>
      <c r="EI185" s="964">
        <v>1</v>
      </c>
      <c r="EJ185" s="964">
        <v>0</v>
      </c>
      <c r="EK185" s="964">
        <v>3</v>
      </c>
      <c r="EL185" s="912"/>
      <c r="EM185" s="73"/>
      <c r="EN185" s="965"/>
      <c r="EO185" s="965"/>
      <c r="EP185" s="965"/>
      <c r="EQ185" s="734" t="s">
        <v>1288</v>
      </c>
      <c r="ER185" s="735">
        <v>0</v>
      </c>
      <c r="ES185" s="735">
        <v>0</v>
      </c>
      <c r="ET185" s="735">
        <v>0</v>
      </c>
      <c r="EU185" s="735">
        <v>0</v>
      </c>
      <c r="EV185" s="966"/>
      <c r="EW185" s="735">
        <v>6</v>
      </c>
      <c r="EX185" s="735">
        <v>5</v>
      </c>
      <c r="EY185" s="735">
        <v>5</v>
      </c>
      <c r="EZ185" s="735">
        <v>12</v>
      </c>
      <c r="FA185" s="735">
        <v>8</v>
      </c>
      <c r="FB185" s="735">
        <v>3</v>
      </c>
      <c r="FC185" s="735">
        <v>2</v>
      </c>
      <c r="FD185" s="735">
        <v>0</v>
      </c>
      <c r="FE185" s="735">
        <v>41</v>
      </c>
      <c r="FF185" s="967"/>
      <c r="FG185" s="73"/>
      <c r="FH185" s="73"/>
      <c r="FI185" s="161"/>
      <c r="FJ185" s="161"/>
      <c r="FK185" s="161"/>
      <c r="FL185" s="73" t="s">
        <v>1288</v>
      </c>
      <c r="FM185" s="73">
        <v>0</v>
      </c>
      <c r="FN185" s="73">
        <v>0</v>
      </c>
      <c r="FO185" s="73">
        <v>0</v>
      </c>
      <c r="FP185" s="73"/>
      <c r="FQ185" s="73">
        <v>0</v>
      </c>
      <c r="FR185" s="73">
        <v>0</v>
      </c>
      <c r="FS185" s="73">
        <v>0</v>
      </c>
      <c r="FT185" s="73"/>
      <c r="FU185" s="73">
        <v>0</v>
      </c>
      <c r="FV185" s="73">
        <v>3</v>
      </c>
      <c r="FW185" s="73">
        <v>4</v>
      </c>
      <c r="FX185" s="73">
        <v>8</v>
      </c>
      <c r="FY185" s="73">
        <v>3</v>
      </c>
      <c r="FZ185" s="73">
        <v>0</v>
      </c>
      <c r="GA185" s="73">
        <v>1</v>
      </c>
      <c r="GB185" s="73">
        <v>0</v>
      </c>
      <c r="GC185" s="73">
        <v>19</v>
      </c>
      <c r="GD185" s="73"/>
      <c r="GE185" s="73"/>
      <c r="GF185" s="968"/>
      <c r="GG185" s="968"/>
      <c r="GH185" s="968"/>
      <c r="GI185" s="968" t="s">
        <v>1289</v>
      </c>
      <c r="GJ185" s="968">
        <v>1</v>
      </c>
      <c r="GK185" s="968">
        <v>1</v>
      </c>
      <c r="GL185" s="968">
        <v>0</v>
      </c>
      <c r="GM185" s="968">
        <v>0</v>
      </c>
      <c r="GN185" s="968">
        <v>0</v>
      </c>
      <c r="GO185" s="968">
        <v>0</v>
      </c>
      <c r="GP185" s="968">
        <v>1</v>
      </c>
      <c r="GQ185" s="968">
        <v>1</v>
      </c>
      <c r="GR185" s="968">
        <v>2</v>
      </c>
      <c r="GS185" s="968">
        <v>0</v>
      </c>
      <c r="GT185" s="968">
        <v>1</v>
      </c>
      <c r="GU185" s="968">
        <v>4</v>
      </c>
      <c r="GV185" s="968">
        <v>0</v>
      </c>
      <c r="GW185" s="968">
        <v>0</v>
      </c>
      <c r="GX185" s="968">
        <v>0</v>
      </c>
      <c r="GY185" s="968">
        <v>0</v>
      </c>
      <c r="GZ185" s="968">
        <v>11</v>
      </c>
      <c r="HA185" s="968"/>
      <c r="HB185" s="969"/>
    </row>
    <row r="186" spans="1:210">
      <c r="A186" s="73"/>
      <c r="B186" s="73"/>
      <c r="C186" s="73"/>
      <c r="D186" s="73" t="s">
        <v>1293</v>
      </c>
      <c r="E186" s="967"/>
      <c r="F186" s="967"/>
      <c r="G186" s="967"/>
      <c r="H186" s="967"/>
      <c r="I186" s="967"/>
      <c r="J186" s="967"/>
      <c r="K186" s="967"/>
      <c r="L186" s="967"/>
      <c r="M186" s="967"/>
      <c r="N186" s="967">
        <v>2</v>
      </c>
      <c r="O186" s="967">
        <v>1</v>
      </c>
      <c r="P186" s="967"/>
      <c r="Q186" s="967">
        <v>0</v>
      </c>
      <c r="R186" s="967"/>
      <c r="S186" s="967">
        <v>0</v>
      </c>
      <c r="T186" s="73"/>
      <c r="U186" s="73"/>
      <c r="V186" s="73">
        <v>3</v>
      </c>
      <c r="W186" s="73"/>
      <c r="Y186" s="73"/>
      <c r="Z186" s="73"/>
      <c r="AA186" s="73"/>
      <c r="AB186" s="73" t="s">
        <v>1398</v>
      </c>
      <c r="AC186" s="3261"/>
      <c r="AD186" s="3261"/>
      <c r="AE186" s="3261"/>
      <c r="AF186" s="3261"/>
      <c r="AG186" s="3261"/>
      <c r="AH186" s="3261"/>
      <c r="AI186" s="3261"/>
      <c r="AJ186" s="3261">
        <v>0</v>
      </c>
      <c r="AK186" s="3261"/>
      <c r="AL186" s="3261">
        <v>6</v>
      </c>
      <c r="AM186" s="3261">
        <v>0</v>
      </c>
      <c r="AN186" s="3261"/>
      <c r="AO186" s="3261"/>
      <c r="AP186" s="3261"/>
      <c r="AQ186" s="3261">
        <v>0</v>
      </c>
      <c r="AR186" s="161"/>
      <c r="AS186" s="161"/>
      <c r="AT186" s="161">
        <v>6</v>
      </c>
      <c r="AU186" s="73"/>
      <c r="AY186" s="73"/>
      <c r="AZ186" s="73" t="s">
        <v>1398</v>
      </c>
      <c r="BA186" s="2607"/>
      <c r="BB186" s="2607"/>
      <c r="BC186" s="2607"/>
      <c r="BD186" s="2607"/>
      <c r="BE186" s="2607"/>
      <c r="BF186" s="2607"/>
      <c r="BG186" s="2607"/>
      <c r="BH186" s="2607"/>
      <c r="BI186" s="2607"/>
      <c r="BJ186" s="2607"/>
      <c r="BK186" s="2607">
        <v>1</v>
      </c>
      <c r="BL186" s="2607"/>
      <c r="BM186" s="2607">
        <v>0</v>
      </c>
      <c r="BN186" s="2607">
        <v>0</v>
      </c>
      <c r="BO186" s="2607">
        <v>0</v>
      </c>
      <c r="BP186" s="73">
        <v>0</v>
      </c>
      <c r="BQ186" s="73"/>
      <c r="BR186" s="73">
        <v>1</v>
      </c>
      <c r="BS186" s="73"/>
      <c r="BU186" s="2207"/>
      <c r="BV186" s="2207"/>
      <c r="BW186" s="2207" t="s">
        <v>114</v>
      </c>
      <c r="BX186" s="2208" t="s">
        <v>1283</v>
      </c>
      <c r="BY186" s="2210">
        <v>0</v>
      </c>
      <c r="BZ186" s="2210">
        <v>0</v>
      </c>
      <c r="CA186" s="2210">
        <v>0</v>
      </c>
      <c r="CB186" s="2210">
        <v>0</v>
      </c>
      <c r="CC186" s="2210">
        <v>0</v>
      </c>
      <c r="CD186" s="2210">
        <v>0</v>
      </c>
      <c r="CE186" s="2210">
        <v>0</v>
      </c>
      <c r="CF186" s="2210">
        <v>0</v>
      </c>
      <c r="CG186" s="2210">
        <v>0</v>
      </c>
      <c r="CH186" s="2210">
        <v>0</v>
      </c>
      <c r="CI186" s="2210">
        <v>0</v>
      </c>
      <c r="CJ186" s="2210">
        <v>0</v>
      </c>
      <c r="CK186" s="2210">
        <v>8</v>
      </c>
      <c r="CL186" s="2212">
        <v>1</v>
      </c>
      <c r="CM186" s="2212">
        <v>3</v>
      </c>
      <c r="CN186" s="2212">
        <v>12</v>
      </c>
      <c r="CO186" s="73"/>
      <c r="DO186" s="788"/>
      <c r="DP186" s="788"/>
      <c r="DQ186" s="788"/>
      <c r="DR186" s="788"/>
      <c r="DS186" s="789" t="s">
        <v>1398</v>
      </c>
      <c r="DT186" s="962">
        <v>0</v>
      </c>
      <c r="DU186" s="962">
        <v>0</v>
      </c>
      <c r="DV186" s="962">
        <v>0</v>
      </c>
      <c r="DW186" s="962">
        <v>0</v>
      </c>
      <c r="DX186" s="962">
        <v>0</v>
      </c>
      <c r="DY186" s="962">
        <v>0</v>
      </c>
      <c r="DZ186" s="962">
        <v>2</v>
      </c>
      <c r="EA186" s="962">
        <v>0</v>
      </c>
      <c r="EB186" s="962">
        <v>1</v>
      </c>
      <c r="EC186" s="962">
        <v>2</v>
      </c>
      <c r="ED186" s="962">
        <v>6</v>
      </c>
      <c r="EE186" s="962">
        <v>4</v>
      </c>
      <c r="EF186" s="962">
        <v>18</v>
      </c>
      <c r="EG186" s="962">
        <v>4</v>
      </c>
      <c r="EH186" s="962">
        <v>4</v>
      </c>
      <c r="EI186" s="964">
        <v>0</v>
      </c>
      <c r="EJ186" s="964">
        <v>0</v>
      </c>
      <c r="EK186" s="964">
        <v>41</v>
      </c>
      <c r="EL186" s="912"/>
      <c r="EM186" s="73"/>
      <c r="EN186" s="965"/>
      <c r="EO186" s="965"/>
      <c r="EP186" s="965"/>
      <c r="EQ186" s="734" t="s">
        <v>1289</v>
      </c>
      <c r="ER186" s="735">
        <v>0</v>
      </c>
      <c r="ES186" s="735">
        <v>1</v>
      </c>
      <c r="ET186" s="735">
        <v>1</v>
      </c>
      <c r="EU186" s="735">
        <v>0</v>
      </c>
      <c r="EV186" s="966"/>
      <c r="EW186" s="735">
        <v>3</v>
      </c>
      <c r="EX186" s="735">
        <v>2</v>
      </c>
      <c r="EY186" s="735">
        <v>1</v>
      </c>
      <c r="EZ186" s="735">
        <v>2</v>
      </c>
      <c r="FA186" s="735">
        <v>0</v>
      </c>
      <c r="FB186" s="735">
        <v>0</v>
      </c>
      <c r="FC186" s="735">
        <v>0</v>
      </c>
      <c r="FD186" s="735">
        <v>0</v>
      </c>
      <c r="FE186" s="735">
        <v>10</v>
      </c>
      <c r="FF186" s="967"/>
      <c r="FG186" s="73"/>
      <c r="FH186" s="73"/>
      <c r="FI186" s="161"/>
      <c r="FJ186" s="161"/>
      <c r="FK186" s="161"/>
      <c r="FL186" s="73" t="s">
        <v>1289</v>
      </c>
      <c r="FM186" s="73">
        <v>0</v>
      </c>
      <c r="FN186" s="73">
        <v>0</v>
      </c>
      <c r="FO186" s="73">
        <v>1</v>
      </c>
      <c r="FP186" s="73"/>
      <c r="FQ186" s="73">
        <v>0</v>
      </c>
      <c r="FR186" s="73">
        <v>0</v>
      </c>
      <c r="FS186" s="73">
        <v>0</v>
      </c>
      <c r="FT186" s="73"/>
      <c r="FU186" s="73">
        <v>0</v>
      </c>
      <c r="FV186" s="73">
        <v>0</v>
      </c>
      <c r="FW186" s="73">
        <v>1</v>
      </c>
      <c r="FX186" s="73">
        <v>11</v>
      </c>
      <c r="FY186" s="73">
        <v>0</v>
      </c>
      <c r="FZ186" s="73">
        <v>0</v>
      </c>
      <c r="GA186" s="73">
        <v>0</v>
      </c>
      <c r="GB186" s="73">
        <v>0</v>
      </c>
      <c r="GC186" s="73">
        <v>13</v>
      </c>
      <c r="GD186" s="73"/>
      <c r="GE186" s="73"/>
      <c r="GF186" s="968"/>
      <c r="GG186" s="968"/>
      <c r="GH186" s="968"/>
      <c r="GI186" s="968" t="s">
        <v>1292</v>
      </c>
      <c r="GJ186" s="968">
        <v>0</v>
      </c>
      <c r="GK186" s="968">
        <v>0</v>
      </c>
      <c r="GL186" s="968">
        <v>0</v>
      </c>
      <c r="GM186" s="968">
        <v>0</v>
      </c>
      <c r="GN186" s="968">
        <v>0</v>
      </c>
      <c r="GO186" s="968">
        <v>0</v>
      </c>
      <c r="GP186" s="968">
        <v>0</v>
      </c>
      <c r="GQ186" s="968">
        <v>0</v>
      </c>
      <c r="GR186" s="968">
        <v>0</v>
      </c>
      <c r="GS186" s="968">
        <v>0</v>
      </c>
      <c r="GT186" s="968">
        <v>0</v>
      </c>
      <c r="GU186" s="968">
        <v>0</v>
      </c>
      <c r="GV186" s="968">
        <v>4</v>
      </c>
      <c r="GW186" s="968">
        <v>13</v>
      </c>
      <c r="GX186" s="968">
        <v>7</v>
      </c>
      <c r="GY186" s="968">
        <v>14</v>
      </c>
      <c r="GZ186" s="968">
        <v>38</v>
      </c>
      <c r="HA186" s="968"/>
      <c r="HB186" s="969"/>
    </row>
    <row r="187" spans="1:210" ht="15.75" thickBot="1">
      <c r="A187" s="73"/>
      <c r="B187" s="73"/>
      <c r="C187" s="73"/>
      <c r="D187" s="73" t="s">
        <v>1398</v>
      </c>
      <c r="E187" s="967"/>
      <c r="F187" s="967"/>
      <c r="G187" s="967"/>
      <c r="H187" s="967"/>
      <c r="I187" s="967"/>
      <c r="J187" s="967"/>
      <c r="K187" s="967"/>
      <c r="L187" s="967"/>
      <c r="M187" s="967"/>
      <c r="N187" s="967">
        <v>1</v>
      </c>
      <c r="O187" s="967">
        <v>1</v>
      </c>
      <c r="P187" s="967"/>
      <c r="Q187" s="967">
        <v>1</v>
      </c>
      <c r="R187" s="967"/>
      <c r="S187" s="967">
        <v>0</v>
      </c>
      <c r="T187" s="73"/>
      <c r="U187" s="73"/>
      <c r="V187" s="73">
        <v>3</v>
      </c>
      <c r="W187" s="73"/>
      <c r="Y187" s="73"/>
      <c r="Z187" s="73"/>
      <c r="AA187" s="73"/>
      <c r="AB187" s="738" t="s">
        <v>573</v>
      </c>
      <c r="AC187" s="3262"/>
      <c r="AD187" s="3262"/>
      <c r="AE187" s="3262"/>
      <c r="AF187" s="3262"/>
      <c r="AG187" s="3262"/>
      <c r="AH187" s="3262"/>
      <c r="AI187" s="3262"/>
      <c r="AJ187" s="3262">
        <v>1</v>
      </c>
      <c r="AK187" s="3262"/>
      <c r="AL187" s="3262">
        <v>13</v>
      </c>
      <c r="AM187" s="3262">
        <v>1</v>
      </c>
      <c r="AN187" s="3262"/>
      <c r="AO187" s="3262"/>
      <c r="AP187" s="3262"/>
      <c r="AQ187" s="3262">
        <v>2</v>
      </c>
      <c r="AR187" s="151"/>
      <c r="AS187" s="151"/>
      <c r="AT187" s="151">
        <v>17</v>
      </c>
      <c r="AU187" s="912">
        <f>+(AT184+AT186)/AT187</f>
        <v>0.41176470588235292</v>
      </c>
      <c r="AY187" s="73"/>
      <c r="AZ187" s="738" t="s">
        <v>577</v>
      </c>
      <c r="BA187" s="2608"/>
      <c r="BB187" s="2608"/>
      <c r="BC187" s="2608"/>
      <c r="BD187" s="2608"/>
      <c r="BE187" s="2608"/>
      <c r="BF187" s="2608"/>
      <c r="BG187" s="2608"/>
      <c r="BH187" s="2608"/>
      <c r="BI187" s="2608"/>
      <c r="BJ187" s="2608"/>
      <c r="BK187" s="2608">
        <v>2</v>
      </c>
      <c r="BL187" s="2608"/>
      <c r="BM187" s="2608">
        <v>1</v>
      </c>
      <c r="BN187" s="2608">
        <v>1</v>
      </c>
      <c r="BO187" s="2608">
        <v>2</v>
      </c>
      <c r="BP187" s="738">
        <v>1</v>
      </c>
      <c r="BQ187" s="738"/>
      <c r="BR187" s="738">
        <v>7</v>
      </c>
      <c r="BS187" s="912">
        <f>+BR186/BR187</f>
        <v>0.14285714285714285</v>
      </c>
      <c r="BU187" s="2207"/>
      <c r="BV187" s="2207"/>
      <c r="BW187" s="2207"/>
      <c r="BX187" s="2208" t="s">
        <v>1284</v>
      </c>
      <c r="BY187" s="2210">
        <v>1</v>
      </c>
      <c r="BZ187" s="2210">
        <v>8</v>
      </c>
      <c r="CA187" s="2210">
        <v>1</v>
      </c>
      <c r="CB187" s="2210">
        <v>1</v>
      </c>
      <c r="CC187" s="2210">
        <v>4</v>
      </c>
      <c r="CD187" s="2210">
        <v>1</v>
      </c>
      <c r="CE187" s="2210">
        <v>2</v>
      </c>
      <c r="CF187" s="2210">
        <v>11</v>
      </c>
      <c r="CG187" s="2210">
        <v>5</v>
      </c>
      <c r="CH187" s="2210">
        <v>9</v>
      </c>
      <c r="CI187" s="2210">
        <v>36</v>
      </c>
      <c r="CJ187" s="2210">
        <v>11</v>
      </c>
      <c r="CK187" s="2210">
        <v>8</v>
      </c>
      <c r="CL187" s="2212">
        <v>1</v>
      </c>
      <c r="CM187" s="2212">
        <v>0</v>
      </c>
      <c r="CN187" s="2212">
        <v>99</v>
      </c>
      <c r="CO187" s="73"/>
      <c r="DO187" s="830"/>
      <c r="DP187" s="830"/>
      <c r="DQ187" s="830"/>
      <c r="DR187" s="746"/>
      <c r="DS187" s="831" t="s">
        <v>114</v>
      </c>
      <c r="DT187" s="1011">
        <v>3</v>
      </c>
      <c r="DU187" s="1011">
        <v>3</v>
      </c>
      <c r="DV187" s="1011">
        <v>5</v>
      </c>
      <c r="DW187" s="1011">
        <v>4</v>
      </c>
      <c r="DX187" s="1011">
        <v>1</v>
      </c>
      <c r="DY187" s="1011">
        <v>2</v>
      </c>
      <c r="DZ187" s="1011">
        <v>12</v>
      </c>
      <c r="EA187" s="1011">
        <v>4</v>
      </c>
      <c r="EB187" s="1011">
        <v>5</v>
      </c>
      <c r="EC187" s="1011">
        <v>12</v>
      </c>
      <c r="ED187" s="1011">
        <v>14</v>
      </c>
      <c r="EE187" s="1011">
        <v>21</v>
      </c>
      <c r="EF187" s="1011">
        <v>65</v>
      </c>
      <c r="EG187" s="1011">
        <v>37</v>
      </c>
      <c r="EH187" s="1011">
        <v>67</v>
      </c>
      <c r="EI187" s="1012">
        <v>16</v>
      </c>
      <c r="EJ187" s="1012">
        <v>19</v>
      </c>
      <c r="EK187" s="1012">
        <v>290</v>
      </c>
      <c r="EL187" s="939">
        <f>+(EK186+EK185+EK182-EI182-EI185)/EK187</f>
        <v>0.29655172413793102</v>
      </c>
      <c r="EM187" s="73"/>
      <c r="EN187" s="965"/>
      <c r="EO187" s="965"/>
      <c r="EP187" s="965"/>
      <c r="EQ187" s="734" t="s">
        <v>1292</v>
      </c>
      <c r="ER187" s="735">
        <v>0</v>
      </c>
      <c r="ES187" s="735">
        <v>0</v>
      </c>
      <c r="ET187" s="735">
        <v>0</v>
      </c>
      <c r="EU187" s="735">
        <v>0</v>
      </c>
      <c r="EV187" s="966"/>
      <c r="EW187" s="735">
        <v>0</v>
      </c>
      <c r="EX187" s="735">
        <v>0</v>
      </c>
      <c r="EY187" s="735">
        <v>0</v>
      </c>
      <c r="EZ187" s="735">
        <v>1</v>
      </c>
      <c r="FA187" s="735">
        <v>8</v>
      </c>
      <c r="FB187" s="735">
        <v>36</v>
      </c>
      <c r="FC187" s="735">
        <v>3</v>
      </c>
      <c r="FD187" s="735">
        <v>11</v>
      </c>
      <c r="FE187" s="735">
        <v>59</v>
      </c>
      <c r="FF187" s="967"/>
      <c r="FG187" s="73"/>
      <c r="FH187" s="73"/>
      <c r="FI187" s="161"/>
      <c r="FJ187" s="161"/>
      <c r="FK187" s="161"/>
      <c r="FL187" s="73" t="s">
        <v>1292</v>
      </c>
      <c r="FM187" s="73">
        <v>0</v>
      </c>
      <c r="FN187" s="73">
        <v>0</v>
      </c>
      <c r="FO187" s="73">
        <v>0</v>
      </c>
      <c r="FP187" s="73"/>
      <c r="FQ187" s="73">
        <v>0</v>
      </c>
      <c r="FR187" s="73">
        <v>0</v>
      </c>
      <c r="FS187" s="73">
        <v>0</v>
      </c>
      <c r="FT187" s="73"/>
      <c r="FU187" s="73">
        <v>0</v>
      </c>
      <c r="FV187" s="73">
        <v>0</v>
      </c>
      <c r="FW187" s="73">
        <v>0</v>
      </c>
      <c r="FX187" s="73">
        <v>0</v>
      </c>
      <c r="FY187" s="73">
        <v>0</v>
      </c>
      <c r="FZ187" s="73">
        <v>24</v>
      </c>
      <c r="GA187" s="73">
        <v>4</v>
      </c>
      <c r="GB187" s="73">
        <v>11</v>
      </c>
      <c r="GC187" s="73">
        <v>39</v>
      </c>
      <c r="GD187" s="73"/>
      <c r="GE187" s="73"/>
      <c r="GF187" s="968"/>
      <c r="GG187" s="968"/>
      <c r="GH187" s="968"/>
      <c r="GI187" s="968" t="s">
        <v>1398</v>
      </c>
      <c r="GJ187" s="968">
        <v>0</v>
      </c>
      <c r="GK187" s="968">
        <v>0</v>
      </c>
      <c r="GL187" s="968">
        <v>0</v>
      </c>
      <c r="GM187" s="968">
        <v>0</v>
      </c>
      <c r="GN187" s="968">
        <v>0</v>
      </c>
      <c r="GO187" s="968">
        <v>0</v>
      </c>
      <c r="GP187" s="968">
        <v>1</v>
      </c>
      <c r="GQ187" s="968">
        <v>1</v>
      </c>
      <c r="GR187" s="968">
        <v>2</v>
      </c>
      <c r="GS187" s="968">
        <v>4</v>
      </c>
      <c r="GT187" s="968">
        <v>5</v>
      </c>
      <c r="GU187" s="968">
        <v>7</v>
      </c>
      <c r="GV187" s="968">
        <v>3</v>
      </c>
      <c r="GW187" s="968">
        <v>2</v>
      </c>
      <c r="GX187" s="968">
        <v>0</v>
      </c>
      <c r="GY187" s="968">
        <v>0</v>
      </c>
      <c r="GZ187" s="968">
        <v>25</v>
      </c>
      <c r="HA187" s="968"/>
      <c r="HB187" s="969"/>
    </row>
    <row r="188" spans="1:210">
      <c r="A188" s="73"/>
      <c r="B188" s="73"/>
      <c r="C188" s="73"/>
      <c r="D188" s="738" t="s">
        <v>15</v>
      </c>
      <c r="E188" s="4694"/>
      <c r="F188" s="4694"/>
      <c r="G188" s="4694"/>
      <c r="H188" s="4694"/>
      <c r="I188" s="4694"/>
      <c r="J188" s="4694"/>
      <c r="K188" s="4694"/>
      <c r="L188" s="4694"/>
      <c r="M188" s="4694"/>
      <c r="N188" s="4694">
        <v>8</v>
      </c>
      <c r="O188" s="4694">
        <v>3</v>
      </c>
      <c r="P188" s="4694"/>
      <c r="Q188" s="4694">
        <v>2</v>
      </c>
      <c r="R188" s="4694"/>
      <c r="S188" s="4694">
        <v>1</v>
      </c>
      <c r="T188" s="738"/>
      <c r="U188" s="738"/>
      <c r="V188" s="738">
        <v>14</v>
      </c>
      <c r="W188" s="912">
        <f>+(V187+V186+V184)/V188</f>
        <v>0.6428571428571429</v>
      </c>
      <c r="X188" s="3197"/>
      <c r="Y188" s="73"/>
      <c r="Z188" s="73" t="s">
        <v>64</v>
      </c>
      <c r="AA188" s="73" t="s">
        <v>710</v>
      </c>
      <c r="AB188" s="73" t="s">
        <v>1288</v>
      </c>
      <c r="AC188" s="3261"/>
      <c r="AD188" s="3261"/>
      <c r="AE188" s="3261"/>
      <c r="AF188" s="3261"/>
      <c r="AG188" s="3261"/>
      <c r="AH188" s="3261"/>
      <c r="AI188" s="3261"/>
      <c r="AJ188" s="3261"/>
      <c r="AK188" s="3261"/>
      <c r="AL188" s="3261"/>
      <c r="AM188" s="3261"/>
      <c r="AN188" s="3261"/>
      <c r="AO188" s="3261"/>
      <c r="AP188" s="3261">
        <v>1</v>
      </c>
      <c r="AQ188" s="3261">
        <v>0</v>
      </c>
      <c r="AR188" s="161">
        <v>0</v>
      </c>
      <c r="AS188" s="161">
        <v>0</v>
      </c>
      <c r="AT188" s="161">
        <v>1</v>
      </c>
      <c r="AU188" s="73"/>
      <c r="AY188" s="73" t="s">
        <v>265</v>
      </c>
      <c r="AZ188" s="73" t="s">
        <v>1284</v>
      </c>
      <c r="BA188" s="2607"/>
      <c r="BB188" s="2607">
        <v>0</v>
      </c>
      <c r="BC188" s="2607"/>
      <c r="BD188" s="2607"/>
      <c r="BE188" s="2607">
        <v>0</v>
      </c>
      <c r="BF188" s="2607"/>
      <c r="BG188" s="2607"/>
      <c r="BH188" s="2607"/>
      <c r="BI188" s="2607"/>
      <c r="BJ188" s="2607">
        <v>3</v>
      </c>
      <c r="BK188" s="2607">
        <v>2</v>
      </c>
      <c r="BL188" s="2607"/>
      <c r="BM188" s="2607">
        <v>1</v>
      </c>
      <c r="BN188" s="2607">
        <v>1</v>
      </c>
      <c r="BO188" s="2607">
        <v>0</v>
      </c>
      <c r="BP188" s="73">
        <v>0</v>
      </c>
      <c r="BQ188" s="73">
        <v>0</v>
      </c>
      <c r="BR188" s="73">
        <v>7</v>
      </c>
      <c r="BS188" s="73"/>
      <c r="BU188" s="2207"/>
      <c r="BV188" s="2207"/>
      <c r="BW188" s="2207"/>
      <c r="BX188" s="2208" t="s">
        <v>1286</v>
      </c>
      <c r="BY188" s="2210">
        <v>0</v>
      </c>
      <c r="BZ188" s="2210">
        <v>2</v>
      </c>
      <c r="CA188" s="2210">
        <v>1</v>
      </c>
      <c r="CB188" s="2210">
        <v>0</v>
      </c>
      <c r="CC188" s="2210">
        <v>0</v>
      </c>
      <c r="CD188" s="2210">
        <v>1</v>
      </c>
      <c r="CE188" s="2210">
        <v>0</v>
      </c>
      <c r="CF188" s="2210">
        <v>0</v>
      </c>
      <c r="CG188" s="2210">
        <v>0</v>
      </c>
      <c r="CH188" s="2210">
        <v>0</v>
      </c>
      <c r="CI188" s="2210">
        <v>0</v>
      </c>
      <c r="CJ188" s="2210">
        <v>0</v>
      </c>
      <c r="CK188" s="2210">
        <v>0</v>
      </c>
      <c r="CL188" s="2212">
        <v>0</v>
      </c>
      <c r="CM188" s="2212">
        <v>0</v>
      </c>
      <c r="CN188" s="2212">
        <v>4</v>
      </c>
      <c r="CO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965"/>
      <c r="EO188" s="965"/>
      <c r="EP188" s="965"/>
      <c r="EQ188" s="734" t="s">
        <v>1398</v>
      </c>
      <c r="ER188" s="735">
        <v>0</v>
      </c>
      <c r="ES188" s="735">
        <v>0</v>
      </c>
      <c r="ET188" s="735">
        <v>0</v>
      </c>
      <c r="EU188" s="735">
        <v>1</v>
      </c>
      <c r="EV188" s="966"/>
      <c r="EW188" s="735">
        <v>5</v>
      </c>
      <c r="EX188" s="735">
        <v>6</v>
      </c>
      <c r="EY188" s="735">
        <v>2</v>
      </c>
      <c r="EZ188" s="735">
        <v>7</v>
      </c>
      <c r="FA188" s="735">
        <v>2</v>
      </c>
      <c r="FB188" s="735">
        <v>0</v>
      </c>
      <c r="FC188" s="735">
        <v>0</v>
      </c>
      <c r="FD188" s="735">
        <v>0</v>
      </c>
      <c r="FE188" s="735">
        <v>23</v>
      </c>
      <c r="FF188" s="967"/>
      <c r="FG188" s="73"/>
      <c r="FH188" s="73"/>
      <c r="FI188" s="161"/>
      <c r="FJ188" s="161"/>
      <c r="FK188" s="161"/>
      <c r="FL188" s="73" t="s">
        <v>1398</v>
      </c>
      <c r="FM188" s="73">
        <v>0</v>
      </c>
      <c r="FN188" s="73">
        <v>0</v>
      </c>
      <c r="FO188" s="73">
        <v>0</v>
      </c>
      <c r="FP188" s="73"/>
      <c r="FQ188" s="73">
        <v>0</v>
      </c>
      <c r="FR188" s="73">
        <v>1</v>
      </c>
      <c r="FS188" s="73">
        <v>2</v>
      </c>
      <c r="FT188" s="73"/>
      <c r="FU188" s="73">
        <v>1</v>
      </c>
      <c r="FV188" s="73">
        <v>3</v>
      </c>
      <c r="FW188" s="73">
        <v>4</v>
      </c>
      <c r="FX188" s="73">
        <v>4</v>
      </c>
      <c r="FY188" s="73">
        <v>4</v>
      </c>
      <c r="FZ188" s="73">
        <v>1</v>
      </c>
      <c r="GA188" s="73">
        <v>0</v>
      </c>
      <c r="GB188" s="73">
        <v>0</v>
      </c>
      <c r="GC188" s="73">
        <v>20</v>
      </c>
      <c r="GD188" s="73"/>
      <c r="GE188" s="73"/>
      <c r="GF188" s="968"/>
      <c r="GG188" s="968"/>
      <c r="GH188" s="968"/>
      <c r="GI188" s="979" t="s">
        <v>15</v>
      </c>
      <c r="GJ188" s="979">
        <v>2</v>
      </c>
      <c r="GK188" s="979">
        <v>1</v>
      </c>
      <c r="GL188" s="979">
        <v>0</v>
      </c>
      <c r="GM188" s="979">
        <v>1</v>
      </c>
      <c r="GN188" s="979">
        <v>0</v>
      </c>
      <c r="GO188" s="979">
        <v>1</v>
      </c>
      <c r="GP188" s="979">
        <v>2</v>
      </c>
      <c r="GQ188" s="979">
        <v>4</v>
      </c>
      <c r="GR188" s="979">
        <v>9</v>
      </c>
      <c r="GS188" s="979">
        <v>10</v>
      </c>
      <c r="GT188" s="979">
        <v>10</v>
      </c>
      <c r="GU188" s="979">
        <v>22</v>
      </c>
      <c r="GV188" s="979">
        <v>10</v>
      </c>
      <c r="GW188" s="979">
        <v>21</v>
      </c>
      <c r="GX188" s="979">
        <v>9</v>
      </c>
      <c r="GY188" s="979">
        <v>14</v>
      </c>
      <c r="GZ188" s="979">
        <v>116</v>
      </c>
      <c r="HA188" s="980">
        <f>+(GZ187+GZ184-GX184)/GZ188</f>
        <v>0.43103448275862066</v>
      </c>
      <c r="HB188" s="969">
        <f>+GZ184+GZ187-GX184</f>
        <v>50</v>
      </c>
    </row>
    <row r="189" spans="1:210">
      <c r="A189" s="73"/>
      <c r="B189" s="73"/>
      <c r="C189" s="73" t="s">
        <v>338</v>
      </c>
      <c r="D189" s="73" t="s">
        <v>1284</v>
      </c>
      <c r="E189" s="967"/>
      <c r="F189" s="967"/>
      <c r="G189" s="967"/>
      <c r="H189" s="967"/>
      <c r="I189" s="967">
        <v>1</v>
      </c>
      <c r="J189" s="967"/>
      <c r="K189" s="967"/>
      <c r="L189" s="967"/>
      <c r="M189" s="967"/>
      <c r="N189" s="967">
        <v>1</v>
      </c>
      <c r="O189" s="967"/>
      <c r="P189" s="967"/>
      <c r="Q189" s="967">
        <v>1</v>
      </c>
      <c r="R189" s="967">
        <v>0</v>
      </c>
      <c r="S189" s="967">
        <v>0</v>
      </c>
      <c r="T189" s="73"/>
      <c r="U189" s="73">
        <v>0</v>
      </c>
      <c r="V189" s="73">
        <v>3</v>
      </c>
      <c r="W189" s="73"/>
      <c r="Y189" s="73"/>
      <c r="Z189" s="73"/>
      <c r="AA189" s="73"/>
      <c r="AB189" s="73" t="s">
        <v>1292</v>
      </c>
      <c r="AC189" s="3261"/>
      <c r="AD189" s="3261"/>
      <c r="AE189" s="3261"/>
      <c r="AF189" s="3261"/>
      <c r="AG189" s="3261"/>
      <c r="AH189" s="3261"/>
      <c r="AI189" s="3261"/>
      <c r="AJ189" s="3261"/>
      <c r="AK189" s="3261"/>
      <c r="AL189" s="3261"/>
      <c r="AM189" s="3261"/>
      <c r="AN189" s="3261"/>
      <c r="AO189" s="3261"/>
      <c r="AP189" s="3261">
        <v>0</v>
      </c>
      <c r="AQ189" s="3261">
        <v>1</v>
      </c>
      <c r="AR189" s="161">
        <v>1</v>
      </c>
      <c r="AS189" s="161">
        <v>2</v>
      </c>
      <c r="AT189" s="161">
        <v>4</v>
      </c>
      <c r="AU189" s="73"/>
      <c r="AY189" s="73"/>
      <c r="AZ189" s="73" t="s">
        <v>1289</v>
      </c>
      <c r="BA189" s="2607"/>
      <c r="BB189" s="2607">
        <v>1</v>
      </c>
      <c r="BC189" s="2607"/>
      <c r="BD189" s="2607"/>
      <c r="BE189" s="2607">
        <v>1</v>
      </c>
      <c r="BF189" s="2607"/>
      <c r="BG189" s="2607"/>
      <c r="BH189" s="2607"/>
      <c r="BI189" s="2607"/>
      <c r="BJ189" s="2607">
        <v>0</v>
      </c>
      <c r="BK189" s="2607">
        <v>0</v>
      </c>
      <c r="BL189" s="2607"/>
      <c r="BM189" s="2607">
        <v>0</v>
      </c>
      <c r="BN189" s="2607">
        <v>0</v>
      </c>
      <c r="BO189" s="2607">
        <v>0</v>
      </c>
      <c r="BP189" s="73">
        <v>0</v>
      </c>
      <c r="BQ189" s="73">
        <v>0</v>
      </c>
      <c r="BR189" s="73">
        <v>2</v>
      </c>
      <c r="BS189" s="73"/>
      <c r="BU189" s="2207"/>
      <c r="BV189" s="2207"/>
      <c r="BW189" s="2207"/>
      <c r="BX189" s="2208" t="s">
        <v>1288</v>
      </c>
      <c r="BY189" s="2210">
        <v>0</v>
      </c>
      <c r="BZ189" s="2210">
        <v>0</v>
      </c>
      <c r="CA189" s="2210">
        <v>0</v>
      </c>
      <c r="CB189" s="2210">
        <v>0</v>
      </c>
      <c r="CC189" s="2210">
        <v>0</v>
      </c>
      <c r="CD189" s="2210">
        <v>0</v>
      </c>
      <c r="CE189" s="2210">
        <v>2</v>
      </c>
      <c r="CF189" s="2210">
        <v>4</v>
      </c>
      <c r="CG189" s="2210">
        <v>4</v>
      </c>
      <c r="CH189" s="2210">
        <v>2</v>
      </c>
      <c r="CI189" s="2210">
        <v>15</v>
      </c>
      <c r="CJ189" s="2210">
        <v>9</v>
      </c>
      <c r="CK189" s="2210">
        <v>1</v>
      </c>
      <c r="CL189" s="2212">
        <v>1</v>
      </c>
      <c r="CM189" s="2212">
        <v>0</v>
      </c>
      <c r="CN189" s="2212">
        <v>38</v>
      </c>
      <c r="CO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965"/>
      <c r="EO189" s="965"/>
      <c r="EP189" s="965"/>
      <c r="EQ189" s="981" t="s">
        <v>111</v>
      </c>
      <c r="ER189" s="740">
        <v>2</v>
      </c>
      <c r="ES189" s="740">
        <v>2</v>
      </c>
      <c r="ET189" s="740">
        <v>3</v>
      </c>
      <c r="EU189" s="740">
        <v>4</v>
      </c>
      <c r="EV189" s="982"/>
      <c r="EW189" s="740">
        <v>15</v>
      </c>
      <c r="EX189" s="740">
        <v>15</v>
      </c>
      <c r="EY189" s="740">
        <v>12</v>
      </c>
      <c r="EZ189" s="740">
        <v>24</v>
      </c>
      <c r="FA189" s="740">
        <v>19</v>
      </c>
      <c r="FB189" s="740">
        <v>41</v>
      </c>
      <c r="FC189" s="740">
        <v>8</v>
      </c>
      <c r="FD189" s="740">
        <v>11</v>
      </c>
      <c r="FE189" s="740">
        <v>156</v>
      </c>
      <c r="FF189" s="905">
        <f>+(FE188+FE185-FC185)/FE189</f>
        <v>0.39743589743589741</v>
      </c>
      <c r="FG189" s="73"/>
      <c r="FH189" s="73"/>
      <c r="FI189" s="161"/>
      <c r="FJ189" s="161"/>
      <c r="FK189" s="161"/>
      <c r="FL189" s="738" t="s">
        <v>15</v>
      </c>
      <c r="FM189" s="738">
        <v>2</v>
      </c>
      <c r="FN189" s="738">
        <v>1</v>
      </c>
      <c r="FO189" s="738">
        <v>2</v>
      </c>
      <c r="FP189" s="738"/>
      <c r="FQ189" s="738">
        <v>4</v>
      </c>
      <c r="FR189" s="738">
        <v>1</v>
      </c>
      <c r="FS189" s="738">
        <v>3</v>
      </c>
      <c r="FT189" s="738"/>
      <c r="FU189" s="738">
        <v>4</v>
      </c>
      <c r="FV189" s="738">
        <v>11</v>
      </c>
      <c r="FW189" s="738">
        <v>12</v>
      </c>
      <c r="FX189" s="738">
        <v>25</v>
      </c>
      <c r="FY189" s="738">
        <v>11</v>
      </c>
      <c r="FZ189" s="738">
        <v>31</v>
      </c>
      <c r="GA189" s="738">
        <v>6</v>
      </c>
      <c r="GB189" s="738">
        <v>12</v>
      </c>
      <c r="GC189" s="738">
        <v>125</v>
      </c>
      <c r="GD189" s="983">
        <f>+(GC185+GC188)/GC189</f>
        <v>0.312</v>
      </c>
      <c r="GE189" s="73"/>
      <c r="GF189" s="968"/>
      <c r="GG189" s="73"/>
      <c r="GH189" s="968" t="s">
        <v>48</v>
      </c>
      <c r="GI189" s="968" t="s">
        <v>1284</v>
      </c>
      <c r="GJ189" s="968">
        <v>0</v>
      </c>
      <c r="GK189" s="968">
        <v>0</v>
      </c>
      <c r="GL189" s="968">
        <v>1</v>
      </c>
      <c r="GM189" s="968">
        <v>2</v>
      </c>
      <c r="GN189" s="968">
        <v>0</v>
      </c>
      <c r="GO189" s="968">
        <v>1</v>
      </c>
      <c r="GP189" s="968">
        <v>0</v>
      </c>
      <c r="GQ189" s="968">
        <v>2</v>
      </c>
      <c r="GR189" s="968">
        <v>6</v>
      </c>
      <c r="GS189" s="968">
        <v>4</v>
      </c>
      <c r="GT189" s="968">
        <v>1</v>
      </c>
      <c r="GU189" s="968">
        <v>3</v>
      </c>
      <c r="GV189" s="968">
        <v>2</v>
      </c>
      <c r="GW189" s="968">
        <v>0</v>
      </c>
      <c r="GX189" s="968">
        <v>0</v>
      </c>
      <c r="GY189" s="968">
        <v>0</v>
      </c>
      <c r="GZ189" s="968">
        <v>22</v>
      </c>
      <c r="HA189" s="968"/>
      <c r="HB189" s="969"/>
    </row>
    <row r="190" spans="1:210">
      <c r="A190" s="73"/>
      <c r="B190" s="73"/>
      <c r="C190" s="73"/>
      <c r="D190" s="73" t="s">
        <v>1292</v>
      </c>
      <c r="E190" s="967"/>
      <c r="F190" s="967"/>
      <c r="G190" s="967"/>
      <c r="H190" s="967"/>
      <c r="I190" s="967">
        <v>0</v>
      </c>
      <c r="J190" s="967"/>
      <c r="K190" s="967"/>
      <c r="L190" s="967"/>
      <c r="M190" s="967"/>
      <c r="N190" s="967">
        <v>0</v>
      </c>
      <c r="O190" s="967"/>
      <c r="P190" s="967"/>
      <c r="Q190" s="967">
        <v>0</v>
      </c>
      <c r="R190" s="967">
        <v>0</v>
      </c>
      <c r="S190" s="967">
        <v>2</v>
      </c>
      <c r="T190" s="73"/>
      <c r="U190" s="73">
        <v>3</v>
      </c>
      <c r="V190" s="73">
        <v>5</v>
      </c>
      <c r="W190" s="73"/>
      <c r="Y190" s="73"/>
      <c r="Z190" s="73"/>
      <c r="AA190" s="73"/>
      <c r="AB190" s="73" t="s">
        <v>1293</v>
      </c>
      <c r="AC190" s="3261"/>
      <c r="AD190" s="3261"/>
      <c r="AE190" s="3261"/>
      <c r="AF190" s="3261"/>
      <c r="AG190" s="3261"/>
      <c r="AH190" s="3261"/>
      <c r="AI190" s="3261"/>
      <c r="AJ190" s="3261"/>
      <c r="AK190" s="3261"/>
      <c r="AL190" s="3261"/>
      <c r="AM190" s="3261"/>
      <c r="AN190" s="3261"/>
      <c r="AO190" s="3261"/>
      <c r="AP190" s="3261">
        <v>0</v>
      </c>
      <c r="AQ190" s="3261">
        <v>1</v>
      </c>
      <c r="AR190" s="161">
        <v>0</v>
      </c>
      <c r="AS190" s="161">
        <v>0</v>
      </c>
      <c r="AT190" s="161">
        <v>1</v>
      </c>
      <c r="AU190" s="73"/>
      <c r="AY190" s="73"/>
      <c r="AZ190" s="73" t="s">
        <v>1292</v>
      </c>
      <c r="BA190" s="2607"/>
      <c r="BB190" s="2607">
        <v>0</v>
      </c>
      <c r="BC190" s="2607"/>
      <c r="BD190" s="2607"/>
      <c r="BE190" s="2607">
        <v>0</v>
      </c>
      <c r="BF190" s="2607"/>
      <c r="BG190" s="2607"/>
      <c r="BH190" s="2607"/>
      <c r="BI190" s="2607"/>
      <c r="BJ190" s="2607">
        <v>0</v>
      </c>
      <c r="BK190" s="2607">
        <v>0</v>
      </c>
      <c r="BL190" s="2607"/>
      <c r="BM190" s="2607">
        <v>0</v>
      </c>
      <c r="BN190" s="2607">
        <v>0</v>
      </c>
      <c r="BO190" s="2607">
        <v>2</v>
      </c>
      <c r="BP190" s="73">
        <v>1</v>
      </c>
      <c r="BQ190" s="73">
        <v>1</v>
      </c>
      <c r="BR190" s="73">
        <v>4</v>
      </c>
      <c r="BS190" s="73"/>
      <c r="BU190" s="2207"/>
      <c r="BV190" s="2207"/>
      <c r="BW190" s="2207"/>
      <c r="BX190" s="2208" t="s">
        <v>1289</v>
      </c>
      <c r="BY190" s="2210">
        <v>0</v>
      </c>
      <c r="BZ190" s="2210">
        <v>0</v>
      </c>
      <c r="CA190" s="2210">
        <v>2</v>
      </c>
      <c r="CB190" s="2210">
        <v>0</v>
      </c>
      <c r="CC190" s="2210">
        <v>1</v>
      </c>
      <c r="CD190" s="2210">
        <v>4</v>
      </c>
      <c r="CE190" s="2210">
        <v>0</v>
      </c>
      <c r="CF190" s="2210">
        <v>0</v>
      </c>
      <c r="CG190" s="2210">
        <v>1</v>
      </c>
      <c r="CH190" s="2210">
        <v>0</v>
      </c>
      <c r="CI190" s="2210">
        <v>0</v>
      </c>
      <c r="CJ190" s="2210">
        <v>0</v>
      </c>
      <c r="CK190" s="2210">
        <v>0</v>
      </c>
      <c r="CL190" s="2212">
        <v>0</v>
      </c>
      <c r="CM190" s="2212">
        <v>0</v>
      </c>
      <c r="CN190" s="2212">
        <v>8</v>
      </c>
      <c r="CO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965"/>
      <c r="EO190" s="965"/>
      <c r="EP190" s="965" t="s">
        <v>461</v>
      </c>
      <c r="EQ190" s="734" t="s">
        <v>1284</v>
      </c>
      <c r="ER190" s="966"/>
      <c r="ES190" s="966"/>
      <c r="ET190" s="966"/>
      <c r="EU190" s="966"/>
      <c r="EV190" s="735">
        <v>0</v>
      </c>
      <c r="EW190" s="735">
        <v>1</v>
      </c>
      <c r="EX190" s="735">
        <v>4</v>
      </c>
      <c r="EY190" s="735">
        <v>5</v>
      </c>
      <c r="EZ190" s="735">
        <v>4</v>
      </c>
      <c r="FA190" s="735">
        <v>1</v>
      </c>
      <c r="FB190" s="735">
        <v>2</v>
      </c>
      <c r="FC190" s="735">
        <v>0</v>
      </c>
      <c r="FD190" s="735">
        <v>0</v>
      </c>
      <c r="FE190" s="735">
        <v>17</v>
      </c>
      <c r="FF190" s="967"/>
      <c r="FG190" s="73"/>
      <c r="FH190" s="73"/>
      <c r="FI190" s="161"/>
      <c r="FJ190" s="161"/>
      <c r="FK190" s="161" t="s">
        <v>48</v>
      </c>
      <c r="FL190" s="73" t="s">
        <v>1284</v>
      </c>
      <c r="FM190" s="73"/>
      <c r="FN190" s="73">
        <v>1</v>
      </c>
      <c r="FO190" s="73">
        <v>3</v>
      </c>
      <c r="FP190" s="73">
        <v>3</v>
      </c>
      <c r="FQ190" s="73">
        <v>1</v>
      </c>
      <c r="FR190" s="73">
        <v>1</v>
      </c>
      <c r="FS190" s="73">
        <v>0</v>
      </c>
      <c r="FT190" s="73">
        <v>3</v>
      </c>
      <c r="FU190" s="73">
        <v>15</v>
      </c>
      <c r="FV190" s="73">
        <v>5</v>
      </c>
      <c r="FW190" s="73">
        <v>10</v>
      </c>
      <c r="FX190" s="73">
        <v>26</v>
      </c>
      <c r="FY190" s="73">
        <v>3</v>
      </c>
      <c r="FZ190" s="73">
        <v>0</v>
      </c>
      <c r="GA190" s="73">
        <v>1</v>
      </c>
      <c r="GB190" s="73">
        <v>0</v>
      </c>
      <c r="GC190" s="73">
        <v>72</v>
      </c>
      <c r="GD190" s="73"/>
      <c r="GE190" s="73"/>
      <c r="GF190" s="73"/>
      <c r="GG190" s="73"/>
      <c r="GH190" s="968"/>
      <c r="GI190" s="968" t="s">
        <v>1288</v>
      </c>
      <c r="GJ190" s="968">
        <v>0</v>
      </c>
      <c r="GK190" s="968">
        <v>0</v>
      </c>
      <c r="GL190" s="968">
        <v>0</v>
      </c>
      <c r="GM190" s="968">
        <v>0</v>
      </c>
      <c r="GN190" s="968">
        <v>0</v>
      </c>
      <c r="GO190" s="968">
        <v>0</v>
      </c>
      <c r="GP190" s="968">
        <v>0</v>
      </c>
      <c r="GQ190" s="968">
        <v>0</v>
      </c>
      <c r="GR190" s="968">
        <v>0</v>
      </c>
      <c r="GS190" s="968">
        <v>0</v>
      </c>
      <c r="GT190" s="968">
        <v>0</v>
      </c>
      <c r="GU190" s="968">
        <v>1</v>
      </c>
      <c r="GV190" s="968">
        <v>0</v>
      </c>
      <c r="GW190" s="968">
        <v>0</v>
      </c>
      <c r="GX190" s="968">
        <v>1</v>
      </c>
      <c r="GY190" s="968">
        <v>0</v>
      </c>
      <c r="GZ190" s="968">
        <v>2</v>
      </c>
      <c r="HA190" s="968"/>
      <c r="HB190" s="969"/>
    </row>
    <row r="191" spans="1:210">
      <c r="A191" s="73"/>
      <c r="B191" s="73"/>
      <c r="C191" s="73"/>
      <c r="D191" s="73" t="s">
        <v>1293</v>
      </c>
      <c r="E191" s="967"/>
      <c r="F191" s="967"/>
      <c r="G191" s="967"/>
      <c r="H191" s="967"/>
      <c r="I191" s="967">
        <v>0</v>
      </c>
      <c r="J191" s="967"/>
      <c r="K191" s="967"/>
      <c r="L191" s="967"/>
      <c r="M191" s="967"/>
      <c r="N191" s="967">
        <v>0</v>
      </c>
      <c r="O191" s="967"/>
      <c r="P191" s="967"/>
      <c r="Q191" s="967">
        <v>3</v>
      </c>
      <c r="R191" s="967">
        <v>1</v>
      </c>
      <c r="S191" s="967">
        <v>0</v>
      </c>
      <c r="T191" s="73"/>
      <c r="U191" s="73">
        <v>0</v>
      </c>
      <c r="V191" s="73">
        <v>4</v>
      </c>
      <c r="W191" s="73"/>
      <c r="Y191" s="73"/>
      <c r="Z191" s="73"/>
      <c r="AA191" s="73"/>
      <c r="AB191" s="738" t="s">
        <v>15</v>
      </c>
      <c r="AC191" s="3262"/>
      <c r="AD191" s="3262"/>
      <c r="AE191" s="3262"/>
      <c r="AF191" s="3262"/>
      <c r="AG191" s="3262"/>
      <c r="AH191" s="3262"/>
      <c r="AI191" s="3262"/>
      <c r="AJ191" s="3262"/>
      <c r="AK191" s="3262"/>
      <c r="AL191" s="3262"/>
      <c r="AM191" s="3262"/>
      <c r="AN191" s="3262"/>
      <c r="AO191" s="3262"/>
      <c r="AP191" s="3262">
        <v>1</v>
      </c>
      <c r="AQ191" s="3262">
        <v>2</v>
      </c>
      <c r="AR191" s="151">
        <v>1</v>
      </c>
      <c r="AS191" s="151">
        <v>2</v>
      </c>
      <c r="AT191" s="151">
        <v>6</v>
      </c>
      <c r="AU191" s="912">
        <f>+(AT188+AT190)/AT191</f>
        <v>0.33333333333333331</v>
      </c>
      <c r="AY191" s="73"/>
      <c r="AZ191" s="73" t="s">
        <v>1398</v>
      </c>
      <c r="BA191" s="2607"/>
      <c r="BB191" s="2607">
        <v>0</v>
      </c>
      <c r="BC191" s="2607"/>
      <c r="BD191" s="2607"/>
      <c r="BE191" s="2607">
        <v>0</v>
      </c>
      <c r="BF191" s="2607"/>
      <c r="BG191" s="2607"/>
      <c r="BH191" s="2607"/>
      <c r="BI191" s="2607"/>
      <c r="BJ191" s="2607">
        <v>2</v>
      </c>
      <c r="BK191" s="2607">
        <v>2</v>
      </c>
      <c r="BL191" s="2607"/>
      <c r="BM191" s="2607">
        <v>0</v>
      </c>
      <c r="BN191" s="2607">
        <v>0</v>
      </c>
      <c r="BO191" s="2607">
        <v>0</v>
      </c>
      <c r="BP191" s="73">
        <v>0</v>
      </c>
      <c r="BQ191" s="73">
        <v>0</v>
      </c>
      <c r="BR191" s="73">
        <v>4</v>
      </c>
      <c r="BS191" s="73"/>
      <c r="BU191" s="2207"/>
      <c r="BV191" s="2207"/>
      <c r="BW191" s="2207"/>
      <c r="BX191" s="2208" t="s">
        <v>1292</v>
      </c>
      <c r="BY191" s="2210">
        <v>0</v>
      </c>
      <c r="BZ191" s="2210">
        <v>0</v>
      </c>
      <c r="CA191" s="2210">
        <v>0</v>
      </c>
      <c r="CB191" s="2210">
        <v>0</v>
      </c>
      <c r="CC191" s="2210">
        <v>0</v>
      </c>
      <c r="CD191" s="2210">
        <v>0</v>
      </c>
      <c r="CE191" s="2210">
        <v>0</v>
      </c>
      <c r="CF191" s="2210">
        <v>0</v>
      </c>
      <c r="CG191" s="2210">
        <v>0</v>
      </c>
      <c r="CH191" s="2210">
        <v>1</v>
      </c>
      <c r="CI191" s="2210">
        <v>1</v>
      </c>
      <c r="CJ191" s="2210">
        <v>6</v>
      </c>
      <c r="CK191" s="2210">
        <v>53</v>
      </c>
      <c r="CL191" s="2212">
        <v>5</v>
      </c>
      <c r="CM191" s="2212">
        <v>23</v>
      </c>
      <c r="CN191" s="2212">
        <v>89</v>
      </c>
      <c r="CO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965"/>
      <c r="EO191" s="965"/>
      <c r="EP191" s="965"/>
      <c r="EQ191" s="734" t="s">
        <v>1288</v>
      </c>
      <c r="ER191" s="966"/>
      <c r="ES191" s="966"/>
      <c r="ET191" s="966"/>
      <c r="EU191" s="966"/>
      <c r="EV191" s="735">
        <v>0</v>
      </c>
      <c r="EW191" s="735">
        <v>0</v>
      </c>
      <c r="EX191" s="735">
        <v>0</v>
      </c>
      <c r="EY191" s="735">
        <v>0</v>
      </c>
      <c r="EZ191" s="735">
        <v>0</v>
      </c>
      <c r="FA191" s="735">
        <v>1</v>
      </c>
      <c r="FB191" s="735">
        <v>0</v>
      </c>
      <c r="FC191" s="735">
        <v>1</v>
      </c>
      <c r="FD191" s="735">
        <v>0</v>
      </c>
      <c r="FE191" s="735">
        <v>2</v>
      </c>
      <c r="FF191" s="967"/>
      <c r="FG191" s="73"/>
      <c r="FH191" s="73"/>
      <c r="FI191" s="161"/>
      <c r="FJ191" s="161"/>
      <c r="FK191" s="161"/>
      <c r="FL191" s="73" t="s">
        <v>1286</v>
      </c>
      <c r="FM191" s="73"/>
      <c r="FN191" s="73">
        <v>1</v>
      </c>
      <c r="FO191" s="73">
        <v>0</v>
      </c>
      <c r="FP191" s="73">
        <v>0</v>
      </c>
      <c r="FQ191" s="73">
        <v>0</v>
      </c>
      <c r="FR191" s="73">
        <v>0</v>
      </c>
      <c r="FS191" s="73">
        <v>0</v>
      </c>
      <c r="FT191" s="73">
        <v>0</v>
      </c>
      <c r="FU191" s="73">
        <v>0</v>
      </c>
      <c r="FV191" s="73">
        <v>0</v>
      </c>
      <c r="FW191" s="73">
        <v>0</v>
      </c>
      <c r="FX191" s="73">
        <v>0</v>
      </c>
      <c r="FY191" s="73">
        <v>0</v>
      </c>
      <c r="FZ191" s="73">
        <v>0</v>
      </c>
      <c r="GA191" s="73">
        <v>0</v>
      </c>
      <c r="GB191" s="73">
        <v>0</v>
      </c>
      <c r="GC191" s="73">
        <v>1</v>
      </c>
      <c r="GD191" s="73"/>
      <c r="GE191" s="73"/>
      <c r="GF191" s="73"/>
      <c r="GG191" s="73"/>
      <c r="GH191" s="968"/>
      <c r="GI191" s="968" t="s">
        <v>1292</v>
      </c>
      <c r="GJ191" s="968">
        <v>0</v>
      </c>
      <c r="GK191" s="968">
        <v>0</v>
      </c>
      <c r="GL191" s="968">
        <v>0</v>
      </c>
      <c r="GM191" s="968">
        <v>0</v>
      </c>
      <c r="GN191" s="968">
        <v>0</v>
      </c>
      <c r="GO191" s="968">
        <v>0</v>
      </c>
      <c r="GP191" s="968">
        <v>0</v>
      </c>
      <c r="GQ191" s="968">
        <v>1</v>
      </c>
      <c r="GR191" s="968">
        <v>0</v>
      </c>
      <c r="GS191" s="968">
        <v>0</v>
      </c>
      <c r="GT191" s="968">
        <v>1</v>
      </c>
      <c r="GU191" s="968">
        <v>0</v>
      </c>
      <c r="GV191" s="968">
        <v>0</v>
      </c>
      <c r="GW191" s="968">
        <v>2</v>
      </c>
      <c r="GX191" s="968">
        <v>0</v>
      </c>
      <c r="GY191" s="968">
        <v>5</v>
      </c>
      <c r="GZ191" s="968">
        <v>9</v>
      </c>
      <c r="HA191" s="968"/>
      <c r="HB191" s="969"/>
    </row>
    <row r="192" spans="1:210">
      <c r="A192" s="73"/>
      <c r="B192" s="73"/>
      <c r="C192" s="73"/>
      <c r="D192" s="73" t="s">
        <v>1398</v>
      </c>
      <c r="E192" s="967"/>
      <c r="F192" s="967"/>
      <c r="G192" s="967"/>
      <c r="H192" s="967"/>
      <c r="I192" s="967">
        <v>0</v>
      </c>
      <c r="J192" s="967"/>
      <c r="K192" s="967"/>
      <c r="L192" s="967"/>
      <c r="M192" s="967"/>
      <c r="N192" s="967">
        <v>0</v>
      </c>
      <c r="O192" s="967"/>
      <c r="P192" s="967"/>
      <c r="Q192" s="967">
        <v>0</v>
      </c>
      <c r="R192" s="967">
        <v>1</v>
      </c>
      <c r="S192" s="967">
        <v>0</v>
      </c>
      <c r="T192" s="73"/>
      <c r="U192" s="73">
        <v>0</v>
      </c>
      <c r="V192" s="73">
        <v>1</v>
      </c>
      <c r="W192" s="73"/>
      <c r="Y192" s="73"/>
      <c r="Z192" s="73"/>
      <c r="AA192" s="73" t="s">
        <v>577</v>
      </c>
      <c r="AB192" s="73" t="s">
        <v>1288</v>
      </c>
      <c r="AC192" s="3261"/>
      <c r="AD192" s="3261"/>
      <c r="AE192" s="3261"/>
      <c r="AF192" s="3261"/>
      <c r="AG192" s="3261"/>
      <c r="AH192" s="3261"/>
      <c r="AI192" s="3261"/>
      <c r="AJ192" s="3261"/>
      <c r="AK192" s="3261"/>
      <c r="AL192" s="3261"/>
      <c r="AM192" s="3261"/>
      <c r="AN192" s="3261"/>
      <c r="AO192" s="3261"/>
      <c r="AP192" s="3261">
        <v>1</v>
      </c>
      <c r="AQ192" s="3261">
        <v>0</v>
      </c>
      <c r="AR192" s="161">
        <v>0</v>
      </c>
      <c r="AS192" s="161">
        <v>0</v>
      </c>
      <c r="AT192" s="161">
        <v>1</v>
      </c>
      <c r="AU192" s="73"/>
      <c r="AY192" s="73"/>
      <c r="AZ192" s="738" t="s">
        <v>265</v>
      </c>
      <c r="BA192" s="2608"/>
      <c r="BB192" s="2608">
        <v>1</v>
      </c>
      <c r="BC192" s="2608"/>
      <c r="BD192" s="2608"/>
      <c r="BE192" s="2608">
        <v>1</v>
      </c>
      <c r="BF192" s="2608"/>
      <c r="BG192" s="2608"/>
      <c r="BH192" s="2608"/>
      <c r="BI192" s="2608"/>
      <c r="BJ192" s="2608">
        <v>5</v>
      </c>
      <c r="BK192" s="2608">
        <v>4</v>
      </c>
      <c r="BL192" s="2608"/>
      <c r="BM192" s="2608">
        <v>1</v>
      </c>
      <c r="BN192" s="2608">
        <v>1</v>
      </c>
      <c r="BO192" s="2608">
        <v>2</v>
      </c>
      <c r="BP192" s="738">
        <v>1</v>
      </c>
      <c r="BQ192" s="738">
        <v>1</v>
      </c>
      <c r="BR192" s="738">
        <v>17</v>
      </c>
      <c r="BS192" s="912">
        <f>+BR191/BR192</f>
        <v>0.23529411764705882</v>
      </c>
      <c r="BU192" s="2207"/>
      <c r="BV192" s="2207"/>
      <c r="BW192" s="2207"/>
      <c r="BX192" s="2208" t="s">
        <v>1293</v>
      </c>
      <c r="BY192" s="2210">
        <v>0</v>
      </c>
      <c r="BZ192" s="2210">
        <v>0</v>
      </c>
      <c r="CA192" s="2210">
        <v>0</v>
      </c>
      <c r="CB192" s="2210">
        <v>0</v>
      </c>
      <c r="CC192" s="2210">
        <v>0</v>
      </c>
      <c r="CD192" s="2210">
        <v>0</v>
      </c>
      <c r="CE192" s="2210">
        <v>0</v>
      </c>
      <c r="CF192" s="2210">
        <v>1</v>
      </c>
      <c r="CG192" s="2210">
        <v>0</v>
      </c>
      <c r="CH192" s="2210">
        <v>2</v>
      </c>
      <c r="CI192" s="2210">
        <v>6</v>
      </c>
      <c r="CJ192" s="2210">
        <v>1</v>
      </c>
      <c r="CK192" s="2210">
        <v>0</v>
      </c>
      <c r="CL192" s="2212">
        <v>1</v>
      </c>
      <c r="CM192" s="2212">
        <v>0</v>
      </c>
      <c r="CN192" s="2212">
        <v>11</v>
      </c>
      <c r="CO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965"/>
      <c r="EO192" s="965"/>
      <c r="EP192" s="965"/>
      <c r="EQ192" s="734" t="s">
        <v>1292</v>
      </c>
      <c r="ER192" s="966"/>
      <c r="ES192" s="966"/>
      <c r="ET192" s="966"/>
      <c r="EU192" s="966"/>
      <c r="EV192" s="735">
        <v>1</v>
      </c>
      <c r="EW192" s="735">
        <v>0</v>
      </c>
      <c r="EX192" s="735">
        <v>0</v>
      </c>
      <c r="EY192" s="735">
        <v>0</v>
      </c>
      <c r="EZ192" s="735">
        <v>0</v>
      </c>
      <c r="FA192" s="735">
        <v>0</v>
      </c>
      <c r="FB192" s="735">
        <v>3</v>
      </c>
      <c r="FC192" s="735">
        <v>0</v>
      </c>
      <c r="FD192" s="735">
        <v>6</v>
      </c>
      <c r="FE192" s="735">
        <v>10</v>
      </c>
      <c r="FF192" s="967"/>
      <c r="FG192" s="73"/>
      <c r="FH192" s="73"/>
      <c r="FI192" s="161"/>
      <c r="FJ192" s="161"/>
      <c r="FK192" s="161"/>
      <c r="FL192" s="73" t="s">
        <v>1288</v>
      </c>
      <c r="FM192" s="73"/>
      <c r="FN192" s="73">
        <v>0</v>
      </c>
      <c r="FO192" s="73">
        <v>0</v>
      </c>
      <c r="FP192" s="73">
        <v>0</v>
      </c>
      <c r="FQ192" s="73">
        <v>0</v>
      </c>
      <c r="FR192" s="73">
        <v>0</v>
      </c>
      <c r="FS192" s="73">
        <v>0</v>
      </c>
      <c r="FT192" s="73">
        <v>0</v>
      </c>
      <c r="FU192" s="73">
        <v>1</v>
      </c>
      <c r="FV192" s="73">
        <v>0</v>
      </c>
      <c r="FW192" s="73">
        <v>0</v>
      </c>
      <c r="FX192" s="73">
        <v>0</v>
      </c>
      <c r="FY192" s="73">
        <v>0</v>
      </c>
      <c r="FZ192" s="73">
        <v>1</v>
      </c>
      <c r="GA192" s="73">
        <v>0</v>
      </c>
      <c r="GB192" s="73">
        <v>0</v>
      </c>
      <c r="GC192" s="73">
        <v>2</v>
      </c>
      <c r="GD192" s="73"/>
      <c r="GE192" s="73"/>
      <c r="GF192" s="73"/>
      <c r="GG192" s="73"/>
      <c r="GH192" s="968"/>
      <c r="GI192" s="968" t="s">
        <v>1293</v>
      </c>
      <c r="GJ192" s="968">
        <v>0</v>
      </c>
      <c r="GK192" s="968">
        <v>0</v>
      </c>
      <c r="GL192" s="968">
        <v>0</v>
      </c>
      <c r="GM192" s="968">
        <v>0</v>
      </c>
      <c r="GN192" s="968">
        <v>0</v>
      </c>
      <c r="GO192" s="968">
        <v>0</v>
      </c>
      <c r="GP192" s="968">
        <v>0</v>
      </c>
      <c r="GQ192" s="968">
        <v>0</v>
      </c>
      <c r="GR192" s="968">
        <v>0</v>
      </c>
      <c r="GS192" s="968">
        <v>2</v>
      </c>
      <c r="GT192" s="968">
        <v>0</v>
      </c>
      <c r="GU192" s="968">
        <v>1</v>
      </c>
      <c r="GV192" s="968">
        <v>2</v>
      </c>
      <c r="GW192" s="968">
        <v>0</v>
      </c>
      <c r="GX192" s="968">
        <v>0</v>
      </c>
      <c r="GY192" s="968">
        <v>0</v>
      </c>
      <c r="GZ192" s="968">
        <v>5</v>
      </c>
      <c r="HA192" s="968"/>
      <c r="HB192" s="969"/>
    </row>
    <row r="193" spans="1:210">
      <c r="A193" s="73"/>
      <c r="B193" s="73"/>
      <c r="C193" s="73"/>
      <c r="D193" s="738" t="s">
        <v>15</v>
      </c>
      <c r="E193" s="4694"/>
      <c r="F193" s="4694"/>
      <c r="G193" s="4694"/>
      <c r="H193" s="4694"/>
      <c r="I193" s="4694">
        <v>1</v>
      </c>
      <c r="J193" s="4694"/>
      <c r="K193" s="4694"/>
      <c r="L193" s="4694"/>
      <c r="M193" s="4694"/>
      <c r="N193" s="4694">
        <v>1</v>
      </c>
      <c r="O193" s="4694"/>
      <c r="P193" s="4694"/>
      <c r="Q193" s="4694">
        <v>4</v>
      </c>
      <c r="R193" s="4694">
        <v>2</v>
      </c>
      <c r="S193" s="4694">
        <v>2</v>
      </c>
      <c r="T193" s="738"/>
      <c r="U193" s="738">
        <v>3</v>
      </c>
      <c r="V193" s="738">
        <v>13</v>
      </c>
      <c r="W193" s="912">
        <f>+(V192+V191)/V193</f>
        <v>0.38461538461538464</v>
      </c>
      <c r="X193" s="3197"/>
      <c r="Y193" s="73"/>
      <c r="Z193" s="73"/>
      <c r="AA193" s="73"/>
      <c r="AB193" s="73" t="s">
        <v>1292</v>
      </c>
      <c r="AC193" s="3261"/>
      <c r="AD193" s="3261"/>
      <c r="AE193" s="3261"/>
      <c r="AF193" s="3261"/>
      <c r="AG193" s="3261"/>
      <c r="AH193" s="3261"/>
      <c r="AI193" s="3261"/>
      <c r="AJ193" s="3261"/>
      <c r="AK193" s="3261"/>
      <c r="AL193" s="3261"/>
      <c r="AM193" s="3261"/>
      <c r="AN193" s="3261"/>
      <c r="AO193" s="3261"/>
      <c r="AP193" s="3261">
        <v>0</v>
      </c>
      <c r="AQ193" s="3261">
        <v>1</v>
      </c>
      <c r="AR193" s="161">
        <v>1</v>
      </c>
      <c r="AS193" s="161">
        <v>2</v>
      </c>
      <c r="AT193" s="161">
        <v>4</v>
      </c>
      <c r="AU193" s="73"/>
      <c r="AY193" s="73" t="s">
        <v>114</v>
      </c>
      <c r="AZ193" s="73" t="s">
        <v>1283</v>
      </c>
      <c r="BA193" s="2607">
        <v>0</v>
      </c>
      <c r="BB193" s="2607">
        <v>0</v>
      </c>
      <c r="BC193" s="2607">
        <v>0</v>
      </c>
      <c r="BD193" s="2607">
        <v>0</v>
      </c>
      <c r="BE193" s="2607">
        <v>0</v>
      </c>
      <c r="BF193" s="2607">
        <v>0</v>
      </c>
      <c r="BG193" s="2607">
        <v>0</v>
      </c>
      <c r="BH193" s="2607">
        <v>0</v>
      </c>
      <c r="BI193" s="2607">
        <v>0</v>
      </c>
      <c r="BJ193" s="2607">
        <v>0</v>
      </c>
      <c r="BK193" s="2607">
        <v>1</v>
      </c>
      <c r="BL193" s="2607">
        <v>1</v>
      </c>
      <c r="BM193" s="2607">
        <v>1</v>
      </c>
      <c r="BN193" s="2607">
        <v>2</v>
      </c>
      <c r="BO193" s="2607">
        <v>4</v>
      </c>
      <c r="BP193" s="73">
        <v>0</v>
      </c>
      <c r="BQ193" s="73">
        <v>2</v>
      </c>
      <c r="BR193" s="73">
        <v>11</v>
      </c>
      <c r="BS193" s="73"/>
      <c r="BU193" s="2207"/>
      <c r="BV193" s="2207"/>
      <c r="BW193" s="2207"/>
      <c r="BX193" s="2208" t="s">
        <v>1398</v>
      </c>
      <c r="BY193" s="2210">
        <v>0</v>
      </c>
      <c r="BZ193" s="2210">
        <v>0</v>
      </c>
      <c r="CA193" s="2210">
        <v>0</v>
      </c>
      <c r="CB193" s="2210">
        <v>0</v>
      </c>
      <c r="CC193" s="2210">
        <v>0</v>
      </c>
      <c r="CD193" s="2210">
        <v>0</v>
      </c>
      <c r="CE193" s="2210">
        <v>3</v>
      </c>
      <c r="CF193" s="2210">
        <v>10</v>
      </c>
      <c r="CG193" s="2210">
        <v>1</v>
      </c>
      <c r="CH193" s="2210">
        <v>6</v>
      </c>
      <c r="CI193" s="2210">
        <v>19</v>
      </c>
      <c r="CJ193" s="2210">
        <v>10</v>
      </c>
      <c r="CK193" s="2210">
        <v>0</v>
      </c>
      <c r="CL193" s="2212">
        <v>0</v>
      </c>
      <c r="CM193" s="2212">
        <v>0</v>
      </c>
      <c r="CN193" s="2212">
        <v>49</v>
      </c>
      <c r="CO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965"/>
      <c r="EO193" s="965"/>
      <c r="EP193" s="965"/>
      <c r="EQ193" s="734" t="s">
        <v>1293</v>
      </c>
      <c r="ER193" s="966"/>
      <c r="ES193" s="966"/>
      <c r="ET193" s="966"/>
      <c r="EU193" s="966"/>
      <c r="EV193" s="735">
        <v>0</v>
      </c>
      <c r="EW193" s="735">
        <v>0</v>
      </c>
      <c r="EX193" s="735">
        <v>0</v>
      </c>
      <c r="EY193" s="735">
        <v>0</v>
      </c>
      <c r="EZ193" s="735">
        <v>0</v>
      </c>
      <c r="FA193" s="735">
        <v>2</v>
      </c>
      <c r="FB193" s="735">
        <v>1</v>
      </c>
      <c r="FC193" s="735">
        <v>0</v>
      </c>
      <c r="FD193" s="735">
        <v>0</v>
      </c>
      <c r="FE193" s="735">
        <v>3</v>
      </c>
      <c r="FF193" s="967"/>
      <c r="FG193" s="73"/>
      <c r="FH193" s="73"/>
      <c r="FI193" s="161"/>
      <c r="FJ193" s="161"/>
      <c r="FK193" s="161"/>
      <c r="FL193" s="73" t="s">
        <v>1292</v>
      </c>
      <c r="FM193" s="73"/>
      <c r="FN193" s="73">
        <v>0</v>
      </c>
      <c r="FO193" s="73">
        <v>0</v>
      </c>
      <c r="FP193" s="73">
        <v>0</v>
      </c>
      <c r="FQ193" s="73">
        <v>0</v>
      </c>
      <c r="FR193" s="73">
        <v>0</v>
      </c>
      <c r="FS193" s="73">
        <v>0</v>
      </c>
      <c r="FT193" s="73">
        <v>0</v>
      </c>
      <c r="FU193" s="73">
        <v>0</v>
      </c>
      <c r="FV193" s="73">
        <v>2</v>
      </c>
      <c r="FW193" s="73">
        <v>1</v>
      </c>
      <c r="FX193" s="73">
        <v>1</v>
      </c>
      <c r="FY193" s="73">
        <v>4</v>
      </c>
      <c r="FZ193" s="73">
        <v>1</v>
      </c>
      <c r="GA193" s="73">
        <v>4</v>
      </c>
      <c r="GB193" s="73">
        <v>8</v>
      </c>
      <c r="GC193" s="73">
        <v>21</v>
      </c>
      <c r="GD193" s="73"/>
      <c r="GE193" s="73"/>
      <c r="GF193" s="73"/>
      <c r="GG193" s="73"/>
      <c r="GH193" s="968"/>
      <c r="GI193" s="968" t="s">
        <v>1398</v>
      </c>
      <c r="GJ193" s="968">
        <v>0</v>
      </c>
      <c r="GK193" s="968">
        <v>0</v>
      </c>
      <c r="GL193" s="968">
        <v>0</v>
      </c>
      <c r="GM193" s="968">
        <v>0</v>
      </c>
      <c r="GN193" s="968">
        <v>0</v>
      </c>
      <c r="GO193" s="968">
        <v>0</v>
      </c>
      <c r="GP193" s="968">
        <v>0</v>
      </c>
      <c r="GQ193" s="968">
        <v>2</v>
      </c>
      <c r="GR193" s="968">
        <v>0</v>
      </c>
      <c r="GS193" s="968">
        <v>0</v>
      </c>
      <c r="GT193" s="968">
        <v>1</v>
      </c>
      <c r="GU193" s="968">
        <v>2</v>
      </c>
      <c r="GV193" s="968">
        <v>0</v>
      </c>
      <c r="GW193" s="968">
        <v>0</v>
      </c>
      <c r="GX193" s="968">
        <v>0</v>
      </c>
      <c r="GY193" s="968">
        <v>0</v>
      </c>
      <c r="GZ193" s="968">
        <v>5</v>
      </c>
      <c r="HA193" s="968"/>
      <c r="HB193" s="969"/>
    </row>
    <row r="194" spans="1:210" ht="15.75" thickBot="1">
      <c r="A194" s="73"/>
      <c r="B194" s="73"/>
      <c r="C194" s="73" t="s">
        <v>2024</v>
      </c>
      <c r="D194" s="73" t="s">
        <v>1284</v>
      </c>
      <c r="E194" s="967"/>
      <c r="F194" s="967"/>
      <c r="G194" s="967"/>
      <c r="H194" s="967"/>
      <c r="I194" s="967"/>
      <c r="J194" s="967"/>
      <c r="K194" s="967"/>
      <c r="L194" s="967"/>
      <c r="M194" s="967"/>
      <c r="N194" s="967"/>
      <c r="O194" s="967"/>
      <c r="P194" s="967"/>
      <c r="Q194" s="967">
        <v>1</v>
      </c>
      <c r="R194" s="967"/>
      <c r="S194" s="967">
        <v>0</v>
      </c>
      <c r="T194" s="73">
        <v>1</v>
      </c>
      <c r="U194" s="73">
        <v>0</v>
      </c>
      <c r="V194" s="73">
        <v>2</v>
      </c>
      <c r="W194" s="73"/>
      <c r="Y194" s="73"/>
      <c r="Z194" s="73"/>
      <c r="AA194" s="73"/>
      <c r="AB194" s="73" t="s">
        <v>1293</v>
      </c>
      <c r="AC194" s="3261"/>
      <c r="AD194" s="3261"/>
      <c r="AE194" s="3261"/>
      <c r="AF194" s="3261"/>
      <c r="AG194" s="3261"/>
      <c r="AH194" s="3261"/>
      <c r="AI194" s="3261"/>
      <c r="AJ194" s="3261"/>
      <c r="AK194" s="3261"/>
      <c r="AL194" s="3261"/>
      <c r="AM194" s="3261"/>
      <c r="AN194" s="3261"/>
      <c r="AO194" s="3261"/>
      <c r="AP194" s="3261">
        <v>0</v>
      </c>
      <c r="AQ194" s="3261">
        <v>1</v>
      </c>
      <c r="AR194" s="161">
        <v>0</v>
      </c>
      <c r="AS194" s="161">
        <v>0</v>
      </c>
      <c r="AT194" s="161">
        <v>1</v>
      </c>
      <c r="AU194" s="73"/>
      <c r="AY194" s="73"/>
      <c r="AZ194" s="73" t="s">
        <v>1284</v>
      </c>
      <c r="BA194" s="2607">
        <v>1</v>
      </c>
      <c r="BB194" s="2607">
        <v>3</v>
      </c>
      <c r="BC194" s="2607">
        <v>4</v>
      </c>
      <c r="BD194" s="2607">
        <v>1</v>
      </c>
      <c r="BE194" s="2607">
        <v>1</v>
      </c>
      <c r="BF194" s="2607">
        <v>2</v>
      </c>
      <c r="BG194" s="2607">
        <v>2</v>
      </c>
      <c r="BH194" s="2607">
        <v>3</v>
      </c>
      <c r="BI194" s="2607">
        <v>4</v>
      </c>
      <c r="BJ194" s="2607">
        <v>9</v>
      </c>
      <c r="BK194" s="2607">
        <v>7</v>
      </c>
      <c r="BL194" s="2607">
        <v>2</v>
      </c>
      <c r="BM194" s="2607">
        <v>29</v>
      </c>
      <c r="BN194" s="2607">
        <v>18</v>
      </c>
      <c r="BO194" s="2607">
        <v>2</v>
      </c>
      <c r="BP194" s="73">
        <v>2</v>
      </c>
      <c r="BQ194" s="73">
        <v>0</v>
      </c>
      <c r="BR194" s="73">
        <v>90</v>
      </c>
      <c r="BS194" s="73"/>
      <c r="BU194" s="2217"/>
      <c r="BV194" s="2217"/>
      <c r="BW194" s="2217"/>
      <c r="BX194" s="2218" t="s">
        <v>114</v>
      </c>
      <c r="BY194" s="2219">
        <v>1</v>
      </c>
      <c r="BZ194" s="2219">
        <v>10</v>
      </c>
      <c r="CA194" s="2219">
        <v>4</v>
      </c>
      <c r="CB194" s="2219">
        <v>1</v>
      </c>
      <c r="CC194" s="2219">
        <v>5</v>
      </c>
      <c r="CD194" s="2219">
        <v>6</v>
      </c>
      <c r="CE194" s="2219">
        <v>7</v>
      </c>
      <c r="CF194" s="2219">
        <v>26</v>
      </c>
      <c r="CG194" s="2219">
        <v>11</v>
      </c>
      <c r="CH194" s="2219">
        <v>20</v>
      </c>
      <c r="CI194" s="2219">
        <v>77</v>
      </c>
      <c r="CJ194" s="2219">
        <v>37</v>
      </c>
      <c r="CK194" s="2219">
        <v>70</v>
      </c>
      <c r="CL194" s="2220">
        <v>9</v>
      </c>
      <c r="CM194" s="2220">
        <v>26</v>
      </c>
      <c r="CN194" s="2220">
        <v>310</v>
      </c>
      <c r="CO194" s="2161">
        <f>+(CN189-CL189+CN192-CL192+CN193)/CN194</f>
        <v>0.30967741935483872</v>
      </c>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965"/>
      <c r="EO194" s="965"/>
      <c r="EP194" s="965"/>
      <c r="EQ194" s="734" t="s">
        <v>1398</v>
      </c>
      <c r="ER194" s="966"/>
      <c r="ES194" s="966"/>
      <c r="ET194" s="966"/>
      <c r="EU194" s="966"/>
      <c r="EV194" s="735">
        <v>0</v>
      </c>
      <c r="EW194" s="735">
        <v>1</v>
      </c>
      <c r="EX194" s="735">
        <v>1</v>
      </c>
      <c r="EY194" s="735">
        <v>1</v>
      </c>
      <c r="EZ194" s="735">
        <v>3</v>
      </c>
      <c r="FA194" s="735">
        <v>0</v>
      </c>
      <c r="FB194" s="735">
        <v>0</v>
      </c>
      <c r="FC194" s="735">
        <v>0</v>
      </c>
      <c r="FD194" s="735">
        <v>0</v>
      </c>
      <c r="FE194" s="735">
        <v>6</v>
      </c>
      <c r="FF194" s="967"/>
      <c r="FG194" s="73"/>
      <c r="FH194" s="73"/>
      <c r="FI194" s="161"/>
      <c r="FJ194" s="161"/>
      <c r="FK194" s="161"/>
      <c r="FL194" s="73" t="s">
        <v>1293</v>
      </c>
      <c r="FM194" s="73"/>
      <c r="FN194" s="73">
        <v>0</v>
      </c>
      <c r="FO194" s="73">
        <v>0</v>
      </c>
      <c r="FP194" s="73">
        <v>0</v>
      </c>
      <c r="FQ194" s="73">
        <v>0</v>
      </c>
      <c r="FR194" s="73">
        <v>0</v>
      </c>
      <c r="FS194" s="73">
        <v>0</v>
      </c>
      <c r="FT194" s="73">
        <v>0</v>
      </c>
      <c r="FU194" s="73">
        <v>3</v>
      </c>
      <c r="FV194" s="73">
        <v>1</v>
      </c>
      <c r="FW194" s="73">
        <v>1</v>
      </c>
      <c r="FX194" s="73">
        <v>3</v>
      </c>
      <c r="FY194" s="73">
        <v>0</v>
      </c>
      <c r="FZ194" s="73">
        <v>1</v>
      </c>
      <c r="GA194" s="73">
        <v>0</v>
      </c>
      <c r="GB194" s="73">
        <v>0</v>
      </c>
      <c r="GC194" s="73">
        <v>9</v>
      </c>
      <c r="GD194" s="73"/>
      <c r="GE194" s="73"/>
      <c r="GF194" s="73"/>
      <c r="GG194" s="73"/>
      <c r="GH194" s="998"/>
      <c r="GI194" s="986" t="s">
        <v>15</v>
      </c>
      <c r="GJ194" s="986">
        <v>0</v>
      </c>
      <c r="GK194" s="986">
        <v>0</v>
      </c>
      <c r="GL194" s="986">
        <v>1</v>
      </c>
      <c r="GM194" s="986">
        <v>2</v>
      </c>
      <c r="GN194" s="986">
        <v>0</v>
      </c>
      <c r="GO194" s="986">
        <v>1</v>
      </c>
      <c r="GP194" s="986">
        <v>0</v>
      </c>
      <c r="GQ194" s="986">
        <v>5</v>
      </c>
      <c r="GR194" s="986">
        <v>6</v>
      </c>
      <c r="GS194" s="986">
        <v>6</v>
      </c>
      <c r="GT194" s="986">
        <v>3</v>
      </c>
      <c r="GU194" s="986">
        <v>7</v>
      </c>
      <c r="GV194" s="986">
        <v>4</v>
      </c>
      <c r="GW194" s="986">
        <v>2</v>
      </c>
      <c r="GX194" s="986">
        <v>1</v>
      </c>
      <c r="GY194" s="986">
        <v>5</v>
      </c>
      <c r="GZ194" s="986">
        <v>43</v>
      </c>
      <c r="HA194" s="987">
        <f>+(GZ193+GZ192+GZ190-GX190)/GZ194</f>
        <v>0.2558139534883721</v>
      </c>
      <c r="HB194" s="988">
        <f>+GZ190+GZ192+GZ193-GX190</f>
        <v>11</v>
      </c>
    </row>
    <row r="195" spans="1:210" ht="15.75" thickBot="1">
      <c r="A195" s="73"/>
      <c r="B195" s="73"/>
      <c r="C195" s="73"/>
      <c r="D195" s="73" t="s">
        <v>1292</v>
      </c>
      <c r="E195" s="967"/>
      <c r="F195" s="967"/>
      <c r="G195" s="967"/>
      <c r="H195" s="967"/>
      <c r="I195" s="967"/>
      <c r="J195" s="967"/>
      <c r="K195" s="967"/>
      <c r="L195" s="967"/>
      <c r="M195" s="967"/>
      <c r="N195" s="967"/>
      <c r="O195" s="967"/>
      <c r="P195" s="967"/>
      <c r="Q195" s="967">
        <v>0</v>
      </c>
      <c r="R195" s="967"/>
      <c r="S195" s="967">
        <v>3</v>
      </c>
      <c r="T195" s="73">
        <v>0</v>
      </c>
      <c r="U195" s="73">
        <v>1</v>
      </c>
      <c r="V195" s="73">
        <v>4</v>
      </c>
      <c r="W195" s="73"/>
      <c r="Y195" s="73"/>
      <c r="Z195" s="73"/>
      <c r="AA195" s="73"/>
      <c r="AB195" s="738" t="s">
        <v>577</v>
      </c>
      <c r="AC195" s="3262"/>
      <c r="AD195" s="3262"/>
      <c r="AE195" s="3262"/>
      <c r="AF195" s="3262"/>
      <c r="AG195" s="3262"/>
      <c r="AH195" s="3262"/>
      <c r="AI195" s="3262"/>
      <c r="AJ195" s="3262"/>
      <c r="AK195" s="3262"/>
      <c r="AL195" s="3262"/>
      <c r="AM195" s="3262"/>
      <c r="AN195" s="3262"/>
      <c r="AO195" s="3262"/>
      <c r="AP195" s="3262">
        <v>1</v>
      </c>
      <c r="AQ195" s="3262">
        <v>2</v>
      </c>
      <c r="AR195" s="151">
        <v>1</v>
      </c>
      <c r="AS195" s="151">
        <v>2</v>
      </c>
      <c r="AT195" s="151">
        <v>6</v>
      </c>
      <c r="AU195" s="912">
        <f>+(AT192+AT194)/AT195</f>
        <v>0.33333333333333331</v>
      </c>
      <c r="AY195" s="73"/>
      <c r="AZ195" s="73" t="s">
        <v>1286</v>
      </c>
      <c r="BA195" s="2607">
        <v>0</v>
      </c>
      <c r="BB195" s="2607">
        <v>1</v>
      </c>
      <c r="BC195" s="2607">
        <v>0</v>
      </c>
      <c r="BD195" s="2607">
        <v>0</v>
      </c>
      <c r="BE195" s="2607">
        <v>0</v>
      </c>
      <c r="BF195" s="2607">
        <v>0</v>
      </c>
      <c r="BG195" s="2607">
        <v>0</v>
      </c>
      <c r="BH195" s="2607">
        <v>0</v>
      </c>
      <c r="BI195" s="2607">
        <v>0</v>
      </c>
      <c r="BJ195" s="2607">
        <v>0</v>
      </c>
      <c r="BK195" s="2607">
        <v>0</v>
      </c>
      <c r="BL195" s="2607">
        <v>0</v>
      </c>
      <c r="BM195" s="2607">
        <v>0</v>
      </c>
      <c r="BN195" s="2607">
        <v>0</v>
      </c>
      <c r="BO195" s="2607">
        <v>0</v>
      </c>
      <c r="BP195" s="73">
        <v>0</v>
      </c>
      <c r="BQ195" s="73">
        <v>0</v>
      </c>
      <c r="BR195" s="73">
        <v>1</v>
      </c>
      <c r="BS195" s="73"/>
      <c r="BU195" s="2464" t="s">
        <v>1410</v>
      </c>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965"/>
      <c r="EO195" s="965"/>
      <c r="EP195" s="989"/>
      <c r="EQ195" s="990" t="s">
        <v>461</v>
      </c>
      <c r="ER195" s="991"/>
      <c r="ES195" s="991"/>
      <c r="ET195" s="991"/>
      <c r="EU195" s="991"/>
      <c r="EV195" s="744">
        <v>1</v>
      </c>
      <c r="EW195" s="744">
        <v>2</v>
      </c>
      <c r="EX195" s="744">
        <v>5</v>
      </c>
      <c r="EY195" s="744">
        <v>6</v>
      </c>
      <c r="EZ195" s="744">
        <v>7</v>
      </c>
      <c r="FA195" s="744">
        <v>4</v>
      </c>
      <c r="FB195" s="744">
        <v>6</v>
      </c>
      <c r="FC195" s="744">
        <v>1</v>
      </c>
      <c r="FD195" s="744">
        <v>6</v>
      </c>
      <c r="FE195" s="744">
        <v>38</v>
      </c>
      <c r="FF195" s="919">
        <f>+(FE194+FE193+FE191-FC191)/FE195</f>
        <v>0.26315789473684209</v>
      </c>
      <c r="FG195" s="73"/>
      <c r="FH195" s="73"/>
      <c r="FI195" s="161"/>
      <c r="FJ195" s="161"/>
      <c r="FK195" s="161"/>
      <c r="FL195" s="73" t="s">
        <v>1398</v>
      </c>
      <c r="FM195" s="73"/>
      <c r="FN195" s="73">
        <v>0</v>
      </c>
      <c r="FO195" s="73">
        <v>0</v>
      </c>
      <c r="FP195" s="73">
        <v>0</v>
      </c>
      <c r="FQ195" s="73">
        <v>0</v>
      </c>
      <c r="FR195" s="73">
        <v>0</v>
      </c>
      <c r="FS195" s="73">
        <v>1</v>
      </c>
      <c r="FT195" s="73">
        <v>2</v>
      </c>
      <c r="FU195" s="73">
        <v>8</v>
      </c>
      <c r="FV195" s="73">
        <v>2</v>
      </c>
      <c r="FW195" s="73">
        <v>2</v>
      </c>
      <c r="FX195" s="73">
        <v>10</v>
      </c>
      <c r="FY195" s="73">
        <v>0</v>
      </c>
      <c r="FZ195" s="73">
        <v>0</v>
      </c>
      <c r="GA195" s="73">
        <v>0</v>
      </c>
      <c r="GB195" s="73">
        <v>0</v>
      </c>
      <c r="GC195" s="73">
        <v>25</v>
      </c>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row>
    <row r="196" spans="1:210" ht="15.75" thickBot="1">
      <c r="A196" s="73"/>
      <c r="B196" s="73"/>
      <c r="C196" s="73"/>
      <c r="D196" s="73" t="s">
        <v>1398</v>
      </c>
      <c r="E196" s="967"/>
      <c r="F196" s="967"/>
      <c r="G196" s="967"/>
      <c r="H196" s="967"/>
      <c r="I196" s="967"/>
      <c r="J196" s="967"/>
      <c r="K196" s="967"/>
      <c r="L196" s="967"/>
      <c r="M196" s="967"/>
      <c r="N196" s="967"/>
      <c r="O196" s="967"/>
      <c r="P196" s="967"/>
      <c r="Q196" s="967">
        <v>1</v>
      </c>
      <c r="R196" s="967"/>
      <c r="S196" s="967">
        <v>0</v>
      </c>
      <c r="T196" s="73">
        <v>0</v>
      </c>
      <c r="U196" s="73">
        <v>0</v>
      </c>
      <c r="V196" s="73">
        <v>1</v>
      </c>
      <c r="W196" s="73"/>
      <c r="Y196" s="73"/>
      <c r="Z196" s="73"/>
      <c r="AA196" s="73" t="s">
        <v>265</v>
      </c>
      <c r="AB196" s="73" t="s">
        <v>1283</v>
      </c>
      <c r="AC196" s="3261"/>
      <c r="AD196" s="3261"/>
      <c r="AE196" s="3261"/>
      <c r="AF196" s="3261"/>
      <c r="AG196" s="3261"/>
      <c r="AH196" s="3261"/>
      <c r="AI196" s="3261"/>
      <c r="AJ196" s="3261">
        <v>0</v>
      </c>
      <c r="AK196" s="3261"/>
      <c r="AL196" s="3261">
        <v>0</v>
      </c>
      <c r="AM196" s="3261">
        <v>0</v>
      </c>
      <c r="AN196" s="3261"/>
      <c r="AO196" s="3261"/>
      <c r="AP196" s="3261">
        <v>0</v>
      </c>
      <c r="AQ196" s="3261">
        <v>1</v>
      </c>
      <c r="AR196" s="161">
        <v>0</v>
      </c>
      <c r="AS196" s="161">
        <v>0</v>
      </c>
      <c r="AT196" s="161">
        <v>1</v>
      </c>
      <c r="AU196" s="73"/>
      <c r="AY196" s="73"/>
      <c r="AZ196" s="73" t="s">
        <v>1288</v>
      </c>
      <c r="BA196" s="2607">
        <v>0</v>
      </c>
      <c r="BB196" s="2607">
        <v>0</v>
      </c>
      <c r="BC196" s="2607">
        <v>0</v>
      </c>
      <c r="BD196" s="2607">
        <v>0</v>
      </c>
      <c r="BE196" s="2607">
        <v>0</v>
      </c>
      <c r="BF196" s="2607">
        <v>0</v>
      </c>
      <c r="BG196" s="2607">
        <v>0</v>
      </c>
      <c r="BH196" s="2607">
        <v>0</v>
      </c>
      <c r="BI196" s="2607">
        <v>0</v>
      </c>
      <c r="BJ196" s="2607">
        <v>0</v>
      </c>
      <c r="BK196" s="2607">
        <v>0</v>
      </c>
      <c r="BL196" s="2607">
        <v>0</v>
      </c>
      <c r="BM196" s="2607">
        <v>19</v>
      </c>
      <c r="BN196" s="2607">
        <v>21</v>
      </c>
      <c r="BO196" s="2607">
        <v>3</v>
      </c>
      <c r="BP196" s="73">
        <v>2</v>
      </c>
      <c r="BQ196" s="73">
        <v>0</v>
      </c>
      <c r="BR196" s="73">
        <v>45</v>
      </c>
      <c r="BS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41"/>
      <c r="FJ196" s="741"/>
      <c r="FK196" s="741"/>
      <c r="FL196" s="742" t="s">
        <v>15</v>
      </c>
      <c r="FM196" s="742"/>
      <c r="FN196" s="742">
        <v>2</v>
      </c>
      <c r="FO196" s="742">
        <v>3</v>
      </c>
      <c r="FP196" s="742">
        <v>3</v>
      </c>
      <c r="FQ196" s="742">
        <v>1</v>
      </c>
      <c r="FR196" s="742">
        <v>1</v>
      </c>
      <c r="FS196" s="742">
        <v>1</v>
      </c>
      <c r="FT196" s="742">
        <v>5</v>
      </c>
      <c r="FU196" s="742">
        <v>27</v>
      </c>
      <c r="FV196" s="742">
        <v>10</v>
      </c>
      <c r="FW196" s="742">
        <v>14</v>
      </c>
      <c r="FX196" s="742">
        <v>40</v>
      </c>
      <c r="FY196" s="742">
        <v>7</v>
      </c>
      <c r="FZ196" s="742">
        <v>3</v>
      </c>
      <c r="GA196" s="742">
        <v>5</v>
      </c>
      <c r="GB196" s="742">
        <v>8</v>
      </c>
      <c r="GC196" s="742">
        <v>130</v>
      </c>
      <c r="GD196" s="1013">
        <f>+(GC192+GC194+GC195)/GC196</f>
        <v>0.27692307692307694</v>
      </c>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row>
    <row r="197" spans="1:210">
      <c r="A197" s="73"/>
      <c r="B197" s="73"/>
      <c r="C197" s="73"/>
      <c r="D197" s="738" t="s">
        <v>15</v>
      </c>
      <c r="E197" s="4694"/>
      <c r="F197" s="4694"/>
      <c r="G197" s="4694"/>
      <c r="H197" s="4694"/>
      <c r="I197" s="4694"/>
      <c r="J197" s="4694"/>
      <c r="K197" s="4694"/>
      <c r="L197" s="4694"/>
      <c r="M197" s="4694"/>
      <c r="N197" s="4694"/>
      <c r="O197" s="4694"/>
      <c r="P197" s="4694"/>
      <c r="Q197" s="4694">
        <v>2</v>
      </c>
      <c r="R197" s="4694"/>
      <c r="S197" s="4694">
        <v>3</v>
      </c>
      <c r="T197" s="738">
        <v>1</v>
      </c>
      <c r="U197" s="738">
        <v>1</v>
      </c>
      <c r="V197" s="738">
        <v>7</v>
      </c>
      <c r="W197" s="912">
        <f>+V196/V197</f>
        <v>0.14285714285714285</v>
      </c>
      <c r="X197" s="3197"/>
      <c r="Y197" s="73"/>
      <c r="Z197" s="73"/>
      <c r="AA197" s="73"/>
      <c r="AB197" s="73" t="s">
        <v>1284</v>
      </c>
      <c r="AC197" s="3261"/>
      <c r="AD197" s="3261"/>
      <c r="AE197" s="3261"/>
      <c r="AF197" s="3261"/>
      <c r="AG197" s="3261"/>
      <c r="AH197" s="3261"/>
      <c r="AI197" s="3261"/>
      <c r="AJ197" s="3261">
        <v>0</v>
      </c>
      <c r="AK197" s="3261"/>
      <c r="AL197" s="3261">
        <v>6</v>
      </c>
      <c r="AM197" s="3261">
        <v>1</v>
      </c>
      <c r="AN197" s="3261"/>
      <c r="AO197" s="3261"/>
      <c r="AP197" s="3261">
        <v>0</v>
      </c>
      <c r="AQ197" s="3261">
        <v>0</v>
      </c>
      <c r="AR197" s="161">
        <v>0</v>
      </c>
      <c r="AS197" s="161">
        <v>0</v>
      </c>
      <c r="AT197" s="161">
        <v>7</v>
      </c>
      <c r="AU197" s="73"/>
      <c r="AY197" s="73"/>
      <c r="AZ197" s="73" t="s">
        <v>1289</v>
      </c>
      <c r="BA197" s="2607">
        <v>0</v>
      </c>
      <c r="BB197" s="2607">
        <v>3</v>
      </c>
      <c r="BC197" s="2607">
        <v>0</v>
      </c>
      <c r="BD197" s="2607">
        <v>1</v>
      </c>
      <c r="BE197" s="2607">
        <v>1</v>
      </c>
      <c r="BF197" s="2607">
        <v>0</v>
      </c>
      <c r="BG197" s="2607">
        <v>1</v>
      </c>
      <c r="BH197" s="2607">
        <v>0</v>
      </c>
      <c r="BI197" s="2607">
        <v>0</v>
      </c>
      <c r="BJ197" s="2607">
        <v>2</v>
      </c>
      <c r="BK197" s="2607">
        <v>0</v>
      </c>
      <c r="BL197" s="2607">
        <v>0</v>
      </c>
      <c r="BM197" s="2607">
        <v>0</v>
      </c>
      <c r="BN197" s="2607">
        <v>1</v>
      </c>
      <c r="BO197" s="2607">
        <v>0</v>
      </c>
      <c r="BP197" s="73">
        <v>0</v>
      </c>
      <c r="BQ197" s="73">
        <v>0</v>
      </c>
      <c r="BR197" s="73">
        <v>9</v>
      </c>
      <c r="BS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161"/>
      <c r="FJ197" s="161"/>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row>
    <row r="198" spans="1:210">
      <c r="A198" s="73"/>
      <c r="B198" s="73"/>
      <c r="C198" s="738" t="s">
        <v>575</v>
      </c>
      <c r="D198" s="738" t="s">
        <v>1284</v>
      </c>
      <c r="E198" s="4694"/>
      <c r="F198" s="4694"/>
      <c r="G198" s="4694"/>
      <c r="H198" s="4694"/>
      <c r="I198" s="4694">
        <v>1</v>
      </c>
      <c r="J198" s="4694"/>
      <c r="K198" s="4694"/>
      <c r="L198" s="4694"/>
      <c r="M198" s="4694"/>
      <c r="N198" s="4694">
        <v>4</v>
      </c>
      <c r="O198" s="4694">
        <v>1</v>
      </c>
      <c r="P198" s="4694"/>
      <c r="Q198" s="4694">
        <v>2</v>
      </c>
      <c r="R198" s="4694">
        <v>0</v>
      </c>
      <c r="S198" s="4694">
        <v>0</v>
      </c>
      <c r="T198" s="738">
        <v>1</v>
      </c>
      <c r="U198" s="738">
        <v>0</v>
      </c>
      <c r="V198" s="738">
        <v>9</v>
      </c>
      <c r="W198" s="73"/>
      <c r="Y198" s="73"/>
      <c r="Z198" s="73"/>
      <c r="AA198" s="73"/>
      <c r="AB198" s="73" t="s">
        <v>1286</v>
      </c>
      <c r="AC198" s="3261"/>
      <c r="AD198" s="3261"/>
      <c r="AE198" s="3261"/>
      <c r="AF198" s="3261"/>
      <c r="AG198" s="3261"/>
      <c r="AH198" s="3261"/>
      <c r="AI198" s="3261"/>
      <c r="AJ198" s="3261">
        <v>1</v>
      </c>
      <c r="AK198" s="3261"/>
      <c r="AL198" s="3261">
        <v>0</v>
      </c>
      <c r="AM198" s="3261">
        <v>0</v>
      </c>
      <c r="AN198" s="3261"/>
      <c r="AO198" s="3261"/>
      <c r="AP198" s="3261">
        <v>0</v>
      </c>
      <c r="AQ198" s="3261">
        <v>0</v>
      </c>
      <c r="AR198" s="161">
        <v>0</v>
      </c>
      <c r="AS198" s="161">
        <v>0</v>
      </c>
      <c r="AT198" s="161">
        <v>1</v>
      </c>
      <c r="AU198" s="73"/>
      <c r="AY198" s="73"/>
      <c r="AZ198" s="73" t="s">
        <v>1292</v>
      </c>
      <c r="BA198" s="2607">
        <v>0</v>
      </c>
      <c r="BB198" s="2607">
        <v>0</v>
      </c>
      <c r="BC198" s="2607">
        <v>0</v>
      </c>
      <c r="BD198" s="2607">
        <v>0</v>
      </c>
      <c r="BE198" s="2607">
        <v>0</v>
      </c>
      <c r="BF198" s="2607">
        <v>0</v>
      </c>
      <c r="BG198" s="2607">
        <v>0</v>
      </c>
      <c r="BH198" s="2607">
        <v>1</v>
      </c>
      <c r="BI198" s="2607">
        <v>0</v>
      </c>
      <c r="BJ198" s="2607">
        <v>0</v>
      </c>
      <c r="BK198" s="2607">
        <v>1</v>
      </c>
      <c r="BL198" s="2607">
        <v>0</v>
      </c>
      <c r="BM198" s="2607">
        <v>1</v>
      </c>
      <c r="BN198" s="2607">
        <v>2</v>
      </c>
      <c r="BO198" s="2607">
        <v>46</v>
      </c>
      <c r="BP198" s="73">
        <v>11</v>
      </c>
      <c r="BQ198" s="73">
        <v>25</v>
      </c>
      <c r="BR198" s="73">
        <v>87</v>
      </c>
      <c r="BS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161"/>
      <c r="FJ198" s="161"/>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row>
    <row r="199" spans="1:210">
      <c r="A199" s="73"/>
      <c r="B199" s="73"/>
      <c r="C199" s="738"/>
      <c r="D199" s="738" t="s">
        <v>1288</v>
      </c>
      <c r="E199" s="4694"/>
      <c r="F199" s="4694"/>
      <c r="G199" s="4694"/>
      <c r="H199" s="4694"/>
      <c r="I199" s="4694">
        <v>0</v>
      </c>
      <c r="J199" s="4694"/>
      <c r="K199" s="4694"/>
      <c r="L199" s="4694"/>
      <c r="M199" s="4694"/>
      <c r="N199" s="4694">
        <v>2</v>
      </c>
      <c r="O199" s="4694">
        <v>0</v>
      </c>
      <c r="P199" s="4694"/>
      <c r="Q199" s="4694">
        <v>1</v>
      </c>
      <c r="R199" s="4694">
        <v>0</v>
      </c>
      <c r="S199" s="4694">
        <v>0</v>
      </c>
      <c r="T199" s="738">
        <v>0</v>
      </c>
      <c r="U199" s="738">
        <v>0</v>
      </c>
      <c r="V199" s="738">
        <v>3</v>
      </c>
      <c r="W199" s="73"/>
      <c r="Y199" s="73"/>
      <c r="Z199" s="73"/>
      <c r="AA199" s="73"/>
      <c r="AB199" s="73" t="s">
        <v>1288</v>
      </c>
      <c r="AC199" s="3261"/>
      <c r="AD199" s="3261"/>
      <c r="AE199" s="3261"/>
      <c r="AF199" s="3261"/>
      <c r="AG199" s="3261"/>
      <c r="AH199" s="3261"/>
      <c r="AI199" s="3261"/>
      <c r="AJ199" s="3261">
        <v>0</v>
      </c>
      <c r="AK199" s="3261"/>
      <c r="AL199" s="3261">
        <v>1</v>
      </c>
      <c r="AM199" s="3261">
        <v>0</v>
      </c>
      <c r="AN199" s="3261"/>
      <c r="AO199" s="3261"/>
      <c r="AP199" s="3261">
        <v>1</v>
      </c>
      <c r="AQ199" s="3261">
        <v>0</v>
      </c>
      <c r="AR199" s="161">
        <v>0</v>
      </c>
      <c r="AS199" s="161">
        <v>0</v>
      </c>
      <c r="AT199" s="161">
        <v>2</v>
      </c>
      <c r="AU199" s="73"/>
      <c r="AY199" s="73"/>
      <c r="AZ199" s="73" t="s">
        <v>1293</v>
      </c>
      <c r="BA199" s="2607">
        <v>0</v>
      </c>
      <c r="BB199" s="2607">
        <v>0</v>
      </c>
      <c r="BC199" s="2607">
        <v>0</v>
      </c>
      <c r="BD199" s="2607">
        <v>0</v>
      </c>
      <c r="BE199" s="2607">
        <v>0</v>
      </c>
      <c r="BF199" s="2607">
        <v>0</v>
      </c>
      <c r="BG199" s="2607">
        <v>0</v>
      </c>
      <c r="BH199" s="2607">
        <v>0</v>
      </c>
      <c r="BI199" s="2607">
        <v>0</v>
      </c>
      <c r="BJ199" s="2607">
        <v>2</v>
      </c>
      <c r="BK199" s="2607">
        <v>1</v>
      </c>
      <c r="BL199" s="2607">
        <v>2</v>
      </c>
      <c r="BM199" s="2607">
        <v>1</v>
      </c>
      <c r="BN199" s="2607">
        <v>1</v>
      </c>
      <c r="BO199" s="2607">
        <v>1</v>
      </c>
      <c r="BP199" s="73">
        <v>0</v>
      </c>
      <c r="BQ199" s="73">
        <v>0</v>
      </c>
      <c r="BR199" s="73">
        <v>8</v>
      </c>
      <c r="BS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161"/>
      <c r="FJ199" s="161"/>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row>
    <row r="200" spans="1:210">
      <c r="A200" s="73"/>
      <c r="B200" s="73"/>
      <c r="C200" s="738"/>
      <c r="D200" s="738" t="s">
        <v>1292</v>
      </c>
      <c r="E200" s="4694"/>
      <c r="F200" s="4694"/>
      <c r="G200" s="4694"/>
      <c r="H200" s="4694"/>
      <c r="I200" s="4694">
        <v>0</v>
      </c>
      <c r="J200" s="4694"/>
      <c r="K200" s="4694"/>
      <c r="L200" s="4694"/>
      <c r="M200" s="4694"/>
      <c r="N200" s="4694">
        <v>0</v>
      </c>
      <c r="O200" s="4694">
        <v>0</v>
      </c>
      <c r="P200" s="4694"/>
      <c r="Q200" s="4694">
        <v>0</v>
      </c>
      <c r="R200" s="4694">
        <v>0</v>
      </c>
      <c r="S200" s="4694">
        <v>6</v>
      </c>
      <c r="T200" s="738">
        <v>0</v>
      </c>
      <c r="U200" s="738">
        <v>4</v>
      </c>
      <c r="V200" s="738">
        <v>10</v>
      </c>
      <c r="W200" s="73"/>
      <c r="Y200" s="73"/>
      <c r="Z200" s="73"/>
      <c r="AA200" s="73"/>
      <c r="AB200" s="73" t="s">
        <v>1292</v>
      </c>
      <c r="AC200" s="3261"/>
      <c r="AD200" s="3261"/>
      <c r="AE200" s="3261"/>
      <c r="AF200" s="3261"/>
      <c r="AG200" s="3261"/>
      <c r="AH200" s="3261"/>
      <c r="AI200" s="3261"/>
      <c r="AJ200" s="3261">
        <v>0</v>
      </c>
      <c r="AK200" s="3261"/>
      <c r="AL200" s="3261">
        <v>0</v>
      </c>
      <c r="AM200" s="3261">
        <v>0</v>
      </c>
      <c r="AN200" s="3261"/>
      <c r="AO200" s="3261"/>
      <c r="AP200" s="3261">
        <v>0</v>
      </c>
      <c r="AQ200" s="3261">
        <v>2</v>
      </c>
      <c r="AR200" s="161">
        <v>1</v>
      </c>
      <c r="AS200" s="161">
        <v>2</v>
      </c>
      <c r="AT200" s="161">
        <v>5</v>
      </c>
      <c r="AU200" s="73"/>
      <c r="AY200" s="73"/>
      <c r="AZ200" s="73" t="s">
        <v>1398</v>
      </c>
      <c r="BA200" s="2607">
        <v>0</v>
      </c>
      <c r="BB200" s="2607">
        <v>0</v>
      </c>
      <c r="BC200" s="2607">
        <v>0</v>
      </c>
      <c r="BD200" s="2607">
        <v>0</v>
      </c>
      <c r="BE200" s="2607">
        <v>0</v>
      </c>
      <c r="BF200" s="2607">
        <v>0</v>
      </c>
      <c r="BG200" s="2607">
        <v>2</v>
      </c>
      <c r="BH200" s="2607">
        <v>2</v>
      </c>
      <c r="BI200" s="2607">
        <v>0</v>
      </c>
      <c r="BJ200" s="2607">
        <v>8</v>
      </c>
      <c r="BK200" s="2607">
        <v>3</v>
      </c>
      <c r="BL200" s="2607">
        <v>1</v>
      </c>
      <c r="BM200" s="2607">
        <v>11</v>
      </c>
      <c r="BN200" s="2607">
        <v>14</v>
      </c>
      <c r="BO200" s="2607">
        <v>2</v>
      </c>
      <c r="BP200" s="73">
        <v>1</v>
      </c>
      <c r="BQ200" s="73">
        <v>0</v>
      </c>
      <c r="BR200" s="73">
        <v>44</v>
      </c>
      <c r="BS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161"/>
      <c r="FJ200" s="161"/>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row>
    <row r="201" spans="1:210">
      <c r="A201" s="73"/>
      <c r="B201" s="73"/>
      <c r="C201" s="738"/>
      <c r="D201" s="738" t="s">
        <v>1293</v>
      </c>
      <c r="E201" s="4694"/>
      <c r="F201" s="4694"/>
      <c r="G201" s="4694"/>
      <c r="H201" s="4694"/>
      <c r="I201" s="4694">
        <v>0</v>
      </c>
      <c r="J201" s="4694"/>
      <c r="K201" s="4694"/>
      <c r="L201" s="4694"/>
      <c r="M201" s="4694"/>
      <c r="N201" s="4694">
        <v>2</v>
      </c>
      <c r="O201" s="4694">
        <v>1</v>
      </c>
      <c r="P201" s="4694"/>
      <c r="Q201" s="4694">
        <v>3</v>
      </c>
      <c r="R201" s="4694">
        <v>1</v>
      </c>
      <c r="S201" s="4694">
        <v>0</v>
      </c>
      <c r="T201" s="738">
        <v>0</v>
      </c>
      <c r="U201" s="738">
        <v>0</v>
      </c>
      <c r="V201" s="738">
        <v>7</v>
      </c>
      <c r="W201" s="73"/>
      <c r="Y201" s="73"/>
      <c r="Z201" s="73"/>
      <c r="AA201" s="73"/>
      <c r="AB201" s="73" t="s">
        <v>1293</v>
      </c>
      <c r="AC201" s="3261"/>
      <c r="AD201" s="3261"/>
      <c r="AE201" s="3261"/>
      <c r="AF201" s="3261"/>
      <c r="AG201" s="3261"/>
      <c r="AH201" s="3261"/>
      <c r="AI201" s="3261"/>
      <c r="AJ201" s="3261">
        <v>0</v>
      </c>
      <c r="AK201" s="3261"/>
      <c r="AL201" s="3261">
        <v>0</v>
      </c>
      <c r="AM201" s="3261">
        <v>0</v>
      </c>
      <c r="AN201" s="3261"/>
      <c r="AO201" s="3261"/>
      <c r="AP201" s="3261">
        <v>0</v>
      </c>
      <c r="AQ201" s="3261">
        <v>1</v>
      </c>
      <c r="AR201" s="161">
        <v>0</v>
      </c>
      <c r="AS201" s="161">
        <v>0</v>
      </c>
      <c r="AT201" s="161">
        <v>1</v>
      </c>
      <c r="AU201" s="73"/>
      <c r="AY201" s="73"/>
      <c r="AZ201" s="73" t="s">
        <v>2013</v>
      </c>
      <c r="BA201" s="2607">
        <v>1</v>
      </c>
      <c r="BB201" s="2607">
        <v>0</v>
      </c>
      <c r="BC201" s="2607">
        <v>0</v>
      </c>
      <c r="BD201" s="2607">
        <v>0</v>
      </c>
      <c r="BE201" s="2607">
        <v>0</v>
      </c>
      <c r="BF201" s="2607">
        <v>0</v>
      </c>
      <c r="BG201" s="2607">
        <v>0</v>
      </c>
      <c r="BH201" s="2607">
        <v>0</v>
      </c>
      <c r="BI201" s="2607">
        <v>0</v>
      </c>
      <c r="BJ201" s="2607">
        <v>0</v>
      </c>
      <c r="BK201" s="2607">
        <v>0</v>
      </c>
      <c r="BL201" s="2607">
        <v>0</v>
      </c>
      <c r="BM201" s="2607">
        <v>0</v>
      </c>
      <c r="BN201" s="2607">
        <v>0</v>
      </c>
      <c r="BO201" s="2607">
        <v>0</v>
      </c>
      <c r="BP201" s="73">
        <v>0</v>
      </c>
      <c r="BQ201" s="73">
        <v>0</v>
      </c>
      <c r="BR201" s="73">
        <v>1</v>
      </c>
      <c r="BS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946"/>
      <c r="EO201" s="947"/>
      <c r="EP201" s="947"/>
      <c r="EQ201" s="947"/>
      <c r="ER201" s="4939" t="s">
        <v>1372</v>
      </c>
      <c r="ES201" s="4939"/>
      <c r="ET201" s="4939"/>
      <c r="EU201" s="4939"/>
      <c r="EV201" s="4939"/>
      <c r="EW201" s="4939"/>
      <c r="EX201" s="4939"/>
      <c r="EY201" s="4939"/>
      <c r="EZ201" s="4939"/>
      <c r="FA201" s="4939"/>
      <c r="FB201" s="4939"/>
      <c r="FC201" s="4939"/>
      <c r="FD201" s="4939"/>
      <c r="FE201" s="946"/>
      <c r="FF201" s="73"/>
      <c r="FG201" s="73"/>
      <c r="FH201" s="73"/>
      <c r="FI201" s="161"/>
      <c r="FJ201" s="161"/>
      <c r="FK201" s="73" t="s">
        <v>332</v>
      </c>
      <c r="FL201" s="738" t="s">
        <v>332</v>
      </c>
      <c r="FM201" s="4842" t="s">
        <v>1373</v>
      </c>
      <c r="FN201" s="4842"/>
      <c r="FO201" s="4842"/>
      <c r="FP201" s="4842"/>
      <c r="FQ201" s="4842"/>
      <c r="FR201" s="4842"/>
      <c r="FS201" s="4842"/>
      <c r="FT201" s="4842"/>
      <c r="FU201" s="4842"/>
      <c r="FV201" s="4842"/>
      <c r="FW201" s="4842"/>
      <c r="FX201" s="4842"/>
      <c r="FY201" s="4842"/>
      <c r="FZ201" s="4842"/>
      <c r="GA201" s="4842"/>
      <c r="GB201" s="4842"/>
      <c r="GC201" s="738"/>
      <c r="GD201" s="73"/>
      <c r="GE201" s="73"/>
      <c r="GF201" s="73"/>
      <c r="GG201" s="73"/>
      <c r="GH201" s="73"/>
      <c r="GI201" s="73"/>
      <c r="GJ201" s="4941" t="s">
        <v>1373</v>
      </c>
      <c r="GK201" s="4941"/>
      <c r="GL201" s="4941"/>
      <c r="GM201" s="4941"/>
      <c r="GN201" s="4941"/>
      <c r="GO201" s="4941"/>
      <c r="GP201" s="4941"/>
      <c r="GQ201" s="4941"/>
      <c r="GR201" s="4941"/>
      <c r="GS201" s="4941"/>
      <c r="GT201" s="4941"/>
      <c r="GU201" s="4941"/>
      <c r="GV201" s="4941"/>
      <c r="GW201" s="4941"/>
      <c r="GX201" s="4941"/>
      <c r="GY201" s="4941"/>
      <c r="GZ201" s="73"/>
      <c r="HA201" s="73"/>
      <c r="HB201" s="73"/>
    </row>
    <row r="202" spans="1:210" ht="25.5" thickBot="1">
      <c r="A202" s="73"/>
      <c r="B202" s="73"/>
      <c r="C202" s="738"/>
      <c r="D202" s="738" t="s">
        <v>1398</v>
      </c>
      <c r="E202" s="4694"/>
      <c r="F202" s="4694"/>
      <c r="G202" s="4694"/>
      <c r="H202" s="4694"/>
      <c r="I202" s="4694">
        <v>0</v>
      </c>
      <c r="J202" s="4694"/>
      <c r="K202" s="4694"/>
      <c r="L202" s="4694"/>
      <c r="M202" s="4694"/>
      <c r="N202" s="4694">
        <v>1</v>
      </c>
      <c r="O202" s="4694">
        <v>1</v>
      </c>
      <c r="P202" s="4694"/>
      <c r="Q202" s="4694">
        <v>2</v>
      </c>
      <c r="R202" s="4694">
        <v>1</v>
      </c>
      <c r="S202" s="4694">
        <v>0</v>
      </c>
      <c r="T202" s="738">
        <v>0</v>
      </c>
      <c r="U202" s="738">
        <v>0</v>
      </c>
      <c r="V202" s="738">
        <v>5</v>
      </c>
      <c r="W202" s="73"/>
      <c r="Y202" s="73"/>
      <c r="Z202" s="73"/>
      <c r="AA202" s="73"/>
      <c r="AB202" s="73" t="s">
        <v>1398</v>
      </c>
      <c r="AC202" s="3261"/>
      <c r="AD202" s="3261"/>
      <c r="AE202" s="3261"/>
      <c r="AF202" s="3261"/>
      <c r="AG202" s="3261"/>
      <c r="AH202" s="3261"/>
      <c r="AI202" s="3261"/>
      <c r="AJ202" s="3261">
        <v>0</v>
      </c>
      <c r="AK202" s="3261"/>
      <c r="AL202" s="3261">
        <v>6</v>
      </c>
      <c r="AM202" s="3261">
        <v>0</v>
      </c>
      <c r="AN202" s="3261"/>
      <c r="AO202" s="3261"/>
      <c r="AP202" s="3261">
        <v>0</v>
      </c>
      <c r="AQ202" s="3261">
        <v>0</v>
      </c>
      <c r="AR202" s="161">
        <v>0</v>
      </c>
      <c r="AS202" s="161">
        <v>0</v>
      </c>
      <c r="AT202" s="161">
        <v>6</v>
      </c>
      <c r="AU202" s="73"/>
      <c r="AW202" s="741"/>
      <c r="AX202" s="741"/>
      <c r="AY202" s="746"/>
      <c r="AZ202" s="742" t="s">
        <v>114</v>
      </c>
      <c r="BA202" s="2609">
        <v>2</v>
      </c>
      <c r="BB202" s="2609">
        <v>7</v>
      </c>
      <c r="BC202" s="2609">
        <v>4</v>
      </c>
      <c r="BD202" s="2609">
        <v>2</v>
      </c>
      <c r="BE202" s="2609">
        <v>2</v>
      </c>
      <c r="BF202" s="2609">
        <v>2</v>
      </c>
      <c r="BG202" s="2609">
        <v>5</v>
      </c>
      <c r="BH202" s="2609">
        <v>6</v>
      </c>
      <c r="BI202" s="2609">
        <v>4</v>
      </c>
      <c r="BJ202" s="2609">
        <v>21</v>
      </c>
      <c r="BK202" s="2609">
        <v>13</v>
      </c>
      <c r="BL202" s="2609">
        <v>6</v>
      </c>
      <c r="BM202" s="2609">
        <v>62</v>
      </c>
      <c r="BN202" s="2609">
        <v>59</v>
      </c>
      <c r="BO202" s="2609">
        <v>58</v>
      </c>
      <c r="BP202" s="742">
        <v>16</v>
      </c>
      <c r="BQ202" s="742">
        <v>27</v>
      </c>
      <c r="BR202" s="742">
        <v>296</v>
      </c>
      <c r="BS202" s="939">
        <f>+(BR196+BR199+BR200)/(BR202-BR201)</f>
        <v>0.32881355932203388</v>
      </c>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1014"/>
      <c r="EO202" s="1014"/>
      <c r="EP202" s="1014" t="s">
        <v>0</v>
      </c>
      <c r="EQ202" s="1014" t="s">
        <v>1282</v>
      </c>
      <c r="ER202" s="1014">
        <v>1</v>
      </c>
      <c r="ES202" s="1014">
        <v>5</v>
      </c>
      <c r="ET202" s="1014">
        <v>6</v>
      </c>
      <c r="EU202" s="1014">
        <v>7</v>
      </c>
      <c r="EV202" s="1014">
        <v>8</v>
      </c>
      <c r="EW202" s="1014">
        <v>9</v>
      </c>
      <c r="EX202" s="1014">
        <v>10</v>
      </c>
      <c r="EY202" s="1014">
        <v>11</v>
      </c>
      <c r="EZ202" s="1014">
        <v>12</v>
      </c>
      <c r="FA202" s="1014">
        <v>13</v>
      </c>
      <c r="FB202" s="1014">
        <v>14</v>
      </c>
      <c r="FC202" s="1014">
        <v>15</v>
      </c>
      <c r="FD202" s="1014">
        <v>16</v>
      </c>
      <c r="FE202" s="1014" t="s">
        <v>15</v>
      </c>
      <c r="FF202" s="1015" t="s">
        <v>66</v>
      </c>
      <c r="FG202" s="997"/>
      <c r="FH202" s="997"/>
      <c r="FI202" s="995"/>
      <c r="FJ202" s="995"/>
      <c r="FK202" s="996" t="s">
        <v>148</v>
      </c>
      <c r="FL202" s="996" t="s">
        <v>1282</v>
      </c>
      <c r="FM202" s="996">
        <v>1</v>
      </c>
      <c r="FN202" s="996">
        <v>2</v>
      </c>
      <c r="FO202" s="996">
        <v>3</v>
      </c>
      <c r="FP202" s="996">
        <v>4</v>
      </c>
      <c r="FQ202" s="996">
        <v>5</v>
      </c>
      <c r="FR202" s="996">
        <v>6</v>
      </c>
      <c r="FS202" s="996">
        <v>7</v>
      </c>
      <c r="FT202" s="996">
        <v>8</v>
      </c>
      <c r="FU202" s="996">
        <v>9</v>
      </c>
      <c r="FV202" s="996">
        <v>10</v>
      </c>
      <c r="FW202" s="996">
        <v>11</v>
      </c>
      <c r="FX202" s="996">
        <v>12</v>
      </c>
      <c r="FY202" s="996">
        <v>13</v>
      </c>
      <c r="FZ202" s="996">
        <v>14</v>
      </c>
      <c r="GA202" s="996">
        <v>15</v>
      </c>
      <c r="GB202" s="996">
        <v>16</v>
      </c>
      <c r="GC202" s="996" t="s">
        <v>15</v>
      </c>
      <c r="GD202" s="996" t="s">
        <v>66</v>
      </c>
      <c r="GE202" s="73"/>
      <c r="GF202" s="73"/>
      <c r="GG202" s="73"/>
      <c r="GH202" s="1016" t="s">
        <v>0</v>
      </c>
      <c r="GI202" s="1016" t="s">
        <v>1375</v>
      </c>
      <c r="GJ202" s="986">
        <v>0</v>
      </c>
      <c r="GK202" s="986">
        <v>1</v>
      </c>
      <c r="GL202" s="986">
        <v>2</v>
      </c>
      <c r="GM202" s="986">
        <v>3</v>
      </c>
      <c r="GN202" s="986">
        <v>5</v>
      </c>
      <c r="GO202" s="986">
        <v>6</v>
      </c>
      <c r="GP202" s="986">
        <v>7</v>
      </c>
      <c r="GQ202" s="986">
        <v>8</v>
      </c>
      <c r="GR202" s="986">
        <v>9</v>
      </c>
      <c r="GS202" s="986">
        <v>10</v>
      </c>
      <c r="GT202" s="986">
        <v>11</v>
      </c>
      <c r="GU202" s="986">
        <v>12</v>
      </c>
      <c r="GV202" s="986">
        <v>13</v>
      </c>
      <c r="GW202" s="986">
        <v>14</v>
      </c>
      <c r="GX202" s="986">
        <v>15</v>
      </c>
      <c r="GY202" s="986">
        <v>16</v>
      </c>
      <c r="GZ202" s="986" t="s">
        <v>15</v>
      </c>
      <c r="HA202" s="1000" t="s">
        <v>66</v>
      </c>
      <c r="HB202" s="954" t="s">
        <v>1376</v>
      </c>
    </row>
    <row r="203" spans="1:210">
      <c r="A203" s="73"/>
      <c r="B203" s="73"/>
      <c r="C203" s="738"/>
      <c r="D203" s="738" t="s">
        <v>575</v>
      </c>
      <c r="E203" s="4694"/>
      <c r="F203" s="4694"/>
      <c r="G203" s="4694"/>
      <c r="H203" s="4694"/>
      <c r="I203" s="4694">
        <v>1</v>
      </c>
      <c r="J203" s="4694"/>
      <c r="K203" s="4694"/>
      <c r="L203" s="4694"/>
      <c r="M203" s="4694"/>
      <c r="N203" s="4694">
        <v>9</v>
      </c>
      <c r="O203" s="4694">
        <v>3</v>
      </c>
      <c r="P203" s="4694"/>
      <c r="Q203" s="4694">
        <v>8</v>
      </c>
      <c r="R203" s="4694">
        <v>2</v>
      </c>
      <c r="S203" s="4694">
        <v>6</v>
      </c>
      <c r="T203" s="738">
        <v>1</v>
      </c>
      <c r="U203" s="738">
        <v>4</v>
      </c>
      <c r="V203" s="738">
        <v>34</v>
      </c>
      <c r="W203" s="912">
        <f>+(V202+V201+V199)/V203</f>
        <v>0.44117647058823528</v>
      </c>
      <c r="X203" s="3197"/>
      <c r="Y203" s="73"/>
      <c r="Z203" s="73"/>
      <c r="AA203" s="73"/>
      <c r="AB203" s="738" t="s">
        <v>265</v>
      </c>
      <c r="AC203" s="3262"/>
      <c r="AD203" s="3262"/>
      <c r="AE203" s="3262"/>
      <c r="AF203" s="3262"/>
      <c r="AG203" s="3262"/>
      <c r="AH203" s="3262"/>
      <c r="AI203" s="3262"/>
      <c r="AJ203" s="3262">
        <v>1</v>
      </c>
      <c r="AK203" s="3262"/>
      <c r="AL203" s="3262">
        <v>13</v>
      </c>
      <c r="AM203" s="3262">
        <v>1</v>
      </c>
      <c r="AN203" s="3262"/>
      <c r="AO203" s="3262"/>
      <c r="AP203" s="3262">
        <v>1</v>
      </c>
      <c r="AQ203" s="3262">
        <v>4</v>
      </c>
      <c r="AR203" s="151">
        <v>1</v>
      </c>
      <c r="AS203" s="151">
        <v>2</v>
      </c>
      <c r="AT203" s="151">
        <v>23</v>
      </c>
      <c r="AU203" s="912">
        <f>+(AT199+AT201+AT202)/AT203</f>
        <v>0.39130434782608697</v>
      </c>
      <c r="AZ203"/>
      <c r="BA203"/>
      <c r="BB203"/>
      <c r="BC203"/>
      <c r="BD203"/>
      <c r="BE203"/>
      <c r="BF203"/>
      <c r="BG203"/>
      <c r="BH203"/>
      <c r="BI203"/>
      <c r="BJ203"/>
      <c r="BK203"/>
      <c r="BL203"/>
      <c r="BM203"/>
      <c r="BN203"/>
      <c r="BO203"/>
      <c r="BP203"/>
      <c r="BQ203"/>
      <c r="BR203"/>
      <c r="BS20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965"/>
      <c r="EO203" s="965"/>
      <c r="EP203" s="965" t="s">
        <v>114</v>
      </c>
      <c r="EQ203" s="734" t="s">
        <v>1283</v>
      </c>
      <c r="ER203" s="735">
        <v>0</v>
      </c>
      <c r="ES203" s="735">
        <v>0</v>
      </c>
      <c r="ET203" s="735">
        <v>0</v>
      </c>
      <c r="EU203" s="735">
        <v>1</v>
      </c>
      <c r="EV203" s="735">
        <v>0</v>
      </c>
      <c r="EW203" s="735">
        <v>0</v>
      </c>
      <c r="EX203" s="735">
        <v>0</v>
      </c>
      <c r="EY203" s="735">
        <v>1</v>
      </c>
      <c r="EZ203" s="735">
        <v>1</v>
      </c>
      <c r="FA203" s="735">
        <v>1</v>
      </c>
      <c r="FB203" s="735">
        <v>2</v>
      </c>
      <c r="FC203" s="735">
        <v>0</v>
      </c>
      <c r="FD203" s="735">
        <v>0</v>
      </c>
      <c r="FE203" s="735">
        <v>6</v>
      </c>
      <c r="FF203" s="967"/>
      <c r="FG203" s="73"/>
      <c r="FH203" s="73"/>
      <c r="FI203" s="161"/>
      <c r="FJ203" s="161"/>
      <c r="FK203" s="161" t="s">
        <v>75</v>
      </c>
      <c r="FL203" s="73" t="s">
        <v>1283</v>
      </c>
      <c r="FM203" s="73">
        <v>0</v>
      </c>
      <c r="FN203" s="73">
        <v>0</v>
      </c>
      <c r="FO203" s="73">
        <v>0</v>
      </c>
      <c r="FP203" s="73">
        <v>0</v>
      </c>
      <c r="FQ203" s="73">
        <v>1</v>
      </c>
      <c r="FR203" s="73">
        <v>0</v>
      </c>
      <c r="FS203" s="73">
        <v>0</v>
      </c>
      <c r="FT203" s="73">
        <v>0</v>
      </c>
      <c r="FU203" s="73">
        <v>0</v>
      </c>
      <c r="FV203" s="73">
        <v>0</v>
      </c>
      <c r="FW203" s="73">
        <v>0</v>
      </c>
      <c r="FX203" s="73">
        <v>0</v>
      </c>
      <c r="FY203" s="73">
        <v>1</v>
      </c>
      <c r="FZ203" s="73">
        <v>6</v>
      </c>
      <c r="GA203" s="73">
        <v>1</v>
      </c>
      <c r="GB203" s="73">
        <v>1</v>
      </c>
      <c r="GC203" s="73">
        <v>10</v>
      </c>
      <c r="GD203" s="73"/>
      <c r="GE203" s="73"/>
      <c r="GF203" s="73"/>
      <c r="GG203" s="73"/>
      <c r="GH203" s="1017" t="s">
        <v>75</v>
      </c>
      <c r="GI203" s="968" t="s">
        <v>1283</v>
      </c>
      <c r="GJ203" s="968">
        <v>0</v>
      </c>
      <c r="GK203" s="968">
        <v>0</v>
      </c>
      <c r="GL203" s="968">
        <v>0</v>
      </c>
      <c r="GM203" s="968">
        <v>0</v>
      </c>
      <c r="GN203" s="968">
        <v>0</v>
      </c>
      <c r="GO203" s="968">
        <v>1</v>
      </c>
      <c r="GP203" s="968">
        <v>0</v>
      </c>
      <c r="GQ203" s="968">
        <v>0</v>
      </c>
      <c r="GR203" s="968">
        <v>0</v>
      </c>
      <c r="GS203" s="968">
        <v>0</v>
      </c>
      <c r="GT203" s="968">
        <v>0</v>
      </c>
      <c r="GU203" s="968">
        <v>0</v>
      </c>
      <c r="GV203" s="968">
        <v>0</v>
      </c>
      <c r="GW203" s="968">
        <v>1</v>
      </c>
      <c r="GX203" s="968">
        <v>0</v>
      </c>
      <c r="GY203" s="968">
        <v>0</v>
      </c>
      <c r="GZ203" s="968">
        <v>2</v>
      </c>
      <c r="HA203" s="968"/>
      <c r="HB203" s="969"/>
    </row>
    <row r="204" spans="1:210">
      <c r="A204" s="73"/>
      <c r="B204" s="73" t="s">
        <v>21</v>
      </c>
      <c r="C204" s="73" t="s">
        <v>147</v>
      </c>
      <c r="D204" s="73" t="s">
        <v>1284</v>
      </c>
      <c r="E204" s="967"/>
      <c r="F204" s="967"/>
      <c r="G204" s="967"/>
      <c r="H204" s="967"/>
      <c r="I204" s="967"/>
      <c r="J204" s="967"/>
      <c r="K204" s="967"/>
      <c r="L204" s="967"/>
      <c r="M204" s="967"/>
      <c r="N204" s="967"/>
      <c r="O204" s="967"/>
      <c r="P204" s="967"/>
      <c r="Q204" s="967">
        <v>4</v>
      </c>
      <c r="R204" s="967"/>
      <c r="S204" s="967"/>
      <c r="T204" s="73"/>
      <c r="U204" s="73"/>
      <c r="V204" s="73">
        <v>4</v>
      </c>
      <c r="W204" s="73"/>
      <c r="Y204" s="73"/>
      <c r="Z204" s="73"/>
      <c r="AA204" s="73" t="s">
        <v>114</v>
      </c>
      <c r="AB204" s="73" t="s">
        <v>1283</v>
      </c>
      <c r="AC204" s="3261">
        <v>0</v>
      </c>
      <c r="AD204" s="3261">
        <v>0</v>
      </c>
      <c r="AE204" s="3261">
        <v>0</v>
      </c>
      <c r="AF204" s="3261">
        <v>0</v>
      </c>
      <c r="AG204" s="3261">
        <v>0</v>
      </c>
      <c r="AH204" s="3261">
        <v>0</v>
      </c>
      <c r="AI204" s="3261">
        <v>0</v>
      </c>
      <c r="AJ204" s="3261">
        <v>1</v>
      </c>
      <c r="AK204" s="3261">
        <v>0</v>
      </c>
      <c r="AL204" s="3261">
        <v>0</v>
      </c>
      <c r="AM204" s="3261">
        <v>0</v>
      </c>
      <c r="AN204" s="3261">
        <v>0</v>
      </c>
      <c r="AO204" s="3261">
        <v>0</v>
      </c>
      <c r="AP204" s="3261">
        <v>0</v>
      </c>
      <c r="AQ204" s="3261">
        <v>1</v>
      </c>
      <c r="AR204" s="161">
        <v>0</v>
      </c>
      <c r="AS204" s="161">
        <v>0</v>
      </c>
      <c r="AT204" s="161">
        <v>2</v>
      </c>
      <c r="AU204" s="73"/>
      <c r="BA204" s="2604"/>
      <c r="BB204" s="2604"/>
      <c r="BC204" s="2604"/>
      <c r="BD204" s="2604"/>
      <c r="BE204" s="2604"/>
      <c r="BF204" s="2604"/>
      <c r="BG204" s="2604"/>
      <c r="BH204" s="2604"/>
      <c r="BI204" s="2604"/>
      <c r="BJ204" s="2604"/>
      <c r="BK204" s="2604"/>
      <c r="BL204" s="2604"/>
      <c r="BM204" s="2604"/>
      <c r="BN204" s="2604"/>
      <c r="BO204" s="2604"/>
      <c r="BP204" s="2604"/>
      <c r="BQ204" s="2604"/>
      <c r="BR204" s="2604"/>
      <c r="BS204" s="2604"/>
      <c r="BT204" s="2604"/>
      <c r="BU204" s="2604"/>
      <c r="BV204" s="2604"/>
      <c r="BW204" s="2604"/>
      <c r="BX204" s="2604"/>
      <c r="BY204" s="2604"/>
      <c r="BZ204" s="2604"/>
      <c r="CA204" s="2604"/>
      <c r="CB204" s="2604"/>
      <c r="CC204" s="2604"/>
      <c r="CD204" s="2604"/>
      <c r="CE204" s="2604"/>
      <c r="CF204" s="2604"/>
      <c r="CG204" s="2604"/>
      <c r="CH204" s="2604"/>
      <c r="CI204" s="2604"/>
      <c r="CJ204" s="2604"/>
      <c r="CK204" s="2604"/>
      <c r="CL204" s="2604"/>
      <c r="CM204" s="2604"/>
      <c r="CN204" s="2604"/>
      <c r="CO204" s="2604"/>
      <c r="CP204" s="2604"/>
      <c r="CQ204" s="2604"/>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965"/>
      <c r="EO204" s="965"/>
      <c r="EP204" s="965"/>
      <c r="EQ204" s="734" t="s">
        <v>1284</v>
      </c>
      <c r="ER204" s="735">
        <v>1</v>
      </c>
      <c r="ES204" s="735">
        <v>0</v>
      </c>
      <c r="ET204" s="735">
        <v>2</v>
      </c>
      <c r="EU204" s="735">
        <v>0</v>
      </c>
      <c r="EV204" s="735">
        <v>0</v>
      </c>
      <c r="EW204" s="735">
        <v>2</v>
      </c>
      <c r="EX204" s="735">
        <v>6</v>
      </c>
      <c r="EY204" s="735">
        <v>8</v>
      </c>
      <c r="EZ204" s="735">
        <v>6</v>
      </c>
      <c r="FA204" s="735">
        <v>2</v>
      </c>
      <c r="FB204" s="735">
        <v>2</v>
      </c>
      <c r="FC204" s="735">
        <v>3</v>
      </c>
      <c r="FD204" s="735">
        <v>0</v>
      </c>
      <c r="FE204" s="735">
        <v>32</v>
      </c>
      <c r="FF204" s="967"/>
      <c r="FG204" s="73"/>
      <c r="FH204" s="73"/>
      <c r="FI204" s="161"/>
      <c r="FJ204" s="161"/>
      <c r="FK204" s="73"/>
      <c r="FL204" s="73" t="s">
        <v>1284</v>
      </c>
      <c r="FM204" s="73">
        <v>4</v>
      </c>
      <c r="FN204" s="73">
        <v>1</v>
      </c>
      <c r="FO204" s="73">
        <v>4</v>
      </c>
      <c r="FP204" s="73">
        <v>3</v>
      </c>
      <c r="FQ204" s="73">
        <v>2</v>
      </c>
      <c r="FR204" s="73">
        <v>2</v>
      </c>
      <c r="FS204" s="73">
        <v>3</v>
      </c>
      <c r="FT204" s="73">
        <v>4</v>
      </c>
      <c r="FU204" s="73">
        <v>29</v>
      </c>
      <c r="FV204" s="73">
        <v>16</v>
      </c>
      <c r="FW204" s="73">
        <v>14</v>
      </c>
      <c r="FX204" s="73">
        <v>29</v>
      </c>
      <c r="FY204" s="73">
        <v>6</v>
      </c>
      <c r="FZ204" s="73">
        <v>0</v>
      </c>
      <c r="GA204" s="73">
        <v>1</v>
      </c>
      <c r="GB204" s="73">
        <v>0</v>
      </c>
      <c r="GC204" s="73">
        <v>118</v>
      </c>
      <c r="GD204" s="73"/>
      <c r="GE204" s="73"/>
      <c r="GF204" s="73"/>
      <c r="GG204" s="73"/>
      <c r="GH204" s="968"/>
      <c r="GI204" s="968" t="s">
        <v>1284</v>
      </c>
      <c r="GJ204" s="968">
        <v>1</v>
      </c>
      <c r="GK204" s="968">
        <v>0</v>
      </c>
      <c r="GL204" s="968">
        <v>1</v>
      </c>
      <c r="GM204" s="968">
        <v>3</v>
      </c>
      <c r="GN204" s="968">
        <v>0</v>
      </c>
      <c r="GO204" s="968">
        <v>2</v>
      </c>
      <c r="GP204" s="968">
        <v>0</v>
      </c>
      <c r="GQ204" s="968">
        <v>3</v>
      </c>
      <c r="GR204" s="968">
        <v>9</v>
      </c>
      <c r="GS204" s="968">
        <v>5</v>
      </c>
      <c r="GT204" s="968">
        <v>5</v>
      </c>
      <c r="GU204" s="968">
        <v>5</v>
      </c>
      <c r="GV204" s="968">
        <v>2</v>
      </c>
      <c r="GW204" s="968">
        <v>1</v>
      </c>
      <c r="GX204" s="968">
        <v>0</v>
      </c>
      <c r="GY204" s="968">
        <v>0</v>
      </c>
      <c r="GZ204" s="968">
        <v>37</v>
      </c>
      <c r="HA204" s="968"/>
      <c r="HB204" s="969"/>
    </row>
    <row r="205" spans="1:210">
      <c r="A205" s="73"/>
      <c r="B205" s="73"/>
      <c r="C205" s="73"/>
      <c r="D205" s="73" t="s">
        <v>1293</v>
      </c>
      <c r="E205" s="967"/>
      <c r="F205" s="967"/>
      <c r="G205" s="967"/>
      <c r="H205" s="967"/>
      <c r="I205" s="967"/>
      <c r="J205" s="967"/>
      <c r="K205" s="967"/>
      <c r="L205" s="967"/>
      <c r="M205" s="967"/>
      <c r="N205" s="967"/>
      <c r="O205" s="967"/>
      <c r="P205" s="967"/>
      <c r="Q205" s="967">
        <v>1</v>
      </c>
      <c r="R205" s="967"/>
      <c r="S205" s="967"/>
      <c r="T205" s="73"/>
      <c r="U205" s="73"/>
      <c r="V205" s="73">
        <v>1</v>
      </c>
      <c r="W205" s="73"/>
      <c r="Y205" s="73"/>
      <c r="Z205" s="73"/>
      <c r="AA205" s="73"/>
      <c r="AB205" s="73" t="s">
        <v>1284</v>
      </c>
      <c r="AC205" s="3261">
        <v>1</v>
      </c>
      <c r="AD205" s="3261">
        <v>3</v>
      </c>
      <c r="AE205" s="3261">
        <v>4</v>
      </c>
      <c r="AF205" s="3261">
        <v>1</v>
      </c>
      <c r="AG205" s="3261">
        <v>5</v>
      </c>
      <c r="AH205" s="3261">
        <v>2</v>
      </c>
      <c r="AI205" s="3261">
        <v>2</v>
      </c>
      <c r="AJ205" s="3261">
        <v>1</v>
      </c>
      <c r="AK205" s="3261">
        <v>3</v>
      </c>
      <c r="AL205" s="3261">
        <v>11</v>
      </c>
      <c r="AM205" s="3261">
        <v>5</v>
      </c>
      <c r="AN205" s="3261">
        <v>7</v>
      </c>
      <c r="AO205" s="3261">
        <v>35</v>
      </c>
      <c r="AP205" s="3261">
        <v>18</v>
      </c>
      <c r="AQ205" s="3261">
        <v>3</v>
      </c>
      <c r="AR205" s="161">
        <v>3</v>
      </c>
      <c r="AS205" s="161">
        <v>0</v>
      </c>
      <c r="AT205" s="161">
        <v>104</v>
      </c>
      <c r="AU205" s="73"/>
      <c r="BA205" s="2604"/>
      <c r="BB205" s="2604"/>
      <c r="BC205" s="2604"/>
      <c r="BD205" s="2604"/>
      <c r="BE205" s="2604"/>
      <c r="BF205" s="2604"/>
      <c r="BG205" s="2604"/>
      <c r="BH205" s="2604"/>
      <c r="BI205" s="2604"/>
      <c r="BJ205" s="2604"/>
      <c r="BK205" s="2604"/>
      <c r="BL205" s="2604"/>
      <c r="BM205" s="2604"/>
      <c r="BN205" s="2604"/>
      <c r="BO205" s="2604"/>
      <c r="BP205" s="2604"/>
      <c r="BQ205" s="2604"/>
      <c r="BR205" s="2604"/>
      <c r="BS205" s="2604"/>
      <c r="BT205" s="2604"/>
      <c r="BU205" s="2604"/>
      <c r="BV205" s="2604"/>
      <c r="BW205" s="2604"/>
      <c r="BX205" s="2604"/>
      <c r="BY205" s="2604"/>
      <c r="BZ205" s="2604"/>
      <c r="CA205" s="2604"/>
      <c r="CB205" s="2604"/>
      <c r="CC205" s="2604"/>
      <c r="CD205" s="2604"/>
      <c r="CE205" s="2604"/>
      <c r="CF205" s="2604"/>
      <c r="CG205" s="2604"/>
      <c r="CH205" s="2604"/>
      <c r="CI205" s="2604"/>
      <c r="CJ205" s="2604"/>
      <c r="CK205" s="2604"/>
      <c r="CL205" s="2604"/>
      <c r="CM205" s="2604"/>
      <c r="CN205" s="2604"/>
      <c r="CO205" s="2604"/>
      <c r="CP205" s="2604"/>
      <c r="CQ205" s="2604"/>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965"/>
      <c r="EO205" s="965"/>
      <c r="EP205" s="965"/>
      <c r="EQ205" s="734" t="s">
        <v>1286</v>
      </c>
      <c r="ER205" s="735">
        <v>2</v>
      </c>
      <c r="ES205" s="735">
        <v>1</v>
      </c>
      <c r="ET205" s="735">
        <v>0</v>
      </c>
      <c r="EU205" s="735">
        <v>2</v>
      </c>
      <c r="EV205" s="735">
        <v>0</v>
      </c>
      <c r="EW205" s="735">
        <v>0</v>
      </c>
      <c r="EX205" s="735">
        <v>0</v>
      </c>
      <c r="EY205" s="735">
        <v>0</v>
      </c>
      <c r="EZ205" s="735">
        <v>0</v>
      </c>
      <c r="FA205" s="735">
        <v>0</v>
      </c>
      <c r="FB205" s="735">
        <v>0</v>
      </c>
      <c r="FC205" s="735">
        <v>0</v>
      </c>
      <c r="FD205" s="735">
        <v>0</v>
      </c>
      <c r="FE205" s="735">
        <v>5</v>
      </c>
      <c r="FF205" s="967"/>
      <c r="FG205" s="73"/>
      <c r="FH205" s="73"/>
      <c r="FI205" s="161"/>
      <c r="FJ205" s="161"/>
      <c r="FK205" s="73"/>
      <c r="FL205" s="73" t="s">
        <v>1286</v>
      </c>
      <c r="FM205" s="73">
        <v>0</v>
      </c>
      <c r="FN205" s="73">
        <v>2</v>
      </c>
      <c r="FO205" s="73">
        <v>1</v>
      </c>
      <c r="FP205" s="73">
        <v>0</v>
      </c>
      <c r="FQ205" s="73">
        <v>2</v>
      </c>
      <c r="FR205" s="73">
        <v>0</v>
      </c>
      <c r="FS205" s="73">
        <v>0</v>
      </c>
      <c r="FT205" s="73">
        <v>0</v>
      </c>
      <c r="FU205" s="73">
        <v>0</v>
      </c>
      <c r="FV205" s="73">
        <v>0</v>
      </c>
      <c r="FW205" s="73">
        <v>0</v>
      </c>
      <c r="FX205" s="73">
        <v>0</v>
      </c>
      <c r="FY205" s="73">
        <v>0</v>
      </c>
      <c r="FZ205" s="73">
        <v>0</v>
      </c>
      <c r="GA205" s="73">
        <v>0</v>
      </c>
      <c r="GB205" s="73">
        <v>0</v>
      </c>
      <c r="GC205" s="73">
        <v>5</v>
      </c>
      <c r="GD205" s="73"/>
      <c r="GE205" s="73"/>
      <c r="GF205" s="73"/>
      <c r="GG205" s="73"/>
      <c r="GH205" s="968"/>
      <c r="GI205" s="968" t="s">
        <v>1286</v>
      </c>
      <c r="GJ205" s="968">
        <v>0</v>
      </c>
      <c r="GK205" s="968">
        <v>0</v>
      </c>
      <c r="GL205" s="968">
        <v>1</v>
      </c>
      <c r="GM205" s="968">
        <v>0</v>
      </c>
      <c r="GN205" s="968">
        <v>0</v>
      </c>
      <c r="GO205" s="968">
        <v>0</v>
      </c>
      <c r="GP205" s="968">
        <v>0</v>
      </c>
      <c r="GQ205" s="968">
        <v>1</v>
      </c>
      <c r="GR205" s="968">
        <v>0</v>
      </c>
      <c r="GS205" s="968">
        <v>0</v>
      </c>
      <c r="GT205" s="968">
        <v>0</v>
      </c>
      <c r="GU205" s="968">
        <v>0</v>
      </c>
      <c r="GV205" s="968">
        <v>0</v>
      </c>
      <c r="GW205" s="968">
        <v>0</v>
      </c>
      <c r="GX205" s="968">
        <v>0</v>
      </c>
      <c r="GY205" s="968">
        <v>0</v>
      </c>
      <c r="GZ205" s="968">
        <v>2</v>
      </c>
      <c r="HA205" s="968"/>
      <c r="HB205" s="969"/>
    </row>
    <row r="206" spans="1:210">
      <c r="A206" s="73"/>
      <c r="B206" s="73"/>
      <c r="C206" s="73"/>
      <c r="D206" s="73" t="s">
        <v>1398</v>
      </c>
      <c r="E206" s="967"/>
      <c r="F206" s="967"/>
      <c r="G206" s="967"/>
      <c r="H206" s="967"/>
      <c r="I206" s="967"/>
      <c r="J206" s="967"/>
      <c r="K206" s="967"/>
      <c r="L206" s="967"/>
      <c r="M206" s="967"/>
      <c r="N206" s="967"/>
      <c r="O206" s="967"/>
      <c r="P206" s="967"/>
      <c r="Q206" s="967">
        <v>2</v>
      </c>
      <c r="R206" s="967"/>
      <c r="S206" s="967"/>
      <c r="T206" s="73"/>
      <c r="U206" s="73"/>
      <c r="V206" s="73">
        <v>2</v>
      </c>
      <c r="W206" s="73"/>
      <c r="Y206" s="73"/>
      <c r="Z206" s="73"/>
      <c r="AA206" s="73"/>
      <c r="AB206" s="73" t="s">
        <v>1286</v>
      </c>
      <c r="AC206" s="3261">
        <v>0</v>
      </c>
      <c r="AD206" s="3261">
        <v>1</v>
      </c>
      <c r="AE206" s="3261">
        <v>0</v>
      </c>
      <c r="AF206" s="3261">
        <v>0</v>
      </c>
      <c r="AG206" s="3261">
        <v>0</v>
      </c>
      <c r="AH206" s="3261">
        <v>0</v>
      </c>
      <c r="AI206" s="3261">
        <v>0</v>
      </c>
      <c r="AJ206" s="3261">
        <v>1</v>
      </c>
      <c r="AK206" s="3261">
        <v>0</v>
      </c>
      <c r="AL206" s="3261">
        <v>0</v>
      </c>
      <c r="AM206" s="3261">
        <v>0</v>
      </c>
      <c r="AN206" s="3261">
        <v>0</v>
      </c>
      <c r="AO206" s="3261">
        <v>0</v>
      </c>
      <c r="AP206" s="3261">
        <v>0</v>
      </c>
      <c r="AQ206" s="3261">
        <v>0</v>
      </c>
      <c r="AR206" s="161">
        <v>0</v>
      </c>
      <c r="AS206" s="161">
        <v>0</v>
      </c>
      <c r="AT206" s="161">
        <v>2</v>
      </c>
      <c r="AU206" s="73"/>
      <c r="AZ206" s="2605"/>
      <c r="BA206" s="2604"/>
      <c r="BB206" s="2604"/>
      <c r="BC206" s="2604"/>
      <c r="BD206" s="2604"/>
      <c r="BE206" s="2604"/>
      <c r="BF206" s="2604"/>
      <c r="BG206" s="2604"/>
      <c r="BH206" s="2604"/>
      <c r="BI206" s="2604"/>
      <c r="BJ206" s="2604"/>
      <c r="BK206" s="2604"/>
      <c r="BL206" s="2604"/>
      <c r="BM206" s="2604"/>
      <c r="BN206" s="2604"/>
      <c r="BO206" s="2604"/>
      <c r="BP206" s="2604"/>
      <c r="BQ206" s="2604"/>
      <c r="BR206" s="2604"/>
      <c r="BS206" s="2604"/>
      <c r="BT206" s="2605"/>
      <c r="BU206" s="2605"/>
      <c r="BV206" s="2605"/>
      <c r="BW206" s="2605"/>
      <c r="BX206" s="2605"/>
      <c r="BY206" s="2605"/>
      <c r="BZ206" s="2605"/>
      <c r="CA206" s="2605"/>
      <c r="CB206" s="2605"/>
      <c r="CC206" s="2605"/>
      <c r="CD206" s="2605"/>
      <c r="CE206" s="2605"/>
      <c r="CF206" s="2605"/>
      <c r="CG206" s="2605"/>
      <c r="CH206" s="2605"/>
      <c r="CI206" s="2605"/>
      <c r="CJ206" s="2605"/>
      <c r="CK206" s="2605"/>
      <c r="CL206" s="2605"/>
      <c r="CM206" s="2605"/>
      <c r="CN206" s="2605"/>
      <c r="CO206" s="2605"/>
      <c r="CP206" s="2605"/>
      <c r="CQ206" s="2605"/>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965"/>
      <c r="EO206" s="965"/>
      <c r="EP206" s="965"/>
      <c r="EQ206" s="734" t="s">
        <v>1288</v>
      </c>
      <c r="ER206" s="735">
        <v>0</v>
      </c>
      <c r="ES206" s="735">
        <v>0</v>
      </c>
      <c r="ET206" s="735">
        <v>0</v>
      </c>
      <c r="EU206" s="735">
        <v>0</v>
      </c>
      <c r="EV206" s="735">
        <v>1</v>
      </c>
      <c r="EW206" s="735">
        <v>6</v>
      </c>
      <c r="EX206" s="735">
        <v>5</v>
      </c>
      <c r="EY206" s="735">
        <v>5</v>
      </c>
      <c r="EZ206" s="735">
        <v>12</v>
      </c>
      <c r="FA206" s="735">
        <v>9</v>
      </c>
      <c r="FB206" s="735">
        <v>3</v>
      </c>
      <c r="FC206" s="735">
        <v>3</v>
      </c>
      <c r="FD206" s="735">
        <v>0</v>
      </c>
      <c r="FE206" s="735">
        <v>44</v>
      </c>
      <c r="FF206" s="967"/>
      <c r="FG206" s="73"/>
      <c r="FH206" s="73"/>
      <c r="FI206" s="161"/>
      <c r="FJ206" s="161"/>
      <c r="FK206" s="73"/>
      <c r="FL206" s="73" t="s">
        <v>1288</v>
      </c>
      <c r="FM206" s="73">
        <v>0</v>
      </c>
      <c r="FN206" s="73">
        <v>0</v>
      </c>
      <c r="FO206" s="73">
        <v>0</v>
      </c>
      <c r="FP206" s="73">
        <v>0</v>
      </c>
      <c r="FQ206" s="73">
        <v>0</v>
      </c>
      <c r="FR206" s="73">
        <v>0</v>
      </c>
      <c r="FS206" s="73">
        <v>0</v>
      </c>
      <c r="FT206" s="73">
        <v>0</v>
      </c>
      <c r="FU206" s="73">
        <v>5</v>
      </c>
      <c r="FV206" s="73">
        <v>3</v>
      </c>
      <c r="FW206" s="73">
        <v>4</v>
      </c>
      <c r="FX206" s="73">
        <v>8</v>
      </c>
      <c r="FY206" s="73">
        <v>3</v>
      </c>
      <c r="FZ206" s="73">
        <v>1</v>
      </c>
      <c r="GA206" s="73">
        <v>1</v>
      </c>
      <c r="GB206" s="73">
        <v>0</v>
      </c>
      <c r="GC206" s="73">
        <v>25</v>
      </c>
      <c r="GD206" s="73"/>
      <c r="GE206" s="73"/>
      <c r="GF206" s="73"/>
      <c r="GG206" s="73"/>
      <c r="GH206" s="968"/>
      <c r="GI206" s="968" t="s">
        <v>1288</v>
      </c>
      <c r="GJ206" s="968">
        <v>0</v>
      </c>
      <c r="GK206" s="968">
        <v>0</v>
      </c>
      <c r="GL206" s="968">
        <v>0</v>
      </c>
      <c r="GM206" s="968">
        <v>0</v>
      </c>
      <c r="GN206" s="968">
        <v>0</v>
      </c>
      <c r="GO206" s="968">
        <v>1</v>
      </c>
      <c r="GP206" s="968">
        <v>0</v>
      </c>
      <c r="GQ206" s="968">
        <v>0</v>
      </c>
      <c r="GR206" s="968">
        <v>3</v>
      </c>
      <c r="GS206" s="968">
        <v>5</v>
      </c>
      <c r="GT206" s="968">
        <v>2</v>
      </c>
      <c r="GU206" s="968">
        <v>10</v>
      </c>
      <c r="GV206" s="968">
        <v>4</v>
      </c>
      <c r="GW206" s="968">
        <v>4</v>
      </c>
      <c r="GX206" s="968">
        <v>3</v>
      </c>
      <c r="GY206" s="968">
        <v>0</v>
      </c>
      <c r="GZ206" s="968">
        <v>32</v>
      </c>
      <c r="HA206" s="968"/>
      <c r="HB206" s="969"/>
    </row>
    <row r="207" spans="1:210">
      <c r="A207" s="73"/>
      <c r="B207" s="73"/>
      <c r="C207" s="73"/>
      <c r="D207" s="738" t="s">
        <v>15</v>
      </c>
      <c r="E207" s="4694"/>
      <c r="F207" s="4694"/>
      <c r="G207" s="4694"/>
      <c r="H207" s="4694"/>
      <c r="I207" s="4694"/>
      <c r="J207" s="4694"/>
      <c r="K207" s="4694"/>
      <c r="L207" s="4694"/>
      <c r="M207" s="4694"/>
      <c r="N207" s="4694"/>
      <c r="O207" s="4694"/>
      <c r="P207" s="4694"/>
      <c r="Q207" s="4694">
        <v>7</v>
      </c>
      <c r="R207" s="4694"/>
      <c r="S207" s="4694"/>
      <c r="T207" s="738"/>
      <c r="U207" s="738"/>
      <c r="V207" s="738">
        <v>7</v>
      </c>
      <c r="W207" s="912">
        <f>+(V206+V205)/V207</f>
        <v>0.42857142857142855</v>
      </c>
      <c r="X207" s="3197"/>
      <c r="Y207" s="73"/>
      <c r="Z207" s="73"/>
      <c r="AA207" s="73"/>
      <c r="AB207" s="73" t="s">
        <v>1288</v>
      </c>
      <c r="AC207" s="3261">
        <v>0</v>
      </c>
      <c r="AD207" s="3261">
        <v>0</v>
      </c>
      <c r="AE207" s="3261">
        <v>0</v>
      </c>
      <c r="AF207" s="3261">
        <v>0</v>
      </c>
      <c r="AG207" s="3261">
        <v>0</v>
      </c>
      <c r="AH207" s="3261">
        <v>0</v>
      </c>
      <c r="AI207" s="3261">
        <v>0</v>
      </c>
      <c r="AJ207" s="3261">
        <v>1</v>
      </c>
      <c r="AK207" s="3261">
        <v>0</v>
      </c>
      <c r="AL207" s="3261">
        <v>2</v>
      </c>
      <c r="AM207" s="3261">
        <v>0</v>
      </c>
      <c r="AN207" s="3261">
        <v>1</v>
      </c>
      <c r="AO207" s="3261">
        <v>16</v>
      </c>
      <c r="AP207" s="3261">
        <v>14</v>
      </c>
      <c r="AQ207" s="3261">
        <v>2</v>
      </c>
      <c r="AR207" s="161">
        <v>1</v>
      </c>
      <c r="AS207" s="161">
        <v>0</v>
      </c>
      <c r="AT207" s="161">
        <v>37</v>
      </c>
      <c r="AU207" s="73"/>
      <c r="BA207" s="2604"/>
      <c r="BB207" s="2604"/>
      <c r="BC207" s="2604"/>
      <c r="BD207" s="2604"/>
      <c r="BE207" s="2604"/>
      <c r="BF207" s="2604"/>
      <c r="BG207" s="2604"/>
      <c r="BH207" s="2604"/>
      <c r="BI207" s="2604"/>
      <c r="BJ207" s="2604"/>
      <c r="BK207" s="2604"/>
      <c r="BL207" s="2604"/>
      <c r="BM207" s="2604"/>
      <c r="BN207" s="2604"/>
      <c r="BO207" s="2604"/>
      <c r="BP207" s="2604"/>
      <c r="BQ207" s="2604"/>
      <c r="BR207" s="2604"/>
      <c r="BS207" s="2604"/>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965"/>
      <c r="EO207" s="965"/>
      <c r="EP207" s="965"/>
      <c r="EQ207" s="734" t="s">
        <v>1289</v>
      </c>
      <c r="ER207" s="735">
        <v>0</v>
      </c>
      <c r="ES207" s="735">
        <v>1</v>
      </c>
      <c r="ET207" s="735">
        <v>7</v>
      </c>
      <c r="EU207" s="735">
        <v>3</v>
      </c>
      <c r="EV207" s="735">
        <v>3</v>
      </c>
      <c r="EW207" s="735">
        <v>3</v>
      </c>
      <c r="EX207" s="735">
        <v>3</v>
      </c>
      <c r="EY207" s="735">
        <v>2</v>
      </c>
      <c r="EZ207" s="735">
        <v>2</v>
      </c>
      <c r="FA207" s="735">
        <v>0</v>
      </c>
      <c r="FB207" s="735">
        <v>0</v>
      </c>
      <c r="FC207" s="735">
        <v>0</v>
      </c>
      <c r="FD207" s="735">
        <v>0</v>
      </c>
      <c r="FE207" s="735">
        <v>24</v>
      </c>
      <c r="FF207" s="967"/>
      <c r="FG207" s="73"/>
      <c r="FH207" s="73"/>
      <c r="FI207" s="161"/>
      <c r="FJ207" s="161"/>
      <c r="FK207" s="73"/>
      <c r="FL207" s="73" t="s">
        <v>1289</v>
      </c>
      <c r="FM207" s="73">
        <v>0</v>
      </c>
      <c r="FN207" s="73">
        <v>1</v>
      </c>
      <c r="FO207" s="73">
        <v>2</v>
      </c>
      <c r="FP207" s="73">
        <v>0</v>
      </c>
      <c r="FQ207" s="73">
        <v>0</v>
      </c>
      <c r="FR207" s="73">
        <v>1</v>
      </c>
      <c r="FS207" s="73">
        <v>2</v>
      </c>
      <c r="FT207" s="73">
        <v>1</v>
      </c>
      <c r="FU207" s="73">
        <v>0</v>
      </c>
      <c r="FV207" s="73">
        <v>0</v>
      </c>
      <c r="FW207" s="73">
        <v>1</v>
      </c>
      <c r="FX207" s="73">
        <v>14</v>
      </c>
      <c r="FY207" s="73">
        <v>0</v>
      </c>
      <c r="FZ207" s="73">
        <v>0</v>
      </c>
      <c r="GA207" s="73">
        <v>0</v>
      </c>
      <c r="GB207" s="73">
        <v>0</v>
      </c>
      <c r="GC207" s="73">
        <v>22</v>
      </c>
      <c r="GD207" s="73"/>
      <c r="GE207" s="73"/>
      <c r="GF207" s="73"/>
      <c r="GG207" s="73"/>
      <c r="GH207" s="968"/>
      <c r="GI207" s="968" t="s">
        <v>1289</v>
      </c>
      <c r="GJ207" s="968">
        <v>1</v>
      </c>
      <c r="GK207" s="968">
        <v>1</v>
      </c>
      <c r="GL207" s="968">
        <v>0</v>
      </c>
      <c r="GM207" s="968">
        <v>0</v>
      </c>
      <c r="GN207" s="968">
        <v>2</v>
      </c>
      <c r="GO207" s="968">
        <v>0</v>
      </c>
      <c r="GP207" s="968">
        <v>2</v>
      </c>
      <c r="GQ207" s="968">
        <v>1</v>
      </c>
      <c r="GR207" s="968">
        <v>3</v>
      </c>
      <c r="GS207" s="968">
        <v>0</v>
      </c>
      <c r="GT207" s="968">
        <v>1</v>
      </c>
      <c r="GU207" s="968">
        <v>4</v>
      </c>
      <c r="GV207" s="968">
        <v>0</v>
      </c>
      <c r="GW207" s="968">
        <v>0</v>
      </c>
      <c r="GX207" s="968">
        <v>0</v>
      </c>
      <c r="GY207" s="968">
        <v>0</v>
      </c>
      <c r="GZ207" s="968">
        <v>15</v>
      </c>
      <c r="HA207" s="968"/>
      <c r="HB207" s="969"/>
    </row>
    <row r="208" spans="1:210">
      <c r="A208" s="73"/>
      <c r="B208" s="73"/>
      <c r="C208" s="738" t="s">
        <v>574</v>
      </c>
      <c r="D208" s="738" t="s">
        <v>1284</v>
      </c>
      <c r="E208" s="4694"/>
      <c r="F208" s="4694"/>
      <c r="G208" s="4694"/>
      <c r="H208" s="4694"/>
      <c r="I208" s="4694"/>
      <c r="J208" s="4694"/>
      <c r="K208" s="4694"/>
      <c r="L208" s="4694"/>
      <c r="M208" s="4694"/>
      <c r="N208" s="4694"/>
      <c r="O208" s="4694"/>
      <c r="P208" s="4694"/>
      <c r="Q208" s="4694">
        <v>4</v>
      </c>
      <c r="R208" s="4694"/>
      <c r="S208" s="4694"/>
      <c r="T208" s="738"/>
      <c r="U208" s="738"/>
      <c r="V208" s="738">
        <v>4</v>
      </c>
      <c r="W208" s="73"/>
      <c r="Y208" s="73"/>
      <c r="Z208" s="73"/>
      <c r="AA208" s="73"/>
      <c r="AB208" s="73" t="s">
        <v>1289</v>
      </c>
      <c r="AC208" s="3261">
        <v>0</v>
      </c>
      <c r="AD208" s="3261">
        <v>0</v>
      </c>
      <c r="AE208" s="3261">
        <v>0</v>
      </c>
      <c r="AF208" s="3261">
        <v>0</v>
      </c>
      <c r="AG208" s="3261">
        <v>0</v>
      </c>
      <c r="AH208" s="3261">
        <v>0</v>
      </c>
      <c r="AI208" s="3261">
        <v>0</v>
      </c>
      <c r="AJ208" s="3261">
        <v>1</v>
      </c>
      <c r="AK208" s="3261">
        <v>0</v>
      </c>
      <c r="AL208" s="3261">
        <v>2</v>
      </c>
      <c r="AM208" s="3261">
        <v>0</v>
      </c>
      <c r="AN208" s="3261">
        <v>0</v>
      </c>
      <c r="AO208" s="3261">
        <v>0</v>
      </c>
      <c r="AP208" s="3261">
        <v>0</v>
      </c>
      <c r="AQ208" s="3261">
        <v>0</v>
      </c>
      <c r="AR208" s="161">
        <v>0</v>
      </c>
      <c r="AS208" s="161">
        <v>0</v>
      </c>
      <c r="AT208" s="161">
        <v>3</v>
      </c>
      <c r="AU208" s="73"/>
      <c r="BA208" s="2604"/>
      <c r="BB208" s="2604"/>
      <c r="BC208" s="2604"/>
      <c r="BD208" s="2604"/>
      <c r="BE208" s="2604"/>
      <c r="BF208" s="2604"/>
      <c r="BG208" s="2604"/>
      <c r="BH208" s="2604"/>
      <c r="BI208" s="2604"/>
      <c r="BJ208" s="2604"/>
      <c r="BK208" s="2604"/>
      <c r="BL208" s="2604"/>
      <c r="BM208" s="2604"/>
      <c r="BN208" s="2604"/>
      <c r="BO208" s="2604"/>
      <c r="BP208" s="2604"/>
      <c r="BQ208" s="2604"/>
      <c r="BR208" s="2604"/>
      <c r="BS208" s="2604"/>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965"/>
      <c r="EO208" s="965"/>
      <c r="EP208" s="965"/>
      <c r="EQ208" s="734" t="s">
        <v>1292</v>
      </c>
      <c r="ER208" s="735">
        <v>0</v>
      </c>
      <c r="ES208" s="735">
        <v>0</v>
      </c>
      <c r="ET208" s="735">
        <v>0</v>
      </c>
      <c r="EU208" s="735">
        <v>0</v>
      </c>
      <c r="EV208" s="735">
        <v>2</v>
      </c>
      <c r="EW208" s="735">
        <v>1</v>
      </c>
      <c r="EX208" s="735">
        <v>0</v>
      </c>
      <c r="EY208" s="735">
        <v>0</v>
      </c>
      <c r="EZ208" s="735">
        <v>1</v>
      </c>
      <c r="FA208" s="735">
        <v>8</v>
      </c>
      <c r="FB208" s="735">
        <v>43</v>
      </c>
      <c r="FC208" s="735">
        <v>3</v>
      </c>
      <c r="FD208" s="735">
        <v>17</v>
      </c>
      <c r="FE208" s="735">
        <v>75</v>
      </c>
      <c r="FF208" s="967"/>
      <c r="FG208" s="73"/>
      <c r="FH208" s="73"/>
      <c r="FI208" s="161"/>
      <c r="FJ208" s="161"/>
      <c r="FK208" s="73"/>
      <c r="FL208" s="73" t="s">
        <v>1292</v>
      </c>
      <c r="FM208" s="73">
        <v>0</v>
      </c>
      <c r="FN208" s="73">
        <v>0</v>
      </c>
      <c r="FO208" s="73">
        <v>0</v>
      </c>
      <c r="FP208" s="73">
        <v>0</v>
      </c>
      <c r="FQ208" s="73">
        <v>0</v>
      </c>
      <c r="FR208" s="73">
        <v>0</v>
      </c>
      <c r="FS208" s="73">
        <v>0</v>
      </c>
      <c r="FT208" s="73">
        <v>0</v>
      </c>
      <c r="FU208" s="73">
        <v>0</v>
      </c>
      <c r="FV208" s="73">
        <v>2</v>
      </c>
      <c r="FW208" s="73">
        <v>2</v>
      </c>
      <c r="FX208" s="73">
        <v>1</v>
      </c>
      <c r="FY208" s="73">
        <v>4</v>
      </c>
      <c r="FZ208" s="73">
        <v>25</v>
      </c>
      <c r="GA208" s="73">
        <v>8</v>
      </c>
      <c r="GB208" s="73">
        <v>21</v>
      </c>
      <c r="GC208" s="73">
        <v>63</v>
      </c>
      <c r="GD208" s="73"/>
      <c r="GE208" s="73"/>
      <c r="GF208" s="73"/>
      <c r="GG208" s="73"/>
      <c r="GH208" s="968"/>
      <c r="GI208" s="968" t="s">
        <v>1292</v>
      </c>
      <c r="GJ208" s="968">
        <v>0</v>
      </c>
      <c r="GK208" s="968">
        <v>0</v>
      </c>
      <c r="GL208" s="968">
        <v>0</v>
      </c>
      <c r="GM208" s="968">
        <v>0</v>
      </c>
      <c r="GN208" s="968">
        <v>0</v>
      </c>
      <c r="GO208" s="968">
        <v>0</v>
      </c>
      <c r="GP208" s="968">
        <v>0</v>
      </c>
      <c r="GQ208" s="968">
        <v>1</v>
      </c>
      <c r="GR208" s="968">
        <v>0</v>
      </c>
      <c r="GS208" s="968">
        <v>0</v>
      </c>
      <c r="GT208" s="968">
        <v>1</v>
      </c>
      <c r="GU208" s="968">
        <v>0</v>
      </c>
      <c r="GV208" s="968">
        <v>5</v>
      </c>
      <c r="GW208" s="968">
        <v>15</v>
      </c>
      <c r="GX208" s="968">
        <v>7</v>
      </c>
      <c r="GY208" s="968">
        <v>19</v>
      </c>
      <c r="GZ208" s="968">
        <v>48</v>
      </c>
      <c r="HA208" s="968"/>
      <c r="HB208" s="969"/>
    </row>
    <row r="209" spans="1:210">
      <c r="A209" s="73"/>
      <c r="B209" s="73"/>
      <c r="C209" s="738"/>
      <c r="D209" s="738" t="s">
        <v>1293</v>
      </c>
      <c r="E209" s="4694"/>
      <c r="F209" s="4694"/>
      <c r="G209" s="4694"/>
      <c r="H209" s="4694"/>
      <c r="I209" s="4694"/>
      <c r="J209" s="4694"/>
      <c r="K209" s="4694"/>
      <c r="L209" s="4694"/>
      <c r="M209" s="4694"/>
      <c r="N209" s="4694"/>
      <c r="O209" s="4694"/>
      <c r="P209" s="4694"/>
      <c r="Q209" s="4694">
        <v>1</v>
      </c>
      <c r="R209" s="4694"/>
      <c r="S209" s="4694"/>
      <c r="T209" s="738"/>
      <c r="U209" s="738"/>
      <c r="V209" s="738">
        <v>1</v>
      </c>
      <c r="W209" s="73"/>
      <c r="Y209" s="73"/>
      <c r="Z209" s="73"/>
      <c r="AA209" s="73"/>
      <c r="AB209" s="73" t="s">
        <v>1292</v>
      </c>
      <c r="AC209" s="3261">
        <v>0</v>
      </c>
      <c r="AD209" s="3261">
        <v>0</v>
      </c>
      <c r="AE209" s="3261">
        <v>0</v>
      </c>
      <c r="AF209" s="3261">
        <v>0</v>
      </c>
      <c r="AG209" s="3261">
        <v>0</v>
      </c>
      <c r="AH209" s="3261">
        <v>0</v>
      </c>
      <c r="AI209" s="3261">
        <v>0</v>
      </c>
      <c r="AJ209" s="3261">
        <v>0</v>
      </c>
      <c r="AK209" s="3261">
        <v>0</v>
      </c>
      <c r="AL209" s="3261">
        <v>0</v>
      </c>
      <c r="AM209" s="3261">
        <v>0</v>
      </c>
      <c r="AN209" s="3261">
        <v>1</v>
      </c>
      <c r="AO209" s="3261">
        <v>0</v>
      </c>
      <c r="AP209" s="3261">
        <v>0</v>
      </c>
      <c r="AQ209" s="3261">
        <v>41</v>
      </c>
      <c r="AR209" s="161">
        <v>5</v>
      </c>
      <c r="AS209" s="161">
        <v>27</v>
      </c>
      <c r="AT209" s="161">
        <v>74</v>
      </c>
      <c r="AU209" s="73"/>
      <c r="BA209" s="2604"/>
      <c r="BB209" s="2604"/>
      <c r="BC209" s="2604"/>
      <c r="BD209" s="2604"/>
      <c r="BE209" s="2604"/>
      <c r="BF209" s="2604"/>
      <c r="BG209" s="2604"/>
      <c r="BH209" s="2604"/>
      <c r="BI209" s="2604"/>
      <c r="BJ209" s="2604"/>
      <c r="BK209" s="2604"/>
      <c r="BL209" s="2604"/>
      <c r="BM209" s="2604"/>
      <c r="BN209" s="2604"/>
      <c r="BO209" s="2604"/>
      <c r="BP209" s="2604"/>
      <c r="BQ209" s="2604"/>
      <c r="BR209" s="2604"/>
      <c r="BS209" s="2604"/>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965"/>
      <c r="EO209" s="965"/>
      <c r="EP209" s="965"/>
      <c r="EQ209" s="734" t="s">
        <v>1293</v>
      </c>
      <c r="ER209" s="735">
        <v>0</v>
      </c>
      <c r="ES209" s="735">
        <v>0</v>
      </c>
      <c r="ET209" s="735">
        <v>0</v>
      </c>
      <c r="EU209" s="735">
        <v>0</v>
      </c>
      <c r="EV209" s="735">
        <v>0</v>
      </c>
      <c r="EW209" s="735">
        <v>1</v>
      </c>
      <c r="EX209" s="735">
        <v>0</v>
      </c>
      <c r="EY209" s="735">
        <v>0</v>
      </c>
      <c r="EZ209" s="735">
        <v>0</v>
      </c>
      <c r="FA209" s="735">
        <v>3</v>
      </c>
      <c r="FB209" s="735">
        <v>1</v>
      </c>
      <c r="FC209" s="735">
        <v>0</v>
      </c>
      <c r="FD209" s="735">
        <v>0</v>
      </c>
      <c r="FE209" s="735">
        <v>5</v>
      </c>
      <c r="FF209" s="967"/>
      <c r="FG209" s="73"/>
      <c r="FH209" s="73"/>
      <c r="FI209" s="161"/>
      <c r="FJ209" s="161"/>
      <c r="FK209" s="73"/>
      <c r="FL209" s="73" t="s">
        <v>1293</v>
      </c>
      <c r="FM209" s="73">
        <v>0</v>
      </c>
      <c r="FN209" s="73">
        <v>0</v>
      </c>
      <c r="FO209" s="73">
        <v>0</v>
      </c>
      <c r="FP209" s="73">
        <v>0</v>
      </c>
      <c r="FQ209" s="73">
        <v>0</v>
      </c>
      <c r="FR209" s="73">
        <v>0</v>
      </c>
      <c r="FS209" s="73">
        <v>0</v>
      </c>
      <c r="FT209" s="73">
        <v>0</v>
      </c>
      <c r="FU209" s="73">
        <v>5</v>
      </c>
      <c r="FV209" s="73">
        <v>3</v>
      </c>
      <c r="FW209" s="73">
        <v>2</v>
      </c>
      <c r="FX209" s="73">
        <v>3</v>
      </c>
      <c r="FY209" s="73">
        <v>0</v>
      </c>
      <c r="FZ209" s="73">
        <v>1</v>
      </c>
      <c r="GA209" s="73">
        <v>0</v>
      </c>
      <c r="GB209" s="73">
        <v>0</v>
      </c>
      <c r="GC209" s="73">
        <v>14</v>
      </c>
      <c r="GD209" s="73"/>
      <c r="GE209" s="73"/>
      <c r="GF209" s="73"/>
      <c r="GG209" s="73"/>
      <c r="GH209" s="968"/>
      <c r="GI209" s="968" t="s">
        <v>1293</v>
      </c>
      <c r="GJ209" s="968">
        <v>0</v>
      </c>
      <c r="GK209" s="968">
        <v>0</v>
      </c>
      <c r="GL209" s="968">
        <v>0</v>
      </c>
      <c r="GM209" s="968">
        <v>0</v>
      </c>
      <c r="GN209" s="968">
        <v>0</v>
      </c>
      <c r="GO209" s="968">
        <v>0</v>
      </c>
      <c r="GP209" s="968">
        <v>0</v>
      </c>
      <c r="GQ209" s="968">
        <v>0</v>
      </c>
      <c r="GR209" s="968">
        <v>0</v>
      </c>
      <c r="GS209" s="968">
        <v>2</v>
      </c>
      <c r="GT209" s="968">
        <v>0</v>
      </c>
      <c r="GU209" s="968">
        <v>1</v>
      </c>
      <c r="GV209" s="968">
        <v>2</v>
      </c>
      <c r="GW209" s="968">
        <v>0</v>
      </c>
      <c r="GX209" s="968">
        <v>0</v>
      </c>
      <c r="GY209" s="968">
        <v>0</v>
      </c>
      <c r="GZ209" s="968">
        <v>5</v>
      </c>
      <c r="HA209" s="968"/>
      <c r="HB209" s="969"/>
    </row>
    <row r="210" spans="1:210">
      <c r="A210" s="73"/>
      <c r="B210" s="73"/>
      <c r="C210" s="738"/>
      <c r="D210" s="738" t="s">
        <v>1398</v>
      </c>
      <c r="E210" s="4694"/>
      <c r="F210" s="4694"/>
      <c r="G210" s="4694"/>
      <c r="H210" s="4694"/>
      <c r="I210" s="4694"/>
      <c r="J210" s="4694"/>
      <c r="K210" s="4694"/>
      <c r="L210" s="4694"/>
      <c r="M210" s="4694"/>
      <c r="N210" s="4694"/>
      <c r="O210" s="4694"/>
      <c r="P210" s="4694"/>
      <c r="Q210" s="4694">
        <v>2</v>
      </c>
      <c r="R210" s="4694"/>
      <c r="S210" s="4694"/>
      <c r="T210" s="738"/>
      <c r="U210" s="738"/>
      <c r="V210" s="738">
        <v>2</v>
      </c>
      <c r="W210" s="73"/>
      <c r="Y210" s="73"/>
      <c r="Z210" s="73"/>
      <c r="AA210" s="73"/>
      <c r="AB210" s="73" t="s">
        <v>1293</v>
      </c>
      <c r="AC210" s="3261">
        <v>0</v>
      </c>
      <c r="AD210" s="3261">
        <v>0</v>
      </c>
      <c r="AE210" s="3261">
        <v>0</v>
      </c>
      <c r="AF210" s="3261">
        <v>0</v>
      </c>
      <c r="AG210" s="3261">
        <v>0</v>
      </c>
      <c r="AH210" s="3261">
        <v>0</v>
      </c>
      <c r="AI210" s="3261">
        <v>0</v>
      </c>
      <c r="AJ210" s="3261">
        <v>0</v>
      </c>
      <c r="AK210" s="3261">
        <v>0</v>
      </c>
      <c r="AL210" s="3261">
        <v>1</v>
      </c>
      <c r="AM210" s="3261">
        <v>0</v>
      </c>
      <c r="AN210" s="3261">
        <v>1</v>
      </c>
      <c r="AO210" s="3261">
        <v>6</v>
      </c>
      <c r="AP210" s="3261">
        <v>0</v>
      </c>
      <c r="AQ210" s="3261">
        <v>2</v>
      </c>
      <c r="AR210" s="161">
        <v>1</v>
      </c>
      <c r="AS210" s="161">
        <v>0</v>
      </c>
      <c r="AT210" s="161">
        <v>11</v>
      </c>
      <c r="AU210" s="73"/>
      <c r="AZ210" s="2605"/>
      <c r="BA210" s="2604"/>
      <c r="BB210" s="2604"/>
      <c r="BC210" s="2604"/>
      <c r="BD210" s="2604"/>
      <c r="BE210" s="2604"/>
      <c r="BF210" s="2604"/>
      <c r="BG210" s="2604"/>
      <c r="BH210" s="2604"/>
      <c r="BI210" s="2604"/>
      <c r="BJ210" s="2604"/>
      <c r="BK210" s="2604"/>
      <c r="BL210" s="2604"/>
      <c r="BM210" s="2604"/>
      <c r="BN210" s="2604"/>
      <c r="BO210" s="2604"/>
      <c r="BP210" s="2604"/>
      <c r="BQ210" s="2604"/>
      <c r="BR210" s="2604"/>
      <c r="BS210" s="2604"/>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965"/>
      <c r="EO210" s="965"/>
      <c r="EP210" s="965"/>
      <c r="EQ210" s="734" t="s">
        <v>1398</v>
      </c>
      <c r="ER210" s="735">
        <v>0</v>
      </c>
      <c r="ES210" s="735">
        <v>0</v>
      </c>
      <c r="ET210" s="735">
        <v>0</v>
      </c>
      <c r="EU210" s="735">
        <v>1</v>
      </c>
      <c r="EV210" s="735">
        <v>0</v>
      </c>
      <c r="EW210" s="735">
        <v>7</v>
      </c>
      <c r="EX210" s="735">
        <v>7</v>
      </c>
      <c r="EY210" s="735">
        <v>3</v>
      </c>
      <c r="EZ210" s="735">
        <v>10</v>
      </c>
      <c r="FA210" s="735">
        <v>2</v>
      </c>
      <c r="FB210" s="735">
        <v>0</v>
      </c>
      <c r="FC210" s="735">
        <v>0</v>
      </c>
      <c r="FD210" s="735">
        <v>0</v>
      </c>
      <c r="FE210" s="735">
        <v>30</v>
      </c>
      <c r="FF210" s="967"/>
      <c r="FG210" s="73"/>
      <c r="FH210" s="73"/>
      <c r="FI210" s="161"/>
      <c r="FJ210" s="161"/>
      <c r="FK210" s="73"/>
      <c r="FL210" s="73" t="s">
        <v>1398</v>
      </c>
      <c r="FM210" s="73">
        <v>0</v>
      </c>
      <c r="FN210" s="73">
        <v>0</v>
      </c>
      <c r="FO210" s="73">
        <v>0</v>
      </c>
      <c r="FP210" s="73">
        <v>0</v>
      </c>
      <c r="FQ210" s="73">
        <v>0</v>
      </c>
      <c r="FR210" s="73">
        <v>1</v>
      </c>
      <c r="FS210" s="73">
        <v>4</v>
      </c>
      <c r="FT210" s="73">
        <v>2</v>
      </c>
      <c r="FU210" s="73">
        <v>11</v>
      </c>
      <c r="FV210" s="73">
        <v>6</v>
      </c>
      <c r="FW210" s="73">
        <v>6</v>
      </c>
      <c r="FX210" s="73">
        <v>14</v>
      </c>
      <c r="FY210" s="73">
        <v>5</v>
      </c>
      <c r="FZ210" s="73">
        <v>1</v>
      </c>
      <c r="GA210" s="73">
        <v>0</v>
      </c>
      <c r="GB210" s="73">
        <v>0</v>
      </c>
      <c r="GC210" s="73">
        <v>50</v>
      </c>
      <c r="GD210" s="73"/>
      <c r="GE210" s="73"/>
      <c r="GF210" s="73"/>
      <c r="GG210" s="73"/>
      <c r="GH210" s="968"/>
      <c r="GI210" s="968" t="s">
        <v>1398</v>
      </c>
      <c r="GJ210" s="968">
        <v>0</v>
      </c>
      <c r="GK210" s="968">
        <v>0</v>
      </c>
      <c r="GL210" s="968">
        <v>0</v>
      </c>
      <c r="GM210" s="968">
        <v>0</v>
      </c>
      <c r="GN210" s="968">
        <v>0</v>
      </c>
      <c r="GO210" s="968">
        <v>0</v>
      </c>
      <c r="GP210" s="968">
        <v>1</v>
      </c>
      <c r="GQ210" s="968">
        <v>3</v>
      </c>
      <c r="GR210" s="968">
        <v>2</v>
      </c>
      <c r="GS210" s="968">
        <v>4</v>
      </c>
      <c r="GT210" s="968">
        <v>7</v>
      </c>
      <c r="GU210" s="968">
        <v>12</v>
      </c>
      <c r="GV210" s="968">
        <v>3</v>
      </c>
      <c r="GW210" s="968">
        <v>2</v>
      </c>
      <c r="GX210" s="968">
        <v>0</v>
      </c>
      <c r="GY210" s="968">
        <v>0</v>
      </c>
      <c r="GZ210" s="968">
        <v>34</v>
      </c>
      <c r="HA210" s="968"/>
      <c r="HB210" s="969"/>
    </row>
    <row r="211" spans="1:210" ht="15.75" thickBot="1">
      <c r="A211" s="73"/>
      <c r="B211" s="73"/>
      <c r="C211" s="738"/>
      <c r="D211" s="738" t="s">
        <v>574</v>
      </c>
      <c r="E211" s="4694"/>
      <c r="F211" s="4694"/>
      <c r="G211" s="4694"/>
      <c r="H211" s="4694"/>
      <c r="I211" s="4694"/>
      <c r="J211" s="4694"/>
      <c r="K211" s="4694"/>
      <c r="L211" s="4694"/>
      <c r="M211" s="4694"/>
      <c r="N211" s="4694"/>
      <c r="O211" s="4694"/>
      <c r="P211" s="4694"/>
      <c r="Q211" s="4694">
        <v>7</v>
      </c>
      <c r="R211" s="4694"/>
      <c r="S211" s="4694"/>
      <c r="T211" s="738"/>
      <c r="U211" s="738"/>
      <c r="V211" s="738">
        <v>7</v>
      </c>
      <c r="W211" s="912">
        <f>+(V210+V209)/V211</f>
        <v>0.42857142857142855</v>
      </c>
      <c r="X211" s="3197"/>
      <c r="Y211" s="73"/>
      <c r="Z211" s="73"/>
      <c r="AA211" s="73"/>
      <c r="AB211" s="73" t="s">
        <v>1398</v>
      </c>
      <c r="AC211" s="3261">
        <v>0</v>
      </c>
      <c r="AD211" s="3261">
        <v>0</v>
      </c>
      <c r="AE211" s="3261">
        <v>0</v>
      </c>
      <c r="AF211" s="3261">
        <v>0</v>
      </c>
      <c r="AG211" s="3261">
        <v>0</v>
      </c>
      <c r="AH211" s="3261">
        <v>0</v>
      </c>
      <c r="AI211" s="3261">
        <v>0</v>
      </c>
      <c r="AJ211" s="3261">
        <v>0</v>
      </c>
      <c r="AK211" s="3261">
        <v>2</v>
      </c>
      <c r="AL211" s="3261">
        <v>7</v>
      </c>
      <c r="AM211" s="3261">
        <v>2</v>
      </c>
      <c r="AN211" s="3261">
        <v>4</v>
      </c>
      <c r="AO211" s="3261">
        <v>16</v>
      </c>
      <c r="AP211" s="3261">
        <v>11</v>
      </c>
      <c r="AQ211" s="3261">
        <v>5</v>
      </c>
      <c r="AR211" s="161">
        <v>0</v>
      </c>
      <c r="AS211" s="161">
        <v>0</v>
      </c>
      <c r="AT211" s="161">
        <v>47</v>
      </c>
      <c r="AU211" s="73"/>
      <c r="BA211" s="2604"/>
      <c r="BB211" s="2604"/>
      <c r="BC211" s="2604"/>
      <c r="BD211" s="2604"/>
      <c r="BE211" s="2604"/>
      <c r="BF211" s="2604"/>
      <c r="BG211" s="2604"/>
      <c r="BH211" s="2604"/>
      <c r="BI211" s="2604"/>
      <c r="BJ211" s="2604"/>
      <c r="BK211" s="2604"/>
      <c r="BL211" s="2604"/>
      <c r="BM211" s="2604"/>
      <c r="BN211" s="2604"/>
      <c r="BO211" s="2604"/>
      <c r="BP211" s="2604"/>
      <c r="BQ211" s="2604"/>
      <c r="BR211" s="2604"/>
      <c r="BS211" s="2604"/>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989"/>
      <c r="EO211" s="989"/>
      <c r="EP211" s="989"/>
      <c r="EQ211" s="990" t="s">
        <v>114</v>
      </c>
      <c r="ER211" s="744">
        <v>3</v>
      </c>
      <c r="ES211" s="744">
        <v>2</v>
      </c>
      <c r="ET211" s="744">
        <v>9</v>
      </c>
      <c r="EU211" s="744">
        <v>7</v>
      </c>
      <c r="EV211" s="744">
        <v>6</v>
      </c>
      <c r="EW211" s="744">
        <v>20</v>
      </c>
      <c r="EX211" s="744">
        <v>21</v>
      </c>
      <c r="EY211" s="744">
        <v>19</v>
      </c>
      <c r="EZ211" s="744">
        <v>32</v>
      </c>
      <c r="FA211" s="744">
        <v>25</v>
      </c>
      <c r="FB211" s="744">
        <v>51</v>
      </c>
      <c r="FC211" s="744">
        <v>9</v>
      </c>
      <c r="FD211" s="744">
        <v>17</v>
      </c>
      <c r="FE211" s="744">
        <v>221</v>
      </c>
      <c r="FF211" s="919">
        <f>+(FE210+FE209+FE206-FC206)/FE211</f>
        <v>0.34389140271493213</v>
      </c>
      <c r="FG211" s="73"/>
      <c r="FH211" s="73"/>
      <c r="FI211" s="743"/>
      <c r="FJ211" s="743"/>
      <c r="FK211" s="742"/>
      <c r="FL211" s="742" t="s">
        <v>15</v>
      </c>
      <c r="FM211" s="742">
        <v>4</v>
      </c>
      <c r="FN211" s="742">
        <v>4</v>
      </c>
      <c r="FO211" s="742">
        <v>7</v>
      </c>
      <c r="FP211" s="742">
        <v>3</v>
      </c>
      <c r="FQ211" s="742">
        <v>5</v>
      </c>
      <c r="FR211" s="742">
        <v>4</v>
      </c>
      <c r="FS211" s="742">
        <v>9</v>
      </c>
      <c r="FT211" s="742">
        <v>7</v>
      </c>
      <c r="FU211" s="742">
        <v>50</v>
      </c>
      <c r="FV211" s="742">
        <v>30</v>
      </c>
      <c r="FW211" s="742">
        <v>29</v>
      </c>
      <c r="FX211" s="742">
        <v>69</v>
      </c>
      <c r="FY211" s="742">
        <v>19</v>
      </c>
      <c r="FZ211" s="742">
        <v>34</v>
      </c>
      <c r="GA211" s="742">
        <v>11</v>
      </c>
      <c r="GB211" s="742">
        <v>22</v>
      </c>
      <c r="GC211" s="742">
        <v>307</v>
      </c>
      <c r="GD211" s="1018">
        <f>+(GC206+GC209+GC210)/GC211</f>
        <v>0.28990228013029318</v>
      </c>
      <c r="GE211" s="73"/>
      <c r="GF211" s="73"/>
      <c r="GG211" s="73"/>
      <c r="GH211" s="968"/>
      <c r="GI211" s="986" t="s">
        <v>15</v>
      </c>
      <c r="GJ211" s="986">
        <v>2</v>
      </c>
      <c r="GK211" s="986">
        <v>1</v>
      </c>
      <c r="GL211" s="986">
        <v>2</v>
      </c>
      <c r="GM211" s="986">
        <v>3</v>
      </c>
      <c r="GN211" s="986">
        <v>2</v>
      </c>
      <c r="GO211" s="986">
        <v>4</v>
      </c>
      <c r="GP211" s="986">
        <v>3</v>
      </c>
      <c r="GQ211" s="986">
        <v>9</v>
      </c>
      <c r="GR211" s="986">
        <v>17</v>
      </c>
      <c r="GS211" s="986">
        <v>16</v>
      </c>
      <c r="GT211" s="986">
        <v>16</v>
      </c>
      <c r="GU211" s="986">
        <v>32</v>
      </c>
      <c r="GV211" s="986">
        <v>16</v>
      </c>
      <c r="GW211" s="986">
        <v>23</v>
      </c>
      <c r="GX211" s="986">
        <v>10</v>
      </c>
      <c r="GY211" s="986">
        <v>19</v>
      </c>
      <c r="GZ211" s="986">
        <v>175</v>
      </c>
      <c r="HA211" s="1019">
        <f>+(GZ210+GZ209+GZ206-GX206)/GZ211</f>
        <v>0.38857142857142857</v>
      </c>
      <c r="HB211" s="1020">
        <f>+GZ206+GZ209+GZ210-GX206</f>
        <v>68</v>
      </c>
    </row>
    <row r="212" spans="1:210">
      <c r="A212" s="73"/>
      <c r="B212" s="73"/>
      <c r="C212" s="738" t="s">
        <v>461</v>
      </c>
      <c r="D212" s="738" t="s">
        <v>1284</v>
      </c>
      <c r="E212" s="4694"/>
      <c r="F212" s="4694"/>
      <c r="G212" s="4694"/>
      <c r="H212" s="4694"/>
      <c r="I212" s="4694">
        <v>1</v>
      </c>
      <c r="J212" s="4694"/>
      <c r="K212" s="4694"/>
      <c r="L212" s="4694"/>
      <c r="M212" s="4694"/>
      <c r="N212" s="4694">
        <v>4</v>
      </c>
      <c r="O212" s="4694">
        <v>1</v>
      </c>
      <c r="P212" s="4694"/>
      <c r="Q212" s="4694">
        <v>6</v>
      </c>
      <c r="R212" s="4694">
        <v>0</v>
      </c>
      <c r="S212" s="4694">
        <v>2</v>
      </c>
      <c r="T212" s="738">
        <v>1</v>
      </c>
      <c r="U212" s="738">
        <v>0</v>
      </c>
      <c r="V212" s="738">
        <v>15</v>
      </c>
      <c r="W212" s="73"/>
      <c r="Y212" s="73"/>
      <c r="Z212" s="73"/>
      <c r="AA212" s="73"/>
      <c r="AB212" s="73" t="s">
        <v>2013</v>
      </c>
      <c r="AC212" s="3261">
        <v>1</v>
      </c>
      <c r="AD212" s="3261">
        <v>0</v>
      </c>
      <c r="AE212" s="3261">
        <v>0</v>
      </c>
      <c r="AF212" s="3261">
        <v>0</v>
      </c>
      <c r="AG212" s="3261">
        <v>0</v>
      </c>
      <c r="AH212" s="3261">
        <v>0</v>
      </c>
      <c r="AI212" s="3261">
        <v>0</v>
      </c>
      <c r="AJ212" s="3261">
        <v>0</v>
      </c>
      <c r="AK212" s="3261">
        <v>0</v>
      </c>
      <c r="AL212" s="3261">
        <v>0</v>
      </c>
      <c r="AM212" s="3261">
        <v>0</v>
      </c>
      <c r="AN212" s="3261">
        <v>0</v>
      </c>
      <c r="AO212" s="3261">
        <v>0</v>
      </c>
      <c r="AP212" s="3261">
        <v>0</v>
      </c>
      <c r="AQ212" s="3261">
        <v>0</v>
      </c>
      <c r="AR212" s="161">
        <v>0</v>
      </c>
      <c r="AS212" s="161">
        <v>0</v>
      </c>
      <c r="AT212" s="161">
        <v>1</v>
      </c>
      <c r="AU212" s="73"/>
      <c r="BA212" s="2604"/>
      <c r="BB212" s="2604"/>
      <c r="BC212" s="2604"/>
      <c r="BD212" s="2604"/>
      <c r="BE212" s="2604"/>
      <c r="BF212" s="2604"/>
      <c r="BG212" s="2604"/>
      <c r="BH212" s="2604"/>
      <c r="BI212" s="2604"/>
      <c r="BJ212" s="2604"/>
      <c r="BK212" s="2604"/>
      <c r="BL212" s="2604"/>
      <c r="BM212" s="2604"/>
      <c r="BN212" s="2604"/>
      <c r="BO212" s="2604"/>
      <c r="BP212" s="2604"/>
      <c r="BQ212" s="2604"/>
      <c r="BR212" s="2604"/>
      <c r="BS212" s="2604"/>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88" t="s">
        <v>1401</v>
      </c>
      <c r="EO212" s="73"/>
      <c r="EP212" s="73"/>
      <c r="EQ212" s="73"/>
      <c r="ER212" s="73"/>
      <c r="ES212" s="73"/>
      <c r="ET212" s="73"/>
      <c r="EU212" s="73"/>
      <c r="EV212" s="73"/>
      <c r="EW212" s="73"/>
      <c r="EX212" s="73"/>
      <c r="EY212" s="73"/>
      <c r="EZ212" s="73"/>
      <c r="FA212" s="73"/>
      <c r="FB212" s="73"/>
      <c r="FC212" s="73"/>
      <c r="FD212" s="73"/>
      <c r="FE212" s="73"/>
      <c r="FF212" s="73"/>
      <c r="FG212" s="73"/>
      <c r="FH212" s="73"/>
      <c r="FI212" s="73" t="s">
        <v>1359</v>
      </c>
      <c r="FJ212" s="161"/>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968"/>
      <c r="GI212" s="968"/>
      <c r="GJ212" s="968"/>
      <c r="GK212" s="968"/>
      <c r="GL212" s="968"/>
      <c r="GM212" s="968"/>
      <c r="GN212" s="968"/>
      <c r="GO212" s="968"/>
      <c r="GP212" s="968"/>
      <c r="GQ212" s="968"/>
      <c r="GR212" s="968"/>
      <c r="GS212" s="968"/>
      <c r="GT212" s="968"/>
      <c r="GU212" s="968"/>
      <c r="GV212" s="968"/>
      <c r="GW212" s="968"/>
      <c r="GX212" s="968"/>
      <c r="GY212" s="968"/>
      <c r="GZ212" s="968"/>
      <c r="HA212" s="968"/>
      <c r="HB212" s="968"/>
    </row>
    <row r="213" spans="1:210" ht="15.75" thickBot="1">
      <c r="A213" s="73"/>
      <c r="B213" s="73"/>
      <c r="C213" s="738"/>
      <c r="D213" s="738" t="s">
        <v>1288</v>
      </c>
      <c r="E213" s="4694"/>
      <c r="F213" s="4694"/>
      <c r="G213" s="4694"/>
      <c r="H213" s="4694"/>
      <c r="I213" s="4694">
        <v>0</v>
      </c>
      <c r="J213" s="4694"/>
      <c r="K213" s="4694"/>
      <c r="L213" s="4694"/>
      <c r="M213" s="4694"/>
      <c r="N213" s="4694">
        <v>2</v>
      </c>
      <c r="O213" s="4694">
        <v>0</v>
      </c>
      <c r="P213" s="4694"/>
      <c r="Q213" s="4694">
        <v>1</v>
      </c>
      <c r="R213" s="4694">
        <v>0</v>
      </c>
      <c r="S213" s="4694">
        <v>1</v>
      </c>
      <c r="T213" s="738">
        <v>0</v>
      </c>
      <c r="U213" s="738">
        <v>0</v>
      </c>
      <c r="V213" s="738">
        <v>4</v>
      </c>
      <c r="W213" s="73"/>
      <c r="Y213" s="746"/>
      <c r="Z213" s="746"/>
      <c r="AA213" s="746"/>
      <c r="AB213" s="742" t="s">
        <v>114</v>
      </c>
      <c r="AC213" s="3260">
        <v>2</v>
      </c>
      <c r="AD213" s="3260">
        <v>4</v>
      </c>
      <c r="AE213" s="3260">
        <v>4</v>
      </c>
      <c r="AF213" s="3260">
        <v>1</v>
      </c>
      <c r="AG213" s="3260">
        <v>5</v>
      </c>
      <c r="AH213" s="3260">
        <v>2</v>
      </c>
      <c r="AI213" s="3260">
        <v>2</v>
      </c>
      <c r="AJ213" s="3260">
        <v>5</v>
      </c>
      <c r="AK213" s="3260">
        <v>5</v>
      </c>
      <c r="AL213" s="3260">
        <v>23</v>
      </c>
      <c r="AM213" s="3260">
        <v>7</v>
      </c>
      <c r="AN213" s="3260">
        <v>14</v>
      </c>
      <c r="AO213" s="3260">
        <v>73</v>
      </c>
      <c r="AP213" s="3260">
        <v>43</v>
      </c>
      <c r="AQ213" s="3260">
        <v>54</v>
      </c>
      <c r="AR213" s="743">
        <v>10</v>
      </c>
      <c r="AS213" s="743">
        <v>27</v>
      </c>
      <c r="AT213" s="743">
        <v>281</v>
      </c>
      <c r="AU213" s="2586">
        <f>+(AT207-AR207+AT210-AR210+AT211)/(AT213-AT212)</f>
        <v>0.33214285714285713</v>
      </c>
      <c r="AZ213" s="2605"/>
      <c r="BA213" s="2604"/>
      <c r="BB213" s="2604"/>
      <c r="BC213" s="2604"/>
      <c r="BD213" s="2604"/>
      <c r="BE213" s="2604"/>
      <c r="BF213" s="2604"/>
      <c r="BG213" s="2604"/>
      <c r="BH213" s="2604"/>
      <c r="BI213" s="2604"/>
      <c r="BJ213" s="2604"/>
      <c r="BK213" s="2604"/>
      <c r="BL213" s="2604"/>
      <c r="BM213" s="2604"/>
      <c r="BN213" s="2604"/>
      <c r="BO213" s="2604"/>
      <c r="BP213" s="2604"/>
      <c r="BQ213" s="2604"/>
      <c r="BR213" s="2604"/>
      <c r="BS213" s="2604"/>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1010" t="s">
        <v>1410</v>
      </c>
      <c r="EO213" s="73"/>
      <c r="EP213" s="73"/>
      <c r="EQ213" s="73"/>
      <c r="ER213" s="73"/>
      <c r="ES213" s="73"/>
      <c r="ET213" s="73"/>
      <c r="EU213" s="73"/>
      <c r="EV213" s="73"/>
      <c r="EW213" s="73"/>
      <c r="EX213" s="73"/>
      <c r="EY213" s="73"/>
      <c r="EZ213" s="73"/>
      <c r="FA213" s="73"/>
      <c r="FB213" s="73"/>
      <c r="FC213" s="73"/>
      <c r="FD213" s="73"/>
      <c r="FE213" s="73"/>
      <c r="FF213" s="73"/>
      <c r="FG213" s="73"/>
      <c r="FH213" s="73"/>
      <c r="FI213" s="161"/>
      <c r="FJ213" s="161"/>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968"/>
      <c r="GI213" s="968"/>
      <c r="GJ213" s="968"/>
      <c r="GK213" s="968"/>
      <c r="GL213" s="968"/>
      <c r="GM213" s="968"/>
      <c r="GN213" s="968"/>
      <c r="GO213" s="968"/>
      <c r="GP213" s="968"/>
      <c r="GQ213" s="968"/>
      <c r="GR213" s="968"/>
      <c r="GS213" s="968"/>
      <c r="GT213" s="968"/>
      <c r="GU213" s="968"/>
      <c r="GV213" s="968"/>
      <c r="GW213" s="968"/>
      <c r="GX213" s="968"/>
      <c r="GY213" s="968"/>
      <c r="GZ213" s="968"/>
      <c r="HA213" s="968"/>
      <c r="HB213" s="968"/>
    </row>
    <row r="214" spans="1:210">
      <c r="A214" s="73"/>
      <c r="B214" s="73"/>
      <c r="C214" s="738"/>
      <c r="D214" s="738" t="s">
        <v>1292</v>
      </c>
      <c r="E214" s="4694"/>
      <c r="F214" s="4694"/>
      <c r="G214" s="4694"/>
      <c r="H214" s="4694"/>
      <c r="I214" s="4694">
        <v>0</v>
      </c>
      <c r="J214" s="4694"/>
      <c r="K214" s="4694"/>
      <c r="L214" s="4694"/>
      <c r="M214" s="4694"/>
      <c r="N214" s="4694">
        <v>0</v>
      </c>
      <c r="O214" s="4694">
        <v>0</v>
      </c>
      <c r="P214" s="4694"/>
      <c r="Q214" s="4694">
        <v>0</v>
      </c>
      <c r="R214" s="4694">
        <v>0</v>
      </c>
      <c r="S214" s="4694">
        <v>6</v>
      </c>
      <c r="T214" s="738">
        <v>0</v>
      </c>
      <c r="U214" s="738">
        <v>9</v>
      </c>
      <c r="V214" s="738">
        <v>15</v>
      </c>
      <c r="W214" s="73"/>
      <c r="BA214" s="2604"/>
      <c r="BB214" s="2604"/>
      <c r="BC214" s="2604"/>
      <c r="BD214" s="2604"/>
      <c r="BE214" s="2604"/>
      <c r="BF214" s="2604"/>
      <c r="BG214" s="2604"/>
      <c r="BH214" s="2604"/>
      <c r="BI214" s="2604"/>
      <c r="BJ214" s="2604"/>
      <c r="BK214" s="2604"/>
      <c r="BL214" s="2604"/>
      <c r="BM214" s="2604"/>
      <c r="BN214" s="2604"/>
      <c r="BO214" s="2604"/>
      <c r="BP214" s="2604"/>
      <c r="BQ214" s="2604"/>
      <c r="BR214" s="2604"/>
      <c r="BS214" s="2604"/>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1010" t="s">
        <v>1386</v>
      </c>
      <c r="FJ214" s="161"/>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7" t="s">
        <v>1386</v>
      </c>
      <c r="GI214" s="968"/>
      <c r="GJ214" s="968"/>
      <c r="GK214" s="968"/>
      <c r="GL214" s="968"/>
      <c r="GM214" s="968"/>
      <c r="GN214" s="968"/>
      <c r="GO214" s="968"/>
      <c r="GP214" s="968"/>
      <c r="GQ214" s="968"/>
      <c r="GR214" s="968"/>
      <c r="GS214" s="968"/>
      <c r="GT214" s="968"/>
      <c r="GU214" s="968"/>
      <c r="GV214" s="968"/>
      <c r="GW214" s="968"/>
      <c r="GX214" s="968"/>
      <c r="GY214" s="968"/>
      <c r="GZ214" s="968"/>
      <c r="HA214" s="968"/>
      <c r="HB214" s="968"/>
    </row>
    <row r="215" spans="1:210">
      <c r="A215" s="73"/>
      <c r="B215" s="73"/>
      <c r="C215" s="738"/>
      <c r="D215" s="738" t="s">
        <v>1293</v>
      </c>
      <c r="E215" s="4694"/>
      <c r="F215" s="4694"/>
      <c r="G215" s="4694"/>
      <c r="H215" s="4694"/>
      <c r="I215" s="4694">
        <v>0</v>
      </c>
      <c r="J215" s="4694"/>
      <c r="K215" s="4694"/>
      <c r="L215" s="4694"/>
      <c r="M215" s="4694"/>
      <c r="N215" s="4694">
        <v>2</v>
      </c>
      <c r="O215" s="4694">
        <v>1</v>
      </c>
      <c r="P215" s="4694"/>
      <c r="Q215" s="4694">
        <v>4</v>
      </c>
      <c r="R215" s="4694">
        <v>1</v>
      </c>
      <c r="S215" s="4694">
        <v>0</v>
      </c>
      <c r="T215" s="738">
        <v>0</v>
      </c>
      <c r="U215" s="738">
        <v>0</v>
      </c>
      <c r="V215" s="738">
        <v>8</v>
      </c>
      <c r="W215" s="73"/>
      <c r="BA215" s="2604"/>
      <c r="BB215" s="2604"/>
      <c r="BC215" s="2604"/>
      <c r="BD215" s="2604"/>
      <c r="BE215" s="2604"/>
      <c r="BF215" s="2604"/>
      <c r="BG215" s="2604"/>
      <c r="BH215" s="2604"/>
      <c r="BI215" s="2604"/>
      <c r="BJ215" s="2604"/>
      <c r="BK215" s="2604"/>
      <c r="BL215" s="2604"/>
      <c r="BM215" s="2604"/>
      <c r="BN215" s="2604"/>
      <c r="BO215" s="2604"/>
      <c r="BP215" s="2604"/>
      <c r="BQ215" s="2604"/>
      <c r="BR215" s="2604"/>
      <c r="BS215" s="2604"/>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1010" t="s">
        <v>1410</v>
      </c>
      <c r="FJ215" s="161"/>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7" t="s">
        <v>1388</v>
      </c>
      <c r="GI215" s="968"/>
      <c r="GJ215" s="968"/>
      <c r="GK215" s="968"/>
      <c r="GL215" s="968"/>
      <c r="GM215" s="968"/>
      <c r="GN215" s="968"/>
      <c r="GO215" s="968"/>
      <c r="GP215" s="968"/>
      <c r="GQ215" s="968"/>
      <c r="GR215" s="968"/>
      <c r="GS215" s="968"/>
      <c r="GT215" s="968"/>
      <c r="GU215" s="968"/>
      <c r="GV215" s="968"/>
      <c r="GW215" s="968"/>
      <c r="GX215" s="968"/>
      <c r="GY215" s="968"/>
      <c r="GZ215" s="968"/>
      <c r="HA215" s="968"/>
      <c r="HB215" s="968"/>
    </row>
    <row r="216" spans="1:210">
      <c r="A216" s="73"/>
      <c r="B216" s="73"/>
      <c r="C216" s="738"/>
      <c r="D216" s="738" t="s">
        <v>1398</v>
      </c>
      <c r="E216" s="4694"/>
      <c r="F216" s="4694"/>
      <c r="G216" s="4694"/>
      <c r="H216" s="4694"/>
      <c r="I216" s="4694">
        <v>0</v>
      </c>
      <c r="J216" s="4694"/>
      <c r="K216" s="4694"/>
      <c r="L216" s="4694"/>
      <c r="M216" s="4694"/>
      <c r="N216" s="4694">
        <v>1</v>
      </c>
      <c r="O216" s="4694">
        <v>1</v>
      </c>
      <c r="P216" s="4694"/>
      <c r="Q216" s="4694">
        <v>4</v>
      </c>
      <c r="R216" s="4694">
        <v>1</v>
      </c>
      <c r="S216" s="4694">
        <v>1</v>
      </c>
      <c r="T216" s="738">
        <v>0</v>
      </c>
      <c r="U216" s="738">
        <v>0</v>
      </c>
      <c r="V216" s="738">
        <v>8</v>
      </c>
      <c r="W216" s="73"/>
      <c r="BA216" s="2604"/>
      <c r="BB216" s="2604"/>
      <c r="BC216" s="2604"/>
      <c r="BD216" s="2604"/>
      <c r="BE216" s="2604"/>
      <c r="BF216" s="2604"/>
      <c r="BG216" s="2604"/>
      <c r="BH216" s="2604"/>
      <c r="BI216" s="2604"/>
      <c r="BJ216" s="2604"/>
      <c r="BK216" s="2604"/>
      <c r="BL216" s="2604"/>
      <c r="BM216" s="2604"/>
      <c r="BN216" s="2604"/>
      <c r="BO216" s="2604"/>
      <c r="BP216" s="2604"/>
      <c r="BQ216" s="2604"/>
      <c r="BR216" s="2604"/>
      <c r="BS216" s="2604"/>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1010" t="s">
        <v>1389</v>
      </c>
      <c r="FJ216" s="161"/>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7" t="s">
        <v>1360</v>
      </c>
      <c r="GI216" s="968"/>
      <c r="GJ216" s="968"/>
      <c r="GK216" s="968"/>
      <c r="GL216" s="968"/>
      <c r="GM216" s="968"/>
      <c r="GN216" s="968"/>
      <c r="GO216" s="968"/>
      <c r="GP216" s="968"/>
      <c r="GQ216" s="968"/>
      <c r="GR216" s="968"/>
      <c r="GS216" s="968"/>
      <c r="GT216" s="968"/>
      <c r="GU216" s="968"/>
      <c r="GV216" s="968"/>
      <c r="GW216" s="968"/>
      <c r="GX216" s="968"/>
      <c r="GY216" s="968"/>
      <c r="GZ216" s="968"/>
      <c r="HA216" s="968"/>
      <c r="HB216" s="968"/>
    </row>
    <row r="217" spans="1:210">
      <c r="A217" s="73"/>
      <c r="B217" s="73"/>
      <c r="C217" s="738"/>
      <c r="D217" s="738" t="s">
        <v>461</v>
      </c>
      <c r="E217" s="4694"/>
      <c r="F217" s="4694"/>
      <c r="G217" s="4694"/>
      <c r="H217" s="4694"/>
      <c r="I217" s="4694">
        <v>1</v>
      </c>
      <c r="J217" s="4694"/>
      <c r="K217" s="4694"/>
      <c r="L217" s="4694"/>
      <c r="M217" s="4694"/>
      <c r="N217" s="4694">
        <v>9</v>
      </c>
      <c r="O217" s="4694">
        <v>3</v>
      </c>
      <c r="P217" s="4694"/>
      <c r="Q217" s="4694">
        <v>15</v>
      </c>
      <c r="R217" s="4694">
        <v>2</v>
      </c>
      <c r="S217" s="4694">
        <v>10</v>
      </c>
      <c r="T217" s="738">
        <v>1</v>
      </c>
      <c r="U217" s="738">
        <v>9</v>
      </c>
      <c r="V217" s="738">
        <v>50</v>
      </c>
      <c r="W217" s="912">
        <f>+(V216+V215+V213)/V217</f>
        <v>0.4</v>
      </c>
      <c r="X217" s="3197"/>
      <c r="BA217" s="2604"/>
      <c r="BB217" s="2604"/>
      <c r="BC217" s="2604"/>
      <c r="BD217" s="2604"/>
      <c r="BE217" s="2604"/>
      <c r="BF217" s="2604"/>
      <c r="BG217" s="2604"/>
      <c r="BH217" s="2604"/>
      <c r="BI217" s="2604"/>
      <c r="BJ217" s="2604"/>
      <c r="BK217" s="2604"/>
      <c r="BL217" s="2604"/>
      <c r="BM217" s="2604"/>
      <c r="BN217" s="2604"/>
      <c r="BO217" s="2604"/>
      <c r="BP217" s="2604"/>
      <c r="BQ217" s="2604"/>
      <c r="BR217" s="2604"/>
      <c r="BS217" s="2604"/>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161"/>
      <c r="FJ217" s="161"/>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row>
    <row r="218" spans="1:210">
      <c r="A218" s="73" t="s">
        <v>59</v>
      </c>
      <c r="B218" s="73" t="s">
        <v>16</v>
      </c>
      <c r="C218" s="73" t="s">
        <v>709</v>
      </c>
      <c r="D218" s="73" t="s">
        <v>1284</v>
      </c>
      <c r="E218" s="967"/>
      <c r="F218" s="967"/>
      <c r="G218" s="967"/>
      <c r="H218" s="967"/>
      <c r="I218" s="967"/>
      <c r="J218" s="967">
        <v>0</v>
      </c>
      <c r="K218" s="967"/>
      <c r="L218" s="967">
        <v>0</v>
      </c>
      <c r="M218" s="967">
        <v>1</v>
      </c>
      <c r="N218" s="967">
        <v>4</v>
      </c>
      <c r="O218" s="967">
        <v>1</v>
      </c>
      <c r="P218" s="967"/>
      <c r="Q218" s="967">
        <v>0</v>
      </c>
      <c r="R218" s="967"/>
      <c r="S218" s="967">
        <v>0</v>
      </c>
      <c r="T218" s="73"/>
      <c r="U218" s="73"/>
      <c r="V218" s="73">
        <v>6</v>
      </c>
      <c r="W218" s="73"/>
      <c r="AZ218" s="2605"/>
      <c r="BA218" s="2604"/>
      <c r="BB218" s="2604"/>
      <c r="BC218" s="2604"/>
      <c r="BD218" s="2604"/>
      <c r="BE218" s="2604"/>
      <c r="BF218" s="2604"/>
      <c r="BG218" s="2604"/>
      <c r="BH218" s="2604"/>
      <c r="BI218" s="2604"/>
      <c r="BJ218" s="2604"/>
      <c r="BK218" s="2604"/>
      <c r="BL218" s="2604"/>
      <c r="BM218" s="2604"/>
      <c r="BN218" s="2604"/>
      <c r="BO218" s="2604"/>
      <c r="BP218" s="2604"/>
      <c r="BQ218" s="2604"/>
      <c r="BR218" s="2604"/>
      <c r="BS218" s="2604"/>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161"/>
      <c r="FJ218" s="161"/>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row>
    <row r="219" spans="1:210">
      <c r="A219" s="73"/>
      <c r="B219" s="73"/>
      <c r="C219" s="73"/>
      <c r="D219" s="73" t="s">
        <v>1286</v>
      </c>
      <c r="E219" s="967"/>
      <c r="F219" s="967"/>
      <c r="G219" s="967"/>
      <c r="H219" s="967"/>
      <c r="I219" s="967"/>
      <c r="J219" s="967">
        <v>0</v>
      </c>
      <c r="K219" s="967"/>
      <c r="L219" s="967">
        <v>1</v>
      </c>
      <c r="M219" s="967">
        <v>0</v>
      </c>
      <c r="N219" s="967">
        <v>0</v>
      </c>
      <c r="O219" s="967">
        <v>0</v>
      </c>
      <c r="P219" s="967"/>
      <c r="Q219" s="967">
        <v>0</v>
      </c>
      <c r="R219" s="967"/>
      <c r="S219" s="967">
        <v>0</v>
      </c>
      <c r="T219" s="73"/>
      <c r="U219" s="73"/>
      <c r="V219" s="73">
        <v>1</v>
      </c>
      <c r="W219" s="73"/>
      <c r="BA219" s="2604"/>
      <c r="BB219" s="2604"/>
      <c r="BC219" s="2604"/>
      <c r="BD219" s="2604"/>
      <c r="BE219" s="2604"/>
      <c r="BF219" s="2604"/>
      <c r="BG219" s="2604"/>
      <c r="BH219" s="2604"/>
      <c r="BI219" s="2604"/>
      <c r="BJ219" s="2604"/>
      <c r="BK219" s="2604"/>
      <c r="BL219" s="2604"/>
      <c r="BM219" s="2604"/>
      <c r="BN219" s="2604"/>
      <c r="BO219" s="2604"/>
      <c r="BP219" s="2604"/>
      <c r="BQ219" s="2604"/>
      <c r="BR219" s="2604"/>
      <c r="BS219" s="2604"/>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161"/>
      <c r="FJ219" s="161"/>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row>
    <row r="220" spans="1:210">
      <c r="A220" s="73"/>
      <c r="B220" s="73"/>
      <c r="C220" s="73"/>
      <c r="D220" s="73" t="s">
        <v>1289</v>
      </c>
      <c r="E220" s="967"/>
      <c r="F220" s="967"/>
      <c r="G220" s="967"/>
      <c r="H220" s="967"/>
      <c r="I220" s="967"/>
      <c r="J220" s="967">
        <v>1</v>
      </c>
      <c r="K220" s="967"/>
      <c r="L220" s="967">
        <v>0</v>
      </c>
      <c r="M220" s="967">
        <v>0</v>
      </c>
      <c r="N220" s="967">
        <v>0</v>
      </c>
      <c r="O220" s="967">
        <v>1</v>
      </c>
      <c r="P220" s="967"/>
      <c r="Q220" s="967">
        <v>0</v>
      </c>
      <c r="R220" s="967"/>
      <c r="S220" s="967">
        <v>0</v>
      </c>
      <c r="T220" s="73"/>
      <c r="U220" s="73"/>
      <c r="V220" s="73">
        <v>2</v>
      </c>
      <c r="W220" s="73"/>
      <c r="AZ220" s="2605"/>
      <c r="BA220" s="2604"/>
      <c r="BB220" s="2604"/>
      <c r="BC220" s="2604"/>
      <c r="BD220" s="2604"/>
      <c r="BE220" s="2604"/>
      <c r="BF220" s="2604"/>
      <c r="BG220" s="2604"/>
      <c r="BH220" s="2604"/>
      <c r="BI220" s="2604"/>
      <c r="BJ220" s="2604"/>
      <c r="BK220" s="2604"/>
      <c r="BL220" s="2604"/>
      <c r="BM220" s="2604"/>
      <c r="BN220" s="2604"/>
      <c r="BO220" s="2604"/>
      <c r="BP220" s="2604"/>
      <c r="BQ220" s="2604"/>
      <c r="BR220" s="2604"/>
      <c r="BS220" s="2604"/>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161"/>
      <c r="FJ220" s="161"/>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row>
    <row r="221" spans="1:210">
      <c r="A221" s="73"/>
      <c r="B221" s="73"/>
      <c r="C221" s="73"/>
      <c r="D221" s="73" t="s">
        <v>1292</v>
      </c>
      <c r="E221" s="967"/>
      <c r="F221" s="967"/>
      <c r="G221" s="967"/>
      <c r="H221" s="967"/>
      <c r="I221" s="967"/>
      <c r="J221" s="967">
        <v>0</v>
      </c>
      <c r="K221" s="967"/>
      <c r="L221" s="967">
        <v>0</v>
      </c>
      <c r="M221" s="967">
        <v>0</v>
      </c>
      <c r="N221" s="967">
        <v>0</v>
      </c>
      <c r="O221" s="967">
        <v>0</v>
      </c>
      <c r="P221" s="967"/>
      <c r="Q221" s="967">
        <v>2</v>
      </c>
      <c r="R221" s="967"/>
      <c r="S221" s="967">
        <v>1</v>
      </c>
      <c r="T221" s="73"/>
      <c r="U221" s="73"/>
      <c r="V221" s="73">
        <v>3</v>
      </c>
      <c r="W221" s="73"/>
      <c r="BA221" s="2604"/>
      <c r="BB221" s="2604"/>
      <c r="BC221" s="2604"/>
      <c r="BD221" s="2604"/>
      <c r="BE221" s="2604"/>
      <c r="BF221" s="2604"/>
      <c r="BG221" s="2604"/>
      <c r="BH221" s="2604"/>
      <c r="BI221" s="2604"/>
      <c r="BJ221" s="2604"/>
      <c r="BK221" s="2604"/>
      <c r="BL221" s="2604"/>
      <c r="BM221" s="2604"/>
      <c r="BN221" s="2604"/>
      <c r="BO221" s="2604"/>
      <c r="BP221" s="2604"/>
      <c r="BQ221" s="2604"/>
      <c r="BR221" s="2604"/>
      <c r="BS221" s="2604"/>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161"/>
      <c r="FJ221" s="161"/>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row>
    <row r="222" spans="1:210">
      <c r="A222" s="73"/>
      <c r="B222" s="73"/>
      <c r="C222" s="73"/>
      <c r="D222" s="73" t="s">
        <v>1293</v>
      </c>
      <c r="E222" s="967"/>
      <c r="F222" s="967"/>
      <c r="G222" s="967"/>
      <c r="H222" s="967"/>
      <c r="I222" s="967"/>
      <c r="J222" s="967">
        <v>0</v>
      </c>
      <c r="K222" s="967"/>
      <c r="L222" s="967">
        <v>0</v>
      </c>
      <c r="M222" s="967">
        <v>0</v>
      </c>
      <c r="N222" s="967">
        <v>2</v>
      </c>
      <c r="O222" s="967">
        <v>0</v>
      </c>
      <c r="P222" s="967"/>
      <c r="Q222" s="967">
        <v>0</v>
      </c>
      <c r="R222" s="967"/>
      <c r="S222" s="967">
        <v>0</v>
      </c>
      <c r="T222" s="73"/>
      <c r="U222" s="73"/>
      <c r="V222" s="73">
        <v>2</v>
      </c>
      <c r="W222" s="73"/>
      <c r="BA222" s="2604"/>
      <c r="BB222" s="2604"/>
      <c r="BC222" s="2604"/>
      <c r="BD222" s="2604"/>
      <c r="BE222" s="2604"/>
      <c r="BF222" s="2604"/>
      <c r="BG222" s="2604"/>
      <c r="BH222" s="2604"/>
      <c r="BI222" s="2604"/>
      <c r="BJ222" s="2604"/>
      <c r="BK222" s="2604"/>
      <c r="BL222" s="2604"/>
      <c r="BM222" s="2604"/>
      <c r="BN222" s="2604"/>
      <c r="BO222" s="2604"/>
      <c r="BP222" s="2604"/>
      <c r="BQ222" s="2604"/>
      <c r="BR222" s="2604"/>
      <c r="BS222" s="2604"/>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161"/>
      <c r="FJ222" s="161"/>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row>
    <row r="223" spans="1:210">
      <c r="A223" s="73"/>
      <c r="B223" s="73"/>
      <c r="C223" s="73"/>
      <c r="D223" s="73" t="s">
        <v>1398</v>
      </c>
      <c r="E223" s="967"/>
      <c r="F223" s="967"/>
      <c r="G223" s="967"/>
      <c r="H223" s="967"/>
      <c r="I223" s="967"/>
      <c r="J223" s="967">
        <v>0</v>
      </c>
      <c r="K223" s="967"/>
      <c r="L223" s="967">
        <v>0</v>
      </c>
      <c r="M223" s="967">
        <v>0</v>
      </c>
      <c r="N223" s="967">
        <v>0</v>
      </c>
      <c r="O223" s="967">
        <v>3</v>
      </c>
      <c r="P223" s="967"/>
      <c r="Q223" s="967">
        <v>0</v>
      </c>
      <c r="R223" s="967"/>
      <c r="S223" s="967">
        <v>0</v>
      </c>
      <c r="T223" s="73"/>
      <c r="U223" s="73"/>
      <c r="V223" s="73">
        <v>3</v>
      </c>
      <c r="W223" s="73"/>
      <c r="BA223" s="2604"/>
      <c r="BB223" s="2604"/>
      <c r="BC223" s="2604"/>
      <c r="BD223" s="2604"/>
      <c r="BE223" s="2604"/>
      <c r="BF223" s="2604"/>
      <c r="BG223" s="2604"/>
      <c r="BH223" s="2604"/>
      <c r="BI223" s="2604"/>
      <c r="BJ223" s="2604"/>
      <c r="BK223" s="2604"/>
      <c r="BL223" s="2604"/>
      <c r="BM223" s="2604"/>
      <c r="BN223" s="2604"/>
      <c r="BO223" s="2604"/>
      <c r="BP223" s="2604"/>
      <c r="BQ223" s="2604"/>
      <c r="BR223" s="2604"/>
      <c r="BS223" s="2604"/>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161"/>
      <c r="FJ223" s="161"/>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row>
    <row r="224" spans="1:210">
      <c r="A224" s="73"/>
      <c r="B224" s="73"/>
      <c r="C224" s="73"/>
      <c r="D224" s="738" t="s">
        <v>15</v>
      </c>
      <c r="E224" s="4694"/>
      <c r="F224" s="4694"/>
      <c r="G224" s="4694"/>
      <c r="H224" s="4694"/>
      <c r="I224" s="4694"/>
      <c r="J224" s="4694">
        <v>1</v>
      </c>
      <c r="K224" s="4694"/>
      <c r="L224" s="4694">
        <v>1</v>
      </c>
      <c r="M224" s="4694">
        <v>1</v>
      </c>
      <c r="N224" s="4694">
        <v>6</v>
      </c>
      <c r="O224" s="4694">
        <v>5</v>
      </c>
      <c r="P224" s="4694"/>
      <c r="Q224" s="4694">
        <v>2</v>
      </c>
      <c r="R224" s="4694"/>
      <c r="S224" s="4694">
        <v>1</v>
      </c>
      <c r="T224" s="738"/>
      <c r="U224" s="738"/>
      <c r="V224" s="738">
        <v>17</v>
      </c>
      <c r="W224" s="912">
        <f>+(V223+V222)/V224</f>
        <v>0.29411764705882354</v>
      </c>
      <c r="X224" s="3197"/>
      <c r="BA224" s="2604"/>
      <c r="BB224" s="2604"/>
      <c r="BC224" s="2604"/>
      <c r="BD224" s="2604"/>
      <c r="BE224" s="2604"/>
      <c r="BF224" s="2604"/>
      <c r="BG224" s="2604"/>
      <c r="BH224" s="2604"/>
      <c r="BI224" s="2604"/>
      <c r="BJ224" s="2604"/>
      <c r="BK224" s="2604"/>
      <c r="BL224" s="2604"/>
      <c r="BM224" s="2604"/>
      <c r="BN224" s="2604"/>
      <c r="BO224" s="2604"/>
      <c r="BP224" s="2604"/>
      <c r="BQ224" s="2604"/>
      <c r="BR224" s="2604"/>
      <c r="BS224" s="2604"/>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161"/>
      <c r="FJ224" s="161"/>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row>
    <row r="225" spans="1:210">
      <c r="A225" s="73"/>
      <c r="B225" s="73"/>
      <c r="C225" s="738" t="s">
        <v>573</v>
      </c>
      <c r="D225" s="738" t="s">
        <v>1284</v>
      </c>
      <c r="E225" s="4694"/>
      <c r="F225" s="4694"/>
      <c r="G225" s="4694"/>
      <c r="H225" s="4694"/>
      <c r="I225" s="4694"/>
      <c r="J225" s="4694">
        <v>0</v>
      </c>
      <c r="K225" s="4694"/>
      <c r="L225" s="4694">
        <v>0</v>
      </c>
      <c r="M225" s="4694">
        <v>1</v>
      </c>
      <c r="N225" s="4694">
        <v>4</v>
      </c>
      <c r="O225" s="4694">
        <v>1</v>
      </c>
      <c r="P225" s="4694"/>
      <c r="Q225" s="4694">
        <v>0</v>
      </c>
      <c r="R225" s="4694"/>
      <c r="S225" s="4694">
        <v>0</v>
      </c>
      <c r="T225" s="738"/>
      <c r="U225" s="738"/>
      <c r="V225" s="738">
        <v>6</v>
      </c>
      <c r="W225" s="73"/>
      <c r="AZ225" s="2605"/>
      <c r="BA225" s="2604"/>
      <c r="BB225" s="2604"/>
      <c r="BC225" s="2604"/>
      <c r="BD225" s="2604"/>
      <c r="BE225" s="2604"/>
      <c r="BF225" s="2604"/>
      <c r="BG225" s="2604"/>
      <c r="BH225" s="2604"/>
      <c r="BI225" s="2604"/>
      <c r="BJ225" s="2604"/>
      <c r="BK225" s="2604"/>
      <c r="BL225" s="2604"/>
      <c r="BM225" s="2604"/>
      <c r="BN225" s="2604"/>
      <c r="BO225" s="2604"/>
      <c r="BP225" s="2604"/>
      <c r="BQ225" s="2604"/>
      <c r="BR225" s="2604"/>
      <c r="BS225" s="2604"/>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161"/>
      <c r="FJ225" s="161"/>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row>
    <row r="226" spans="1:210">
      <c r="A226" s="73"/>
      <c r="B226" s="73"/>
      <c r="C226" s="738"/>
      <c r="D226" s="738" t="s">
        <v>1286</v>
      </c>
      <c r="E226" s="4694"/>
      <c r="F226" s="4694"/>
      <c r="G226" s="4694"/>
      <c r="H226" s="4694"/>
      <c r="I226" s="4694"/>
      <c r="J226" s="4694">
        <v>0</v>
      </c>
      <c r="K226" s="4694"/>
      <c r="L226" s="4694">
        <v>1</v>
      </c>
      <c r="M226" s="4694">
        <v>0</v>
      </c>
      <c r="N226" s="4694">
        <v>0</v>
      </c>
      <c r="O226" s="4694">
        <v>0</v>
      </c>
      <c r="P226" s="4694"/>
      <c r="Q226" s="4694">
        <v>0</v>
      </c>
      <c r="R226" s="4694"/>
      <c r="S226" s="4694">
        <v>0</v>
      </c>
      <c r="T226" s="738"/>
      <c r="U226" s="738"/>
      <c r="V226" s="738">
        <v>1</v>
      </c>
      <c r="W226" s="73"/>
      <c r="BA226" s="2604"/>
      <c r="BB226" s="2604"/>
      <c r="BC226" s="2604"/>
      <c r="BD226" s="2604"/>
      <c r="BE226" s="2604"/>
      <c r="BF226" s="2604"/>
      <c r="BG226" s="2604"/>
      <c r="BH226" s="2604"/>
      <c r="BI226" s="2604"/>
      <c r="BJ226" s="2604"/>
      <c r="BK226" s="2604"/>
      <c r="BL226" s="2604"/>
      <c r="BM226" s="2604"/>
      <c r="BN226" s="2604"/>
      <c r="BO226" s="2604"/>
      <c r="BP226" s="2604"/>
      <c r="BQ226" s="2604"/>
      <c r="BR226" s="2604"/>
      <c r="BS226" s="2604"/>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161"/>
      <c r="FJ226" s="161"/>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row>
    <row r="227" spans="1:210">
      <c r="A227" s="73"/>
      <c r="B227" s="73"/>
      <c r="C227" s="738"/>
      <c r="D227" s="738" t="s">
        <v>1289</v>
      </c>
      <c r="E227" s="4694"/>
      <c r="F227" s="4694"/>
      <c r="G227" s="4694"/>
      <c r="H227" s="4694"/>
      <c r="I227" s="4694"/>
      <c r="J227" s="4694">
        <v>1</v>
      </c>
      <c r="K227" s="4694"/>
      <c r="L227" s="4694">
        <v>0</v>
      </c>
      <c r="M227" s="4694">
        <v>0</v>
      </c>
      <c r="N227" s="4694">
        <v>0</v>
      </c>
      <c r="O227" s="4694">
        <v>1</v>
      </c>
      <c r="P227" s="4694"/>
      <c r="Q227" s="4694">
        <v>0</v>
      </c>
      <c r="R227" s="4694"/>
      <c r="S227" s="4694">
        <v>0</v>
      </c>
      <c r="T227" s="738"/>
      <c r="U227" s="738"/>
      <c r="V227" s="738">
        <v>2</v>
      </c>
      <c r="W227" s="73"/>
      <c r="BA227" s="2604"/>
      <c r="BB227" s="2604"/>
      <c r="BC227" s="2604"/>
      <c r="BD227" s="2604"/>
      <c r="BE227" s="2604"/>
      <c r="BF227" s="2604"/>
      <c r="BG227" s="2604"/>
      <c r="BH227" s="2604"/>
      <c r="BI227" s="2604"/>
      <c r="BJ227" s="2604"/>
      <c r="BK227" s="2604"/>
      <c r="BL227" s="2604"/>
      <c r="BM227" s="2604"/>
      <c r="BN227" s="2604"/>
      <c r="BO227" s="2604"/>
      <c r="BP227" s="2604"/>
      <c r="BQ227" s="2604"/>
      <c r="BR227" s="2604"/>
      <c r="BS227" s="2604"/>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161"/>
      <c r="FJ227" s="161"/>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row>
    <row r="228" spans="1:210">
      <c r="A228" s="73"/>
      <c r="B228" s="73"/>
      <c r="C228" s="738"/>
      <c r="D228" s="738" t="s">
        <v>1292</v>
      </c>
      <c r="E228" s="4694"/>
      <c r="F228" s="4694"/>
      <c r="G228" s="4694"/>
      <c r="H228" s="4694"/>
      <c r="I228" s="4694"/>
      <c r="J228" s="4694">
        <v>0</v>
      </c>
      <c r="K228" s="4694"/>
      <c r="L228" s="4694">
        <v>0</v>
      </c>
      <c r="M228" s="4694">
        <v>0</v>
      </c>
      <c r="N228" s="4694">
        <v>0</v>
      </c>
      <c r="O228" s="4694">
        <v>0</v>
      </c>
      <c r="P228" s="4694"/>
      <c r="Q228" s="4694">
        <v>2</v>
      </c>
      <c r="R228" s="4694"/>
      <c r="S228" s="4694">
        <v>1</v>
      </c>
      <c r="T228" s="738"/>
      <c r="U228" s="738"/>
      <c r="V228" s="738">
        <v>3</v>
      </c>
      <c r="W228" s="73"/>
      <c r="BA228" s="2604"/>
      <c r="BB228" s="2604"/>
      <c r="BC228" s="2604"/>
      <c r="BD228" s="2604"/>
      <c r="BE228" s="2604"/>
      <c r="BF228" s="2604"/>
      <c r="BG228" s="2604"/>
      <c r="BH228" s="2604"/>
      <c r="BI228" s="2604"/>
      <c r="BJ228" s="2604"/>
      <c r="BK228" s="2604"/>
      <c r="BL228" s="2604"/>
      <c r="BM228" s="2604"/>
      <c r="BN228" s="2604"/>
      <c r="BO228" s="2604"/>
      <c r="BP228" s="2604"/>
      <c r="BQ228" s="2604"/>
      <c r="BR228" s="2604"/>
      <c r="BS228" s="2604"/>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161"/>
      <c r="FJ228" s="161"/>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row>
    <row r="229" spans="1:210">
      <c r="A229" s="73"/>
      <c r="B229" s="73"/>
      <c r="C229" s="738"/>
      <c r="D229" s="738" t="s">
        <v>1293</v>
      </c>
      <c r="E229" s="4694"/>
      <c r="F229" s="4694"/>
      <c r="G229" s="4694"/>
      <c r="H229" s="4694"/>
      <c r="I229" s="4694"/>
      <c r="J229" s="4694">
        <v>0</v>
      </c>
      <c r="K229" s="4694"/>
      <c r="L229" s="4694">
        <v>0</v>
      </c>
      <c r="M229" s="4694">
        <v>0</v>
      </c>
      <c r="N229" s="4694">
        <v>2</v>
      </c>
      <c r="O229" s="4694">
        <v>0</v>
      </c>
      <c r="P229" s="4694"/>
      <c r="Q229" s="4694">
        <v>0</v>
      </c>
      <c r="R229" s="4694"/>
      <c r="S229" s="4694">
        <v>0</v>
      </c>
      <c r="T229" s="738"/>
      <c r="U229" s="738"/>
      <c r="V229" s="738">
        <v>2</v>
      </c>
      <c r="W229" s="73"/>
      <c r="BA229" s="2604"/>
      <c r="BB229" s="2604"/>
      <c r="BC229" s="2604"/>
      <c r="BD229" s="2604"/>
      <c r="BE229" s="2604"/>
      <c r="BF229" s="2604"/>
      <c r="BG229" s="2604"/>
      <c r="BH229" s="2604"/>
      <c r="BI229" s="2604"/>
      <c r="BJ229" s="2604"/>
      <c r="BK229" s="2604"/>
      <c r="BL229" s="2604"/>
      <c r="BM229" s="2604"/>
      <c r="BN229" s="2604"/>
      <c r="BO229" s="2604"/>
      <c r="BP229" s="2604"/>
      <c r="BQ229" s="2604"/>
      <c r="BR229" s="2604"/>
      <c r="BS229" s="2604"/>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161"/>
      <c r="FJ229" s="161"/>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row>
    <row r="230" spans="1:210">
      <c r="A230" s="73"/>
      <c r="B230" s="73"/>
      <c r="C230" s="738"/>
      <c r="D230" s="738" t="s">
        <v>1398</v>
      </c>
      <c r="E230" s="4694"/>
      <c r="F230" s="4694"/>
      <c r="G230" s="4694"/>
      <c r="H230" s="4694"/>
      <c r="I230" s="4694"/>
      <c r="J230" s="4694">
        <v>0</v>
      </c>
      <c r="K230" s="4694"/>
      <c r="L230" s="4694">
        <v>0</v>
      </c>
      <c r="M230" s="4694">
        <v>0</v>
      </c>
      <c r="N230" s="4694">
        <v>0</v>
      </c>
      <c r="O230" s="4694">
        <v>3</v>
      </c>
      <c r="P230" s="4694"/>
      <c r="Q230" s="4694">
        <v>0</v>
      </c>
      <c r="R230" s="4694"/>
      <c r="S230" s="4694">
        <v>0</v>
      </c>
      <c r="T230" s="738"/>
      <c r="U230" s="738"/>
      <c r="V230" s="738">
        <v>3</v>
      </c>
      <c r="W230" s="73"/>
      <c r="AZ230" s="2605"/>
      <c r="BA230" s="2604"/>
      <c r="BB230" s="2604"/>
      <c r="BC230" s="2604"/>
      <c r="BD230" s="2604"/>
      <c r="BE230" s="2604"/>
      <c r="BF230" s="2604"/>
      <c r="BG230" s="2604"/>
      <c r="BH230" s="2604"/>
      <c r="BI230" s="2604"/>
      <c r="BJ230" s="2604"/>
      <c r="BK230" s="2604"/>
      <c r="BL230" s="2604"/>
      <c r="BM230" s="2604"/>
      <c r="BN230" s="2604"/>
      <c r="BO230" s="2604"/>
      <c r="BP230" s="2604"/>
      <c r="BQ230" s="2604"/>
      <c r="BR230" s="2604"/>
      <c r="BS230" s="2604"/>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161"/>
      <c r="FJ230" s="161"/>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row>
    <row r="231" spans="1:210">
      <c r="A231" s="73"/>
      <c r="B231" s="73"/>
      <c r="C231" s="738"/>
      <c r="D231" s="738" t="s">
        <v>573</v>
      </c>
      <c r="E231" s="4694"/>
      <c r="F231" s="4694"/>
      <c r="G231" s="4694"/>
      <c r="H231" s="4694"/>
      <c r="I231" s="4694"/>
      <c r="J231" s="4694">
        <v>1</v>
      </c>
      <c r="K231" s="4694"/>
      <c r="L231" s="4694">
        <v>1</v>
      </c>
      <c r="M231" s="4694">
        <v>1</v>
      </c>
      <c r="N231" s="4694">
        <v>6</v>
      </c>
      <c r="O231" s="4694">
        <v>5</v>
      </c>
      <c r="P231" s="4694"/>
      <c r="Q231" s="4694">
        <v>2</v>
      </c>
      <c r="R231" s="4694"/>
      <c r="S231" s="4694">
        <v>1</v>
      </c>
      <c r="T231" s="738"/>
      <c r="U231" s="738"/>
      <c r="V231" s="738">
        <v>17</v>
      </c>
      <c r="W231" s="912">
        <f>+(V230+V229)/V231</f>
        <v>0.29411764705882354</v>
      </c>
      <c r="X231" s="3197"/>
      <c r="BA231" s="2604"/>
      <c r="BB231" s="2604"/>
      <c r="BC231" s="2604"/>
      <c r="BD231" s="2604"/>
      <c r="BE231" s="2604"/>
      <c r="BF231" s="2604"/>
      <c r="BG231" s="2604"/>
      <c r="BH231" s="2604"/>
      <c r="BI231" s="2604"/>
      <c r="BJ231" s="2604"/>
      <c r="BK231" s="2604"/>
      <c r="BL231" s="2604"/>
      <c r="BM231" s="2604"/>
      <c r="BN231" s="2604"/>
      <c r="BO231" s="2604"/>
      <c r="BP231" s="2604"/>
      <c r="BQ231" s="2604"/>
      <c r="BR231" s="2604"/>
      <c r="BS231" s="2604"/>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161"/>
      <c r="FJ231" s="161"/>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row>
    <row r="232" spans="1:210">
      <c r="A232" s="73"/>
      <c r="B232" s="73" t="s">
        <v>64</v>
      </c>
      <c r="C232" s="73" t="s">
        <v>710</v>
      </c>
      <c r="D232" s="73" t="s">
        <v>1284</v>
      </c>
      <c r="E232" s="967"/>
      <c r="F232" s="967"/>
      <c r="G232" s="967"/>
      <c r="H232" s="967"/>
      <c r="I232" s="967"/>
      <c r="J232" s="967"/>
      <c r="K232" s="967"/>
      <c r="L232" s="967"/>
      <c r="M232" s="967"/>
      <c r="N232" s="967"/>
      <c r="O232" s="967">
        <v>1</v>
      </c>
      <c r="P232" s="967"/>
      <c r="Q232" s="967">
        <v>1</v>
      </c>
      <c r="R232" s="967"/>
      <c r="S232" s="967">
        <v>1</v>
      </c>
      <c r="T232" s="73">
        <v>0</v>
      </c>
      <c r="U232" s="73">
        <v>0</v>
      </c>
      <c r="V232" s="73">
        <v>3</v>
      </c>
      <c r="W232" s="73"/>
      <c r="BA232" s="2604"/>
      <c r="BB232" s="2604"/>
      <c r="BC232" s="2604"/>
      <c r="BD232" s="2604"/>
      <c r="BE232" s="2604"/>
      <c r="BF232" s="2604"/>
      <c r="BG232" s="2604"/>
      <c r="BH232" s="2604"/>
      <c r="BI232" s="2604"/>
      <c r="BJ232" s="2604"/>
      <c r="BK232" s="2604"/>
      <c r="BL232" s="2604"/>
      <c r="BM232" s="2604"/>
      <c r="BN232" s="2604"/>
      <c r="BO232" s="2604"/>
      <c r="BP232" s="2604"/>
      <c r="BQ232" s="2604"/>
      <c r="BR232" s="2604"/>
      <c r="BS232" s="2604"/>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161"/>
      <c r="FJ232" s="161"/>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row>
    <row r="233" spans="1:210">
      <c r="A233" s="73"/>
      <c r="B233" s="73"/>
      <c r="C233" s="73"/>
      <c r="D233" s="73" t="s">
        <v>1292</v>
      </c>
      <c r="E233" s="967"/>
      <c r="F233" s="967"/>
      <c r="G233" s="967"/>
      <c r="H233" s="967"/>
      <c r="I233" s="967"/>
      <c r="J233" s="967"/>
      <c r="K233" s="967"/>
      <c r="L233" s="967"/>
      <c r="M233" s="967"/>
      <c r="N233" s="967"/>
      <c r="O233" s="967">
        <v>0</v>
      </c>
      <c r="P233" s="967"/>
      <c r="Q233" s="967">
        <v>0</v>
      </c>
      <c r="R233" s="967"/>
      <c r="S233" s="967">
        <v>2</v>
      </c>
      <c r="T233" s="73">
        <v>2</v>
      </c>
      <c r="U233" s="73">
        <v>1</v>
      </c>
      <c r="V233" s="73">
        <v>5</v>
      </c>
      <c r="W233" s="73"/>
      <c r="BA233" s="2604"/>
      <c r="BB233" s="2604"/>
      <c r="BC233" s="2604"/>
      <c r="BD233" s="2604"/>
      <c r="BE233" s="2604"/>
      <c r="BF233" s="2604"/>
      <c r="BG233" s="2604"/>
      <c r="BH233" s="2604"/>
      <c r="BI233" s="2604"/>
      <c r="BJ233" s="2604"/>
      <c r="BK233" s="2604"/>
      <c r="BL233" s="2604"/>
      <c r="BM233" s="2604"/>
      <c r="BN233" s="2604"/>
      <c r="BO233" s="2604"/>
      <c r="BP233" s="2604"/>
      <c r="BQ233" s="2604"/>
      <c r="BR233" s="2604"/>
      <c r="BS233" s="2604"/>
    </row>
    <row r="234" spans="1:210">
      <c r="A234" s="73"/>
      <c r="B234" s="73"/>
      <c r="C234" s="73"/>
      <c r="D234" s="738" t="s">
        <v>15</v>
      </c>
      <c r="E234" s="4694"/>
      <c r="F234" s="4694"/>
      <c r="G234" s="4694"/>
      <c r="H234" s="4694"/>
      <c r="I234" s="4694"/>
      <c r="J234" s="4694"/>
      <c r="K234" s="4694"/>
      <c r="L234" s="4694"/>
      <c r="M234" s="4694"/>
      <c r="N234" s="4694"/>
      <c r="O234" s="4694">
        <v>1</v>
      </c>
      <c r="P234" s="4694"/>
      <c r="Q234" s="4694">
        <v>1</v>
      </c>
      <c r="R234" s="4694"/>
      <c r="S234" s="4694">
        <v>3</v>
      </c>
      <c r="T234" s="738">
        <v>2</v>
      </c>
      <c r="U234" s="738">
        <v>1</v>
      </c>
      <c r="V234" s="738">
        <v>8</v>
      </c>
      <c r="W234" s="912">
        <v>0</v>
      </c>
      <c r="X234" s="3197"/>
      <c r="AZ234" s="2605"/>
      <c r="BA234" s="2604"/>
      <c r="BB234" s="2604"/>
      <c r="BC234" s="2604"/>
      <c r="BD234" s="2604"/>
      <c r="BE234" s="2604"/>
      <c r="BF234" s="2604"/>
      <c r="BG234" s="2604"/>
      <c r="BH234" s="2604"/>
      <c r="BI234" s="2604"/>
      <c r="BJ234" s="2604"/>
      <c r="BK234" s="2604"/>
      <c r="BL234" s="2604"/>
      <c r="BM234" s="2604"/>
      <c r="BN234" s="2604"/>
      <c r="BO234" s="2604"/>
      <c r="BP234" s="2604"/>
      <c r="BQ234" s="2604"/>
      <c r="BR234" s="2604"/>
      <c r="BS234" s="2604"/>
    </row>
    <row r="235" spans="1:210">
      <c r="A235" s="73"/>
      <c r="B235" s="73"/>
      <c r="C235" s="738" t="s">
        <v>577</v>
      </c>
      <c r="D235" s="738" t="s">
        <v>1284</v>
      </c>
      <c r="E235" s="4694"/>
      <c r="F235" s="4694"/>
      <c r="G235" s="4694"/>
      <c r="H235" s="4694"/>
      <c r="I235" s="4694"/>
      <c r="J235" s="4694"/>
      <c r="K235" s="4694"/>
      <c r="L235" s="4694"/>
      <c r="M235" s="4694"/>
      <c r="N235" s="4694"/>
      <c r="O235" s="4694">
        <v>1</v>
      </c>
      <c r="P235" s="4694"/>
      <c r="Q235" s="4694">
        <v>1</v>
      </c>
      <c r="R235" s="4694"/>
      <c r="S235" s="4694">
        <v>1</v>
      </c>
      <c r="T235" s="738">
        <v>0</v>
      </c>
      <c r="U235" s="738">
        <v>0</v>
      </c>
      <c r="V235" s="738">
        <v>3</v>
      </c>
      <c r="W235" s="73"/>
      <c r="BA235" s="2604"/>
      <c r="BB235" s="2604"/>
      <c r="BC235" s="2604"/>
      <c r="BD235" s="2604"/>
      <c r="BE235" s="2604"/>
      <c r="BF235" s="2604"/>
      <c r="BG235" s="2604"/>
      <c r="BH235" s="2604"/>
      <c r="BI235" s="2604"/>
      <c r="BJ235" s="2604"/>
      <c r="BK235" s="2604"/>
      <c r="BL235" s="2604"/>
      <c r="BM235" s="2604"/>
      <c r="BN235" s="2604"/>
      <c r="BO235" s="2604"/>
      <c r="BP235" s="2604"/>
      <c r="BQ235" s="2604"/>
      <c r="BR235" s="2604"/>
      <c r="BS235" s="2604"/>
    </row>
    <row r="236" spans="1:210">
      <c r="A236" s="73"/>
      <c r="B236" s="73"/>
      <c r="C236" s="738"/>
      <c r="D236" s="738" t="s">
        <v>1292</v>
      </c>
      <c r="E236" s="4694"/>
      <c r="F236" s="4694"/>
      <c r="G236" s="4694"/>
      <c r="H236" s="4694"/>
      <c r="I236" s="4694"/>
      <c r="J236" s="4694"/>
      <c r="K236" s="4694"/>
      <c r="L236" s="4694"/>
      <c r="M236" s="4694"/>
      <c r="N236" s="4694"/>
      <c r="O236" s="4694">
        <v>0</v>
      </c>
      <c r="P236" s="4694"/>
      <c r="Q236" s="4694">
        <v>0</v>
      </c>
      <c r="R236" s="4694"/>
      <c r="S236" s="4694">
        <v>2</v>
      </c>
      <c r="T236" s="738">
        <v>2</v>
      </c>
      <c r="U236" s="738">
        <v>1</v>
      </c>
      <c r="V236" s="738">
        <v>5</v>
      </c>
      <c r="W236" s="73"/>
      <c r="BA236" s="2604"/>
      <c r="BB236" s="2604"/>
      <c r="BC236" s="2604"/>
      <c r="BD236" s="2604"/>
      <c r="BE236" s="2604"/>
      <c r="BF236" s="2604"/>
      <c r="BG236" s="2604"/>
      <c r="BH236" s="2604"/>
      <c r="BI236" s="2604"/>
      <c r="BJ236" s="2604"/>
      <c r="BK236" s="2604"/>
      <c r="BL236" s="2604"/>
      <c r="BM236" s="2604"/>
      <c r="BN236" s="2604"/>
      <c r="BO236" s="2604"/>
      <c r="BP236" s="2604"/>
      <c r="BQ236" s="2604"/>
      <c r="BR236" s="2604"/>
      <c r="BS236" s="2604"/>
    </row>
    <row r="237" spans="1:210">
      <c r="A237" s="73"/>
      <c r="B237" s="73"/>
      <c r="C237" s="738"/>
      <c r="D237" s="738" t="s">
        <v>577</v>
      </c>
      <c r="E237" s="4694"/>
      <c r="F237" s="4694"/>
      <c r="G237" s="4694"/>
      <c r="H237" s="4694"/>
      <c r="I237" s="4694"/>
      <c r="J237" s="4694"/>
      <c r="K237" s="4694"/>
      <c r="L237" s="4694"/>
      <c r="M237" s="4694"/>
      <c r="N237" s="4694"/>
      <c r="O237" s="4694">
        <v>1</v>
      </c>
      <c r="P237" s="4694"/>
      <c r="Q237" s="4694">
        <v>1</v>
      </c>
      <c r="R237" s="4694"/>
      <c r="S237" s="4694">
        <v>3</v>
      </c>
      <c r="T237" s="738">
        <v>2</v>
      </c>
      <c r="U237" s="738">
        <v>1</v>
      </c>
      <c r="V237" s="738">
        <v>8</v>
      </c>
      <c r="W237" s="912">
        <v>0</v>
      </c>
      <c r="X237" s="3197"/>
      <c r="BA237" s="2604"/>
      <c r="BB237" s="2604"/>
      <c r="BC237" s="2604"/>
      <c r="BD237" s="2604"/>
      <c r="BE237" s="2604"/>
      <c r="BF237" s="2604"/>
      <c r="BG237" s="2604"/>
      <c r="BH237" s="2604"/>
      <c r="BI237" s="2604"/>
      <c r="BJ237" s="2604"/>
      <c r="BK237" s="2604"/>
      <c r="BL237" s="2604"/>
      <c r="BM237" s="2604"/>
      <c r="BN237" s="2604"/>
      <c r="BO237" s="2604"/>
      <c r="BP237" s="2604"/>
      <c r="BQ237" s="2604"/>
      <c r="BR237" s="2604"/>
      <c r="BS237" s="2604"/>
    </row>
    <row r="238" spans="1:210">
      <c r="A238" s="73"/>
      <c r="B238" s="73"/>
      <c r="C238" s="738" t="s">
        <v>265</v>
      </c>
      <c r="D238" s="738" t="s">
        <v>1284</v>
      </c>
      <c r="E238" s="4694"/>
      <c r="F238" s="4694"/>
      <c r="G238" s="4694"/>
      <c r="H238" s="4694"/>
      <c r="I238" s="4694"/>
      <c r="J238" s="4694">
        <v>0</v>
      </c>
      <c r="K238" s="4694"/>
      <c r="L238" s="4694">
        <v>0</v>
      </c>
      <c r="M238" s="4694">
        <v>1</v>
      </c>
      <c r="N238" s="4694">
        <v>4</v>
      </c>
      <c r="O238" s="4694">
        <v>2</v>
      </c>
      <c r="P238" s="4694"/>
      <c r="Q238" s="4694">
        <v>1</v>
      </c>
      <c r="R238" s="4694"/>
      <c r="S238" s="4694">
        <v>1</v>
      </c>
      <c r="T238" s="738">
        <v>0</v>
      </c>
      <c r="U238" s="738">
        <v>0</v>
      </c>
      <c r="V238" s="738">
        <v>9</v>
      </c>
      <c r="W238" s="73"/>
      <c r="BA238" s="2604"/>
      <c r="BB238" s="2604"/>
      <c r="BC238" s="2604"/>
      <c r="BD238" s="2604"/>
      <c r="BE238" s="2604"/>
      <c r="BF238" s="2604"/>
      <c r="BG238" s="2604"/>
      <c r="BH238" s="2604"/>
      <c r="BI238" s="2604"/>
      <c r="BJ238" s="2604"/>
      <c r="BK238" s="2604"/>
      <c r="BL238" s="2604"/>
      <c r="BM238" s="2604"/>
      <c r="BN238" s="2604"/>
      <c r="BO238" s="2604"/>
      <c r="BP238" s="2604"/>
      <c r="BQ238" s="2604"/>
      <c r="BR238" s="2604"/>
      <c r="BS238" s="2604"/>
    </row>
    <row r="239" spans="1:210">
      <c r="A239" s="73"/>
      <c r="B239" s="73"/>
      <c r="C239" s="738"/>
      <c r="D239" s="738" t="s">
        <v>1286</v>
      </c>
      <c r="E239" s="4694"/>
      <c r="F239" s="4694"/>
      <c r="G239" s="4694"/>
      <c r="H239" s="4694"/>
      <c r="I239" s="4694"/>
      <c r="J239" s="4694">
        <v>0</v>
      </c>
      <c r="K239" s="4694"/>
      <c r="L239" s="4694">
        <v>1</v>
      </c>
      <c r="M239" s="4694">
        <v>0</v>
      </c>
      <c r="N239" s="4694">
        <v>0</v>
      </c>
      <c r="O239" s="4694">
        <v>0</v>
      </c>
      <c r="P239" s="4694"/>
      <c r="Q239" s="4694">
        <v>0</v>
      </c>
      <c r="R239" s="4694"/>
      <c r="S239" s="4694">
        <v>0</v>
      </c>
      <c r="T239" s="738">
        <v>0</v>
      </c>
      <c r="U239" s="738">
        <v>0</v>
      </c>
      <c r="V239" s="738">
        <v>1</v>
      </c>
      <c r="W239" s="73"/>
      <c r="AZ239" s="2605"/>
      <c r="BA239" s="2604"/>
      <c r="BB239" s="2604"/>
      <c r="BC239" s="2604"/>
      <c r="BD239" s="2604"/>
      <c r="BE239" s="2604"/>
      <c r="BF239" s="2604"/>
      <c r="BG239" s="2604"/>
      <c r="BH239" s="2604"/>
      <c r="BI239" s="2604"/>
      <c r="BJ239" s="2604"/>
      <c r="BK239" s="2604"/>
      <c r="BL239" s="2604"/>
      <c r="BM239" s="2604"/>
      <c r="BN239" s="2604"/>
      <c r="BO239" s="2604"/>
      <c r="BP239" s="2604"/>
      <c r="BQ239" s="2604"/>
      <c r="BR239" s="2604"/>
      <c r="BS239" s="2604"/>
    </row>
    <row r="240" spans="1:210">
      <c r="A240" s="73"/>
      <c r="B240" s="73"/>
      <c r="C240" s="738"/>
      <c r="D240" s="738" t="s">
        <v>1289</v>
      </c>
      <c r="E240" s="4694"/>
      <c r="F240" s="4694"/>
      <c r="G240" s="4694"/>
      <c r="H240" s="4694"/>
      <c r="I240" s="4694"/>
      <c r="J240" s="4694">
        <v>1</v>
      </c>
      <c r="K240" s="4694"/>
      <c r="L240" s="4694">
        <v>0</v>
      </c>
      <c r="M240" s="4694">
        <v>0</v>
      </c>
      <c r="N240" s="4694">
        <v>0</v>
      </c>
      <c r="O240" s="4694">
        <v>1</v>
      </c>
      <c r="P240" s="4694"/>
      <c r="Q240" s="4694">
        <v>0</v>
      </c>
      <c r="R240" s="4694"/>
      <c r="S240" s="4694">
        <v>0</v>
      </c>
      <c r="T240" s="738">
        <v>0</v>
      </c>
      <c r="U240" s="738">
        <v>0</v>
      </c>
      <c r="V240" s="738">
        <v>2</v>
      </c>
      <c r="W240" s="73"/>
      <c r="BA240" s="2604"/>
      <c r="BB240" s="2604"/>
      <c r="BC240" s="2604"/>
      <c r="BD240" s="2604"/>
      <c r="BE240" s="2604"/>
      <c r="BF240" s="2604"/>
      <c r="BG240" s="2604"/>
      <c r="BH240" s="2604"/>
      <c r="BI240" s="2604"/>
      <c r="BJ240" s="2604"/>
      <c r="BK240" s="2604"/>
      <c r="BL240" s="2604"/>
      <c r="BM240" s="2604"/>
      <c r="BN240" s="2604"/>
      <c r="BO240" s="2604"/>
      <c r="BP240" s="2604"/>
      <c r="BQ240" s="2604"/>
      <c r="BR240" s="2604"/>
      <c r="BS240" s="2604"/>
    </row>
    <row r="241" spans="1:71">
      <c r="A241" s="73"/>
      <c r="B241" s="73"/>
      <c r="C241" s="738"/>
      <c r="D241" s="738" t="s">
        <v>1292</v>
      </c>
      <c r="E241" s="4694"/>
      <c r="F241" s="4694"/>
      <c r="G241" s="4694"/>
      <c r="H241" s="4694"/>
      <c r="I241" s="4694"/>
      <c r="J241" s="4694">
        <v>0</v>
      </c>
      <c r="K241" s="4694"/>
      <c r="L241" s="4694">
        <v>0</v>
      </c>
      <c r="M241" s="4694">
        <v>0</v>
      </c>
      <c r="N241" s="4694">
        <v>0</v>
      </c>
      <c r="O241" s="4694">
        <v>0</v>
      </c>
      <c r="P241" s="4694"/>
      <c r="Q241" s="4694">
        <v>2</v>
      </c>
      <c r="R241" s="4694"/>
      <c r="S241" s="4694">
        <v>3</v>
      </c>
      <c r="T241" s="738">
        <v>2</v>
      </c>
      <c r="U241" s="738">
        <v>1</v>
      </c>
      <c r="V241" s="738">
        <v>8</v>
      </c>
      <c r="W241" s="73"/>
      <c r="BA241" s="2604"/>
      <c r="BB241" s="2604"/>
      <c r="BC241" s="2604"/>
      <c r="BD241" s="2604"/>
      <c r="BE241" s="2604"/>
      <c r="BF241" s="2604"/>
      <c r="BG241" s="2604"/>
      <c r="BH241" s="2604"/>
      <c r="BI241" s="2604"/>
      <c r="BJ241" s="2604"/>
      <c r="BK241" s="2604"/>
      <c r="BL241" s="2604"/>
      <c r="BM241" s="2604"/>
      <c r="BN241" s="2604"/>
      <c r="BO241" s="2604"/>
      <c r="BP241" s="2604"/>
      <c r="BQ241" s="2604"/>
      <c r="BR241" s="2604"/>
      <c r="BS241" s="2604"/>
    </row>
    <row r="242" spans="1:71">
      <c r="A242" s="73"/>
      <c r="B242" s="73"/>
      <c r="C242" s="738"/>
      <c r="D242" s="738" t="s">
        <v>1293</v>
      </c>
      <c r="E242" s="4694"/>
      <c r="F242" s="4694"/>
      <c r="G242" s="4694"/>
      <c r="H242" s="4694"/>
      <c r="I242" s="4694"/>
      <c r="J242" s="4694">
        <v>0</v>
      </c>
      <c r="K242" s="4694"/>
      <c r="L242" s="4694">
        <v>0</v>
      </c>
      <c r="M242" s="4694">
        <v>0</v>
      </c>
      <c r="N242" s="4694">
        <v>2</v>
      </c>
      <c r="O242" s="4694">
        <v>0</v>
      </c>
      <c r="P242" s="4694"/>
      <c r="Q242" s="4694">
        <v>0</v>
      </c>
      <c r="R242" s="4694"/>
      <c r="S242" s="4694">
        <v>0</v>
      </c>
      <c r="T242" s="738">
        <v>0</v>
      </c>
      <c r="U242" s="738">
        <v>0</v>
      </c>
      <c r="V242" s="738">
        <v>2</v>
      </c>
      <c r="W242" s="73"/>
      <c r="BA242" s="2604"/>
      <c r="BB242" s="2604"/>
      <c r="BC242" s="2604"/>
      <c r="BD242" s="2604"/>
      <c r="BE242" s="2604"/>
      <c r="BF242" s="2604"/>
      <c r="BG242" s="2604"/>
      <c r="BH242" s="2604"/>
      <c r="BI242" s="2604"/>
      <c r="BJ242" s="2604"/>
      <c r="BK242" s="2604"/>
      <c r="BL242" s="2604"/>
      <c r="BM242" s="2604"/>
      <c r="BN242" s="2604"/>
      <c r="BO242" s="2604"/>
      <c r="BP242" s="2604"/>
      <c r="BQ242" s="2604"/>
      <c r="BR242" s="2604"/>
      <c r="BS242" s="2604"/>
    </row>
    <row r="243" spans="1:71">
      <c r="A243" s="73"/>
      <c r="B243" s="73"/>
      <c r="C243" s="738"/>
      <c r="D243" s="738" t="s">
        <v>1398</v>
      </c>
      <c r="E243" s="4694"/>
      <c r="F243" s="4694"/>
      <c r="G243" s="4694"/>
      <c r="H243" s="4694"/>
      <c r="I243" s="4694"/>
      <c r="J243" s="4694">
        <v>0</v>
      </c>
      <c r="K243" s="4694"/>
      <c r="L243" s="4694">
        <v>0</v>
      </c>
      <c r="M243" s="4694">
        <v>0</v>
      </c>
      <c r="N243" s="4694">
        <v>0</v>
      </c>
      <c r="O243" s="4694">
        <v>3</v>
      </c>
      <c r="P243" s="4694"/>
      <c r="Q243" s="4694">
        <v>0</v>
      </c>
      <c r="R243" s="4694"/>
      <c r="S243" s="4694">
        <v>0</v>
      </c>
      <c r="T243" s="738">
        <v>0</v>
      </c>
      <c r="U243" s="738">
        <v>0</v>
      </c>
      <c r="V243" s="738">
        <v>3</v>
      </c>
      <c r="W243" s="73"/>
      <c r="BA243" s="2604"/>
      <c r="BB243" s="2604"/>
      <c r="BC243" s="2604"/>
      <c r="BD243" s="2604"/>
      <c r="BE243" s="2604"/>
      <c r="BF243" s="2604"/>
      <c r="BG243" s="2604"/>
      <c r="BH243" s="2604"/>
      <c r="BI243" s="2604"/>
      <c r="BJ243" s="2604"/>
      <c r="BK243" s="2604"/>
      <c r="BL243" s="2604"/>
      <c r="BM243" s="2604"/>
      <c r="BN243" s="2604"/>
      <c r="BO243" s="2604"/>
      <c r="BP243" s="2604"/>
      <c r="BQ243" s="2604"/>
      <c r="BR243" s="2604"/>
      <c r="BS243" s="2604"/>
    </row>
    <row r="244" spans="1:71">
      <c r="A244" s="73"/>
      <c r="B244" s="73"/>
      <c r="C244" s="738"/>
      <c r="D244" s="738" t="s">
        <v>265</v>
      </c>
      <c r="E244" s="4694"/>
      <c r="F244" s="4694"/>
      <c r="G244" s="4694"/>
      <c r="H244" s="4694"/>
      <c r="I244" s="4694"/>
      <c r="J244" s="4694">
        <v>1</v>
      </c>
      <c r="K244" s="4694"/>
      <c r="L244" s="4694">
        <v>1</v>
      </c>
      <c r="M244" s="4694">
        <v>1</v>
      </c>
      <c r="N244" s="4694">
        <v>6</v>
      </c>
      <c r="O244" s="4694">
        <v>6</v>
      </c>
      <c r="P244" s="4694"/>
      <c r="Q244" s="4694">
        <v>3</v>
      </c>
      <c r="R244" s="4694"/>
      <c r="S244" s="4694">
        <v>4</v>
      </c>
      <c r="T244" s="738">
        <v>2</v>
      </c>
      <c r="U244" s="738">
        <v>1</v>
      </c>
      <c r="V244" s="738">
        <v>25</v>
      </c>
      <c r="W244" s="912">
        <f>+(V243+V242)/V244</f>
        <v>0.2</v>
      </c>
      <c r="X244" s="3197"/>
      <c r="BA244" s="2604"/>
      <c r="BB244" s="2604"/>
      <c r="BC244" s="2604"/>
      <c r="BD244" s="2604"/>
      <c r="BE244" s="2604"/>
      <c r="BF244" s="2604"/>
      <c r="BG244" s="2604"/>
      <c r="BH244" s="2604"/>
      <c r="BI244" s="2604"/>
      <c r="BJ244" s="2604"/>
      <c r="BK244" s="2604"/>
      <c r="BL244" s="2604"/>
      <c r="BM244" s="2604"/>
      <c r="BN244" s="2604"/>
      <c r="BO244" s="2604"/>
      <c r="BP244" s="2604"/>
      <c r="BQ244" s="2604"/>
      <c r="BR244" s="2604"/>
      <c r="BS244" s="2604"/>
    </row>
    <row r="245" spans="1:71">
      <c r="A245" s="73"/>
      <c r="B245" s="73"/>
      <c r="C245" s="738" t="s">
        <v>114</v>
      </c>
      <c r="D245" s="738" t="s">
        <v>1283</v>
      </c>
      <c r="E245" s="4694">
        <v>0</v>
      </c>
      <c r="F245" s="4694">
        <v>0</v>
      </c>
      <c r="G245" s="4694">
        <v>0</v>
      </c>
      <c r="H245" s="4694">
        <v>0</v>
      </c>
      <c r="I245" s="4694">
        <v>0</v>
      </c>
      <c r="J245" s="4694">
        <v>0</v>
      </c>
      <c r="K245" s="4694">
        <v>0</v>
      </c>
      <c r="L245" s="4694">
        <v>0</v>
      </c>
      <c r="M245" s="4694">
        <v>0</v>
      </c>
      <c r="N245" s="4694">
        <v>0</v>
      </c>
      <c r="O245" s="4694">
        <v>0</v>
      </c>
      <c r="P245" s="4694">
        <v>0</v>
      </c>
      <c r="Q245" s="4694">
        <v>0</v>
      </c>
      <c r="R245" s="4694">
        <v>0</v>
      </c>
      <c r="S245" s="4694">
        <v>1</v>
      </c>
      <c r="T245" s="738">
        <v>0</v>
      </c>
      <c r="U245" s="738">
        <v>1</v>
      </c>
      <c r="V245" s="738">
        <v>2</v>
      </c>
      <c r="W245" s="73"/>
      <c r="AZ245" s="2605"/>
      <c r="BA245" s="2604"/>
      <c r="BB245" s="2604"/>
      <c r="BC245" s="2604"/>
      <c r="BD245" s="2604"/>
      <c r="BE245" s="2604"/>
      <c r="BF245" s="2604"/>
      <c r="BG245" s="2604"/>
      <c r="BH245" s="2604"/>
      <c r="BI245" s="2604"/>
      <c r="BJ245" s="2604"/>
      <c r="BK245" s="2604"/>
      <c r="BL245" s="2604"/>
      <c r="BM245" s="2604"/>
      <c r="BN245" s="2604"/>
      <c r="BO245" s="2604"/>
      <c r="BP245" s="2604"/>
      <c r="BQ245" s="2604"/>
      <c r="BR245" s="2604"/>
      <c r="BS245" s="2604"/>
    </row>
    <row r="246" spans="1:71">
      <c r="A246" s="73"/>
      <c r="B246" s="73"/>
      <c r="C246" s="738"/>
      <c r="D246" s="738" t="s">
        <v>1284</v>
      </c>
      <c r="E246" s="4694">
        <v>3</v>
      </c>
      <c r="F246" s="4694">
        <v>0</v>
      </c>
      <c r="G246" s="4694">
        <v>1</v>
      </c>
      <c r="H246" s="4694">
        <v>2</v>
      </c>
      <c r="I246" s="4694">
        <v>2</v>
      </c>
      <c r="J246" s="4694">
        <v>1</v>
      </c>
      <c r="K246" s="4694">
        <v>1</v>
      </c>
      <c r="L246" s="4694">
        <v>2</v>
      </c>
      <c r="M246" s="4694">
        <v>2</v>
      </c>
      <c r="N246" s="4694">
        <v>18</v>
      </c>
      <c r="O246" s="4694">
        <v>6</v>
      </c>
      <c r="P246" s="4694">
        <v>6</v>
      </c>
      <c r="Q246" s="4694">
        <v>14</v>
      </c>
      <c r="R246" s="4694">
        <v>20</v>
      </c>
      <c r="S246" s="4694">
        <v>4</v>
      </c>
      <c r="T246" s="738">
        <v>2</v>
      </c>
      <c r="U246" s="738">
        <v>0</v>
      </c>
      <c r="V246" s="738">
        <v>84</v>
      </c>
      <c r="W246" s="73"/>
      <c r="BA246" s="2604"/>
      <c r="BB246" s="2604"/>
      <c r="BC246" s="2604"/>
      <c r="BD246" s="2604"/>
      <c r="BE246" s="2604"/>
      <c r="BF246" s="2604"/>
      <c r="BG246" s="2604"/>
      <c r="BH246" s="2604"/>
      <c r="BI246" s="2604"/>
      <c r="BJ246" s="2604"/>
      <c r="BK246" s="2604"/>
      <c r="BL246" s="2604"/>
      <c r="BM246" s="2604"/>
      <c r="BN246" s="2604"/>
      <c r="BO246" s="2604"/>
      <c r="BP246" s="2604"/>
      <c r="BQ246" s="2604"/>
      <c r="BR246" s="2604"/>
      <c r="BS246" s="2604"/>
    </row>
    <row r="247" spans="1:71">
      <c r="A247" s="73"/>
      <c r="B247" s="73"/>
      <c r="C247" s="738"/>
      <c r="D247" s="738" t="s">
        <v>1286</v>
      </c>
      <c r="E247" s="4694">
        <v>0</v>
      </c>
      <c r="F247" s="4694">
        <v>2</v>
      </c>
      <c r="G247" s="4694">
        <v>0</v>
      </c>
      <c r="H247" s="4694">
        <v>1</v>
      </c>
      <c r="I247" s="4694">
        <v>1</v>
      </c>
      <c r="J247" s="4694">
        <v>2</v>
      </c>
      <c r="K247" s="4694">
        <v>1</v>
      </c>
      <c r="L247" s="4694">
        <v>1</v>
      </c>
      <c r="M247" s="4694">
        <v>0</v>
      </c>
      <c r="N247" s="4694">
        <v>0</v>
      </c>
      <c r="O247" s="4694">
        <v>0</v>
      </c>
      <c r="P247" s="4694">
        <v>0</v>
      </c>
      <c r="Q247" s="4694">
        <v>0</v>
      </c>
      <c r="R247" s="4694">
        <v>0</v>
      </c>
      <c r="S247" s="4694">
        <v>0</v>
      </c>
      <c r="T247" s="738">
        <v>0</v>
      </c>
      <c r="U247" s="738">
        <v>0</v>
      </c>
      <c r="V247" s="738">
        <v>8</v>
      </c>
      <c r="W247" s="73"/>
      <c r="AZ247" s="2605"/>
      <c r="BA247" s="2604"/>
      <c r="BB247" s="2604"/>
      <c r="BC247" s="2604"/>
      <c r="BD247" s="2604"/>
      <c r="BE247" s="2604"/>
      <c r="BF247" s="2604"/>
      <c r="BG247" s="2604"/>
      <c r="BH247" s="2604"/>
      <c r="BI247" s="2604"/>
      <c r="BJ247" s="2604"/>
      <c r="BK247" s="2604"/>
      <c r="BL247" s="2604"/>
      <c r="BM247" s="2604"/>
      <c r="BN247" s="2604"/>
      <c r="BO247" s="2604"/>
      <c r="BP247" s="2604"/>
      <c r="BQ247" s="2604"/>
      <c r="BR247" s="2604"/>
      <c r="BS247" s="2604"/>
    </row>
    <row r="248" spans="1:71">
      <c r="A248" s="73"/>
      <c r="B248" s="73"/>
      <c r="C248" s="738"/>
      <c r="D248" s="738" t="s">
        <v>1288</v>
      </c>
      <c r="E248" s="4694">
        <v>0</v>
      </c>
      <c r="F248" s="4694">
        <v>0</v>
      </c>
      <c r="G248" s="4694">
        <v>0</v>
      </c>
      <c r="H248" s="4694">
        <v>0</v>
      </c>
      <c r="I248" s="4694">
        <v>0</v>
      </c>
      <c r="J248" s="4694">
        <v>0</v>
      </c>
      <c r="K248" s="4694">
        <v>0</v>
      </c>
      <c r="L248" s="4694">
        <v>0</v>
      </c>
      <c r="M248" s="4694">
        <v>0</v>
      </c>
      <c r="N248" s="4694">
        <v>5</v>
      </c>
      <c r="O248" s="4694">
        <v>0</v>
      </c>
      <c r="P248" s="4694">
        <v>1</v>
      </c>
      <c r="Q248" s="4694">
        <v>16</v>
      </c>
      <c r="R248" s="4694">
        <v>27</v>
      </c>
      <c r="S248" s="4694">
        <v>4</v>
      </c>
      <c r="T248" s="738">
        <v>3</v>
      </c>
      <c r="U248" s="738">
        <v>0</v>
      </c>
      <c r="V248" s="738">
        <v>56</v>
      </c>
      <c r="W248" s="73"/>
      <c r="BA248" s="2604"/>
      <c r="BB248" s="2604"/>
      <c r="BC248" s="2604"/>
      <c r="BD248" s="2604"/>
      <c r="BE248" s="2604"/>
      <c r="BF248" s="2604"/>
      <c r="BG248" s="2604"/>
      <c r="BH248" s="2604"/>
      <c r="BI248" s="2604"/>
      <c r="BJ248" s="2604"/>
      <c r="BK248" s="2604"/>
      <c r="BL248" s="2604"/>
      <c r="BM248" s="2604"/>
      <c r="BN248" s="2604"/>
      <c r="BO248" s="2604"/>
      <c r="BP248" s="2604"/>
      <c r="BQ248" s="2604"/>
      <c r="BR248" s="2604"/>
      <c r="BS248" s="2604"/>
    </row>
    <row r="249" spans="1:71">
      <c r="A249" s="73"/>
      <c r="B249" s="73"/>
      <c r="C249" s="738"/>
      <c r="D249" s="738" t="s">
        <v>1289</v>
      </c>
      <c r="E249" s="4694">
        <v>0</v>
      </c>
      <c r="F249" s="4694">
        <v>1</v>
      </c>
      <c r="G249" s="4694">
        <v>0</v>
      </c>
      <c r="H249" s="4694">
        <v>1</v>
      </c>
      <c r="I249" s="4694">
        <v>0</v>
      </c>
      <c r="J249" s="4694">
        <v>1</v>
      </c>
      <c r="K249" s="4694">
        <v>0</v>
      </c>
      <c r="L249" s="4694">
        <v>0</v>
      </c>
      <c r="M249" s="4694">
        <v>0</v>
      </c>
      <c r="N249" s="4694">
        <v>0</v>
      </c>
      <c r="O249" s="4694">
        <v>2</v>
      </c>
      <c r="P249" s="4694">
        <v>0</v>
      </c>
      <c r="Q249" s="4694">
        <v>0</v>
      </c>
      <c r="R249" s="4694">
        <v>0</v>
      </c>
      <c r="S249" s="4694">
        <v>0</v>
      </c>
      <c r="T249" s="738">
        <v>0</v>
      </c>
      <c r="U249" s="738">
        <v>0</v>
      </c>
      <c r="V249" s="738">
        <v>5</v>
      </c>
      <c r="W249" s="73"/>
      <c r="BA249" s="2604"/>
      <c r="BB249" s="2604"/>
      <c r="BC249" s="2604"/>
      <c r="BD249" s="2604"/>
      <c r="BE249" s="2604"/>
      <c r="BF249" s="2604"/>
      <c r="BG249" s="2604"/>
      <c r="BH249" s="2604"/>
      <c r="BI249" s="2604"/>
      <c r="BJ249" s="2604"/>
      <c r="BK249" s="2604"/>
      <c r="BL249" s="2604"/>
      <c r="BM249" s="2604"/>
      <c r="BN249" s="2604"/>
      <c r="BO249" s="2604"/>
      <c r="BP249" s="2604"/>
      <c r="BQ249" s="2604"/>
      <c r="BR249" s="2604"/>
      <c r="BS249" s="2604"/>
    </row>
    <row r="250" spans="1:71">
      <c r="A250" s="73"/>
      <c r="B250" s="73"/>
      <c r="C250" s="738"/>
      <c r="D250" s="738" t="s">
        <v>1292</v>
      </c>
      <c r="E250" s="4694">
        <v>0</v>
      </c>
      <c r="F250" s="4694">
        <v>0</v>
      </c>
      <c r="G250" s="4694">
        <v>0</v>
      </c>
      <c r="H250" s="4694">
        <v>0</v>
      </c>
      <c r="I250" s="4694">
        <v>0</v>
      </c>
      <c r="J250" s="4694">
        <v>0</v>
      </c>
      <c r="K250" s="4694">
        <v>0</v>
      </c>
      <c r="L250" s="4694">
        <v>0</v>
      </c>
      <c r="M250" s="4694">
        <v>0</v>
      </c>
      <c r="N250" s="4694">
        <v>0</v>
      </c>
      <c r="O250" s="4694">
        <v>1</v>
      </c>
      <c r="P250" s="4694">
        <v>3</v>
      </c>
      <c r="Q250" s="4694">
        <v>2</v>
      </c>
      <c r="R250" s="4694">
        <v>11</v>
      </c>
      <c r="S250" s="4694">
        <v>80</v>
      </c>
      <c r="T250" s="738">
        <v>11</v>
      </c>
      <c r="U250" s="738">
        <v>23</v>
      </c>
      <c r="V250" s="738">
        <v>131</v>
      </c>
      <c r="W250" s="73"/>
      <c r="BA250" s="2604"/>
      <c r="BB250" s="2604"/>
      <c r="BC250" s="2604"/>
      <c r="BD250" s="2604"/>
      <c r="BE250" s="2604"/>
      <c r="BF250" s="2604"/>
      <c r="BG250" s="2604"/>
      <c r="BH250" s="2604"/>
      <c r="BI250" s="2604"/>
      <c r="BJ250" s="2604"/>
      <c r="BK250" s="2604"/>
      <c r="BL250" s="2604"/>
      <c r="BM250" s="2604"/>
      <c r="BN250" s="2604"/>
      <c r="BO250" s="2604"/>
      <c r="BP250" s="2604"/>
      <c r="BQ250" s="2604"/>
      <c r="BR250" s="2604"/>
      <c r="BS250" s="2604"/>
    </row>
    <row r="251" spans="1:71">
      <c r="A251" s="73"/>
      <c r="B251" s="73"/>
      <c r="C251" s="738"/>
      <c r="D251" s="738" t="s">
        <v>1293</v>
      </c>
      <c r="E251" s="4694">
        <v>0</v>
      </c>
      <c r="F251" s="4694">
        <v>0</v>
      </c>
      <c r="G251" s="4694">
        <v>0</v>
      </c>
      <c r="H251" s="4694">
        <v>0</v>
      </c>
      <c r="I251" s="4694">
        <v>0</v>
      </c>
      <c r="J251" s="4694">
        <v>0</v>
      </c>
      <c r="K251" s="4694">
        <v>0</v>
      </c>
      <c r="L251" s="4694">
        <v>0</v>
      </c>
      <c r="M251" s="4694">
        <v>0</v>
      </c>
      <c r="N251" s="4694">
        <v>8</v>
      </c>
      <c r="O251" s="4694">
        <v>1</v>
      </c>
      <c r="P251" s="4694">
        <v>1</v>
      </c>
      <c r="Q251" s="4694">
        <v>5</v>
      </c>
      <c r="R251" s="4694">
        <v>2</v>
      </c>
      <c r="S251" s="4694">
        <v>0</v>
      </c>
      <c r="T251" s="738">
        <v>0</v>
      </c>
      <c r="U251" s="738">
        <v>0</v>
      </c>
      <c r="V251" s="738">
        <v>17</v>
      </c>
      <c r="W251" s="73"/>
      <c r="BA251" s="2604"/>
      <c r="BB251" s="2604"/>
      <c r="BC251" s="2604"/>
      <c r="BD251" s="2604"/>
      <c r="BE251" s="2604"/>
      <c r="BF251" s="2604"/>
      <c r="BG251" s="2604"/>
      <c r="BH251" s="2604"/>
      <c r="BI251" s="2604"/>
      <c r="BJ251" s="2604"/>
      <c r="BK251" s="2604"/>
      <c r="BL251" s="2604"/>
      <c r="BM251" s="2604"/>
      <c r="BN251" s="2604"/>
      <c r="BO251" s="2604"/>
      <c r="BP251" s="2604"/>
      <c r="BQ251" s="2604"/>
      <c r="BR251" s="2604"/>
      <c r="BS251" s="2604"/>
    </row>
    <row r="252" spans="1:71">
      <c r="A252" s="73"/>
      <c r="B252" s="73"/>
      <c r="C252" s="738"/>
      <c r="D252" s="738" t="s">
        <v>1398</v>
      </c>
      <c r="E252" s="4694">
        <v>0</v>
      </c>
      <c r="F252" s="4694">
        <v>0</v>
      </c>
      <c r="G252" s="4694">
        <v>0</v>
      </c>
      <c r="H252" s="4694">
        <v>0</v>
      </c>
      <c r="I252" s="4694">
        <v>0</v>
      </c>
      <c r="J252" s="4694">
        <v>0</v>
      </c>
      <c r="K252" s="4694">
        <v>0</v>
      </c>
      <c r="L252" s="4694">
        <v>0</v>
      </c>
      <c r="M252" s="4694">
        <v>0</v>
      </c>
      <c r="N252" s="4694">
        <v>4</v>
      </c>
      <c r="O252" s="4694">
        <v>6</v>
      </c>
      <c r="P252" s="4694">
        <v>3</v>
      </c>
      <c r="Q252" s="4694">
        <v>15</v>
      </c>
      <c r="R252" s="4694">
        <v>8</v>
      </c>
      <c r="S252" s="4694">
        <v>3</v>
      </c>
      <c r="T252" s="738">
        <v>0</v>
      </c>
      <c r="U252" s="738">
        <v>0</v>
      </c>
      <c r="V252" s="738">
        <v>39</v>
      </c>
      <c r="W252" s="73"/>
      <c r="AZ252" s="2605"/>
      <c r="BA252" s="2604"/>
      <c r="BB252" s="2604"/>
      <c r="BC252" s="2604"/>
      <c r="BD252" s="2604"/>
      <c r="BE252" s="2604"/>
      <c r="BF252" s="2604"/>
      <c r="BG252" s="2604"/>
      <c r="BH252" s="2604"/>
      <c r="BI252" s="2604"/>
      <c r="BJ252" s="2604"/>
      <c r="BK252" s="2604"/>
      <c r="BL252" s="2604"/>
      <c r="BM252" s="2604"/>
      <c r="BN252" s="2604"/>
      <c r="BO252" s="2604"/>
      <c r="BP252" s="2604"/>
      <c r="BQ252" s="2604"/>
      <c r="BR252" s="2604"/>
      <c r="BS252" s="2604"/>
    </row>
    <row r="253" spans="1:71" ht="15.75" thickBot="1">
      <c r="A253" s="746"/>
      <c r="B253" s="746"/>
      <c r="C253" s="742"/>
      <c r="D253" s="742" t="s">
        <v>114</v>
      </c>
      <c r="E253" s="4695">
        <v>3</v>
      </c>
      <c r="F253" s="4695">
        <v>3</v>
      </c>
      <c r="G253" s="4695">
        <v>1</v>
      </c>
      <c r="H253" s="4695">
        <v>4</v>
      </c>
      <c r="I253" s="4695">
        <v>3</v>
      </c>
      <c r="J253" s="4695">
        <v>4</v>
      </c>
      <c r="K253" s="4695">
        <v>2</v>
      </c>
      <c r="L253" s="4695">
        <v>3</v>
      </c>
      <c r="M253" s="4695">
        <v>2</v>
      </c>
      <c r="N253" s="4695">
        <v>35</v>
      </c>
      <c r="O253" s="4695">
        <v>16</v>
      </c>
      <c r="P253" s="4695">
        <v>14</v>
      </c>
      <c r="Q253" s="4695">
        <v>52</v>
      </c>
      <c r="R253" s="4695">
        <v>68</v>
      </c>
      <c r="S253" s="4695">
        <v>92</v>
      </c>
      <c r="T253" s="742">
        <v>16</v>
      </c>
      <c r="U253" s="742">
        <v>24</v>
      </c>
      <c r="V253" s="742">
        <v>342</v>
      </c>
      <c r="W253" s="2586">
        <f>+(V252+V251+V248-T248)/V253</f>
        <v>0.31871345029239767</v>
      </c>
      <c r="X253" s="4688"/>
      <c r="BA253" s="2604"/>
      <c r="BB253" s="2604"/>
      <c r="BC253" s="2604"/>
      <c r="BD253" s="2604"/>
      <c r="BE253" s="2604"/>
      <c r="BF253" s="2604"/>
      <c r="BG253" s="2604"/>
      <c r="BH253" s="2604"/>
      <c r="BI253" s="2604"/>
      <c r="BJ253" s="2604"/>
      <c r="BK253" s="2604"/>
      <c r="BL253" s="2604"/>
      <c r="BM253" s="2604"/>
      <c r="BN253" s="2604"/>
      <c r="BO253" s="2604"/>
      <c r="BP253" s="2604"/>
      <c r="BQ253" s="2604"/>
      <c r="BR253" s="2604"/>
      <c r="BS253" s="2604"/>
    </row>
    <row r="254" spans="1:71">
      <c r="BA254" s="2604"/>
      <c r="BB254" s="2604"/>
      <c r="BC254" s="2604"/>
      <c r="BD254" s="2604"/>
      <c r="BE254" s="2604"/>
      <c r="BF254" s="2604"/>
      <c r="BG254" s="2604"/>
      <c r="BH254" s="2604"/>
      <c r="BI254" s="2604"/>
      <c r="BJ254" s="2604"/>
      <c r="BK254" s="2604"/>
      <c r="BL254" s="2604"/>
      <c r="BM254" s="2604"/>
      <c r="BN254" s="2604"/>
      <c r="BO254" s="2604"/>
      <c r="BP254" s="2604"/>
      <c r="BQ254" s="2604"/>
      <c r="BR254" s="2604"/>
      <c r="BS254" s="2604"/>
    </row>
    <row r="255" spans="1:71">
      <c r="BA255" s="2604"/>
      <c r="BB255" s="2604"/>
      <c r="BC255" s="2604"/>
      <c r="BD255" s="2604"/>
      <c r="BE255" s="2604"/>
      <c r="BF255" s="2604"/>
      <c r="BG255" s="2604"/>
      <c r="BH255" s="2604"/>
      <c r="BI255" s="2604"/>
      <c r="BJ255" s="2604"/>
      <c r="BK255" s="2604"/>
      <c r="BL255" s="2604"/>
      <c r="BM255" s="2604"/>
      <c r="BN255" s="2604"/>
      <c r="BO255" s="2604"/>
      <c r="BP255" s="2604"/>
      <c r="BQ255" s="2604"/>
      <c r="BR255" s="2604"/>
      <c r="BS255" s="2604"/>
    </row>
    <row r="256" spans="1:71">
      <c r="BA256" s="2604"/>
      <c r="BB256" s="2604"/>
      <c r="BC256" s="2604"/>
      <c r="BD256" s="2604"/>
      <c r="BE256" s="2604"/>
      <c r="BF256" s="2604"/>
      <c r="BG256" s="2604"/>
      <c r="BH256" s="2604"/>
      <c r="BI256" s="2604"/>
      <c r="BJ256" s="2604"/>
      <c r="BK256" s="2604"/>
      <c r="BL256" s="2604"/>
      <c r="BM256" s="2604"/>
      <c r="BN256" s="2604"/>
      <c r="BO256" s="2604"/>
      <c r="BP256" s="2604"/>
      <c r="BQ256" s="2604"/>
      <c r="BR256" s="2604"/>
      <c r="BS256" s="2604"/>
    </row>
    <row r="257" spans="52:71">
      <c r="BA257" s="2604"/>
      <c r="BB257" s="2604"/>
      <c r="BC257" s="2604"/>
      <c r="BD257" s="2604"/>
      <c r="BE257" s="2604"/>
      <c r="BF257" s="2604"/>
      <c r="BG257" s="2604"/>
      <c r="BH257" s="2604"/>
      <c r="BI257" s="2604"/>
      <c r="BJ257" s="2604"/>
      <c r="BK257" s="2604"/>
      <c r="BL257" s="2604"/>
      <c r="BM257" s="2604"/>
      <c r="BN257" s="2604"/>
      <c r="BO257" s="2604"/>
      <c r="BP257" s="2604"/>
      <c r="BQ257" s="2604"/>
      <c r="BR257" s="2604"/>
      <c r="BS257" s="2604"/>
    </row>
    <row r="258" spans="52:71">
      <c r="AZ258" s="2605"/>
      <c r="BA258" s="2604"/>
      <c r="BB258" s="2604"/>
      <c r="BC258" s="2604"/>
      <c r="BD258" s="2604"/>
      <c r="BE258" s="2604"/>
      <c r="BF258" s="2604"/>
      <c r="BG258" s="2604"/>
      <c r="BH258" s="2604"/>
      <c r="BI258" s="2604"/>
      <c r="BJ258" s="2604"/>
      <c r="BK258" s="2604"/>
      <c r="BL258" s="2604"/>
      <c r="BM258" s="2604"/>
      <c r="BN258" s="2604"/>
      <c r="BO258" s="2604"/>
      <c r="BP258" s="2604"/>
      <c r="BQ258" s="2604"/>
      <c r="BR258" s="2604"/>
      <c r="BS258" s="2604"/>
    </row>
    <row r="259" spans="52:71">
      <c r="BA259" s="2604"/>
      <c r="BB259" s="2604"/>
      <c r="BC259" s="2604"/>
      <c r="BD259" s="2604"/>
      <c r="BE259" s="2604"/>
      <c r="BF259" s="2604"/>
      <c r="BG259" s="2604"/>
      <c r="BH259" s="2604"/>
      <c r="BI259" s="2604"/>
      <c r="BJ259" s="2604"/>
      <c r="BK259" s="2604"/>
      <c r="BL259" s="2604"/>
      <c r="BM259" s="2604"/>
      <c r="BN259" s="2604"/>
      <c r="BO259" s="2604"/>
      <c r="BP259" s="2604"/>
      <c r="BQ259" s="2604"/>
      <c r="BR259" s="2604"/>
      <c r="BS259" s="2604"/>
    </row>
    <row r="260" spans="52:71">
      <c r="BA260" s="2604"/>
      <c r="BB260" s="2604"/>
      <c r="BC260" s="2604"/>
      <c r="BD260" s="2604"/>
      <c r="BE260" s="2604"/>
      <c r="BF260" s="2604"/>
      <c r="BG260" s="2604"/>
      <c r="BH260" s="2604"/>
      <c r="BI260" s="2604"/>
      <c r="BJ260" s="2604"/>
      <c r="BK260" s="2604"/>
      <c r="BL260" s="2604"/>
      <c r="BM260" s="2604"/>
      <c r="BN260" s="2604"/>
      <c r="BO260" s="2604"/>
      <c r="BP260" s="2604"/>
      <c r="BQ260" s="2604"/>
      <c r="BR260" s="2604"/>
      <c r="BS260" s="2604"/>
    </row>
    <row r="261" spans="52:71">
      <c r="BA261" s="2604"/>
      <c r="BB261" s="2604"/>
      <c r="BC261" s="2604"/>
      <c r="BD261" s="2604"/>
      <c r="BE261" s="2604"/>
      <c r="BF261" s="2604"/>
      <c r="BG261" s="2604"/>
      <c r="BH261" s="2604"/>
      <c r="BI261" s="2604"/>
      <c r="BJ261" s="2604"/>
      <c r="BK261" s="2604"/>
      <c r="BL261" s="2604"/>
      <c r="BM261" s="2604"/>
      <c r="BN261" s="2604"/>
      <c r="BO261" s="2604"/>
      <c r="BP261" s="2604"/>
      <c r="BQ261" s="2604"/>
      <c r="BR261" s="2604"/>
      <c r="BS261" s="2604"/>
    </row>
    <row r="262" spans="52:71">
      <c r="BA262" s="2604"/>
      <c r="BB262" s="2604"/>
      <c r="BC262" s="2604"/>
      <c r="BD262" s="2604"/>
      <c r="BE262" s="2604"/>
      <c r="BF262" s="2604"/>
      <c r="BG262" s="2604"/>
      <c r="BH262" s="2604"/>
      <c r="BI262" s="2604"/>
      <c r="BJ262" s="2604"/>
      <c r="BK262" s="2604"/>
      <c r="BL262" s="2604"/>
      <c r="BM262" s="2604"/>
      <c r="BN262" s="2604"/>
      <c r="BO262" s="2604"/>
      <c r="BP262" s="2604"/>
      <c r="BQ262" s="2604"/>
      <c r="BR262" s="2604"/>
      <c r="BS262" s="2604"/>
    </row>
    <row r="263" spans="52:71">
      <c r="BA263" s="2604"/>
      <c r="BB263" s="2604"/>
      <c r="BC263" s="2604"/>
      <c r="BD263" s="2604"/>
      <c r="BE263" s="2604"/>
      <c r="BF263" s="2604"/>
      <c r="BG263" s="2604"/>
      <c r="BH263" s="2604"/>
      <c r="BI263" s="2604"/>
      <c r="BJ263" s="2604"/>
      <c r="BK263" s="2604"/>
      <c r="BL263" s="2604"/>
      <c r="BM263" s="2604"/>
      <c r="BN263" s="2604"/>
      <c r="BO263" s="2604"/>
      <c r="BP263" s="2604"/>
      <c r="BQ263" s="2604"/>
      <c r="BR263" s="2604"/>
      <c r="BS263" s="2604"/>
    </row>
    <row r="264" spans="52:71">
      <c r="AZ264" s="2605"/>
      <c r="BA264" s="2604"/>
      <c r="BB264" s="2604"/>
      <c r="BC264" s="2604"/>
      <c r="BD264" s="2604"/>
      <c r="BE264" s="2604"/>
      <c r="BF264" s="2604"/>
      <c r="BG264" s="2604"/>
      <c r="BH264" s="2604"/>
      <c r="BI264" s="2604"/>
      <c r="BJ264" s="2604"/>
      <c r="BK264" s="2604"/>
      <c r="BL264" s="2604"/>
      <c r="BM264" s="2604"/>
      <c r="BN264" s="2604"/>
      <c r="BO264" s="2604"/>
      <c r="BP264" s="2604"/>
      <c r="BQ264" s="2604"/>
      <c r="BR264" s="2604"/>
      <c r="BS264" s="2604"/>
    </row>
    <row r="265" spans="52:71">
      <c r="BA265" s="2604"/>
      <c r="BB265" s="2604"/>
      <c r="BC265" s="2604"/>
      <c r="BD265" s="2604"/>
      <c r="BE265" s="2604"/>
      <c r="BF265" s="2604"/>
      <c r="BG265" s="2604"/>
      <c r="BH265" s="2604"/>
      <c r="BI265" s="2604"/>
      <c r="BJ265" s="2604"/>
      <c r="BK265" s="2604"/>
      <c r="BL265" s="2604"/>
      <c r="BM265" s="2604"/>
      <c r="BN265" s="2604"/>
      <c r="BO265" s="2604"/>
      <c r="BP265" s="2604"/>
      <c r="BQ265" s="2604"/>
      <c r="BR265" s="2604"/>
      <c r="BS265" s="2604"/>
    </row>
    <row r="266" spans="52:71">
      <c r="BA266" s="2604"/>
      <c r="BB266" s="2604"/>
      <c r="BC266" s="2604"/>
      <c r="BD266" s="2604"/>
      <c r="BE266" s="2604"/>
      <c r="BF266" s="2604"/>
      <c r="BG266" s="2604"/>
      <c r="BH266" s="2604"/>
      <c r="BI266" s="2604"/>
      <c r="BJ266" s="2604"/>
      <c r="BK266" s="2604"/>
      <c r="BL266" s="2604"/>
      <c r="BM266" s="2604"/>
      <c r="BN266" s="2604"/>
      <c r="BO266" s="2604"/>
      <c r="BP266" s="2604"/>
      <c r="BQ266" s="2604"/>
      <c r="BR266" s="2604"/>
      <c r="BS266" s="2604"/>
    </row>
    <row r="267" spans="52:71">
      <c r="BA267" s="2604"/>
      <c r="BB267" s="2604"/>
      <c r="BC267" s="2604"/>
      <c r="BD267" s="2604"/>
      <c r="BE267" s="2604"/>
      <c r="BF267" s="2604"/>
      <c r="BG267" s="2604"/>
      <c r="BH267" s="2604"/>
      <c r="BI267" s="2604"/>
      <c r="BJ267" s="2604"/>
      <c r="BK267" s="2604"/>
      <c r="BL267" s="2604"/>
      <c r="BM267" s="2604"/>
      <c r="BN267" s="2604"/>
      <c r="BO267" s="2604"/>
      <c r="BP267" s="2604"/>
      <c r="BQ267" s="2604"/>
      <c r="BR267" s="2604"/>
      <c r="BS267" s="2604"/>
    </row>
    <row r="268" spans="52:71">
      <c r="AZ268" s="2605"/>
      <c r="BA268" s="2604"/>
      <c r="BB268" s="2604"/>
      <c r="BC268" s="2604"/>
      <c r="BD268" s="2604"/>
      <c r="BE268" s="2604"/>
      <c r="BF268" s="2604"/>
      <c r="BG268" s="2604"/>
      <c r="BH268" s="2604"/>
      <c r="BI268" s="2604"/>
      <c r="BJ268" s="2604"/>
      <c r="BK268" s="2604"/>
      <c r="BL268" s="2604"/>
      <c r="BM268" s="2604"/>
      <c r="BN268" s="2604"/>
      <c r="BO268" s="2604"/>
      <c r="BP268" s="2604"/>
      <c r="BQ268" s="2604"/>
      <c r="BR268" s="2604"/>
      <c r="BS268" s="2604"/>
    </row>
    <row r="269" spans="52:71">
      <c r="BA269" s="2604"/>
      <c r="BB269" s="2604"/>
      <c r="BC269" s="2604"/>
      <c r="BD269" s="2604"/>
      <c r="BE269" s="2604"/>
      <c r="BF269" s="2604"/>
      <c r="BG269" s="2604"/>
      <c r="BH269" s="2604"/>
      <c r="BI269" s="2604"/>
      <c r="BJ269" s="2604"/>
      <c r="BK269" s="2604"/>
      <c r="BL269" s="2604"/>
      <c r="BM269" s="2604"/>
      <c r="BN269" s="2604"/>
      <c r="BO269" s="2604"/>
      <c r="BP269" s="2604"/>
      <c r="BQ269" s="2604"/>
      <c r="BR269" s="2604"/>
      <c r="BS269" s="2604"/>
    </row>
    <row r="270" spans="52:71">
      <c r="BA270" s="2604"/>
      <c r="BB270" s="2604"/>
      <c r="BC270" s="2604"/>
      <c r="BD270" s="2604"/>
      <c r="BE270" s="2604"/>
      <c r="BF270" s="2604"/>
      <c r="BG270" s="2604"/>
      <c r="BH270" s="2604"/>
      <c r="BI270" s="2604"/>
      <c r="BJ270" s="2604"/>
      <c r="BK270" s="2604"/>
      <c r="BL270" s="2604"/>
      <c r="BM270" s="2604"/>
      <c r="BN270" s="2604"/>
      <c r="BO270" s="2604"/>
      <c r="BP270" s="2604"/>
      <c r="BQ270" s="2604"/>
      <c r="BR270" s="2604"/>
      <c r="BS270" s="2604"/>
    </row>
    <row r="271" spans="52:71">
      <c r="BA271" s="2604"/>
      <c r="BB271" s="2604"/>
      <c r="BC271" s="2604"/>
      <c r="BD271" s="2604"/>
      <c r="BE271" s="2604"/>
      <c r="BF271" s="2604"/>
      <c r="BG271" s="2604"/>
      <c r="BH271" s="2604"/>
      <c r="BI271" s="2604"/>
      <c r="BJ271" s="2604"/>
      <c r="BK271" s="2604"/>
      <c r="BL271" s="2604"/>
      <c r="BM271" s="2604"/>
      <c r="BN271" s="2604"/>
      <c r="BO271" s="2604"/>
      <c r="BP271" s="2604"/>
      <c r="BQ271" s="2604"/>
      <c r="BR271" s="2604"/>
      <c r="BS271" s="2604"/>
    </row>
    <row r="272" spans="52:71">
      <c r="BA272" s="2604"/>
      <c r="BB272" s="2604"/>
      <c r="BC272" s="2604"/>
      <c r="BD272" s="2604"/>
      <c r="BE272" s="2604"/>
      <c r="BF272" s="2604"/>
      <c r="BG272" s="2604"/>
      <c r="BH272" s="2604"/>
      <c r="BI272" s="2604"/>
      <c r="BJ272" s="2604"/>
      <c r="BK272" s="2604"/>
      <c r="BL272" s="2604"/>
      <c r="BM272" s="2604"/>
      <c r="BN272" s="2604"/>
      <c r="BO272" s="2604"/>
      <c r="BP272" s="2604"/>
      <c r="BQ272" s="2604"/>
      <c r="BR272" s="2604"/>
      <c r="BS272" s="2604"/>
    </row>
    <row r="273" spans="52:71">
      <c r="BA273" s="2604"/>
      <c r="BB273" s="2604"/>
      <c r="BC273" s="2604"/>
      <c r="BD273" s="2604"/>
      <c r="BE273" s="2604"/>
      <c r="BF273" s="2604"/>
      <c r="BG273" s="2604"/>
      <c r="BH273" s="2604"/>
      <c r="BI273" s="2604"/>
      <c r="BJ273" s="2604"/>
      <c r="BK273" s="2604"/>
      <c r="BL273" s="2604"/>
      <c r="BM273" s="2604"/>
      <c r="BN273" s="2604"/>
      <c r="BO273" s="2604"/>
      <c r="BP273" s="2604"/>
      <c r="BQ273" s="2604"/>
      <c r="BR273" s="2604"/>
      <c r="BS273" s="2604"/>
    </row>
    <row r="274" spans="52:71">
      <c r="BA274" s="2604"/>
      <c r="BB274" s="2604"/>
      <c r="BC274" s="2604"/>
      <c r="BD274" s="2604"/>
      <c r="BE274" s="2604"/>
      <c r="BF274" s="2604"/>
      <c r="BG274" s="2604"/>
      <c r="BH274" s="2604"/>
      <c r="BI274" s="2604"/>
      <c r="BJ274" s="2604"/>
      <c r="BK274" s="2604"/>
      <c r="BL274" s="2604"/>
      <c r="BM274" s="2604"/>
      <c r="BN274" s="2604"/>
      <c r="BO274" s="2604"/>
      <c r="BP274" s="2604"/>
      <c r="BQ274" s="2604"/>
      <c r="BR274" s="2604"/>
      <c r="BS274" s="2604"/>
    </row>
    <row r="275" spans="52:71">
      <c r="AZ275" s="2605"/>
      <c r="BA275" s="2604"/>
      <c r="BB275" s="2604"/>
      <c r="BC275" s="2604"/>
      <c r="BD275" s="2604"/>
      <c r="BE275" s="2604"/>
      <c r="BF275" s="2604"/>
      <c r="BG275" s="2604"/>
      <c r="BH275" s="2604"/>
      <c r="BI275" s="2604"/>
      <c r="BJ275" s="2604"/>
      <c r="BK275" s="2604"/>
      <c r="BL275" s="2604"/>
      <c r="BM275" s="2604"/>
      <c r="BN275" s="2604"/>
      <c r="BO275" s="2604"/>
      <c r="BP275" s="2604"/>
      <c r="BQ275" s="2604"/>
      <c r="BR275" s="2604"/>
      <c r="BS275" s="2604"/>
    </row>
    <row r="276" spans="52:71">
      <c r="BA276" s="2604"/>
      <c r="BB276" s="2604"/>
      <c r="BC276" s="2604"/>
      <c r="BD276" s="2604"/>
      <c r="BE276" s="2604"/>
      <c r="BF276" s="2604"/>
      <c r="BG276" s="2604"/>
      <c r="BH276" s="2604"/>
      <c r="BI276" s="2604"/>
      <c r="BJ276" s="2604"/>
      <c r="BK276" s="2604"/>
      <c r="BL276" s="2604"/>
      <c r="BM276" s="2604"/>
      <c r="BN276" s="2604"/>
      <c r="BO276" s="2604"/>
      <c r="BP276" s="2604"/>
      <c r="BQ276" s="2604"/>
      <c r="BR276" s="2604"/>
      <c r="BS276" s="2604"/>
    </row>
    <row r="277" spans="52:71">
      <c r="BA277" s="2604"/>
      <c r="BB277" s="2604"/>
      <c r="BC277" s="2604"/>
      <c r="BD277" s="2604"/>
      <c r="BE277" s="2604"/>
      <c r="BF277" s="2604"/>
      <c r="BG277" s="2604"/>
      <c r="BH277" s="2604"/>
      <c r="BI277" s="2604"/>
      <c r="BJ277" s="2604"/>
      <c r="BK277" s="2604"/>
      <c r="BL277" s="2604"/>
      <c r="BM277" s="2604"/>
      <c r="BN277" s="2604"/>
      <c r="BO277" s="2604"/>
      <c r="BP277" s="2604"/>
      <c r="BQ277" s="2604"/>
      <c r="BR277" s="2604"/>
      <c r="BS277" s="2604"/>
    </row>
    <row r="278" spans="52:71">
      <c r="BA278" s="2604"/>
      <c r="BB278" s="2604"/>
      <c r="BC278" s="2604"/>
      <c r="BD278" s="2604"/>
      <c r="BE278" s="2604"/>
      <c r="BF278" s="2604"/>
      <c r="BG278" s="2604"/>
      <c r="BH278" s="2604"/>
      <c r="BI278" s="2604"/>
      <c r="BJ278" s="2604"/>
      <c r="BK278" s="2604"/>
      <c r="BL278" s="2604"/>
      <c r="BM278" s="2604"/>
      <c r="BN278" s="2604"/>
      <c r="BO278" s="2604"/>
      <c r="BP278" s="2604"/>
      <c r="BQ278" s="2604"/>
      <c r="BR278" s="2604"/>
      <c r="BS278" s="2604"/>
    </row>
    <row r="279" spans="52:71">
      <c r="BA279" s="2604"/>
      <c r="BB279" s="2604"/>
      <c r="BC279" s="2604"/>
      <c r="BD279" s="2604"/>
      <c r="BE279" s="2604"/>
      <c r="BF279" s="2604"/>
      <c r="BG279" s="2604"/>
      <c r="BH279" s="2604"/>
      <c r="BI279" s="2604"/>
      <c r="BJ279" s="2604"/>
      <c r="BK279" s="2604"/>
      <c r="BL279" s="2604"/>
      <c r="BM279" s="2604"/>
      <c r="BN279" s="2604"/>
      <c r="BO279" s="2604"/>
      <c r="BP279" s="2604"/>
      <c r="BQ279" s="2604"/>
      <c r="BR279" s="2604"/>
      <c r="BS279" s="2604"/>
    </row>
    <row r="280" spans="52:71">
      <c r="AZ280" s="2605"/>
      <c r="BA280" s="2604"/>
      <c r="BB280" s="2604"/>
      <c r="BC280" s="2604"/>
      <c r="BD280" s="2604"/>
      <c r="BE280" s="2604"/>
      <c r="BF280" s="2604"/>
      <c r="BG280" s="2604"/>
      <c r="BH280" s="2604"/>
      <c r="BI280" s="2604"/>
      <c r="BJ280" s="2604"/>
      <c r="BK280" s="2604"/>
      <c r="BL280" s="2604"/>
      <c r="BM280" s="2604"/>
      <c r="BN280" s="2604"/>
      <c r="BO280" s="2604"/>
      <c r="BP280" s="2604"/>
      <c r="BQ280" s="2604"/>
      <c r="BR280" s="2604"/>
      <c r="BS280" s="2604"/>
    </row>
    <row r="281" spans="52:71">
      <c r="BA281" s="2604"/>
      <c r="BB281" s="2604"/>
      <c r="BC281" s="2604"/>
      <c r="BD281" s="2604"/>
      <c r="BE281" s="2604"/>
      <c r="BF281" s="2604"/>
      <c r="BG281" s="2604"/>
      <c r="BH281" s="2604"/>
      <c r="BI281" s="2604"/>
      <c r="BJ281" s="2604"/>
      <c r="BK281" s="2604"/>
      <c r="BL281" s="2604"/>
      <c r="BM281" s="2604"/>
      <c r="BN281" s="2604"/>
      <c r="BO281" s="2604"/>
      <c r="BP281" s="2604"/>
      <c r="BQ281" s="2604"/>
      <c r="BR281" s="2604"/>
      <c r="BS281" s="2604"/>
    </row>
    <row r="282" spans="52:71">
      <c r="BA282" s="2604"/>
      <c r="BB282" s="2604"/>
      <c r="BC282" s="2604"/>
      <c r="BD282" s="2604"/>
      <c r="BE282" s="2604"/>
      <c r="BF282" s="2604"/>
      <c r="BG282" s="2604"/>
      <c r="BH282" s="2604"/>
      <c r="BI282" s="2604"/>
      <c r="BJ282" s="2604"/>
      <c r="BK282" s="2604"/>
      <c r="BL282" s="2604"/>
      <c r="BM282" s="2604"/>
      <c r="BN282" s="2604"/>
      <c r="BO282" s="2604"/>
      <c r="BP282" s="2604"/>
      <c r="BQ282" s="2604"/>
      <c r="BR282" s="2604"/>
      <c r="BS282" s="2604"/>
    </row>
    <row r="283" spans="52:71">
      <c r="BA283" s="2604"/>
      <c r="BB283" s="2604"/>
      <c r="BC283" s="2604"/>
      <c r="BD283" s="2604"/>
      <c r="BE283" s="2604"/>
      <c r="BF283" s="2604"/>
      <c r="BG283" s="2604"/>
      <c r="BH283" s="2604"/>
      <c r="BI283" s="2604"/>
      <c r="BJ283" s="2604"/>
      <c r="BK283" s="2604"/>
      <c r="BL283" s="2604"/>
      <c r="BM283" s="2604"/>
      <c r="BN283" s="2604"/>
      <c r="BO283" s="2604"/>
      <c r="BP283" s="2604"/>
      <c r="BQ283" s="2604"/>
      <c r="BR283" s="2604"/>
      <c r="BS283" s="2604"/>
    </row>
    <row r="284" spans="52:71">
      <c r="BA284" s="2604"/>
      <c r="BB284" s="2604"/>
      <c r="BC284" s="2604"/>
      <c r="BD284" s="2604"/>
      <c r="BE284" s="2604"/>
      <c r="BF284" s="2604"/>
      <c r="BG284" s="2604"/>
      <c r="BH284" s="2604"/>
      <c r="BI284" s="2604"/>
      <c r="BJ284" s="2604"/>
      <c r="BK284" s="2604"/>
      <c r="BL284" s="2604"/>
      <c r="BM284" s="2604"/>
      <c r="BN284" s="2604"/>
      <c r="BO284" s="2604"/>
      <c r="BP284" s="2604"/>
      <c r="BQ284" s="2604"/>
      <c r="BR284" s="2604"/>
      <c r="BS284" s="2604"/>
    </row>
    <row r="285" spans="52:71">
      <c r="AZ285" s="2605"/>
      <c r="BA285" s="2604"/>
      <c r="BB285" s="2604"/>
      <c r="BC285" s="2604"/>
      <c r="BD285" s="2604"/>
      <c r="BE285" s="2604"/>
      <c r="BF285" s="2604"/>
      <c r="BG285" s="2604"/>
      <c r="BH285" s="2604"/>
      <c r="BI285" s="2604"/>
      <c r="BJ285" s="2604"/>
      <c r="BK285" s="2604"/>
      <c r="BL285" s="2604"/>
      <c r="BM285" s="2604"/>
      <c r="BN285" s="2604"/>
      <c r="BO285" s="2604"/>
      <c r="BP285" s="2604"/>
      <c r="BQ285" s="2604"/>
      <c r="BR285" s="2604"/>
      <c r="BS285" s="2604"/>
    </row>
    <row r="286" spans="52:71">
      <c r="BA286" s="2604"/>
      <c r="BB286" s="2604"/>
      <c r="BC286" s="2604"/>
      <c r="BD286" s="2604"/>
      <c r="BE286" s="2604"/>
      <c r="BF286" s="2604"/>
      <c r="BG286" s="2604"/>
      <c r="BH286" s="2604"/>
      <c r="BI286" s="2604"/>
      <c r="BJ286" s="2604"/>
      <c r="BK286" s="2604"/>
      <c r="BL286" s="2604"/>
      <c r="BM286" s="2604"/>
      <c r="BN286" s="2604"/>
      <c r="BO286" s="2604"/>
      <c r="BP286" s="2604"/>
      <c r="BQ286" s="2604"/>
      <c r="BR286" s="2604"/>
      <c r="BS286" s="2604"/>
    </row>
    <row r="287" spans="52:71">
      <c r="BA287" s="2604"/>
      <c r="BB287" s="2604"/>
      <c r="BC287" s="2604"/>
      <c r="BD287" s="2604"/>
      <c r="BE287" s="2604"/>
      <c r="BF287" s="2604"/>
      <c r="BG287" s="2604"/>
      <c r="BH287" s="2604"/>
      <c r="BI287" s="2604"/>
      <c r="BJ287" s="2604"/>
      <c r="BK287" s="2604"/>
      <c r="BL287" s="2604"/>
      <c r="BM287" s="2604"/>
      <c r="BN287" s="2604"/>
      <c r="BO287" s="2604"/>
      <c r="BP287" s="2604"/>
      <c r="BQ287" s="2604"/>
      <c r="BR287" s="2604"/>
      <c r="BS287" s="2604"/>
    </row>
    <row r="288" spans="52:71">
      <c r="BA288" s="2604"/>
      <c r="BB288" s="2604"/>
      <c r="BC288" s="2604"/>
      <c r="BD288" s="2604"/>
      <c r="BE288" s="2604"/>
      <c r="BF288" s="2604"/>
      <c r="BG288" s="2604"/>
      <c r="BH288" s="2604"/>
      <c r="BI288" s="2604"/>
      <c r="BJ288" s="2604"/>
      <c r="BK288" s="2604"/>
      <c r="BL288" s="2604"/>
      <c r="BM288" s="2604"/>
      <c r="BN288" s="2604"/>
      <c r="BO288" s="2604"/>
      <c r="BP288" s="2604"/>
      <c r="BQ288" s="2604"/>
      <c r="BR288" s="2604"/>
      <c r="BS288" s="2604"/>
    </row>
    <row r="289" spans="52:71">
      <c r="BA289" s="2604"/>
      <c r="BB289" s="2604"/>
      <c r="BC289" s="2604"/>
      <c r="BD289" s="2604"/>
      <c r="BE289" s="2604"/>
      <c r="BF289" s="2604"/>
      <c r="BG289" s="2604"/>
      <c r="BH289" s="2604"/>
      <c r="BI289" s="2604"/>
      <c r="BJ289" s="2604"/>
      <c r="BK289" s="2604"/>
      <c r="BL289" s="2604"/>
      <c r="BM289" s="2604"/>
      <c r="BN289" s="2604"/>
      <c r="BO289" s="2604"/>
      <c r="BP289" s="2604"/>
      <c r="BQ289" s="2604"/>
      <c r="BR289" s="2604"/>
      <c r="BS289" s="2604"/>
    </row>
    <row r="290" spans="52:71">
      <c r="BA290" s="2604"/>
      <c r="BB290" s="2604"/>
      <c r="BC290" s="2604"/>
      <c r="BD290" s="2604"/>
      <c r="BE290" s="2604"/>
      <c r="BF290" s="2604"/>
      <c r="BG290" s="2604"/>
      <c r="BH290" s="2604"/>
      <c r="BI290" s="2604"/>
      <c r="BJ290" s="2604"/>
      <c r="BK290" s="2604"/>
      <c r="BL290" s="2604"/>
      <c r="BM290" s="2604"/>
      <c r="BN290" s="2604"/>
      <c r="BO290" s="2604"/>
      <c r="BP290" s="2604"/>
      <c r="BQ290" s="2604"/>
      <c r="BR290" s="2604"/>
      <c r="BS290" s="2604"/>
    </row>
    <row r="291" spans="52:71">
      <c r="BA291" s="2604"/>
      <c r="BB291" s="2604"/>
      <c r="BC291" s="2604"/>
      <c r="BD291" s="2604"/>
      <c r="BE291" s="2604"/>
      <c r="BF291" s="2604"/>
      <c r="BG291" s="2604"/>
      <c r="BH291" s="2604"/>
      <c r="BI291" s="2604"/>
      <c r="BJ291" s="2604"/>
      <c r="BK291" s="2604"/>
      <c r="BL291" s="2604"/>
      <c r="BM291" s="2604"/>
      <c r="BN291" s="2604"/>
      <c r="BO291" s="2604"/>
      <c r="BP291" s="2604"/>
      <c r="BQ291" s="2604"/>
      <c r="BR291" s="2604"/>
      <c r="BS291" s="2604"/>
    </row>
    <row r="292" spans="52:71">
      <c r="AZ292" s="2605"/>
      <c r="BA292" s="2604"/>
      <c r="BB292" s="2604"/>
      <c r="BC292" s="2604"/>
      <c r="BD292" s="2604"/>
      <c r="BE292" s="2604"/>
      <c r="BF292" s="2604"/>
      <c r="BG292" s="2604"/>
      <c r="BH292" s="2604"/>
      <c r="BI292" s="2604"/>
      <c r="BJ292" s="2604"/>
      <c r="BK292" s="2604"/>
      <c r="BL292" s="2604"/>
      <c r="BM292" s="2604"/>
      <c r="BN292" s="2604"/>
      <c r="BO292" s="2604"/>
      <c r="BP292" s="2604"/>
      <c r="BQ292" s="2604"/>
      <c r="BR292" s="2604"/>
      <c r="BS292" s="2604"/>
    </row>
    <row r="293" spans="52:71">
      <c r="BA293" s="2604"/>
      <c r="BB293" s="2604"/>
      <c r="BC293" s="2604"/>
      <c r="BD293" s="2604"/>
      <c r="BE293" s="2604"/>
      <c r="BF293" s="2604"/>
      <c r="BG293" s="2604"/>
      <c r="BH293" s="2604"/>
      <c r="BI293" s="2604"/>
      <c r="BJ293" s="2604"/>
      <c r="BK293" s="2604"/>
      <c r="BL293" s="2604"/>
      <c r="BM293" s="2604"/>
      <c r="BN293" s="2604"/>
      <c r="BO293" s="2604"/>
      <c r="BP293" s="2604"/>
      <c r="BQ293" s="2604"/>
      <c r="BR293" s="2604"/>
      <c r="BS293" s="2604"/>
    </row>
    <row r="294" spans="52:71">
      <c r="BA294" s="2604"/>
      <c r="BB294" s="2604"/>
      <c r="BC294" s="2604"/>
      <c r="BD294" s="2604"/>
      <c r="BE294" s="2604"/>
      <c r="BF294" s="2604"/>
      <c r="BG294" s="2604"/>
      <c r="BH294" s="2604"/>
      <c r="BI294" s="2604"/>
      <c r="BJ294" s="2604"/>
      <c r="BK294" s="2604"/>
      <c r="BL294" s="2604"/>
      <c r="BM294" s="2604"/>
      <c r="BN294" s="2604"/>
      <c r="BO294" s="2604"/>
      <c r="BP294" s="2604"/>
      <c r="BQ294" s="2604"/>
      <c r="BR294" s="2604"/>
      <c r="BS294" s="2604"/>
    </row>
    <row r="295" spans="52:71">
      <c r="BA295" s="2604"/>
      <c r="BB295" s="2604"/>
      <c r="BC295" s="2604"/>
      <c r="BD295" s="2604"/>
      <c r="BE295" s="2604"/>
      <c r="BF295" s="2604"/>
      <c r="BG295" s="2604"/>
      <c r="BH295" s="2604"/>
      <c r="BI295" s="2604"/>
      <c r="BJ295" s="2604"/>
      <c r="BK295" s="2604"/>
      <c r="BL295" s="2604"/>
      <c r="BM295" s="2604"/>
      <c r="BN295" s="2604"/>
      <c r="BO295" s="2604"/>
      <c r="BP295" s="2604"/>
      <c r="BQ295" s="2604"/>
      <c r="BR295" s="2604"/>
      <c r="BS295" s="2604"/>
    </row>
    <row r="296" spans="52:71">
      <c r="BA296" s="2604"/>
      <c r="BB296" s="2604"/>
      <c r="BC296" s="2604"/>
      <c r="BD296" s="2604"/>
      <c r="BE296" s="2604"/>
      <c r="BF296" s="2604"/>
      <c r="BG296" s="2604"/>
      <c r="BH296" s="2604"/>
      <c r="BI296" s="2604"/>
      <c r="BJ296" s="2604"/>
      <c r="BK296" s="2604"/>
      <c r="BL296" s="2604"/>
      <c r="BM296" s="2604"/>
      <c r="BN296" s="2604"/>
      <c r="BO296" s="2604"/>
      <c r="BP296" s="2604"/>
      <c r="BQ296" s="2604"/>
      <c r="BR296" s="2604"/>
      <c r="BS296" s="2604"/>
    </row>
    <row r="297" spans="52:71">
      <c r="BA297" s="2604"/>
      <c r="BB297" s="2604"/>
      <c r="BC297" s="2604"/>
      <c r="BD297" s="2604"/>
      <c r="BE297" s="2604"/>
      <c r="BF297" s="2604"/>
      <c r="BG297" s="2604"/>
      <c r="BH297" s="2604"/>
      <c r="BI297" s="2604"/>
      <c r="BJ297" s="2604"/>
      <c r="BK297" s="2604"/>
      <c r="BL297" s="2604"/>
      <c r="BM297" s="2604"/>
      <c r="BN297" s="2604"/>
      <c r="BO297" s="2604"/>
      <c r="BP297" s="2604"/>
      <c r="BQ297" s="2604"/>
      <c r="BR297" s="2604"/>
      <c r="BS297" s="2604"/>
    </row>
    <row r="298" spans="52:71">
      <c r="AZ298" s="2605"/>
      <c r="BA298" s="2604"/>
      <c r="BB298" s="2604"/>
      <c r="BC298" s="2604"/>
      <c r="BD298" s="2604"/>
      <c r="BE298" s="2604"/>
      <c r="BF298" s="2604"/>
      <c r="BG298" s="2604"/>
      <c r="BH298" s="2604"/>
      <c r="BI298" s="2604"/>
      <c r="BJ298" s="2604"/>
      <c r="BK298" s="2604"/>
      <c r="BL298" s="2604"/>
      <c r="BM298" s="2604"/>
      <c r="BN298" s="2604"/>
      <c r="BO298" s="2604"/>
      <c r="BP298" s="2604"/>
      <c r="BQ298" s="2604"/>
      <c r="BR298" s="2604"/>
      <c r="BS298" s="2604"/>
    </row>
    <row r="299" spans="52:71">
      <c r="BA299" s="2604"/>
      <c r="BB299" s="2604"/>
      <c r="BC299" s="2604"/>
      <c r="BD299" s="2604"/>
      <c r="BE299" s="2604"/>
      <c r="BF299" s="2604"/>
      <c r="BG299" s="2604"/>
      <c r="BH299" s="2604"/>
      <c r="BI299" s="2604"/>
      <c r="BJ299" s="2604"/>
      <c r="BK299" s="2604"/>
      <c r="BL299" s="2604"/>
      <c r="BM299" s="2604"/>
      <c r="BN299" s="2604"/>
      <c r="BO299" s="2604"/>
      <c r="BP299" s="2604"/>
      <c r="BQ299" s="2604"/>
      <c r="BR299" s="2604"/>
      <c r="BS299" s="2604"/>
    </row>
    <row r="300" spans="52:71">
      <c r="BA300" s="2604"/>
      <c r="BB300" s="2604"/>
      <c r="BC300" s="2604"/>
      <c r="BD300" s="2604"/>
      <c r="BE300" s="2604"/>
      <c r="BF300" s="2604"/>
      <c r="BG300" s="2604"/>
      <c r="BH300" s="2604"/>
      <c r="BI300" s="2604"/>
      <c r="BJ300" s="2604"/>
      <c r="BK300" s="2604"/>
      <c r="BL300" s="2604"/>
      <c r="BM300" s="2604"/>
      <c r="BN300" s="2604"/>
      <c r="BO300" s="2604"/>
      <c r="BP300" s="2604"/>
      <c r="BQ300" s="2604"/>
      <c r="BR300" s="2604"/>
      <c r="BS300" s="2604"/>
    </row>
    <row r="301" spans="52:71">
      <c r="BA301" s="2604"/>
      <c r="BB301" s="2604"/>
      <c r="BC301" s="2604"/>
      <c r="BD301" s="2604"/>
      <c r="BE301" s="2604"/>
      <c r="BF301" s="2604"/>
      <c r="BG301" s="2604"/>
      <c r="BH301" s="2604"/>
      <c r="BI301" s="2604"/>
      <c r="BJ301" s="2604"/>
      <c r="BK301" s="2604"/>
      <c r="BL301" s="2604"/>
      <c r="BM301" s="2604"/>
      <c r="BN301" s="2604"/>
      <c r="BO301" s="2604"/>
      <c r="BP301" s="2604"/>
      <c r="BQ301" s="2604"/>
      <c r="BR301" s="2604"/>
      <c r="BS301" s="2604"/>
    </row>
    <row r="302" spans="52:71">
      <c r="BA302" s="2604"/>
      <c r="BB302" s="2604"/>
      <c r="BC302" s="2604"/>
      <c r="BD302" s="2604"/>
      <c r="BE302" s="2604"/>
      <c r="BF302" s="2604"/>
      <c r="BG302" s="2604"/>
      <c r="BH302" s="2604"/>
      <c r="BI302" s="2604"/>
      <c r="BJ302" s="2604"/>
      <c r="BK302" s="2604"/>
      <c r="BL302" s="2604"/>
      <c r="BM302" s="2604"/>
      <c r="BN302" s="2604"/>
      <c r="BO302" s="2604"/>
      <c r="BP302" s="2604"/>
      <c r="BQ302" s="2604"/>
      <c r="BR302" s="2604"/>
      <c r="BS302" s="2604"/>
    </row>
    <row r="303" spans="52:71">
      <c r="BA303" s="2604"/>
      <c r="BB303" s="2604"/>
      <c r="BC303" s="2604"/>
      <c r="BD303" s="2604"/>
      <c r="BE303" s="2604"/>
      <c r="BF303" s="2604"/>
      <c r="BG303" s="2604"/>
      <c r="BH303" s="2604"/>
      <c r="BI303" s="2604"/>
      <c r="BJ303" s="2604"/>
      <c r="BK303" s="2604"/>
      <c r="BL303" s="2604"/>
      <c r="BM303" s="2604"/>
      <c r="BN303" s="2604"/>
      <c r="BO303" s="2604"/>
      <c r="BP303" s="2604"/>
      <c r="BQ303" s="2604"/>
      <c r="BR303" s="2604"/>
      <c r="BS303" s="2604"/>
    </row>
    <row r="304" spans="52:71">
      <c r="AZ304" s="2605"/>
      <c r="BA304" s="2604"/>
      <c r="BB304" s="2604"/>
      <c r="BC304" s="2604"/>
      <c r="BD304" s="2604"/>
      <c r="BE304" s="2604"/>
      <c r="BF304" s="2604"/>
      <c r="BG304" s="2604"/>
      <c r="BH304" s="2604"/>
      <c r="BI304" s="2604"/>
      <c r="BJ304" s="2604"/>
      <c r="BK304" s="2604"/>
      <c r="BL304" s="2604"/>
      <c r="BM304" s="2604"/>
      <c r="BN304" s="2604"/>
      <c r="BO304" s="2604"/>
      <c r="BP304" s="2604"/>
      <c r="BQ304" s="2604"/>
      <c r="BR304" s="2604"/>
      <c r="BS304" s="2604"/>
    </row>
    <row r="305" spans="52:71">
      <c r="BA305" s="2604"/>
      <c r="BB305" s="2604"/>
      <c r="BC305" s="2604"/>
      <c r="BD305" s="2604"/>
      <c r="BE305" s="2604"/>
      <c r="BF305" s="2604"/>
      <c r="BG305" s="2604"/>
      <c r="BH305" s="2604"/>
      <c r="BI305" s="2604"/>
      <c r="BJ305" s="2604"/>
      <c r="BK305" s="2604"/>
      <c r="BL305" s="2604"/>
      <c r="BM305" s="2604"/>
      <c r="BN305" s="2604"/>
      <c r="BO305" s="2604"/>
      <c r="BP305" s="2604"/>
      <c r="BQ305" s="2604"/>
      <c r="BR305" s="2604"/>
      <c r="BS305" s="2604"/>
    </row>
    <row r="306" spans="52:71">
      <c r="BA306" s="2604"/>
      <c r="BB306" s="2604"/>
      <c r="BC306" s="2604"/>
      <c r="BD306" s="2604"/>
      <c r="BE306" s="2604"/>
      <c r="BF306" s="2604"/>
      <c r="BG306" s="2604"/>
      <c r="BH306" s="2604"/>
      <c r="BI306" s="2604"/>
      <c r="BJ306" s="2604"/>
      <c r="BK306" s="2604"/>
      <c r="BL306" s="2604"/>
      <c r="BM306" s="2604"/>
      <c r="BN306" s="2604"/>
      <c r="BO306" s="2604"/>
      <c r="BP306" s="2604"/>
      <c r="BQ306" s="2604"/>
      <c r="BR306" s="2604"/>
      <c r="BS306" s="2604"/>
    </row>
    <row r="307" spans="52:71">
      <c r="BA307" s="2604"/>
      <c r="BB307" s="2604"/>
      <c r="BC307" s="2604"/>
      <c r="BD307" s="2604"/>
      <c r="BE307" s="2604"/>
      <c r="BF307" s="2604"/>
      <c r="BG307" s="2604"/>
      <c r="BH307" s="2604"/>
      <c r="BI307" s="2604"/>
      <c r="BJ307" s="2604"/>
      <c r="BK307" s="2604"/>
      <c r="BL307" s="2604"/>
      <c r="BM307" s="2604"/>
      <c r="BN307" s="2604"/>
      <c r="BO307" s="2604"/>
      <c r="BP307" s="2604"/>
      <c r="BQ307" s="2604"/>
      <c r="BR307" s="2604"/>
      <c r="BS307" s="2604"/>
    </row>
    <row r="308" spans="52:71">
      <c r="BA308" s="2604"/>
      <c r="BB308" s="2604"/>
      <c r="BC308" s="2604"/>
      <c r="BD308" s="2604"/>
      <c r="BE308" s="2604"/>
      <c r="BF308" s="2604"/>
      <c r="BG308" s="2604"/>
      <c r="BH308" s="2604"/>
      <c r="BI308" s="2604"/>
      <c r="BJ308" s="2604"/>
      <c r="BK308" s="2604"/>
      <c r="BL308" s="2604"/>
      <c r="BM308" s="2604"/>
      <c r="BN308" s="2604"/>
      <c r="BO308" s="2604"/>
      <c r="BP308" s="2604"/>
      <c r="BQ308" s="2604"/>
      <c r="BR308" s="2604"/>
      <c r="BS308" s="2604"/>
    </row>
    <row r="309" spans="52:71">
      <c r="AZ309" s="2605"/>
      <c r="BA309" s="2604"/>
      <c r="BB309" s="2604"/>
      <c r="BC309" s="2604"/>
      <c r="BD309" s="2604"/>
      <c r="BE309" s="2604"/>
      <c r="BF309" s="2604"/>
      <c r="BG309" s="2604"/>
      <c r="BH309" s="2604"/>
      <c r="BI309" s="2604"/>
      <c r="BJ309" s="2604"/>
      <c r="BK309" s="2604"/>
      <c r="BL309" s="2604"/>
      <c r="BM309" s="2604"/>
      <c r="BN309" s="2604"/>
      <c r="BO309" s="2604"/>
      <c r="BP309" s="2604"/>
      <c r="BQ309" s="2604"/>
      <c r="BR309" s="2604"/>
      <c r="BS309" s="2604"/>
    </row>
    <row r="310" spans="52:71">
      <c r="BA310" s="2604"/>
      <c r="BB310" s="2604"/>
      <c r="BC310" s="2604"/>
      <c r="BD310" s="2604"/>
      <c r="BE310" s="2604"/>
      <c r="BF310" s="2604"/>
      <c r="BG310" s="2604"/>
      <c r="BH310" s="2604"/>
      <c r="BI310" s="2604"/>
      <c r="BJ310" s="2604"/>
      <c r="BK310" s="2604"/>
      <c r="BL310" s="2604"/>
      <c r="BM310" s="2604"/>
      <c r="BN310" s="2604"/>
      <c r="BO310" s="2604"/>
      <c r="BP310" s="2604"/>
      <c r="BQ310" s="2604"/>
      <c r="BR310" s="2604"/>
      <c r="BS310" s="2604"/>
    </row>
    <row r="311" spans="52:71">
      <c r="BA311" s="2604"/>
      <c r="BB311" s="2604"/>
      <c r="BC311" s="2604"/>
      <c r="BD311" s="2604"/>
      <c r="BE311" s="2604"/>
      <c r="BF311" s="2604"/>
      <c r="BG311" s="2604"/>
      <c r="BH311" s="2604"/>
      <c r="BI311" s="2604"/>
      <c r="BJ311" s="2604"/>
      <c r="BK311" s="2604"/>
      <c r="BL311" s="2604"/>
      <c r="BM311" s="2604"/>
      <c r="BN311" s="2604"/>
      <c r="BO311" s="2604"/>
      <c r="BP311" s="2604"/>
      <c r="BQ311" s="2604"/>
      <c r="BR311" s="2604"/>
      <c r="BS311" s="2604"/>
    </row>
    <row r="312" spans="52:71">
      <c r="BA312" s="2604"/>
      <c r="BB312" s="2604"/>
      <c r="BC312" s="2604"/>
      <c r="BD312" s="2604"/>
      <c r="BE312" s="2604"/>
      <c r="BF312" s="2604"/>
      <c r="BG312" s="2604"/>
      <c r="BH312" s="2604"/>
      <c r="BI312" s="2604"/>
      <c r="BJ312" s="2604"/>
      <c r="BK312" s="2604"/>
      <c r="BL312" s="2604"/>
      <c r="BM312" s="2604"/>
      <c r="BN312" s="2604"/>
      <c r="BO312" s="2604"/>
      <c r="BP312" s="2604"/>
      <c r="BQ312" s="2604"/>
      <c r="BR312" s="2604"/>
      <c r="BS312" s="2604"/>
    </row>
    <row r="313" spans="52:71">
      <c r="BA313" s="2604"/>
      <c r="BB313" s="2604"/>
      <c r="BC313" s="2604"/>
      <c r="BD313" s="2604"/>
      <c r="BE313" s="2604"/>
      <c r="BF313" s="2604"/>
      <c r="BG313" s="2604"/>
      <c r="BH313" s="2604"/>
      <c r="BI313" s="2604"/>
      <c r="BJ313" s="2604"/>
      <c r="BK313" s="2604"/>
      <c r="BL313" s="2604"/>
      <c r="BM313" s="2604"/>
      <c r="BN313" s="2604"/>
      <c r="BO313" s="2604"/>
      <c r="BP313" s="2604"/>
      <c r="BQ313" s="2604"/>
      <c r="BR313" s="2604"/>
      <c r="BS313" s="2604"/>
    </row>
    <row r="314" spans="52:71">
      <c r="AZ314" s="2605"/>
      <c r="BA314" s="2604"/>
      <c r="BB314" s="2604"/>
      <c r="BC314" s="2604"/>
      <c r="BD314" s="2604"/>
      <c r="BE314" s="2604"/>
      <c r="BF314" s="2604"/>
      <c r="BG314" s="2604"/>
      <c r="BH314" s="2604"/>
      <c r="BI314" s="2604"/>
      <c r="BJ314" s="2604"/>
      <c r="BK314" s="2604"/>
      <c r="BL314" s="2604"/>
      <c r="BM314" s="2604"/>
      <c r="BN314" s="2604"/>
      <c r="BO314" s="2604"/>
      <c r="BP314" s="2604"/>
      <c r="BQ314" s="2604"/>
      <c r="BR314" s="2604"/>
      <c r="BS314" s="2604"/>
    </row>
    <row r="315" spans="52:71">
      <c r="BA315" s="2604"/>
      <c r="BB315" s="2604"/>
      <c r="BC315" s="2604"/>
      <c r="BD315" s="2604"/>
      <c r="BE315" s="2604"/>
      <c r="BF315" s="2604"/>
      <c r="BG315" s="2604"/>
      <c r="BH315" s="2604"/>
      <c r="BI315" s="2604"/>
      <c r="BJ315" s="2604"/>
      <c r="BK315" s="2604"/>
      <c r="BL315" s="2604"/>
      <c r="BM315" s="2604"/>
      <c r="BN315" s="2604"/>
      <c r="BO315" s="2604"/>
      <c r="BP315" s="2604"/>
      <c r="BQ315" s="2604"/>
      <c r="BR315" s="2604"/>
      <c r="BS315" s="2604"/>
    </row>
    <row r="316" spans="52:71">
      <c r="BA316" s="2604"/>
      <c r="BB316" s="2604"/>
      <c r="BC316" s="2604"/>
      <c r="BD316" s="2604"/>
      <c r="BE316" s="2604"/>
      <c r="BF316" s="2604"/>
      <c r="BG316" s="2604"/>
      <c r="BH316" s="2604"/>
      <c r="BI316" s="2604"/>
      <c r="BJ316" s="2604"/>
      <c r="BK316" s="2604"/>
      <c r="BL316" s="2604"/>
      <c r="BM316" s="2604"/>
      <c r="BN316" s="2604"/>
      <c r="BO316" s="2604"/>
      <c r="BP316" s="2604"/>
      <c r="BQ316" s="2604"/>
      <c r="BR316" s="2604"/>
      <c r="BS316" s="2604"/>
    </row>
    <row r="317" spans="52:71">
      <c r="BA317" s="2604"/>
      <c r="BB317" s="2604"/>
      <c r="BC317" s="2604"/>
      <c r="BD317" s="2604"/>
      <c r="BE317" s="2604"/>
      <c r="BF317" s="2604"/>
      <c r="BG317" s="2604"/>
      <c r="BH317" s="2604"/>
      <c r="BI317" s="2604"/>
      <c r="BJ317" s="2604"/>
      <c r="BK317" s="2604"/>
      <c r="BL317" s="2604"/>
      <c r="BM317" s="2604"/>
      <c r="BN317" s="2604"/>
      <c r="BO317" s="2604"/>
      <c r="BP317" s="2604"/>
      <c r="BQ317" s="2604"/>
      <c r="BR317" s="2604"/>
      <c r="BS317" s="2604"/>
    </row>
    <row r="318" spans="52:71">
      <c r="BA318" s="2604"/>
      <c r="BB318" s="2604"/>
      <c r="BC318" s="2604"/>
      <c r="BD318" s="2604"/>
      <c r="BE318" s="2604"/>
      <c r="BF318" s="2604"/>
      <c r="BG318" s="2604"/>
      <c r="BH318" s="2604"/>
      <c r="BI318" s="2604"/>
      <c r="BJ318" s="2604"/>
      <c r="BK318" s="2604"/>
      <c r="BL318" s="2604"/>
      <c r="BM318" s="2604"/>
      <c r="BN318" s="2604"/>
      <c r="BO318" s="2604"/>
      <c r="BP318" s="2604"/>
      <c r="BQ318" s="2604"/>
      <c r="BR318" s="2604"/>
      <c r="BS318" s="2604"/>
    </row>
    <row r="319" spans="52:71">
      <c r="BA319" s="2604"/>
      <c r="BB319" s="2604"/>
      <c r="BC319" s="2604"/>
      <c r="BD319" s="2604"/>
      <c r="BE319" s="2604"/>
      <c r="BF319" s="2604"/>
      <c r="BG319" s="2604"/>
      <c r="BH319" s="2604"/>
      <c r="BI319" s="2604"/>
      <c r="BJ319" s="2604"/>
      <c r="BK319" s="2604"/>
      <c r="BL319" s="2604"/>
      <c r="BM319" s="2604"/>
      <c r="BN319" s="2604"/>
      <c r="BO319" s="2604"/>
      <c r="BP319" s="2604"/>
      <c r="BQ319" s="2604"/>
      <c r="BR319" s="2604"/>
      <c r="BS319" s="2604"/>
    </row>
    <row r="320" spans="52:71">
      <c r="BA320" s="2604"/>
      <c r="BB320" s="2604"/>
      <c r="BC320" s="2604"/>
      <c r="BD320" s="2604"/>
      <c r="BE320" s="2604"/>
      <c r="BF320" s="2604"/>
      <c r="BG320" s="2604"/>
      <c r="BH320" s="2604"/>
      <c r="BI320" s="2604"/>
      <c r="BJ320" s="2604"/>
      <c r="BK320" s="2604"/>
      <c r="BL320" s="2604"/>
      <c r="BM320" s="2604"/>
      <c r="BN320" s="2604"/>
      <c r="BO320" s="2604"/>
      <c r="BP320" s="2604"/>
      <c r="BQ320" s="2604"/>
      <c r="BR320" s="2604"/>
      <c r="BS320" s="2604"/>
    </row>
    <row r="321" spans="52:71">
      <c r="AZ321" s="2605"/>
      <c r="BA321" s="2604"/>
      <c r="BB321" s="2604"/>
      <c r="BC321" s="2604"/>
      <c r="BD321" s="2604"/>
      <c r="BE321" s="2604"/>
      <c r="BF321" s="2604"/>
      <c r="BG321" s="2604"/>
      <c r="BH321" s="2604"/>
      <c r="BI321" s="2604"/>
      <c r="BJ321" s="2604"/>
      <c r="BK321" s="2604"/>
      <c r="BL321" s="2604"/>
      <c r="BM321" s="2604"/>
      <c r="BN321" s="2604"/>
      <c r="BO321" s="2604"/>
      <c r="BP321" s="2604"/>
      <c r="BQ321" s="2604"/>
      <c r="BR321" s="2604"/>
      <c r="BS321" s="2604"/>
    </row>
    <row r="322" spans="52:71">
      <c r="BA322" s="2604"/>
      <c r="BB322" s="2604"/>
      <c r="BC322" s="2604"/>
      <c r="BD322" s="2604"/>
      <c r="BE322" s="2604"/>
      <c r="BF322" s="2604"/>
      <c r="BG322" s="2604"/>
      <c r="BH322" s="2604"/>
      <c r="BI322" s="2604"/>
      <c r="BJ322" s="2604"/>
      <c r="BK322" s="2604"/>
      <c r="BL322" s="2604"/>
      <c r="BM322" s="2604"/>
      <c r="BN322" s="2604"/>
      <c r="BO322" s="2604"/>
      <c r="BP322" s="2604"/>
      <c r="BQ322" s="2604"/>
      <c r="BR322" s="2604"/>
      <c r="BS322" s="2604"/>
    </row>
    <row r="323" spans="52:71">
      <c r="BA323" s="2604"/>
      <c r="BB323" s="2604"/>
      <c r="BC323" s="2604"/>
      <c r="BD323" s="2604"/>
      <c r="BE323" s="2604"/>
      <c r="BF323" s="2604"/>
      <c r="BG323" s="2604"/>
      <c r="BH323" s="2604"/>
      <c r="BI323" s="2604"/>
      <c r="BJ323" s="2604"/>
      <c r="BK323" s="2604"/>
      <c r="BL323" s="2604"/>
      <c r="BM323" s="2604"/>
      <c r="BN323" s="2604"/>
      <c r="BO323" s="2604"/>
      <c r="BP323" s="2604"/>
      <c r="BQ323" s="2604"/>
      <c r="BR323" s="2604"/>
      <c r="BS323" s="2604"/>
    </row>
    <row r="324" spans="52:71">
      <c r="BA324" s="2604"/>
      <c r="BB324" s="2604"/>
      <c r="BC324" s="2604"/>
      <c r="BD324" s="2604"/>
      <c r="BE324" s="2604"/>
      <c r="BF324" s="2604"/>
      <c r="BG324" s="2604"/>
      <c r="BH324" s="2604"/>
      <c r="BI324" s="2604"/>
      <c r="BJ324" s="2604"/>
      <c r="BK324" s="2604"/>
      <c r="BL324" s="2604"/>
      <c r="BM324" s="2604"/>
      <c r="BN324" s="2604"/>
      <c r="BO324" s="2604"/>
      <c r="BP324" s="2604"/>
      <c r="BQ324" s="2604"/>
      <c r="BR324" s="2604"/>
      <c r="BS324" s="2604"/>
    </row>
    <row r="325" spans="52:71">
      <c r="BA325" s="2604"/>
      <c r="BB325" s="2604"/>
      <c r="BC325" s="2604"/>
      <c r="BD325" s="2604"/>
      <c r="BE325" s="2604"/>
      <c r="BF325" s="2604"/>
      <c r="BG325" s="2604"/>
      <c r="BH325" s="2604"/>
      <c r="BI325" s="2604"/>
      <c r="BJ325" s="2604"/>
      <c r="BK325" s="2604"/>
      <c r="BL325" s="2604"/>
      <c r="BM325" s="2604"/>
      <c r="BN325" s="2604"/>
      <c r="BO325" s="2604"/>
      <c r="BP325" s="2604"/>
      <c r="BQ325" s="2604"/>
      <c r="BR325" s="2604"/>
      <c r="BS325" s="2604"/>
    </row>
    <row r="326" spans="52:71">
      <c r="BA326" s="2604"/>
      <c r="BB326" s="2604"/>
      <c r="BC326" s="2604"/>
      <c r="BD326" s="2604"/>
      <c r="BE326" s="2604"/>
      <c r="BF326" s="2604"/>
      <c r="BG326" s="2604"/>
      <c r="BH326" s="2604"/>
      <c r="BI326" s="2604"/>
      <c r="BJ326" s="2604"/>
      <c r="BK326" s="2604"/>
      <c r="BL326" s="2604"/>
      <c r="BM326" s="2604"/>
      <c r="BN326" s="2604"/>
      <c r="BO326" s="2604"/>
      <c r="BP326" s="2604"/>
      <c r="BQ326" s="2604"/>
      <c r="BR326" s="2604"/>
      <c r="BS326" s="2604"/>
    </row>
    <row r="327" spans="52:71">
      <c r="BA327" s="2604"/>
      <c r="BB327" s="2604"/>
      <c r="BC327" s="2604"/>
      <c r="BD327" s="2604"/>
      <c r="BE327" s="2604"/>
      <c r="BF327" s="2604"/>
      <c r="BG327" s="2604"/>
      <c r="BH327" s="2604"/>
      <c r="BI327" s="2604"/>
      <c r="BJ327" s="2604"/>
      <c r="BK327" s="2604"/>
      <c r="BL327" s="2604"/>
      <c r="BM327" s="2604"/>
      <c r="BN327" s="2604"/>
      <c r="BO327" s="2604"/>
      <c r="BP327" s="2604"/>
      <c r="BQ327" s="2604"/>
      <c r="BR327" s="2604"/>
      <c r="BS327" s="2604"/>
    </row>
    <row r="328" spans="52:71">
      <c r="AZ328" s="2605"/>
      <c r="BA328" s="2604"/>
      <c r="BB328" s="2604"/>
      <c r="BC328" s="2604"/>
      <c r="BD328" s="2604"/>
      <c r="BE328" s="2604"/>
      <c r="BF328" s="2604"/>
      <c r="BG328" s="2604"/>
      <c r="BH328" s="2604"/>
      <c r="BI328" s="2604"/>
      <c r="BJ328" s="2604"/>
      <c r="BK328" s="2604"/>
      <c r="BL328" s="2604"/>
      <c r="BM328" s="2604"/>
      <c r="BN328" s="2604"/>
      <c r="BO328" s="2604"/>
      <c r="BP328" s="2604"/>
      <c r="BQ328" s="2604"/>
      <c r="BR328" s="2604"/>
      <c r="BS328" s="2604"/>
    </row>
    <row r="329" spans="52:71">
      <c r="BA329" s="2604"/>
      <c r="BB329" s="2604"/>
      <c r="BC329" s="2604"/>
      <c r="BD329" s="2604"/>
      <c r="BE329" s="2604"/>
      <c r="BF329" s="2604"/>
      <c r="BG329" s="2604"/>
      <c r="BH329" s="2604"/>
      <c r="BI329" s="2604"/>
      <c r="BJ329" s="2604"/>
      <c r="BK329" s="2604"/>
      <c r="BL329" s="2604"/>
      <c r="BM329" s="2604"/>
      <c r="BN329" s="2604"/>
      <c r="BO329" s="2604"/>
      <c r="BP329" s="2604"/>
      <c r="BQ329" s="2604"/>
      <c r="BR329" s="2604"/>
      <c r="BS329" s="2604"/>
    </row>
    <row r="330" spans="52:71">
      <c r="BA330" s="2604"/>
      <c r="BB330" s="2604"/>
      <c r="BC330" s="2604"/>
      <c r="BD330" s="2604"/>
      <c r="BE330" s="2604"/>
      <c r="BF330" s="2604"/>
      <c r="BG330" s="2604"/>
      <c r="BH330" s="2604"/>
      <c r="BI330" s="2604"/>
      <c r="BJ330" s="2604"/>
      <c r="BK330" s="2604"/>
      <c r="BL330" s="2604"/>
      <c r="BM330" s="2604"/>
      <c r="BN330" s="2604"/>
      <c r="BO330" s="2604"/>
      <c r="BP330" s="2604"/>
      <c r="BQ330" s="2604"/>
      <c r="BR330" s="2604"/>
      <c r="BS330" s="2604"/>
    </row>
    <row r="331" spans="52:71">
      <c r="BA331" s="2604"/>
      <c r="BB331" s="2604"/>
      <c r="BC331" s="2604"/>
      <c r="BD331" s="2604"/>
      <c r="BE331" s="2604"/>
      <c r="BF331" s="2604"/>
      <c r="BG331" s="2604"/>
      <c r="BH331" s="2604"/>
      <c r="BI331" s="2604"/>
      <c r="BJ331" s="2604"/>
      <c r="BK331" s="2604"/>
      <c r="BL331" s="2604"/>
      <c r="BM331" s="2604"/>
      <c r="BN331" s="2604"/>
      <c r="BO331" s="2604"/>
      <c r="BP331" s="2604"/>
      <c r="BQ331" s="2604"/>
      <c r="BR331" s="2604"/>
      <c r="BS331" s="2604"/>
    </row>
    <row r="332" spans="52:71">
      <c r="BA332" s="2604"/>
      <c r="BB332" s="2604"/>
      <c r="BC332" s="2604"/>
      <c r="BD332" s="2604"/>
      <c r="BE332" s="2604"/>
      <c r="BF332" s="2604"/>
      <c r="BG332" s="2604"/>
      <c r="BH332" s="2604"/>
      <c r="BI332" s="2604"/>
      <c r="BJ332" s="2604"/>
      <c r="BK332" s="2604"/>
      <c r="BL332" s="2604"/>
      <c r="BM332" s="2604"/>
      <c r="BN332" s="2604"/>
      <c r="BO332" s="2604"/>
      <c r="BP332" s="2604"/>
      <c r="BQ332" s="2604"/>
      <c r="BR332" s="2604"/>
      <c r="BS332" s="2604"/>
    </row>
    <row r="333" spans="52:71">
      <c r="BA333" s="2604"/>
      <c r="BB333" s="2604"/>
      <c r="BC333" s="2604"/>
      <c r="BD333" s="2604"/>
      <c r="BE333" s="2604"/>
      <c r="BF333" s="2604"/>
      <c r="BG333" s="2604"/>
      <c r="BH333" s="2604"/>
      <c r="BI333" s="2604"/>
      <c r="BJ333" s="2604"/>
      <c r="BK333" s="2604"/>
      <c r="BL333" s="2604"/>
      <c r="BM333" s="2604"/>
      <c r="BN333" s="2604"/>
      <c r="BO333" s="2604"/>
      <c r="BP333" s="2604"/>
      <c r="BQ333" s="2604"/>
      <c r="BR333" s="2604"/>
      <c r="BS333" s="2604"/>
    </row>
    <row r="334" spans="52:71">
      <c r="BA334" s="2604"/>
      <c r="BB334" s="2604"/>
      <c r="BC334" s="2604"/>
      <c r="BD334" s="2604"/>
      <c r="BE334" s="2604"/>
      <c r="BF334" s="2604"/>
      <c r="BG334" s="2604"/>
      <c r="BH334" s="2604"/>
      <c r="BI334" s="2604"/>
      <c r="BJ334" s="2604"/>
      <c r="BK334" s="2604"/>
      <c r="BL334" s="2604"/>
      <c r="BM334" s="2604"/>
      <c r="BN334" s="2604"/>
      <c r="BO334" s="2604"/>
      <c r="BP334" s="2604"/>
      <c r="BQ334" s="2604"/>
      <c r="BR334" s="2604"/>
      <c r="BS334" s="2604"/>
    </row>
    <row r="335" spans="52:71">
      <c r="BA335" s="2604"/>
      <c r="BB335" s="2604"/>
      <c r="BC335" s="2604"/>
      <c r="BD335" s="2604"/>
      <c r="BE335" s="2604"/>
      <c r="BF335" s="2604"/>
      <c r="BG335" s="2604"/>
      <c r="BH335" s="2604"/>
      <c r="BI335" s="2604"/>
      <c r="BJ335" s="2604"/>
      <c r="BK335" s="2604"/>
      <c r="BL335" s="2604"/>
      <c r="BM335" s="2604"/>
      <c r="BN335" s="2604"/>
      <c r="BO335" s="2604"/>
      <c r="BP335" s="2604"/>
      <c r="BQ335" s="2604"/>
      <c r="BR335" s="2604"/>
      <c r="BS335" s="2604"/>
    </row>
    <row r="336" spans="52:71">
      <c r="BA336" s="2604"/>
      <c r="BB336" s="2604"/>
      <c r="BC336" s="2604"/>
      <c r="BD336" s="2604"/>
      <c r="BE336" s="2604"/>
      <c r="BF336" s="2604"/>
      <c r="BG336" s="2604"/>
      <c r="BH336" s="2604"/>
      <c r="BI336" s="2604"/>
      <c r="BJ336" s="2604"/>
      <c r="BK336" s="2604"/>
      <c r="BL336" s="2604"/>
      <c r="BM336" s="2604"/>
      <c r="BN336" s="2604"/>
      <c r="BO336" s="2604"/>
      <c r="BP336" s="2604"/>
      <c r="BQ336" s="2604"/>
      <c r="BR336" s="2604"/>
      <c r="BS336" s="2604"/>
    </row>
    <row r="337" spans="49:71">
      <c r="AZ337" s="2605"/>
      <c r="BA337" s="2604"/>
      <c r="BB337" s="2604"/>
      <c r="BC337" s="2604"/>
      <c r="BD337" s="2604"/>
      <c r="BE337" s="2604"/>
      <c r="BF337" s="2604"/>
      <c r="BG337" s="2604"/>
      <c r="BH337" s="2604"/>
      <c r="BI337" s="2604"/>
      <c r="BJ337" s="2604"/>
      <c r="BK337" s="2604"/>
      <c r="BL337" s="2604"/>
      <c r="BM337" s="2604"/>
      <c r="BN337" s="2604"/>
      <c r="BO337" s="2604"/>
      <c r="BP337" s="2604"/>
      <c r="BQ337" s="2604"/>
      <c r="BR337" s="2604"/>
      <c r="BS337" s="2604"/>
    </row>
    <row r="338" spans="49:71">
      <c r="BA338" s="2604"/>
      <c r="BB338" s="2604"/>
      <c r="BC338" s="2604"/>
      <c r="BD338" s="2604"/>
      <c r="BE338" s="2604"/>
      <c r="BF338" s="2604"/>
      <c r="BG338" s="2604"/>
      <c r="BH338" s="2604"/>
      <c r="BI338" s="2604"/>
      <c r="BJ338" s="2604"/>
      <c r="BK338" s="2604"/>
      <c r="BL338" s="2604"/>
      <c r="BM338" s="2604"/>
      <c r="BN338" s="2604"/>
      <c r="BO338" s="2604"/>
      <c r="BP338" s="2604"/>
      <c r="BQ338" s="2604"/>
      <c r="BR338" s="2604"/>
      <c r="BS338" s="2604"/>
    </row>
    <row r="339" spans="49:71">
      <c r="BA339" s="2604"/>
      <c r="BB339" s="2604"/>
      <c r="BC339" s="2604"/>
      <c r="BD339" s="2604"/>
      <c r="BE339" s="2604"/>
      <c r="BF339" s="2604"/>
      <c r="BG339" s="2604"/>
      <c r="BH339" s="2604"/>
      <c r="BI339" s="2604"/>
      <c r="BJ339" s="2604"/>
      <c r="BK339" s="2604"/>
      <c r="BL339" s="2604"/>
      <c r="BM339" s="2604"/>
      <c r="BN339" s="2604"/>
      <c r="BO339" s="2604"/>
      <c r="BP339" s="2604"/>
      <c r="BQ339" s="2604"/>
      <c r="BR339" s="2604"/>
      <c r="BS339" s="2604"/>
    </row>
    <row r="340" spans="49:71">
      <c r="BA340" s="2604"/>
      <c r="BB340" s="2604"/>
      <c r="BC340" s="2604"/>
      <c r="BD340" s="2604"/>
      <c r="BE340" s="2604"/>
      <c r="BF340" s="2604"/>
      <c r="BG340" s="2604"/>
      <c r="BH340" s="2604"/>
      <c r="BI340" s="2604"/>
      <c r="BJ340" s="2604"/>
      <c r="BK340" s="2604"/>
      <c r="BL340" s="2604"/>
      <c r="BM340" s="2604"/>
      <c r="BN340" s="2604"/>
      <c r="BO340" s="2604"/>
      <c r="BP340" s="2604"/>
      <c r="BQ340" s="2604"/>
      <c r="BR340" s="2604"/>
      <c r="BS340" s="2604"/>
    </row>
    <row r="341" spans="49:71">
      <c r="BA341" s="2604"/>
      <c r="BB341" s="2604"/>
      <c r="BC341" s="2604"/>
      <c r="BD341" s="2604"/>
      <c r="BE341" s="2604"/>
      <c r="BF341" s="2604"/>
      <c r="BG341" s="2604"/>
      <c r="BH341" s="2604"/>
      <c r="BI341" s="2604"/>
      <c r="BJ341" s="2604"/>
      <c r="BK341" s="2604"/>
      <c r="BL341" s="2604"/>
      <c r="BM341" s="2604"/>
      <c r="BN341" s="2604"/>
      <c r="BO341" s="2604"/>
      <c r="BP341" s="2604"/>
      <c r="BQ341" s="2604"/>
      <c r="BR341" s="2604"/>
      <c r="BS341" s="2604"/>
    </row>
    <row r="342" spans="49:71">
      <c r="BA342" s="2604"/>
      <c r="BB342" s="2604"/>
      <c r="BC342" s="2604"/>
      <c r="BD342" s="2604"/>
      <c r="BE342" s="2604"/>
      <c r="BF342" s="2604"/>
      <c r="BG342" s="2604"/>
      <c r="BH342" s="2604"/>
      <c r="BI342" s="2604"/>
      <c r="BJ342" s="2604"/>
      <c r="BK342" s="2604"/>
      <c r="BL342" s="2604"/>
      <c r="BM342" s="2604"/>
      <c r="BN342" s="2604"/>
      <c r="BO342" s="2604"/>
      <c r="BP342" s="2604"/>
      <c r="BQ342" s="2604"/>
      <c r="BR342" s="2604"/>
      <c r="BS342" s="2604"/>
    </row>
    <row r="343" spans="49:71">
      <c r="BA343" s="2604"/>
      <c r="BB343" s="2604"/>
      <c r="BC343" s="2604"/>
      <c r="BD343" s="2604"/>
      <c r="BE343" s="2604"/>
      <c r="BF343" s="2604"/>
      <c r="BG343" s="2604"/>
      <c r="BH343" s="2604"/>
      <c r="BI343" s="2604"/>
      <c r="BJ343" s="2604"/>
      <c r="BK343" s="2604"/>
      <c r="BL343" s="2604"/>
      <c r="BM343" s="2604"/>
      <c r="BN343" s="2604"/>
      <c r="BO343" s="2604"/>
      <c r="BP343" s="2604"/>
      <c r="BQ343" s="2604"/>
      <c r="BR343" s="2604"/>
      <c r="BS343" s="2604"/>
    </row>
    <row r="344" spans="49:71">
      <c r="BA344" s="2604"/>
      <c r="BB344" s="2604"/>
      <c r="BC344" s="2604"/>
      <c r="BD344" s="2604"/>
      <c r="BE344" s="2604"/>
      <c r="BF344" s="2604"/>
      <c r="BG344" s="2604"/>
      <c r="BH344" s="2604"/>
      <c r="BI344" s="2604"/>
      <c r="BJ344" s="2604"/>
      <c r="BK344" s="2604"/>
      <c r="BL344" s="2604"/>
      <c r="BM344" s="2604"/>
      <c r="BN344" s="2604"/>
      <c r="BO344" s="2604"/>
      <c r="BP344" s="2604"/>
      <c r="BQ344" s="2604"/>
      <c r="BR344" s="2604"/>
      <c r="BS344" s="2604"/>
    </row>
    <row r="345" spans="49:71">
      <c r="BA345" s="2604"/>
      <c r="BB345" s="2604"/>
      <c r="BC345" s="2604"/>
      <c r="BD345" s="2604"/>
      <c r="BE345" s="2604"/>
      <c r="BF345" s="2604"/>
      <c r="BG345" s="2604"/>
      <c r="BH345" s="2604"/>
      <c r="BI345" s="2604"/>
      <c r="BJ345" s="2604"/>
      <c r="BK345" s="2604"/>
      <c r="BL345" s="2604"/>
      <c r="BM345" s="2604"/>
      <c r="BN345" s="2604"/>
      <c r="BO345" s="2604"/>
      <c r="BP345" s="2604"/>
      <c r="BQ345" s="2604"/>
      <c r="BR345" s="2604"/>
      <c r="BS345" s="2604"/>
    </row>
    <row r="346" spans="49:71">
      <c r="AW346" s="2604"/>
      <c r="AX346" s="2604"/>
      <c r="BA346" s="2604"/>
      <c r="BB346" s="2604"/>
      <c r="BC346" s="2604"/>
      <c r="BD346" s="2604"/>
      <c r="BE346" s="2604"/>
      <c r="BF346" s="2604"/>
      <c r="BG346" s="2604"/>
      <c r="BH346" s="2604"/>
      <c r="BI346" s="2604"/>
      <c r="BJ346" s="2604"/>
      <c r="BK346" s="2604"/>
      <c r="BL346" s="2604"/>
      <c r="BM346" s="2604"/>
      <c r="BN346" s="2604"/>
      <c r="BO346" s="2604"/>
      <c r="BP346" s="2604"/>
      <c r="BQ346" s="2604"/>
      <c r="BR346" s="2604"/>
      <c r="BS346" s="2604"/>
    </row>
    <row r="347" spans="49:71">
      <c r="AW347" s="2604"/>
      <c r="AX347" s="2604"/>
      <c r="BA347" s="2604"/>
      <c r="BB347" s="2604"/>
      <c r="BC347" s="2604"/>
      <c r="BD347" s="2604"/>
      <c r="BE347" s="2604"/>
      <c r="BF347" s="2604"/>
      <c r="BG347" s="2604"/>
      <c r="BH347" s="2604"/>
      <c r="BI347" s="2604"/>
      <c r="BJ347" s="2604"/>
      <c r="BK347" s="2604"/>
      <c r="BL347" s="2604"/>
      <c r="BM347" s="2604"/>
      <c r="BN347" s="2604"/>
      <c r="BO347" s="2604"/>
      <c r="BP347" s="2604"/>
      <c r="BQ347" s="2604"/>
      <c r="BR347" s="2604"/>
      <c r="BS347" s="2604"/>
    </row>
    <row r="348" spans="49:71">
      <c r="BA348" s="2604"/>
      <c r="BB348" s="2604"/>
      <c r="BC348" s="2604"/>
      <c r="BD348" s="2604"/>
      <c r="BE348" s="2604"/>
      <c r="BF348" s="2604"/>
      <c r="BG348" s="2604"/>
      <c r="BH348" s="2604"/>
      <c r="BI348" s="2604"/>
      <c r="BJ348" s="2604"/>
      <c r="BK348" s="2604"/>
      <c r="BL348" s="2604"/>
      <c r="BM348" s="2604"/>
      <c r="BN348" s="2604"/>
      <c r="BO348" s="2604"/>
      <c r="BP348" s="2604"/>
      <c r="BQ348" s="2604"/>
      <c r="BR348" s="2604"/>
      <c r="BS348" s="2604"/>
    </row>
    <row r="349" spans="49:71">
      <c r="BA349" s="2604"/>
      <c r="BB349" s="2604"/>
      <c r="BC349" s="2604"/>
      <c r="BD349" s="2604"/>
      <c r="BE349" s="2604"/>
      <c r="BF349" s="2604"/>
      <c r="BG349" s="2604"/>
      <c r="BH349" s="2604"/>
      <c r="BI349" s="2604"/>
      <c r="BJ349" s="2604"/>
      <c r="BK349" s="2604"/>
      <c r="BL349" s="2604"/>
      <c r="BM349" s="2604"/>
      <c r="BN349" s="2604"/>
      <c r="BO349" s="2604"/>
      <c r="BP349" s="2604"/>
      <c r="BQ349" s="2604"/>
      <c r="BR349" s="2604"/>
      <c r="BS349" s="2604"/>
    </row>
    <row r="350" spans="49:71">
      <c r="BA350" s="2604"/>
      <c r="BB350" s="2604"/>
      <c r="BC350" s="2604"/>
      <c r="BD350" s="2604"/>
      <c r="BE350" s="2604"/>
      <c r="BF350" s="2604"/>
      <c r="BG350" s="2604"/>
      <c r="BH350" s="2604"/>
      <c r="BI350" s="2604"/>
      <c r="BJ350" s="2604"/>
      <c r="BK350" s="2604"/>
      <c r="BL350" s="2604"/>
      <c r="BM350" s="2604"/>
      <c r="BN350" s="2604"/>
      <c r="BO350" s="2604"/>
      <c r="BP350" s="2604"/>
      <c r="BQ350" s="2604"/>
      <c r="BR350" s="2604"/>
      <c r="BS350" s="2604"/>
    </row>
    <row r="351" spans="49:71">
      <c r="BA351" s="2604"/>
      <c r="BB351" s="2604"/>
      <c r="BC351" s="2604"/>
      <c r="BD351" s="2604"/>
      <c r="BE351" s="2604"/>
      <c r="BF351" s="2604"/>
      <c r="BG351" s="2604"/>
      <c r="BH351" s="2604"/>
      <c r="BI351" s="2604"/>
      <c r="BJ351" s="2604"/>
      <c r="BK351" s="2604"/>
      <c r="BL351" s="2604"/>
      <c r="BM351" s="2604"/>
      <c r="BN351" s="2604"/>
      <c r="BO351" s="2604"/>
      <c r="BP351" s="2604"/>
      <c r="BQ351" s="2604"/>
      <c r="BR351" s="2604"/>
      <c r="BS351" s="2604"/>
    </row>
    <row r="352" spans="49:71">
      <c r="BA352" s="2604"/>
      <c r="BB352" s="2604"/>
      <c r="BC352" s="2604"/>
      <c r="BD352" s="2604"/>
      <c r="BE352" s="2604"/>
      <c r="BF352" s="2604"/>
      <c r="BG352" s="2604"/>
      <c r="BH352" s="2604"/>
      <c r="BI352" s="2604"/>
      <c r="BJ352" s="2604"/>
      <c r="BK352" s="2604"/>
      <c r="BL352" s="2604"/>
      <c r="BM352" s="2604"/>
      <c r="BN352" s="2604"/>
      <c r="BO352" s="2604"/>
      <c r="BP352" s="2604"/>
      <c r="BQ352" s="2604"/>
      <c r="BR352" s="2604"/>
      <c r="BS352" s="2604"/>
    </row>
    <row r="353" spans="53:71">
      <c r="BA353" s="2604"/>
      <c r="BB353" s="2604"/>
      <c r="BC353" s="2604"/>
      <c r="BD353" s="2604"/>
      <c r="BE353" s="2604"/>
      <c r="BF353" s="2604"/>
      <c r="BG353" s="2604"/>
      <c r="BH353" s="2604"/>
      <c r="BI353" s="2604"/>
      <c r="BJ353" s="2604"/>
      <c r="BK353" s="2604"/>
      <c r="BL353" s="2604"/>
      <c r="BM353" s="2604"/>
      <c r="BN353" s="2604"/>
      <c r="BO353" s="2604"/>
      <c r="BP353" s="2604"/>
      <c r="BQ353" s="2604"/>
      <c r="BR353" s="2604"/>
      <c r="BS353" s="2604"/>
    </row>
    <row r="354" spans="53:71">
      <c r="BA354" s="2604"/>
      <c r="BB354" s="2604"/>
      <c r="BC354" s="2604"/>
      <c r="BD354" s="2604"/>
      <c r="BE354" s="2604"/>
      <c r="BF354" s="2604"/>
      <c r="BG354" s="2604"/>
      <c r="BH354" s="2604"/>
      <c r="BI354" s="2604"/>
      <c r="BJ354" s="2604"/>
      <c r="BK354" s="2604"/>
      <c r="BL354" s="2604"/>
      <c r="BM354" s="2604"/>
      <c r="BN354" s="2604"/>
      <c r="BO354" s="2604"/>
      <c r="BP354" s="2604"/>
      <c r="BQ354" s="2604"/>
      <c r="BR354" s="2604"/>
      <c r="BS354" s="2604"/>
    </row>
    <row r="355" spans="53:71">
      <c r="BA355" s="2604"/>
      <c r="BB355" s="2604"/>
      <c r="BC355" s="2604"/>
      <c r="BD355" s="2604"/>
      <c r="BE355" s="2604"/>
      <c r="BF355" s="2604"/>
      <c r="BG355" s="2604"/>
      <c r="BH355" s="2604"/>
      <c r="BI355" s="2604"/>
      <c r="BJ355" s="2604"/>
      <c r="BK355" s="2604"/>
      <c r="BL355" s="2604"/>
      <c r="BM355" s="2604"/>
      <c r="BN355" s="2604"/>
      <c r="BO355" s="2604"/>
      <c r="BP355" s="2604"/>
      <c r="BQ355" s="2604"/>
      <c r="BR355" s="2604"/>
      <c r="BS355" s="2604"/>
    </row>
    <row r="356" spans="53:71">
      <c r="BA356" s="2604"/>
      <c r="BB356" s="2604"/>
      <c r="BC356" s="2604"/>
      <c r="BD356" s="2604"/>
      <c r="BE356" s="2604"/>
      <c r="BF356" s="2604"/>
      <c r="BG356" s="2604"/>
      <c r="BH356" s="2604"/>
      <c r="BI356" s="2604"/>
      <c r="BJ356" s="2604"/>
      <c r="BK356" s="2604"/>
      <c r="BL356" s="2604"/>
      <c r="BM356" s="2604"/>
      <c r="BN356" s="2604"/>
      <c r="BO356" s="2604"/>
      <c r="BP356" s="2604"/>
      <c r="BQ356" s="2604"/>
      <c r="BR356" s="2604"/>
      <c r="BS356" s="2604"/>
    </row>
    <row r="357" spans="53:71">
      <c r="BA357" s="2604"/>
      <c r="BB357" s="2604"/>
      <c r="BC357" s="2604"/>
      <c r="BD357" s="2604"/>
      <c r="BE357" s="2604"/>
      <c r="BF357" s="2604"/>
      <c r="BG357" s="2604"/>
      <c r="BH357" s="2604"/>
      <c r="BI357" s="2604"/>
      <c r="BJ357" s="2604"/>
      <c r="BK357" s="2604"/>
      <c r="BL357" s="2604"/>
      <c r="BM357" s="2604"/>
      <c r="BN357" s="2604"/>
      <c r="BO357" s="2604"/>
      <c r="BP357" s="2604"/>
      <c r="BQ357" s="2604"/>
      <c r="BR357" s="2604"/>
      <c r="BS357" s="2604"/>
    </row>
    <row r="358" spans="53:71">
      <c r="BA358" s="2604"/>
      <c r="BB358" s="2604"/>
      <c r="BC358" s="2604"/>
      <c r="BD358" s="2604"/>
      <c r="BE358" s="2604"/>
      <c r="BF358" s="2604"/>
      <c r="BG358" s="2604"/>
      <c r="BH358" s="2604"/>
      <c r="BI358" s="2604"/>
      <c r="BJ358" s="2604"/>
      <c r="BK358" s="2604"/>
      <c r="BL358" s="2604"/>
      <c r="BM358" s="2604"/>
      <c r="BN358" s="2604"/>
      <c r="BO358" s="2604"/>
      <c r="BP358" s="2604"/>
      <c r="BQ358" s="2604"/>
      <c r="BR358" s="2604"/>
      <c r="BS358" s="2604"/>
    </row>
    <row r="359" spans="53:71">
      <c r="BA359" s="2604"/>
      <c r="BB359" s="2604"/>
      <c r="BC359" s="2604"/>
      <c r="BD359" s="2604"/>
      <c r="BE359" s="2604"/>
      <c r="BF359" s="2604"/>
      <c r="BG359" s="2604"/>
      <c r="BH359" s="2604"/>
      <c r="BI359" s="2604"/>
      <c r="BJ359" s="2604"/>
      <c r="BK359" s="2604"/>
      <c r="BL359" s="2604"/>
      <c r="BM359" s="2604"/>
      <c r="BN359" s="2604"/>
      <c r="BO359" s="2604"/>
      <c r="BP359" s="2604"/>
      <c r="BQ359" s="2604"/>
      <c r="BR359" s="2604"/>
      <c r="BS359" s="2604"/>
    </row>
    <row r="360" spans="53:71">
      <c r="BA360" s="2604"/>
      <c r="BB360" s="2604"/>
      <c r="BC360" s="2604"/>
      <c r="BD360" s="2604"/>
      <c r="BE360" s="2604"/>
      <c r="BF360" s="2604"/>
      <c r="BG360" s="2604"/>
      <c r="BH360" s="2604"/>
      <c r="BI360" s="2604"/>
      <c r="BJ360" s="2604"/>
      <c r="BK360" s="2604"/>
      <c r="BL360" s="2604"/>
      <c r="BM360" s="2604"/>
      <c r="BN360" s="2604"/>
      <c r="BO360" s="2604"/>
      <c r="BP360" s="2604"/>
      <c r="BQ360" s="2604"/>
      <c r="BR360" s="2604"/>
      <c r="BS360" s="2604"/>
    </row>
    <row r="361" spans="53:71">
      <c r="BA361" s="2604"/>
      <c r="BB361" s="2604"/>
      <c r="BC361" s="2604"/>
      <c r="BD361" s="2604"/>
      <c r="BE361" s="2604"/>
      <c r="BF361" s="2604"/>
      <c r="BG361" s="2604"/>
      <c r="BH361" s="2604"/>
      <c r="BI361" s="2604"/>
      <c r="BJ361" s="2604"/>
      <c r="BK361" s="2604"/>
      <c r="BL361" s="2604"/>
      <c r="BM361" s="2604"/>
      <c r="BN361" s="2604"/>
      <c r="BO361" s="2604"/>
      <c r="BP361" s="2604"/>
      <c r="BQ361" s="2604"/>
      <c r="BR361" s="2604"/>
      <c r="BS361" s="2604"/>
    </row>
    <row r="362" spans="53:71">
      <c r="BA362" s="2604"/>
      <c r="BB362" s="2604"/>
      <c r="BC362" s="2604"/>
      <c r="BD362" s="2604"/>
      <c r="BE362" s="2604"/>
      <c r="BF362" s="2604"/>
      <c r="BG362" s="2604"/>
      <c r="BH362" s="2604"/>
      <c r="BI362" s="2604"/>
      <c r="BJ362" s="2604"/>
      <c r="BK362" s="2604"/>
      <c r="BL362" s="2604"/>
      <c r="BM362" s="2604"/>
      <c r="BN362" s="2604"/>
      <c r="BO362" s="2604"/>
      <c r="BP362" s="2604"/>
      <c r="BQ362" s="2604"/>
      <c r="BR362" s="2604"/>
      <c r="BS362" s="2604"/>
    </row>
    <row r="363" spans="53:71">
      <c r="BA363" s="2604"/>
      <c r="BB363" s="2604"/>
      <c r="BC363" s="2604"/>
      <c r="BD363" s="2604"/>
      <c r="BE363" s="2604"/>
      <c r="BF363" s="2604"/>
      <c r="BG363" s="2604"/>
      <c r="BH363" s="2604"/>
      <c r="BI363" s="2604"/>
      <c r="BJ363" s="2604"/>
      <c r="BK363" s="2604"/>
      <c r="BL363" s="2604"/>
      <c r="BM363" s="2604"/>
      <c r="BN363" s="2604"/>
      <c r="BO363" s="2604"/>
      <c r="BP363" s="2604"/>
      <c r="BQ363" s="2604"/>
      <c r="BR363" s="2604"/>
      <c r="BS363" s="2604"/>
    </row>
    <row r="364" spans="53:71">
      <c r="BA364" s="2604"/>
      <c r="BB364" s="2604"/>
      <c r="BC364" s="2604"/>
      <c r="BD364" s="2604"/>
      <c r="BE364" s="2604"/>
      <c r="BF364" s="2604"/>
      <c r="BG364" s="2604"/>
      <c r="BH364" s="2604"/>
      <c r="BI364" s="2604"/>
      <c r="BJ364" s="2604"/>
      <c r="BK364" s="2604"/>
      <c r="BL364" s="2604"/>
      <c r="BM364" s="2604"/>
      <c r="BN364" s="2604"/>
      <c r="BO364" s="2604"/>
      <c r="BP364" s="2604"/>
      <c r="BQ364" s="2604"/>
      <c r="BR364" s="2604"/>
      <c r="BS364" s="2604"/>
    </row>
    <row r="365" spans="53:71">
      <c r="BA365" s="2604"/>
      <c r="BB365" s="2604"/>
      <c r="BC365" s="2604"/>
      <c r="BD365" s="2604"/>
      <c r="BE365" s="2604"/>
      <c r="BF365" s="2604"/>
      <c r="BG365" s="2604"/>
      <c r="BH365" s="2604"/>
      <c r="BI365" s="2604"/>
      <c r="BJ365" s="2604"/>
      <c r="BK365" s="2604"/>
      <c r="BL365" s="2604"/>
      <c r="BM365" s="2604"/>
      <c r="BN365" s="2604"/>
      <c r="BO365" s="2604"/>
      <c r="BP365" s="2604"/>
      <c r="BQ365" s="2604"/>
      <c r="BR365" s="2604"/>
      <c r="BS365" s="2604"/>
    </row>
    <row r="366" spans="53:71">
      <c r="BA366" s="2604"/>
      <c r="BB366" s="2604"/>
      <c r="BC366" s="2604"/>
      <c r="BD366" s="2604"/>
      <c r="BE366" s="2604"/>
      <c r="BF366" s="2604"/>
      <c r="BG366" s="2604"/>
      <c r="BH366" s="2604"/>
      <c r="BI366" s="2604"/>
      <c r="BJ366" s="2604"/>
      <c r="BK366" s="2604"/>
      <c r="BL366" s="2604"/>
      <c r="BM366" s="2604"/>
      <c r="BN366" s="2604"/>
      <c r="BO366" s="2604"/>
      <c r="BP366" s="2604"/>
      <c r="BQ366" s="2604"/>
      <c r="BR366" s="2604"/>
      <c r="BS366" s="2604"/>
    </row>
    <row r="367" spans="53:71">
      <c r="BA367" s="2604"/>
      <c r="BB367" s="2604"/>
      <c r="BC367" s="2604"/>
      <c r="BD367" s="2604"/>
      <c r="BE367" s="2604"/>
      <c r="BF367" s="2604"/>
      <c r="BG367" s="2604"/>
      <c r="BH367" s="2604"/>
      <c r="BI367" s="2604"/>
      <c r="BJ367" s="2604"/>
      <c r="BK367" s="2604"/>
      <c r="BL367" s="2604"/>
      <c r="BM367" s="2604"/>
      <c r="BN367" s="2604"/>
      <c r="BO367" s="2604"/>
      <c r="BP367" s="2604"/>
      <c r="BQ367" s="2604"/>
      <c r="BR367" s="2604"/>
      <c r="BS367" s="2604"/>
    </row>
    <row r="368" spans="53:71">
      <c r="BA368" s="2604"/>
      <c r="BB368" s="2604"/>
      <c r="BC368" s="2604"/>
      <c r="BD368" s="2604"/>
      <c r="BE368" s="2604"/>
      <c r="BF368" s="2604"/>
      <c r="BG368" s="2604"/>
      <c r="BH368" s="2604"/>
      <c r="BI368" s="2604"/>
      <c r="BJ368" s="2604"/>
      <c r="BK368" s="2604"/>
      <c r="BL368" s="2604"/>
      <c r="BM368" s="2604"/>
      <c r="BN368" s="2604"/>
      <c r="BO368" s="2604"/>
      <c r="BP368" s="2604"/>
      <c r="BQ368" s="2604"/>
      <c r="BR368" s="2604"/>
      <c r="BS368" s="2604"/>
    </row>
    <row r="369" spans="53:71">
      <c r="BA369" s="2604"/>
      <c r="BB369" s="2604"/>
      <c r="BC369" s="2604"/>
      <c r="BD369" s="2604"/>
      <c r="BE369" s="2604"/>
      <c r="BF369" s="2604"/>
      <c r="BG369" s="2604"/>
      <c r="BH369" s="2604"/>
      <c r="BI369" s="2604"/>
      <c r="BJ369" s="2604"/>
      <c r="BK369" s="2604"/>
      <c r="BL369" s="2604"/>
      <c r="BM369" s="2604"/>
      <c r="BN369" s="2604"/>
      <c r="BO369" s="2604"/>
      <c r="BP369" s="2604"/>
      <c r="BQ369" s="2604"/>
      <c r="BR369" s="2604"/>
      <c r="BS369" s="2604"/>
    </row>
    <row r="370" spans="53:71">
      <c r="BA370" s="2604"/>
      <c r="BB370" s="2604"/>
      <c r="BC370" s="2604"/>
      <c r="BD370" s="2604"/>
      <c r="BE370" s="2604"/>
      <c r="BF370" s="2604"/>
      <c r="BG370" s="2604"/>
      <c r="BH370" s="2604"/>
      <c r="BI370" s="2604"/>
      <c r="BJ370" s="2604"/>
      <c r="BK370" s="2604"/>
      <c r="BL370" s="2604"/>
      <c r="BM370" s="2604"/>
      <c r="BN370" s="2604"/>
      <c r="BO370" s="2604"/>
      <c r="BP370" s="2604"/>
      <c r="BQ370" s="2604"/>
      <c r="BR370" s="2604"/>
      <c r="BS370" s="2604"/>
    </row>
    <row r="371" spans="53:71">
      <c r="BA371" s="2604"/>
      <c r="BB371" s="2604"/>
      <c r="BC371" s="2604"/>
      <c r="BD371" s="2604"/>
      <c r="BE371" s="2604"/>
      <c r="BF371" s="2604"/>
      <c r="BG371" s="2604"/>
      <c r="BH371" s="2604"/>
      <c r="BI371" s="2604"/>
      <c r="BJ371" s="2604"/>
      <c r="BK371" s="2604"/>
      <c r="BL371" s="2604"/>
      <c r="BM371" s="2604"/>
      <c r="BN371" s="2604"/>
      <c r="BO371" s="2604"/>
      <c r="BP371" s="2604"/>
      <c r="BQ371" s="2604"/>
      <c r="BR371" s="2604"/>
      <c r="BS371" s="2604"/>
    </row>
    <row r="372" spans="53:71">
      <c r="BA372" s="2604"/>
      <c r="BB372" s="2604"/>
      <c r="BC372" s="2604"/>
      <c r="BD372" s="2604"/>
      <c r="BE372" s="2604"/>
      <c r="BF372" s="2604"/>
      <c r="BG372" s="2604"/>
      <c r="BH372" s="2604"/>
      <c r="BI372" s="2604"/>
      <c r="BJ372" s="2604"/>
      <c r="BK372" s="2604"/>
      <c r="BL372" s="2604"/>
      <c r="BM372" s="2604"/>
      <c r="BN372" s="2604"/>
      <c r="BO372" s="2604"/>
      <c r="BP372" s="2604"/>
      <c r="BQ372" s="2604"/>
      <c r="BR372" s="2604"/>
      <c r="BS372" s="2604"/>
    </row>
    <row r="373" spans="53:71">
      <c r="BA373" s="2604"/>
      <c r="BB373" s="2604"/>
      <c r="BC373" s="2604"/>
      <c r="BD373" s="2604"/>
      <c r="BE373" s="2604"/>
      <c r="BF373" s="2604"/>
      <c r="BG373" s="2604"/>
      <c r="BH373" s="2604"/>
      <c r="BI373" s="2604"/>
      <c r="BJ373" s="2604"/>
      <c r="BK373" s="2604"/>
      <c r="BL373" s="2604"/>
      <c r="BM373" s="2604"/>
      <c r="BN373" s="2604"/>
      <c r="BO373" s="2604"/>
      <c r="BP373" s="2604"/>
      <c r="BQ373" s="2604"/>
      <c r="BR373" s="2604"/>
      <c r="BS373" s="2604"/>
    </row>
    <row r="374" spans="53:71">
      <c r="BA374" s="2604"/>
      <c r="BB374" s="2604"/>
      <c r="BC374" s="2604"/>
      <c r="BD374" s="2604"/>
      <c r="BE374" s="2604"/>
      <c r="BF374" s="2604"/>
      <c r="BG374" s="2604"/>
      <c r="BH374" s="2604"/>
      <c r="BI374" s="2604"/>
      <c r="BJ374" s="2604"/>
      <c r="BK374" s="2604"/>
      <c r="BL374" s="2604"/>
      <c r="BM374" s="2604"/>
      <c r="BN374" s="2604"/>
      <c r="BO374" s="2604"/>
      <c r="BP374" s="2604"/>
      <c r="BQ374" s="2604"/>
      <c r="BR374" s="2604"/>
      <c r="BS374" s="2604"/>
    </row>
    <row r="375" spans="53:71">
      <c r="BA375" s="2604"/>
      <c r="BB375" s="2604"/>
      <c r="BC375" s="2604"/>
      <c r="BD375" s="2604"/>
      <c r="BE375" s="2604"/>
      <c r="BF375" s="2604"/>
      <c r="BG375" s="2604"/>
      <c r="BH375" s="2604"/>
      <c r="BI375" s="2604"/>
      <c r="BJ375" s="2604"/>
      <c r="BK375" s="2604"/>
      <c r="BL375" s="2604"/>
      <c r="BM375" s="2604"/>
      <c r="BN375" s="2604"/>
      <c r="BO375" s="2604"/>
      <c r="BP375" s="2604"/>
      <c r="BQ375" s="2604"/>
      <c r="BR375" s="2604"/>
      <c r="BS375" s="2604"/>
    </row>
    <row r="376" spans="53:71">
      <c r="BA376" s="2604"/>
      <c r="BB376" s="2604"/>
      <c r="BC376" s="2604"/>
      <c r="BD376" s="2604"/>
      <c r="BE376" s="2604"/>
      <c r="BF376" s="2604"/>
      <c r="BG376" s="2604"/>
      <c r="BH376" s="2604"/>
      <c r="BI376" s="2604"/>
      <c r="BJ376" s="2604"/>
      <c r="BK376" s="2604"/>
      <c r="BL376" s="2604"/>
      <c r="BM376" s="2604"/>
      <c r="BN376" s="2604"/>
      <c r="BO376" s="2604"/>
      <c r="BP376" s="2604"/>
      <c r="BQ376" s="2604"/>
      <c r="BR376" s="2604"/>
      <c r="BS376" s="2604"/>
    </row>
    <row r="377" spans="53:71">
      <c r="BA377" s="2604"/>
      <c r="BB377" s="2604"/>
      <c r="BC377" s="2604"/>
      <c r="BD377" s="2604"/>
      <c r="BE377" s="2604"/>
      <c r="BF377" s="2604"/>
      <c r="BG377" s="2604"/>
      <c r="BH377" s="2604"/>
      <c r="BI377" s="2604"/>
      <c r="BJ377" s="2604"/>
      <c r="BK377" s="2604"/>
      <c r="BL377" s="2604"/>
      <c r="BM377" s="2604"/>
      <c r="BN377" s="2604"/>
      <c r="BO377" s="2604"/>
      <c r="BP377" s="2604"/>
      <c r="BQ377" s="2604"/>
      <c r="BR377" s="2604"/>
      <c r="BS377" s="2604"/>
    </row>
    <row r="378" spans="53:71">
      <c r="BA378" s="2604"/>
      <c r="BB378" s="2604"/>
      <c r="BC378" s="2604"/>
      <c r="BD378" s="2604"/>
      <c r="BE378" s="2604"/>
      <c r="BF378" s="2604"/>
      <c r="BG378" s="2604"/>
      <c r="BH378" s="2604"/>
      <c r="BI378" s="2604"/>
      <c r="BJ378" s="2604"/>
      <c r="BK378" s="2604"/>
      <c r="BL378" s="2604"/>
      <c r="BM378" s="2604"/>
      <c r="BN378" s="2604"/>
      <c r="BO378" s="2604"/>
      <c r="BP378" s="2604"/>
      <c r="BQ378" s="2604"/>
      <c r="BR378" s="2604"/>
      <c r="BS378" s="2604"/>
    </row>
    <row r="379" spans="53:71">
      <c r="BA379" s="2604"/>
      <c r="BB379" s="2604"/>
      <c r="BC379" s="2604"/>
      <c r="BD379" s="2604"/>
      <c r="BE379" s="2604"/>
      <c r="BF379" s="2604"/>
      <c r="BG379" s="2604"/>
      <c r="BH379" s="2604"/>
      <c r="BI379" s="2604"/>
      <c r="BJ379" s="2604"/>
      <c r="BK379" s="2604"/>
      <c r="BL379" s="2604"/>
      <c r="BM379" s="2604"/>
      <c r="BN379" s="2604"/>
      <c r="BO379" s="2604"/>
      <c r="BP379" s="2604"/>
      <c r="BQ379" s="2604"/>
      <c r="BR379" s="2604"/>
      <c r="BS379" s="2604"/>
    </row>
    <row r="380" spans="53:71">
      <c r="BA380" s="2604"/>
      <c r="BB380" s="2604"/>
      <c r="BC380" s="2604"/>
      <c r="BD380" s="2604"/>
      <c r="BE380" s="2604"/>
      <c r="BF380" s="2604"/>
      <c r="BG380" s="2604"/>
      <c r="BH380" s="2604"/>
      <c r="BI380" s="2604"/>
      <c r="BJ380" s="2604"/>
      <c r="BK380" s="2604"/>
      <c r="BL380" s="2604"/>
      <c r="BM380" s="2604"/>
      <c r="BN380" s="2604"/>
      <c r="BO380" s="2604"/>
      <c r="BP380" s="2604"/>
      <c r="BQ380" s="2604"/>
      <c r="BR380" s="2604"/>
      <c r="BS380" s="2604"/>
    </row>
    <row r="381" spans="53:71">
      <c r="BA381" s="2604"/>
      <c r="BB381" s="2604"/>
      <c r="BC381" s="2604"/>
      <c r="BD381" s="2604"/>
      <c r="BE381" s="2604"/>
      <c r="BF381" s="2604"/>
      <c r="BG381" s="2604"/>
      <c r="BH381" s="2604"/>
      <c r="BI381" s="2604"/>
      <c r="BJ381" s="2604"/>
      <c r="BK381" s="2604"/>
      <c r="BL381" s="2604"/>
      <c r="BM381" s="2604"/>
      <c r="BN381" s="2604"/>
      <c r="BO381" s="2604"/>
      <c r="BP381" s="2604"/>
      <c r="BQ381" s="2604"/>
      <c r="BR381" s="2604"/>
      <c r="BS381" s="2604"/>
    </row>
    <row r="382" spans="53:71">
      <c r="BA382" s="2604"/>
      <c r="BB382" s="2604"/>
      <c r="BC382" s="2604"/>
      <c r="BD382" s="2604"/>
      <c r="BE382" s="2604"/>
      <c r="BF382" s="2604"/>
      <c r="BG382" s="2604"/>
      <c r="BH382" s="2604"/>
      <c r="BI382" s="2604"/>
      <c r="BJ382" s="2604"/>
      <c r="BK382" s="2604"/>
      <c r="BL382" s="2604"/>
      <c r="BM382" s="2604"/>
      <c r="BN382" s="2604"/>
      <c r="BO382" s="2604"/>
      <c r="BP382" s="2604"/>
      <c r="BQ382" s="2604"/>
      <c r="BR382" s="2604"/>
      <c r="BS382" s="2604"/>
    </row>
    <row r="383" spans="53:71">
      <c r="BA383" s="2604"/>
      <c r="BB383" s="2604"/>
      <c r="BC383" s="2604"/>
      <c r="BD383" s="2604"/>
      <c r="BE383" s="2604"/>
      <c r="BF383" s="2604"/>
      <c r="BG383" s="2604"/>
      <c r="BH383" s="2604"/>
      <c r="BI383" s="2604"/>
      <c r="BJ383" s="2604"/>
      <c r="BK383" s="2604"/>
      <c r="BL383" s="2604"/>
      <c r="BM383" s="2604"/>
      <c r="BN383" s="2604"/>
      <c r="BO383" s="2604"/>
      <c r="BP383" s="2604"/>
      <c r="BQ383" s="2604"/>
      <c r="BR383" s="2604"/>
      <c r="BS383" s="2604"/>
    </row>
    <row r="384" spans="53:71">
      <c r="BA384" s="2604"/>
      <c r="BB384" s="2604"/>
      <c r="BC384" s="2604"/>
      <c r="BD384" s="2604"/>
      <c r="BE384" s="2604"/>
      <c r="BF384" s="2604"/>
      <c r="BG384" s="2604"/>
      <c r="BH384" s="2604"/>
      <c r="BI384" s="2604"/>
      <c r="BJ384" s="2604"/>
      <c r="BK384" s="2604"/>
      <c r="BL384" s="2604"/>
      <c r="BM384" s="2604"/>
      <c r="BN384" s="2604"/>
      <c r="BO384" s="2604"/>
      <c r="BP384" s="2604"/>
      <c r="BQ384" s="2604"/>
      <c r="BR384" s="2604"/>
      <c r="BS384" s="2604"/>
    </row>
    <row r="385" spans="53:71">
      <c r="BA385" s="2604"/>
      <c r="BB385" s="2604"/>
      <c r="BC385" s="2604"/>
      <c r="BD385" s="2604"/>
      <c r="BE385" s="2604"/>
      <c r="BF385" s="2604"/>
      <c r="BG385" s="2604"/>
      <c r="BH385" s="2604"/>
      <c r="BI385" s="2604"/>
      <c r="BJ385" s="2604"/>
      <c r="BK385" s="2604"/>
      <c r="BL385" s="2604"/>
      <c r="BM385" s="2604"/>
      <c r="BN385" s="2604"/>
      <c r="BO385" s="2604"/>
      <c r="BP385" s="2604"/>
      <c r="BQ385" s="2604"/>
      <c r="BR385" s="2604"/>
      <c r="BS385" s="2604"/>
    </row>
    <row r="386" spans="53:71">
      <c r="BA386" s="2604"/>
      <c r="BB386" s="2604"/>
      <c r="BC386" s="2604"/>
      <c r="BD386" s="2604"/>
      <c r="BE386" s="2604"/>
      <c r="BF386" s="2604"/>
      <c r="BG386" s="2604"/>
      <c r="BH386" s="2604"/>
      <c r="BI386" s="2604"/>
      <c r="BJ386" s="2604"/>
      <c r="BK386" s="2604"/>
      <c r="BL386" s="2604"/>
      <c r="BM386" s="2604"/>
      <c r="BN386" s="2604"/>
      <c r="BO386" s="2604"/>
      <c r="BP386" s="2604"/>
      <c r="BQ386" s="2604"/>
      <c r="BR386" s="2604"/>
      <c r="BS386" s="2604"/>
    </row>
    <row r="387" spans="53:71">
      <c r="BA387" s="2604"/>
      <c r="BB387" s="2604"/>
      <c r="BC387" s="2604"/>
      <c r="BD387" s="2604"/>
      <c r="BE387" s="2604"/>
      <c r="BF387" s="2604"/>
      <c r="BG387" s="2604"/>
      <c r="BH387" s="2604"/>
      <c r="BI387" s="2604"/>
      <c r="BJ387" s="2604"/>
      <c r="BK387" s="2604"/>
      <c r="BL387" s="2604"/>
      <c r="BM387" s="2604"/>
      <c r="BN387" s="2604"/>
      <c r="BO387" s="2604"/>
      <c r="BP387" s="2604"/>
      <c r="BQ387" s="2604"/>
      <c r="BR387" s="2604"/>
      <c r="BS387" s="2604"/>
    </row>
    <row r="388" spans="53:71">
      <c r="BA388" s="2604"/>
      <c r="BB388" s="2604"/>
      <c r="BC388" s="2604"/>
      <c r="BD388" s="2604"/>
      <c r="BE388" s="2604"/>
      <c r="BF388" s="2604"/>
      <c r="BG388" s="2604"/>
      <c r="BH388" s="2604"/>
      <c r="BI388" s="2604"/>
      <c r="BJ388" s="2604"/>
      <c r="BK388" s="2604"/>
      <c r="BL388" s="2604"/>
      <c r="BM388" s="2604"/>
      <c r="BN388" s="2604"/>
      <c r="BO388" s="2604"/>
      <c r="BP388" s="2604"/>
      <c r="BQ388" s="2604"/>
      <c r="BR388" s="2604"/>
      <c r="BS388" s="2604"/>
    </row>
    <row r="389" spans="53:71">
      <c r="BA389" s="2604"/>
      <c r="BB389" s="2604"/>
      <c r="BC389" s="2604"/>
      <c r="BD389" s="2604"/>
      <c r="BE389" s="2604"/>
      <c r="BF389" s="2604"/>
      <c r="BG389" s="2604"/>
      <c r="BH389" s="2604"/>
      <c r="BI389" s="2604"/>
      <c r="BJ389" s="2604"/>
      <c r="BK389" s="2604"/>
      <c r="BL389" s="2604"/>
      <c r="BM389" s="2604"/>
      <c r="BN389" s="2604"/>
      <c r="BO389" s="2604"/>
      <c r="BP389" s="2604"/>
      <c r="BQ389" s="2604"/>
      <c r="BR389" s="2604"/>
      <c r="BS389" s="2604"/>
    </row>
    <row r="390" spans="53:71">
      <c r="BA390" s="2604"/>
      <c r="BB390" s="2604"/>
      <c r="BC390" s="2604"/>
      <c r="BD390" s="2604"/>
      <c r="BE390" s="2604"/>
      <c r="BF390" s="2604"/>
      <c r="BG390" s="2604"/>
      <c r="BH390" s="2604"/>
      <c r="BI390" s="2604"/>
      <c r="BJ390" s="2604"/>
      <c r="BK390" s="2604"/>
      <c r="BL390" s="2604"/>
      <c r="BM390" s="2604"/>
      <c r="BN390" s="2604"/>
      <c r="BO390" s="2604"/>
      <c r="BP390" s="2604"/>
      <c r="BQ390" s="2604"/>
      <c r="BR390" s="2604"/>
      <c r="BS390" s="2604"/>
    </row>
    <row r="391" spans="53:71">
      <c r="BA391" s="2604"/>
      <c r="BB391" s="2604"/>
      <c r="BC391" s="2604"/>
      <c r="BD391" s="2604"/>
      <c r="BE391" s="2604"/>
      <c r="BF391" s="2604"/>
      <c r="BG391" s="2604"/>
      <c r="BH391" s="2604"/>
      <c r="BI391" s="2604"/>
      <c r="BJ391" s="2604"/>
      <c r="BK391" s="2604"/>
      <c r="BL391" s="2604"/>
      <c r="BM391" s="2604"/>
      <c r="BN391" s="2604"/>
      <c r="BO391" s="2604"/>
      <c r="BP391" s="2604"/>
      <c r="BQ391" s="2604"/>
      <c r="BR391" s="2604"/>
      <c r="BS391" s="2604"/>
    </row>
    <row r="392" spans="53:71">
      <c r="BA392" s="2604"/>
      <c r="BB392" s="2604"/>
      <c r="BC392" s="2604"/>
      <c r="BD392" s="2604"/>
      <c r="BE392" s="2604"/>
      <c r="BF392" s="2604"/>
      <c r="BG392" s="2604"/>
      <c r="BH392" s="2604"/>
      <c r="BI392" s="2604"/>
      <c r="BJ392" s="2604"/>
      <c r="BK392" s="2604"/>
      <c r="BL392" s="2604"/>
      <c r="BM392" s="2604"/>
      <c r="BN392" s="2604"/>
      <c r="BO392" s="2604"/>
      <c r="BP392" s="2604"/>
      <c r="BQ392" s="2604"/>
      <c r="BR392" s="2604"/>
      <c r="BS392" s="2604"/>
    </row>
    <row r="393" spans="53:71">
      <c r="BA393" s="2604"/>
      <c r="BB393" s="2604"/>
      <c r="BC393" s="2604"/>
      <c r="BD393" s="2604"/>
      <c r="BE393" s="2604"/>
      <c r="BF393" s="2604"/>
      <c r="BG393" s="2604"/>
      <c r="BH393" s="2604"/>
      <c r="BI393" s="2604"/>
      <c r="BJ393" s="2604"/>
      <c r="BK393" s="2604"/>
      <c r="BL393" s="2604"/>
      <c r="BM393" s="2604"/>
      <c r="BN393" s="2604"/>
      <c r="BO393" s="2604"/>
      <c r="BP393" s="2604"/>
      <c r="BQ393" s="2604"/>
      <c r="BR393" s="2604"/>
      <c r="BS393" s="2604"/>
    </row>
    <row r="394" spans="53:71">
      <c r="BA394" s="2604"/>
      <c r="BB394" s="2604"/>
      <c r="BC394" s="2604"/>
      <c r="BD394" s="2604"/>
      <c r="BE394" s="2604"/>
      <c r="BF394" s="2604"/>
      <c r="BG394" s="2604"/>
      <c r="BH394" s="2604"/>
      <c r="BI394" s="2604"/>
      <c r="BJ394" s="2604"/>
      <c r="BK394" s="2604"/>
      <c r="BL394" s="2604"/>
      <c r="BM394" s="2604"/>
      <c r="BN394" s="2604"/>
      <c r="BO394" s="2604"/>
      <c r="BP394" s="2604"/>
      <c r="BQ394" s="2604"/>
      <c r="BR394" s="2604"/>
      <c r="BS394" s="2604"/>
    </row>
    <row r="395" spans="53:71">
      <c r="BA395" s="2604"/>
      <c r="BB395" s="2604"/>
      <c r="BC395" s="2604"/>
      <c r="BD395" s="2604"/>
      <c r="BE395" s="2604"/>
      <c r="BF395" s="2604"/>
      <c r="BG395" s="2604"/>
      <c r="BH395" s="2604"/>
      <c r="BI395" s="2604"/>
      <c r="BJ395" s="2604"/>
      <c r="BK395" s="2604"/>
      <c r="BL395" s="2604"/>
      <c r="BM395" s="2604"/>
      <c r="BN395" s="2604"/>
      <c r="BO395" s="2604"/>
      <c r="BP395" s="2604"/>
      <c r="BQ395" s="2604"/>
      <c r="BR395" s="2604"/>
      <c r="BS395" s="2604"/>
    </row>
    <row r="396" spans="53:71">
      <c r="BA396" s="2604"/>
      <c r="BB396" s="2604"/>
      <c r="BC396" s="2604"/>
      <c r="BD396" s="2604"/>
      <c r="BE396" s="2604"/>
      <c r="BF396" s="2604"/>
      <c r="BG396" s="2604"/>
      <c r="BH396" s="2604"/>
      <c r="BI396" s="2604"/>
      <c r="BJ396" s="2604"/>
      <c r="BK396" s="2604"/>
      <c r="BL396" s="2604"/>
      <c r="BM396" s="2604"/>
      <c r="BN396" s="2604"/>
      <c r="BO396" s="2604"/>
      <c r="BP396" s="2604"/>
      <c r="BQ396" s="2604"/>
      <c r="BR396" s="2604"/>
      <c r="BS396" s="2604"/>
    </row>
    <row r="397" spans="53:71">
      <c r="BA397" s="2604"/>
      <c r="BB397" s="2604"/>
      <c r="BC397" s="2604"/>
      <c r="BD397" s="2604"/>
      <c r="BE397" s="2604"/>
      <c r="BF397" s="2604"/>
      <c r="BG397" s="2604"/>
      <c r="BH397" s="2604"/>
      <c r="BI397" s="2604"/>
      <c r="BJ397" s="2604"/>
      <c r="BK397" s="2604"/>
      <c r="BL397" s="2604"/>
      <c r="BM397" s="2604"/>
      <c r="BN397" s="2604"/>
      <c r="BO397" s="2604"/>
      <c r="BP397" s="2604"/>
      <c r="BQ397" s="2604"/>
      <c r="BR397" s="2604"/>
      <c r="BS397" s="2604"/>
    </row>
    <row r="398" spans="53:71">
      <c r="BA398" s="2604"/>
      <c r="BB398" s="2604"/>
      <c r="BC398" s="2604"/>
      <c r="BD398" s="2604"/>
      <c r="BE398" s="2604"/>
      <c r="BF398" s="2604"/>
      <c r="BG398" s="2604"/>
      <c r="BH398" s="2604"/>
      <c r="BI398" s="2604"/>
      <c r="BJ398" s="2604"/>
      <c r="BK398" s="2604"/>
      <c r="BL398" s="2604"/>
      <c r="BM398" s="2604"/>
      <c r="BN398" s="2604"/>
      <c r="BO398" s="2604"/>
      <c r="BP398" s="2604"/>
      <c r="BQ398" s="2604"/>
      <c r="BR398" s="2604"/>
      <c r="BS398" s="2604"/>
    </row>
    <row r="399" spans="53:71">
      <c r="BA399" s="2604"/>
      <c r="BB399" s="2604"/>
      <c r="BC399" s="2604"/>
      <c r="BD399" s="2604"/>
      <c r="BE399" s="2604"/>
      <c r="BF399" s="2604"/>
      <c r="BG399" s="2604"/>
      <c r="BH399" s="2604"/>
      <c r="BI399" s="2604"/>
      <c r="BJ399" s="2604"/>
      <c r="BK399" s="2604"/>
      <c r="BL399" s="2604"/>
      <c r="BM399" s="2604"/>
      <c r="BN399" s="2604"/>
      <c r="BO399" s="2604"/>
      <c r="BP399" s="2604"/>
      <c r="BQ399" s="2604"/>
      <c r="BR399" s="2604"/>
      <c r="BS399" s="2604"/>
    </row>
    <row r="400" spans="53:71">
      <c r="BA400" s="2604"/>
      <c r="BB400" s="2604"/>
      <c r="BC400" s="2604"/>
      <c r="BD400" s="2604"/>
      <c r="BE400" s="2604"/>
      <c r="BF400" s="2604"/>
      <c r="BG400" s="2604"/>
      <c r="BH400" s="2604"/>
      <c r="BI400" s="2604"/>
      <c r="BJ400" s="2604"/>
      <c r="BK400" s="2604"/>
      <c r="BL400" s="2604"/>
      <c r="BM400" s="2604"/>
      <c r="BN400" s="2604"/>
      <c r="BO400" s="2604"/>
      <c r="BP400" s="2604"/>
      <c r="BQ400" s="2604"/>
      <c r="BR400" s="2604"/>
      <c r="BS400" s="2604"/>
    </row>
    <row r="401" spans="53:71">
      <c r="BA401" s="2604"/>
      <c r="BB401" s="2604"/>
      <c r="BC401" s="2604"/>
      <c r="BD401" s="2604"/>
      <c r="BE401" s="2604"/>
      <c r="BF401" s="2604"/>
      <c r="BG401" s="2604"/>
      <c r="BH401" s="2604"/>
      <c r="BI401" s="2604"/>
      <c r="BJ401" s="2604"/>
      <c r="BK401" s="2604"/>
      <c r="BL401" s="2604"/>
      <c r="BM401" s="2604"/>
      <c r="BN401" s="2604"/>
      <c r="BO401" s="2604"/>
      <c r="BP401" s="2604"/>
      <c r="BQ401" s="2604"/>
      <c r="BR401" s="2604"/>
      <c r="BS401" s="2604"/>
    </row>
    <row r="402" spans="53:71">
      <c r="BA402" s="2604"/>
      <c r="BB402" s="2604"/>
      <c r="BC402" s="2604"/>
      <c r="BD402" s="2604"/>
      <c r="BE402" s="2604"/>
      <c r="BF402" s="2604"/>
      <c r="BG402" s="2604"/>
      <c r="BH402" s="2604"/>
      <c r="BI402" s="2604"/>
      <c r="BJ402" s="2604"/>
      <c r="BK402" s="2604"/>
      <c r="BL402" s="2604"/>
      <c r="BM402" s="2604"/>
      <c r="BN402" s="2604"/>
      <c r="BO402" s="2604"/>
      <c r="BP402" s="2604"/>
      <c r="BQ402" s="2604"/>
      <c r="BR402" s="2604"/>
      <c r="BS402" s="2604"/>
    </row>
    <row r="403" spans="53:71">
      <c r="BA403" s="2604"/>
      <c r="BB403" s="2604"/>
      <c r="BC403" s="2604"/>
      <c r="BD403" s="2604"/>
      <c r="BE403" s="2604"/>
      <c r="BF403" s="2604"/>
      <c r="BG403" s="2604"/>
      <c r="BH403" s="2604"/>
      <c r="BI403" s="2604"/>
      <c r="BJ403" s="2604"/>
      <c r="BK403" s="2604"/>
      <c r="BL403" s="2604"/>
      <c r="BM403" s="2604"/>
      <c r="BN403" s="2604"/>
      <c r="BO403" s="2604"/>
      <c r="BP403" s="2604"/>
      <c r="BQ403" s="2604"/>
      <c r="BR403" s="2604"/>
      <c r="BS403" s="2604"/>
    </row>
    <row r="404" spans="53:71">
      <c r="BA404" s="2604"/>
      <c r="BB404" s="2604"/>
      <c r="BC404" s="2604"/>
      <c r="BD404" s="2604"/>
      <c r="BE404" s="2604"/>
      <c r="BF404" s="2604"/>
      <c r="BG404" s="2604"/>
      <c r="BH404" s="2604"/>
      <c r="BI404" s="2604"/>
      <c r="BJ404" s="2604"/>
      <c r="BK404" s="2604"/>
      <c r="BL404" s="2604"/>
      <c r="BM404" s="2604"/>
      <c r="BN404" s="2604"/>
      <c r="BO404" s="2604"/>
      <c r="BP404" s="2604"/>
      <c r="BQ404" s="2604"/>
      <c r="BR404" s="2604"/>
      <c r="BS404" s="2604"/>
    </row>
    <row r="405" spans="53:71">
      <c r="BA405" s="2604"/>
      <c r="BB405" s="2604"/>
      <c r="BC405" s="2604"/>
      <c r="BD405" s="2604"/>
      <c r="BE405" s="2604"/>
      <c r="BF405" s="2604"/>
      <c r="BG405" s="2604"/>
      <c r="BH405" s="2604"/>
      <c r="BI405" s="2604"/>
      <c r="BJ405" s="2604"/>
      <c r="BK405" s="2604"/>
      <c r="BL405" s="2604"/>
      <c r="BM405" s="2604"/>
      <c r="BN405" s="2604"/>
      <c r="BO405" s="2604"/>
      <c r="BP405" s="2604"/>
      <c r="BQ405" s="2604"/>
      <c r="BR405" s="2604"/>
      <c r="BS405" s="2604"/>
    </row>
    <row r="406" spans="53:71">
      <c r="BA406" s="2604"/>
      <c r="BB406" s="2604"/>
      <c r="BC406" s="2604"/>
      <c r="BD406" s="2604"/>
      <c r="BE406" s="2604"/>
      <c r="BF406" s="2604"/>
      <c r="BG406" s="2604"/>
      <c r="BH406" s="2604"/>
      <c r="BI406" s="2604"/>
      <c r="BJ406" s="2604"/>
      <c r="BK406" s="2604"/>
      <c r="BL406" s="2604"/>
      <c r="BM406" s="2604"/>
      <c r="BN406" s="2604"/>
      <c r="BO406" s="2604"/>
      <c r="BP406" s="2604"/>
      <c r="BQ406" s="2604"/>
      <c r="BR406" s="2604"/>
      <c r="BS406" s="2604"/>
    </row>
    <row r="407" spans="53:71">
      <c r="BA407" s="2604"/>
      <c r="BB407" s="2604"/>
      <c r="BC407" s="2604"/>
      <c r="BD407" s="2604"/>
      <c r="BE407" s="2604"/>
      <c r="BF407" s="2604"/>
      <c r="BG407" s="2604"/>
      <c r="BH407" s="2604"/>
      <c r="BI407" s="2604"/>
      <c r="BJ407" s="2604"/>
      <c r="BK407" s="2604"/>
      <c r="BL407" s="2604"/>
      <c r="BM407" s="2604"/>
      <c r="BN407" s="2604"/>
      <c r="BO407" s="2604"/>
      <c r="BP407" s="2604"/>
      <c r="BQ407" s="2604"/>
      <c r="BR407" s="2604"/>
      <c r="BS407" s="2604"/>
    </row>
    <row r="408" spans="53:71">
      <c r="BA408" s="2604"/>
      <c r="BB408" s="2604"/>
      <c r="BC408" s="2604"/>
      <c r="BD408" s="2604"/>
      <c r="BE408" s="2604"/>
      <c r="BF408" s="2604"/>
      <c r="BG408" s="2604"/>
      <c r="BH408" s="2604"/>
      <c r="BI408" s="2604"/>
      <c r="BJ408" s="2604"/>
      <c r="BK408" s="2604"/>
      <c r="BL408" s="2604"/>
      <c r="BM408" s="2604"/>
      <c r="BN408" s="2604"/>
      <c r="BO408" s="2604"/>
      <c r="BP408" s="2604"/>
      <c r="BQ408" s="2604"/>
      <c r="BR408" s="2604"/>
      <c r="BS408" s="2604"/>
    </row>
    <row r="409" spans="53:71">
      <c r="BA409" s="2604"/>
      <c r="BB409" s="2604"/>
      <c r="BC409" s="2604"/>
      <c r="BD409" s="2604"/>
      <c r="BE409" s="2604"/>
      <c r="BF409" s="2604"/>
      <c r="BG409" s="2604"/>
      <c r="BH409" s="2604"/>
      <c r="BI409" s="2604"/>
      <c r="BJ409" s="2604"/>
      <c r="BK409" s="2604"/>
      <c r="BL409" s="2604"/>
      <c r="BM409" s="2604"/>
      <c r="BN409" s="2604"/>
      <c r="BO409" s="2604"/>
      <c r="BP409" s="2604"/>
      <c r="BQ409" s="2604"/>
      <c r="BR409" s="2604"/>
      <c r="BS409" s="2604"/>
    </row>
    <row r="410" spans="53:71">
      <c r="BA410" s="2604"/>
      <c r="BB410" s="2604"/>
      <c r="BC410" s="2604"/>
      <c r="BD410" s="2604"/>
      <c r="BE410" s="2604"/>
      <c r="BF410" s="2604"/>
      <c r="BG410" s="2604"/>
      <c r="BH410" s="2604"/>
      <c r="BI410" s="2604"/>
      <c r="BJ410" s="2604"/>
      <c r="BK410" s="2604"/>
      <c r="BL410" s="2604"/>
      <c r="BM410" s="2604"/>
      <c r="BN410" s="2604"/>
      <c r="BO410" s="2604"/>
      <c r="BP410" s="2604"/>
      <c r="BQ410" s="2604"/>
      <c r="BR410" s="2604"/>
      <c r="BS410" s="2604"/>
    </row>
    <row r="411" spans="53:71">
      <c r="BA411" s="2604"/>
      <c r="BB411" s="2604"/>
      <c r="BC411" s="2604"/>
      <c r="BD411" s="2604"/>
      <c r="BE411" s="2604"/>
      <c r="BF411" s="2604"/>
      <c r="BG411" s="2604"/>
      <c r="BH411" s="2604"/>
      <c r="BI411" s="2604"/>
      <c r="BJ411" s="2604"/>
      <c r="BK411" s="2604"/>
      <c r="BL411" s="2604"/>
      <c r="BM411" s="2604"/>
      <c r="BN411" s="2604"/>
      <c r="BO411" s="2604"/>
      <c r="BP411" s="2604"/>
      <c r="BQ411" s="2604"/>
      <c r="BR411" s="2604"/>
      <c r="BS411" s="2604"/>
    </row>
    <row r="412" spans="53:71">
      <c r="BA412" s="2604"/>
      <c r="BB412" s="2604"/>
      <c r="BC412" s="2604"/>
      <c r="BD412" s="2604"/>
      <c r="BE412" s="2604"/>
      <c r="BF412" s="2604"/>
      <c r="BG412" s="2604"/>
      <c r="BH412" s="2604"/>
      <c r="BI412" s="2604"/>
      <c r="BJ412" s="2604"/>
      <c r="BK412" s="2604"/>
      <c r="BL412" s="2604"/>
      <c r="BM412" s="2604"/>
      <c r="BN412" s="2604"/>
      <c r="BO412" s="2604"/>
      <c r="BP412" s="2604"/>
      <c r="BQ412" s="2604"/>
      <c r="BR412" s="2604"/>
      <c r="BS412" s="2604"/>
    </row>
    <row r="413" spans="53:71">
      <c r="BA413" s="2604"/>
      <c r="BB413" s="2604"/>
      <c r="BC413" s="2604"/>
      <c r="BD413" s="2604"/>
      <c r="BE413" s="2604"/>
      <c r="BF413" s="2604"/>
      <c r="BG413" s="2604"/>
      <c r="BH413" s="2604"/>
      <c r="BI413" s="2604"/>
      <c r="BJ413" s="2604"/>
      <c r="BK413" s="2604"/>
      <c r="BL413" s="2604"/>
      <c r="BM413" s="2604"/>
      <c r="BN413" s="2604"/>
      <c r="BO413" s="2604"/>
      <c r="BP413" s="2604"/>
      <c r="BQ413" s="2604"/>
      <c r="BR413" s="2604"/>
      <c r="BS413" s="2604"/>
    </row>
    <row r="414" spans="53:71">
      <c r="BA414" s="2604"/>
      <c r="BB414" s="2604"/>
      <c r="BC414" s="2604"/>
      <c r="BD414" s="2604"/>
      <c r="BE414" s="2604"/>
      <c r="BF414" s="2604"/>
      <c r="BG414" s="2604"/>
      <c r="BH414" s="2604"/>
      <c r="BI414" s="2604"/>
      <c r="BJ414" s="2604"/>
      <c r="BK414" s="2604"/>
      <c r="BL414" s="2604"/>
      <c r="BM414" s="2604"/>
      <c r="BN414" s="2604"/>
      <c r="BO414" s="2604"/>
      <c r="BP414" s="2604"/>
      <c r="BQ414" s="2604"/>
      <c r="BR414" s="2604"/>
      <c r="BS414" s="2604"/>
    </row>
    <row r="415" spans="53:71">
      <c r="BA415" s="2604"/>
      <c r="BB415" s="2604"/>
      <c r="BC415" s="2604"/>
      <c r="BD415" s="2604"/>
      <c r="BE415" s="2604"/>
      <c r="BF415" s="2604"/>
      <c r="BG415" s="2604"/>
      <c r="BH415" s="2604"/>
      <c r="BI415" s="2604"/>
      <c r="BJ415" s="2604"/>
      <c r="BK415" s="2604"/>
      <c r="BL415" s="2604"/>
      <c r="BM415" s="2604"/>
      <c r="BN415" s="2604"/>
      <c r="BO415" s="2604"/>
      <c r="BP415" s="2604"/>
      <c r="BQ415" s="2604"/>
      <c r="BR415" s="2604"/>
      <c r="BS415" s="2604"/>
    </row>
    <row r="416" spans="53:71">
      <c r="BA416" s="2604"/>
      <c r="BB416" s="2604"/>
      <c r="BC416" s="2604"/>
      <c r="BD416" s="2604"/>
      <c r="BE416" s="2604"/>
      <c r="BF416" s="2604"/>
      <c r="BG416" s="2604"/>
      <c r="BH416" s="2604"/>
      <c r="BI416" s="2604"/>
      <c r="BJ416" s="2604"/>
      <c r="BK416" s="2604"/>
      <c r="BL416" s="2604"/>
      <c r="BM416" s="2604"/>
      <c r="BN416" s="2604"/>
      <c r="BO416" s="2604"/>
      <c r="BP416" s="2604"/>
      <c r="BQ416" s="2604"/>
      <c r="BR416" s="2604"/>
      <c r="BS416" s="2604"/>
    </row>
    <row r="417" spans="53:71">
      <c r="BA417" s="2604"/>
      <c r="BB417" s="2604"/>
      <c r="BC417" s="2604"/>
      <c r="BD417" s="2604"/>
      <c r="BE417" s="2604"/>
      <c r="BF417" s="2604"/>
      <c r="BG417" s="2604"/>
      <c r="BH417" s="2604"/>
      <c r="BI417" s="2604"/>
      <c r="BJ417" s="2604"/>
      <c r="BK417" s="2604"/>
      <c r="BL417" s="2604"/>
      <c r="BM417" s="2604"/>
      <c r="BN417" s="2604"/>
      <c r="BO417" s="2604"/>
      <c r="BP417" s="2604"/>
      <c r="BQ417" s="2604"/>
      <c r="BR417" s="2604"/>
      <c r="BS417" s="2604"/>
    </row>
    <row r="418" spans="53:71">
      <c r="BA418" s="2604"/>
      <c r="BB418" s="2604"/>
      <c r="BC418" s="2604"/>
      <c r="BD418" s="2604"/>
      <c r="BE418" s="2604"/>
      <c r="BF418" s="2604"/>
      <c r="BG418" s="2604"/>
      <c r="BH418" s="2604"/>
      <c r="BI418" s="2604"/>
      <c r="BJ418" s="2604"/>
      <c r="BK418" s="2604"/>
      <c r="BL418" s="2604"/>
      <c r="BM418" s="2604"/>
      <c r="BN418" s="2604"/>
      <c r="BO418" s="2604"/>
      <c r="BP418" s="2604"/>
      <c r="BQ418" s="2604"/>
      <c r="BR418" s="2604"/>
      <c r="BS418" s="2604"/>
    </row>
    <row r="419" spans="53:71">
      <c r="BA419" s="2604"/>
      <c r="BB419" s="2604"/>
      <c r="BC419" s="2604"/>
      <c r="BD419" s="2604"/>
      <c r="BE419" s="2604"/>
      <c r="BF419" s="2604"/>
      <c r="BG419" s="2604"/>
      <c r="BH419" s="2604"/>
      <c r="BI419" s="2604"/>
      <c r="BJ419" s="2604"/>
      <c r="BK419" s="2604"/>
      <c r="BL419" s="2604"/>
      <c r="BM419" s="2604"/>
      <c r="BN419" s="2604"/>
      <c r="BO419" s="2604"/>
      <c r="BP419" s="2604"/>
      <c r="BQ419" s="2604"/>
      <c r="BR419" s="2604"/>
      <c r="BS419" s="2604"/>
    </row>
    <row r="420" spans="53:71">
      <c r="BA420" s="2604"/>
      <c r="BB420" s="2604"/>
      <c r="BC420" s="2604"/>
      <c r="BD420" s="2604"/>
      <c r="BE420" s="2604"/>
      <c r="BF420" s="2604"/>
      <c r="BG420" s="2604"/>
      <c r="BH420" s="2604"/>
      <c r="BI420" s="2604"/>
      <c r="BJ420" s="2604"/>
      <c r="BK420" s="2604"/>
      <c r="BL420" s="2604"/>
      <c r="BM420" s="2604"/>
      <c r="BN420" s="2604"/>
      <c r="BO420" s="2604"/>
      <c r="BP420" s="2604"/>
      <c r="BQ420" s="2604"/>
      <c r="BR420" s="2604"/>
      <c r="BS420" s="2604"/>
    </row>
    <row r="421" spans="53:71">
      <c r="BA421" s="2604"/>
      <c r="BB421" s="2604"/>
      <c r="BC421" s="2604"/>
      <c r="BD421" s="2604"/>
      <c r="BE421" s="2604"/>
      <c r="BF421" s="2604"/>
      <c r="BG421" s="2604"/>
      <c r="BH421" s="2604"/>
      <c r="BI421" s="2604"/>
      <c r="BJ421" s="2604"/>
      <c r="BK421" s="2604"/>
      <c r="BL421" s="2604"/>
      <c r="BM421" s="2604"/>
      <c r="BN421" s="2604"/>
      <c r="BO421" s="2604"/>
      <c r="BP421" s="2604"/>
      <c r="BQ421" s="2604"/>
      <c r="BR421" s="2604"/>
      <c r="BS421" s="2604"/>
    </row>
    <row r="422" spans="53:71">
      <c r="BA422" s="2604"/>
      <c r="BB422" s="2604"/>
      <c r="BC422" s="2604"/>
      <c r="BD422" s="2604"/>
      <c r="BE422" s="2604"/>
      <c r="BF422" s="2604"/>
      <c r="BG422" s="2604"/>
      <c r="BH422" s="2604"/>
      <c r="BI422" s="2604"/>
      <c r="BJ422" s="2604"/>
      <c r="BK422" s="2604"/>
      <c r="BL422" s="2604"/>
      <c r="BM422" s="2604"/>
      <c r="BN422" s="2604"/>
      <c r="BO422" s="2604"/>
      <c r="BP422" s="2604"/>
      <c r="BQ422" s="2604"/>
      <c r="BR422" s="2604"/>
      <c r="BS422" s="2604"/>
    </row>
    <row r="423" spans="53:71">
      <c r="BA423" s="2604"/>
      <c r="BB423" s="2604"/>
      <c r="BC423" s="2604"/>
      <c r="BD423" s="2604"/>
      <c r="BE423" s="2604"/>
      <c r="BF423" s="2604"/>
      <c r="BG423" s="2604"/>
      <c r="BH423" s="2604"/>
      <c r="BI423" s="2604"/>
      <c r="BJ423" s="2604"/>
      <c r="BK423" s="2604"/>
      <c r="BL423" s="2604"/>
      <c r="BM423" s="2604"/>
      <c r="BN423" s="2604"/>
      <c r="BO423" s="2604"/>
      <c r="BP423" s="2604"/>
      <c r="BQ423" s="2604"/>
      <c r="BR423" s="2604"/>
      <c r="BS423" s="2604"/>
    </row>
    <row r="424" spans="53:71">
      <c r="BA424" s="2604"/>
      <c r="BB424" s="2604"/>
      <c r="BC424" s="2604"/>
      <c r="BD424" s="2604"/>
      <c r="BE424" s="2604"/>
      <c r="BF424" s="2604"/>
      <c r="BG424" s="2604"/>
      <c r="BH424" s="2604"/>
      <c r="BI424" s="2604"/>
      <c r="BJ424" s="2604"/>
      <c r="BK424" s="2604"/>
      <c r="BL424" s="2604"/>
      <c r="BM424" s="2604"/>
      <c r="BN424" s="2604"/>
      <c r="BO424" s="2604"/>
      <c r="BP424" s="2604"/>
      <c r="BQ424" s="2604"/>
      <c r="BR424" s="2604"/>
      <c r="BS424" s="2604"/>
    </row>
    <row r="425" spans="53:71">
      <c r="BA425" s="2604"/>
      <c r="BB425" s="2604"/>
      <c r="BC425" s="2604"/>
      <c r="BD425" s="2604"/>
      <c r="BE425" s="2604"/>
      <c r="BF425" s="2604"/>
      <c r="BG425" s="2604"/>
      <c r="BH425" s="2604"/>
      <c r="BI425" s="2604"/>
      <c r="BJ425" s="2604"/>
      <c r="BK425" s="2604"/>
      <c r="BL425" s="2604"/>
      <c r="BM425" s="2604"/>
      <c r="BN425" s="2604"/>
      <c r="BO425" s="2604"/>
      <c r="BP425" s="2604"/>
      <c r="BQ425" s="2604"/>
      <c r="BR425" s="2604"/>
      <c r="BS425" s="2604"/>
    </row>
    <row r="426" spans="53:71">
      <c r="BA426" s="2604"/>
      <c r="BB426" s="2604"/>
      <c r="BC426" s="2604"/>
      <c r="BD426" s="2604"/>
      <c r="BE426" s="2604"/>
      <c r="BF426" s="2604"/>
      <c r="BG426" s="2604"/>
      <c r="BH426" s="2604"/>
      <c r="BI426" s="2604"/>
      <c r="BJ426" s="2604"/>
      <c r="BK426" s="2604"/>
      <c r="BL426" s="2604"/>
      <c r="BM426" s="2604"/>
      <c r="BN426" s="2604"/>
      <c r="BO426" s="2604"/>
      <c r="BP426" s="2604"/>
      <c r="BQ426" s="2604"/>
      <c r="BR426" s="2604"/>
      <c r="BS426" s="2604"/>
    </row>
    <row r="427" spans="53:71">
      <c r="BA427" s="2604"/>
      <c r="BB427" s="2604"/>
      <c r="BC427" s="2604"/>
      <c r="BD427" s="2604"/>
      <c r="BE427" s="2604"/>
      <c r="BF427" s="2604"/>
      <c r="BG427" s="2604"/>
      <c r="BH427" s="2604"/>
      <c r="BI427" s="2604"/>
      <c r="BJ427" s="2604"/>
      <c r="BK427" s="2604"/>
      <c r="BL427" s="2604"/>
      <c r="BM427" s="2604"/>
      <c r="BN427" s="2604"/>
      <c r="BO427" s="2604"/>
      <c r="BP427" s="2604"/>
      <c r="BQ427" s="2604"/>
      <c r="BR427" s="2604"/>
      <c r="BS427" s="2604"/>
    </row>
    <row r="428" spans="53:71">
      <c r="BA428" s="2604"/>
      <c r="BB428" s="2604"/>
      <c r="BC428" s="2604"/>
      <c r="BD428" s="2604"/>
      <c r="BE428" s="2604"/>
      <c r="BF428" s="2604"/>
      <c r="BG428" s="2604"/>
      <c r="BH428" s="2604"/>
      <c r="BI428" s="2604"/>
      <c r="BJ428" s="2604"/>
      <c r="BK428" s="2604"/>
      <c r="BL428" s="2604"/>
      <c r="BM428" s="2604"/>
      <c r="BN428" s="2604"/>
      <c r="BO428" s="2604"/>
      <c r="BP428" s="2604"/>
      <c r="BQ428" s="2604"/>
      <c r="BR428" s="2604"/>
      <c r="BS428" s="2604"/>
    </row>
    <row r="429" spans="53:71">
      <c r="BA429" s="2604"/>
      <c r="BB429" s="2604"/>
      <c r="BC429" s="2604"/>
      <c r="BD429" s="2604"/>
      <c r="BE429" s="2604"/>
      <c r="BF429" s="2604"/>
      <c r="BG429" s="2604"/>
      <c r="BH429" s="2604"/>
      <c r="BI429" s="2604"/>
      <c r="BJ429" s="2604"/>
      <c r="BK429" s="2604"/>
      <c r="BL429" s="2604"/>
      <c r="BM429" s="2604"/>
      <c r="BN429" s="2604"/>
      <c r="BO429" s="2604"/>
      <c r="BP429" s="2604"/>
      <c r="BQ429" s="2604"/>
      <c r="BR429" s="2604"/>
      <c r="BS429" s="2604"/>
    </row>
    <row r="430" spans="53:71">
      <c r="BA430" s="2604"/>
      <c r="BB430" s="2604"/>
      <c r="BC430" s="2604"/>
      <c r="BD430" s="2604"/>
      <c r="BE430" s="2604"/>
      <c r="BF430" s="2604"/>
      <c r="BG430" s="2604"/>
      <c r="BH430" s="2604"/>
      <c r="BI430" s="2604"/>
      <c r="BJ430" s="2604"/>
      <c r="BK430" s="2604"/>
      <c r="BL430" s="2604"/>
      <c r="BM430" s="2604"/>
      <c r="BN430" s="2604"/>
      <c r="BO430" s="2604"/>
      <c r="BP430" s="2604"/>
      <c r="BQ430" s="2604"/>
      <c r="BR430" s="2604"/>
      <c r="BS430" s="2604"/>
    </row>
    <row r="431" spans="53:71">
      <c r="BA431" s="2604"/>
      <c r="BB431" s="2604"/>
      <c r="BC431" s="2604"/>
      <c r="BD431" s="2604"/>
      <c r="BE431" s="2604"/>
      <c r="BF431" s="2604"/>
      <c r="BG431" s="2604"/>
      <c r="BH431" s="2604"/>
      <c r="BI431" s="2604"/>
      <c r="BJ431" s="2604"/>
      <c r="BK431" s="2604"/>
      <c r="BL431" s="2604"/>
      <c r="BM431" s="2604"/>
      <c r="BN431" s="2604"/>
      <c r="BO431" s="2604"/>
      <c r="BP431" s="2604"/>
      <c r="BQ431" s="2604"/>
      <c r="BR431" s="2604"/>
      <c r="BS431" s="2604"/>
    </row>
    <row r="432" spans="53:71">
      <c r="BA432" s="2604"/>
      <c r="BB432" s="2604"/>
      <c r="BC432" s="2604"/>
      <c r="BD432" s="2604"/>
      <c r="BE432" s="2604"/>
      <c r="BF432" s="2604"/>
      <c r="BG432" s="2604"/>
      <c r="BH432" s="2604"/>
      <c r="BI432" s="2604"/>
      <c r="BJ432" s="2604"/>
      <c r="BK432" s="2604"/>
      <c r="BL432" s="2604"/>
      <c r="BM432" s="2604"/>
      <c r="BN432" s="2604"/>
      <c r="BO432" s="2604"/>
      <c r="BP432" s="2604"/>
      <c r="BQ432" s="2604"/>
      <c r="BR432" s="2604"/>
      <c r="BS432" s="2604"/>
    </row>
    <row r="433" spans="53:71">
      <c r="BA433" s="2604"/>
      <c r="BB433" s="2604"/>
      <c r="BC433" s="2604"/>
      <c r="BD433" s="2604"/>
      <c r="BE433" s="2604"/>
      <c r="BF433" s="2604"/>
      <c r="BG433" s="2604"/>
      <c r="BH433" s="2604"/>
      <c r="BI433" s="2604"/>
      <c r="BJ433" s="2604"/>
      <c r="BK433" s="2604"/>
      <c r="BL433" s="2604"/>
      <c r="BM433" s="2604"/>
      <c r="BN433" s="2604"/>
      <c r="BO433" s="2604"/>
      <c r="BP433" s="2604"/>
      <c r="BQ433" s="2604"/>
      <c r="BR433" s="2604"/>
      <c r="BS433" s="2604"/>
    </row>
    <row r="434" spans="53:71">
      <c r="BA434" s="2604"/>
      <c r="BB434" s="2604"/>
      <c r="BC434" s="2604"/>
      <c r="BD434" s="2604"/>
      <c r="BE434" s="2604"/>
      <c r="BF434" s="2604"/>
      <c r="BG434" s="2604"/>
      <c r="BH434" s="2604"/>
      <c r="BI434" s="2604"/>
      <c r="BJ434" s="2604"/>
      <c r="BK434" s="2604"/>
      <c r="BL434" s="2604"/>
      <c r="BM434" s="2604"/>
      <c r="BN434" s="2604"/>
      <c r="BO434" s="2604"/>
      <c r="BP434" s="2604"/>
      <c r="BQ434" s="2604"/>
      <c r="BR434" s="2604"/>
      <c r="BS434" s="2604"/>
    </row>
    <row r="435" spans="53:71">
      <c r="BA435" s="2604"/>
      <c r="BB435" s="2604"/>
      <c r="BC435" s="2604"/>
      <c r="BD435" s="2604"/>
      <c r="BE435" s="2604"/>
      <c r="BF435" s="2604"/>
      <c r="BG435" s="2604"/>
      <c r="BH435" s="2604"/>
      <c r="BI435" s="2604"/>
      <c r="BJ435" s="2604"/>
      <c r="BK435" s="2604"/>
      <c r="BL435" s="2604"/>
      <c r="BM435" s="2604"/>
      <c r="BN435" s="2604"/>
      <c r="BO435" s="2604"/>
      <c r="BP435" s="2604"/>
      <c r="BQ435" s="2604"/>
      <c r="BR435" s="2604"/>
      <c r="BS435" s="2604"/>
    </row>
    <row r="436" spans="53:71">
      <c r="BA436" s="2604"/>
      <c r="BB436" s="2604"/>
      <c r="BC436" s="2604"/>
      <c r="BD436" s="2604"/>
      <c r="BE436" s="2604"/>
      <c r="BF436" s="2604"/>
      <c r="BG436" s="2604"/>
      <c r="BH436" s="2604"/>
      <c r="BI436" s="2604"/>
      <c r="BJ436" s="2604"/>
      <c r="BK436" s="2604"/>
      <c r="BL436" s="2604"/>
      <c r="BM436" s="2604"/>
      <c r="BN436" s="2604"/>
      <c r="BO436" s="2604"/>
      <c r="BP436" s="2604"/>
      <c r="BQ436" s="2604"/>
      <c r="BR436" s="2604"/>
      <c r="BS436" s="2604"/>
    </row>
    <row r="437" spans="53:71">
      <c r="BA437" s="2604"/>
      <c r="BB437" s="2604"/>
      <c r="BC437" s="2604"/>
      <c r="BD437" s="2604"/>
      <c r="BE437" s="2604"/>
      <c r="BF437" s="2604"/>
      <c r="BG437" s="2604"/>
      <c r="BH437" s="2604"/>
      <c r="BI437" s="2604"/>
      <c r="BJ437" s="2604"/>
      <c r="BK437" s="2604"/>
      <c r="BL437" s="2604"/>
      <c r="BM437" s="2604"/>
      <c r="BN437" s="2604"/>
      <c r="BO437" s="2604"/>
      <c r="BP437" s="2604"/>
      <c r="BQ437" s="2604"/>
      <c r="BR437" s="2604"/>
      <c r="BS437" s="2604"/>
    </row>
    <row r="438" spans="53:71">
      <c r="BA438" s="2604"/>
      <c r="BB438" s="2604"/>
      <c r="BC438" s="2604"/>
      <c r="BD438" s="2604"/>
      <c r="BE438" s="2604"/>
      <c r="BF438" s="2604"/>
      <c r="BG438" s="2604"/>
      <c r="BH438" s="2604"/>
      <c r="BI438" s="2604"/>
      <c r="BJ438" s="2604"/>
      <c r="BK438" s="2604"/>
      <c r="BL438" s="2604"/>
      <c r="BM438" s="2604"/>
      <c r="BN438" s="2604"/>
      <c r="BO438" s="2604"/>
      <c r="BP438" s="2604"/>
      <c r="BQ438" s="2604"/>
      <c r="BR438" s="2604"/>
      <c r="BS438" s="2604"/>
    </row>
    <row r="439" spans="53:71">
      <c r="BA439" s="2604"/>
      <c r="BB439" s="2604"/>
      <c r="BC439" s="2604"/>
      <c r="BD439" s="2604"/>
      <c r="BE439" s="2604"/>
      <c r="BF439" s="2604"/>
      <c r="BG439" s="2604"/>
      <c r="BH439" s="2604"/>
      <c r="BI439" s="2604"/>
      <c r="BJ439" s="2604"/>
      <c r="BK439" s="2604"/>
      <c r="BL439" s="2604"/>
      <c r="BM439" s="2604"/>
      <c r="BN439" s="2604"/>
      <c r="BO439" s="2604"/>
      <c r="BP439" s="2604"/>
      <c r="BQ439" s="2604"/>
      <c r="BR439" s="2604"/>
      <c r="BS439" s="2604"/>
    </row>
    <row r="440" spans="53:71">
      <c r="BA440" s="2604"/>
      <c r="BB440" s="2604"/>
      <c r="BC440" s="2604"/>
      <c r="BD440" s="2604"/>
      <c r="BE440" s="2604"/>
      <c r="BF440" s="2604"/>
      <c r="BG440" s="2604"/>
      <c r="BH440" s="2604"/>
      <c r="BI440" s="2604"/>
      <c r="BJ440" s="2604"/>
      <c r="BK440" s="2604"/>
      <c r="BL440" s="2604"/>
      <c r="BM440" s="2604"/>
      <c r="BN440" s="2604"/>
      <c r="BO440" s="2604"/>
      <c r="BP440" s="2604"/>
      <c r="BQ440" s="2604"/>
      <c r="BR440" s="2604"/>
      <c r="BS440" s="2604"/>
    </row>
    <row r="441" spans="53:71">
      <c r="BA441" s="2604"/>
      <c r="BB441" s="2604"/>
      <c r="BC441" s="2604"/>
      <c r="BD441" s="2604"/>
      <c r="BE441" s="2604"/>
      <c r="BF441" s="2604"/>
      <c r="BG441" s="2604"/>
      <c r="BH441" s="2604"/>
      <c r="BI441" s="2604"/>
      <c r="BJ441" s="2604"/>
      <c r="BK441" s="2604"/>
      <c r="BL441" s="2604"/>
      <c r="BM441" s="2604"/>
      <c r="BN441" s="2604"/>
      <c r="BO441" s="2604"/>
      <c r="BP441" s="2604"/>
      <c r="BQ441" s="2604"/>
      <c r="BR441" s="2604"/>
      <c r="BS441" s="2604"/>
    </row>
    <row r="442" spans="53:71">
      <c r="BA442" s="2604"/>
      <c r="BB442" s="2604"/>
      <c r="BC442" s="2604"/>
      <c r="BD442" s="2604"/>
      <c r="BE442" s="2604"/>
      <c r="BF442" s="2604"/>
      <c r="BG442" s="2604"/>
      <c r="BH442" s="2604"/>
      <c r="BI442" s="2604"/>
      <c r="BJ442" s="2604"/>
      <c r="BK442" s="2604"/>
      <c r="BL442" s="2604"/>
      <c r="BM442" s="2604"/>
      <c r="BN442" s="2604"/>
      <c r="BO442" s="2604"/>
      <c r="BP442" s="2604"/>
      <c r="BQ442" s="2604"/>
      <c r="BR442" s="2604"/>
      <c r="BS442" s="2604"/>
    </row>
  </sheetData>
  <mergeCells count="22">
    <mergeCell ref="E5:S5"/>
    <mergeCell ref="AC5:AS5"/>
    <mergeCell ref="BA5:BQ5"/>
    <mergeCell ref="ER201:FD201"/>
    <mergeCell ref="FM201:GB201"/>
    <mergeCell ref="BY5:CN5"/>
    <mergeCell ref="GJ201:GY201"/>
    <mergeCell ref="ER117:FD117"/>
    <mergeCell ref="FM117:GB117"/>
    <mergeCell ref="GJ117:GY117"/>
    <mergeCell ref="ER172:FD172"/>
    <mergeCell ref="FM172:GB172"/>
    <mergeCell ref="GJ172:GY172"/>
    <mergeCell ref="FI1:GD1"/>
    <mergeCell ref="FI2:GD2"/>
    <mergeCell ref="FI3:GD3"/>
    <mergeCell ref="GF3:HB3"/>
    <mergeCell ref="CU5:DK5"/>
    <mergeCell ref="DT5:EJ5"/>
    <mergeCell ref="ER5:FD5"/>
    <mergeCell ref="FM5:GB5"/>
    <mergeCell ref="GJ5:GY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sheetPr>
    <tabColor theme="9" tint="-0.499984740745262"/>
  </sheetPr>
  <dimension ref="A2:L45"/>
  <sheetViews>
    <sheetView workbookViewId="0"/>
  </sheetViews>
  <sheetFormatPr baseColWidth="10" defaultRowHeight="14.25"/>
  <cols>
    <col min="1" max="1" width="2.7109375" style="42" customWidth="1"/>
    <col min="2" max="2" width="11.42578125" style="42"/>
    <col min="3" max="3" width="43" style="42" customWidth="1"/>
    <col min="4" max="8" width="11.42578125" style="42"/>
    <col min="9" max="9" width="11.140625" style="42" customWidth="1"/>
    <col min="10" max="242" width="11.42578125" style="42"/>
    <col min="243" max="243" width="4.28515625" style="42" customWidth="1"/>
    <col min="244" max="244" width="14.85546875" style="42" customWidth="1"/>
    <col min="245" max="245" width="11.42578125" style="42"/>
    <col min="246" max="246" width="43.7109375" style="42" bestFit="1" customWidth="1"/>
    <col min="247" max="247" width="11.42578125" style="42"/>
    <col min="248" max="248" width="19.5703125" style="42" customWidth="1"/>
    <col min="249" max="249" width="15.42578125" style="42" customWidth="1"/>
    <col min="250" max="498" width="11.42578125" style="42"/>
    <col min="499" max="499" width="4.28515625" style="42" customWidth="1"/>
    <col min="500" max="500" width="14.85546875" style="42" customWidth="1"/>
    <col min="501" max="501" width="11.42578125" style="42"/>
    <col min="502" max="502" width="43.7109375" style="42" bestFit="1" customWidth="1"/>
    <col min="503" max="503" width="11.42578125" style="42"/>
    <col min="504" max="504" width="19.5703125" style="42" customWidth="1"/>
    <col min="505" max="505" width="15.42578125" style="42" customWidth="1"/>
    <col min="506" max="754" width="11.42578125" style="42"/>
    <col min="755" max="755" width="4.28515625" style="42" customWidth="1"/>
    <col min="756" max="756" width="14.85546875" style="42" customWidth="1"/>
    <col min="757" max="757" width="11.42578125" style="42"/>
    <col min="758" max="758" width="43.7109375" style="42" bestFit="1" customWidth="1"/>
    <col min="759" max="759" width="11.42578125" style="42"/>
    <col min="760" max="760" width="19.5703125" style="42" customWidth="1"/>
    <col min="761" max="761" width="15.42578125" style="42" customWidth="1"/>
    <col min="762" max="1010" width="11.42578125" style="42"/>
    <col min="1011" max="1011" width="4.28515625" style="42" customWidth="1"/>
    <col min="1012" max="1012" width="14.85546875" style="42" customWidth="1"/>
    <col min="1013" max="1013" width="11.42578125" style="42"/>
    <col min="1014" max="1014" width="43.7109375" style="42" bestFit="1" customWidth="1"/>
    <col min="1015" max="1015" width="11.42578125" style="42"/>
    <col min="1016" max="1016" width="19.5703125" style="42" customWidth="1"/>
    <col min="1017" max="1017" width="15.42578125" style="42" customWidth="1"/>
    <col min="1018" max="1266" width="11.42578125" style="42"/>
    <col min="1267" max="1267" width="4.28515625" style="42" customWidth="1"/>
    <col min="1268" max="1268" width="14.85546875" style="42" customWidth="1"/>
    <col min="1269" max="1269" width="11.42578125" style="42"/>
    <col min="1270" max="1270" width="43.7109375" style="42" bestFit="1" customWidth="1"/>
    <col min="1271" max="1271" width="11.42578125" style="42"/>
    <col min="1272" max="1272" width="19.5703125" style="42" customWidth="1"/>
    <col min="1273" max="1273" width="15.42578125" style="42" customWidth="1"/>
    <col min="1274" max="1522" width="11.42578125" style="42"/>
    <col min="1523" max="1523" width="4.28515625" style="42" customWidth="1"/>
    <col min="1524" max="1524" width="14.85546875" style="42" customWidth="1"/>
    <col min="1525" max="1525" width="11.42578125" style="42"/>
    <col min="1526" max="1526" width="43.7109375" style="42" bestFit="1" customWidth="1"/>
    <col min="1527" max="1527" width="11.42578125" style="42"/>
    <col min="1528" max="1528" width="19.5703125" style="42" customWidth="1"/>
    <col min="1529" max="1529" width="15.42578125" style="42" customWidth="1"/>
    <col min="1530" max="1778" width="11.42578125" style="42"/>
    <col min="1779" max="1779" width="4.28515625" style="42" customWidth="1"/>
    <col min="1780" max="1780" width="14.85546875" style="42" customWidth="1"/>
    <col min="1781" max="1781" width="11.42578125" style="42"/>
    <col min="1782" max="1782" width="43.7109375" style="42" bestFit="1" customWidth="1"/>
    <col min="1783" max="1783" width="11.42578125" style="42"/>
    <col min="1784" max="1784" width="19.5703125" style="42" customWidth="1"/>
    <col min="1785" max="1785" width="15.42578125" style="42" customWidth="1"/>
    <col min="1786" max="2034" width="11.42578125" style="42"/>
    <col min="2035" max="2035" width="4.28515625" style="42" customWidth="1"/>
    <col min="2036" max="2036" width="14.85546875" style="42" customWidth="1"/>
    <col min="2037" max="2037" width="11.42578125" style="42"/>
    <col min="2038" max="2038" width="43.7109375" style="42" bestFit="1" customWidth="1"/>
    <col min="2039" max="2039" width="11.42578125" style="42"/>
    <col min="2040" max="2040" width="19.5703125" style="42" customWidth="1"/>
    <col min="2041" max="2041" width="15.42578125" style="42" customWidth="1"/>
    <col min="2042" max="2290" width="11.42578125" style="42"/>
    <col min="2291" max="2291" width="4.28515625" style="42" customWidth="1"/>
    <col min="2292" max="2292" width="14.85546875" style="42" customWidth="1"/>
    <col min="2293" max="2293" width="11.42578125" style="42"/>
    <col min="2294" max="2294" width="43.7109375" style="42" bestFit="1" customWidth="1"/>
    <col min="2295" max="2295" width="11.42578125" style="42"/>
    <col min="2296" max="2296" width="19.5703125" style="42" customWidth="1"/>
    <col min="2297" max="2297" width="15.42578125" style="42" customWidth="1"/>
    <col min="2298" max="2546" width="11.42578125" style="42"/>
    <col min="2547" max="2547" width="4.28515625" style="42" customWidth="1"/>
    <col min="2548" max="2548" width="14.85546875" style="42" customWidth="1"/>
    <col min="2549" max="2549" width="11.42578125" style="42"/>
    <col min="2550" max="2550" width="43.7109375" style="42" bestFit="1" customWidth="1"/>
    <col min="2551" max="2551" width="11.42578125" style="42"/>
    <col min="2552" max="2552" width="19.5703125" style="42" customWidth="1"/>
    <col min="2553" max="2553" width="15.42578125" style="42" customWidth="1"/>
    <col min="2554" max="2802" width="11.42578125" style="42"/>
    <col min="2803" max="2803" width="4.28515625" style="42" customWidth="1"/>
    <col min="2804" max="2804" width="14.85546875" style="42" customWidth="1"/>
    <col min="2805" max="2805" width="11.42578125" style="42"/>
    <col min="2806" max="2806" width="43.7109375" style="42" bestFit="1" customWidth="1"/>
    <col min="2807" max="2807" width="11.42578125" style="42"/>
    <col min="2808" max="2808" width="19.5703125" style="42" customWidth="1"/>
    <col min="2809" max="2809" width="15.42578125" style="42" customWidth="1"/>
    <col min="2810" max="3058" width="11.42578125" style="42"/>
    <col min="3059" max="3059" width="4.28515625" style="42" customWidth="1"/>
    <col min="3060" max="3060" width="14.85546875" style="42" customWidth="1"/>
    <col min="3061" max="3061" width="11.42578125" style="42"/>
    <col min="3062" max="3062" width="43.7109375" style="42" bestFit="1" customWidth="1"/>
    <col min="3063" max="3063" width="11.42578125" style="42"/>
    <col min="3064" max="3064" width="19.5703125" style="42" customWidth="1"/>
    <col min="3065" max="3065" width="15.42578125" style="42" customWidth="1"/>
    <col min="3066" max="3314" width="11.42578125" style="42"/>
    <col min="3315" max="3315" width="4.28515625" style="42" customWidth="1"/>
    <col min="3316" max="3316" width="14.85546875" style="42" customWidth="1"/>
    <col min="3317" max="3317" width="11.42578125" style="42"/>
    <col min="3318" max="3318" width="43.7109375" style="42" bestFit="1" customWidth="1"/>
    <col min="3319" max="3319" width="11.42578125" style="42"/>
    <col min="3320" max="3320" width="19.5703125" style="42" customWidth="1"/>
    <col min="3321" max="3321" width="15.42578125" style="42" customWidth="1"/>
    <col min="3322" max="3570" width="11.42578125" style="42"/>
    <col min="3571" max="3571" width="4.28515625" style="42" customWidth="1"/>
    <col min="3572" max="3572" width="14.85546875" style="42" customWidth="1"/>
    <col min="3573" max="3573" width="11.42578125" style="42"/>
    <col min="3574" max="3574" width="43.7109375" style="42" bestFit="1" customWidth="1"/>
    <col min="3575" max="3575" width="11.42578125" style="42"/>
    <col min="3576" max="3576" width="19.5703125" style="42" customWidth="1"/>
    <col min="3577" max="3577" width="15.42578125" style="42" customWidth="1"/>
    <col min="3578" max="3826" width="11.42578125" style="42"/>
    <col min="3827" max="3827" width="4.28515625" style="42" customWidth="1"/>
    <col min="3828" max="3828" width="14.85546875" style="42" customWidth="1"/>
    <col min="3829" max="3829" width="11.42578125" style="42"/>
    <col min="3830" max="3830" width="43.7109375" style="42" bestFit="1" customWidth="1"/>
    <col min="3831" max="3831" width="11.42578125" style="42"/>
    <col min="3832" max="3832" width="19.5703125" style="42" customWidth="1"/>
    <col min="3833" max="3833" width="15.42578125" style="42" customWidth="1"/>
    <col min="3834" max="4082" width="11.42578125" style="42"/>
    <col min="4083" max="4083" width="4.28515625" style="42" customWidth="1"/>
    <col min="4084" max="4084" width="14.85546875" style="42" customWidth="1"/>
    <col min="4085" max="4085" width="11.42578125" style="42"/>
    <col min="4086" max="4086" width="43.7109375" style="42" bestFit="1" customWidth="1"/>
    <col min="4087" max="4087" width="11.42578125" style="42"/>
    <col min="4088" max="4088" width="19.5703125" style="42" customWidth="1"/>
    <col min="4089" max="4089" width="15.42578125" style="42" customWidth="1"/>
    <col min="4090" max="4338" width="11.42578125" style="42"/>
    <col min="4339" max="4339" width="4.28515625" style="42" customWidth="1"/>
    <col min="4340" max="4340" width="14.85546875" style="42" customWidth="1"/>
    <col min="4341" max="4341" width="11.42578125" style="42"/>
    <col min="4342" max="4342" width="43.7109375" style="42" bestFit="1" customWidth="1"/>
    <col min="4343" max="4343" width="11.42578125" style="42"/>
    <col min="4344" max="4344" width="19.5703125" style="42" customWidth="1"/>
    <col min="4345" max="4345" width="15.42578125" style="42" customWidth="1"/>
    <col min="4346" max="4594" width="11.42578125" style="42"/>
    <col min="4595" max="4595" width="4.28515625" style="42" customWidth="1"/>
    <col min="4596" max="4596" width="14.85546875" style="42" customWidth="1"/>
    <col min="4597" max="4597" width="11.42578125" style="42"/>
    <col min="4598" max="4598" width="43.7109375" style="42" bestFit="1" customWidth="1"/>
    <col min="4599" max="4599" width="11.42578125" style="42"/>
    <col min="4600" max="4600" width="19.5703125" style="42" customWidth="1"/>
    <col min="4601" max="4601" width="15.42578125" style="42" customWidth="1"/>
    <col min="4602" max="4850" width="11.42578125" style="42"/>
    <col min="4851" max="4851" width="4.28515625" style="42" customWidth="1"/>
    <col min="4852" max="4852" width="14.85546875" style="42" customWidth="1"/>
    <col min="4853" max="4853" width="11.42578125" style="42"/>
    <col min="4854" max="4854" width="43.7109375" style="42" bestFit="1" customWidth="1"/>
    <col min="4855" max="4855" width="11.42578125" style="42"/>
    <col min="4856" max="4856" width="19.5703125" style="42" customWidth="1"/>
    <col min="4857" max="4857" width="15.42578125" style="42" customWidth="1"/>
    <col min="4858" max="5106" width="11.42578125" style="42"/>
    <col min="5107" max="5107" width="4.28515625" style="42" customWidth="1"/>
    <col min="5108" max="5108" width="14.85546875" style="42" customWidth="1"/>
    <col min="5109" max="5109" width="11.42578125" style="42"/>
    <col min="5110" max="5110" width="43.7109375" style="42" bestFit="1" customWidth="1"/>
    <col min="5111" max="5111" width="11.42578125" style="42"/>
    <col min="5112" max="5112" width="19.5703125" style="42" customWidth="1"/>
    <col min="5113" max="5113" width="15.42578125" style="42" customWidth="1"/>
    <col min="5114" max="5362" width="11.42578125" style="42"/>
    <col min="5363" max="5363" width="4.28515625" style="42" customWidth="1"/>
    <col min="5364" max="5364" width="14.85546875" style="42" customWidth="1"/>
    <col min="5365" max="5365" width="11.42578125" style="42"/>
    <col min="5366" max="5366" width="43.7109375" style="42" bestFit="1" customWidth="1"/>
    <col min="5367" max="5367" width="11.42578125" style="42"/>
    <col min="5368" max="5368" width="19.5703125" style="42" customWidth="1"/>
    <col min="5369" max="5369" width="15.42578125" style="42" customWidth="1"/>
    <col min="5370" max="5618" width="11.42578125" style="42"/>
    <col min="5619" max="5619" width="4.28515625" style="42" customWidth="1"/>
    <col min="5620" max="5620" width="14.85546875" style="42" customWidth="1"/>
    <col min="5621" max="5621" width="11.42578125" style="42"/>
    <col min="5622" max="5622" width="43.7109375" style="42" bestFit="1" customWidth="1"/>
    <col min="5623" max="5623" width="11.42578125" style="42"/>
    <col min="5624" max="5624" width="19.5703125" style="42" customWidth="1"/>
    <col min="5625" max="5625" width="15.42578125" style="42" customWidth="1"/>
    <col min="5626" max="5874" width="11.42578125" style="42"/>
    <col min="5875" max="5875" width="4.28515625" style="42" customWidth="1"/>
    <col min="5876" max="5876" width="14.85546875" style="42" customWidth="1"/>
    <col min="5877" max="5877" width="11.42578125" style="42"/>
    <col min="5878" max="5878" width="43.7109375" style="42" bestFit="1" customWidth="1"/>
    <col min="5879" max="5879" width="11.42578125" style="42"/>
    <col min="5880" max="5880" width="19.5703125" style="42" customWidth="1"/>
    <col min="5881" max="5881" width="15.42578125" style="42" customWidth="1"/>
    <col min="5882" max="6130" width="11.42578125" style="42"/>
    <col min="6131" max="6131" width="4.28515625" style="42" customWidth="1"/>
    <col min="6132" max="6132" width="14.85546875" style="42" customWidth="1"/>
    <col min="6133" max="6133" width="11.42578125" style="42"/>
    <col min="6134" max="6134" width="43.7109375" style="42" bestFit="1" customWidth="1"/>
    <col min="6135" max="6135" width="11.42578125" style="42"/>
    <col min="6136" max="6136" width="19.5703125" style="42" customWidth="1"/>
    <col min="6137" max="6137" width="15.42578125" style="42" customWidth="1"/>
    <col min="6138" max="6386" width="11.42578125" style="42"/>
    <col min="6387" max="6387" width="4.28515625" style="42" customWidth="1"/>
    <col min="6388" max="6388" width="14.85546875" style="42" customWidth="1"/>
    <col min="6389" max="6389" width="11.42578125" style="42"/>
    <col min="6390" max="6390" width="43.7109375" style="42" bestFit="1" customWidth="1"/>
    <col min="6391" max="6391" width="11.42578125" style="42"/>
    <col min="6392" max="6392" width="19.5703125" style="42" customWidth="1"/>
    <col min="6393" max="6393" width="15.42578125" style="42" customWidth="1"/>
    <col min="6394" max="6642" width="11.42578125" style="42"/>
    <col min="6643" max="6643" width="4.28515625" style="42" customWidth="1"/>
    <col min="6644" max="6644" width="14.85546875" style="42" customWidth="1"/>
    <col min="6645" max="6645" width="11.42578125" style="42"/>
    <col min="6646" max="6646" width="43.7109375" style="42" bestFit="1" customWidth="1"/>
    <col min="6647" max="6647" width="11.42578125" style="42"/>
    <col min="6648" max="6648" width="19.5703125" style="42" customWidth="1"/>
    <col min="6649" max="6649" width="15.42578125" style="42" customWidth="1"/>
    <col min="6650" max="6898" width="11.42578125" style="42"/>
    <col min="6899" max="6899" width="4.28515625" style="42" customWidth="1"/>
    <col min="6900" max="6900" width="14.85546875" style="42" customWidth="1"/>
    <col min="6901" max="6901" width="11.42578125" style="42"/>
    <col min="6902" max="6902" width="43.7109375" style="42" bestFit="1" customWidth="1"/>
    <col min="6903" max="6903" width="11.42578125" style="42"/>
    <col min="6904" max="6904" width="19.5703125" style="42" customWidth="1"/>
    <col min="6905" max="6905" width="15.42578125" style="42" customWidth="1"/>
    <col min="6906" max="7154" width="11.42578125" style="42"/>
    <col min="7155" max="7155" width="4.28515625" style="42" customWidth="1"/>
    <col min="7156" max="7156" width="14.85546875" style="42" customWidth="1"/>
    <col min="7157" max="7157" width="11.42578125" style="42"/>
    <col min="7158" max="7158" width="43.7109375" style="42" bestFit="1" customWidth="1"/>
    <col min="7159" max="7159" width="11.42578125" style="42"/>
    <col min="7160" max="7160" width="19.5703125" style="42" customWidth="1"/>
    <col min="7161" max="7161" width="15.42578125" style="42" customWidth="1"/>
    <col min="7162" max="7410" width="11.42578125" style="42"/>
    <col min="7411" max="7411" width="4.28515625" style="42" customWidth="1"/>
    <col min="7412" max="7412" width="14.85546875" style="42" customWidth="1"/>
    <col min="7413" max="7413" width="11.42578125" style="42"/>
    <col min="7414" max="7414" width="43.7109375" style="42" bestFit="1" customWidth="1"/>
    <col min="7415" max="7415" width="11.42578125" style="42"/>
    <col min="7416" max="7416" width="19.5703125" style="42" customWidth="1"/>
    <col min="7417" max="7417" width="15.42578125" style="42" customWidth="1"/>
    <col min="7418" max="7666" width="11.42578125" style="42"/>
    <col min="7667" max="7667" width="4.28515625" style="42" customWidth="1"/>
    <col min="7668" max="7668" width="14.85546875" style="42" customWidth="1"/>
    <col min="7669" max="7669" width="11.42578125" style="42"/>
    <col min="7670" max="7670" width="43.7109375" style="42" bestFit="1" customWidth="1"/>
    <col min="7671" max="7671" width="11.42578125" style="42"/>
    <col min="7672" max="7672" width="19.5703125" style="42" customWidth="1"/>
    <col min="7673" max="7673" width="15.42578125" style="42" customWidth="1"/>
    <col min="7674" max="7922" width="11.42578125" style="42"/>
    <col min="7923" max="7923" width="4.28515625" style="42" customWidth="1"/>
    <col min="7924" max="7924" width="14.85546875" style="42" customWidth="1"/>
    <col min="7925" max="7925" width="11.42578125" style="42"/>
    <col min="7926" max="7926" width="43.7109375" style="42" bestFit="1" customWidth="1"/>
    <col min="7927" max="7927" width="11.42578125" style="42"/>
    <col min="7928" max="7928" width="19.5703125" style="42" customWidth="1"/>
    <col min="7929" max="7929" width="15.42578125" style="42" customWidth="1"/>
    <col min="7930" max="8178" width="11.42578125" style="42"/>
    <col min="8179" max="8179" width="4.28515625" style="42" customWidth="1"/>
    <col min="8180" max="8180" width="14.85546875" style="42" customWidth="1"/>
    <col min="8181" max="8181" width="11.42578125" style="42"/>
    <col min="8182" max="8182" width="43.7109375" style="42" bestFit="1" customWidth="1"/>
    <col min="8183" max="8183" width="11.42578125" style="42"/>
    <col min="8184" max="8184" width="19.5703125" style="42" customWidth="1"/>
    <col min="8185" max="8185" width="15.42578125" style="42" customWidth="1"/>
    <col min="8186" max="8434" width="11.42578125" style="42"/>
    <col min="8435" max="8435" width="4.28515625" style="42" customWidth="1"/>
    <col min="8436" max="8436" width="14.85546875" style="42" customWidth="1"/>
    <col min="8437" max="8437" width="11.42578125" style="42"/>
    <col min="8438" max="8438" width="43.7109375" style="42" bestFit="1" customWidth="1"/>
    <col min="8439" max="8439" width="11.42578125" style="42"/>
    <col min="8440" max="8440" width="19.5703125" style="42" customWidth="1"/>
    <col min="8441" max="8441" width="15.42578125" style="42" customWidth="1"/>
    <col min="8442" max="8690" width="11.42578125" style="42"/>
    <col min="8691" max="8691" width="4.28515625" style="42" customWidth="1"/>
    <col min="8692" max="8692" width="14.85546875" style="42" customWidth="1"/>
    <col min="8693" max="8693" width="11.42578125" style="42"/>
    <col min="8694" max="8694" width="43.7109375" style="42" bestFit="1" customWidth="1"/>
    <col min="8695" max="8695" width="11.42578125" style="42"/>
    <col min="8696" max="8696" width="19.5703125" style="42" customWidth="1"/>
    <col min="8697" max="8697" width="15.42578125" style="42" customWidth="1"/>
    <col min="8698" max="8946" width="11.42578125" style="42"/>
    <col min="8947" max="8947" width="4.28515625" style="42" customWidth="1"/>
    <col min="8948" max="8948" width="14.85546875" style="42" customWidth="1"/>
    <col min="8949" max="8949" width="11.42578125" style="42"/>
    <col min="8950" max="8950" width="43.7109375" style="42" bestFit="1" customWidth="1"/>
    <col min="8951" max="8951" width="11.42578125" style="42"/>
    <col min="8952" max="8952" width="19.5703125" style="42" customWidth="1"/>
    <col min="8953" max="8953" width="15.42578125" style="42" customWidth="1"/>
    <col min="8954" max="9202" width="11.42578125" style="42"/>
    <col min="9203" max="9203" width="4.28515625" style="42" customWidth="1"/>
    <col min="9204" max="9204" width="14.85546875" style="42" customWidth="1"/>
    <col min="9205" max="9205" width="11.42578125" style="42"/>
    <col min="9206" max="9206" width="43.7109375" style="42" bestFit="1" customWidth="1"/>
    <col min="9207" max="9207" width="11.42578125" style="42"/>
    <col min="9208" max="9208" width="19.5703125" style="42" customWidth="1"/>
    <col min="9209" max="9209" width="15.42578125" style="42" customWidth="1"/>
    <col min="9210" max="9458" width="11.42578125" style="42"/>
    <col min="9459" max="9459" width="4.28515625" style="42" customWidth="1"/>
    <col min="9460" max="9460" width="14.85546875" style="42" customWidth="1"/>
    <col min="9461" max="9461" width="11.42578125" style="42"/>
    <col min="9462" max="9462" width="43.7109375" style="42" bestFit="1" customWidth="1"/>
    <col min="9463" max="9463" width="11.42578125" style="42"/>
    <col min="9464" max="9464" width="19.5703125" style="42" customWidth="1"/>
    <col min="9465" max="9465" width="15.42578125" style="42" customWidth="1"/>
    <col min="9466" max="9714" width="11.42578125" style="42"/>
    <col min="9715" max="9715" width="4.28515625" style="42" customWidth="1"/>
    <col min="9716" max="9716" width="14.85546875" style="42" customWidth="1"/>
    <col min="9717" max="9717" width="11.42578125" style="42"/>
    <col min="9718" max="9718" width="43.7109375" style="42" bestFit="1" customWidth="1"/>
    <col min="9719" max="9719" width="11.42578125" style="42"/>
    <col min="9720" max="9720" width="19.5703125" style="42" customWidth="1"/>
    <col min="9721" max="9721" width="15.42578125" style="42" customWidth="1"/>
    <col min="9722" max="9970" width="11.42578125" style="42"/>
    <col min="9971" max="9971" width="4.28515625" style="42" customWidth="1"/>
    <col min="9972" max="9972" width="14.85546875" style="42" customWidth="1"/>
    <col min="9973" max="9973" width="11.42578125" style="42"/>
    <col min="9974" max="9974" width="43.7109375" style="42" bestFit="1" customWidth="1"/>
    <col min="9975" max="9975" width="11.42578125" style="42"/>
    <col min="9976" max="9976" width="19.5703125" style="42" customWidth="1"/>
    <col min="9977" max="9977" width="15.42578125" style="42" customWidth="1"/>
    <col min="9978" max="10226" width="11.42578125" style="42"/>
    <col min="10227" max="10227" width="4.28515625" style="42" customWidth="1"/>
    <col min="10228" max="10228" width="14.85546875" style="42" customWidth="1"/>
    <col min="10229" max="10229" width="11.42578125" style="42"/>
    <col min="10230" max="10230" width="43.7109375" style="42" bestFit="1" customWidth="1"/>
    <col min="10231" max="10231" width="11.42578125" style="42"/>
    <col min="10232" max="10232" width="19.5703125" style="42" customWidth="1"/>
    <col min="10233" max="10233" width="15.42578125" style="42" customWidth="1"/>
    <col min="10234" max="10482" width="11.42578125" style="42"/>
    <col min="10483" max="10483" width="4.28515625" style="42" customWidth="1"/>
    <col min="10484" max="10484" width="14.85546875" style="42" customWidth="1"/>
    <col min="10485" max="10485" width="11.42578125" style="42"/>
    <col min="10486" max="10486" width="43.7109375" style="42" bestFit="1" customWidth="1"/>
    <col min="10487" max="10487" width="11.42578125" style="42"/>
    <col min="10488" max="10488" width="19.5703125" style="42" customWidth="1"/>
    <col min="10489" max="10489" width="15.42578125" style="42" customWidth="1"/>
    <col min="10490" max="10738" width="11.42578125" style="42"/>
    <col min="10739" max="10739" width="4.28515625" style="42" customWidth="1"/>
    <col min="10740" max="10740" width="14.85546875" style="42" customWidth="1"/>
    <col min="10741" max="10741" width="11.42578125" style="42"/>
    <col min="10742" max="10742" width="43.7109375" style="42" bestFit="1" customWidth="1"/>
    <col min="10743" max="10743" width="11.42578125" style="42"/>
    <col min="10744" max="10744" width="19.5703125" style="42" customWidth="1"/>
    <col min="10745" max="10745" width="15.42578125" style="42" customWidth="1"/>
    <col min="10746" max="10994" width="11.42578125" style="42"/>
    <col min="10995" max="10995" width="4.28515625" style="42" customWidth="1"/>
    <col min="10996" max="10996" width="14.85546875" style="42" customWidth="1"/>
    <col min="10997" max="10997" width="11.42578125" style="42"/>
    <col min="10998" max="10998" width="43.7109375" style="42" bestFit="1" customWidth="1"/>
    <col min="10999" max="10999" width="11.42578125" style="42"/>
    <col min="11000" max="11000" width="19.5703125" style="42" customWidth="1"/>
    <col min="11001" max="11001" width="15.42578125" style="42" customWidth="1"/>
    <col min="11002" max="11250" width="11.42578125" style="42"/>
    <col min="11251" max="11251" width="4.28515625" style="42" customWidth="1"/>
    <col min="11252" max="11252" width="14.85546875" style="42" customWidth="1"/>
    <col min="11253" max="11253" width="11.42578125" style="42"/>
    <col min="11254" max="11254" width="43.7109375" style="42" bestFit="1" customWidth="1"/>
    <col min="11255" max="11255" width="11.42578125" style="42"/>
    <col min="11256" max="11256" width="19.5703125" style="42" customWidth="1"/>
    <col min="11257" max="11257" width="15.42578125" style="42" customWidth="1"/>
    <col min="11258" max="11506" width="11.42578125" style="42"/>
    <col min="11507" max="11507" width="4.28515625" style="42" customWidth="1"/>
    <col min="11508" max="11508" width="14.85546875" style="42" customWidth="1"/>
    <col min="11509" max="11509" width="11.42578125" style="42"/>
    <col min="11510" max="11510" width="43.7109375" style="42" bestFit="1" customWidth="1"/>
    <col min="11511" max="11511" width="11.42578125" style="42"/>
    <col min="11512" max="11512" width="19.5703125" style="42" customWidth="1"/>
    <col min="11513" max="11513" width="15.42578125" style="42" customWidth="1"/>
    <col min="11514" max="11762" width="11.42578125" style="42"/>
    <col min="11763" max="11763" width="4.28515625" style="42" customWidth="1"/>
    <col min="11764" max="11764" width="14.85546875" style="42" customWidth="1"/>
    <col min="11765" max="11765" width="11.42578125" style="42"/>
    <col min="11766" max="11766" width="43.7109375" style="42" bestFit="1" customWidth="1"/>
    <col min="11767" max="11767" width="11.42578125" style="42"/>
    <col min="11768" max="11768" width="19.5703125" style="42" customWidth="1"/>
    <col min="11769" max="11769" width="15.42578125" style="42" customWidth="1"/>
    <col min="11770" max="12018" width="11.42578125" style="42"/>
    <col min="12019" max="12019" width="4.28515625" style="42" customWidth="1"/>
    <col min="12020" max="12020" width="14.85546875" style="42" customWidth="1"/>
    <col min="12021" max="12021" width="11.42578125" style="42"/>
    <col min="12022" max="12022" width="43.7109375" style="42" bestFit="1" customWidth="1"/>
    <col min="12023" max="12023" width="11.42578125" style="42"/>
    <col min="12024" max="12024" width="19.5703125" style="42" customWidth="1"/>
    <col min="12025" max="12025" width="15.42578125" style="42" customWidth="1"/>
    <col min="12026" max="12274" width="11.42578125" style="42"/>
    <col min="12275" max="12275" width="4.28515625" style="42" customWidth="1"/>
    <col min="12276" max="12276" width="14.85546875" style="42" customWidth="1"/>
    <col min="12277" max="12277" width="11.42578125" style="42"/>
    <col min="12278" max="12278" width="43.7109375" style="42" bestFit="1" customWidth="1"/>
    <col min="12279" max="12279" width="11.42578125" style="42"/>
    <col min="12280" max="12280" width="19.5703125" style="42" customWidth="1"/>
    <col min="12281" max="12281" width="15.42578125" style="42" customWidth="1"/>
    <col min="12282" max="12530" width="11.42578125" style="42"/>
    <col min="12531" max="12531" width="4.28515625" style="42" customWidth="1"/>
    <col min="12532" max="12532" width="14.85546875" style="42" customWidth="1"/>
    <col min="12533" max="12533" width="11.42578125" style="42"/>
    <col min="12534" max="12534" width="43.7109375" style="42" bestFit="1" customWidth="1"/>
    <col min="12535" max="12535" width="11.42578125" style="42"/>
    <col min="12536" max="12536" width="19.5703125" style="42" customWidth="1"/>
    <col min="12537" max="12537" width="15.42578125" style="42" customWidth="1"/>
    <col min="12538" max="12786" width="11.42578125" style="42"/>
    <col min="12787" max="12787" width="4.28515625" style="42" customWidth="1"/>
    <col min="12788" max="12788" width="14.85546875" style="42" customWidth="1"/>
    <col min="12789" max="12789" width="11.42578125" style="42"/>
    <col min="12790" max="12790" width="43.7109375" style="42" bestFit="1" customWidth="1"/>
    <col min="12791" max="12791" width="11.42578125" style="42"/>
    <col min="12792" max="12792" width="19.5703125" style="42" customWidth="1"/>
    <col min="12793" max="12793" width="15.42578125" style="42" customWidth="1"/>
    <col min="12794" max="13042" width="11.42578125" style="42"/>
    <col min="13043" max="13043" width="4.28515625" style="42" customWidth="1"/>
    <col min="13044" max="13044" width="14.85546875" style="42" customWidth="1"/>
    <col min="13045" max="13045" width="11.42578125" style="42"/>
    <col min="13046" max="13046" width="43.7109375" style="42" bestFit="1" customWidth="1"/>
    <col min="13047" max="13047" width="11.42578125" style="42"/>
    <col min="13048" max="13048" width="19.5703125" style="42" customWidth="1"/>
    <col min="13049" max="13049" width="15.42578125" style="42" customWidth="1"/>
    <col min="13050" max="13298" width="11.42578125" style="42"/>
    <col min="13299" max="13299" width="4.28515625" style="42" customWidth="1"/>
    <col min="13300" max="13300" width="14.85546875" style="42" customWidth="1"/>
    <col min="13301" max="13301" width="11.42578125" style="42"/>
    <col min="13302" max="13302" width="43.7109375" style="42" bestFit="1" customWidth="1"/>
    <col min="13303" max="13303" width="11.42578125" style="42"/>
    <col min="13304" max="13304" width="19.5703125" style="42" customWidth="1"/>
    <col min="13305" max="13305" width="15.42578125" style="42" customWidth="1"/>
    <col min="13306" max="13554" width="11.42578125" style="42"/>
    <col min="13555" max="13555" width="4.28515625" style="42" customWidth="1"/>
    <col min="13556" max="13556" width="14.85546875" style="42" customWidth="1"/>
    <col min="13557" max="13557" width="11.42578125" style="42"/>
    <col min="13558" max="13558" width="43.7109375" style="42" bestFit="1" customWidth="1"/>
    <col min="13559" max="13559" width="11.42578125" style="42"/>
    <col min="13560" max="13560" width="19.5703125" style="42" customWidth="1"/>
    <col min="13561" max="13561" width="15.42578125" style="42" customWidth="1"/>
    <col min="13562" max="13810" width="11.42578125" style="42"/>
    <col min="13811" max="13811" width="4.28515625" style="42" customWidth="1"/>
    <col min="13812" max="13812" width="14.85546875" style="42" customWidth="1"/>
    <col min="13813" max="13813" width="11.42578125" style="42"/>
    <col min="13814" max="13814" width="43.7109375" style="42" bestFit="1" customWidth="1"/>
    <col min="13815" max="13815" width="11.42578125" style="42"/>
    <col min="13816" max="13816" width="19.5703125" style="42" customWidth="1"/>
    <col min="13817" max="13817" width="15.42578125" style="42" customWidth="1"/>
    <col min="13818" max="14066" width="11.42578125" style="42"/>
    <col min="14067" max="14067" width="4.28515625" style="42" customWidth="1"/>
    <col min="14068" max="14068" width="14.85546875" style="42" customWidth="1"/>
    <col min="14069" max="14069" width="11.42578125" style="42"/>
    <col min="14070" max="14070" width="43.7109375" style="42" bestFit="1" customWidth="1"/>
    <col min="14071" max="14071" width="11.42578125" style="42"/>
    <col min="14072" max="14072" width="19.5703125" style="42" customWidth="1"/>
    <col min="14073" max="14073" width="15.42578125" style="42" customWidth="1"/>
    <col min="14074" max="14322" width="11.42578125" style="42"/>
    <col min="14323" max="14323" width="4.28515625" style="42" customWidth="1"/>
    <col min="14324" max="14324" width="14.85546875" style="42" customWidth="1"/>
    <col min="14325" max="14325" width="11.42578125" style="42"/>
    <col min="14326" max="14326" width="43.7109375" style="42" bestFit="1" customWidth="1"/>
    <col min="14327" max="14327" width="11.42578125" style="42"/>
    <col min="14328" max="14328" width="19.5703125" style="42" customWidth="1"/>
    <col min="14329" max="14329" width="15.42578125" style="42" customWidth="1"/>
    <col min="14330" max="14578" width="11.42578125" style="42"/>
    <col min="14579" max="14579" width="4.28515625" style="42" customWidth="1"/>
    <col min="14580" max="14580" width="14.85546875" style="42" customWidth="1"/>
    <col min="14581" max="14581" width="11.42578125" style="42"/>
    <col min="14582" max="14582" width="43.7109375" style="42" bestFit="1" customWidth="1"/>
    <col min="14583" max="14583" width="11.42578125" style="42"/>
    <col min="14584" max="14584" width="19.5703125" style="42" customWidth="1"/>
    <col min="14585" max="14585" width="15.42578125" style="42" customWidth="1"/>
    <col min="14586" max="14834" width="11.42578125" style="42"/>
    <col min="14835" max="14835" width="4.28515625" style="42" customWidth="1"/>
    <col min="14836" max="14836" width="14.85546875" style="42" customWidth="1"/>
    <col min="14837" max="14837" width="11.42578125" style="42"/>
    <col min="14838" max="14838" width="43.7109375" style="42" bestFit="1" customWidth="1"/>
    <col min="14839" max="14839" width="11.42578125" style="42"/>
    <col min="14840" max="14840" width="19.5703125" style="42" customWidth="1"/>
    <col min="14841" max="14841" width="15.42578125" style="42" customWidth="1"/>
    <col min="14842" max="15090" width="11.42578125" style="42"/>
    <col min="15091" max="15091" width="4.28515625" style="42" customWidth="1"/>
    <col min="15092" max="15092" width="14.85546875" style="42" customWidth="1"/>
    <col min="15093" max="15093" width="11.42578125" style="42"/>
    <col min="15094" max="15094" width="43.7109375" style="42" bestFit="1" customWidth="1"/>
    <col min="15095" max="15095" width="11.42578125" style="42"/>
    <col min="15096" max="15096" width="19.5703125" style="42" customWidth="1"/>
    <col min="15097" max="15097" width="15.42578125" style="42" customWidth="1"/>
    <col min="15098" max="15346" width="11.42578125" style="42"/>
    <col min="15347" max="15347" width="4.28515625" style="42" customWidth="1"/>
    <col min="15348" max="15348" width="14.85546875" style="42" customWidth="1"/>
    <col min="15349" max="15349" width="11.42578125" style="42"/>
    <col min="15350" max="15350" width="43.7109375" style="42" bestFit="1" customWidth="1"/>
    <col min="15351" max="15351" width="11.42578125" style="42"/>
    <col min="15352" max="15352" width="19.5703125" style="42" customWidth="1"/>
    <col min="15353" max="15353" width="15.42578125" style="42" customWidth="1"/>
    <col min="15354" max="15602" width="11.42578125" style="42"/>
    <col min="15603" max="15603" width="4.28515625" style="42" customWidth="1"/>
    <col min="15604" max="15604" width="14.85546875" style="42" customWidth="1"/>
    <col min="15605" max="15605" width="11.42578125" style="42"/>
    <col min="15606" max="15606" width="43.7109375" style="42" bestFit="1" customWidth="1"/>
    <col min="15607" max="15607" width="11.42578125" style="42"/>
    <col min="15608" max="15608" width="19.5703125" style="42" customWidth="1"/>
    <col min="15609" max="15609" width="15.42578125" style="42" customWidth="1"/>
    <col min="15610" max="15858" width="11.42578125" style="42"/>
    <col min="15859" max="15859" width="4.28515625" style="42" customWidth="1"/>
    <col min="15860" max="15860" width="14.85546875" style="42" customWidth="1"/>
    <col min="15861" max="15861" width="11.42578125" style="42"/>
    <col min="15862" max="15862" width="43.7109375" style="42" bestFit="1" customWidth="1"/>
    <col min="15863" max="15863" width="11.42578125" style="42"/>
    <col min="15864" max="15864" width="19.5703125" style="42" customWidth="1"/>
    <col min="15865" max="15865" width="15.42578125" style="42" customWidth="1"/>
    <col min="15866" max="16114" width="11.42578125" style="42"/>
    <col min="16115" max="16115" width="4.28515625" style="42" customWidth="1"/>
    <col min="16116" max="16116" width="14.85546875" style="42" customWidth="1"/>
    <col min="16117" max="16117" width="11.42578125" style="42"/>
    <col min="16118" max="16118" width="43.7109375" style="42" bestFit="1" customWidth="1"/>
    <col min="16119" max="16119" width="11.42578125" style="42"/>
    <col min="16120" max="16120" width="19.5703125" style="42" customWidth="1"/>
    <col min="16121" max="16121" width="15.42578125" style="42" customWidth="1"/>
    <col min="16122" max="16384" width="11.42578125" style="42"/>
  </cols>
  <sheetData>
    <row r="2" spans="1:12" ht="15">
      <c r="B2" s="160" t="s">
        <v>3952</v>
      </c>
      <c r="C2" s="1318"/>
      <c r="D2" s="1318"/>
      <c r="E2" s="1318"/>
      <c r="F2" s="1318"/>
      <c r="G2" s="1318"/>
      <c r="H2" s="1318"/>
    </row>
    <row r="3" spans="1:12" ht="15">
      <c r="B3" s="1319"/>
      <c r="C3" s="1319"/>
      <c r="D3" s="1319"/>
      <c r="E3" s="1319"/>
      <c r="F3" s="1319"/>
      <c r="G3" s="1319"/>
      <c r="H3" s="1319"/>
    </row>
    <row r="4" spans="1:12" ht="24">
      <c r="B4" s="4097" t="s">
        <v>2763</v>
      </c>
      <c r="C4" s="1361" t="s">
        <v>2</v>
      </c>
      <c r="D4" s="1362">
        <v>2010</v>
      </c>
      <c r="E4" s="1362">
        <v>2011</v>
      </c>
      <c r="F4" s="1362">
        <v>2012</v>
      </c>
      <c r="G4" s="1362">
        <v>2013</v>
      </c>
      <c r="H4" s="1362">
        <v>2014</v>
      </c>
      <c r="I4" s="1362">
        <v>2015</v>
      </c>
      <c r="J4" s="1362">
        <v>2016</v>
      </c>
      <c r="K4" s="1362">
        <v>2017</v>
      </c>
      <c r="L4" s="1362">
        <v>2018</v>
      </c>
    </row>
    <row r="5" spans="1:12" s="1287" customFormat="1" ht="15" customHeight="1">
      <c r="A5" s="42"/>
      <c r="B5" s="4950" t="s">
        <v>16</v>
      </c>
      <c r="C5" s="2617" t="s">
        <v>104</v>
      </c>
      <c r="D5" s="1321">
        <v>0</v>
      </c>
      <c r="E5" s="1322">
        <v>0.66666666666666607</v>
      </c>
      <c r="F5" s="1323">
        <v>0</v>
      </c>
      <c r="G5" s="1324">
        <v>0</v>
      </c>
      <c r="H5" s="1729">
        <v>0</v>
      </c>
      <c r="I5" s="1715">
        <v>0.13333333333333375</v>
      </c>
      <c r="J5" s="1715">
        <v>0.10000000000000009</v>
      </c>
      <c r="K5" s="1715">
        <v>0.1</v>
      </c>
      <c r="L5" s="1715">
        <v>4.9999999999999822E-2</v>
      </c>
    </row>
    <row r="6" spans="1:12" s="1287" customFormat="1" ht="15" customHeight="1">
      <c r="A6" s="42"/>
      <c r="B6" s="4951"/>
      <c r="C6" s="2618" t="s">
        <v>423</v>
      </c>
      <c r="D6" s="1325"/>
      <c r="E6" s="1326">
        <v>0</v>
      </c>
      <c r="F6" s="1327">
        <v>0.33333333333333348</v>
      </c>
      <c r="G6" s="1328">
        <v>0</v>
      </c>
      <c r="H6" s="1329">
        <v>0.20000000000000018</v>
      </c>
      <c r="I6" s="2623"/>
      <c r="J6" s="1329">
        <v>0</v>
      </c>
      <c r="K6" s="1329"/>
      <c r="L6" s="1329"/>
    </row>
    <row r="7" spans="1:12" s="1287" customFormat="1" ht="15" customHeight="1">
      <c r="A7" s="42"/>
      <c r="B7" s="4952"/>
      <c r="C7" s="2619" t="s">
        <v>573</v>
      </c>
      <c r="D7" s="1330">
        <v>0</v>
      </c>
      <c r="E7" s="1290">
        <v>0.42105263157894701</v>
      </c>
      <c r="F7" s="1331">
        <v>0.12500000000000006</v>
      </c>
      <c r="G7" s="1332">
        <v>0</v>
      </c>
      <c r="H7" s="1333">
        <v>4.5454545454545497E-2</v>
      </c>
      <c r="I7" s="2622">
        <v>0.13333333333333375</v>
      </c>
      <c r="J7" s="2622">
        <v>8.0000000000000071E-2</v>
      </c>
      <c r="K7" s="2622"/>
      <c r="L7" s="2622">
        <v>4.9999999999999822E-2</v>
      </c>
    </row>
    <row r="8" spans="1:12" s="1287" customFormat="1" ht="15" customHeight="1">
      <c r="A8" s="42"/>
      <c r="B8" s="4950" t="s">
        <v>21</v>
      </c>
      <c r="C8" s="2618" t="s">
        <v>106</v>
      </c>
      <c r="D8" s="1325">
        <v>3.6153846153846132</v>
      </c>
      <c r="E8" s="1326">
        <v>1.1818181818181825</v>
      </c>
      <c r="F8" s="1327">
        <v>2.666666666666667</v>
      </c>
      <c r="G8" s="1328">
        <v>0.30303030303030409</v>
      </c>
      <c r="H8" s="1329">
        <v>3</v>
      </c>
      <c r="I8" s="2623"/>
      <c r="J8" s="2623"/>
      <c r="K8" s="1291">
        <v>5</v>
      </c>
      <c r="L8" s="1291"/>
    </row>
    <row r="9" spans="1:12" s="1287" customFormat="1" ht="15" customHeight="1">
      <c r="A9" s="42"/>
      <c r="B9" s="4951"/>
      <c r="C9" s="706" t="s">
        <v>891</v>
      </c>
      <c r="D9" s="1325"/>
      <c r="E9" s="1326">
        <v>7</v>
      </c>
      <c r="F9" s="1327"/>
      <c r="G9" s="1328"/>
      <c r="H9" s="1329"/>
      <c r="I9" s="2623"/>
      <c r="J9" s="2623"/>
      <c r="K9" s="1291"/>
      <c r="L9" s="1291">
        <v>0</v>
      </c>
    </row>
    <row r="10" spans="1:12" s="1287" customFormat="1" ht="24">
      <c r="A10" s="42"/>
      <c r="B10" s="4953"/>
      <c r="C10" s="3311" t="s">
        <v>1691</v>
      </c>
      <c r="D10" s="2633"/>
      <c r="E10" s="1326"/>
      <c r="F10" s="3309"/>
      <c r="G10" s="1328"/>
      <c r="H10" s="3310"/>
      <c r="I10" s="2623"/>
      <c r="J10" s="2623"/>
      <c r="K10" s="1291">
        <v>0.88</v>
      </c>
      <c r="L10" s="1291"/>
    </row>
    <row r="11" spans="1:12" s="1287" customFormat="1" ht="15" customHeight="1">
      <c r="A11" s="42"/>
      <c r="B11" s="4952"/>
      <c r="C11" s="2620" t="s">
        <v>574</v>
      </c>
      <c r="D11" s="1334">
        <v>3.6153846153846132</v>
      </c>
      <c r="E11" s="1288">
        <v>1.3529411764705888</v>
      </c>
      <c r="F11" s="1335">
        <v>2.666666666666667</v>
      </c>
      <c r="G11" s="1336">
        <v>0.30303030303030409</v>
      </c>
      <c r="H11" s="1333">
        <v>3</v>
      </c>
      <c r="I11" s="2623"/>
      <c r="J11" s="2623"/>
      <c r="K11" s="1291">
        <v>1.34</v>
      </c>
      <c r="L11" s="1291">
        <v>0</v>
      </c>
    </row>
    <row r="12" spans="1:12" s="1287" customFormat="1" ht="15" customHeight="1">
      <c r="A12" s="42"/>
      <c r="B12" s="1338"/>
      <c r="C12" s="1350" t="s">
        <v>107</v>
      </c>
      <c r="D12" s="1339">
        <v>2.8484848484848468</v>
      </c>
      <c r="E12" s="1340">
        <v>1.0188679245283021</v>
      </c>
      <c r="F12" s="1341">
        <v>0.6333333333333333</v>
      </c>
      <c r="G12" s="1342">
        <v>0.22727272727272807</v>
      </c>
      <c r="H12" s="1730">
        <v>0.17391304347826092</v>
      </c>
      <c r="I12" s="2624">
        <v>0.13333333333333375</v>
      </c>
      <c r="J12" s="2624">
        <v>8.0000000000000071E-2</v>
      </c>
      <c r="K12" s="2624">
        <v>0.48</v>
      </c>
      <c r="L12" s="2624">
        <v>4.5238095238095077E-2</v>
      </c>
    </row>
    <row r="13" spans="1:12" s="1287" customFormat="1" ht="15" customHeight="1">
      <c r="A13" s="42"/>
      <c r="B13" s="4950" t="s">
        <v>16</v>
      </c>
      <c r="C13" s="2618" t="s">
        <v>108</v>
      </c>
      <c r="D13" s="1325">
        <v>0.53333333333333321</v>
      </c>
      <c r="E13" s="1326">
        <v>0.37962962962963021</v>
      </c>
      <c r="F13" s="1327">
        <v>0.65000000000000169</v>
      </c>
      <c r="G13" s="1328">
        <v>6.25E-2</v>
      </c>
      <c r="H13" s="1329">
        <v>0</v>
      </c>
      <c r="I13" s="1715">
        <v>0</v>
      </c>
      <c r="J13" s="1715">
        <v>0</v>
      </c>
      <c r="K13" s="1715">
        <v>0.14000000000000001</v>
      </c>
      <c r="L13" s="1715">
        <v>0.12999999999999989</v>
      </c>
    </row>
    <row r="14" spans="1:12" s="1287" customFormat="1" ht="15" customHeight="1">
      <c r="A14" s="42"/>
      <c r="B14" s="4952"/>
      <c r="C14" s="2619" t="s">
        <v>573</v>
      </c>
      <c r="D14" s="1330">
        <v>0.53333333333333321</v>
      </c>
      <c r="E14" s="1290">
        <v>0.37962962962963021</v>
      </c>
      <c r="F14" s="1331">
        <v>0.65000000000000169</v>
      </c>
      <c r="G14" s="1332">
        <v>6.25E-2</v>
      </c>
      <c r="H14" s="1333">
        <v>0</v>
      </c>
      <c r="I14" s="2622">
        <v>0</v>
      </c>
      <c r="J14" s="2622">
        <v>0</v>
      </c>
      <c r="K14" s="2622">
        <v>0.14000000000000001</v>
      </c>
      <c r="L14" s="2622">
        <v>0.12999999999999989</v>
      </c>
    </row>
    <row r="15" spans="1:12" s="1287" customFormat="1" ht="15" customHeight="1">
      <c r="A15" s="42"/>
      <c r="B15" s="4950" t="s">
        <v>41</v>
      </c>
      <c r="C15" s="2618" t="s">
        <v>109</v>
      </c>
      <c r="D15" s="1325">
        <v>0.66666666666666652</v>
      </c>
      <c r="E15" s="1326">
        <v>1.1000000000000014</v>
      </c>
      <c r="F15" s="1327">
        <v>0.39999999999999991</v>
      </c>
      <c r="G15" s="1328">
        <v>0.61538461538461542</v>
      </c>
      <c r="H15" s="1329">
        <v>0.66666666666666652</v>
      </c>
      <c r="I15" s="1291">
        <v>0.38461538461538503</v>
      </c>
      <c r="J15" s="1291">
        <v>1.1399999999999997</v>
      </c>
      <c r="K15" s="1291">
        <v>1.21</v>
      </c>
      <c r="L15" s="1291">
        <v>1.7800000000000002</v>
      </c>
    </row>
    <row r="16" spans="1:12" s="1287" customFormat="1" ht="15" customHeight="1">
      <c r="A16" s="42"/>
      <c r="B16" s="4951"/>
      <c r="C16" s="2618" t="s">
        <v>620</v>
      </c>
      <c r="D16" s="1325">
        <v>1.75</v>
      </c>
      <c r="E16" s="1326">
        <v>3</v>
      </c>
      <c r="F16" s="1327">
        <v>0</v>
      </c>
      <c r="G16" s="1328">
        <v>1.666666666666667</v>
      </c>
      <c r="H16" s="1329">
        <v>4</v>
      </c>
      <c r="I16" s="1291">
        <v>3.5714285714285712</v>
      </c>
      <c r="J16" s="1291">
        <v>3.2899999999999991</v>
      </c>
      <c r="K16" s="1291">
        <v>4</v>
      </c>
      <c r="L16" s="1291">
        <v>2.33</v>
      </c>
    </row>
    <row r="17" spans="1:12" s="1287" customFormat="1" ht="15" customHeight="1">
      <c r="A17" s="42"/>
      <c r="B17" s="4952"/>
      <c r="C17" s="2620" t="s">
        <v>575</v>
      </c>
      <c r="D17" s="1334">
        <v>1.2083333333333333</v>
      </c>
      <c r="E17" s="1288">
        <v>1.272727272727274</v>
      </c>
      <c r="F17" s="1344">
        <v>0.35294117647058815</v>
      </c>
      <c r="G17" s="1345">
        <v>0.72413793103448276</v>
      </c>
      <c r="H17" s="1731">
        <v>2.3333333333333335</v>
      </c>
      <c r="I17" s="2622">
        <v>1.5000000000000004</v>
      </c>
      <c r="J17" s="2622">
        <v>1.856666666666666</v>
      </c>
      <c r="K17" s="2622">
        <v>1.78</v>
      </c>
      <c r="L17" s="2622">
        <v>3.3333333333333339</v>
      </c>
    </row>
    <row r="18" spans="1:12" s="1287" customFormat="1" ht="15" customHeight="1">
      <c r="A18" s="42"/>
      <c r="B18" s="1338"/>
      <c r="C18" s="1350" t="s">
        <v>111</v>
      </c>
      <c r="D18" s="1339">
        <v>0.98333333333333328</v>
      </c>
      <c r="E18" s="1340">
        <v>0.53076923076923144</v>
      </c>
      <c r="F18" s="1341">
        <v>0.60683760683760835</v>
      </c>
      <c r="G18" s="1342">
        <v>0.48888888888888887</v>
      </c>
      <c r="H18" s="1730">
        <v>0.77777777777777779</v>
      </c>
      <c r="I18" s="2624">
        <v>0.85714285714285732</v>
      </c>
      <c r="J18" s="2624">
        <v>0.57338235294117634</v>
      </c>
      <c r="K18" s="2624">
        <v>0.96</v>
      </c>
      <c r="L18" s="2624">
        <v>0.60262295081967221</v>
      </c>
    </row>
    <row r="19" spans="1:12" s="1287" customFormat="1" ht="15" customHeight="1">
      <c r="A19" s="42"/>
      <c r="B19" s="4950" t="s">
        <v>16</v>
      </c>
      <c r="C19" s="2618" t="s">
        <v>112</v>
      </c>
      <c r="D19" s="1325">
        <v>1.0999999999999996</v>
      </c>
      <c r="E19" s="1326">
        <v>-2</v>
      </c>
      <c r="F19" s="1329"/>
      <c r="G19" s="1328">
        <v>3</v>
      </c>
      <c r="H19" s="1329">
        <v>0.96428571428571441</v>
      </c>
      <c r="I19" s="1715">
        <v>3</v>
      </c>
      <c r="J19" s="1715">
        <v>3</v>
      </c>
      <c r="K19" s="1715">
        <v>2</v>
      </c>
      <c r="L19" s="1715">
        <v>1</v>
      </c>
    </row>
    <row r="20" spans="1:12" s="1287" customFormat="1" ht="15" customHeight="1">
      <c r="A20" s="42"/>
      <c r="B20" s="4951"/>
      <c r="C20" s="2621" t="s">
        <v>135</v>
      </c>
      <c r="D20" s="1325"/>
      <c r="E20" s="1326">
        <v>1.4117647058823533</v>
      </c>
      <c r="F20" s="1327">
        <v>4</v>
      </c>
      <c r="G20" s="1346"/>
      <c r="H20" s="1333"/>
      <c r="I20" s="2623"/>
      <c r="J20" s="2623"/>
      <c r="K20" s="1291"/>
      <c r="L20" s="1291"/>
    </row>
    <row r="21" spans="1:12" s="1287" customFormat="1" ht="15" customHeight="1">
      <c r="A21" s="42"/>
      <c r="B21" s="4952"/>
      <c r="C21" s="2619" t="s">
        <v>894</v>
      </c>
      <c r="D21" s="1330">
        <v>1.0999999999999996</v>
      </c>
      <c r="E21" s="1290">
        <v>1.0526315789473688</v>
      </c>
      <c r="F21" s="1331">
        <v>4</v>
      </c>
      <c r="G21" s="1332">
        <v>3</v>
      </c>
      <c r="H21" s="1333">
        <v>0.96428571428571441</v>
      </c>
      <c r="I21" s="2622">
        <v>3</v>
      </c>
      <c r="J21" s="2622">
        <v>3</v>
      </c>
      <c r="K21" s="2622">
        <v>2</v>
      </c>
      <c r="L21" s="2622">
        <v>1</v>
      </c>
    </row>
    <row r="22" spans="1:12" s="1287" customFormat="1" ht="15" customHeight="1">
      <c r="A22" s="42"/>
      <c r="B22" s="4950" t="s">
        <v>41</v>
      </c>
      <c r="C22" s="2618" t="s">
        <v>139</v>
      </c>
      <c r="D22" s="1325"/>
      <c r="E22" s="1326">
        <v>3</v>
      </c>
      <c r="F22" s="1329"/>
      <c r="G22" s="1347"/>
      <c r="H22" s="1329">
        <v>3</v>
      </c>
      <c r="I22" s="1291">
        <v>2.5</v>
      </c>
      <c r="J22" s="1291">
        <v>1</v>
      </c>
      <c r="K22" s="1291">
        <v>3</v>
      </c>
      <c r="L22" s="1291">
        <v>4</v>
      </c>
    </row>
    <row r="23" spans="1:12" s="1287" customFormat="1" ht="15" customHeight="1">
      <c r="A23" s="42"/>
      <c r="B23" s="4951"/>
      <c r="C23" s="2618" t="s">
        <v>113</v>
      </c>
      <c r="D23" s="1325">
        <v>0.66666666666666652</v>
      </c>
      <c r="E23" s="1326">
        <v>0</v>
      </c>
      <c r="F23" s="1327">
        <v>1.1428571428571432</v>
      </c>
      <c r="G23" s="1347"/>
      <c r="H23" s="1329">
        <v>0.88888888888888884</v>
      </c>
      <c r="I23" s="2623"/>
      <c r="J23" s="2623"/>
      <c r="K23" s="1291"/>
      <c r="L23" s="1291"/>
    </row>
    <row r="24" spans="1:12" s="1287" customFormat="1" ht="15" customHeight="1">
      <c r="A24" s="42"/>
      <c r="B24" s="4952"/>
      <c r="C24" s="2620" t="s">
        <v>575</v>
      </c>
      <c r="D24" s="1334">
        <v>0.66666666666666652</v>
      </c>
      <c r="E24" s="1288">
        <v>2</v>
      </c>
      <c r="F24" s="1348">
        <v>1.1428571428571432</v>
      </c>
      <c r="G24" s="1349"/>
      <c r="H24" s="1731">
        <v>1.1000000000000001</v>
      </c>
      <c r="I24" s="2622">
        <v>2.5</v>
      </c>
      <c r="J24" s="2622">
        <v>1</v>
      </c>
      <c r="K24" s="2622">
        <v>3</v>
      </c>
      <c r="L24" s="2622">
        <v>4</v>
      </c>
    </row>
    <row r="25" spans="1:12" s="1287" customFormat="1" ht="15" customHeight="1">
      <c r="A25" s="42"/>
      <c r="B25" s="1338"/>
      <c r="C25" s="1350" t="s">
        <v>461</v>
      </c>
      <c r="D25" s="1339">
        <v>1.0434782608695654</v>
      </c>
      <c r="E25" s="1340">
        <v>1.1818181818181821</v>
      </c>
      <c r="F25" s="1351">
        <v>1.5000000000000004</v>
      </c>
      <c r="G25" s="1342">
        <v>3</v>
      </c>
      <c r="H25" s="1730">
        <v>1</v>
      </c>
      <c r="I25" s="2624">
        <v>2.5714285714285716</v>
      </c>
      <c r="J25" s="2624">
        <v>1.5</v>
      </c>
      <c r="K25" s="2624">
        <v>2.8</v>
      </c>
      <c r="L25" s="2624">
        <v>1.1304347826086956</v>
      </c>
    </row>
    <row r="26" spans="1:12" s="1287" customFormat="1" ht="15" customHeight="1">
      <c r="A26" s="42"/>
      <c r="B26" s="4950" t="s">
        <v>64</v>
      </c>
      <c r="C26" s="2618" t="s">
        <v>710</v>
      </c>
      <c r="D26" s="1352"/>
      <c r="E26" s="1347"/>
      <c r="F26" s="1329"/>
      <c r="G26" s="1328">
        <v>0</v>
      </c>
      <c r="H26" s="1329">
        <v>0</v>
      </c>
      <c r="I26" s="1715">
        <v>0</v>
      </c>
      <c r="J26" s="1715">
        <v>0</v>
      </c>
      <c r="K26" s="1715">
        <v>0</v>
      </c>
      <c r="L26" s="1715">
        <v>0</v>
      </c>
    </row>
    <row r="27" spans="1:12" s="1287" customFormat="1" ht="15" customHeight="1">
      <c r="A27" s="42"/>
      <c r="B27" s="4952"/>
      <c r="C27" s="2620" t="s">
        <v>577</v>
      </c>
      <c r="D27" s="1353"/>
      <c r="E27" s="1349"/>
      <c r="F27" s="1337"/>
      <c r="G27" s="1354">
        <v>0</v>
      </c>
      <c r="H27" s="1731">
        <v>0</v>
      </c>
      <c r="I27" s="2622">
        <v>0</v>
      </c>
      <c r="J27" s="2622">
        <v>0</v>
      </c>
      <c r="K27" s="2622">
        <v>0</v>
      </c>
      <c r="L27" s="2622">
        <v>0</v>
      </c>
    </row>
    <row r="28" spans="1:12" s="1287" customFormat="1" ht="15" customHeight="1">
      <c r="A28" s="42"/>
      <c r="B28" s="1338"/>
      <c r="C28" s="1350" t="s">
        <v>265</v>
      </c>
      <c r="D28" s="1355"/>
      <c r="E28" s="1356"/>
      <c r="F28" s="1343"/>
      <c r="G28" s="1342">
        <v>0</v>
      </c>
      <c r="H28" s="1730">
        <v>0</v>
      </c>
      <c r="I28" s="2624">
        <v>0</v>
      </c>
      <c r="J28" s="2624">
        <v>0</v>
      </c>
      <c r="K28" s="2624">
        <v>0</v>
      </c>
      <c r="L28" s="2624">
        <v>0</v>
      </c>
    </row>
    <row r="29" spans="1:12" s="1287" customFormat="1" ht="15" customHeight="1">
      <c r="A29" s="42"/>
      <c r="B29" s="4948" t="s">
        <v>114</v>
      </c>
      <c r="C29" s="4949"/>
      <c r="D29" s="1357">
        <v>1.6250988142292486</v>
      </c>
      <c r="E29" s="1358">
        <v>0.72682926829268346</v>
      </c>
      <c r="F29" s="1359">
        <v>0.65806451612903338</v>
      </c>
      <c r="G29" s="1360">
        <v>0.38043478260869606</v>
      </c>
      <c r="H29" s="1732">
        <v>0.70707070707070707</v>
      </c>
      <c r="I29" s="2625">
        <v>0.84745762711864436</v>
      </c>
      <c r="J29" s="2625">
        <v>0.47464646464646459</v>
      </c>
      <c r="K29" s="2625">
        <v>0.87</v>
      </c>
      <c r="L29" s="2626">
        <v>0.59542056074766347</v>
      </c>
    </row>
    <row r="31" spans="1:12">
      <c r="B31" s="74" t="s">
        <v>2746</v>
      </c>
    </row>
    <row r="34" spans="2:2" ht="31.5" customHeight="1">
      <c r="B34" s="1320"/>
    </row>
    <row r="43" spans="2:2" ht="32.25" customHeight="1"/>
    <row r="45" spans="2:2" ht="33.75" customHeight="1"/>
  </sheetData>
  <mergeCells count="8">
    <mergeCell ref="B29:C29"/>
    <mergeCell ref="B22:B24"/>
    <mergeCell ref="B26:B27"/>
    <mergeCell ref="B5:B7"/>
    <mergeCell ref="B8:B11"/>
    <mergeCell ref="B13:B14"/>
    <mergeCell ref="B15:B17"/>
    <mergeCell ref="B19:B2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dimension ref="A1:BR147"/>
  <sheetViews>
    <sheetView workbookViewId="0">
      <selection activeCell="N26" sqref="N26"/>
    </sheetView>
  </sheetViews>
  <sheetFormatPr baseColWidth="10" defaultRowHeight="15"/>
  <cols>
    <col min="1" max="1" width="13.42578125" style="4676" customWidth="1"/>
    <col min="2" max="2" width="11.42578125" style="4676"/>
    <col min="3" max="3" width="40.140625" style="4676" bestFit="1" customWidth="1"/>
    <col min="4" max="5" width="11.42578125" style="4676"/>
    <col min="6" max="6" width="8.85546875" style="4676" bestFit="1" customWidth="1"/>
    <col min="7" max="7" width="13" style="4676" customWidth="1"/>
    <col min="8" max="8" width="11.42578125" style="4676"/>
    <col min="10" max="10" width="7" bestFit="1" customWidth="1"/>
    <col min="11" max="11" width="59.42578125" bestFit="1" customWidth="1"/>
    <col min="12" max="12" width="9.85546875" bestFit="1" customWidth="1"/>
    <col min="13" max="13" width="5.28515625" bestFit="1" customWidth="1"/>
    <col min="14" max="14" width="8.28515625" bestFit="1" customWidth="1"/>
    <col min="17" max="17" width="6.7109375" bestFit="1" customWidth="1"/>
    <col min="18" max="18" width="37.140625" bestFit="1" customWidth="1"/>
    <col min="19" max="19" width="8.140625" bestFit="1" customWidth="1"/>
    <col min="20" max="20" width="6.28515625" customWidth="1"/>
    <col min="21" max="21" width="8.28515625" bestFit="1" customWidth="1"/>
    <col min="24" max="24" width="8.7109375" customWidth="1"/>
    <col min="25" max="25" width="36.140625" bestFit="1" customWidth="1"/>
    <col min="32" max="32" width="37.140625" bestFit="1" customWidth="1"/>
    <col min="39" max="39" width="7.28515625" bestFit="1" customWidth="1"/>
    <col min="40" max="40" width="44.7109375" bestFit="1" customWidth="1"/>
    <col min="41" max="42" width="11.5703125" customWidth="1"/>
    <col min="45" max="45" width="4.28515625" customWidth="1"/>
    <col min="46" max="46" width="10.5703125" customWidth="1"/>
    <col min="47" max="47" width="8.7109375" customWidth="1"/>
    <col min="48" max="48" width="34.85546875" bestFit="1" customWidth="1"/>
    <col min="49" max="50" width="8.7109375" hidden="1" customWidth="1"/>
    <col min="51" max="54" width="8.7109375" customWidth="1"/>
    <col min="55" max="55" width="12.28515625" style="191" customWidth="1"/>
    <col min="56" max="56" width="7" style="191" bestFit="1" customWidth="1"/>
    <col min="57" max="57" width="35.85546875" customWidth="1"/>
    <col min="58" max="58" width="5.7109375" customWidth="1"/>
    <col min="59" max="59" width="17.5703125" bestFit="1" customWidth="1"/>
    <col min="60" max="60" width="13" bestFit="1" customWidth="1"/>
    <col min="61" max="61" width="8.85546875" bestFit="1" customWidth="1"/>
    <col min="62" max="62" width="0" hidden="1" customWidth="1"/>
    <col min="64" max="64" width="11.7109375" customWidth="1"/>
    <col min="66" max="66" width="36.7109375" bestFit="1" customWidth="1"/>
    <col min="310" max="310" width="4.28515625" customWidth="1"/>
    <col min="311" max="311" width="14.85546875" customWidth="1"/>
    <col min="313" max="313" width="43.7109375" bestFit="1" customWidth="1"/>
    <col min="315" max="315" width="19.5703125" customWidth="1"/>
    <col min="316" max="316" width="15.42578125" customWidth="1"/>
    <col min="566" max="566" width="4.28515625" customWidth="1"/>
    <col min="567" max="567" width="14.85546875" customWidth="1"/>
    <col min="569" max="569" width="43.7109375" bestFit="1" customWidth="1"/>
    <col min="571" max="571" width="19.5703125" customWidth="1"/>
    <col min="572" max="572" width="15.42578125" customWidth="1"/>
    <col min="822" max="822" width="4.28515625" customWidth="1"/>
    <col min="823" max="823" width="14.85546875" customWidth="1"/>
    <col min="825" max="825" width="43.7109375" bestFit="1" customWidth="1"/>
    <col min="827" max="827" width="19.5703125" customWidth="1"/>
    <col min="828" max="828" width="15.42578125" customWidth="1"/>
    <col min="1078" max="1078" width="4.28515625" customWidth="1"/>
    <col min="1079" max="1079" width="14.85546875" customWidth="1"/>
    <col min="1081" max="1081" width="43.7109375" bestFit="1" customWidth="1"/>
    <col min="1083" max="1083" width="19.5703125" customWidth="1"/>
    <col min="1084" max="1084" width="15.42578125" customWidth="1"/>
    <col min="1334" max="1334" width="4.28515625" customWidth="1"/>
    <col min="1335" max="1335" width="14.85546875" customWidth="1"/>
    <col min="1337" max="1337" width="43.7109375" bestFit="1" customWidth="1"/>
    <col min="1339" max="1339" width="19.5703125" customWidth="1"/>
    <col min="1340" max="1340" width="15.42578125" customWidth="1"/>
    <col min="1590" max="1590" width="4.28515625" customWidth="1"/>
    <col min="1591" max="1591" width="14.85546875" customWidth="1"/>
    <col min="1593" max="1593" width="43.7109375" bestFit="1" customWidth="1"/>
    <col min="1595" max="1595" width="19.5703125" customWidth="1"/>
    <col min="1596" max="1596" width="15.42578125" customWidth="1"/>
    <col min="1846" max="1846" width="4.28515625" customWidth="1"/>
    <col min="1847" max="1847" width="14.85546875" customWidth="1"/>
    <col min="1849" max="1849" width="43.7109375" bestFit="1" customWidth="1"/>
    <col min="1851" max="1851" width="19.5703125" customWidth="1"/>
    <col min="1852" max="1852" width="15.42578125" customWidth="1"/>
    <col min="2102" max="2102" width="4.28515625" customWidth="1"/>
    <col min="2103" max="2103" width="14.85546875" customWidth="1"/>
    <col min="2105" max="2105" width="43.7109375" bestFit="1" customWidth="1"/>
    <col min="2107" max="2107" width="19.5703125" customWidth="1"/>
    <col min="2108" max="2108" width="15.42578125" customWidth="1"/>
    <col min="2358" max="2358" width="4.28515625" customWidth="1"/>
    <col min="2359" max="2359" width="14.85546875" customWidth="1"/>
    <col min="2361" max="2361" width="43.7109375" bestFit="1" customWidth="1"/>
    <col min="2363" max="2363" width="19.5703125" customWidth="1"/>
    <col min="2364" max="2364" width="15.42578125" customWidth="1"/>
    <col min="2614" max="2614" width="4.28515625" customWidth="1"/>
    <col min="2615" max="2615" width="14.85546875" customWidth="1"/>
    <col min="2617" max="2617" width="43.7109375" bestFit="1" customWidth="1"/>
    <col min="2619" max="2619" width="19.5703125" customWidth="1"/>
    <col min="2620" max="2620" width="15.42578125" customWidth="1"/>
    <col min="2870" max="2870" width="4.28515625" customWidth="1"/>
    <col min="2871" max="2871" width="14.85546875" customWidth="1"/>
    <col min="2873" max="2873" width="43.7109375" bestFit="1" customWidth="1"/>
    <col min="2875" max="2875" width="19.5703125" customWidth="1"/>
    <col min="2876" max="2876" width="15.42578125" customWidth="1"/>
    <col min="3126" max="3126" width="4.28515625" customWidth="1"/>
    <col min="3127" max="3127" width="14.85546875" customWidth="1"/>
    <col min="3129" max="3129" width="43.7109375" bestFit="1" customWidth="1"/>
    <col min="3131" max="3131" width="19.5703125" customWidth="1"/>
    <col min="3132" max="3132" width="15.42578125" customWidth="1"/>
    <col min="3382" max="3382" width="4.28515625" customWidth="1"/>
    <col min="3383" max="3383" width="14.85546875" customWidth="1"/>
    <col min="3385" max="3385" width="43.7109375" bestFit="1" customWidth="1"/>
    <col min="3387" max="3387" width="19.5703125" customWidth="1"/>
    <col min="3388" max="3388" width="15.42578125" customWidth="1"/>
    <col min="3638" max="3638" width="4.28515625" customWidth="1"/>
    <col min="3639" max="3639" width="14.85546875" customWidth="1"/>
    <col min="3641" max="3641" width="43.7109375" bestFit="1" customWidth="1"/>
    <col min="3643" max="3643" width="19.5703125" customWidth="1"/>
    <col min="3644" max="3644" width="15.42578125" customWidth="1"/>
    <col min="3894" max="3894" width="4.28515625" customWidth="1"/>
    <col min="3895" max="3895" width="14.85546875" customWidth="1"/>
    <col min="3897" max="3897" width="43.7109375" bestFit="1" customWidth="1"/>
    <col min="3899" max="3899" width="19.5703125" customWidth="1"/>
    <col min="3900" max="3900" width="15.42578125" customWidth="1"/>
    <col min="4150" max="4150" width="4.28515625" customWidth="1"/>
    <col min="4151" max="4151" width="14.85546875" customWidth="1"/>
    <col min="4153" max="4153" width="43.7109375" bestFit="1" customWidth="1"/>
    <col min="4155" max="4155" width="19.5703125" customWidth="1"/>
    <col min="4156" max="4156" width="15.42578125" customWidth="1"/>
    <col min="4406" max="4406" width="4.28515625" customWidth="1"/>
    <col min="4407" max="4407" width="14.85546875" customWidth="1"/>
    <col min="4409" max="4409" width="43.7109375" bestFit="1" customWidth="1"/>
    <col min="4411" max="4411" width="19.5703125" customWidth="1"/>
    <col min="4412" max="4412" width="15.42578125" customWidth="1"/>
    <col min="4662" max="4662" width="4.28515625" customWidth="1"/>
    <col min="4663" max="4663" width="14.85546875" customWidth="1"/>
    <col min="4665" max="4665" width="43.7109375" bestFit="1" customWidth="1"/>
    <col min="4667" max="4667" width="19.5703125" customWidth="1"/>
    <col min="4668" max="4668" width="15.42578125" customWidth="1"/>
    <col min="4918" max="4918" width="4.28515625" customWidth="1"/>
    <col min="4919" max="4919" width="14.85546875" customWidth="1"/>
    <col min="4921" max="4921" width="43.7109375" bestFit="1" customWidth="1"/>
    <col min="4923" max="4923" width="19.5703125" customWidth="1"/>
    <col min="4924" max="4924" width="15.42578125" customWidth="1"/>
    <col min="5174" max="5174" width="4.28515625" customWidth="1"/>
    <col min="5175" max="5175" width="14.85546875" customWidth="1"/>
    <col min="5177" max="5177" width="43.7109375" bestFit="1" customWidth="1"/>
    <col min="5179" max="5179" width="19.5703125" customWidth="1"/>
    <col min="5180" max="5180" width="15.42578125" customWidth="1"/>
    <col min="5430" max="5430" width="4.28515625" customWidth="1"/>
    <col min="5431" max="5431" width="14.85546875" customWidth="1"/>
    <col min="5433" max="5433" width="43.7109375" bestFit="1" customWidth="1"/>
    <col min="5435" max="5435" width="19.5703125" customWidth="1"/>
    <col min="5436" max="5436" width="15.42578125" customWidth="1"/>
    <col min="5686" max="5686" width="4.28515625" customWidth="1"/>
    <col min="5687" max="5687" width="14.85546875" customWidth="1"/>
    <col min="5689" max="5689" width="43.7109375" bestFit="1" customWidth="1"/>
    <col min="5691" max="5691" width="19.5703125" customWidth="1"/>
    <col min="5692" max="5692" width="15.42578125" customWidth="1"/>
    <col min="5942" max="5942" width="4.28515625" customWidth="1"/>
    <col min="5943" max="5943" width="14.85546875" customWidth="1"/>
    <col min="5945" max="5945" width="43.7109375" bestFit="1" customWidth="1"/>
    <col min="5947" max="5947" width="19.5703125" customWidth="1"/>
    <col min="5948" max="5948" width="15.42578125" customWidth="1"/>
    <col min="6198" max="6198" width="4.28515625" customWidth="1"/>
    <col min="6199" max="6199" width="14.85546875" customWidth="1"/>
    <col min="6201" max="6201" width="43.7109375" bestFit="1" customWidth="1"/>
    <col min="6203" max="6203" width="19.5703125" customWidth="1"/>
    <col min="6204" max="6204" width="15.42578125" customWidth="1"/>
    <col min="6454" max="6454" width="4.28515625" customWidth="1"/>
    <col min="6455" max="6455" width="14.85546875" customWidth="1"/>
    <col min="6457" max="6457" width="43.7109375" bestFit="1" customWidth="1"/>
    <col min="6459" max="6459" width="19.5703125" customWidth="1"/>
    <col min="6460" max="6460" width="15.42578125" customWidth="1"/>
    <col min="6710" max="6710" width="4.28515625" customWidth="1"/>
    <col min="6711" max="6711" width="14.85546875" customWidth="1"/>
    <col min="6713" max="6713" width="43.7109375" bestFit="1" customWidth="1"/>
    <col min="6715" max="6715" width="19.5703125" customWidth="1"/>
    <col min="6716" max="6716" width="15.42578125" customWidth="1"/>
    <col min="6966" max="6966" width="4.28515625" customWidth="1"/>
    <col min="6967" max="6967" width="14.85546875" customWidth="1"/>
    <col min="6969" max="6969" width="43.7109375" bestFit="1" customWidth="1"/>
    <col min="6971" max="6971" width="19.5703125" customWidth="1"/>
    <col min="6972" max="6972" width="15.42578125" customWidth="1"/>
    <col min="7222" max="7222" width="4.28515625" customWidth="1"/>
    <col min="7223" max="7223" width="14.85546875" customWidth="1"/>
    <col min="7225" max="7225" width="43.7109375" bestFit="1" customWidth="1"/>
    <col min="7227" max="7227" width="19.5703125" customWidth="1"/>
    <col min="7228" max="7228" width="15.42578125" customWidth="1"/>
    <col min="7478" max="7478" width="4.28515625" customWidth="1"/>
    <col min="7479" max="7479" width="14.85546875" customWidth="1"/>
    <col min="7481" max="7481" width="43.7109375" bestFit="1" customWidth="1"/>
    <col min="7483" max="7483" width="19.5703125" customWidth="1"/>
    <col min="7484" max="7484" width="15.42578125" customWidth="1"/>
    <col min="7734" max="7734" width="4.28515625" customWidth="1"/>
    <col min="7735" max="7735" width="14.85546875" customWidth="1"/>
    <col min="7737" max="7737" width="43.7109375" bestFit="1" customWidth="1"/>
    <col min="7739" max="7739" width="19.5703125" customWidth="1"/>
    <col min="7740" max="7740" width="15.42578125" customWidth="1"/>
    <col min="7990" max="7990" width="4.28515625" customWidth="1"/>
    <col min="7991" max="7991" width="14.85546875" customWidth="1"/>
    <col min="7993" max="7993" width="43.7109375" bestFit="1" customWidth="1"/>
    <col min="7995" max="7995" width="19.5703125" customWidth="1"/>
    <col min="7996" max="7996" width="15.42578125" customWidth="1"/>
    <col min="8246" max="8246" width="4.28515625" customWidth="1"/>
    <col min="8247" max="8247" width="14.85546875" customWidth="1"/>
    <col min="8249" max="8249" width="43.7109375" bestFit="1" customWidth="1"/>
    <col min="8251" max="8251" width="19.5703125" customWidth="1"/>
    <col min="8252" max="8252" width="15.42578125" customWidth="1"/>
    <col min="8502" max="8502" width="4.28515625" customWidth="1"/>
    <col min="8503" max="8503" width="14.85546875" customWidth="1"/>
    <col min="8505" max="8505" width="43.7109375" bestFit="1" customWidth="1"/>
    <col min="8507" max="8507" width="19.5703125" customWidth="1"/>
    <col min="8508" max="8508" width="15.42578125" customWidth="1"/>
    <col min="8758" max="8758" width="4.28515625" customWidth="1"/>
    <col min="8759" max="8759" width="14.85546875" customWidth="1"/>
    <col min="8761" max="8761" width="43.7109375" bestFit="1" customWidth="1"/>
    <col min="8763" max="8763" width="19.5703125" customWidth="1"/>
    <col min="8764" max="8764" width="15.42578125" customWidth="1"/>
    <col min="9014" max="9014" width="4.28515625" customWidth="1"/>
    <col min="9015" max="9015" width="14.85546875" customWidth="1"/>
    <col min="9017" max="9017" width="43.7109375" bestFit="1" customWidth="1"/>
    <col min="9019" max="9019" width="19.5703125" customWidth="1"/>
    <col min="9020" max="9020" width="15.42578125" customWidth="1"/>
    <col min="9270" max="9270" width="4.28515625" customWidth="1"/>
    <col min="9271" max="9271" width="14.85546875" customWidth="1"/>
    <col min="9273" max="9273" width="43.7109375" bestFit="1" customWidth="1"/>
    <col min="9275" max="9275" width="19.5703125" customWidth="1"/>
    <col min="9276" max="9276" width="15.42578125" customWidth="1"/>
    <col min="9526" max="9526" width="4.28515625" customWidth="1"/>
    <col min="9527" max="9527" width="14.85546875" customWidth="1"/>
    <col min="9529" max="9529" width="43.7109375" bestFit="1" customWidth="1"/>
    <col min="9531" max="9531" width="19.5703125" customWidth="1"/>
    <col min="9532" max="9532" width="15.42578125" customWidth="1"/>
    <col min="9782" max="9782" width="4.28515625" customWidth="1"/>
    <col min="9783" max="9783" width="14.85546875" customWidth="1"/>
    <col min="9785" max="9785" width="43.7109375" bestFit="1" customWidth="1"/>
    <col min="9787" max="9787" width="19.5703125" customWidth="1"/>
    <col min="9788" max="9788" width="15.42578125" customWidth="1"/>
    <col min="10038" max="10038" width="4.28515625" customWidth="1"/>
    <col min="10039" max="10039" width="14.85546875" customWidth="1"/>
    <col min="10041" max="10041" width="43.7109375" bestFit="1" customWidth="1"/>
    <col min="10043" max="10043" width="19.5703125" customWidth="1"/>
    <col min="10044" max="10044" width="15.42578125" customWidth="1"/>
    <col min="10294" max="10294" width="4.28515625" customWidth="1"/>
    <col min="10295" max="10295" width="14.85546875" customWidth="1"/>
    <col min="10297" max="10297" width="43.7109375" bestFit="1" customWidth="1"/>
    <col min="10299" max="10299" width="19.5703125" customWidth="1"/>
    <col min="10300" max="10300" width="15.42578125" customWidth="1"/>
    <col min="10550" max="10550" width="4.28515625" customWidth="1"/>
    <col min="10551" max="10551" width="14.85546875" customWidth="1"/>
    <col min="10553" max="10553" width="43.7109375" bestFit="1" customWidth="1"/>
    <col min="10555" max="10555" width="19.5703125" customWidth="1"/>
    <col min="10556" max="10556" width="15.42578125" customWidth="1"/>
    <col min="10806" max="10806" width="4.28515625" customWidth="1"/>
    <col min="10807" max="10807" width="14.85546875" customWidth="1"/>
    <col min="10809" max="10809" width="43.7109375" bestFit="1" customWidth="1"/>
    <col min="10811" max="10811" width="19.5703125" customWidth="1"/>
    <col min="10812" max="10812" width="15.42578125" customWidth="1"/>
    <col min="11062" max="11062" width="4.28515625" customWidth="1"/>
    <col min="11063" max="11063" width="14.85546875" customWidth="1"/>
    <col min="11065" max="11065" width="43.7109375" bestFit="1" customWidth="1"/>
    <col min="11067" max="11067" width="19.5703125" customWidth="1"/>
    <col min="11068" max="11068" width="15.42578125" customWidth="1"/>
    <col min="11318" max="11318" width="4.28515625" customWidth="1"/>
    <col min="11319" max="11319" width="14.85546875" customWidth="1"/>
    <col min="11321" max="11321" width="43.7109375" bestFit="1" customWidth="1"/>
    <col min="11323" max="11323" width="19.5703125" customWidth="1"/>
    <col min="11324" max="11324" width="15.42578125" customWidth="1"/>
    <col min="11574" max="11574" width="4.28515625" customWidth="1"/>
    <col min="11575" max="11575" width="14.85546875" customWidth="1"/>
    <col min="11577" max="11577" width="43.7109375" bestFit="1" customWidth="1"/>
    <col min="11579" max="11579" width="19.5703125" customWidth="1"/>
    <col min="11580" max="11580" width="15.42578125" customWidth="1"/>
    <col min="11830" max="11830" width="4.28515625" customWidth="1"/>
    <col min="11831" max="11831" width="14.85546875" customWidth="1"/>
    <col min="11833" max="11833" width="43.7109375" bestFit="1" customWidth="1"/>
    <col min="11835" max="11835" width="19.5703125" customWidth="1"/>
    <col min="11836" max="11836" width="15.42578125" customWidth="1"/>
    <col min="12086" max="12086" width="4.28515625" customWidth="1"/>
    <col min="12087" max="12087" width="14.85546875" customWidth="1"/>
    <col min="12089" max="12089" width="43.7109375" bestFit="1" customWidth="1"/>
    <col min="12091" max="12091" width="19.5703125" customWidth="1"/>
    <col min="12092" max="12092" width="15.42578125" customWidth="1"/>
    <col min="12342" max="12342" width="4.28515625" customWidth="1"/>
    <col min="12343" max="12343" width="14.85546875" customWidth="1"/>
    <col min="12345" max="12345" width="43.7109375" bestFit="1" customWidth="1"/>
    <col min="12347" max="12347" width="19.5703125" customWidth="1"/>
    <col min="12348" max="12348" width="15.42578125" customWidth="1"/>
    <col min="12598" max="12598" width="4.28515625" customWidth="1"/>
    <col min="12599" max="12599" width="14.85546875" customWidth="1"/>
    <col min="12601" max="12601" width="43.7109375" bestFit="1" customWidth="1"/>
    <col min="12603" max="12603" width="19.5703125" customWidth="1"/>
    <col min="12604" max="12604" width="15.42578125" customWidth="1"/>
    <col min="12854" max="12854" width="4.28515625" customWidth="1"/>
    <col min="12855" max="12855" width="14.85546875" customWidth="1"/>
    <col min="12857" max="12857" width="43.7109375" bestFit="1" customWidth="1"/>
    <col min="12859" max="12859" width="19.5703125" customWidth="1"/>
    <col min="12860" max="12860" width="15.42578125" customWidth="1"/>
    <col min="13110" max="13110" width="4.28515625" customWidth="1"/>
    <col min="13111" max="13111" width="14.85546875" customWidth="1"/>
    <col min="13113" max="13113" width="43.7109375" bestFit="1" customWidth="1"/>
    <col min="13115" max="13115" width="19.5703125" customWidth="1"/>
    <col min="13116" max="13116" width="15.42578125" customWidth="1"/>
    <col min="13366" max="13366" width="4.28515625" customWidth="1"/>
    <col min="13367" max="13367" width="14.85546875" customWidth="1"/>
    <col min="13369" max="13369" width="43.7109375" bestFit="1" customWidth="1"/>
    <col min="13371" max="13371" width="19.5703125" customWidth="1"/>
    <col min="13372" max="13372" width="15.42578125" customWidth="1"/>
    <col min="13622" max="13622" width="4.28515625" customWidth="1"/>
    <col min="13623" max="13623" width="14.85546875" customWidth="1"/>
    <col min="13625" max="13625" width="43.7109375" bestFit="1" customWidth="1"/>
    <col min="13627" max="13627" width="19.5703125" customWidth="1"/>
    <col min="13628" max="13628" width="15.42578125" customWidth="1"/>
    <col min="13878" max="13878" width="4.28515625" customWidth="1"/>
    <col min="13879" max="13879" width="14.85546875" customWidth="1"/>
    <col min="13881" max="13881" width="43.7109375" bestFit="1" customWidth="1"/>
    <col min="13883" max="13883" width="19.5703125" customWidth="1"/>
    <col min="13884" max="13884" width="15.42578125" customWidth="1"/>
    <col min="14134" max="14134" width="4.28515625" customWidth="1"/>
    <col min="14135" max="14135" width="14.85546875" customWidth="1"/>
    <col min="14137" max="14137" width="43.7109375" bestFit="1" customWidth="1"/>
    <col min="14139" max="14139" width="19.5703125" customWidth="1"/>
    <col min="14140" max="14140" width="15.42578125" customWidth="1"/>
    <col min="14390" max="14390" width="4.28515625" customWidth="1"/>
    <col min="14391" max="14391" width="14.85546875" customWidth="1"/>
    <col min="14393" max="14393" width="43.7109375" bestFit="1" customWidth="1"/>
    <col min="14395" max="14395" width="19.5703125" customWidth="1"/>
    <col min="14396" max="14396" width="15.42578125" customWidth="1"/>
    <col min="14646" max="14646" width="4.28515625" customWidth="1"/>
    <col min="14647" max="14647" width="14.85546875" customWidth="1"/>
    <col min="14649" max="14649" width="43.7109375" bestFit="1" customWidth="1"/>
    <col min="14651" max="14651" width="19.5703125" customWidth="1"/>
    <col min="14652" max="14652" width="15.42578125" customWidth="1"/>
    <col min="14902" max="14902" width="4.28515625" customWidth="1"/>
    <col min="14903" max="14903" width="14.85546875" customWidth="1"/>
    <col min="14905" max="14905" width="43.7109375" bestFit="1" customWidth="1"/>
    <col min="14907" max="14907" width="19.5703125" customWidth="1"/>
    <col min="14908" max="14908" width="15.42578125" customWidth="1"/>
    <col min="15158" max="15158" width="4.28515625" customWidth="1"/>
    <col min="15159" max="15159" width="14.85546875" customWidth="1"/>
    <col min="15161" max="15161" width="43.7109375" bestFit="1" customWidth="1"/>
    <col min="15163" max="15163" width="19.5703125" customWidth="1"/>
    <col min="15164" max="15164" width="15.42578125" customWidth="1"/>
    <col min="15414" max="15414" width="4.28515625" customWidth="1"/>
    <col min="15415" max="15415" width="14.85546875" customWidth="1"/>
    <col min="15417" max="15417" width="43.7109375" bestFit="1" customWidth="1"/>
    <col min="15419" max="15419" width="19.5703125" customWidth="1"/>
    <col min="15420" max="15420" width="15.42578125" customWidth="1"/>
    <col min="15670" max="15670" width="4.28515625" customWidth="1"/>
    <col min="15671" max="15671" width="14.85546875" customWidth="1"/>
    <col min="15673" max="15673" width="43.7109375" bestFit="1" customWidth="1"/>
    <col min="15675" max="15675" width="19.5703125" customWidth="1"/>
    <col min="15676" max="15676" width="15.42578125" customWidth="1"/>
    <col min="15926" max="15926" width="4.28515625" customWidth="1"/>
    <col min="15927" max="15927" width="14.85546875" customWidth="1"/>
    <col min="15929" max="15929" width="43.7109375" bestFit="1" customWidth="1"/>
    <col min="15931" max="15931" width="19.5703125" customWidth="1"/>
    <col min="15932" max="15932" width="15.42578125" customWidth="1"/>
    <col min="16182" max="16182" width="4.28515625" customWidth="1"/>
    <col min="16183" max="16183" width="14.85546875" customWidth="1"/>
    <col min="16185" max="16185" width="43.7109375" bestFit="1" customWidth="1"/>
    <col min="16187" max="16187" width="19.5703125" customWidth="1"/>
    <col min="16188" max="16188" width="15.42578125" customWidth="1"/>
  </cols>
  <sheetData>
    <row r="1" spans="1:70">
      <c r="AK1" s="43" t="s">
        <v>1411</v>
      </c>
      <c r="AT1" s="1021" t="s">
        <v>1412</v>
      </c>
      <c r="AU1" s="946"/>
      <c r="AV1" s="946"/>
      <c r="AW1" s="946"/>
      <c r="AX1" s="946"/>
      <c r="AY1" s="946"/>
      <c r="BC1" s="759" t="s">
        <v>1413</v>
      </c>
      <c r="BD1" s="374"/>
      <c r="BE1" s="374"/>
      <c r="BF1" s="374"/>
      <c r="BG1" s="374"/>
      <c r="BH1" s="374"/>
      <c r="BI1" s="374"/>
    </row>
    <row r="2" spans="1:70" ht="30.75" customHeight="1">
      <c r="A2" s="4957" t="s">
        <v>3968</v>
      </c>
      <c r="B2" s="4957"/>
      <c r="C2" s="4957"/>
      <c r="D2" s="4957"/>
      <c r="E2" s="4957"/>
      <c r="F2" s="4675"/>
      <c r="I2" s="4957" t="s">
        <v>2723</v>
      </c>
      <c r="J2" s="4957"/>
      <c r="K2" s="4957"/>
      <c r="L2" s="4957"/>
      <c r="M2" s="4957"/>
      <c r="N2" s="3226"/>
      <c r="P2" s="4957" t="s">
        <v>2017</v>
      </c>
      <c r="Q2" s="4957"/>
      <c r="R2" s="4957"/>
      <c r="S2" s="4957"/>
      <c r="T2" s="4957"/>
      <c r="W2" s="4957" t="s">
        <v>1945</v>
      </c>
      <c r="X2" s="4957"/>
      <c r="Y2" s="4957"/>
      <c r="Z2" s="4957"/>
      <c r="AA2" s="4957"/>
      <c r="AB2" s="4957"/>
      <c r="AC2" s="229"/>
      <c r="AD2" s="4957" t="s">
        <v>1414</v>
      </c>
      <c r="AE2" s="4957"/>
      <c r="AF2" s="4957"/>
      <c r="AG2" s="4957"/>
      <c r="AH2" s="4957"/>
      <c r="AI2" s="4957"/>
      <c r="AK2" s="1022" t="s">
        <v>1415</v>
      </c>
      <c r="AT2" s="1023" t="s">
        <v>1416</v>
      </c>
      <c r="AU2" s="1024"/>
      <c r="AV2" s="946"/>
      <c r="AW2" s="946"/>
      <c r="AX2" s="946"/>
      <c r="AY2" s="946"/>
      <c r="BC2" s="759" t="s">
        <v>1417</v>
      </c>
      <c r="BD2" s="374"/>
      <c r="BE2" s="374"/>
      <c r="BF2" s="374"/>
      <c r="BG2" s="374"/>
      <c r="BH2" s="374"/>
      <c r="BI2" s="374"/>
      <c r="BL2" s="118"/>
    </row>
    <row r="3" spans="1:70" ht="15.75">
      <c r="A3" s="43" t="s">
        <v>3969</v>
      </c>
      <c r="I3" s="43" t="s">
        <v>2719</v>
      </c>
      <c r="J3" s="74"/>
      <c r="K3" s="74"/>
      <c r="L3" s="74"/>
      <c r="M3" s="74"/>
      <c r="N3" s="74"/>
      <c r="P3" s="118" t="s">
        <v>2018</v>
      </c>
      <c r="W3" s="2252" t="s">
        <v>1942</v>
      </c>
      <c r="AD3" s="1024" t="s">
        <v>1418</v>
      </c>
      <c r="AE3" s="1025"/>
      <c r="AF3" s="1025"/>
      <c r="AG3" s="1025"/>
      <c r="AH3" s="1025"/>
      <c r="AI3" s="1025"/>
      <c r="AK3" s="1023" t="s">
        <v>1419</v>
      </c>
      <c r="BC3" s="1026"/>
      <c r="BD3" s="1026"/>
      <c r="BE3" s="1026"/>
      <c r="BF3" s="1026"/>
      <c r="BG3" s="1026"/>
      <c r="BH3" s="1026"/>
      <c r="BI3" s="118"/>
      <c r="BL3" s="118"/>
    </row>
    <row r="4" spans="1:70" ht="16.5" thickBot="1">
      <c r="I4" s="761" t="s">
        <v>2720</v>
      </c>
      <c r="J4" s="74"/>
      <c r="K4" s="74"/>
      <c r="L4" s="74"/>
      <c r="M4" s="74"/>
      <c r="N4" s="74"/>
      <c r="P4" s="1287"/>
      <c r="Q4" s="1287"/>
      <c r="R4" s="1287"/>
      <c r="S4" s="4958">
        <v>2016</v>
      </c>
      <c r="T4" s="4958"/>
      <c r="U4" s="4958"/>
      <c r="Z4" s="4958">
        <v>2015</v>
      </c>
      <c r="AA4" s="4958"/>
      <c r="AB4" s="4958"/>
      <c r="AG4" s="4962">
        <v>2014</v>
      </c>
      <c r="AH4" s="4962"/>
      <c r="AI4" s="4962"/>
      <c r="AK4" s="1027"/>
      <c r="AL4" s="1027"/>
      <c r="AM4" s="1027"/>
      <c r="AN4" s="1027"/>
      <c r="AO4" s="4963">
        <v>2013</v>
      </c>
      <c r="AP4" s="4963"/>
      <c r="AQ4" s="4963"/>
      <c r="AR4" s="4963"/>
      <c r="AT4" s="929"/>
      <c r="AU4" s="929"/>
      <c r="AV4" s="929"/>
      <c r="AW4" s="4954">
        <v>2012</v>
      </c>
      <c r="AX4" s="4954"/>
      <c r="AY4" s="4954"/>
      <c r="AZ4" s="4954"/>
      <c r="BA4" s="4954"/>
      <c r="BC4" s="121"/>
      <c r="BD4" s="121"/>
      <c r="BE4" s="74"/>
      <c r="BF4" s="4954">
        <v>2011</v>
      </c>
      <c r="BG4" s="4954"/>
      <c r="BH4" s="4954"/>
      <c r="BI4" s="4954"/>
      <c r="BO4" s="4954">
        <v>2010</v>
      </c>
      <c r="BP4" s="4954"/>
      <c r="BQ4" s="4954"/>
      <c r="BR4" s="4954"/>
    </row>
    <row r="5" spans="1:70" ht="30.75" customHeight="1" thickBot="1">
      <c r="A5" s="768" t="s">
        <v>0</v>
      </c>
      <c r="B5" s="768" t="s">
        <v>1</v>
      </c>
      <c r="C5" s="768" t="s">
        <v>2</v>
      </c>
      <c r="D5" s="768" t="s">
        <v>1208</v>
      </c>
      <c r="E5" s="768" t="s">
        <v>1420</v>
      </c>
      <c r="F5" s="4696" t="s">
        <v>1356</v>
      </c>
      <c r="G5" s="88" t="s">
        <v>1425</v>
      </c>
      <c r="H5" s="88"/>
      <c r="I5" s="768" t="s">
        <v>0</v>
      </c>
      <c r="J5" s="768" t="s">
        <v>1</v>
      </c>
      <c r="K5" s="768" t="s">
        <v>2</v>
      </c>
      <c r="L5" s="768" t="s">
        <v>2721</v>
      </c>
      <c r="M5" s="837" t="s">
        <v>2699</v>
      </c>
      <c r="N5" s="1030" t="s">
        <v>1356</v>
      </c>
      <c r="P5" s="743" t="s">
        <v>0</v>
      </c>
      <c r="Q5" s="743" t="s">
        <v>1</v>
      </c>
      <c r="R5" s="743" t="s">
        <v>2</v>
      </c>
      <c r="S5" s="743" t="s">
        <v>2019</v>
      </c>
      <c r="T5" s="743" t="s">
        <v>1420</v>
      </c>
      <c r="U5" s="1030" t="s">
        <v>1356</v>
      </c>
      <c r="W5" s="1215" t="s">
        <v>0</v>
      </c>
      <c r="X5" s="1215" t="s">
        <v>1</v>
      </c>
      <c r="Y5" s="1215" t="s">
        <v>2</v>
      </c>
      <c r="Z5" s="1215" t="s">
        <v>1943</v>
      </c>
      <c r="AA5" s="1215" t="s">
        <v>1420</v>
      </c>
      <c r="AB5" s="1030" t="s">
        <v>1356</v>
      </c>
      <c r="AD5" s="1028" t="s">
        <v>0</v>
      </c>
      <c r="AE5" s="1028" t="s">
        <v>1</v>
      </c>
      <c r="AF5" s="1028" t="s">
        <v>2</v>
      </c>
      <c r="AG5" s="1029" t="s">
        <v>1208</v>
      </c>
      <c r="AH5" s="1029" t="s">
        <v>1420</v>
      </c>
      <c r="AI5" s="1030" t="s">
        <v>1356</v>
      </c>
      <c r="AK5" s="949" t="s">
        <v>1057</v>
      </c>
      <c r="AL5" s="949" t="s">
        <v>0</v>
      </c>
      <c r="AM5" s="949" t="s">
        <v>1</v>
      </c>
      <c r="AN5" s="949" t="s">
        <v>2</v>
      </c>
      <c r="AO5" s="949" t="s">
        <v>1208</v>
      </c>
      <c r="AP5" s="949" t="s">
        <v>1420</v>
      </c>
      <c r="AQ5" s="949" t="s">
        <v>1421</v>
      </c>
      <c r="AR5" s="1030" t="s">
        <v>1356</v>
      </c>
      <c r="AT5" s="927" t="s">
        <v>0</v>
      </c>
      <c r="AU5" s="927" t="s">
        <v>1</v>
      </c>
      <c r="AV5" s="927" t="s">
        <v>2</v>
      </c>
      <c r="AW5" s="1031" t="s">
        <v>1422</v>
      </c>
      <c r="AX5" s="1031" t="s">
        <v>1356</v>
      </c>
      <c r="AY5" s="1031" t="s">
        <v>1420</v>
      </c>
      <c r="AZ5" s="1031" t="s">
        <v>1423</v>
      </c>
      <c r="BA5" s="1032" t="s">
        <v>1356</v>
      </c>
      <c r="BC5" s="768" t="s">
        <v>0</v>
      </c>
      <c r="BD5" s="768" t="s">
        <v>1</v>
      </c>
      <c r="BE5" s="768" t="s">
        <v>2</v>
      </c>
      <c r="BF5" s="1033" t="s">
        <v>1420</v>
      </c>
      <c r="BG5" s="88" t="s">
        <v>1424</v>
      </c>
      <c r="BH5" s="88" t="s">
        <v>1425</v>
      </c>
      <c r="BI5" s="1034" t="s">
        <v>1356</v>
      </c>
      <c r="BL5" s="1035" t="s">
        <v>0</v>
      </c>
      <c r="BM5" s="1035" t="s">
        <v>1</v>
      </c>
      <c r="BN5" s="1035" t="s">
        <v>2</v>
      </c>
      <c r="BO5" s="1035" t="s">
        <v>1208</v>
      </c>
      <c r="BP5" s="1035" t="s">
        <v>1355</v>
      </c>
      <c r="BQ5" s="1036" t="s">
        <v>1357</v>
      </c>
      <c r="BR5" s="1037" t="s">
        <v>1358</v>
      </c>
    </row>
    <row r="6" spans="1:70">
      <c r="A6" s="74" t="s">
        <v>3</v>
      </c>
      <c r="B6" s="74" t="s">
        <v>16</v>
      </c>
      <c r="C6" s="74" t="s">
        <v>104</v>
      </c>
      <c r="D6" s="1046">
        <v>3.05</v>
      </c>
      <c r="E6" s="121">
        <v>19</v>
      </c>
      <c r="F6" s="2225">
        <f>D6-G6</f>
        <v>4.9999999999999822E-2</v>
      </c>
      <c r="G6" s="121">
        <v>3</v>
      </c>
      <c r="H6" s="121"/>
      <c r="I6" s="108" t="s">
        <v>3</v>
      </c>
      <c r="J6" s="150" t="s">
        <v>16</v>
      </c>
      <c r="K6" s="108" t="s">
        <v>104</v>
      </c>
      <c r="L6" s="1189">
        <v>3.1</v>
      </c>
      <c r="M6" s="150">
        <v>20</v>
      </c>
      <c r="N6" s="2225">
        <f>L6-3</f>
        <v>0.10000000000000009</v>
      </c>
      <c r="P6" s="163" t="s">
        <v>3</v>
      </c>
      <c r="Q6" s="163" t="s">
        <v>16</v>
      </c>
      <c r="R6" s="80" t="s">
        <v>104</v>
      </c>
      <c r="S6" s="212">
        <v>3.1</v>
      </c>
      <c r="T6" s="3304">
        <v>20</v>
      </c>
      <c r="U6" s="2225">
        <f>S6-3</f>
        <v>0.10000000000000009</v>
      </c>
      <c r="W6" s="1094" t="s">
        <v>3</v>
      </c>
      <c r="X6" s="1094" t="s">
        <v>16</v>
      </c>
      <c r="Y6" s="1469" t="s">
        <v>104</v>
      </c>
      <c r="Z6" s="2223">
        <v>3.1333333333333337</v>
      </c>
      <c r="AA6" s="2224">
        <v>15</v>
      </c>
      <c r="AB6" s="2225">
        <f>Z6-3</f>
        <v>0.13333333333333375</v>
      </c>
      <c r="AD6" s="1038" t="s">
        <v>3</v>
      </c>
      <c r="AE6" s="1038" t="s">
        <v>16</v>
      </c>
      <c r="AF6" s="1039" t="s">
        <v>104</v>
      </c>
      <c r="AG6" s="1040">
        <v>3</v>
      </c>
      <c r="AH6" s="1041">
        <v>17</v>
      </c>
      <c r="AI6" s="1040">
        <f>AG6-3</f>
        <v>0</v>
      </c>
      <c r="AK6" s="966" t="s">
        <v>747</v>
      </c>
      <c r="AL6" s="965" t="s">
        <v>3</v>
      </c>
      <c r="AM6" s="965" t="s">
        <v>16</v>
      </c>
      <c r="AN6" s="734" t="s">
        <v>104</v>
      </c>
      <c r="AO6" s="736">
        <v>3</v>
      </c>
      <c r="AP6" s="735">
        <v>11</v>
      </c>
      <c r="AQ6" s="1042">
        <v>0</v>
      </c>
      <c r="AR6" s="736">
        <f>AO6-3</f>
        <v>0</v>
      </c>
      <c r="AT6" s="892" t="s">
        <v>3</v>
      </c>
      <c r="AU6" s="892" t="s">
        <v>16</v>
      </c>
      <c r="AV6" s="893" t="s">
        <v>104</v>
      </c>
      <c r="AW6" s="1043">
        <v>3</v>
      </c>
      <c r="AX6" s="1043">
        <f>AW6-3</f>
        <v>0</v>
      </c>
      <c r="AY6" s="895">
        <v>15</v>
      </c>
      <c r="AZ6" s="1044">
        <v>3</v>
      </c>
      <c r="BA6" s="1045">
        <f>AZ6-3</f>
        <v>0</v>
      </c>
      <c r="BC6" s="121" t="s">
        <v>3</v>
      </c>
      <c r="BD6" s="121" t="s">
        <v>16</v>
      </c>
      <c r="BE6" s="74" t="s">
        <v>104</v>
      </c>
      <c r="BF6" s="121">
        <v>12</v>
      </c>
      <c r="BG6" s="1046">
        <v>3.6666666666666661</v>
      </c>
      <c r="BH6" s="121">
        <v>3</v>
      </c>
      <c r="BI6" s="1046">
        <f>+BG6-BH6</f>
        <v>0.66666666666666607</v>
      </c>
      <c r="BL6" s="1047" t="s">
        <v>3</v>
      </c>
      <c r="BM6" s="1048" t="s">
        <v>16</v>
      </c>
      <c r="BN6" s="1047" t="s">
        <v>104</v>
      </c>
      <c r="BO6" s="1049">
        <v>3</v>
      </c>
      <c r="BP6" s="1048">
        <v>7</v>
      </c>
      <c r="BQ6" s="1050">
        <v>3</v>
      </c>
      <c r="BR6" s="1051">
        <f>BO6-3</f>
        <v>0</v>
      </c>
    </row>
    <row r="7" spans="1:70">
      <c r="A7" s="74"/>
      <c r="B7" s="74"/>
      <c r="C7" s="761" t="s">
        <v>573</v>
      </c>
      <c r="D7" s="1059">
        <v>3.05</v>
      </c>
      <c r="E7" s="4673">
        <v>19</v>
      </c>
      <c r="F7" s="2229">
        <f t="shared" ref="F7:F25" si="0">D7-G7</f>
        <v>4.9999999999999822E-2</v>
      </c>
      <c r="G7" s="121">
        <v>3</v>
      </c>
      <c r="H7" s="121"/>
      <c r="I7" s="108"/>
      <c r="J7" s="150"/>
      <c r="K7" s="3292" t="s">
        <v>573</v>
      </c>
      <c r="L7" s="3293">
        <v>3.1</v>
      </c>
      <c r="M7" s="3294">
        <v>20</v>
      </c>
      <c r="N7" s="2229">
        <f>L7-3</f>
        <v>0.10000000000000009</v>
      </c>
      <c r="P7" s="163"/>
      <c r="Q7" s="163"/>
      <c r="R7" s="80" t="s">
        <v>423</v>
      </c>
      <c r="S7" s="212">
        <v>3</v>
      </c>
      <c r="T7" s="3304">
        <v>5</v>
      </c>
      <c r="U7" s="2225">
        <f t="shared" ref="U7:U26" si="1">S7-3</f>
        <v>0</v>
      </c>
      <c r="W7" s="1094"/>
      <c r="X7" s="1094"/>
      <c r="Y7" s="1469"/>
      <c r="Z7" s="2223"/>
      <c r="AA7" s="2224"/>
      <c r="AB7" s="2225"/>
      <c r="AD7" s="1038"/>
      <c r="AE7" s="1038"/>
      <c r="AF7" s="1039" t="s">
        <v>423</v>
      </c>
      <c r="AG7" s="1040">
        <v>3.2</v>
      </c>
      <c r="AH7" s="1041">
        <v>5</v>
      </c>
      <c r="AI7" s="1040">
        <f t="shared" ref="AI7:AI26" si="2">AG7-3</f>
        <v>0.20000000000000018</v>
      </c>
      <c r="AK7" s="965"/>
      <c r="AL7" s="965"/>
      <c r="AM7" s="965"/>
      <c r="AN7" s="734"/>
      <c r="AO7" s="736"/>
      <c r="AP7" s="735"/>
      <c r="AQ7" s="1042"/>
      <c r="AR7" s="736"/>
      <c r="AT7" s="892"/>
      <c r="AU7" s="892"/>
      <c r="AV7" s="893" t="s">
        <v>423</v>
      </c>
      <c r="AW7" s="1043">
        <v>3</v>
      </c>
      <c r="AX7" s="1043">
        <f t="shared" ref="AX7:AX14" si="3">AW7-3</f>
        <v>0</v>
      </c>
      <c r="AY7" s="895">
        <v>9</v>
      </c>
      <c r="AZ7" s="1044">
        <v>3.3333333333333335</v>
      </c>
      <c r="BA7" s="1045">
        <f t="shared" ref="BA7:BA14" si="4">AZ7-3</f>
        <v>0.33333333333333348</v>
      </c>
      <c r="BC7" s="121"/>
      <c r="BD7" s="121"/>
      <c r="BE7" s="74" t="s">
        <v>423</v>
      </c>
      <c r="BF7" s="121">
        <v>7</v>
      </c>
      <c r="BG7" s="1046">
        <v>3</v>
      </c>
      <c r="BH7" s="121">
        <v>3</v>
      </c>
      <c r="BI7" s="1046">
        <f t="shared" ref="BI7:BI21" si="5">+BG7-BH7</f>
        <v>0</v>
      </c>
      <c r="BL7" s="1047"/>
      <c r="BM7" s="1048"/>
      <c r="BN7" s="1047"/>
      <c r="BO7" s="1049"/>
      <c r="BP7" s="1048"/>
      <c r="BQ7" s="1050"/>
      <c r="BR7" s="1051"/>
    </row>
    <row r="8" spans="1:70">
      <c r="A8" s="74"/>
      <c r="B8" s="74" t="s">
        <v>21</v>
      </c>
      <c r="C8" s="74" t="s">
        <v>891</v>
      </c>
      <c r="D8" s="1046">
        <v>3</v>
      </c>
      <c r="E8" s="121">
        <v>2</v>
      </c>
      <c r="F8" s="2225">
        <f t="shared" si="0"/>
        <v>0</v>
      </c>
      <c r="G8" s="121">
        <v>3</v>
      </c>
      <c r="H8" s="4673"/>
      <c r="I8" s="108"/>
      <c r="J8" s="150" t="s">
        <v>21</v>
      </c>
      <c r="K8" s="108" t="s">
        <v>106</v>
      </c>
      <c r="L8" s="1189">
        <v>8</v>
      </c>
      <c r="M8" s="150">
        <v>1</v>
      </c>
      <c r="N8" s="2225">
        <f t="shared" ref="N8:N9" si="6">L8-3</f>
        <v>5</v>
      </c>
      <c r="P8" s="163"/>
      <c r="Q8" s="163"/>
      <c r="R8" s="1245" t="s">
        <v>573</v>
      </c>
      <c r="S8" s="1246">
        <v>3.08</v>
      </c>
      <c r="T8" s="3305">
        <v>25</v>
      </c>
      <c r="U8" s="1053">
        <f>+(T6*U6+T7*U7)/T8</f>
        <v>8.0000000000000071E-2</v>
      </c>
      <c r="W8" s="1094"/>
      <c r="X8" s="1094"/>
      <c r="Y8" s="2226" t="s">
        <v>573</v>
      </c>
      <c r="Z8" s="2227">
        <v>3.1333333333333337</v>
      </c>
      <c r="AA8" s="2228">
        <v>15</v>
      </c>
      <c r="AB8" s="2229">
        <f t="shared" ref="AB8:AB26" si="7">Z8-3</f>
        <v>0.13333333333333375</v>
      </c>
      <c r="AD8" s="1038"/>
      <c r="AE8" s="1038"/>
      <c r="AF8" s="1052" t="s">
        <v>573</v>
      </c>
      <c r="AG8" s="1053">
        <v>3.0454545454545454</v>
      </c>
      <c r="AH8" s="1054">
        <v>22</v>
      </c>
      <c r="AI8" s="1053">
        <f>+(AH6*AI6+AH7*AI7)/AH8</f>
        <v>4.5454545454545497E-2</v>
      </c>
      <c r="AK8" s="965"/>
      <c r="AL8" s="965"/>
      <c r="AM8" s="965" t="s">
        <v>105</v>
      </c>
      <c r="AN8" s="734" t="s">
        <v>106</v>
      </c>
      <c r="AO8" s="736">
        <v>3.3030303030303041</v>
      </c>
      <c r="AP8" s="735">
        <v>33</v>
      </c>
      <c r="AQ8" s="1042">
        <v>1.1587937824751349</v>
      </c>
      <c r="AR8" s="736">
        <f t="shared" ref="AR8:AR17" si="8">AO8-3</f>
        <v>0.30303030303030409</v>
      </c>
      <c r="AT8" s="892"/>
      <c r="AU8" s="892"/>
      <c r="AV8" s="1055" t="s">
        <v>573</v>
      </c>
      <c r="AW8" s="1056">
        <v>3</v>
      </c>
      <c r="AX8" s="1056">
        <f t="shared" si="3"/>
        <v>0</v>
      </c>
      <c r="AY8" s="904">
        <v>24</v>
      </c>
      <c r="AZ8" s="1057">
        <v>3.1249999999999996</v>
      </c>
      <c r="BA8" s="1058">
        <f>+(AY6*BA6+AY7*BA7)/AY8</f>
        <v>0.12500000000000006</v>
      </c>
      <c r="BC8" s="121"/>
      <c r="BD8" s="121"/>
      <c r="BE8" s="761" t="s">
        <v>15</v>
      </c>
      <c r="BF8" s="729">
        <v>19</v>
      </c>
      <c r="BG8" s="1059">
        <v>3.4210526315789473</v>
      </c>
      <c r="BH8" s="729"/>
      <c r="BI8" s="1059">
        <f>+(BF6*BI6+BF7*BI7)/BF8</f>
        <v>0.42105263157894701</v>
      </c>
      <c r="BJ8" s="1060">
        <f>AVERAGE(BI6:BI7)</f>
        <v>0.33333333333333304</v>
      </c>
      <c r="BL8" s="1047"/>
      <c r="BM8" s="1048"/>
      <c r="BN8" s="1047"/>
      <c r="BO8" s="1049"/>
      <c r="BP8" s="1048"/>
      <c r="BQ8" s="1050"/>
      <c r="BR8" s="1051"/>
    </row>
    <row r="9" spans="1:70">
      <c r="A9" s="74"/>
      <c r="B9" s="74"/>
      <c r="C9" s="74"/>
      <c r="D9" s="1046"/>
      <c r="E9" s="121"/>
      <c r="F9" s="2225">
        <f t="shared" si="0"/>
        <v>0</v>
      </c>
      <c r="G9" s="4673"/>
      <c r="H9" s="121"/>
      <c r="I9" s="108"/>
      <c r="J9" s="150"/>
      <c r="K9" s="108" t="s">
        <v>1691</v>
      </c>
      <c r="L9" s="1189">
        <v>3.88</v>
      </c>
      <c r="M9" s="150">
        <v>8</v>
      </c>
      <c r="N9" s="2225">
        <f t="shared" si="6"/>
        <v>0.87999999999999989</v>
      </c>
      <c r="P9" s="163"/>
      <c r="Q9" s="163"/>
      <c r="R9" s="1"/>
      <c r="S9" s="1"/>
      <c r="T9" s="1"/>
      <c r="U9" s="1"/>
      <c r="W9" s="1094"/>
      <c r="X9" s="1094"/>
      <c r="Y9" s="2226"/>
      <c r="Z9" s="2227"/>
      <c r="AA9" s="2228"/>
      <c r="AB9" s="2225"/>
      <c r="AD9" s="1038"/>
      <c r="AE9" s="1038" t="s">
        <v>105</v>
      </c>
      <c r="AF9" s="1039" t="s">
        <v>106</v>
      </c>
      <c r="AG9" s="1040">
        <v>6</v>
      </c>
      <c r="AH9" s="1041">
        <v>1</v>
      </c>
      <c r="AI9" s="1040">
        <f t="shared" si="2"/>
        <v>3</v>
      </c>
      <c r="AK9" s="965"/>
      <c r="AL9" s="965"/>
      <c r="AM9" s="965"/>
      <c r="AN9" s="1061" t="s">
        <v>107</v>
      </c>
      <c r="AO9" s="739">
        <v>3.227272727272728</v>
      </c>
      <c r="AP9" s="740">
        <v>44</v>
      </c>
      <c r="AQ9" s="1062">
        <v>1.0084212013037512</v>
      </c>
      <c r="AR9" s="1056">
        <f>+(AP6*AR6+AP8*AR8)/AP9</f>
        <v>0.22727272727272807</v>
      </c>
      <c r="AT9" s="892"/>
      <c r="AU9" s="892" t="s">
        <v>21</v>
      </c>
      <c r="AV9" s="893" t="s">
        <v>106</v>
      </c>
      <c r="AW9" s="1043">
        <v>4.666666666666667</v>
      </c>
      <c r="AX9" s="1043">
        <f t="shared" si="3"/>
        <v>1.666666666666667</v>
      </c>
      <c r="AY9" s="895">
        <v>6</v>
      </c>
      <c r="AZ9" s="1044">
        <v>5.666666666666667</v>
      </c>
      <c r="BA9" s="1045">
        <f t="shared" si="4"/>
        <v>2.666666666666667</v>
      </c>
      <c r="BC9" s="121"/>
      <c r="BD9" s="121" t="s">
        <v>105</v>
      </c>
      <c r="BE9" s="74" t="s">
        <v>891</v>
      </c>
      <c r="BF9" s="121">
        <v>1</v>
      </c>
      <c r="BG9" s="1046">
        <v>10</v>
      </c>
      <c r="BH9" s="121">
        <v>3</v>
      </c>
      <c r="BI9" s="1046">
        <f t="shared" si="5"/>
        <v>7</v>
      </c>
      <c r="BL9" s="1047"/>
      <c r="BM9" s="1048" t="s">
        <v>105</v>
      </c>
      <c r="BN9" s="1047" t="s">
        <v>106</v>
      </c>
      <c r="BO9" s="1049">
        <v>6.6153846153846132</v>
      </c>
      <c r="BP9" s="1048">
        <v>26</v>
      </c>
      <c r="BQ9" s="1050">
        <v>3</v>
      </c>
      <c r="BR9" s="1051">
        <f>BO9-3</f>
        <v>3.6153846153846132</v>
      </c>
    </row>
    <row r="10" spans="1:70" ht="15.75" customHeight="1">
      <c r="A10" s="4700"/>
      <c r="B10" s="4700"/>
      <c r="C10" s="4698" t="s">
        <v>574</v>
      </c>
      <c r="D10" s="4699">
        <v>3</v>
      </c>
      <c r="E10" s="4689">
        <v>2</v>
      </c>
      <c r="F10" s="4701">
        <f t="shared" si="0"/>
        <v>0</v>
      </c>
      <c r="G10" s="4702">
        <v>3</v>
      </c>
      <c r="H10" s="121"/>
      <c r="I10" s="108"/>
      <c r="J10" s="150"/>
      <c r="K10" s="3292" t="s">
        <v>574</v>
      </c>
      <c r="L10" s="3293">
        <v>4.33</v>
      </c>
      <c r="M10" s="3294">
        <v>9</v>
      </c>
      <c r="N10" s="1053">
        <f>+(M8*N8+M9*N9)/M10</f>
        <v>1.3377777777777777</v>
      </c>
      <c r="P10" s="163"/>
      <c r="Q10" s="163"/>
      <c r="R10" s="1245"/>
      <c r="S10" s="1246"/>
      <c r="T10" s="3305"/>
      <c r="U10" s="2229"/>
      <c r="W10" s="1094"/>
      <c r="X10" s="1094"/>
      <c r="Y10" s="2226"/>
      <c r="Z10" s="2227"/>
      <c r="AA10" s="2228"/>
      <c r="AB10" s="2225"/>
      <c r="AD10" s="1038"/>
      <c r="AE10" s="1038"/>
      <c r="AF10" s="1052" t="s">
        <v>888</v>
      </c>
      <c r="AG10" s="1053">
        <v>6</v>
      </c>
      <c r="AH10" s="1054">
        <v>1</v>
      </c>
      <c r="AI10" s="1053">
        <f t="shared" si="2"/>
        <v>3</v>
      </c>
      <c r="AK10" s="965"/>
      <c r="AL10" s="965" t="s">
        <v>25</v>
      </c>
      <c r="AM10" s="965" t="s">
        <v>16</v>
      </c>
      <c r="AN10" s="734" t="s">
        <v>108</v>
      </c>
      <c r="AO10" s="736">
        <v>3.0625</v>
      </c>
      <c r="AP10" s="735">
        <v>16</v>
      </c>
      <c r="AQ10" s="1042">
        <v>0.25</v>
      </c>
      <c r="AR10" s="736">
        <f t="shared" si="8"/>
        <v>6.25E-2</v>
      </c>
      <c r="AT10" s="892"/>
      <c r="AU10" s="892"/>
      <c r="AV10" s="1055" t="s">
        <v>888</v>
      </c>
      <c r="AW10" s="1056">
        <v>4.666666666666667</v>
      </c>
      <c r="AX10" s="1056">
        <f t="shared" si="3"/>
        <v>1.666666666666667</v>
      </c>
      <c r="AY10" s="904">
        <v>6</v>
      </c>
      <c r="AZ10" s="1057">
        <v>5.666666666666667</v>
      </c>
      <c r="BA10" s="1058">
        <f t="shared" si="4"/>
        <v>2.666666666666667</v>
      </c>
      <c r="BC10" s="121"/>
      <c r="BD10" s="121"/>
      <c r="BE10" s="74" t="s">
        <v>106</v>
      </c>
      <c r="BF10" s="121">
        <v>33</v>
      </c>
      <c r="BG10" s="1046">
        <v>4.1818181818181825</v>
      </c>
      <c r="BH10" s="121">
        <v>3</v>
      </c>
      <c r="BI10" s="1046">
        <f t="shared" si="5"/>
        <v>1.1818181818181825</v>
      </c>
      <c r="BL10" s="1047"/>
      <c r="BM10" s="1048"/>
      <c r="BN10" s="1063" t="s">
        <v>107</v>
      </c>
      <c r="BO10" s="1064">
        <v>5.8484848484848468</v>
      </c>
      <c r="BP10" s="1065">
        <v>33</v>
      </c>
      <c r="BQ10" s="1050"/>
      <c r="BR10" s="1066">
        <f>BO10-3</f>
        <v>2.8484848484848468</v>
      </c>
    </row>
    <row r="11" spans="1:70">
      <c r="A11" s="4703"/>
      <c r="B11" s="4703"/>
      <c r="C11" s="4704" t="s">
        <v>107</v>
      </c>
      <c r="D11" s="4705">
        <v>3.05</v>
      </c>
      <c r="E11" s="4706">
        <v>21</v>
      </c>
      <c r="F11" s="1068">
        <f>+(E7*F7+E10*F10)/E11</f>
        <v>4.5238095238095077E-2</v>
      </c>
      <c r="G11" s="4708">
        <v>3</v>
      </c>
      <c r="H11" s="4673"/>
      <c r="I11" s="3295"/>
      <c r="J11" s="3291"/>
      <c r="K11" s="3296" t="s">
        <v>107</v>
      </c>
      <c r="L11" s="3297">
        <v>3.48</v>
      </c>
      <c r="M11" s="3298">
        <v>29</v>
      </c>
      <c r="N11" s="1068">
        <f>+(M7*N7+M10*N10)/M11</f>
        <v>0.48413793103448277</v>
      </c>
      <c r="P11" s="2630"/>
      <c r="Q11" s="2630"/>
      <c r="R11" s="2627" t="s">
        <v>107</v>
      </c>
      <c r="S11" s="2628">
        <v>3.08</v>
      </c>
      <c r="T11" s="3306">
        <v>25</v>
      </c>
      <c r="U11" s="2616">
        <f>+(T8*U8)/T11</f>
        <v>8.0000000000000071E-2</v>
      </c>
      <c r="W11" s="2230"/>
      <c r="X11" s="2230"/>
      <c r="Y11" s="2231" t="s">
        <v>107</v>
      </c>
      <c r="Z11" s="2232">
        <v>3.1333333333333337</v>
      </c>
      <c r="AA11" s="2233">
        <v>15</v>
      </c>
      <c r="AB11" s="2234">
        <f t="shared" si="7"/>
        <v>0.13333333333333375</v>
      </c>
      <c r="AD11" s="1038"/>
      <c r="AE11" s="1038"/>
      <c r="AF11" s="1067" t="s">
        <v>107</v>
      </c>
      <c r="AG11" s="1068">
        <v>3.1739130434782616</v>
      </c>
      <c r="AH11" s="1069">
        <v>23</v>
      </c>
      <c r="AI11" s="1068">
        <f>+(AH8*AI8+AH10*AI10)/AH11</f>
        <v>0.17391304347826092</v>
      </c>
      <c r="AK11" s="965"/>
      <c r="AL11" s="965"/>
      <c r="AM11" s="965" t="s">
        <v>41</v>
      </c>
      <c r="AN11" s="734" t="s">
        <v>109</v>
      </c>
      <c r="AO11" s="736">
        <v>3.6153846153846154</v>
      </c>
      <c r="AP11" s="735">
        <v>26</v>
      </c>
      <c r="AQ11" s="1042">
        <v>0.80383695246850051</v>
      </c>
      <c r="AR11" s="736">
        <f t="shared" si="8"/>
        <v>0.61538461538461542</v>
      </c>
      <c r="AT11" s="892"/>
      <c r="AU11" s="892"/>
      <c r="BC11" s="121"/>
      <c r="BD11" s="121"/>
      <c r="BE11" s="761" t="s">
        <v>15</v>
      </c>
      <c r="BF11" s="729">
        <v>34</v>
      </c>
      <c r="BG11" s="1059">
        <v>4.3529411764705879</v>
      </c>
      <c r="BH11" s="729"/>
      <c r="BI11" s="1059">
        <f>+(BF9*BI9+BF10*BI10)/BF11</f>
        <v>1.3529411764705888</v>
      </c>
      <c r="BJ11" s="1060">
        <f>AVERAGE(BI9:BI10)</f>
        <v>4.0909090909090917</v>
      </c>
      <c r="BL11" s="1047"/>
      <c r="BM11" s="1048"/>
    </row>
    <row r="12" spans="1:70">
      <c r="A12" s="74" t="s">
        <v>25</v>
      </c>
      <c r="B12" s="74" t="s">
        <v>16</v>
      </c>
      <c r="C12" s="74" t="s">
        <v>108</v>
      </c>
      <c r="D12" s="1046">
        <v>3.13</v>
      </c>
      <c r="E12" s="121">
        <v>52</v>
      </c>
      <c r="F12" s="2225">
        <f t="shared" si="0"/>
        <v>0.12999999999999989</v>
      </c>
      <c r="G12" s="4673">
        <v>3</v>
      </c>
      <c r="H12" s="121"/>
      <c r="I12" s="108" t="s">
        <v>25</v>
      </c>
      <c r="J12" s="150" t="s">
        <v>16</v>
      </c>
      <c r="K12" s="108" t="s">
        <v>108</v>
      </c>
      <c r="L12" s="1189">
        <v>3.14</v>
      </c>
      <c r="M12" s="150">
        <v>14</v>
      </c>
      <c r="N12" s="2225">
        <f t="shared" ref="N12:N14" si="9">L12-3</f>
        <v>0.14000000000000012</v>
      </c>
      <c r="P12" s="163" t="s">
        <v>25</v>
      </c>
      <c r="Q12" s="163" t="s">
        <v>16</v>
      </c>
      <c r="R12" s="80" t="s">
        <v>108</v>
      </c>
      <c r="S12" s="212">
        <v>3</v>
      </c>
      <c r="T12" s="3304">
        <v>47</v>
      </c>
      <c r="U12" s="2225">
        <f t="shared" si="1"/>
        <v>0</v>
      </c>
      <c r="W12" s="1094" t="s">
        <v>25</v>
      </c>
      <c r="X12" s="1094" t="s">
        <v>16</v>
      </c>
      <c r="Y12" s="1469" t="s">
        <v>108</v>
      </c>
      <c r="Z12" s="2223">
        <v>3</v>
      </c>
      <c r="AA12" s="2224">
        <v>15</v>
      </c>
      <c r="AB12" s="2225">
        <f t="shared" si="7"/>
        <v>0</v>
      </c>
      <c r="AD12" s="1038" t="s">
        <v>25</v>
      </c>
      <c r="AE12" s="1038" t="s">
        <v>16</v>
      </c>
      <c r="AF12" s="1039" t="s">
        <v>108</v>
      </c>
      <c r="AG12" s="1040">
        <v>3</v>
      </c>
      <c r="AH12" s="1041">
        <v>24</v>
      </c>
      <c r="AI12" s="1040">
        <f t="shared" si="2"/>
        <v>0</v>
      </c>
      <c r="AK12" s="965"/>
      <c r="AL12" s="965"/>
      <c r="AM12" s="965"/>
      <c r="AN12" s="734" t="s">
        <v>110</v>
      </c>
      <c r="AO12" s="736">
        <v>7.666666666666667</v>
      </c>
      <c r="AP12" s="735">
        <v>3</v>
      </c>
      <c r="AQ12" s="1042">
        <v>0.57735026918962573</v>
      </c>
      <c r="AR12" s="736">
        <f>AO12-6</f>
        <v>1.666666666666667</v>
      </c>
      <c r="AT12" s="892" t="s">
        <v>25</v>
      </c>
      <c r="AU12" s="892" t="s">
        <v>16</v>
      </c>
      <c r="AV12" s="893" t="s">
        <v>108</v>
      </c>
      <c r="AW12" s="1043">
        <v>3.01</v>
      </c>
      <c r="AX12" s="1043">
        <f t="shared" si="3"/>
        <v>9.9999999999997868E-3</v>
      </c>
      <c r="AY12" s="895">
        <v>100</v>
      </c>
      <c r="AZ12" s="1044">
        <v>3.6500000000000017</v>
      </c>
      <c r="BA12" s="1045">
        <f t="shared" si="4"/>
        <v>0.65000000000000169</v>
      </c>
      <c r="BC12" s="121" t="s">
        <v>25</v>
      </c>
      <c r="BD12" s="121" t="s">
        <v>16</v>
      </c>
      <c r="BE12" s="74" t="s">
        <v>108</v>
      </c>
      <c r="BF12" s="121">
        <v>108</v>
      </c>
      <c r="BG12" s="1046">
        <v>3.3796296296296302</v>
      </c>
      <c r="BH12" s="121">
        <v>3</v>
      </c>
      <c r="BI12" s="1046">
        <f t="shared" si="5"/>
        <v>0.37962962962963021</v>
      </c>
      <c r="BL12" s="1047" t="s">
        <v>25</v>
      </c>
      <c r="BM12" s="1048" t="s">
        <v>16</v>
      </c>
      <c r="BN12" s="1047" t="s">
        <v>108</v>
      </c>
      <c r="BO12" s="1049">
        <v>3.5333333333333332</v>
      </c>
      <c r="BP12" s="1048">
        <v>15</v>
      </c>
      <c r="BQ12" s="1050">
        <v>3</v>
      </c>
      <c r="BR12" s="1051">
        <f t="shared" ref="BR12:BR21" si="10">BO12-3</f>
        <v>0.53333333333333321</v>
      </c>
    </row>
    <row r="13" spans="1:70">
      <c r="A13" s="74"/>
      <c r="B13" s="74"/>
      <c r="C13" s="761" t="s">
        <v>573</v>
      </c>
      <c r="D13" s="1059">
        <v>3.13</v>
      </c>
      <c r="E13" s="4673">
        <v>52</v>
      </c>
      <c r="F13" s="2229">
        <f t="shared" si="0"/>
        <v>0.12999999999999989</v>
      </c>
      <c r="G13" s="121">
        <v>3</v>
      </c>
      <c r="H13" s="4673"/>
      <c r="I13" s="108"/>
      <c r="J13" s="150"/>
      <c r="K13" s="3292" t="s">
        <v>573</v>
      </c>
      <c r="L13" s="3293">
        <v>3.14</v>
      </c>
      <c r="M13" s="3294">
        <v>14</v>
      </c>
      <c r="N13" s="2229">
        <f t="shared" si="9"/>
        <v>0.14000000000000012</v>
      </c>
      <c r="P13" s="163"/>
      <c r="Q13" s="163"/>
      <c r="R13" s="1245" t="s">
        <v>573</v>
      </c>
      <c r="S13" s="1246">
        <v>3</v>
      </c>
      <c r="T13" s="3305">
        <v>47</v>
      </c>
      <c r="U13" s="2229">
        <f t="shared" si="1"/>
        <v>0</v>
      </c>
      <c r="W13" s="1094"/>
      <c r="X13" s="1094"/>
      <c r="Y13" s="2226" t="s">
        <v>573</v>
      </c>
      <c r="Z13" s="2227">
        <v>3</v>
      </c>
      <c r="AA13" s="2228">
        <v>15</v>
      </c>
      <c r="AB13" s="2229">
        <f t="shared" si="7"/>
        <v>0</v>
      </c>
      <c r="AD13" s="1038"/>
      <c r="AE13" s="1038"/>
      <c r="AF13" s="1052" t="s">
        <v>573</v>
      </c>
      <c r="AG13" s="1053">
        <v>3</v>
      </c>
      <c r="AH13" s="1054">
        <v>24</v>
      </c>
      <c r="AI13" s="1053">
        <f t="shared" si="2"/>
        <v>0</v>
      </c>
      <c r="AK13" s="965"/>
      <c r="AL13" s="965"/>
      <c r="AM13" s="965"/>
      <c r="AN13" s="1061" t="s">
        <v>575</v>
      </c>
      <c r="AO13" s="739">
        <v>4.0344827586206895</v>
      </c>
      <c r="AP13" s="740">
        <v>29</v>
      </c>
      <c r="AQ13" s="1062">
        <v>1.4755812080254451</v>
      </c>
      <c r="AR13" s="1056">
        <f>+(AP11*AR11+AP12*AR12)/AP13</f>
        <v>0.72413793103448276</v>
      </c>
      <c r="AT13" s="892"/>
      <c r="AU13" s="892"/>
      <c r="AV13" s="1055" t="s">
        <v>573</v>
      </c>
      <c r="AW13" s="1056">
        <v>3.01</v>
      </c>
      <c r="AX13" s="1056">
        <f t="shared" si="3"/>
        <v>9.9999999999997868E-3</v>
      </c>
      <c r="AY13" s="904">
        <v>100</v>
      </c>
      <c r="AZ13" s="1057">
        <v>3.6500000000000017</v>
      </c>
      <c r="BA13" s="1058">
        <f t="shared" si="4"/>
        <v>0.65000000000000169</v>
      </c>
      <c r="BC13" s="121"/>
      <c r="BD13" s="121"/>
      <c r="BE13" s="761" t="s">
        <v>15</v>
      </c>
      <c r="BF13" s="729">
        <v>108</v>
      </c>
      <c r="BG13" s="1059">
        <v>3.3796296296296302</v>
      </c>
      <c r="BH13" s="729"/>
      <c r="BI13" s="1059">
        <f>+BI12</f>
        <v>0.37962962962963021</v>
      </c>
      <c r="BJ13" s="1060">
        <f>+BI13</f>
        <v>0.37962962962963021</v>
      </c>
      <c r="BL13" s="1047"/>
      <c r="BM13" s="1048" t="s">
        <v>41</v>
      </c>
      <c r="BN13" s="1047" t="s">
        <v>109</v>
      </c>
      <c r="BO13" s="1049">
        <v>3.6666666666666665</v>
      </c>
      <c r="BP13" s="1048">
        <v>18</v>
      </c>
      <c r="BQ13" s="1050">
        <v>3</v>
      </c>
      <c r="BR13" s="1051">
        <f t="shared" si="10"/>
        <v>0.66666666666666652</v>
      </c>
    </row>
    <row r="14" spans="1:70">
      <c r="A14" s="74"/>
      <c r="B14" s="74" t="s">
        <v>41</v>
      </c>
      <c r="C14" s="74" t="s">
        <v>109</v>
      </c>
      <c r="D14" s="1046">
        <v>4.78</v>
      </c>
      <c r="E14" s="121">
        <v>9</v>
      </c>
      <c r="F14" s="2225">
        <f t="shared" si="0"/>
        <v>1.7800000000000002</v>
      </c>
      <c r="G14" s="121">
        <v>3</v>
      </c>
      <c r="H14" s="121"/>
      <c r="I14" s="108"/>
      <c r="J14" s="150" t="s">
        <v>41</v>
      </c>
      <c r="K14" s="108" t="s">
        <v>109</v>
      </c>
      <c r="L14" s="1189">
        <v>4.21</v>
      </c>
      <c r="M14" s="150">
        <v>14</v>
      </c>
      <c r="N14" s="2225">
        <f t="shared" si="9"/>
        <v>1.21</v>
      </c>
      <c r="P14" s="163"/>
      <c r="Q14" s="163" t="s">
        <v>41</v>
      </c>
      <c r="R14" s="80" t="s">
        <v>109</v>
      </c>
      <c r="S14" s="212">
        <v>4.1399999999999997</v>
      </c>
      <c r="T14" s="3304">
        <v>14</v>
      </c>
      <c r="U14" s="2225">
        <f t="shared" si="1"/>
        <v>1.1399999999999997</v>
      </c>
      <c r="W14" s="1094"/>
      <c r="X14" s="1094" t="s">
        <v>41</v>
      </c>
      <c r="Y14" s="1469" t="s">
        <v>109</v>
      </c>
      <c r="Z14" s="2223">
        <v>3.384615384615385</v>
      </c>
      <c r="AA14" s="2224">
        <v>13</v>
      </c>
      <c r="AB14" s="2225">
        <f t="shared" si="7"/>
        <v>0.38461538461538503</v>
      </c>
      <c r="AD14" s="1038"/>
      <c r="AE14" s="1038" t="s">
        <v>41</v>
      </c>
      <c r="AF14" s="1039" t="s">
        <v>109</v>
      </c>
      <c r="AG14" s="1040">
        <v>3.6666666666666665</v>
      </c>
      <c r="AH14" s="1041">
        <v>6</v>
      </c>
      <c r="AI14" s="1040">
        <f t="shared" si="2"/>
        <v>0.66666666666666652</v>
      </c>
      <c r="AK14" s="965"/>
      <c r="AL14" s="965"/>
      <c r="AM14" s="965"/>
      <c r="AN14" s="1061" t="s">
        <v>111</v>
      </c>
      <c r="AO14" s="739">
        <v>3.68888888888889</v>
      </c>
      <c r="AP14" s="740">
        <v>45</v>
      </c>
      <c r="AQ14" s="1062">
        <v>1.2760418599257743</v>
      </c>
      <c r="AR14" s="1056">
        <f>+(AP10*AR10+AP13*AR13)/AP14</f>
        <v>0.48888888888888887</v>
      </c>
      <c r="AT14" s="892"/>
      <c r="AU14" s="892" t="s">
        <v>41</v>
      </c>
      <c r="AV14" s="893" t="s">
        <v>109</v>
      </c>
      <c r="AW14" s="1043">
        <v>3.4</v>
      </c>
      <c r="AX14" s="1043">
        <f t="shared" si="3"/>
        <v>0.39999999999999991</v>
      </c>
      <c r="AY14" s="895">
        <v>15</v>
      </c>
      <c r="AZ14" s="1044">
        <v>3.4</v>
      </c>
      <c r="BA14" s="1045">
        <f t="shared" si="4"/>
        <v>0.39999999999999991</v>
      </c>
      <c r="BC14" s="121"/>
      <c r="BD14" s="121" t="s">
        <v>41</v>
      </c>
      <c r="BE14" s="74" t="s">
        <v>109</v>
      </c>
      <c r="BF14" s="121">
        <v>20</v>
      </c>
      <c r="BG14" s="1046">
        <v>4.1000000000000014</v>
      </c>
      <c r="BH14" s="121">
        <v>3</v>
      </c>
      <c r="BI14" s="1046">
        <f t="shared" si="5"/>
        <v>1.1000000000000014</v>
      </c>
      <c r="BL14" s="1047"/>
      <c r="BM14" s="1048"/>
      <c r="BN14" s="1047" t="s">
        <v>110</v>
      </c>
      <c r="BO14" s="1049">
        <v>7.75</v>
      </c>
      <c r="BP14" s="1048">
        <v>4</v>
      </c>
      <c r="BQ14" s="1050">
        <v>6</v>
      </c>
      <c r="BR14" s="1051">
        <f>BO14-6</f>
        <v>1.75</v>
      </c>
    </row>
    <row r="15" spans="1:70">
      <c r="A15" s="74"/>
      <c r="B15" s="74"/>
      <c r="C15" s="198" t="s">
        <v>620</v>
      </c>
      <c r="D15" s="4697">
        <v>8.33</v>
      </c>
      <c r="E15" s="4697">
        <v>6</v>
      </c>
      <c r="F15" s="2225">
        <f t="shared" si="0"/>
        <v>2.33</v>
      </c>
      <c r="G15" s="121">
        <v>6</v>
      </c>
      <c r="H15" s="121"/>
      <c r="I15" s="108"/>
      <c r="J15" s="150"/>
      <c r="K15" s="3299" t="s">
        <v>110</v>
      </c>
      <c r="L15" s="3300">
        <v>10</v>
      </c>
      <c r="M15" s="3301">
        <v>2</v>
      </c>
      <c r="N15" s="2225">
        <f>L15-6</f>
        <v>4</v>
      </c>
      <c r="P15" s="163"/>
      <c r="Q15" s="163"/>
      <c r="R15" s="80" t="s">
        <v>2020</v>
      </c>
      <c r="S15" s="212">
        <v>9.2899999999999991</v>
      </c>
      <c r="T15" s="3304">
        <v>7</v>
      </c>
      <c r="U15" s="2225">
        <f>S15-6</f>
        <v>3.2899999999999991</v>
      </c>
      <c r="W15" s="1094"/>
      <c r="X15" s="1094"/>
      <c r="Y15" s="1469" t="s">
        <v>620</v>
      </c>
      <c r="Z15" s="2223">
        <v>9.5714285714285712</v>
      </c>
      <c r="AA15" s="2224">
        <v>7</v>
      </c>
      <c r="AB15" s="2225">
        <f>Z15-6</f>
        <v>3.5714285714285712</v>
      </c>
      <c r="AD15" s="1038"/>
      <c r="AE15" s="1038"/>
      <c r="AF15" s="1039" t="s">
        <v>110</v>
      </c>
      <c r="AG15" s="1040">
        <v>7</v>
      </c>
      <c r="AH15" s="1041">
        <v>6</v>
      </c>
      <c r="AI15" s="1040">
        <f t="shared" si="2"/>
        <v>4</v>
      </c>
      <c r="AK15" s="965"/>
      <c r="AL15" s="965" t="s">
        <v>48</v>
      </c>
      <c r="AM15" s="965" t="s">
        <v>16</v>
      </c>
      <c r="AN15" s="734" t="s">
        <v>112</v>
      </c>
      <c r="AO15" s="736">
        <v>6</v>
      </c>
      <c r="AP15" s="735">
        <v>1</v>
      </c>
      <c r="AQ15" s="1042"/>
      <c r="AR15" s="736">
        <f t="shared" si="8"/>
        <v>3</v>
      </c>
      <c r="AT15" s="892"/>
      <c r="AU15" s="892"/>
      <c r="AV15" s="893" t="s">
        <v>620</v>
      </c>
      <c r="AW15" s="1043">
        <v>6</v>
      </c>
      <c r="AX15" s="1043">
        <f>AW15-6</f>
        <v>0</v>
      </c>
      <c r="AY15" s="895">
        <v>2</v>
      </c>
      <c r="AZ15" s="1044">
        <v>6</v>
      </c>
      <c r="BA15" s="1045">
        <f>AZ15-6</f>
        <v>0</v>
      </c>
      <c r="BC15" s="121"/>
      <c r="BD15" s="121"/>
      <c r="BE15" s="74" t="s">
        <v>110</v>
      </c>
      <c r="BF15" s="121">
        <v>2</v>
      </c>
      <c r="BG15" s="1046">
        <v>9</v>
      </c>
      <c r="BH15" s="121">
        <v>6</v>
      </c>
      <c r="BI15" s="1046">
        <f t="shared" si="5"/>
        <v>3</v>
      </c>
      <c r="BL15" s="1047"/>
      <c r="BM15" s="1048"/>
      <c r="BN15" s="1048" t="s">
        <v>15</v>
      </c>
      <c r="BO15" s="1049">
        <v>4.4090909090909092</v>
      </c>
      <c r="BP15" s="1048">
        <v>22</v>
      </c>
      <c r="BQ15" s="1050"/>
      <c r="BR15" s="1051">
        <f>AVERAGE(BR13:BR14)</f>
        <v>1.2083333333333333</v>
      </c>
    </row>
    <row r="16" spans="1:70">
      <c r="A16" s="74"/>
      <c r="B16" s="74"/>
      <c r="C16" s="761" t="s">
        <v>575</v>
      </c>
      <c r="D16" s="1059">
        <v>4.78</v>
      </c>
      <c r="E16" s="4673">
        <v>9</v>
      </c>
      <c r="F16" s="1053">
        <f>+(E14*F14+E15*F15)/E16</f>
        <v>3.3333333333333339</v>
      </c>
      <c r="G16" s="121">
        <v>6</v>
      </c>
      <c r="H16" s="1059"/>
      <c r="I16" s="108"/>
      <c r="J16" s="150"/>
      <c r="K16" s="3292" t="s">
        <v>575</v>
      </c>
      <c r="L16" s="3293">
        <v>4.21</v>
      </c>
      <c r="M16" s="3294">
        <v>14</v>
      </c>
      <c r="N16" s="1053">
        <f>+(M14*N14+M15*N15)/M16</f>
        <v>1.7814285714285714</v>
      </c>
      <c r="P16" s="163"/>
      <c r="Q16" s="163"/>
      <c r="R16" s="1245" t="s">
        <v>575</v>
      </c>
      <c r="S16" s="1246">
        <v>5.86</v>
      </c>
      <c r="T16" s="3305">
        <v>21</v>
      </c>
      <c r="U16" s="1053">
        <f>+(T14*U14+T15*U15)/T16</f>
        <v>1.856666666666666</v>
      </c>
      <c r="W16" s="1094"/>
      <c r="X16" s="1094"/>
      <c r="Y16" s="2226" t="s">
        <v>575</v>
      </c>
      <c r="Z16" s="2227">
        <v>5.55</v>
      </c>
      <c r="AA16" s="2228">
        <v>20</v>
      </c>
      <c r="AB16" s="1053">
        <f>+(AA14*AB14+AA15*AB15)/AA16</f>
        <v>1.5000000000000004</v>
      </c>
      <c r="AD16" s="1038"/>
      <c r="AE16" s="1038"/>
      <c r="AF16" s="1052" t="s">
        <v>575</v>
      </c>
      <c r="AG16" s="1053">
        <v>5.3333333333333339</v>
      </c>
      <c r="AH16" s="1054">
        <v>12</v>
      </c>
      <c r="AI16" s="1053">
        <f>+(AH14*AI14+AH15*AI15)/AH16</f>
        <v>2.3333333333333335</v>
      </c>
      <c r="AK16" s="965"/>
      <c r="AL16" s="965"/>
      <c r="AM16" s="965"/>
      <c r="AN16" s="1061" t="s">
        <v>461</v>
      </c>
      <c r="AO16" s="739">
        <v>6</v>
      </c>
      <c r="AP16" s="740">
        <v>1</v>
      </c>
      <c r="AQ16" s="1062"/>
      <c r="AR16" s="1056">
        <f>+(AP15*AR15)/AP16</f>
        <v>3</v>
      </c>
      <c r="AT16" s="892"/>
      <c r="AU16" s="892"/>
      <c r="AV16" s="1055" t="s">
        <v>575</v>
      </c>
      <c r="AW16" s="1056">
        <v>3.7058823529411766</v>
      </c>
      <c r="AX16" s="1056">
        <f>+(AY14*AX14+AY15*AX15)/AY16</f>
        <v>0.35294117647058815</v>
      </c>
      <c r="AY16" s="904">
        <v>17</v>
      </c>
      <c r="AZ16" s="1057">
        <v>3.7058823529411766</v>
      </c>
      <c r="BA16" s="1070">
        <f>+(AY14*BA14+AY15*BA15)/AY16</f>
        <v>0.35294117647058815</v>
      </c>
      <c r="BC16" s="121"/>
      <c r="BD16" s="121"/>
      <c r="BE16" s="761" t="s">
        <v>15</v>
      </c>
      <c r="BF16" s="729">
        <v>22</v>
      </c>
      <c r="BG16" s="1059">
        <v>4.5454545454545459</v>
      </c>
      <c r="BH16" s="1059"/>
      <c r="BI16" s="1059">
        <f>+(BF14*BI14+BF15*BI15)/BF16</f>
        <v>1.272727272727274</v>
      </c>
      <c r="BJ16" s="1060">
        <f>AVERAGE(BI14:BI15)</f>
        <v>2.0500000000000007</v>
      </c>
      <c r="BL16" s="1047"/>
      <c r="BM16" s="1048"/>
      <c r="BN16" s="1063" t="s">
        <v>111</v>
      </c>
      <c r="BO16" s="1064">
        <v>4.0540540540540553</v>
      </c>
      <c r="BP16" s="1065">
        <v>37</v>
      </c>
      <c r="BQ16" s="1050"/>
      <c r="BR16" s="1066">
        <f>AVERAGE(BR12:BR14)</f>
        <v>0.98333333333333328</v>
      </c>
    </row>
    <row r="17" spans="1:70">
      <c r="A17" s="4703"/>
      <c r="B17" s="4703"/>
      <c r="C17" s="4704" t="s">
        <v>111</v>
      </c>
      <c r="D17" s="4705">
        <v>3.38</v>
      </c>
      <c r="E17" s="4706">
        <v>61</v>
      </c>
      <c r="F17" s="1068">
        <f>+(E13*F13+E16*F16)/E17</f>
        <v>0.60262295081967221</v>
      </c>
      <c r="G17" s="4708">
        <v>3</v>
      </c>
      <c r="H17" s="121"/>
      <c r="I17" s="3295"/>
      <c r="J17" s="3291"/>
      <c r="K17" s="3296" t="s">
        <v>111</v>
      </c>
      <c r="L17" s="3297">
        <v>3.68</v>
      </c>
      <c r="M17" s="3298">
        <v>28</v>
      </c>
      <c r="N17" s="1068">
        <f>+(M13*N13+M16*N16)/M17</f>
        <v>0.96071428571428563</v>
      </c>
      <c r="P17" s="2630"/>
      <c r="Q17" s="2630"/>
      <c r="R17" s="2627" t="s">
        <v>111</v>
      </c>
      <c r="S17" s="2628">
        <v>3.88</v>
      </c>
      <c r="T17" s="3306">
        <v>68</v>
      </c>
      <c r="U17" s="2616">
        <f>+(T13*U13+T16*U16)/T17</f>
        <v>0.57338235294117634</v>
      </c>
      <c r="W17" s="2230"/>
      <c r="X17" s="2230"/>
      <c r="Y17" s="2231" t="s">
        <v>111</v>
      </c>
      <c r="Z17" s="2232">
        <v>4.4571428571428555</v>
      </c>
      <c r="AA17" s="2233">
        <v>35</v>
      </c>
      <c r="AB17" s="2235">
        <f>+(AA13*AB13+AA16*AB16)/AA17</f>
        <v>0.85714285714285732</v>
      </c>
      <c r="AD17" s="1038"/>
      <c r="AE17" s="1038"/>
      <c r="AF17" s="1067" t="s">
        <v>111</v>
      </c>
      <c r="AG17" s="1068">
        <v>3.777777777777779</v>
      </c>
      <c r="AH17" s="1069">
        <v>36</v>
      </c>
      <c r="AI17" s="1068">
        <f>+(AH13*AI13+AH16*AI16)/AH17</f>
        <v>0.77777777777777779</v>
      </c>
      <c r="AK17" s="965"/>
      <c r="AL17" s="965" t="s">
        <v>59</v>
      </c>
      <c r="AM17" s="965" t="s">
        <v>64</v>
      </c>
      <c r="AN17" s="734" t="s">
        <v>710</v>
      </c>
      <c r="AO17" s="736">
        <v>3</v>
      </c>
      <c r="AP17" s="735">
        <v>2</v>
      </c>
      <c r="AQ17" s="1042">
        <v>0</v>
      </c>
      <c r="AR17" s="736">
        <f t="shared" si="8"/>
        <v>0</v>
      </c>
      <c r="AT17" s="892" t="s">
        <v>48</v>
      </c>
      <c r="AU17" s="892" t="s">
        <v>16</v>
      </c>
      <c r="AV17" s="893" t="s">
        <v>135</v>
      </c>
      <c r="AW17" s="1043">
        <v>6</v>
      </c>
      <c r="AX17" s="1043">
        <f>AW17-3</f>
        <v>3</v>
      </c>
      <c r="AY17" s="895">
        <v>1</v>
      </c>
      <c r="AZ17" s="1044">
        <v>7</v>
      </c>
      <c r="BA17" s="1045">
        <f>AZ17-3</f>
        <v>4</v>
      </c>
      <c r="BC17" s="121" t="s">
        <v>48</v>
      </c>
      <c r="BD17" s="121" t="s">
        <v>16</v>
      </c>
      <c r="BE17" s="74" t="s">
        <v>135</v>
      </c>
      <c r="BF17" s="121">
        <v>17</v>
      </c>
      <c r="BG17" s="1046">
        <v>4.4117647058823533</v>
      </c>
      <c r="BH17" s="121">
        <v>3</v>
      </c>
      <c r="BI17" s="1046">
        <f t="shared" si="5"/>
        <v>1.4117647058823533</v>
      </c>
      <c r="BL17" s="1047" t="s">
        <v>48</v>
      </c>
      <c r="BM17" s="1048" t="s">
        <v>16</v>
      </c>
      <c r="BN17" s="1047" t="s">
        <v>112</v>
      </c>
      <c r="BO17" s="1049">
        <v>4.0999999999999996</v>
      </c>
      <c r="BP17" s="1048">
        <v>40</v>
      </c>
      <c r="BQ17" s="1050">
        <v>3</v>
      </c>
      <c r="BR17" s="1051">
        <f>BO17-3</f>
        <v>1.0999999999999996</v>
      </c>
    </row>
    <row r="18" spans="1:70">
      <c r="A18" s="74" t="s">
        <v>48</v>
      </c>
      <c r="B18" s="74" t="s">
        <v>16</v>
      </c>
      <c r="C18" s="74" t="s">
        <v>112</v>
      </c>
      <c r="D18" s="1046">
        <v>4</v>
      </c>
      <c r="E18" s="121">
        <v>22</v>
      </c>
      <c r="F18" s="2225">
        <f t="shared" si="0"/>
        <v>1</v>
      </c>
      <c r="G18" s="121">
        <v>3</v>
      </c>
      <c r="H18" s="121"/>
      <c r="I18" s="108" t="s">
        <v>48</v>
      </c>
      <c r="J18" s="150" t="s">
        <v>16</v>
      </c>
      <c r="K18" s="108" t="s">
        <v>112</v>
      </c>
      <c r="L18" s="1189">
        <v>5</v>
      </c>
      <c r="M18" s="150">
        <v>1</v>
      </c>
      <c r="N18" s="2225">
        <f>L18-3</f>
        <v>2</v>
      </c>
      <c r="P18" s="163" t="s">
        <v>48</v>
      </c>
      <c r="Q18" s="163" t="s">
        <v>16</v>
      </c>
      <c r="R18" s="80" t="s">
        <v>112</v>
      </c>
      <c r="S18" s="212">
        <v>6</v>
      </c>
      <c r="T18" s="3304">
        <v>1</v>
      </c>
      <c r="U18" s="2225">
        <f t="shared" si="1"/>
        <v>3</v>
      </c>
      <c r="W18" s="1094" t="s">
        <v>48</v>
      </c>
      <c r="X18" s="1094" t="s">
        <v>16</v>
      </c>
      <c r="Y18" s="1469" t="s">
        <v>112</v>
      </c>
      <c r="Z18" s="2223">
        <v>6</v>
      </c>
      <c r="AA18" s="2224">
        <v>1</v>
      </c>
      <c r="AB18" s="2225">
        <f t="shared" si="7"/>
        <v>3</v>
      </c>
      <c r="AD18" s="1038" t="s">
        <v>48</v>
      </c>
      <c r="AE18" s="1038" t="s">
        <v>16</v>
      </c>
      <c r="AF18" s="1039" t="s">
        <v>112</v>
      </c>
      <c r="AG18" s="1040">
        <v>3.9642857142857144</v>
      </c>
      <c r="AH18" s="1041">
        <v>28</v>
      </c>
      <c r="AI18" s="1040">
        <f t="shared" si="2"/>
        <v>0.96428571428571441</v>
      </c>
      <c r="AK18" s="965"/>
      <c r="AL18" s="965"/>
      <c r="AM18" s="965"/>
      <c r="AN18" s="1061" t="s">
        <v>1426</v>
      </c>
      <c r="AO18" s="739">
        <v>3</v>
      </c>
      <c r="AP18" s="740">
        <v>2</v>
      </c>
      <c r="AQ18" s="1062">
        <v>0</v>
      </c>
      <c r="AR18" s="1056">
        <f>+(AP17*AR17)/AP18</f>
        <v>0</v>
      </c>
      <c r="AT18" s="892"/>
      <c r="AU18" s="892"/>
      <c r="AV18" s="1055" t="s">
        <v>573</v>
      </c>
      <c r="AW18" s="1056">
        <v>6</v>
      </c>
      <c r="AX18" s="1056">
        <f>AW18-3</f>
        <v>3</v>
      </c>
      <c r="AY18" s="904">
        <v>1</v>
      </c>
      <c r="AZ18" s="1057">
        <v>7</v>
      </c>
      <c r="BA18" s="1058">
        <f>AZ18-3</f>
        <v>4</v>
      </c>
      <c r="BC18" s="121"/>
      <c r="BD18" s="121"/>
      <c r="BE18" s="74" t="s">
        <v>112</v>
      </c>
      <c r="BF18" s="121">
        <v>2</v>
      </c>
      <c r="BG18" s="1046">
        <v>1</v>
      </c>
      <c r="BH18" s="121">
        <v>3</v>
      </c>
      <c r="BI18" s="1046">
        <f t="shared" si="5"/>
        <v>-2</v>
      </c>
      <c r="BL18" s="1047"/>
      <c r="BM18" s="1048"/>
      <c r="BN18" s="1047"/>
      <c r="BO18" s="1049"/>
      <c r="BP18" s="1048"/>
      <c r="BQ18" s="1050"/>
      <c r="BR18" s="1051"/>
    </row>
    <row r="19" spans="1:70" ht="15.75" thickBot="1">
      <c r="A19" s="74"/>
      <c r="B19" s="74"/>
      <c r="C19" s="761" t="s">
        <v>573</v>
      </c>
      <c r="D19" s="1059">
        <v>4</v>
      </c>
      <c r="E19" s="4673">
        <v>22</v>
      </c>
      <c r="F19" s="2229">
        <f t="shared" si="0"/>
        <v>1</v>
      </c>
      <c r="G19" s="4673">
        <v>3</v>
      </c>
      <c r="H19" s="4673"/>
      <c r="I19" s="108"/>
      <c r="J19" s="150"/>
      <c r="K19" s="3292" t="s">
        <v>573</v>
      </c>
      <c r="L19" s="3293">
        <v>5</v>
      </c>
      <c r="M19" s="3294">
        <v>1</v>
      </c>
      <c r="N19" s="2229">
        <f t="shared" ref="N19:N25" si="11">L19-3</f>
        <v>2</v>
      </c>
      <c r="P19" s="163"/>
      <c r="Q19" s="163"/>
      <c r="R19" s="1245" t="s">
        <v>573</v>
      </c>
      <c r="S19" s="1246">
        <v>6</v>
      </c>
      <c r="T19" s="3305">
        <v>1</v>
      </c>
      <c r="U19" s="2229">
        <f t="shared" si="1"/>
        <v>3</v>
      </c>
      <c r="W19" s="1094"/>
      <c r="X19" s="1094"/>
      <c r="Y19" s="2226" t="s">
        <v>573</v>
      </c>
      <c r="Z19" s="2227">
        <v>6</v>
      </c>
      <c r="AA19" s="2228">
        <v>1</v>
      </c>
      <c r="AB19" s="2229">
        <f t="shared" si="7"/>
        <v>3</v>
      </c>
      <c r="AD19" s="1038"/>
      <c r="AE19" s="1038"/>
      <c r="AF19" s="1052" t="s">
        <v>894</v>
      </c>
      <c r="AG19" s="1053">
        <v>3.9642857142857144</v>
      </c>
      <c r="AH19" s="1054">
        <v>28</v>
      </c>
      <c r="AI19" s="1053">
        <f t="shared" si="2"/>
        <v>0.96428571428571441</v>
      </c>
      <c r="AK19" s="989"/>
      <c r="AL19" s="989"/>
      <c r="AM19" s="989"/>
      <c r="AN19" s="1071" t="s">
        <v>114</v>
      </c>
      <c r="AO19" s="745">
        <v>3.478260869565216</v>
      </c>
      <c r="AP19" s="744">
        <v>92</v>
      </c>
      <c r="AQ19" s="1072">
        <v>1.1811547792384858</v>
      </c>
      <c r="AR19" s="1073">
        <f>+(AP9*AR9+AP14*AR14+AP16*AR16+AP18*AR18)/AP19</f>
        <v>0.38043478260869606</v>
      </c>
      <c r="AT19" s="892"/>
      <c r="AU19" s="892" t="s">
        <v>41</v>
      </c>
      <c r="AV19" s="893" t="s">
        <v>113</v>
      </c>
      <c r="AW19" s="1043">
        <v>4.1428571428571432</v>
      </c>
      <c r="AX19" s="1043">
        <f>AW19-3</f>
        <v>1.1428571428571432</v>
      </c>
      <c r="AY19" s="895">
        <v>7</v>
      </c>
      <c r="AZ19" s="1044">
        <v>4.1428571428571432</v>
      </c>
      <c r="BA19" s="1045">
        <f>AZ19-3</f>
        <v>1.1428571428571432</v>
      </c>
      <c r="BC19" s="121"/>
      <c r="BD19" s="121"/>
      <c r="BE19" s="761" t="s">
        <v>15</v>
      </c>
      <c r="BF19" s="729">
        <v>19</v>
      </c>
      <c r="BG19" s="1059">
        <v>4.0526315789473681</v>
      </c>
      <c r="BH19" s="729"/>
      <c r="BI19" s="1059">
        <f>+(BF17*BI17+BF18*BI18)/BF19</f>
        <v>1.0526315789473688</v>
      </c>
      <c r="BJ19" s="1060">
        <f>AVERAGE(BI17:BI18)</f>
        <v>-0.29411764705882337</v>
      </c>
      <c r="BL19" s="1047"/>
      <c r="BM19" s="1048"/>
      <c r="BN19" s="1047"/>
      <c r="BO19" s="1049"/>
      <c r="BP19" s="1048"/>
      <c r="BQ19" s="1050"/>
      <c r="BR19" s="1051"/>
    </row>
    <row r="20" spans="1:70" ht="15.75" thickBot="1">
      <c r="A20" s="74"/>
      <c r="B20" s="74" t="s">
        <v>41</v>
      </c>
      <c r="C20" s="74" t="s">
        <v>139</v>
      </c>
      <c r="D20" s="1046">
        <v>7</v>
      </c>
      <c r="E20" s="121">
        <v>1</v>
      </c>
      <c r="F20" s="2225">
        <f t="shared" si="0"/>
        <v>4</v>
      </c>
      <c r="G20" s="4673">
        <v>3</v>
      </c>
      <c r="H20" s="121"/>
      <c r="I20" s="108"/>
      <c r="J20" s="150" t="s">
        <v>41</v>
      </c>
      <c r="K20" s="108" t="s">
        <v>139</v>
      </c>
      <c r="L20" s="1189">
        <v>6</v>
      </c>
      <c r="M20" s="150">
        <v>4</v>
      </c>
      <c r="N20" s="2225">
        <f t="shared" si="11"/>
        <v>3</v>
      </c>
      <c r="P20" s="163"/>
      <c r="Q20" s="163" t="s">
        <v>41</v>
      </c>
      <c r="R20" s="80" t="s">
        <v>139</v>
      </c>
      <c r="S20" s="212">
        <v>4</v>
      </c>
      <c r="T20" s="3304">
        <v>3</v>
      </c>
      <c r="U20" s="2225">
        <f t="shared" si="1"/>
        <v>1</v>
      </c>
      <c r="W20" s="1094"/>
      <c r="X20" s="1094" t="s">
        <v>41</v>
      </c>
      <c r="Y20" s="1469" t="s">
        <v>139</v>
      </c>
      <c r="Z20" s="2223">
        <v>5.5</v>
      </c>
      <c r="AA20" s="2224">
        <v>6</v>
      </c>
      <c r="AB20" s="2225">
        <f t="shared" si="7"/>
        <v>2.5</v>
      </c>
      <c r="AD20" s="1038"/>
      <c r="AE20" s="1038" t="s">
        <v>41</v>
      </c>
      <c r="AF20" s="1039" t="s">
        <v>139</v>
      </c>
      <c r="AG20" s="1040">
        <v>6</v>
      </c>
      <c r="AH20" s="1041">
        <v>1</v>
      </c>
      <c r="AI20" s="1040">
        <f t="shared" si="2"/>
        <v>3</v>
      </c>
      <c r="AK20" s="965"/>
      <c r="AL20" s="965"/>
      <c r="AM20" s="965"/>
      <c r="AN20" s="734"/>
      <c r="AO20" s="1074"/>
      <c r="AP20" s="1075"/>
      <c r="AQ20" s="1076"/>
      <c r="AR20" s="1076"/>
      <c r="AT20" s="915"/>
      <c r="AU20" s="915"/>
      <c r="AV20" s="1077" t="s">
        <v>575</v>
      </c>
      <c r="AW20" s="1073">
        <v>4.1428571428571432</v>
      </c>
      <c r="AX20" s="1073">
        <f>AW20-3</f>
        <v>1.1428571428571432</v>
      </c>
      <c r="AY20" s="918">
        <v>7</v>
      </c>
      <c r="AZ20" s="1078">
        <v>4.1428571428571432</v>
      </c>
      <c r="BA20" s="1079">
        <f>AZ20-3</f>
        <v>1.1428571428571432</v>
      </c>
      <c r="BC20" s="121"/>
      <c r="BD20" s="121" t="s">
        <v>41</v>
      </c>
      <c r="BE20" s="74" t="s">
        <v>139</v>
      </c>
      <c r="BF20" s="121">
        <v>2</v>
      </c>
      <c r="BG20" s="1046">
        <v>6</v>
      </c>
      <c r="BH20" s="121">
        <v>3</v>
      </c>
      <c r="BI20" s="1046">
        <f t="shared" si="5"/>
        <v>3</v>
      </c>
      <c r="BL20" s="1047"/>
      <c r="BM20" s="1048" t="s">
        <v>41</v>
      </c>
      <c r="BN20" s="1047" t="s">
        <v>113</v>
      </c>
      <c r="BO20" s="1049">
        <v>3.6666666666666665</v>
      </c>
      <c r="BP20" s="1048">
        <v>6</v>
      </c>
      <c r="BQ20" s="1050">
        <v>3</v>
      </c>
      <c r="BR20" s="1051">
        <f t="shared" si="10"/>
        <v>0.66666666666666652</v>
      </c>
    </row>
    <row r="21" spans="1:70">
      <c r="A21" s="74"/>
      <c r="B21" s="74"/>
      <c r="C21" s="761" t="s">
        <v>575</v>
      </c>
      <c r="D21" s="1059">
        <v>7</v>
      </c>
      <c r="E21" s="4673">
        <v>1</v>
      </c>
      <c r="F21" s="2229">
        <f t="shared" si="0"/>
        <v>4</v>
      </c>
      <c r="G21" s="4673">
        <v>3</v>
      </c>
      <c r="H21" s="121"/>
      <c r="I21" s="108"/>
      <c r="J21" s="150"/>
      <c r="K21" s="3292" t="s">
        <v>575</v>
      </c>
      <c r="L21" s="3293">
        <v>6</v>
      </c>
      <c r="M21" s="3294">
        <v>4</v>
      </c>
      <c r="N21" s="2229">
        <f t="shared" si="11"/>
        <v>3</v>
      </c>
      <c r="P21" s="163"/>
      <c r="Q21" s="163"/>
      <c r="R21" s="80"/>
      <c r="S21" s="212"/>
      <c r="T21" s="3304"/>
      <c r="U21" s="2225"/>
      <c r="W21" s="1094"/>
      <c r="X21" s="1094"/>
      <c r="Y21" s="1469"/>
      <c r="Z21" s="2223"/>
      <c r="AA21" s="2224"/>
      <c r="AB21" s="2225"/>
      <c r="AD21" s="1038"/>
      <c r="AE21" s="1038"/>
      <c r="AF21" s="1039" t="s">
        <v>113</v>
      </c>
      <c r="AG21" s="1040">
        <v>3.8888888888888888</v>
      </c>
      <c r="AH21" s="1041">
        <v>9</v>
      </c>
      <c r="AI21" s="1040">
        <f t="shared" si="2"/>
        <v>0.88888888888888884</v>
      </c>
      <c r="AK21" s="965"/>
      <c r="AL21" s="965"/>
      <c r="AM21" s="965"/>
      <c r="AN21" s="734"/>
      <c r="AO21" s="1074"/>
      <c r="AP21" s="1075"/>
      <c r="AQ21" s="1076"/>
      <c r="AR21" s="1076"/>
      <c r="AV21" s="1080" t="s">
        <v>1427</v>
      </c>
      <c r="BC21" s="121"/>
      <c r="BD21" s="121"/>
      <c r="BE21" s="74" t="s">
        <v>113</v>
      </c>
      <c r="BF21" s="121">
        <v>1</v>
      </c>
      <c r="BG21" s="1046">
        <v>3</v>
      </c>
      <c r="BH21" s="121">
        <v>3</v>
      </c>
      <c r="BI21" s="1046">
        <f t="shared" si="5"/>
        <v>0</v>
      </c>
      <c r="BL21" s="1047"/>
      <c r="BM21" s="1048"/>
      <c r="BN21" s="1063" t="s">
        <v>461</v>
      </c>
      <c r="BO21" s="1064">
        <v>4.0434782608695654</v>
      </c>
      <c r="BP21" s="1065">
        <v>46</v>
      </c>
      <c r="BQ21" s="1050"/>
      <c r="BR21" s="1066">
        <f t="shared" si="10"/>
        <v>1.0434782608695654</v>
      </c>
    </row>
    <row r="22" spans="1:70" ht="15.75" thickBot="1">
      <c r="A22" s="4703"/>
      <c r="B22" s="4703"/>
      <c r="C22" s="4704" t="s">
        <v>461</v>
      </c>
      <c r="D22" s="4705">
        <v>4.13</v>
      </c>
      <c r="E22" s="4706">
        <v>23</v>
      </c>
      <c r="F22" s="4721">
        <f>+(E19*F19+E21*F21)/E22</f>
        <v>1.1304347826086956</v>
      </c>
      <c r="G22" s="4706">
        <v>3</v>
      </c>
      <c r="H22" s="4689"/>
      <c r="I22" s="3295"/>
      <c r="J22" s="3291"/>
      <c r="K22" s="3296" t="s">
        <v>461</v>
      </c>
      <c r="L22" s="3297">
        <v>5.8</v>
      </c>
      <c r="M22" s="3298">
        <v>5</v>
      </c>
      <c r="N22" s="1068">
        <f>+(M19*N19+M21*N21)/M22</f>
        <v>2.8</v>
      </c>
      <c r="P22" s="163"/>
      <c r="Q22" s="163"/>
      <c r="R22" s="1245" t="s">
        <v>575</v>
      </c>
      <c r="S22" s="1246">
        <v>4</v>
      </c>
      <c r="T22" s="3305">
        <v>3</v>
      </c>
      <c r="U22" s="2229">
        <f t="shared" si="1"/>
        <v>1</v>
      </c>
      <c r="W22" s="1094"/>
      <c r="X22" s="1094"/>
      <c r="Y22" s="2226" t="s">
        <v>575</v>
      </c>
      <c r="Z22" s="2227">
        <v>5.5</v>
      </c>
      <c r="AA22" s="2228">
        <v>6</v>
      </c>
      <c r="AB22" s="2229">
        <f t="shared" si="7"/>
        <v>2.5</v>
      </c>
      <c r="AD22" s="1038"/>
      <c r="AE22" s="1038"/>
      <c r="AF22" s="1052" t="s">
        <v>575</v>
      </c>
      <c r="AG22" s="1053">
        <v>4.1000000000000005</v>
      </c>
      <c r="AH22" s="1054">
        <v>10</v>
      </c>
      <c r="AI22" s="1053">
        <f>+(AH20*AI20+AH21*AI21)/AH22</f>
        <v>1.1000000000000001</v>
      </c>
      <c r="AK22" s="965"/>
      <c r="AL22" s="965"/>
      <c r="AM22" s="965"/>
      <c r="AN22" s="734"/>
      <c r="AO22" s="1074"/>
      <c r="AP22" s="1075"/>
      <c r="AQ22" s="1076"/>
      <c r="AR22" s="1076"/>
      <c r="BC22" s="819"/>
      <c r="BD22" s="819"/>
      <c r="BE22" s="821" t="s">
        <v>15</v>
      </c>
      <c r="BF22" s="768">
        <v>3</v>
      </c>
      <c r="BG22" s="1081">
        <v>5</v>
      </c>
      <c r="BH22" s="768"/>
      <c r="BI22" s="1081">
        <f>+(BF20*BI20+BF21*BI21)/BF22</f>
        <v>2</v>
      </c>
      <c r="BJ22" s="1060">
        <f>AVERAGE(BI20:BI21)</f>
        <v>1.5</v>
      </c>
      <c r="BL22" s="1082"/>
      <c r="BM22" s="1083"/>
      <c r="BN22" s="1084" t="s">
        <v>114</v>
      </c>
      <c r="BO22" s="1085">
        <v>4.5603448275862055</v>
      </c>
      <c r="BP22" s="1035">
        <v>116</v>
      </c>
      <c r="BQ22" s="1086"/>
      <c r="BR22" s="1087">
        <f>AVERAGE(BR10,BR16,BR21)</f>
        <v>1.6250988142292486</v>
      </c>
    </row>
    <row r="23" spans="1:70">
      <c r="A23" s="74" t="s">
        <v>59</v>
      </c>
      <c r="B23" s="74" t="s">
        <v>64</v>
      </c>
      <c r="C23" s="74" t="s">
        <v>710</v>
      </c>
      <c r="D23" s="1046">
        <v>3</v>
      </c>
      <c r="E23" s="121">
        <v>2</v>
      </c>
      <c r="F23" s="2225">
        <f t="shared" si="0"/>
        <v>0</v>
      </c>
      <c r="G23" s="4673">
        <v>3</v>
      </c>
      <c r="I23" s="108" t="s">
        <v>59</v>
      </c>
      <c r="J23" s="150" t="s">
        <v>64</v>
      </c>
      <c r="K23" s="108" t="s">
        <v>710</v>
      </c>
      <c r="L23" s="1189">
        <v>3</v>
      </c>
      <c r="M23" s="150">
        <v>1</v>
      </c>
      <c r="N23" s="2225">
        <f t="shared" si="11"/>
        <v>0</v>
      </c>
      <c r="P23" s="2630"/>
      <c r="Q23" s="2630"/>
      <c r="R23" s="2627" t="s">
        <v>461</v>
      </c>
      <c r="S23" s="2628">
        <v>4.5</v>
      </c>
      <c r="T23" s="3306">
        <v>4</v>
      </c>
      <c r="U23" s="2616">
        <f>+(T19*U19+T22*U22)/T23</f>
        <v>1.5</v>
      </c>
      <c r="W23" s="1094"/>
      <c r="X23" s="1094"/>
      <c r="Y23" s="2226" t="s">
        <v>461</v>
      </c>
      <c r="Z23" s="2227">
        <v>5.5714285714285712</v>
      </c>
      <c r="AA23" s="2228">
        <v>7</v>
      </c>
      <c r="AB23" s="2235">
        <f>+(AA19*AB19+AA22*AB22)/AA23</f>
        <v>2.5714285714285716</v>
      </c>
      <c r="AD23" s="1038"/>
      <c r="AE23" s="1038"/>
      <c r="AF23" s="1067" t="s">
        <v>461</v>
      </c>
      <c r="AG23" s="1068">
        <v>4</v>
      </c>
      <c r="AH23" s="1069">
        <v>38</v>
      </c>
      <c r="AI23" s="1068">
        <f>+(AH19*AI19+AH22*AI22)/AH23</f>
        <v>1</v>
      </c>
      <c r="AK23" s="965"/>
      <c r="AL23" s="965"/>
      <c r="AM23" s="965"/>
      <c r="AN23" s="734"/>
      <c r="AO23" s="1074"/>
      <c r="AP23" s="1075"/>
      <c r="AQ23" s="1076"/>
      <c r="AR23" s="1076"/>
      <c r="AT23" s="892"/>
      <c r="AU23" s="892"/>
      <c r="AW23" s="1056"/>
      <c r="AX23" s="1056"/>
      <c r="AY23" s="904"/>
      <c r="AZ23" s="904"/>
      <c r="BA23" s="904"/>
      <c r="BC23" s="121"/>
      <c r="BD23" s="121"/>
      <c r="BE23" s="74"/>
      <c r="BF23" s="121"/>
      <c r="BG23" s="1046"/>
      <c r="BH23" s="74"/>
      <c r="BI23" s="74"/>
      <c r="BL23" s="1088" t="s">
        <v>1428</v>
      </c>
      <c r="BM23" s="1089"/>
      <c r="BN23" s="1088"/>
      <c r="BO23" s="1088"/>
      <c r="BP23" s="1089"/>
      <c r="BQ23" s="1089"/>
      <c r="BR23" s="1088"/>
    </row>
    <row r="24" spans="1:70">
      <c r="A24" s="74"/>
      <c r="B24" s="74"/>
      <c r="C24" s="4698" t="s">
        <v>577</v>
      </c>
      <c r="D24" s="4699">
        <v>3</v>
      </c>
      <c r="E24" s="4689">
        <v>2</v>
      </c>
      <c r="F24" s="2229">
        <f t="shared" si="0"/>
        <v>0</v>
      </c>
      <c r="G24" s="121">
        <v>3</v>
      </c>
      <c r="I24" s="108"/>
      <c r="J24" s="108"/>
      <c r="K24" s="3292" t="s">
        <v>577</v>
      </c>
      <c r="L24" s="3293">
        <v>3</v>
      </c>
      <c r="M24" s="3294">
        <v>1</v>
      </c>
      <c r="N24" s="2229">
        <f t="shared" si="11"/>
        <v>0</v>
      </c>
      <c r="P24" s="163" t="s">
        <v>59</v>
      </c>
      <c r="Q24" s="163" t="s">
        <v>64</v>
      </c>
      <c r="R24" s="80" t="s">
        <v>710</v>
      </c>
      <c r="S24" s="212">
        <v>3</v>
      </c>
      <c r="T24" s="3304">
        <v>2</v>
      </c>
      <c r="U24" s="2225">
        <f t="shared" si="1"/>
        <v>0</v>
      </c>
      <c r="W24" s="2236" t="s">
        <v>59</v>
      </c>
      <c r="X24" s="2236" t="s">
        <v>64</v>
      </c>
      <c r="Y24" s="2237" t="s">
        <v>710</v>
      </c>
      <c r="Z24" s="2238">
        <v>3</v>
      </c>
      <c r="AA24" s="2239">
        <v>2</v>
      </c>
      <c r="AB24" s="2240">
        <f t="shared" si="7"/>
        <v>0</v>
      </c>
      <c r="AD24" s="1038" t="s">
        <v>59</v>
      </c>
      <c r="AE24" s="1038" t="s">
        <v>64</v>
      </c>
      <c r="AF24" s="1039" t="s">
        <v>710</v>
      </c>
      <c r="AG24" s="1040">
        <v>3</v>
      </c>
      <c r="AH24" s="1041">
        <v>2</v>
      </c>
      <c r="AI24" s="1040">
        <f t="shared" si="2"/>
        <v>0</v>
      </c>
      <c r="AK24" s="965"/>
      <c r="AL24" s="965"/>
      <c r="AM24" s="965"/>
      <c r="AN24" s="734"/>
      <c r="AO24" s="1074"/>
      <c r="AP24" s="1075"/>
      <c r="AQ24" s="1076"/>
      <c r="AR24" s="1076"/>
      <c r="AT24" s="929"/>
      <c r="AU24" s="929"/>
      <c r="AV24" s="929"/>
      <c r="AW24" s="4955" t="s">
        <v>1429</v>
      </c>
      <c r="AX24" s="4956"/>
      <c r="AY24" s="929"/>
      <c r="AZ24" s="1090"/>
      <c r="BA24" s="1090"/>
      <c r="BC24" s="121"/>
      <c r="BD24" s="121"/>
      <c r="BE24" s="74"/>
      <c r="BF24" s="121"/>
      <c r="BG24" s="1046"/>
      <c r="BH24" s="74"/>
      <c r="BI24" s="74"/>
      <c r="BM24" s="1089"/>
      <c r="BN24" s="1088"/>
      <c r="BO24" s="1088"/>
      <c r="BP24" s="1089"/>
      <c r="BQ24" s="1089"/>
      <c r="BR24" s="1088"/>
    </row>
    <row r="25" spans="1:70" ht="26.25" thickBot="1">
      <c r="A25" s="4703"/>
      <c r="B25" s="4703"/>
      <c r="C25" s="4704" t="s">
        <v>265</v>
      </c>
      <c r="D25" s="4705">
        <v>3</v>
      </c>
      <c r="E25" s="4706">
        <v>2</v>
      </c>
      <c r="F25" s="4707">
        <f t="shared" si="0"/>
        <v>0</v>
      </c>
      <c r="G25" s="4708">
        <v>3</v>
      </c>
      <c r="I25" s="108"/>
      <c r="J25" s="108"/>
      <c r="K25" s="3296" t="s">
        <v>265</v>
      </c>
      <c r="L25" s="3297">
        <v>3</v>
      </c>
      <c r="M25" s="3298">
        <v>1</v>
      </c>
      <c r="N25" s="2615">
        <f t="shared" si="11"/>
        <v>0</v>
      </c>
      <c r="P25" s="163"/>
      <c r="Q25" s="163"/>
      <c r="R25" s="1245" t="s">
        <v>577</v>
      </c>
      <c r="S25" s="1246">
        <v>3</v>
      </c>
      <c r="T25" s="3305">
        <v>2</v>
      </c>
      <c r="U25" s="2229">
        <f t="shared" si="1"/>
        <v>0</v>
      </c>
      <c r="W25" s="1094"/>
      <c r="X25" s="1094"/>
      <c r="Y25" s="2226" t="s">
        <v>577</v>
      </c>
      <c r="Z25" s="2227">
        <v>3</v>
      </c>
      <c r="AA25" s="2228">
        <v>2</v>
      </c>
      <c r="AB25" s="2225">
        <f t="shared" si="7"/>
        <v>0</v>
      </c>
      <c r="AD25" s="1038"/>
      <c r="AE25" s="1038"/>
      <c r="AF25" s="1052" t="s">
        <v>577</v>
      </c>
      <c r="AG25" s="1053">
        <v>3</v>
      </c>
      <c r="AH25" s="1054">
        <v>2</v>
      </c>
      <c r="AI25" s="1053">
        <f t="shared" si="2"/>
        <v>0</v>
      </c>
      <c r="AK25" s="949" t="s">
        <v>1057</v>
      </c>
      <c r="AL25" s="1091"/>
      <c r="AM25" s="1091"/>
      <c r="AN25" s="949" t="s">
        <v>1</v>
      </c>
      <c r="AO25" s="949" t="s">
        <v>1208</v>
      </c>
      <c r="AP25" s="949" t="s">
        <v>1420</v>
      </c>
      <c r="AQ25" s="1092" t="s">
        <v>1421</v>
      </c>
      <c r="AR25" s="949" t="s">
        <v>1356</v>
      </c>
      <c r="AT25" s="1093"/>
      <c r="AV25" s="877" t="s">
        <v>1</v>
      </c>
      <c r="AW25" s="1031" t="s">
        <v>1422</v>
      </c>
      <c r="AX25" s="1031" t="s">
        <v>1356</v>
      </c>
      <c r="AY25" s="1031" t="s">
        <v>1420</v>
      </c>
      <c r="AZ25" s="1031" t="s">
        <v>1423</v>
      </c>
      <c r="BA25" s="1031" t="s">
        <v>1356</v>
      </c>
      <c r="BC25" s="121"/>
      <c r="BD25" s="121"/>
      <c r="BE25" s="768" t="s">
        <v>1</v>
      </c>
      <c r="BF25" s="1033" t="s">
        <v>1420</v>
      </c>
      <c r="BG25" s="88" t="s">
        <v>1424</v>
      </c>
      <c r="BH25" s="88" t="s">
        <v>1425</v>
      </c>
      <c r="BI25" s="1034" t="s">
        <v>1356</v>
      </c>
    </row>
    <row r="26" spans="1:70" ht="15.75" thickBot="1">
      <c r="A26" s="820"/>
      <c r="B26" s="820"/>
      <c r="C26" s="821" t="s">
        <v>114</v>
      </c>
      <c r="D26" s="1081">
        <v>3.47</v>
      </c>
      <c r="E26" s="768">
        <v>107</v>
      </c>
      <c r="F26" s="3308">
        <f>+(E11*F11+E17*F17+E22*F22+E25*F25)/E26</f>
        <v>0.59542056074766347</v>
      </c>
      <c r="G26" s="768">
        <v>3</v>
      </c>
      <c r="I26" s="3302"/>
      <c r="J26" s="3302"/>
      <c r="K26" s="3303" t="s">
        <v>114</v>
      </c>
      <c r="L26" s="1178">
        <v>3.75</v>
      </c>
      <c r="M26" s="1033">
        <v>63</v>
      </c>
      <c r="N26" s="3308">
        <f>+(M11*N11+M17*N17+M22*N22+M25*N25)/M26</f>
        <v>0.87206349206349199</v>
      </c>
      <c r="P26" s="163"/>
      <c r="Q26" s="163"/>
      <c r="R26" s="2627" t="s">
        <v>265</v>
      </c>
      <c r="S26" s="2628">
        <v>3</v>
      </c>
      <c r="T26" s="3306">
        <v>2</v>
      </c>
      <c r="U26" s="2615">
        <f t="shared" si="1"/>
        <v>0</v>
      </c>
      <c r="W26" s="1094"/>
      <c r="X26" s="1094"/>
      <c r="Y26" s="2231" t="s">
        <v>265</v>
      </c>
      <c r="Z26" s="2232">
        <v>3</v>
      </c>
      <c r="AA26" s="2233">
        <v>2</v>
      </c>
      <c r="AB26" s="2241">
        <f t="shared" si="7"/>
        <v>0</v>
      </c>
      <c r="AD26" s="1038"/>
      <c r="AE26" s="1038"/>
      <c r="AF26" s="1067" t="s">
        <v>265</v>
      </c>
      <c r="AG26" s="1068">
        <v>3</v>
      </c>
      <c r="AH26" s="1069">
        <v>2</v>
      </c>
      <c r="AI26" s="1068">
        <f t="shared" si="2"/>
        <v>0</v>
      </c>
      <c r="AK26" s="1094" t="s">
        <v>747</v>
      </c>
      <c r="AL26" s="965"/>
      <c r="AM26" s="73"/>
      <c r="AN26" s="965" t="s">
        <v>16</v>
      </c>
      <c r="AO26" s="736">
        <v>3.1428571428571432</v>
      </c>
      <c r="AP26" s="735">
        <v>28</v>
      </c>
      <c r="AQ26" s="1042">
        <v>0.59093684028527882</v>
      </c>
      <c r="AR26" s="1043">
        <f>+(AP6*AR6+AP10*AR10+AP15*AR15)/AP26</f>
        <v>0.14285714285714285</v>
      </c>
      <c r="AT26" s="892"/>
      <c r="AV26" s="1095" t="s">
        <v>16</v>
      </c>
      <c r="AW26" s="1056">
        <v>3.0320000000000005</v>
      </c>
      <c r="AX26" s="1056">
        <f>+(AY8*AX8+AY13*AX13+AY18*AX18)/AY26</f>
        <v>3.1999999999999827E-2</v>
      </c>
      <c r="AY26" s="904">
        <v>125</v>
      </c>
      <c r="AZ26" s="1057">
        <v>3.5760000000000001</v>
      </c>
      <c r="BA26" s="1096">
        <f>+(AY8*BA8+AY13*BA13+AY18*BA18)/AY26</f>
        <v>0.5760000000000014</v>
      </c>
      <c r="BC26" s="121"/>
      <c r="BD26" s="121"/>
      <c r="BE26" s="121" t="s">
        <v>16</v>
      </c>
      <c r="BF26" s="121">
        <v>146</v>
      </c>
      <c r="BG26" s="1046">
        <v>3.4726027397260264</v>
      </c>
      <c r="BH26" s="74"/>
      <c r="BI26" s="1046">
        <f>+(BF8*BI8+BF13*BI13+BF19*BI19)/BF26</f>
        <v>0.47260273972602779</v>
      </c>
      <c r="BJ26" s="1060">
        <f>AVERAGE(BI8,BI13,BI19)</f>
        <v>0.61777128005198201</v>
      </c>
    </row>
    <row r="27" spans="1:70" ht="15.75" thickBot="1">
      <c r="A27" s="74"/>
      <c r="B27" s="74"/>
      <c r="C27" s="74"/>
      <c r="D27" s="74"/>
      <c r="E27" s="74"/>
      <c r="F27" s="74"/>
      <c r="I27" s="74"/>
      <c r="J27" s="74"/>
      <c r="K27" s="74"/>
      <c r="L27" s="74"/>
      <c r="M27" s="74"/>
      <c r="N27" s="74"/>
      <c r="P27" s="1504"/>
      <c r="Q27" s="1504"/>
      <c r="R27" s="1218" t="s">
        <v>114</v>
      </c>
      <c r="S27" s="1269">
        <v>3.69</v>
      </c>
      <c r="T27" s="3307">
        <v>99</v>
      </c>
      <c r="U27" s="1101">
        <f>+(T11*U11+T17*U17+T23*U23+T26*U26)/T27</f>
        <v>0.47464646464646459</v>
      </c>
      <c r="W27" s="1500"/>
      <c r="X27" s="1500"/>
      <c r="Y27" s="2242" t="s">
        <v>114</v>
      </c>
      <c r="Z27" s="2243">
        <v>4.2033898305084749</v>
      </c>
      <c r="AA27" s="2244">
        <v>59</v>
      </c>
      <c r="AB27" s="1101">
        <f>+(AA11*AB11+AA17*AB17+AA23*AB23+AA26*AB26)/AA27</f>
        <v>0.84745762711864436</v>
      </c>
      <c r="AD27" s="1097"/>
      <c r="AE27" s="1097"/>
      <c r="AF27" s="1098" t="s">
        <v>114</v>
      </c>
      <c r="AG27" s="1099">
        <v>3.7070707070707072</v>
      </c>
      <c r="AH27" s="1100">
        <v>99</v>
      </c>
      <c r="AI27" s="1101">
        <f>+(AH11*AI11+AH17*AI17+AH23*AI23+AH26*AI26)/AH27</f>
        <v>0.70707070707070707</v>
      </c>
      <c r="AK27" s="965"/>
      <c r="AL27" s="965"/>
      <c r="AM27" s="73"/>
      <c r="AN27" s="965" t="s">
        <v>41</v>
      </c>
      <c r="AO27" s="736">
        <v>4.0344827586206895</v>
      </c>
      <c r="AP27" s="735">
        <v>29</v>
      </c>
      <c r="AQ27" s="1042">
        <v>1.4755812080254451</v>
      </c>
      <c r="AR27" s="1043">
        <f>+(AP13*AR13)/AP27</f>
        <v>0.72413793103448276</v>
      </c>
      <c r="AT27" s="892"/>
      <c r="AV27" s="1095" t="s">
        <v>41</v>
      </c>
      <c r="AW27" s="1056">
        <v>3.833333333333333</v>
      </c>
      <c r="AX27" s="1056">
        <f>+(AY16*AX16+AY20*AX20)/AY27</f>
        <v>0.58333333333333337</v>
      </c>
      <c r="AY27" s="904">
        <v>24</v>
      </c>
      <c r="AZ27" s="1057">
        <v>3.833333333333333</v>
      </c>
      <c r="BA27" s="1096">
        <f>+(AY16*BA16+AY20*BA20)/AY27</f>
        <v>0.58333333333333337</v>
      </c>
      <c r="BC27" s="121"/>
      <c r="BD27" s="121"/>
      <c r="BE27" s="121" t="s">
        <v>41</v>
      </c>
      <c r="BF27" s="121">
        <v>25</v>
      </c>
      <c r="BG27" s="1046">
        <v>4.5999999999999996</v>
      </c>
      <c r="BH27" s="74"/>
      <c r="BI27" s="1046">
        <f>+(BF16*BI16+BF22*BI22)/BF27</f>
        <v>1.3600000000000012</v>
      </c>
      <c r="BJ27" s="1060">
        <f>AVERAGE(BI16,BI22)</f>
        <v>1.6363636363636371</v>
      </c>
    </row>
    <row r="28" spans="1:70">
      <c r="B28" s="74"/>
      <c r="C28" s="74"/>
      <c r="D28" s="74"/>
      <c r="E28" s="74"/>
      <c r="I28" s="4961" t="s">
        <v>2722</v>
      </c>
      <c r="J28" s="4961"/>
      <c r="K28" s="4961"/>
      <c r="L28" s="4961"/>
      <c r="M28" s="4961"/>
      <c r="N28" s="3286"/>
      <c r="Q28" s="73"/>
      <c r="R28" s="2614" t="s">
        <v>2021</v>
      </c>
      <c r="S28" s="2342"/>
      <c r="T28" s="2612"/>
      <c r="W28" s="1094"/>
      <c r="X28" s="1094"/>
      <c r="Y28" s="1469" t="s">
        <v>1944</v>
      </c>
      <c r="Z28" s="2223"/>
      <c r="AA28" s="2224"/>
      <c r="AB28" s="2225"/>
      <c r="AK28" s="965"/>
      <c r="AL28" s="965"/>
      <c r="AM28" s="73"/>
      <c r="AN28" s="965" t="s">
        <v>105</v>
      </c>
      <c r="AO28" s="736">
        <v>3.3030303030303041</v>
      </c>
      <c r="AP28" s="735">
        <v>33</v>
      </c>
      <c r="AQ28" s="1042">
        <v>1.1587937824751349</v>
      </c>
      <c r="AR28" s="736">
        <f t="shared" ref="AR28:AR29" si="12">AO28-3</f>
        <v>0.30303030303030409</v>
      </c>
      <c r="AT28" s="892"/>
      <c r="AV28" s="1095" t="s">
        <v>21</v>
      </c>
      <c r="AW28" s="1056">
        <v>4.666666666666667</v>
      </c>
      <c r="AX28" s="1056">
        <f>+(AY10*AX10)/AY28</f>
        <v>1.666666666666667</v>
      </c>
      <c r="AY28" s="904">
        <v>6</v>
      </c>
      <c r="AZ28" s="1057">
        <v>5.666666666666667</v>
      </c>
      <c r="BA28" s="1096">
        <f>+(AY10*BA10)/AY28</f>
        <v>2.6666666666666665</v>
      </c>
      <c r="BC28" s="121"/>
      <c r="BD28" s="121"/>
      <c r="BE28" s="121" t="s">
        <v>105</v>
      </c>
      <c r="BF28" s="121">
        <v>34</v>
      </c>
      <c r="BG28" s="1046">
        <v>4.3529411764705879</v>
      </c>
      <c r="BH28" s="74"/>
      <c r="BI28" s="1046">
        <f>+BI11</f>
        <v>1.3529411764705888</v>
      </c>
      <c r="BJ28" s="1060">
        <f>+BI10</f>
        <v>1.1818181818181825</v>
      </c>
    </row>
    <row r="29" spans="1:70">
      <c r="A29" s="4960" t="s">
        <v>2746</v>
      </c>
      <c r="B29" s="4960"/>
      <c r="C29" s="4960"/>
      <c r="D29" s="4960"/>
      <c r="E29" s="4960"/>
      <c r="I29" s="4961"/>
      <c r="J29" s="4961"/>
      <c r="K29" s="4961"/>
      <c r="L29" s="4961"/>
      <c r="M29" s="4961"/>
      <c r="N29" s="3286"/>
      <c r="Q29" s="73"/>
      <c r="R29" s="2614"/>
      <c r="S29" s="2342"/>
      <c r="T29" s="2612"/>
      <c r="W29" s="155"/>
      <c r="X29" s="1094"/>
      <c r="Y29" s="1094"/>
      <c r="Z29" s="2223"/>
      <c r="AA29" s="2224"/>
      <c r="AB29" s="2225"/>
      <c r="AK29" s="965"/>
      <c r="AL29" s="965"/>
      <c r="AM29" s="73"/>
      <c r="AN29" s="965" t="s">
        <v>64</v>
      </c>
      <c r="AO29" s="736">
        <v>3</v>
      </c>
      <c r="AP29" s="735">
        <v>2</v>
      </c>
      <c r="AQ29" s="1042">
        <v>0</v>
      </c>
      <c r="AR29" s="736">
        <f t="shared" si="12"/>
        <v>0</v>
      </c>
      <c r="AT29" s="892"/>
      <c r="AV29" s="1102"/>
      <c r="AW29" s="1056"/>
      <c r="AX29" s="1056"/>
      <c r="AY29" s="904"/>
      <c r="AZ29" s="904"/>
      <c r="BA29" s="1070"/>
      <c r="BC29" s="121"/>
      <c r="BD29" s="121"/>
      <c r="BE29" s="729"/>
      <c r="BF29" s="729"/>
      <c r="BG29" s="1059"/>
      <c r="BH29" s="74"/>
      <c r="BI29" s="1046"/>
      <c r="BJ29" s="1060"/>
    </row>
    <row r="30" spans="1:70" ht="15.75" thickBot="1">
      <c r="A30" s="4960"/>
      <c r="B30" s="4960"/>
      <c r="C30" s="4960"/>
      <c r="D30" s="4960"/>
      <c r="E30" s="4960"/>
      <c r="P30" s="73"/>
      <c r="Q30" s="73"/>
      <c r="R30" s="738"/>
      <c r="S30" s="2342"/>
      <c r="T30" s="2612"/>
      <c r="W30" s="1094"/>
      <c r="X30" s="1094"/>
      <c r="Y30" s="1094"/>
      <c r="Z30" s="2223"/>
      <c r="AA30" s="2224"/>
      <c r="AB30" s="2225"/>
      <c r="AK30" s="989"/>
      <c r="AL30" s="989"/>
      <c r="AM30" s="989"/>
      <c r="AN30" s="1071" t="s">
        <v>114</v>
      </c>
      <c r="AO30" s="745">
        <v>3.478260869565216</v>
      </c>
      <c r="AP30" s="744">
        <v>92</v>
      </c>
      <c r="AQ30" s="1072">
        <v>1.1811547792384858</v>
      </c>
      <c r="AR30" s="1103">
        <f>+(AP9*AR9+AP14*AR14+AP16*AR16+AP18*AR18)/AP30</f>
        <v>0.38043478260869606</v>
      </c>
      <c r="AT30" s="892"/>
      <c r="AV30" s="877" t="s">
        <v>75</v>
      </c>
      <c r="AW30" s="1073">
        <v>3.219354838709676</v>
      </c>
      <c r="AX30" s="1104">
        <f>+(AY34*AX34+AY35*AX35+AY36*AX36)/AY30</f>
        <v>0.18064516129032246</v>
      </c>
      <c r="AY30" s="918">
        <v>155</v>
      </c>
      <c r="AZ30" s="1078">
        <v>3.696774193548388</v>
      </c>
      <c r="BA30" s="1104">
        <f>+(AY34*BA34+AY35*BA35+AY36*BA36)/AY30</f>
        <v>0.65806451612903338</v>
      </c>
      <c r="BC30" s="121"/>
      <c r="BD30" s="121"/>
      <c r="BE30" s="768" t="s">
        <v>114</v>
      </c>
      <c r="BF30" s="768">
        <v>205</v>
      </c>
      <c r="BG30" s="1081">
        <v>3.7560975609756087</v>
      </c>
      <c r="BH30" s="820"/>
      <c r="BI30" s="1081">
        <f>+(BF26*BI26+BF27*BI27+BF28*BI28)/BF30</f>
        <v>0.72682926829268346</v>
      </c>
      <c r="BJ30" s="1060">
        <f>AVERAGE(BI26:BI28)</f>
        <v>1.0618479720655392</v>
      </c>
    </row>
    <row r="31" spans="1:70" ht="15.75" thickBot="1">
      <c r="P31" s="73"/>
      <c r="Q31" s="73"/>
      <c r="R31" s="743" t="s">
        <v>1</v>
      </c>
      <c r="S31" s="2373" t="s">
        <v>2019</v>
      </c>
      <c r="T31" s="2613" t="s">
        <v>1420</v>
      </c>
      <c r="U31" s="1030" t="s">
        <v>1356</v>
      </c>
      <c r="W31" s="1094"/>
      <c r="X31" s="1094"/>
      <c r="Y31" s="1215" t="s">
        <v>1</v>
      </c>
      <c r="Z31" s="1215" t="s">
        <v>1943</v>
      </c>
      <c r="AA31" s="1215" t="s">
        <v>1420</v>
      </c>
      <c r="AB31" s="1030" t="s">
        <v>1356</v>
      </c>
      <c r="AK31" s="1027"/>
      <c r="AL31" s="1027"/>
      <c r="AM31" s="1027"/>
      <c r="AN31" s="1105"/>
      <c r="AO31" s="1106"/>
      <c r="AP31" s="1107"/>
      <c r="AQ31" s="1108"/>
      <c r="AR31" s="1108"/>
      <c r="BC31" s="121"/>
      <c r="BD31" s="121"/>
      <c r="BE31" s="121"/>
      <c r="BF31" s="74"/>
      <c r="BG31" s="74"/>
      <c r="BH31" s="74"/>
      <c r="BI31" s="74"/>
    </row>
    <row r="32" spans="1:70">
      <c r="P32" s="73"/>
      <c r="Q32" s="73"/>
      <c r="R32" s="161" t="s">
        <v>16</v>
      </c>
      <c r="S32" s="2342">
        <v>3.07</v>
      </c>
      <c r="T32" s="2612">
        <v>73</v>
      </c>
      <c r="U32" s="2249">
        <f>+(T7*U7+T12*U12+T18*U18)/T32</f>
        <v>4.1095890410958902E-2</v>
      </c>
      <c r="W32" s="1094"/>
      <c r="X32" s="2245"/>
      <c r="Y32" s="2246" t="s">
        <v>16</v>
      </c>
      <c r="Z32" s="2247">
        <v>3.1612903225806455</v>
      </c>
      <c r="AA32" s="2248">
        <v>31</v>
      </c>
      <c r="AB32" s="2249">
        <f>+(AA8*AB8+AA13*AB13+AA19*AB19)/AA32</f>
        <v>0.16129032258064535</v>
      </c>
      <c r="AK32" s="1027"/>
      <c r="AL32" s="1027"/>
      <c r="AM32" s="1027"/>
      <c r="AN32" s="1105"/>
      <c r="AO32" s="1106"/>
      <c r="AP32" s="1107"/>
      <c r="AQ32" s="1108"/>
      <c r="AR32" s="1108"/>
      <c r="BC32" s="121"/>
      <c r="BD32" s="121"/>
      <c r="BE32" s="121"/>
      <c r="BF32" s="74"/>
      <c r="BG32" s="74"/>
      <c r="BH32" s="74"/>
      <c r="BI32" s="74"/>
    </row>
    <row r="33" spans="16:62" ht="31.5" customHeight="1" thickBot="1">
      <c r="P33" s="73"/>
      <c r="Q33" s="73"/>
      <c r="R33" s="161" t="s">
        <v>41</v>
      </c>
      <c r="S33" s="2342">
        <v>5.63</v>
      </c>
      <c r="T33" s="2612">
        <v>24</v>
      </c>
      <c r="U33" s="2250">
        <f>+(T13*U13+T14*U14+T19*U19)/T33</f>
        <v>0.7899999999999997</v>
      </c>
      <c r="W33" s="1094"/>
      <c r="X33" s="2245"/>
      <c r="Y33" s="1094" t="s">
        <v>41</v>
      </c>
      <c r="Z33" s="2223">
        <v>5.5384615384615374</v>
      </c>
      <c r="AA33" s="2224">
        <v>26</v>
      </c>
      <c r="AB33" s="2250">
        <f>+(AA14*AB14+AA15*AB15+AA20*AB20)/AA33</f>
        <v>1.7307692307692311</v>
      </c>
      <c r="AK33" s="1027"/>
      <c r="AL33" s="1027"/>
      <c r="AM33" s="1027"/>
      <c r="AN33" s="1105"/>
      <c r="AO33" s="1106"/>
      <c r="AP33" s="1107"/>
      <c r="AQ33" s="1108"/>
      <c r="AR33" s="1108"/>
      <c r="AV33" s="927" t="s">
        <v>0</v>
      </c>
      <c r="AW33" s="1031" t="s">
        <v>1422</v>
      </c>
      <c r="AX33" s="1031" t="s">
        <v>1356</v>
      </c>
      <c r="AY33" s="1031" t="s">
        <v>1420</v>
      </c>
      <c r="AZ33" s="1031" t="s">
        <v>1423</v>
      </c>
      <c r="BA33" s="1031" t="s">
        <v>1356</v>
      </c>
      <c r="BC33" s="121"/>
      <c r="BD33" s="121"/>
      <c r="BE33" s="768" t="s">
        <v>0</v>
      </c>
      <c r="BF33" s="1033" t="s">
        <v>1420</v>
      </c>
      <c r="BG33" s="88" t="s">
        <v>1424</v>
      </c>
      <c r="BH33" s="88" t="s">
        <v>1425</v>
      </c>
      <c r="BI33" s="1034" t="s">
        <v>1356</v>
      </c>
    </row>
    <row r="34" spans="16:62">
      <c r="P34" s="73"/>
      <c r="Q34" s="73"/>
      <c r="R34" s="161" t="s">
        <v>64</v>
      </c>
      <c r="S34" s="2342">
        <v>3</v>
      </c>
      <c r="T34" s="2612">
        <v>2</v>
      </c>
      <c r="U34" s="2250">
        <f>+(T23*U23)/T34</f>
        <v>3</v>
      </c>
      <c r="W34" s="1094"/>
      <c r="X34" s="2245"/>
      <c r="Y34" s="2246" t="s">
        <v>64</v>
      </c>
      <c r="Z34" s="2247">
        <v>3</v>
      </c>
      <c r="AA34" s="2248">
        <v>2</v>
      </c>
      <c r="AB34" s="2250">
        <f>+(AA24*AB24)/AA34</f>
        <v>0</v>
      </c>
      <c r="AK34" s="1027"/>
      <c r="AL34" s="1027"/>
      <c r="AM34" s="1027"/>
      <c r="AN34" s="1105"/>
      <c r="AO34" s="1106"/>
      <c r="AP34" s="1107"/>
      <c r="AQ34" s="1108"/>
      <c r="AR34" s="1108"/>
      <c r="AV34" s="121" t="s">
        <v>107</v>
      </c>
      <c r="AW34" s="121">
        <v>3.3333333333333344</v>
      </c>
      <c r="AX34" s="1046">
        <f>+(AY8*AX8+AY10*AX10)/AY34</f>
        <v>0.33333333333333337</v>
      </c>
      <c r="AY34" s="74">
        <v>30</v>
      </c>
      <c r="AZ34" s="1109">
        <v>3.6333333333333337</v>
      </c>
      <c r="BA34" s="1109">
        <f>+(AY8*BA8+AY10*BA10)/AY34</f>
        <v>0.6333333333333333</v>
      </c>
      <c r="BC34" s="121"/>
      <c r="BD34" s="121"/>
      <c r="BE34" s="121" t="s">
        <v>3</v>
      </c>
      <c r="BF34" s="121">
        <v>53</v>
      </c>
      <c r="BG34" s="1046">
        <v>4.0188679245283039</v>
      </c>
      <c r="BH34" s="74"/>
      <c r="BI34" s="1046">
        <f>+(BF8*BI8+BF11*BI11)/BF34</f>
        <v>1.0188679245283021</v>
      </c>
      <c r="BJ34" s="1060">
        <f>AVERAGE(BI8,BI11)</f>
        <v>0.88699690402476783</v>
      </c>
    </row>
    <row r="35" spans="16:62" ht="15.75" thickBot="1">
      <c r="P35" s="73"/>
      <c r="Q35" s="73"/>
      <c r="R35" s="743" t="s">
        <v>75</v>
      </c>
      <c r="S35" s="2373">
        <v>3.69</v>
      </c>
      <c r="T35" s="2613">
        <v>99</v>
      </c>
      <c r="U35" s="1101">
        <v>0.47464646464646459</v>
      </c>
      <c r="W35" s="1094"/>
      <c r="X35" s="1094"/>
      <c r="Y35" s="949" t="s">
        <v>114</v>
      </c>
      <c r="Z35" s="1188">
        <v>4.2033898305084749</v>
      </c>
      <c r="AA35" s="2251">
        <v>59</v>
      </c>
      <c r="AB35" s="1101">
        <v>0.84745762711864436</v>
      </c>
      <c r="AK35" s="1027"/>
      <c r="AL35" s="1027"/>
      <c r="AM35" s="1027"/>
      <c r="AN35" s="1105"/>
      <c r="AO35" s="1106"/>
      <c r="AP35" s="1107"/>
      <c r="AQ35" s="1108"/>
      <c r="AR35" s="1108"/>
      <c r="AV35" s="121" t="s">
        <v>111</v>
      </c>
      <c r="AW35" s="121">
        <v>3.111111111111112</v>
      </c>
      <c r="AX35" s="1046">
        <f>+(AY13*AX13+AY16*AX16)/AY35</f>
        <v>5.982905982905963E-2</v>
      </c>
      <c r="AY35" s="74">
        <v>117</v>
      </c>
      <c r="AZ35" s="1109">
        <v>3.6581196581196584</v>
      </c>
      <c r="BA35" s="1109">
        <f>+(AY13*BA13+AY16*BA16)/AY35</f>
        <v>0.60683760683760835</v>
      </c>
      <c r="BC35" s="121"/>
      <c r="BD35" s="121"/>
      <c r="BE35" s="121" t="s">
        <v>25</v>
      </c>
      <c r="BF35" s="121">
        <v>130</v>
      </c>
      <c r="BG35" s="1046">
        <v>3.5769230769230775</v>
      </c>
      <c r="BH35" s="74"/>
      <c r="BI35" s="1046">
        <f>+(BF13*BI13+BF16*BI16)/BF35</f>
        <v>0.53076923076923144</v>
      </c>
      <c r="BJ35" s="1060">
        <f>AVERAGE(BI13,BI16)</f>
        <v>0.82617845117845212</v>
      </c>
    </row>
    <row r="36" spans="16:62">
      <c r="AK36" s="1027"/>
      <c r="AL36" s="1027"/>
      <c r="AM36" s="1027"/>
      <c r="AN36" s="1105"/>
      <c r="AO36" s="1106"/>
      <c r="AP36" s="1107"/>
      <c r="AQ36" s="1108"/>
      <c r="AR36" s="1108"/>
      <c r="AV36" s="121" t="s">
        <v>461</v>
      </c>
      <c r="AW36" s="121">
        <v>4.375</v>
      </c>
      <c r="AX36" s="1046">
        <f>+(AY18*AX18+AY20*AX20)/AY36</f>
        <v>1.3750000000000004</v>
      </c>
      <c r="AY36" s="74">
        <v>8</v>
      </c>
      <c r="AZ36" s="1109">
        <v>4.5</v>
      </c>
      <c r="BA36" s="1109">
        <f>+(AY18*BA18+AY20*BA20)/AY36</f>
        <v>1.5000000000000004</v>
      </c>
      <c r="BC36" s="121"/>
      <c r="BD36" s="121"/>
      <c r="BE36" s="121" t="s">
        <v>48</v>
      </c>
      <c r="BF36" s="121">
        <v>22</v>
      </c>
      <c r="BG36" s="1046">
        <v>4.1818181818181817</v>
      </c>
      <c r="BH36" s="74"/>
      <c r="BI36" s="1046">
        <f>+(BF19*BI19+BF22*BI22)/BF36</f>
        <v>1.1818181818181821</v>
      </c>
      <c r="BJ36" s="1060">
        <f>AVERAGE(BI19,BI22)</f>
        <v>1.5263157894736845</v>
      </c>
    </row>
    <row r="37" spans="16:62">
      <c r="AK37" s="1027"/>
      <c r="AL37" s="1027"/>
      <c r="AM37" s="1027"/>
      <c r="AN37" s="1105"/>
      <c r="AO37" s="1106"/>
      <c r="AP37" s="1107"/>
      <c r="AQ37" s="1108"/>
      <c r="AR37" s="1108"/>
      <c r="BC37" s="121"/>
      <c r="BD37" s="121"/>
      <c r="BE37" s="121"/>
      <c r="BF37" s="74"/>
      <c r="BG37" s="74"/>
      <c r="BH37" s="74"/>
      <c r="BI37" s="121"/>
    </row>
    <row r="38" spans="16:62" ht="15.75" thickBot="1">
      <c r="AK38" s="1027"/>
      <c r="AL38" s="1027"/>
      <c r="AM38" s="1027"/>
      <c r="AN38" s="1105"/>
      <c r="AO38" s="1106"/>
      <c r="AP38" s="1107"/>
      <c r="AQ38" s="1108"/>
      <c r="AR38" s="1108"/>
      <c r="AV38" s="877" t="s">
        <v>75</v>
      </c>
      <c r="AW38" s="1073">
        <v>3.219354838709676</v>
      </c>
      <c r="AX38" s="1104">
        <f>+(AY42*AX42+AY43*AX43+AY44*AX44)/AY38</f>
        <v>0</v>
      </c>
      <c r="AY38" s="918">
        <v>155</v>
      </c>
      <c r="AZ38" s="1078">
        <v>3.696774193548388</v>
      </c>
      <c r="BA38" s="1104">
        <f>+(AY34*BA34+AY35*BA35+AY36*BA36)/AY30</f>
        <v>0.65806451612903338</v>
      </c>
      <c r="BC38" s="121"/>
      <c r="BD38" s="121"/>
      <c r="BE38" s="768" t="s">
        <v>114</v>
      </c>
      <c r="BF38" s="768">
        <v>205</v>
      </c>
      <c r="BG38" s="1081">
        <v>3.7560975609756087</v>
      </c>
      <c r="BH38" s="820"/>
      <c r="BI38" s="1110">
        <f>+(BF34*BI34+BF35*BI35+BF36*BI36)/BF38</f>
        <v>0.72682926829268346</v>
      </c>
      <c r="BJ38" s="1060">
        <f>AVERAGE(BI34:BI36)</f>
        <v>0.91048511237190521</v>
      </c>
    </row>
    <row r="39" spans="16:62">
      <c r="AK39" s="1027"/>
      <c r="AL39" s="1027"/>
      <c r="AM39" s="1027"/>
      <c r="AN39" s="1105"/>
      <c r="AO39" s="1106"/>
      <c r="AP39" s="1107"/>
      <c r="AQ39" s="1108"/>
      <c r="AR39" s="1108"/>
      <c r="BC39" s="121"/>
      <c r="BD39" s="121"/>
      <c r="BE39" s="1111" t="s">
        <v>1389</v>
      </c>
      <c r="BF39" s="74"/>
      <c r="BG39" s="74"/>
      <c r="BH39" s="74"/>
      <c r="BI39" s="74"/>
    </row>
    <row r="40" spans="16:62">
      <c r="AK40" s="1027"/>
      <c r="AL40" s="1027"/>
      <c r="AM40" s="1027"/>
      <c r="AN40" s="1105"/>
      <c r="AO40" s="1106"/>
      <c r="AP40" s="1107"/>
      <c r="AQ40" s="1108"/>
      <c r="AR40" s="1108"/>
      <c r="BC40" s="121"/>
      <c r="BD40" s="121"/>
      <c r="BE40" s="74"/>
      <c r="BF40" s="74"/>
      <c r="BG40" s="74"/>
      <c r="BH40" s="74"/>
      <c r="BI40" s="74"/>
    </row>
    <row r="41" spans="16:62">
      <c r="AK41" s="1027"/>
      <c r="AL41" s="1027"/>
      <c r="AM41" s="1027"/>
      <c r="AN41" s="1105"/>
      <c r="AO41" s="1106"/>
      <c r="AP41" s="1107"/>
      <c r="AQ41" s="1108"/>
      <c r="AR41" s="1108"/>
      <c r="BC41" s="121"/>
      <c r="BD41" s="121"/>
      <c r="BE41" s="74"/>
      <c r="BF41" s="74"/>
      <c r="BG41" s="74"/>
      <c r="BH41" s="74"/>
      <c r="BI41" s="74"/>
    </row>
    <row r="42" spans="16:62" ht="32.25" customHeight="1">
      <c r="AK42" s="1027"/>
      <c r="AL42" s="1027"/>
      <c r="AM42" s="1027"/>
      <c r="AN42" s="1105"/>
      <c r="AO42" s="1106"/>
      <c r="AP42" s="1107"/>
      <c r="AQ42" s="1108"/>
      <c r="AR42" s="1108"/>
      <c r="BC42" s="4959" t="s">
        <v>1430</v>
      </c>
      <c r="BD42" s="4959"/>
      <c r="BE42" s="4959"/>
      <c r="BF42" s="4959"/>
      <c r="BG42" s="4959"/>
      <c r="BH42" s="4959"/>
      <c r="BI42" s="4959"/>
    </row>
    <row r="43" spans="16:62">
      <c r="AK43" s="1027"/>
      <c r="AL43" s="1027"/>
      <c r="AM43" s="1027"/>
      <c r="AN43" s="1105"/>
      <c r="AO43" s="1106"/>
      <c r="AP43" s="1107"/>
      <c r="AQ43" s="1108"/>
      <c r="AR43" s="1108"/>
      <c r="BC43" s="121"/>
      <c r="BD43" s="121"/>
      <c r="BE43" s="74"/>
      <c r="BF43" s="74"/>
      <c r="BG43" s="74"/>
      <c r="BH43" s="74"/>
      <c r="BI43" s="74"/>
    </row>
    <row r="44" spans="16:62" ht="33.75" customHeight="1">
      <c r="AK44" s="1027"/>
      <c r="AL44" s="1027"/>
      <c r="AM44" s="1027"/>
      <c r="AN44" s="1105"/>
      <c r="AO44" s="1106"/>
      <c r="AP44" s="1107"/>
      <c r="AQ44" s="1108"/>
      <c r="AR44" s="1108"/>
      <c r="BC44" s="4959" t="s">
        <v>1431</v>
      </c>
      <c r="BD44" s="4959"/>
      <c r="BE44" s="4959"/>
      <c r="BF44" s="4959"/>
      <c r="BG44" s="4959"/>
      <c r="BH44" s="4959"/>
      <c r="BI44" s="4959"/>
    </row>
    <row r="45" spans="16:62">
      <c r="AK45" s="1027"/>
      <c r="AL45" s="1027"/>
      <c r="AM45" s="1027"/>
      <c r="AN45" s="1105"/>
      <c r="AO45" s="1106"/>
      <c r="AP45" s="1107"/>
      <c r="AQ45" s="1108"/>
      <c r="AR45" s="1108"/>
    </row>
    <row r="46" spans="16:62">
      <c r="AK46" s="1027"/>
      <c r="AL46" s="1027"/>
      <c r="AM46" s="1027"/>
      <c r="AN46" s="1105"/>
      <c r="AO46" s="1106"/>
      <c r="AP46" s="1107"/>
      <c r="AQ46" s="1108"/>
      <c r="AR46" s="1108"/>
    </row>
    <row r="47" spans="16:62">
      <c r="AK47" s="1027"/>
      <c r="AL47" s="1027"/>
      <c r="AM47" s="1027"/>
      <c r="AN47" s="1105"/>
      <c r="AO47" s="1106"/>
      <c r="AP47" s="1107"/>
      <c r="AQ47" s="1108"/>
      <c r="AR47" s="1108"/>
    </row>
    <row r="48" spans="16:62">
      <c r="AK48" s="1027"/>
      <c r="AL48" s="1027"/>
      <c r="AM48" s="1027"/>
      <c r="AN48" s="1105"/>
      <c r="AO48" s="1106"/>
      <c r="AP48" s="1107"/>
      <c r="AQ48" s="1108"/>
      <c r="AR48" s="1108"/>
    </row>
    <row r="49" spans="37:44">
      <c r="AK49" s="1027"/>
      <c r="AL49" s="1027"/>
      <c r="AM49" s="1027"/>
      <c r="AN49" s="1105"/>
      <c r="AO49" s="1106"/>
      <c r="AP49" s="1107"/>
      <c r="AQ49" s="1108"/>
      <c r="AR49" s="1108"/>
    </row>
    <row r="50" spans="37:44">
      <c r="AK50" s="1027"/>
      <c r="AL50" s="1027"/>
      <c r="AM50" s="1027"/>
      <c r="AN50" s="1105"/>
      <c r="AO50" s="1106"/>
      <c r="AP50" s="1107"/>
      <c r="AQ50" s="1108"/>
      <c r="AR50" s="1108"/>
    </row>
    <row r="51" spans="37:44">
      <c r="AK51" s="1027"/>
      <c r="AL51" s="1027"/>
      <c r="AM51" s="1027"/>
      <c r="AN51" s="1105"/>
      <c r="AO51" s="1106"/>
      <c r="AP51" s="1107"/>
      <c r="AQ51" s="1108"/>
      <c r="AR51" s="1108"/>
    </row>
    <row r="52" spans="37:44">
      <c r="AK52" s="1027"/>
      <c r="AL52" s="1027"/>
      <c r="AM52" s="1027"/>
      <c r="AN52" s="1105"/>
      <c r="AO52" s="1106"/>
      <c r="AP52" s="1107"/>
      <c r="AQ52" s="1108"/>
      <c r="AR52" s="1108"/>
    </row>
    <row r="53" spans="37:44">
      <c r="AK53" s="1027"/>
      <c r="AL53" s="1027"/>
      <c r="AM53" s="1027"/>
      <c r="AN53" s="1105"/>
      <c r="AO53" s="1106"/>
      <c r="AP53" s="1107"/>
      <c r="AQ53" s="1108"/>
      <c r="AR53" s="1108"/>
    </row>
    <row r="54" spans="37:44">
      <c r="AK54" s="1027"/>
      <c r="AL54" s="1027"/>
      <c r="AM54" s="1027"/>
      <c r="AN54" s="1105"/>
      <c r="AO54" s="1106"/>
      <c r="AP54" s="1107"/>
      <c r="AQ54" s="1108"/>
      <c r="AR54" s="1108"/>
    </row>
    <row r="55" spans="37:44">
      <c r="AK55" s="1027"/>
      <c r="AL55" s="1027"/>
      <c r="AM55" s="1027"/>
      <c r="AN55" s="1105"/>
      <c r="AO55" s="1106"/>
      <c r="AP55" s="1107"/>
      <c r="AQ55" s="1108"/>
      <c r="AR55" s="1108"/>
    </row>
    <row r="56" spans="37:44">
      <c r="AK56" s="1027"/>
      <c r="AL56" s="1027"/>
      <c r="AM56" s="1027"/>
      <c r="AN56" s="1105"/>
      <c r="AO56" s="1106"/>
      <c r="AP56" s="1107"/>
      <c r="AQ56" s="1108"/>
      <c r="AR56" s="1108"/>
    </row>
    <row r="57" spans="37:44">
      <c r="AK57" s="1027"/>
      <c r="AL57" s="1027"/>
      <c r="AM57" s="1027"/>
      <c r="AN57" s="1105"/>
      <c r="AO57" s="1106"/>
      <c r="AP57" s="1107"/>
      <c r="AQ57" s="1108"/>
      <c r="AR57" s="1108"/>
    </row>
    <row r="58" spans="37:44">
      <c r="AK58" s="1027"/>
      <c r="AL58" s="1027"/>
      <c r="AM58" s="1027"/>
      <c r="AN58" s="1105"/>
      <c r="AO58" s="1106"/>
      <c r="AP58" s="1107"/>
      <c r="AQ58" s="1108"/>
      <c r="AR58" s="1108"/>
    </row>
    <row r="59" spans="37:44">
      <c r="AK59" s="1027"/>
      <c r="AL59" s="1027"/>
      <c r="AM59" s="1027"/>
      <c r="AN59" s="1105"/>
      <c r="AO59" s="1106"/>
      <c r="AP59" s="1107"/>
      <c r="AQ59" s="1108"/>
      <c r="AR59" s="1108"/>
    </row>
    <row r="60" spans="37:44">
      <c r="AK60" s="1027"/>
      <c r="AL60" s="1027"/>
      <c r="AM60" s="1027"/>
      <c r="AN60" s="1105"/>
      <c r="AO60" s="1106"/>
      <c r="AP60" s="1107"/>
      <c r="AQ60" s="1108"/>
      <c r="AR60" s="1108"/>
    </row>
    <row r="61" spans="37:44">
      <c r="AK61" s="1027"/>
      <c r="AL61" s="1027"/>
      <c r="AM61" s="1027"/>
      <c r="AN61" s="1105"/>
      <c r="AO61" s="1106"/>
      <c r="AP61" s="1107"/>
      <c r="AQ61" s="1108"/>
      <c r="AR61" s="1108"/>
    </row>
    <row r="62" spans="37:44">
      <c r="AK62" s="1027"/>
      <c r="AL62" s="1027"/>
      <c r="AM62" s="1027"/>
      <c r="AN62" s="1105"/>
      <c r="AO62" s="1106"/>
      <c r="AP62" s="1107"/>
      <c r="AQ62" s="1108"/>
      <c r="AR62" s="1108"/>
    </row>
    <row r="63" spans="37:44">
      <c r="AK63" s="1027"/>
      <c r="AL63" s="1027"/>
      <c r="AM63" s="1027"/>
      <c r="AN63" s="1105"/>
      <c r="AO63" s="1106"/>
      <c r="AP63" s="1107"/>
      <c r="AQ63" s="1108"/>
      <c r="AR63" s="1108"/>
    </row>
    <row r="64" spans="37:44">
      <c r="AK64" s="1027"/>
      <c r="AL64" s="1027"/>
      <c r="AM64" s="1027"/>
      <c r="AN64" s="1105"/>
      <c r="AO64" s="1106"/>
      <c r="AP64" s="1107"/>
      <c r="AQ64" s="1108"/>
      <c r="AR64" s="1108"/>
    </row>
    <row r="65" spans="37:44">
      <c r="AK65" s="1027"/>
      <c r="AL65" s="1027"/>
      <c r="AM65" s="1027"/>
      <c r="AN65" s="1105"/>
      <c r="AO65" s="1106"/>
      <c r="AP65" s="1107"/>
      <c r="AQ65" s="1108"/>
      <c r="AR65" s="1108"/>
    </row>
    <row r="66" spans="37:44">
      <c r="AK66" s="1027"/>
      <c r="AL66" s="1027"/>
      <c r="AM66" s="1027"/>
      <c r="AN66" s="1105"/>
      <c r="AO66" s="1106"/>
      <c r="AP66" s="1107"/>
      <c r="AQ66" s="1108"/>
      <c r="AR66" s="1108"/>
    </row>
    <row r="67" spans="37:44">
      <c r="AK67" s="1027"/>
      <c r="AL67" s="1027"/>
      <c r="AM67" s="1027"/>
      <c r="AN67" s="1105"/>
      <c r="AO67" s="1106"/>
      <c r="AP67" s="1107"/>
      <c r="AQ67" s="1108"/>
      <c r="AR67" s="1108"/>
    </row>
    <row r="68" spans="37:44">
      <c r="AK68" s="1027"/>
      <c r="AL68" s="1027"/>
      <c r="AM68" s="1027"/>
      <c r="AN68" s="1105"/>
      <c r="AO68" s="1106"/>
      <c r="AP68" s="1107"/>
      <c r="AQ68" s="1108"/>
      <c r="AR68" s="1108"/>
    </row>
    <row r="69" spans="37:44">
      <c r="AK69" s="1027"/>
      <c r="AL69" s="1027"/>
      <c r="AM69" s="1027"/>
      <c r="AN69" s="1105"/>
      <c r="AO69" s="1106"/>
      <c r="AP69" s="1107"/>
      <c r="AQ69" s="1108"/>
      <c r="AR69" s="1108"/>
    </row>
    <row r="70" spans="37:44">
      <c r="AK70" s="1027"/>
      <c r="AL70" s="1027"/>
      <c r="AM70" s="1027"/>
      <c r="AN70" s="1105"/>
      <c r="AO70" s="1106"/>
      <c r="AP70" s="1107"/>
      <c r="AQ70" s="1108"/>
      <c r="AR70" s="1108"/>
    </row>
    <row r="71" spans="37:44">
      <c r="AK71" s="1027"/>
      <c r="AL71" s="1027"/>
      <c r="AM71" s="1027"/>
      <c r="AN71" s="1105"/>
      <c r="AO71" s="1106"/>
      <c r="AP71" s="1107"/>
      <c r="AQ71" s="1108"/>
      <c r="AR71" s="1108"/>
    </row>
    <row r="72" spans="37:44">
      <c r="AK72" s="1027"/>
      <c r="AL72" s="1027"/>
      <c r="AM72" s="1027"/>
      <c r="AN72" s="1105"/>
      <c r="AO72" s="1106"/>
      <c r="AP72" s="1107"/>
      <c r="AQ72" s="1108"/>
      <c r="AR72" s="1108"/>
    </row>
    <row r="73" spans="37:44">
      <c r="AK73" s="1027"/>
      <c r="AL73" s="1027"/>
      <c r="AM73" s="1027"/>
      <c r="AN73" s="1105"/>
      <c r="AO73" s="1106"/>
      <c r="AP73" s="1107"/>
      <c r="AQ73" s="1108"/>
      <c r="AR73" s="1108"/>
    </row>
    <row r="74" spans="37:44">
      <c r="AK74" s="1027"/>
      <c r="AL74" s="1027"/>
      <c r="AM74" s="1027"/>
      <c r="AN74" s="1105"/>
      <c r="AO74" s="1106"/>
      <c r="AP74" s="1107"/>
      <c r="AQ74" s="1108"/>
      <c r="AR74" s="1108"/>
    </row>
    <row r="75" spans="37:44">
      <c r="AK75" s="1027"/>
      <c r="AL75" s="1027"/>
      <c r="AM75" s="1027"/>
      <c r="AN75" s="1105"/>
      <c r="AO75" s="1106"/>
      <c r="AP75" s="1107"/>
      <c r="AQ75" s="1108"/>
      <c r="AR75" s="1108"/>
    </row>
    <row r="76" spans="37:44">
      <c r="AK76" s="1027"/>
      <c r="AL76" s="1027"/>
      <c r="AM76" s="1027"/>
      <c r="AN76" s="1105"/>
      <c r="AO76" s="1106"/>
      <c r="AP76" s="1107"/>
      <c r="AQ76" s="1108"/>
      <c r="AR76" s="1108"/>
    </row>
    <row r="77" spans="37:44">
      <c r="AK77" s="1027"/>
      <c r="AL77" s="1027"/>
      <c r="AM77" s="1027"/>
      <c r="AN77" s="1105"/>
      <c r="AO77" s="1106"/>
      <c r="AP77" s="1107"/>
      <c r="AQ77" s="1108"/>
      <c r="AR77" s="1108"/>
    </row>
    <row r="78" spans="37:44">
      <c r="AK78" s="1027"/>
      <c r="AL78" s="1027"/>
      <c r="AM78" s="1027"/>
      <c r="AN78" s="1105"/>
      <c r="AO78" s="1106"/>
      <c r="AP78" s="1107"/>
      <c r="AQ78" s="1108"/>
      <c r="AR78" s="1108"/>
    </row>
    <row r="79" spans="37:44">
      <c r="AK79" s="1027"/>
      <c r="AL79" s="1027"/>
      <c r="AM79" s="1027"/>
      <c r="AN79" s="1105"/>
      <c r="AO79" s="1106"/>
      <c r="AP79" s="1107"/>
      <c r="AQ79" s="1108"/>
      <c r="AR79" s="1108"/>
    </row>
    <row r="80" spans="37:44">
      <c r="AK80" s="1027"/>
      <c r="AL80" s="1027"/>
      <c r="AM80" s="1027"/>
      <c r="AN80" s="1105"/>
      <c r="AO80" s="1106"/>
      <c r="AP80" s="1107"/>
      <c r="AQ80" s="1108"/>
      <c r="AR80" s="1108"/>
    </row>
    <row r="81" spans="37:44">
      <c r="AK81" s="1027"/>
      <c r="AL81" s="1027"/>
      <c r="AM81" s="1027"/>
      <c r="AN81" s="1105"/>
      <c r="AO81" s="1106"/>
      <c r="AP81" s="1107"/>
      <c r="AQ81" s="1108"/>
      <c r="AR81" s="1108"/>
    </row>
    <row r="82" spans="37:44">
      <c r="AK82" s="1027"/>
      <c r="AL82" s="1027"/>
      <c r="AM82" s="1027"/>
      <c r="AN82" s="1105"/>
      <c r="AO82" s="1106"/>
      <c r="AP82" s="1107"/>
      <c r="AQ82" s="1108"/>
      <c r="AR82" s="1108"/>
    </row>
    <row r="83" spans="37:44">
      <c r="AK83" s="1027"/>
      <c r="AL83" s="1027"/>
      <c r="AM83" s="1027"/>
      <c r="AN83" s="1105"/>
      <c r="AO83" s="1106"/>
      <c r="AP83" s="1107"/>
      <c r="AQ83" s="1108"/>
      <c r="AR83" s="1108"/>
    </row>
    <row r="84" spans="37:44">
      <c r="AK84" s="1027"/>
      <c r="AL84" s="1027"/>
      <c r="AM84" s="1027"/>
      <c r="AN84" s="1105"/>
      <c r="AO84" s="1106"/>
      <c r="AP84" s="1107"/>
      <c r="AQ84" s="1108"/>
      <c r="AR84" s="1108"/>
    </row>
    <row r="85" spans="37:44">
      <c r="AK85" s="1027"/>
      <c r="AL85" s="1027"/>
      <c r="AM85" s="1027"/>
      <c r="AN85" s="1105"/>
      <c r="AO85" s="1106"/>
      <c r="AP85" s="1107"/>
      <c r="AQ85" s="1108"/>
      <c r="AR85" s="1108"/>
    </row>
    <row r="86" spans="37:44">
      <c r="AK86" s="1027"/>
      <c r="AL86" s="1027"/>
      <c r="AM86" s="1027"/>
      <c r="AN86" s="1105"/>
      <c r="AO86" s="1106"/>
      <c r="AP86" s="1107"/>
      <c r="AQ86" s="1108"/>
      <c r="AR86" s="1108"/>
    </row>
    <row r="87" spans="37:44">
      <c r="AK87" s="1027"/>
      <c r="AL87" s="1027"/>
      <c r="AM87" s="1027"/>
      <c r="AN87" s="1105"/>
      <c r="AO87" s="1106"/>
      <c r="AP87" s="1107"/>
      <c r="AQ87" s="1108"/>
      <c r="AR87" s="1108"/>
    </row>
    <row r="88" spans="37:44">
      <c r="AK88" s="1027"/>
      <c r="AL88" s="1027"/>
      <c r="AM88" s="1027"/>
      <c r="AN88" s="1105"/>
      <c r="AO88" s="1106"/>
      <c r="AP88" s="1107"/>
      <c r="AQ88" s="1108"/>
      <c r="AR88" s="1108"/>
    </row>
    <row r="89" spans="37:44">
      <c r="AK89" s="1027"/>
      <c r="AL89" s="1027"/>
      <c r="AM89" s="1027"/>
      <c r="AN89" s="1105"/>
      <c r="AO89" s="1106"/>
      <c r="AP89" s="1107"/>
      <c r="AQ89" s="1108"/>
      <c r="AR89" s="1108"/>
    </row>
    <row r="90" spans="37:44">
      <c r="AK90" s="1027"/>
      <c r="AL90" s="1027"/>
      <c r="AM90" s="1027"/>
      <c r="AN90" s="1105"/>
      <c r="AO90" s="1106"/>
      <c r="AP90" s="1107"/>
      <c r="AQ90" s="1108"/>
      <c r="AR90" s="1108"/>
    </row>
    <row r="91" spans="37:44">
      <c r="AK91" s="1027"/>
      <c r="AL91" s="1027"/>
      <c r="AM91" s="1027"/>
      <c r="AN91" s="1105"/>
      <c r="AO91" s="1106"/>
      <c r="AP91" s="1107"/>
      <c r="AQ91" s="1108"/>
      <c r="AR91" s="1108"/>
    </row>
    <row r="92" spans="37:44">
      <c r="AK92" s="1027"/>
      <c r="AL92" s="1027"/>
      <c r="AM92" s="1027"/>
      <c r="AN92" s="1105"/>
      <c r="AO92" s="1106"/>
      <c r="AP92" s="1107"/>
      <c r="AQ92" s="1108"/>
      <c r="AR92" s="1108"/>
    </row>
    <row r="93" spans="37:44">
      <c r="AK93" s="1027"/>
      <c r="AL93" s="1027"/>
      <c r="AM93" s="1027"/>
      <c r="AN93" s="1105"/>
      <c r="AO93" s="1106"/>
      <c r="AP93" s="1107"/>
      <c r="AQ93" s="1108"/>
      <c r="AR93" s="1108"/>
    </row>
    <row r="94" spans="37:44">
      <c r="AK94" s="1027"/>
      <c r="AL94" s="1027"/>
      <c r="AM94" s="1027"/>
      <c r="AN94" s="1105"/>
      <c r="AO94" s="1106"/>
      <c r="AP94" s="1107"/>
      <c r="AQ94" s="1108"/>
      <c r="AR94" s="1108"/>
    </row>
    <row r="95" spans="37:44">
      <c r="AK95" s="1027"/>
      <c r="AL95" s="1027"/>
      <c r="AM95" s="1027"/>
      <c r="AN95" s="1105"/>
      <c r="AO95" s="1106"/>
      <c r="AP95" s="1107"/>
      <c r="AQ95" s="1108"/>
      <c r="AR95" s="1108"/>
    </row>
    <row r="96" spans="37:44">
      <c r="AK96" s="1027"/>
      <c r="AL96" s="1027"/>
      <c r="AM96" s="1027"/>
      <c r="AN96" s="1105"/>
      <c r="AO96" s="1106"/>
      <c r="AP96" s="1107"/>
      <c r="AQ96" s="1108"/>
      <c r="AR96" s="1108"/>
    </row>
    <row r="97" spans="37:44">
      <c r="AK97" s="1027"/>
      <c r="AL97" s="1027"/>
      <c r="AM97" s="1027"/>
      <c r="AN97" s="1105"/>
      <c r="AO97" s="1106"/>
      <c r="AP97" s="1107"/>
      <c r="AQ97" s="1108"/>
      <c r="AR97" s="1108"/>
    </row>
    <row r="98" spans="37:44">
      <c r="AK98" s="1027"/>
      <c r="AL98" s="1027"/>
      <c r="AM98" s="1027"/>
      <c r="AN98" s="1105"/>
      <c r="AO98" s="1106"/>
      <c r="AP98" s="1107"/>
      <c r="AQ98" s="1108"/>
      <c r="AR98" s="1108"/>
    </row>
    <row r="99" spans="37:44">
      <c r="AK99" s="1027"/>
      <c r="AL99" s="1027"/>
      <c r="AM99" s="1027"/>
      <c r="AN99" s="1105"/>
      <c r="AO99" s="1106"/>
      <c r="AP99" s="1107"/>
      <c r="AQ99" s="1108"/>
      <c r="AR99" s="1108"/>
    </row>
    <row r="100" spans="37:44">
      <c r="AK100" s="1027"/>
      <c r="AL100" s="1027"/>
      <c r="AM100" s="1027"/>
      <c r="AN100" s="1105"/>
      <c r="AO100" s="1106"/>
      <c r="AP100" s="1107"/>
      <c r="AQ100" s="1108"/>
      <c r="AR100" s="1108"/>
    </row>
    <row r="101" spans="37:44">
      <c r="AK101" s="1027"/>
      <c r="AL101" s="1027"/>
      <c r="AM101" s="1027"/>
      <c r="AN101" s="1105"/>
      <c r="AO101" s="1106"/>
      <c r="AP101" s="1107"/>
      <c r="AQ101" s="1108"/>
      <c r="AR101" s="1108"/>
    </row>
    <row r="102" spans="37:44">
      <c r="AK102" s="1027"/>
      <c r="AL102" s="1027"/>
      <c r="AM102" s="1027"/>
      <c r="AN102" s="1105"/>
      <c r="AO102" s="1106"/>
      <c r="AP102" s="1107"/>
      <c r="AQ102" s="1108"/>
      <c r="AR102" s="1108"/>
    </row>
    <row r="103" spans="37:44">
      <c r="AK103" s="1027"/>
      <c r="AL103" s="1027"/>
      <c r="AM103" s="1027"/>
      <c r="AN103" s="1105"/>
      <c r="AO103" s="1106"/>
      <c r="AP103" s="1107"/>
      <c r="AQ103" s="1108"/>
      <c r="AR103" s="1108"/>
    </row>
    <row r="104" spans="37:44">
      <c r="AK104" s="1027"/>
      <c r="AL104" s="1027"/>
      <c r="AM104" s="1027"/>
      <c r="AN104" s="1105"/>
      <c r="AO104" s="1106"/>
      <c r="AP104" s="1107"/>
      <c r="AQ104" s="1108"/>
      <c r="AR104" s="1108"/>
    </row>
    <row r="105" spans="37:44">
      <c r="AK105" s="1027"/>
      <c r="AL105" s="1027"/>
      <c r="AM105" s="1027"/>
      <c r="AN105" s="1105"/>
      <c r="AO105" s="1106"/>
      <c r="AP105" s="1107"/>
      <c r="AQ105" s="1108"/>
      <c r="AR105" s="1108"/>
    </row>
    <row r="106" spans="37:44">
      <c r="AK106" s="1027"/>
      <c r="AL106" s="1027"/>
      <c r="AM106" s="1027"/>
      <c r="AN106" s="1105"/>
      <c r="AO106" s="1106"/>
      <c r="AP106" s="1107"/>
      <c r="AQ106" s="1108"/>
      <c r="AR106" s="1108"/>
    </row>
    <row r="107" spans="37:44">
      <c r="AK107" s="1027"/>
      <c r="AL107" s="1027"/>
      <c r="AM107" s="1027"/>
      <c r="AN107" s="1105"/>
      <c r="AO107" s="1106"/>
      <c r="AP107" s="1107"/>
      <c r="AQ107" s="1108"/>
      <c r="AR107" s="1108"/>
    </row>
    <row r="108" spans="37:44">
      <c r="AK108" s="1027"/>
      <c r="AL108" s="1027"/>
      <c r="AM108" s="1027"/>
      <c r="AN108" s="1105"/>
      <c r="AO108" s="1106"/>
      <c r="AP108" s="1107"/>
      <c r="AQ108" s="1108"/>
      <c r="AR108" s="1108"/>
    </row>
    <row r="109" spans="37:44">
      <c r="AK109" s="1027"/>
      <c r="AL109" s="1027"/>
      <c r="AM109" s="1027"/>
      <c r="AN109" s="1105"/>
      <c r="AO109" s="1106"/>
      <c r="AP109" s="1107"/>
      <c r="AQ109" s="1108"/>
      <c r="AR109" s="1108"/>
    </row>
    <row r="110" spans="37:44">
      <c r="AK110" s="1027"/>
      <c r="AL110" s="1027"/>
      <c r="AM110" s="1027"/>
      <c r="AN110" s="1105"/>
      <c r="AO110" s="1106"/>
      <c r="AP110" s="1107"/>
      <c r="AQ110" s="1108"/>
      <c r="AR110" s="1108"/>
    </row>
    <row r="111" spans="37:44">
      <c r="AK111" s="1027"/>
      <c r="AL111" s="1027"/>
      <c r="AM111" s="1027"/>
      <c r="AN111" s="1105"/>
      <c r="AO111" s="1106"/>
      <c r="AP111" s="1107"/>
      <c r="AQ111" s="1108"/>
      <c r="AR111" s="1108"/>
    </row>
    <row r="112" spans="37:44">
      <c r="AK112" s="1027"/>
      <c r="AL112" s="1027"/>
      <c r="AM112" s="1027"/>
      <c r="AN112" s="1105"/>
      <c r="AO112" s="1106"/>
      <c r="AP112" s="1107"/>
      <c r="AQ112" s="1108"/>
      <c r="AR112" s="1108"/>
    </row>
    <row r="113" spans="37:44">
      <c r="AK113" s="1027"/>
      <c r="AL113" s="1027"/>
      <c r="AM113" s="1027"/>
      <c r="AN113" s="1105"/>
      <c r="AO113" s="1106"/>
      <c r="AP113" s="1107"/>
      <c r="AQ113" s="1108"/>
      <c r="AR113" s="1108"/>
    </row>
    <row r="114" spans="37:44">
      <c r="AK114" s="1027"/>
      <c r="AL114" s="1027"/>
      <c r="AM114" s="1027"/>
      <c r="AN114" s="1105"/>
      <c r="AO114" s="1106"/>
      <c r="AP114" s="1107"/>
      <c r="AQ114" s="1108"/>
      <c r="AR114" s="1108"/>
    </row>
    <row r="115" spans="37:44">
      <c r="AK115" s="1027"/>
      <c r="AL115" s="1027"/>
      <c r="AM115" s="1027"/>
      <c r="AN115" s="1105"/>
      <c r="AO115" s="1106"/>
      <c r="AP115" s="1107"/>
      <c r="AQ115" s="1108"/>
      <c r="AR115" s="1108"/>
    </row>
    <row r="116" spans="37:44">
      <c r="AK116" s="1027"/>
      <c r="AL116" s="1027"/>
      <c r="AM116" s="1027"/>
      <c r="AN116" s="1105"/>
      <c r="AO116" s="1106"/>
      <c r="AP116" s="1107"/>
      <c r="AQ116" s="1108"/>
      <c r="AR116" s="1108"/>
    </row>
    <row r="117" spans="37:44">
      <c r="AK117" s="1027"/>
      <c r="AL117" s="1027"/>
      <c r="AM117" s="1027"/>
      <c r="AN117" s="1105"/>
      <c r="AO117" s="1106"/>
      <c r="AP117" s="1107"/>
      <c r="AQ117" s="1108"/>
      <c r="AR117" s="1108"/>
    </row>
    <row r="118" spans="37:44">
      <c r="AK118" s="1027"/>
      <c r="AL118" s="1027"/>
      <c r="AM118" s="1027"/>
      <c r="AN118" s="1105"/>
      <c r="AO118" s="1106"/>
      <c r="AP118" s="1107"/>
      <c r="AQ118" s="1108"/>
      <c r="AR118" s="1108"/>
    </row>
    <row r="119" spans="37:44">
      <c r="AK119" s="1027"/>
      <c r="AL119" s="1027"/>
      <c r="AM119" s="1027"/>
      <c r="AN119" s="1105"/>
      <c r="AO119" s="1106"/>
      <c r="AP119" s="1107"/>
      <c r="AQ119" s="1108"/>
      <c r="AR119" s="1108"/>
    </row>
    <row r="120" spans="37:44">
      <c r="AK120" s="1027"/>
      <c r="AL120" s="1027"/>
      <c r="AM120" s="1027"/>
      <c r="AN120" s="1105"/>
      <c r="AO120" s="1106"/>
      <c r="AP120" s="1107"/>
      <c r="AQ120" s="1108"/>
      <c r="AR120" s="1108"/>
    </row>
    <row r="121" spans="37:44">
      <c r="AK121" s="1027"/>
      <c r="AL121" s="1027"/>
      <c r="AM121" s="1027"/>
      <c r="AN121" s="1105"/>
      <c r="AO121" s="1106"/>
      <c r="AP121" s="1107"/>
      <c r="AQ121" s="1108"/>
      <c r="AR121" s="1108"/>
    </row>
    <row r="122" spans="37:44">
      <c r="AK122" s="1027"/>
      <c r="AL122" s="1027"/>
      <c r="AM122" s="1027"/>
      <c r="AN122" s="1105"/>
      <c r="AO122" s="1106"/>
      <c r="AP122" s="1107"/>
      <c r="AQ122" s="1108"/>
      <c r="AR122" s="1108"/>
    </row>
    <row r="123" spans="37:44">
      <c r="AK123" s="1027"/>
      <c r="AL123" s="1027"/>
      <c r="AM123" s="1027"/>
      <c r="AN123" s="1105"/>
      <c r="AO123" s="1106"/>
      <c r="AP123" s="1107"/>
      <c r="AQ123" s="1108"/>
      <c r="AR123" s="1108"/>
    </row>
    <row r="124" spans="37:44">
      <c r="AK124" s="1027"/>
      <c r="AL124" s="1027"/>
      <c r="AM124" s="1027"/>
      <c r="AN124" s="1105"/>
      <c r="AO124" s="1106"/>
      <c r="AP124" s="1107"/>
      <c r="AQ124" s="1108"/>
      <c r="AR124" s="1108"/>
    </row>
    <row r="125" spans="37:44">
      <c r="AK125" s="1027"/>
      <c r="AL125" s="1027"/>
      <c r="AM125" s="1027"/>
      <c r="AN125" s="1105"/>
      <c r="AO125" s="1106"/>
      <c r="AP125" s="1107"/>
      <c r="AQ125" s="1108"/>
      <c r="AR125" s="1108"/>
    </row>
    <row r="126" spans="37:44">
      <c r="AK126" s="1027"/>
      <c r="AL126" s="1027"/>
      <c r="AM126" s="1027"/>
      <c r="AN126" s="1105"/>
      <c r="AO126" s="1106"/>
      <c r="AP126" s="1107"/>
      <c r="AQ126" s="1108"/>
      <c r="AR126" s="1108"/>
    </row>
    <row r="127" spans="37:44">
      <c r="AK127" s="1027"/>
      <c r="AL127" s="1027"/>
      <c r="AM127" s="1027"/>
      <c r="AN127" s="1105"/>
      <c r="AO127" s="1106"/>
      <c r="AP127" s="1107"/>
      <c r="AQ127" s="1108"/>
      <c r="AR127" s="1108"/>
    </row>
    <row r="128" spans="37:44">
      <c r="AK128" s="1027"/>
      <c r="AL128" s="1027"/>
      <c r="AM128" s="1027"/>
      <c r="AN128" s="1105"/>
      <c r="AO128" s="1106"/>
      <c r="AP128" s="1107"/>
      <c r="AQ128" s="1108"/>
      <c r="AR128" s="1108"/>
    </row>
    <row r="129" spans="37:44">
      <c r="AK129" s="1027"/>
      <c r="AL129" s="1027"/>
      <c r="AM129" s="1027"/>
      <c r="AN129" s="1105"/>
      <c r="AO129" s="1106"/>
      <c r="AP129" s="1107"/>
      <c r="AQ129" s="1108"/>
      <c r="AR129" s="1108"/>
    </row>
    <row r="130" spans="37:44">
      <c r="AK130" s="1027"/>
      <c r="AL130" s="1027"/>
      <c r="AM130" s="1027"/>
      <c r="AN130" s="1105"/>
      <c r="AO130" s="1106"/>
      <c r="AP130" s="1107"/>
      <c r="AQ130" s="1108"/>
      <c r="AR130" s="1108"/>
    </row>
    <row r="131" spans="37:44">
      <c r="AK131" s="1027"/>
      <c r="AL131" s="1027"/>
      <c r="AM131" s="1027"/>
      <c r="AN131" s="1105"/>
      <c r="AO131" s="1106"/>
      <c r="AP131" s="1107"/>
      <c r="AQ131" s="1108"/>
      <c r="AR131" s="1108"/>
    </row>
    <row r="132" spans="37:44">
      <c r="AK132" s="1027"/>
      <c r="AL132" s="1027"/>
      <c r="AM132" s="1027"/>
      <c r="AN132" s="1105"/>
      <c r="AO132" s="1106"/>
      <c r="AP132" s="1107"/>
      <c r="AQ132" s="1108"/>
      <c r="AR132" s="1108"/>
    </row>
    <row r="133" spans="37:44">
      <c r="AK133" s="1027"/>
      <c r="AL133" s="1027"/>
      <c r="AM133" s="1027"/>
      <c r="AN133" s="1105"/>
      <c r="AO133" s="1106"/>
      <c r="AP133" s="1107"/>
      <c r="AQ133" s="1108"/>
      <c r="AR133" s="1108"/>
    </row>
    <row r="134" spans="37:44">
      <c r="AK134" s="1027"/>
      <c r="AL134" s="1027"/>
      <c r="AM134" s="1027"/>
      <c r="AN134" s="1105"/>
      <c r="AO134" s="1106"/>
      <c r="AP134" s="1107"/>
      <c r="AQ134" s="1108"/>
      <c r="AR134" s="1108"/>
    </row>
    <row r="135" spans="37:44">
      <c r="AK135" s="1027"/>
      <c r="AL135" s="1027"/>
      <c r="AM135" s="1027"/>
      <c r="AN135" s="1105"/>
      <c r="AO135" s="1106"/>
      <c r="AP135" s="1107"/>
      <c r="AQ135" s="1108"/>
      <c r="AR135" s="1108"/>
    </row>
    <row r="136" spans="37:44">
      <c r="AK136" s="1027"/>
      <c r="AL136" s="1027"/>
      <c r="AM136" s="1027"/>
      <c r="AN136" s="1105"/>
      <c r="AO136" s="1106"/>
      <c r="AP136" s="1107"/>
      <c r="AQ136" s="1108"/>
      <c r="AR136" s="1108"/>
    </row>
    <row r="137" spans="37:44">
      <c r="AK137" s="1027"/>
      <c r="AL137" s="1027"/>
      <c r="AM137" s="1027"/>
      <c r="AN137" s="1105"/>
      <c r="AO137" s="1106"/>
      <c r="AP137" s="1107"/>
      <c r="AQ137" s="1108"/>
      <c r="AR137" s="1108"/>
    </row>
    <row r="138" spans="37:44">
      <c r="AK138" s="1027"/>
      <c r="AL138" s="1027"/>
      <c r="AM138" s="1027"/>
      <c r="AN138" s="1105"/>
      <c r="AO138" s="1106"/>
      <c r="AP138" s="1107"/>
      <c r="AQ138" s="1108"/>
      <c r="AR138" s="1108"/>
    </row>
    <row r="139" spans="37:44">
      <c r="AK139" s="1027"/>
      <c r="AL139" s="1027"/>
      <c r="AM139" s="1027"/>
      <c r="AN139" s="1105"/>
      <c r="AO139" s="1106"/>
      <c r="AP139" s="1107"/>
      <c r="AQ139" s="1108"/>
      <c r="AR139" s="1108"/>
    </row>
    <row r="140" spans="37:44">
      <c r="AK140" s="1027"/>
      <c r="AL140" s="1027"/>
      <c r="AM140" s="1027"/>
      <c r="AN140" s="1105"/>
      <c r="AO140" s="1106"/>
      <c r="AP140" s="1107"/>
      <c r="AQ140" s="1108"/>
      <c r="AR140" s="1108"/>
    </row>
    <row r="141" spans="37:44">
      <c r="AK141" s="1027"/>
      <c r="AL141" s="1027"/>
      <c r="AM141" s="1027"/>
      <c r="AN141" s="1105"/>
      <c r="AO141" s="1106"/>
      <c r="AP141" s="1107"/>
      <c r="AQ141" s="1108"/>
      <c r="AR141" s="1108"/>
    </row>
    <row r="142" spans="37:44">
      <c r="AK142" s="1027"/>
      <c r="AL142" s="1027"/>
      <c r="AM142" s="1027"/>
      <c r="AN142" s="1105"/>
      <c r="AO142" s="1106"/>
      <c r="AP142" s="1107"/>
      <c r="AQ142" s="1108"/>
      <c r="AR142" s="1108"/>
    </row>
    <row r="143" spans="37:44">
      <c r="AK143" s="1027"/>
      <c r="AL143" s="1027"/>
      <c r="AM143" s="1027"/>
      <c r="AN143" s="1105"/>
      <c r="AO143" s="1106"/>
      <c r="AP143" s="1107"/>
      <c r="AQ143" s="1108"/>
      <c r="AR143" s="1108"/>
    </row>
    <row r="144" spans="37:44">
      <c r="AK144" s="1027"/>
      <c r="AL144" s="1027"/>
      <c r="AM144" s="1027"/>
      <c r="AN144" s="1105"/>
      <c r="AO144" s="1106"/>
      <c r="AP144" s="1107"/>
      <c r="AQ144" s="1108"/>
      <c r="AR144" s="1108"/>
    </row>
    <row r="145" spans="37:44">
      <c r="AK145" s="1027"/>
      <c r="AL145" s="1027"/>
      <c r="AN145" s="1027"/>
      <c r="AO145" s="1112"/>
      <c r="AP145" s="1113"/>
      <c r="AQ145" s="1114"/>
      <c r="AR145" s="1114"/>
    </row>
    <row r="146" spans="37:44">
      <c r="AK146" s="1027"/>
      <c r="AL146" s="1027"/>
      <c r="AN146" s="1027"/>
      <c r="AO146" s="1112"/>
      <c r="AP146" s="1113"/>
      <c r="AQ146" s="1114"/>
      <c r="AR146" s="1114"/>
    </row>
    <row r="147" spans="37:44">
      <c r="AK147" s="1027"/>
      <c r="AL147" s="1027"/>
      <c r="AN147" s="1027"/>
      <c r="AO147" s="1112"/>
      <c r="AP147" s="1113"/>
      <c r="AQ147" s="1114"/>
      <c r="AR147" s="1114"/>
    </row>
  </sheetData>
  <mergeCells count="17">
    <mergeCell ref="A2:E2"/>
    <mergeCell ref="A29:E30"/>
    <mergeCell ref="I2:M2"/>
    <mergeCell ref="I28:M29"/>
    <mergeCell ref="BC44:BI44"/>
    <mergeCell ref="AG4:AI4"/>
    <mergeCell ref="AO4:AR4"/>
    <mergeCell ref="AW4:BA4"/>
    <mergeCell ref="BF4:BI4"/>
    <mergeCell ref="BO4:BR4"/>
    <mergeCell ref="AW24:AX24"/>
    <mergeCell ref="P2:T2"/>
    <mergeCell ref="S4:U4"/>
    <mergeCell ref="BC42:BI42"/>
    <mergeCell ref="Z4:AB4"/>
    <mergeCell ref="AD2:AI2"/>
    <mergeCell ref="W2:AB2"/>
  </mergeCells>
  <pageMargins left="0.7" right="0.7" top="0.75" bottom="0.75" header="0.3" footer="0.3"/>
  <pageSetup paperSize="9" orientation="portrait" r:id="rId1"/>
  <ignoredErrors>
    <ignoredError sqref="U23 F11:F22" formula="1"/>
  </ignoredErrors>
</worksheet>
</file>

<file path=xl/worksheets/sheet17.xml><?xml version="1.0" encoding="utf-8"?>
<worksheet xmlns="http://schemas.openxmlformats.org/spreadsheetml/2006/main" xmlns:r="http://schemas.openxmlformats.org/officeDocument/2006/relationships">
  <sheetPr>
    <tabColor theme="9" tint="-0.499984740745262"/>
  </sheetPr>
  <dimension ref="B2:L84"/>
  <sheetViews>
    <sheetView workbookViewId="0">
      <pane ySplit="4" topLeftCell="A20" activePane="bottomLeft" state="frozen"/>
      <selection activeCell="L69" sqref="L69"/>
      <selection pane="bottomLeft" activeCell="L69" sqref="L69"/>
    </sheetView>
  </sheetViews>
  <sheetFormatPr baseColWidth="10" defaultRowHeight="15"/>
  <cols>
    <col min="1" max="1" width="2.7109375" customWidth="1"/>
    <col min="3" max="3" width="58" bestFit="1" customWidth="1"/>
  </cols>
  <sheetData>
    <row r="2" spans="2:12">
      <c r="B2" s="141" t="s">
        <v>3953</v>
      </c>
    </row>
    <row r="4" spans="2:12" ht="24">
      <c r="B4" s="4096" t="s">
        <v>2763</v>
      </c>
      <c r="C4" s="1383" t="s">
        <v>2</v>
      </c>
      <c r="D4" s="1362">
        <v>2010</v>
      </c>
      <c r="E4" s="1362">
        <v>2011</v>
      </c>
      <c r="F4" s="1362">
        <v>2012</v>
      </c>
      <c r="G4" s="1362">
        <v>2013</v>
      </c>
      <c r="H4" s="1362">
        <v>2014</v>
      </c>
      <c r="I4" s="1362">
        <v>2015</v>
      </c>
      <c r="J4" s="1362">
        <v>2016</v>
      </c>
      <c r="K4" s="1362">
        <v>2017</v>
      </c>
      <c r="L4" s="1362">
        <v>2018</v>
      </c>
    </row>
    <row r="5" spans="2:12">
      <c r="B5" s="4971" t="s">
        <v>4</v>
      </c>
      <c r="C5" s="3315" t="s">
        <v>115</v>
      </c>
      <c r="D5" s="3318">
        <v>6</v>
      </c>
      <c r="E5" s="3322"/>
      <c r="F5" s="3324">
        <v>3</v>
      </c>
      <c r="G5" s="1328">
        <v>3</v>
      </c>
      <c r="H5" s="3328">
        <v>5.6666666666666661</v>
      </c>
      <c r="I5" s="1289"/>
      <c r="J5" s="3328"/>
      <c r="K5" s="3328">
        <v>-0.66999999999999993</v>
      </c>
      <c r="L5" s="3328">
        <v>1</v>
      </c>
    </row>
    <row r="6" spans="2:12">
      <c r="B6" s="4965"/>
      <c r="C6" s="3315" t="s">
        <v>116</v>
      </c>
      <c r="D6" s="2633">
        <v>5.5</v>
      </c>
      <c r="E6" s="1326">
        <v>7.6111111111111072</v>
      </c>
      <c r="F6" s="3319">
        <v>3.8461538461538485</v>
      </c>
      <c r="G6" s="1328">
        <v>2.2857142857142883</v>
      </c>
      <c r="H6" s="2636">
        <v>1.5294117647058805</v>
      </c>
      <c r="I6" s="1289">
        <v>1.5294117647058814</v>
      </c>
      <c r="J6" s="2636">
        <v>1.1900000000000004</v>
      </c>
      <c r="K6" s="2636">
        <v>1.1299999999999999</v>
      </c>
      <c r="L6" s="2636"/>
    </row>
    <row r="7" spans="2:12">
      <c r="B7" s="4965"/>
      <c r="C7" s="3315" t="s">
        <v>117</v>
      </c>
      <c r="D7" s="2633">
        <v>2.125</v>
      </c>
      <c r="E7" s="1326">
        <v>3.4444444444444446</v>
      </c>
      <c r="F7" s="2633">
        <v>1.1666666666666661</v>
      </c>
      <c r="G7" s="3323">
        <v>2.25</v>
      </c>
      <c r="H7" s="2636">
        <v>1</v>
      </c>
      <c r="I7" s="1289">
        <v>1</v>
      </c>
      <c r="J7" s="2636">
        <v>1.38</v>
      </c>
      <c r="K7" s="2636">
        <v>0.5</v>
      </c>
      <c r="L7" s="2636">
        <v>0.37999999999999989</v>
      </c>
    </row>
    <row r="8" spans="2:12">
      <c r="B8" s="4965"/>
      <c r="C8" s="3315" t="s">
        <v>708</v>
      </c>
      <c r="D8" s="2633"/>
      <c r="E8" s="1326"/>
      <c r="F8" s="3319"/>
      <c r="G8" s="3323"/>
      <c r="H8" s="2636">
        <v>1.5999999999999996</v>
      </c>
      <c r="I8" s="1289">
        <v>1.4000000000000004</v>
      </c>
      <c r="J8" s="2636">
        <v>1.67</v>
      </c>
      <c r="K8" s="2636">
        <v>1.75</v>
      </c>
      <c r="L8" s="2636">
        <v>1.5</v>
      </c>
    </row>
    <row r="9" spans="2:12">
      <c r="B9" s="4965"/>
      <c r="C9" s="3315" t="s">
        <v>707</v>
      </c>
      <c r="D9" s="3319"/>
      <c r="E9" s="3323"/>
      <c r="F9" s="3319"/>
      <c r="G9" s="3323"/>
      <c r="H9" s="2636">
        <v>1</v>
      </c>
      <c r="I9" s="1289">
        <v>2.3333333333333339</v>
      </c>
      <c r="J9" s="2636">
        <v>2</v>
      </c>
      <c r="K9" s="2636">
        <v>1.67</v>
      </c>
      <c r="L9" s="2636">
        <v>2</v>
      </c>
    </row>
    <row r="10" spans="2:12">
      <c r="B10" s="4965"/>
      <c r="C10" s="3315" t="s">
        <v>2713</v>
      </c>
      <c r="D10" s="2638"/>
      <c r="F10" s="2638"/>
      <c r="H10" s="2638"/>
      <c r="J10" s="2638"/>
      <c r="K10" s="3334">
        <v>1.7300000000000004</v>
      </c>
      <c r="L10" s="3334">
        <v>1.58</v>
      </c>
    </row>
    <row r="11" spans="2:12">
      <c r="B11" s="4970"/>
      <c r="C11" s="4711" t="s">
        <v>572</v>
      </c>
      <c r="D11" s="3320">
        <v>4.541666666666667</v>
      </c>
      <c r="E11" s="1290">
        <v>9.6774193548387082</v>
      </c>
      <c r="F11" s="3325">
        <v>3.0000000000000013</v>
      </c>
      <c r="G11" s="3327">
        <v>2.3043478260869579</v>
      </c>
      <c r="H11" s="3329">
        <v>1.6842105263157887</v>
      </c>
      <c r="I11" s="3331">
        <v>1.4411764705882348</v>
      </c>
      <c r="J11" s="3329">
        <v>1.4</v>
      </c>
      <c r="K11" s="3329">
        <v>1.1696923076923078</v>
      </c>
      <c r="L11" s="3329">
        <v>1.4317857142857144</v>
      </c>
    </row>
    <row r="12" spans="2:12">
      <c r="B12" s="4969" t="s">
        <v>16</v>
      </c>
      <c r="C12" s="3315" t="s">
        <v>118</v>
      </c>
      <c r="D12" s="2632">
        <v>0.59999999999999964</v>
      </c>
      <c r="E12" s="1326">
        <v>1.333333333333333</v>
      </c>
      <c r="F12" s="2634">
        <v>1.5</v>
      </c>
      <c r="G12" s="1328">
        <v>1.25</v>
      </c>
      <c r="H12" s="2636">
        <v>0.5</v>
      </c>
      <c r="I12" s="1289">
        <v>0.7</v>
      </c>
      <c r="J12" s="2636">
        <v>0.88999999999999968</v>
      </c>
      <c r="K12" s="2636">
        <v>1.5</v>
      </c>
      <c r="L12" s="2636">
        <v>0.66999999999999993</v>
      </c>
    </row>
    <row r="13" spans="2:12">
      <c r="B13" s="4965"/>
      <c r="C13" s="3315" t="s">
        <v>247</v>
      </c>
      <c r="D13" s="2633"/>
      <c r="E13" s="1326">
        <v>0</v>
      </c>
      <c r="F13" s="3319"/>
      <c r="G13" s="1328">
        <v>0</v>
      </c>
      <c r="H13" s="2636">
        <v>0</v>
      </c>
      <c r="I13" s="1289">
        <v>0</v>
      </c>
      <c r="J13" s="2636">
        <v>0</v>
      </c>
      <c r="K13" s="2636">
        <v>0</v>
      </c>
      <c r="L13" s="2636">
        <v>0.29000000000000004</v>
      </c>
    </row>
    <row r="14" spans="2:12">
      <c r="B14" s="4965"/>
      <c r="C14" s="3315" t="s">
        <v>119</v>
      </c>
      <c r="D14" s="2632">
        <v>0.41666666666666607</v>
      </c>
      <c r="E14" s="1326">
        <v>0.66666666666666607</v>
      </c>
      <c r="F14" s="2634">
        <v>1.3999999999999995</v>
      </c>
      <c r="G14" s="3323"/>
      <c r="H14" s="2636">
        <v>0.69999999999999929</v>
      </c>
      <c r="I14" s="1289">
        <v>2</v>
      </c>
      <c r="J14" s="2636">
        <v>1.0700000000000003</v>
      </c>
      <c r="K14" s="2636">
        <v>1</v>
      </c>
      <c r="L14" s="2636">
        <v>3.7799999999999994</v>
      </c>
    </row>
    <row r="15" spans="2:12">
      <c r="B15" s="4965"/>
      <c r="C15" s="3315" t="s">
        <v>120</v>
      </c>
      <c r="D15" s="2632">
        <v>3.3333333333333339</v>
      </c>
      <c r="E15" s="1326">
        <v>2.25</v>
      </c>
      <c r="F15" s="2634">
        <v>0</v>
      </c>
      <c r="G15" s="1328">
        <v>0</v>
      </c>
      <c r="H15" s="2636">
        <v>4.6666666666666661</v>
      </c>
      <c r="I15" s="1289">
        <v>0</v>
      </c>
      <c r="J15" s="2636">
        <v>2</v>
      </c>
      <c r="K15" s="2636">
        <v>1.2000000000000002</v>
      </c>
      <c r="L15" s="2636">
        <v>4.67</v>
      </c>
    </row>
    <row r="16" spans="2:12">
      <c r="B16" s="4965"/>
      <c r="C16" s="3315" t="s">
        <v>533</v>
      </c>
      <c r="D16" s="2633"/>
      <c r="E16" s="1326"/>
      <c r="F16" s="2633"/>
      <c r="G16" s="3323"/>
      <c r="H16" s="2636">
        <v>0.20000000000000018</v>
      </c>
      <c r="I16" s="1289">
        <v>0.5</v>
      </c>
      <c r="J16" s="2636">
        <v>0.26999999999999957</v>
      </c>
      <c r="K16" s="2636">
        <v>0.25</v>
      </c>
      <c r="L16" s="2636">
        <v>0.16999999999999993</v>
      </c>
    </row>
    <row r="17" spans="2:12" s="4676" customFormat="1">
      <c r="B17" s="4965"/>
      <c r="C17" s="3315" t="s">
        <v>2364</v>
      </c>
      <c r="D17" s="2633"/>
      <c r="E17" s="1326"/>
      <c r="F17" s="2633"/>
      <c r="G17" s="3323"/>
      <c r="H17" s="2636"/>
      <c r="I17" s="1289"/>
      <c r="J17" s="2636"/>
      <c r="K17" s="2636"/>
      <c r="L17" s="2636">
        <v>0</v>
      </c>
    </row>
    <row r="18" spans="2:12">
      <c r="B18" s="4965"/>
      <c r="C18" s="3316" t="s">
        <v>892</v>
      </c>
      <c r="D18" s="2632">
        <v>0</v>
      </c>
      <c r="E18" s="1326">
        <v>14.333333333333332</v>
      </c>
      <c r="F18" s="3319"/>
      <c r="G18" s="1328"/>
      <c r="H18" s="2636"/>
      <c r="I18" s="1289"/>
      <c r="J18" s="2636"/>
      <c r="K18" s="2636"/>
      <c r="L18" s="2636"/>
    </row>
    <row r="19" spans="2:12">
      <c r="B19" s="4970"/>
      <c r="C19" s="4711" t="s">
        <v>573</v>
      </c>
      <c r="D19" s="3320">
        <v>1.0874999999999999</v>
      </c>
      <c r="E19" s="1290">
        <v>2.3076923076923075</v>
      </c>
      <c r="F19" s="3325">
        <v>2.0624999999999996</v>
      </c>
      <c r="G19" s="3327">
        <v>0.25</v>
      </c>
      <c r="H19" s="3329">
        <v>0.91999999999999971</v>
      </c>
      <c r="I19" s="3331">
        <v>0.64</v>
      </c>
      <c r="J19" s="3329">
        <v>0.84</v>
      </c>
      <c r="K19" s="3329">
        <v>1</v>
      </c>
      <c r="L19" s="3329">
        <v>1.5478787878787879</v>
      </c>
    </row>
    <row r="20" spans="2:12">
      <c r="B20" s="4964" t="s">
        <v>21</v>
      </c>
      <c r="C20" s="3315" t="s">
        <v>106</v>
      </c>
      <c r="D20" s="2632">
        <v>5.8947368421052637</v>
      </c>
      <c r="E20" s="1326">
        <v>2</v>
      </c>
      <c r="F20" s="2634">
        <v>1.0454545454545441</v>
      </c>
      <c r="G20" s="1328">
        <v>2.243243243243243</v>
      </c>
      <c r="H20" s="2636">
        <v>1.2307692307692317</v>
      </c>
      <c r="I20" s="1289">
        <v>2.5999999999999996</v>
      </c>
      <c r="J20" s="2636"/>
      <c r="K20" s="2636">
        <v>0</v>
      </c>
      <c r="L20" s="2636"/>
    </row>
    <row r="21" spans="2:12">
      <c r="B21" s="4966"/>
      <c r="C21" s="3315" t="s">
        <v>1692</v>
      </c>
      <c r="D21" s="2632"/>
      <c r="E21" s="1326"/>
      <c r="F21" s="2634"/>
      <c r="G21" s="1328"/>
      <c r="H21" s="2636"/>
      <c r="I21" s="1289">
        <v>1</v>
      </c>
      <c r="J21" s="2636">
        <v>4.67</v>
      </c>
      <c r="K21" s="2636">
        <v>-0.12000000000000011</v>
      </c>
      <c r="L21" s="2636">
        <v>0.66999999999999993</v>
      </c>
    </row>
    <row r="22" spans="2:12">
      <c r="B22" s="4965"/>
      <c r="C22" s="3315" t="s">
        <v>1693</v>
      </c>
      <c r="D22" s="2632"/>
      <c r="E22" s="1326"/>
      <c r="F22" s="2634"/>
      <c r="G22" s="1328"/>
      <c r="H22" s="2636"/>
      <c r="I22" s="1289"/>
      <c r="J22" s="2636">
        <v>5</v>
      </c>
      <c r="K22" s="2636">
        <v>3.5</v>
      </c>
      <c r="L22" s="2636">
        <v>2.67</v>
      </c>
    </row>
    <row r="23" spans="2:12">
      <c r="B23" s="4965"/>
      <c r="C23" s="3315" t="s">
        <v>1694</v>
      </c>
      <c r="D23" s="2632"/>
      <c r="E23" s="1326"/>
      <c r="F23" s="2634"/>
      <c r="G23" s="1328"/>
      <c r="H23" s="2636"/>
      <c r="I23" s="1289"/>
      <c r="J23" s="2636">
        <v>0.5</v>
      </c>
      <c r="K23" s="2636">
        <v>-0.66999999999999993</v>
      </c>
      <c r="L23" s="2636">
        <v>3.75</v>
      </c>
    </row>
    <row r="24" spans="2:12" ht="24">
      <c r="B24" s="4966"/>
      <c r="C24" s="3317" t="s">
        <v>1691</v>
      </c>
      <c r="D24" s="2632"/>
      <c r="E24" s="1326"/>
      <c r="F24" s="2634"/>
      <c r="G24" s="1328"/>
      <c r="H24" s="2636"/>
      <c r="I24" s="1289">
        <v>1.5</v>
      </c>
      <c r="J24" s="2636">
        <v>-1.33</v>
      </c>
      <c r="K24" s="2636">
        <v>4.5</v>
      </c>
      <c r="L24" s="2636"/>
    </row>
    <row r="25" spans="2:12">
      <c r="B25" s="4965"/>
      <c r="C25" s="3317" t="s">
        <v>1695</v>
      </c>
      <c r="D25" s="2632"/>
      <c r="E25" s="1326"/>
      <c r="F25" s="2634"/>
      <c r="G25" s="1328"/>
      <c r="H25" s="2636"/>
      <c r="I25" s="1289"/>
      <c r="J25" s="2636">
        <v>0</v>
      </c>
      <c r="K25" s="2636">
        <v>4</v>
      </c>
      <c r="L25" s="2636">
        <v>1.5999999999999996</v>
      </c>
    </row>
    <row r="26" spans="2:12" s="4676" customFormat="1" ht="24">
      <c r="B26" s="4965"/>
      <c r="C26" s="3317" t="s">
        <v>2714</v>
      </c>
      <c r="D26" s="2632"/>
      <c r="E26" s="1326"/>
      <c r="F26" s="2634"/>
      <c r="G26" s="1328"/>
      <c r="H26" s="2636"/>
      <c r="I26" s="1289"/>
      <c r="J26" s="2636"/>
      <c r="K26" s="2636"/>
      <c r="L26" s="2636">
        <v>3.33</v>
      </c>
    </row>
    <row r="27" spans="2:12">
      <c r="B27" s="4966"/>
      <c r="C27" s="4711" t="s">
        <v>574</v>
      </c>
      <c r="D27" s="3321">
        <v>8.8947368421052637</v>
      </c>
      <c r="E27" s="1290">
        <v>2</v>
      </c>
      <c r="F27" s="3326">
        <v>1.0454545454545441</v>
      </c>
      <c r="G27" s="3327">
        <v>2.243243243243243</v>
      </c>
      <c r="H27" s="3330">
        <v>1.2307692307692317</v>
      </c>
      <c r="I27" s="3331">
        <v>2.3888888888888884</v>
      </c>
      <c r="J27" s="3330">
        <v>2.3099999999999996</v>
      </c>
      <c r="K27" s="3330">
        <v>1.1747826086956521</v>
      </c>
      <c r="L27" s="3330">
        <v>4.9561904761904758</v>
      </c>
    </row>
    <row r="28" spans="2:12">
      <c r="B28" s="1398"/>
      <c r="C28" s="1399" t="s">
        <v>107</v>
      </c>
      <c r="D28" s="1402">
        <v>2.1746345029239755</v>
      </c>
      <c r="E28" s="1339">
        <v>5.0370370370370363</v>
      </c>
      <c r="F28" s="1395">
        <v>2.2467532467532472</v>
      </c>
      <c r="G28" s="1396">
        <v>1.7625</v>
      </c>
      <c r="H28" s="1397">
        <v>1.3370786516853932</v>
      </c>
      <c r="I28" s="1397">
        <v>1.432432432432432</v>
      </c>
      <c r="J28" s="1397">
        <v>1.2594444444444446</v>
      </c>
      <c r="K28" s="1397">
        <v>1.1393518518518517</v>
      </c>
      <c r="L28" s="1397">
        <v>1.675090909090909</v>
      </c>
    </row>
    <row r="29" spans="2:12">
      <c r="B29" s="4964" t="s">
        <v>4</v>
      </c>
      <c r="C29" s="1384" t="s">
        <v>121</v>
      </c>
      <c r="D29" s="1385">
        <v>2.25</v>
      </c>
      <c r="E29" s="1325">
        <v>3.6666666666666661</v>
      </c>
      <c r="F29" s="1386"/>
      <c r="G29" s="1388">
        <v>3.7777777777777786</v>
      </c>
      <c r="H29" s="1293">
        <v>3.75</v>
      </c>
      <c r="I29" s="1293">
        <v>2.2857142857142865</v>
      </c>
      <c r="J29" s="1293">
        <v>2.33</v>
      </c>
      <c r="K29" s="1293">
        <v>3</v>
      </c>
      <c r="L29" s="1293">
        <v>3.5700000000000003</v>
      </c>
    </row>
    <row r="30" spans="2:12">
      <c r="B30" s="4965"/>
      <c r="C30" s="1384" t="s">
        <v>122</v>
      </c>
      <c r="D30" s="1385">
        <v>3.5</v>
      </c>
      <c r="E30" s="1325">
        <v>5</v>
      </c>
      <c r="F30" s="1387">
        <v>5.5555555555555554</v>
      </c>
      <c r="G30" s="1388">
        <v>2</v>
      </c>
      <c r="H30" s="1293">
        <v>3.5</v>
      </c>
      <c r="I30" s="1293">
        <v>3.57</v>
      </c>
      <c r="J30" s="1293">
        <v>2.8499999999999996</v>
      </c>
      <c r="K30" s="1293">
        <v>2.5199999999999996</v>
      </c>
      <c r="L30" s="1293">
        <v>2.5999999999999996</v>
      </c>
    </row>
    <row r="31" spans="2:12">
      <c r="B31" s="4965"/>
      <c r="C31" s="1384" t="s">
        <v>123</v>
      </c>
      <c r="D31" s="1385">
        <v>2.8000000000000007</v>
      </c>
      <c r="E31" s="1325">
        <v>3</v>
      </c>
      <c r="F31" s="1387">
        <v>0.5</v>
      </c>
      <c r="G31" s="1388">
        <v>0</v>
      </c>
      <c r="H31" s="1293">
        <v>1.9000000000000012</v>
      </c>
      <c r="I31" s="1293">
        <v>1</v>
      </c>
      <c r="J31" s="1293">
        <v>3</v>
      </c>
      <c r="K31" s="1293">
        <v>0.5</v>
      </c>
      <c r="L31" s="1293">
        <v>0.55999999999999961</v>
      </c>
    </row>
    <row r="32" spans="2:12">
      <c r="B32" s="4966"/>
      <c r="C32" s="1384" t="s">
        <v>124</v>
      </c>
      <c r="D32" s="1385">
        <v>4.0999999999999996</v>
      </c>
      <c r="E32" s="1325">
        <v>2.8571428571428577</v>
      </c>
      <c r="F32" s="1387">
        <v>2.7857142857142847</v>
      </c>
      <c r="G32" s="1388">
        <v>2.7000000000000011</v>
      </c>
      <c r="H32" s="1293">
        <v>1.333333333333333</v>
      </c>
      <c r="I32" s="1293">
        <v>2</v>
      </c>
      <c r="J32" s="1293">
        <v>2.5</v>
      </c>
      <c r="K32" s="1293">
        <v>1.9100000000000001</v>
      </c>
      <c r="L32" s="1293">
        <v>1.7300000000000004</v>
      </c>
    </row>
    <row r="33" spans="2:12">
      <c r="B33" s="4966"/>
      <c r="C33" s="1384" t="s">
        <v>125</v>
      </c>
      <c r="D33" s="1385">
        <v>4.235294117647058</v>
      </c>
      <c r="E33" s="1325">
        <v>7.75</v>
      </c>
      <c r="F33" s="1387">
        <v>5</v>
      </c>
      <c r="G33" s="1388">
        <v>2.7333333333333325</v>
      </c>
      <c r="H33" s="1293">
        <v>2.7000000000000011</v>
      </c>
      <c r="I33" s="1293">
        <v>2.88</v>
      </c>
      <c r="J33" s="1293">
        <v>4.1999999999999993</v>
      </c>
      <c r="K33" s="1293">
        <v>4.25</v>
      </c>
      <c r="L33" s="1293">
        <v>0.33000000000000007</v>
      </c>
    </row>
    <row r="34" spans="2:12">
      <c r="B34" s="4966"/>
      <c r="C34" s="1384" t="s">
        <v>424</v>
      </c>
      <c r="D34" s="1385">
        <v>2.25</v>
      </c>
      <c r="E34" s="1325">
        <v>1.1428571428571423</v>
      </c>
      <c r="F34" s="1387">
        <v>2.2857142857142865</v>
      </c>
      <c r="G34" s="1388">
        <v>1.7692307692307692</v>
      </c>
      <c r="H34" s="1293">
        <v>2.1999999999999993</v>
      </c>
      <c r="I34" s="1293">
        <v>1.67</v>
      </c>
      <c r="J34" s="1293">
        <v>3</v>
      </c>
      <c r="K34" s="1293">
        <v>2</v>
      </c>
      <c r="L34" s="1293">
        <v>3.4399999999999995</v>
      </c>
    </row>
    <row r="35" spans="2:12">
      <c r="B35" s="4966"/>
      <c r="C35" s="1384" t="s">
        <v>834</v>
      </c>
      <c r="D35" s="1385"/>
      <c r="E35" s="1325"/>
      <c r="F35" s="1386"/>
      <c r="G35" s="1388"/>
      <c r="H35" s="1293"/>
      <c r="I35" s="1293">
        <v>2</v>
      </c>
      <c r="J35" s="1293">
        <v>3.17</v>
      </c>
      <c r="K35" s="1293">
        <v>2.5999999999999996</v>
      </c>
      <c r="L35" s="1293">
        <v>2.3000000000000007</v>
      </c>
    </row>
    <row r="36" spans="2:12">
      <c r="B36" s="4972"/>
      <c r="C36" s="4712" t="s">
        <v>572</v>
      </c>
      <c r="D36" s="1390">
        <v>3.1892156862745096</v>
      </c>
      <c r="E36" s="1330">
        <v>3.8367346938775508</v>
      </c>
      <c r="F36" s="1391">
        <v>3.8163265306122449</v>
      </c>
      <c r="G36" s="1391">
        <v>2.359375</v>
      </c>
      <c r="H36" s="1294">
        <v>2.6527777777777786</v>
      </c>
      <c r="I36" s="1294">
        <v>2.4237288135593227</v>
      </c>
      <c r="J36" s="1294">
        <v>2.9049206349206349</v>
      </c>
      <c r="K36" s="1294">
        <v>2.1942682926829269</v>
      </c>
      <c r="L36" s="1294">
        <v>2.1398924731182798</v>
      </c>
    </row>
    <row r="37" spans="2:12">
      <c r="B37" s="4964" t="s">
        <v>16</v>
      </c>
      <c r="C37" s="1384" t="s">
        <v>108</v>
      </c>
      <c r="D37" s="1385">
        <v>15.5</v>
      </c>
      <c r="E37" s="1325">
        <v>0.1333333333333302</v>
      </c>
      <c r="F37" s="1387">
        <v>-3</v>
      </c>
      <c r="G37" s="1386"/>
      <c r="H37" s="1293">
        <v>0.33333333333333348</v>
      </c>
      <c r="I37" s="1293"/>
      <c r="J37" s="1293">
        <v>-3</v>
      </c>
      <c r="K37" s="1293">
        <v>-2</v>
      </c>
      <c r="L37" s="1293">
        <v>0</v>
      </c>
    </row>
    <row r="38" spans="2:12">
      <c r="B38" s="4966"/>
      <c r="C38" s="1384" t="s">
        <v>126</v>
      </c>
      <c r="D38" s="1385">
        <v>0.29411764705882426</v>
      </c>
      <c r="E38" s="1325">
        <v>1.8888888888888893</v>
      </c>
      <c r="F38" s="1387">
        <v>7.5</v>
      </c>
      <c r="G38" s="1388">
        <v>3.3333333333333339</v>
      </c>
      <c r="H38" s="1293">
        <v>2.9333333333333336</v>
      </c>
      <c r="I38" s="1293">
        <v>5.5</v>
      </c>
      <c r="J38" s="1293">
        <v>0</v>
      </c>
      <c r="K38" s="1293">
        <v>0.45999999999999996</v>
      </c>
      <c r="L38" s="1293">
        <v>4</v>
      </c>
    </row>
    <row r="39" spans="2:12">
      <c r="B39" s="4966"/>
      <c r="C39" s="1384" t="s">
        <v>127</v>
      </c>
      <c r="D39" s="1385">
        <v>8</v>
      </c>
      <c r="E39" s="1325">
        <v>3.4999999999999964</v>
      </c>
      <c r="F39" s="1387">
        <v>2.1818181818181817</v>
      </c>
      <c r="G39" s="1388">
        <v>1.9024390243902456</v>
      </c>
      <c r="H39" s="1293">
        <v>1.8409090909090944</v>
      </c>
      <c r="I39" s="1293">
        <v>2.08</v>
      </c>
      <c r="J39" s="1293">
        <v>1.3399999999999999</v>
      </c>
      <c r="K39" s="1293">
        <v>2.5</v>
      </c>
      <c r="L39" s="1293">
        <v>1.1399999999999997</v>
      </c>
    </row>
    <row r="40" spans="2:12">
      <c r="B40" s="4965"/>
      <c r="C40" s="1384" t="s">
        <v>128</v>
      </c>
      <c r="D40" s="1385">
        <v>0.375</v>
      </c>
      <c r="E40" s="1325">
        <v>1.333333333333333</v>
      </c>
      <c r="F40" s="1387">
        <v>0.61538461538461497</v>
      </c>
      <c r="G40" s="1388">
        <v>0.59999999999999964</v>
      </c>
      <c r="H40" s="1293">
        <v>0.26086956521739157</v>
      </c>
      <c r="I40" s="1293">
        <v>2.25</v>
      </c>
      <c r="J40" s="1293">
        <v>0.19000000000000039</v>
      </c>
      <c r="K40" s="1293">
        <v>0.40000000000000036</v>
      </c>
      <c r="L40" s="1293">
        <v>0.19000000000000039</v>
      </c>
    </row>
    <row r="41" spans="2:12">
      <c r="B41" s="4966"/>
      <c r="C41" s="1384" t="s">
        <v>129</v>
      </c>
      <c r="D41" s="1385">
        <v>1</v>
      </c>
      <c r="E41" s="1325">
        <v>1.666666666666667</v>
      </c>
      <c r="F41" s="1387">
        <v>1</v>
      </c>
      <c r="G41" s="1388">
        <v>1.8750000000000018</v>
      </c>
      <c r="H41" s="1293">
        <v>5.8823529411764497E-2</v>
      </c>
      <c r="I41" s="1293">
        <v>0.67</v>
      </c>
      <c r="J41" s="1293">
        <v>0.44000000000000039</v>
      </c>
      <c r="K41" s="1293">
        <v>0</v>
      </c>
      <c r="L41" s="1293">
        <v>0.33000000000000007</v>
      </c>
    </row>
    <row r="42" spans="2:12">
      <c r="B42" s="4972"/>
      <c r="C42" s="4712" t="s">
        <v>573</v>
      </c>
      <c r="D42" s="1390">
        <v>6.361519607843138</v>
      </c>
      <c r="E42" s="1330">
        <v>2.8265306122448957</v>
      </c>
      <c r="F42" s="1391">
        <v>2.258297258297258</v>
      </c>
      <c r="G42" s="1391">
        <v>1.8615384615384631</v>
      </c>
      <c r="H42" s="1294">
        <v>1.2017543859649138</v>
      </c>
      <c r="I42" s="1294">
        <v>1.89</v>
      </c>
      <c r="J42" s="1294">
        <v>0.38023809523809532</v>
      </c>
      <c r="K42" s="1294">
        <v>0.73142857142857143</v>
      </c>
      <c r="L42" s="1294">
        <v>0.69543478260869573</v>
      </c>
    </row>
    <row r="43" spans="2:12">
      <c r="B43" s="2637"/>
      <c r="C43" s="1384" t="s">
        <v>462</v>
      </c>
      <c r="D43" s="1385">
        <v>3</v>
      </c>
      <c r="E43" s="1386"/>
      <c r="F43" s="1386"/>
      <c r="G43" s="1386"/>
      <c r="H43" s="1293">
        <v>1.5</v>
      </c>
      <c r="I43" s="1293">
        <v>2.3333333333333321</v>
      </c>
      <c r="J43" s="1293">
        <v>1.46</v>
      </c>
      <c r="K43" s="1293">
        <v>1.5</v>
      </c>
      <c r="L43" s="1293">
        <v>1.71</v>
      </c>
    </row>
    <row r="44" spans="2:12">
      <c r="B44" s="4964" t="s">
        <v>41</v>
      </c>
      <c r="C44" s="1384" t="s">
        <v>130</v>
      </c>
      <c r="D44" s="1385">
        <v>4.3333333333333321</v>
      </c>
      <c r="E44" s="1325">
        <v>0.875</v>
      </c>
      <c r="F44" s="1387">
        <v>2.8000000000000007</v>
      </c>
      <c r="G44" s="1388">
        <v>1.3181818181818201</v>
      </c>
      <c r="H44" s="1293">
        <v>1.0000000000000009</v>
      </c>
      <c r="I44" s="1293">
        <v>0.75</v>
      </c>
      <c r="J44" s="1293">
        <v>1.2999999999999998</v>
      </c>
      <c r="K44" s="1293">
        <v>0.71</v>
      </c>
      <c r="L44" s="1293">
        <v>1</v>
      </c>
    </row>
    <row r="45" spans="2:12">
      <c r="B45" s="4966"/>
      <c r="C45" s="1384" t="s">
        <v>131</v>
      </c>
      <c r="D45" s="1385">
        <v>5.3846153846153868</v>
      </c>
      <c r="E45" s="1325">
        <v>1.6111111111111116</v>
      </c>
      <c r="F45" s="1387">
        <v>2.3913043478260896</v>
      </c>
      <c r="G45" s="1388">
        <v>2.3333333333333339</v>
      </c>
      <c r="H45" s="1293">
        <v>1.1052631578947381</v>
      </c>
      <c r="I45" s="1293">
        <v>1.07</v>
      </c>
      <c r="J45" s="1293">
        <v>0.80999999999999961</v>
      </c>
      <c r="K45" s="1293">
        <v>1.0999999999999996</v>
      </c>
      <c r="L45" s="1293">
        <v>1.3899999999999997</v>
      </c>
    </row>
    <row r="46" spans="2:12">
      <c r="B46" s="4966"/>
      <c r="C46" s="1384" t="s">
        <v>132</v>
      </c>
      <c r="D46" s="1385">
        <v>3.4000000000000004</v>
      </c>
      <c r="E46" s="1325">
        <v>3.615384615384615</v>
      </c>
      <c r="F46" s="1387">
        <v>5.4285714285714288</v>
      </c>
      <c r="G46" s="1388">
        <v>2.6666666666666661</v>
      </c>
      <c r="H46" s="1293">
        <v>3.0000000000000018</v>
      </c>
      <c r="I46" s="1293">
        <v>2.5555555555555554</v>
      </c>
      <c r="J46" s="1293">
        <v>3.4600000000000009</v>
      </c>
      <c r="K46" s="1293">
        <v>2.5700000000000003</v>
      </c>
      <c r="L46" s="1293">
        <v>3</v>
      </c>
    </row>
    <row r="47" spans="2:12">
      <c r="B47" s="4966"/>
      <c r="C47" s="4712" t="s">
        <v>575</v>
      </c>
      <c r="D47" s="1390">
        <v>4.0294871794871803</v>
      </c>
      <c r="E47" s="1330">
        <v>1.9148936170212767</v>
      </c>
      <c r="F47" s="1391">
        <v>3.0000000000000013</v>
      </c>
      <c r="G47" s="1391">
        <v>1.9807692307692319</v>
      </c>
      <c r="H47" s="1294">
        <v>1.7301587301587302</v>
      </c>
      <c r="I47" s="1294">
        <v>1.551724137931034</v>
      </c>
      <c r="J47" s="1294">
        <v>1.931232876712329</v>
      </c>
      <c r="K47" s="1294">
        <v>1.4983333333333333</v>
      </c>
      <c r="L47" s="1294">
        <v>1.7620338983050847</v>
      </c>
    </row>
    <row r="48" spans="2:12">
      <c r="B48" s="1398"/>
      <c r="C48" s="1399" t="s">
        <v>111</v>
      </c>
      <c r="D48" s="1402">
        <v>4.5267408245349428</v>
      </c>
      <c r="E48" s="1339">
        <v>2.86082474226804</v>
      </c>
      <c r="F48" s="1396">
        <v>2.9571511291256516</v>
      </c>
      <c r="G48" s="1396">
        <v>2.0718232044198905</v>
      </c>
      <c r="H48" s="1397">
        <v>1.7550200803212861</v>
      </c>
      <c r="I48" s="1397">
        <v>1.7152777777777777</v>
      </c>
      <c r="J48" s="1397">
        <v>1.6178636363636365</v>
      </c>
      <c r="K48" s="1397">
        <v>1.574247311827957</v>
      </c>
      <c r="L48" s="1397">
        <v>1.691717171717172</v>
      </c>
    </row>
    <row r="49" spans="2:12">
      <c r="B49" s="4964" t="s">
        <v>16</v>
      </c>
      <c r="C49" s="1384" t="s">
        <v>133</v>
      </c>
      <c r="D49" s="1385">
        <v>8.9166666666666643</v>
      </c>
      <c r="E49" s="1325">
        <v>5.7777777777777786</v>
      </c>
      <c r="F49" s="1387">
        <v>3.5</v>
      </c>
      <c r="G49" s="1388">
        <v>1.75</v>
      </c>
      <c r="H49" s="1293">
        <v>2</v>
      </c>
      <c r="I49" s="1293">
        <v>1.38</v>
      </c>
      <c r="J49" s="1293">
        <v>1.0599999999999996</v>
      </c>
      <c r="K49" s="1293">
        <v>0.20000000000000018</v>
      </c>
      <c r="L49" s="1293">
        <v>1.2699999999999996</v>
      </c>
    </row>
    <row r="50" spans="2:12">
      <c r="B50" s="4966"/>
      <c r="C50" s="1384" t="s">
        <v>136</v>
      </c>
      <c r="D50" s="1385">
        <v>0.5</v>
      </c>
      <c r="E50" s="1325">
        <v>3</v>
      </c>
      <c r="F50" s="1387">
        <v>0.29999999999999982</v>
      </c>
      <c r="G50" s="1388">
        <v>1.8181818181818192</v>
      </c>
      <c r="H50" s="1293">
        <v>1.1666666666666661</v>
      </c>
      <c r="I50" s="1293">
        <v>0.375</v>
      </c>
      <c r="J50" s="1293">
        <v>1.1399999999999997</v>
      </c>
      <c r="K50" s="1293">
        <v>0.37999999999999989</v>
      </c>
      <c r="L50" s="1293">
        <v>0.87999999999999989</v>
      </c>
    </row>
    <row r="51" spans="2:12">
      <c r="B51" s="4966"/>
      <c r="C51" s="1384" t="s">
        <v>137</v>
      </c>
      <c r="D51" s="1385">
        <v>0</v>
      </c>
      <c r="E51" s="1325">
        <v>1.0909090909090899</v>
      </c>
      <c r="F51" s="1387">
        <v>2.125</v>
      </c>
      <c r="G51" s="1388">
        <v>0.125</v>
      </c>
      <c r="H51" s="1293">
        <v>4</v>
      </c>
      <c r="I51" s="1293">
        <v>0</v>
      </c>
      <c r="J51" s="1293">
        <v>0</v>
      </c>
      <c r="K51" s="1293">
        <v>0</v>
      </c>
      <c r="L51" s="1293">
        <v>0.59999999999999964</v>
      </c>
    </row>
    <row r="52" spans="2:12">
      <c r="B52" s="4966"/>
      <c r="C52" s="1384" t="s">
        <v>138</v>
      </c>
      <c r="D52" s="1385">
        <v>1.7272727272727275</v>
      </c>
      <c r="E52" s="1325">
        <v>3.2222222222222214</v>
      </c>
      <c r="F52" s="1387">
        <v>1</v>
      </c>
      <c r="G52" s="1388">
        <v>1.5714285714285712</v>
      </c>
      <c r="H52" s="1293">
        <v>0.5</v>
      </c>
      <c r="I52" s="1293">
        <v>1.83</v>
      </c>
      <c r="J52" s="1293">
        <v>0</v>
      </c>
      <c r="K52" s="1293">
        <v>0</v>
      </c>
      <c r="L52" s="1293">
        <v>0.66999999999999993</v>
      </c>
    </row>
    <row r="53" spans="2:12" s="4676" customFormat="1">
      <c r="B53" s="4965"/>
      <c r="C53" s="4710" t="s">
        <v>129</v>
      </c>
      <c r="D53" s="2632"/>
      <c r="E53" s="2633"/>
      <c r="F53" s="2634"/>
      <c r="G53" s="2635"/>
      <c r="H53" s="2636"/>
      <c r="I53" s="2636"/>
      <c r="J53" s="2636"/>
      <c r="K53" s="2636"/>
      <c r="L53" s="2636">
        <v>0</v>
      </c>
    </row>
    <row r="54" spans="2:12">
      <c r="B54" s="4966"/>
      <c r="C54" s="1384" t="s">
        <v>112</v>
      </c>
      <c r="D54" s="1385">
        <v>0.14285714285714413</v>
      </c>
      <c r="E54" s="1325">
        <v>2.378378378378379</v>
      </c>
      <c r="F54" s="1387">
        <v>0.1</v>
      </c>
      <c r="G54" s="1388">
        <v>9.0999999999999998E-2</v>
      </c>
      <c r="H54" s="1293">
        <v>0.67</v>
      </c>
      <c r="I54" s="1293">
        <v>0.79</v>
      </c>
      <c r="J54" s="1293">
        <v>-2.92</v>
      </c>
      <c r="K54" s="1293">
        <v>-0.54</v>
      </c>
      <c r="L54" s="1293">
        <v>-1.1500000000000004</v>
      </c>
    </row>
    <row r="55" spans="2:12">
      <c r="B55" s="4966"/>
      <c r="C55" s="1384" t="s">
        <v>534</v>
      </c>
      <c r="D55" s="1325"/>
      <c r="E55" s="1325"/>
      <c r="F55" s="1325"/>
      <c r="G55" s="1386"/>
      <c r="H55" s="1293">
        <v>0</v>
      </c>
      <c r="I55" s="1293">
        <v>0</v>
      </c>
      <c r="J55" s="1293">
        <v>0.5</v>
      </c>
      <c r="K55" s="1293"/>
      <c r="L55" s="1293">
        <v>0.57000000000000028</v>
      </c>
    </row>
    <row r="56" spans="2:12">
      <c r="B56" s="4965"/>
      <c r="C56" s="1384" t="s">
        <v>621</v>
      </c>
      <c r="D56" s="1325"/>
      <c r="E56" s="1386"/>
      <c r="F56" s="1387">
        <v>-3</v>
      </c>
      <c r="G56" s="1388">
        <v>-3</v>
      </c>
      <c r="H56" s="1293">
        <v>2.4545454545454541</v>
      </c>
      <c r="I56" s="1293">
        <v>0</v>
      </c>
      <c r="J56" s="1293">
        <v>-0.20000000000000018</v>
      </c>
      <c r="K56" s="1293">
        <v>8.9999999999999858E-2</v>
      </c>
      <c r="L56" s="1293">
        <v>0</v>
      </c>
    </row>
    <row r="57" spans="2:12">
      <c r="B57" s="4966"/>
      <c r="C57" s="1392" t="s">
        <v>135</v>
      </c>
      <c r="D57" s="1385">
        <v>0.20000000000000018</v>
      </c>
      <c r="E57" s="1325">
        <v>-2.3846153846153846</v>
      </c>
      <c r="F57" s="1387">
        <v>-3</v>
      </c>
      <c r="G57" s="1388">
        <v>0</v>
      </c>
      <c r="H57" s="1293"/>
      <c r="I57" s="1293"/>
      <c r="J57" s="2638"/>
      <c r="K57" s="2638"/>
      <c r="L57" s="1293"/>
    </row>
    <row r="58" spans="2:12">
      <c r="B58" s="4965"/>
      <c r="C58" s="1384" t="s">
        <v>2009</v>
      </c>
      <c r="D58" s="1385">
        <v>0.30769230769230749</v>
      </c>
      <c r="E58" s="1325">
        <v>4.5999999999999996</v>
      </c>
      <c r="F58" s="1387">
        <v>0</v>
      </c>
      <c r="G58" s="1388">
        <v>0</v>
      </c>
      <c r="H58" s="1293">
        <v>0.625</v>
      </c>
      <c r="I58" s="1293">
        <v>0.29999999999999982</v>
      </c>
      <c r="J58" s="1293">
        <v>0.59999999999999964</v>
      </c>
      <c r="K58" s="1293">
        <v>0</v>
      </c>
      <c r="L58" s="1293">
        <v>0.24000000000000021</v>
      </c>
    </row>
    <row r="59" spans="2:12" s="4676" customFormat="1">
      <c r="B59" s="4965"/>
      <c r="C59" s="4710" t="s">
        <v>2364</v>
      </c>
      <c r="D59" s="2632"/>
      <c r="E59" s="2633"/>
      <c r="F59" s="2634"/>
      <c r="G59" s="2635"/>
      <c r="H59" s="2636"/>
      <c r="I59" s="2636"/>
      <c r="J59" s="2636"/>
      <c r="K59" s="2636"/>
      <c r="L59" s="2636">
        <v>0</v>
      </c>
    </row>
    <row r="60" spans="2:12">
      <c r="B60" s="4972"/>
      <c r="C60" s="4712" t="s">
        <v>573</v>
      </c>
      <c r="D60" s="1390">
        <v>1.68492697778412</v>
      </c>
      <c r="E60" s="1330">
        <v>2.2448979591836733</v>
      </c>
      <c r="F60" s="1391">
        <v>0.50793650793650802</v>
      </c>
      <c r="G60" s="1391">
        <v>0.1911764705882355</v>
      </c>
      <c r="H60" s="1294">
        <v>0.42187499999999994</v>
      </c>
      <c r="I60" s="1294">
        <v>0.66197183098591561</v>
      </c>
      <c r="J60" s="1294">
        <v>-3.922077922077942E-2</v>
      </c>
      <c r="K60" s="1294">
        <v>-0.11169014084507047</v>
      </c>
      <c r="L60" s="1294">
        <v>0.30836734693877543</v>
      </c>
    </row>
    <row r="61" spans="2:12">
      <c r="B61" s="4964" t="s">
        <v>41</v>
      </c>
      <c r="C61" s="1384" t="s">
        <v>139</v>
      </c>
      <c r="D61" s="1385">
        <v>12.2</v>
      </c>
      <c r="E61" s="1386"/>
      <c r="F61" s="1387">
        <v>0</v>
      </c>
      <c r="G61" s="1388">
        <v>1</v>
      </c>
      <c r="H61" s="1293">
        <v>-1.5</v>
      </c>
      <c r="I61" s="1293">
        <v>-1.5714285714285712</v>
      </c>
      <c r="J61" s="1293">
        <v>-0.88999999999999968</v>
      </c>
      <c r="K61" s="1293">
        <v>0.33000000000000007</v>
      </c>
      <c r="L61" s="1293"/>
    </row>
    <row r="62" spans="2:12">
      <c r="B62" s="4966"/>
      <c r="C62" s="1384" t="s">
        <v>140</v>
      </c>
      <c r="D62" s="1385">
        <v>-0.83333333333333304</v>
      </c>
      <c r="E62" s="1325">
        <v>0.47619047619047716</v>
      </c>
      <c r="F62" s="1387">
        <v>-0.59999999999999964</v>
      </c>
      <c r="G62" s="1388">
        <v>-0.10526315789473539</v>
      </c>
      <c r="H62" s="1293">
        <v>-0.25</v>
      </c>
      <c r="I62" s="1293">
        <v>0.5</v>
      </c>
      <c r="J62" s="1293">
        <v>0.59999999999999964</v>
      </c>
      <c r="K62" s="1293">
        <v>0.23000000000000043</v>
      </c>
      <c r="L62" s="1293">
        <v>0.66999999999999993</v>
      </c>
    </row>
    <row r="63" spans="2:12">
      <c r="B63" s="4966"/>
      <c r="C63" s="1384" t="s">
        <v>141</v>
      </c>
      <c r="D63" s="1385">
        <v>1.2727272727272725</v>
      </c>
      <c r="E63" s="1325">
        <v>0.5</v>
      </c>
      <c r="F63" s="1387">
        <v>2.2000000000000002</v>
      </c>
      <c r="G63" s="1388">
        <v>0.44444444444444464</v>
      </c>
      <c r="H63" s="1293">
        <v>0.66666666666666696</v>
      </c>
      <c r="I63" s="1293">
        <v>-0.625</v>
      </c>
      <c r="J63" s="1293"/>
      <c r="K63" s="1293">
        <v>-0.30999999999999961</v>
      </c>
      <c r="L63" s="1293">
        <v>0.20000000000000018</v>
      </c>
    </row>
    <row r="64" spans="2:12">
      <c r="B64" s="4966"/>
      <c r="C64" s="1384" t="s">
        <v>463</v>
      </c>
      <c r="D64" s="1385">
        <v>2</v>
      </c>
      <c r="E64" s="1325"/>
      <c r="F64" s="1387">
        <v>0</v>
      </c>
      <c r="G64" s="1386"/>
      <c r="H64" s="1293">
        <v>1.2000000000000002</v>
      </c>
      <c r="I64" s="1293"/>
      <c r="J64" s="1293">
        <v>0</v>
      </c>
      <c r="K64" s="1293">
        <v>0</v>
      </c>
      <c r="L64" s="1293"/>
    </row>
    <row r="65" spans="2:12">
      <c r="B65" s="4966"/>
      <c r="C65" s="1392" t="s">
        <v>142</v>
      </c>
      <c r="D65" s="1385">
        <v>3</v>
      </c>
      <c r="E65" s="1325">
        <v>1.1578947368421053</v>
      </c>
      <c r="F65" s="1387">
        <v>2.2000000000000011</v>
      </c>
      <c r="G65" s="1388">
        <v>0.5</v>
      </c>
      <c r="H65" s="1293">
        <v>1.2666666666666675</v>
      </c>
      <c r="I65" s="1293">
        <v>1.92</v>
      </c>
      <c r="J65" s="1293">
        <v>0.91999999999999993</v>
      </c>
      <c r="K65" s="1293">
        <v>0.66999999999999993</v>
      </c>
      <c r="L65" s="1293">
        <v>0.78000000000000025</v>
      </c>
    </row>
    <row r="66" spans="2:12">
      <c r="B66" s="4965"/>
      <c r="C66" s="1392" t="s">
        <v>143</v>
      </c>
      <c r="D66" s="1385">
        <v>-0.42857142857142794</v>
      </c>
      <c r="E66" s="1325">
        <v>-0.92857142857142883</v>
      </c>
      <c r="F66" s="1387">
        <v>2.5</v>
      </c>
      <c r="G66" s="1388">
        <v>0.92857142857142883</v>
      </c>
      <c r="H66" s="1293">
        <v>0.72727272727272751</v>
      </c>
      <c r="I66" s="1293">
        <v>1.3</v>
      </c>
      <c r="J66" s="1293">
        <v>0.53000000000000025</v>
      </c>
      <c r="K66" s="1293">
        <v>0.41000000000000014</v>
      </c>
      <c r="L66" s="1293">
        <v>1.3099999999999996</v>
      </c>
    </row>
    <row r="67" spans="2:12">
      <c r="B67" s="4965"/>
      <c r="C67" s="2639" t="s">
        <v>2010</v>
      </c>
      <c r="D67" s="2632"/>
      <c r="E67" s="2633"/>
      <c r="F67" s="2634"/>
      <c r="G67" s="2635"/>
      <c r="H67" s="2636"/>
      <c r="I67" s="2636"/>
      <c r="J67" s="2636">
        <v>0</v>
      </c>
      <c r="K67" s="2636">
        <v>0</v>
      </c>
      <c r="L67" s="2636">
        <v>0</v>
      </c>
    </row>
    <row r="68" spans="2:12">
      <c r="B68" s="4965"/>
      <c r="C68" s="2639" t="s">
        <v>868</v>
      </c>
      <c r="D68" s="2632"/>
      <c r="E68" s="2633"/>
      <c r="F68" s="2634"/>
      <c r="G68" s="2635"/>
      <c r="H68" s="2636"/>
      <c r="I68" s="1293">
        <v>-2</v>
      </c>
      <c r="J68" s="2636">
        <v>-2</v>
      </c>
      <c r="K68" s="2636">
        <v>0</v>
      </c>
      <c r="L68" s="2636">
        <v>0</v>
      </c>
    </row>
    <row r="69" spans="2:12">
      <c r="B69" s="4965"/>
      <c r="C69" s="3332" t="s">
        <v>2715</v>
      </c>
      <c r="D69" s="2632"/>
      <c r="E69" s="2633"/>
      <c r="F69" s="2634"/>
      <c r="G69" s="2635"/>
      <c r="H69" s="2636"/>
      <c r="I69" s="2636"/>
      <c r="J69" s="2636"/>
      <c r="K69" s="2636">
        <v>1</v>
      </c>
      <c r="L69" s="2636">
        <v>-1.17</v>
      </c>
    </row>
    <row r="70" spans="2:12">
      <c r="B70" s="4966"/>
      <c r="C70" s="1392" t="s">
        <v>113</v>
      </c>
      <c r="D70" s="1325"/>
      <c r="E70" s="1325">
        <v>0.75</v>
      </c>
      <c r="F70" s="1325"/>
      <c r="G70" s="1388">
        <v>0.66666666666666652</v>
      </c>
      <c r="H70" s="1293"/>
      <c r="I70" s="1293"/>
      <c r="J70" s="1293"/>
      <c r="K70" s="1293"/>
      <c r="L70" s="1293"/>
    </row>
    <row r="71" spans="2:12">
      <c r="B71" s="4972"/>
      <c r="C71" s="4713" t="s">
        <v>575</v>
      </c>
      <c r="D71" s="1390">
        <v>2.8684704184704191</v>
      </c>
      <c r="E71" s="1330">
        <v>0.38709677419354865</v>
      </c>
      <c r="F71" s="1391">
        <v>1.2727272727272732</v>
      </c>
      <c r="G71" s="1391">
        <v>0.44262295081967268</v>
      </c>
      <c r="H71" s="1294">
        <v>0.76470588235294157</v>
      </c>
      <c r="I71" s="1294">
        <v>0.45161290322580644</v>
      </c>
      <c r="J71" s="1294">
        <v>0.26000000000000006</v>
      </c>
      <c r="K71" s="1294">
        <v>0.2</v>
      </c>
      <c r="L71" s="1294">
        <v>0.53999999999999992</v>
      </c>
    </row>
    <row r="72" spans="2:12">
      <c r="B72" s="4964" t="s">
        <v>21</v>
      </c>
      <c r="C72" s="1384" t="s">
        <v>144</v>
      </c>
      <c r="D72" s="1385">
        <v>0.375</v>
      </c>
      <c r="E72" s="1325">
        <v>5.8823529411764497E-2</v>
      </c>
      <c r="F72" s="1387">
        <v>0</v>
      </c>
      <c r="G72" s="1388">
        <v>0</v>
      </c>
      <c r="H72" s="1293">
        <v>0</v>
      </c>
      <c r="I72" s="1293">
        <v>5.2631578947368141E-2</v>
      </c>
      <c r="J72" s="1293">
        <v>0</v>
      </c>
      <c r="K72" s="1293">
        <v>7.0000000000000284E-2</v>
      </c>
      <c r="L72" s="1293">
        <v>4.0000000000000036E-2</v>
      </c>
    </row>
    <row r="73" spans="2:12">
      <c r="B73" s="4965"/>
      <c r="C73" s="1384" t="s">
        <v>425</v>
      </c>
      <c r="D73" s="1325"/>
      <c r="E73" s="1325">
        <v>0.53846153846153832</v>
      </c>
      <c r="F73" s="1325"/>
      <c r="G73" s="1388">
        <v>0.77777777777777768</v>
      </c>
      <c r="H73" s="1293">
        <v>1</v>
      </c>
      <c r="I73" s="1293">
        <v>0.17647058823529438</v>
      </c>
      <c r="J73" s="1293"/>
      <c r="K73" s="1293">
        <v>0</v>
      </c>
      <c r="L73" s="1293">
        <v>0</v>
      </c>
    </row>
    <row r="74" spans="2:12">
      <c r="B74" s="4966"/>
      <c r="C74" s="1384" t="s">
        <v>426</v>
      </c>
      <c r="D74" s="1325"/>
      <c r="E74" s="1325"/>
      <c r="F74" s="1387">
        <v>0</v>
      </c>
      <c r="G74" s="1388">
        <v>0.18518518518518512</v>
      </c>
      <c r="H74" s="1293">
        <v>0</v>
      </c>
      <c r="I74" s="1293">
        <v>0</v>
      </c>
      <c r="J74" s="1293">
        <v>0</v>
      </c>
      <c r="K74" s="1293">
        <v>0.55999999999999961</v>
      </c>
      <c r="L74" s="1293"/>
    </row>
    <row r="75" spans="2:12">
      <c r="B75" s="4966"/>
      <c r="C75" s="4712" t="s">
        <v>574</v>
      </c>
      <c r="D75" s="1390">
        <v>0.375</v>
      </c>
      <c r="E75" s="1330">
        <v>0.2666666666666665</v>
      </c>
      <c r="F75" s="1391">
        <v>0</v>
      </c>
      <c r="G75" s="1391">
        <v>0.23529411764705876</v>
      </c>
      <c r="H75" s="1294">
        <v>4.3478260869564522E-2</v>
      </c>
      <c r="I75" s="1294">
        <v>7.8431372549019593E-2</v>
      </c>
      <c r="J75" s="1294">
        <v>0</v>
      </c>
      <c r="K75" s="1294">
        <v>0.15842105263157896</v>
      </c>
      <c r="L75" s="1294">
        <v>3.7241379310344859E-2</v>
      </c>
    </row>
    <row r="76" spans="2:12">
      <c r="B76" s="1398"/>
      <c r="C76" s="1399" t="s">
        <v>461</v>
      </c>
      <c r="D76" s="1402">
        <v>1.6427991320848463</v>
      </c>
      <c r="E76" s="1400">
        <v>1.3263157894736841</v>
      </c>
      <c r="F76" s="1395">
        <v>0.67272727272727295</v>
      </c>
      <c r="G76" s="1396">
        <v>0.28888888888888914</v>
      </c>
      <c r="H76" s="1397">
        <v>0.48550724637681159</v>
      </c>
      <c r="I76" s="1397">
        <v>0.42934782608695654</v>
      </c>
      <c r="J76" s="1397">
        <v>6.9746835443037891E-2</v>
      </c>
      <c r="K76" s="1397">
        <v>7.4973262032085611E-2</v>
      </c>
      <c r="L76" s="1397">
        <v>0.34583333333333327</v>
      </c>
    </row>
    <row r="77" spans="2:12">
      <c r="B77" s="4964" t="s">
        <v>16</v>
      </c>
      <c r="C77" s="1384" t="s">
        <v>709</v>
      </c>
      <c r="D77" s="1386"/>
      <c r="E77" s="1386"/>
      <c r="F77" s="1386"/>
      <c r="G77" s="1388">
        <v>0.30000000000000071</v>
      </c>
      <c r="H77" s="1293">
        <v>0.33333333333333393</v>
      </c>
      <c r="I77" s="1293">
        <v>0</v>
      </c>
      <c r="J77" s="1293">
        <v>0</v>
      </c>
      <c r="K77" s="1293">
        <v>0.75</v>
      </c>
      <c r="L77" s="1293">
        <v>0.66999999999999993</v>
      </c>
    </row>
    <row r="78" spans="2:12">
      <c r="B78" s="4972"/>
      <c r="C78" s="4712" t="s">
        <v>573</v>
      </c>
      <c r="D78" s="1389"/>
      <c r="E78" s="1389"/>
      <c r="F78" s="1389"/>
      <c r="G78" s="1391">
        <v>0.30000000000000071</v>
      </c>
      <c r="H78" s="1294">
        <v>0.33333333333333393</v>
      </c>
      <c r="I78" s="1294">
        <v>0</v>
      </c>
      <c r="J78" s="1294">
        <v>0</v>
      </c>
      <c r="K78" s="1294">
        <v>0.75</v>
      </c>
      <c r="L78" s="1294">
        <v>0.66999999999999993</v>
      </c>
    </row>
    <row r="79" spans="2:12">
      <c r="B79" s="4964" t="s">
        <v>61</v>
      </c>
      <c r="C79" s="1384" t="s">
        <v>870</v>
      </c>
      <c r="D79" s="1386"/>
      <c r="E79" s="1386"/>
      <c r="F79" s="1386"/>
      <c r="G79" s="1386"/>
      <c r="H79" s="1293">
        <v>0</v>
      </c>
      <c r="I79" s="1293">
        <v>0.27272727272727249</v>
      </c>
      <c r="J79" s="1293">
        <v>0.83000000000000007</v>
      </c>
      <c r="K79" s="1293">
        <v>1</v>
      </c>
      <c r="L79" s="1293"/>
    </row>
    <row r="80" spans="2:12">
      <c r="B80" s="4966"/>
      <c r="C80" s="4712" t="s">
        <v>576</v>
      </c>
      <c r="D80" s="1389"/>
      <c r="E80" s="1389"/>
      <c r="F80" s="1389"/>
      <c r="G80" s="1389"/>
      <c r="H80" s="1294">
        <v>0</v>
      </c>
      <c r="I80" s="1294">
        <v>0.27272727272727249</v>
      </c>
      <c r="J80" s="1294">
        <v>0.83000000000000007</v>
      </c>
      <c r="K80" s="1294">
        <v>1</v>
      </c>
      <c r="L80" s="1294"/>
    </row>
    <row r="81" spans="2:12">
      <c r="B81" s="4964" t="s">
        <v>64</v>
      </c>
      <c r="C81" s="1384" t="s">
        <v>710</v>
      </c>
      <c r="D81" s="1386"/>
      <c r="E81" s="1386"/>
      <c r="F81" s="1386"/>
      <c r="G81" s="1386"/>
      <c r="H81" s="1293">
        <v>1</v>
      </c>
      <c r="I81" s="1293">
        <v>0.33333333333333393</v>
      </c>
      <c r="J81" s="1293">
        <v>1</v>
      </c>
      <c r="K81" s="1293">
        <v>0.86000000000000032</v>
      </c>
      <c r="L81" s="1293">
        <v>1.67</v>
      </c>
    </row>
    <row r="82" spans="2:12">
      <c r="B82" s="4966"/>
      <c r="C82" s="4712" t="s">
        <v>577</v>
      </c>
      <c r="D82" s="1389"/>
      <c r="E82" s="1389"/>
      <c r="F82" s="1389"/>
      <c r="G82" s="1389"/>
      <c r="H82" s="1294">
        <v>1</v>
      </c>
      <c r="I82" s="1294">
        <v>0.33333333333333393</v>
      </c>
      <c r="J82" s="1294">
        <v>1</v>
      </c>
      <c r="K82" s="1294">
        <v>0.86000000000000032</v>
      </c>
      <c r="L82" s="1294">
        <v>1.67</v>
      </c>
    </row>
    <row r="83" spans="2:12">
      <c r="B83" s="1398"/>
      <c r="C83" s="1399" t="s">
        <v>265</v>
      </c>
      <c r="D83" s="1401"/>
      <c r="E83" s="1401"/>
      <c r="F83" s="1401"/>
      <c r="G83" s="1396">
        <v>0.30000000000000071</v>
      </c>
      <c r="H83" s="1397">
        <v>0.20000000000000018</v>
      </c>
      <c r="I83" s="1397">
        <v>0.19230769230769235</v>
      </c>
      <c r="J83" s="1397">
        <v>0.70411764705882351</v>
      </c>
      <c r="K83" s="1397">
        <v>0.846923076923077</v>
      </c>
      <c r="L83" s="1397">
        <v>1.0699999999999998</v>
      </c>
    </row>
    <row r="84" spans="2:12">
      <c r="B84" s="4967" t="s">
        <v>114</v>
      </c>
      <c r="C84" s="4968"/>
      <c r="D84" s="1403">
        <v>2.7813914865145883</v>
      </c>
      <c r="E84" s="1393">
        <v>2.6129032258064511</v>
      </c>
      <c r="F84" s="1393">
        <v>2.0676532769556029</v>
      </c>
      <c r="G84" s="1393">
        <v>1.266075388026608</v>
      </c>
      <c r="H84" s="1393">
        <v>1.2749490835030555</v>
      </c>
      <c r="I84" s="2414">
        <v>1.0210280373831775</v>
      </c>
      <c r="J84" s="3312">
        <v>0.9862884615384615</v>
      </c>
      <c r="K84" s="3312">
        <v>0.89132149901380664</v>
      </c>
      <c r="L84" s="2640">
        <v>1.1682912621359223</v>
      </c>
    </row>
  </sheetData>
  <mergeCells count="13">
    <mergeCell ref="B72:B75"/>
    <mergeCell ref="B84:C84"/>
    <mergeCell ref="B12:B19"/>
    <mergeCell ref="B5:B11"/>
    <mergeCell ref="B77:B78"/>
    <mergeCell ref="B79:B80"/>
    <mergeCell ref="B81:B82"/>
    <mergeCell ref="B20:B27"/>
    <mergeCell ref="B29:B36"/>
    <mergeCell ref="B37:B42"/>
    <mergeCell ref="B44:B47"/>
    <mergeCell ref="B49:B60"/>
    <mergeCell ref="B61:B7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dimension ref="A1:BR82"/>
  <sheetViews>
    <sheetView topLeftCell="A52" workbookViewId="0">
      <selection activeCell="D84" sqref="D84"/>
    </sheetView>
  </sheetViews>
  <sheetFormatPr baseColWidth="10" defaultRowHeight="15"/>
  <cols>
    <col min="1" max="2" width="11.42578125" style="4676"/>
    <col min="3" max="3" width="82" style="4676" bestFit="1" customWidth="1"/>
    <col min="4" max="5" width="8.28515625" style="4676" customWidth="1"/>
    <col min="6" max="6" width="9.140625" style="4676" customWidth="1"/>
    <col min="7" max="7" width="13" style="4676" bestFit="1" customWidth="1"/>
    <col min="8" max="8" width="11.42578125" style="4676"/>
    <col min="10" max="10" width="7" bestFit="1" customWidth="1"/>
    <col min="11" max="11" width="59.42578125" bestFit="1" customWidth="1"/>
    <col min="12" max="12" width="9.85546875" bestFit="1" customWidth="1"/>
    <col min="13" max="13" width="5.28515625" bestFit="1" customWidth="1"/>
    <col min="14" max="14" width="8.28515625" bestFit="1" customWidth="1"/>
    <col min="16" max="16" width="11.85546875" customWidth="1"/>
    <col min="17" max="17" width="6.7109375" bestFit="1" customWidth="1"/>
    <col min="18" max="18" width="58.28515625" bestFit="1" customWidth="1"/>
    <col min="19" max="19" width="8.140625" bestFit="1" customWidth="1"/>
    <col min="20" max="20" width="7.42578125" customWidth="1"/>
    <col min="21" max="21" width="8.28515625" bestFit="1" customWidth="1"/>
    <col min="23" max="23" width="12" customWidth="1"/>
    <col min="24" max="24" width="8.7109375" customWidth="1"/>
    <col min="25" max="25" width="58.28515625" bestFit="1" customWidth="1"/>
    <col min="26" max="28" width="8.7109375" customWidth="1"/>
    <col min="29" max="29" width="4.28515625" customWidth="1"/>
    <col min="30" max="30" width="11.85546875" customWidth="1"/>
    <col min="31" max="31" width="7.28515625" bestFit="1" customWidth="1"/>
    <col min="32" max="32" width="44.7109375" bestFit="1" customWidth="1"/>
    <col min="33" max="34" width="8.7109375" customWidth="1"/>
    <col min="35" max="35" width="12.7109375" customWidth="1"/>
    <col min="36" max="36" width="4.28515625" customWidth="1"/>
    <col min="37" max="39" width="8.85546875" customWidth="1"/>
    <col min="40" max="40" width="43.5703125" bestFit="1" customWidth="1"/>
    <col min="41" max="45" width="8.85546875" customWidth="1"/>
    <col min="46" max="46" width="11" bestFit="1" customWidth="1"/>
    <col min="47" max="47" width="8.7109375" customWidth="1"/>
    <col min="48" max="48" width="43.5703125" bestFit="1" customWidth="1"/>
    <col min="49" max="50" width="8.7109375" hidden="1" customWidth="1"/>
    <col min="51" max="54" width="8.7109375" customWidth="1"/>
    <col min="55" max="55" width="11.28515625" style="191" bestFit="1" customWidth="1"/>
    <col min="56" max="56" width="7" style="191" bestFit="1" customWidth="1"/>
    <col min="57" max="57" width="44.42578125" customWidth="1"/>
    <col min="58" max="58" width="5.7109375" customWidth="1"/>
    <col min="59" max="59" width="17.7109375" customWidth="1"/>
    <col min="60" max="60" width="13" bestFit="1" customWidth="1"/>
    <col min="61" max="61" width="8.85546875" bestFit="1" customWidth="1"/>
    <col min="62" max="62" width="0" hidden="1" customWidth="1"/>
    <col min="64" max="64" width="11.28515625" bestFit="1" customWidth="1"/>
    <col min="65" max="65" width="8.7109375" customWidth="1"/>
    <col min="66" max="66" width="43.28515625" bestFit="1" customWidth="1"/>
    <col min="67" max="67" width="6.42578125" bestFit="1" customWidth="1"/>
    <col min="68" max="68" width="9.140625" bestFit="1" customWidth="1"/>
    <col min="69" max="70" width="10" bestFit="1" customWidth="1"/>
    <col min="310" max="310" width="4.28515625" customWidth="1"/>
    <col min="311" max="311" width="14.42578125" customWidth="1"/>
    <col min="313" max="313" width="54.5703125" bestFit="1" customWidth="1"/>
    <col min="315" max="315" width="20.28515625" customWidth="1"/>
    <col min="316" max="316" width="14.42578125" customWidth="1"/>
    <col min="566" max="566" width="4.28515625" customWidth="1"/>
    <col min="567" max="567" width="14.42578125" customWidth="1"/>
    <col min="569" max="569" width="54.5703125" bestFit="1" customWidth="1"/>
    <col min="571" max="571" width="20.28515625" customWidth="1"/>
    <col min="572" max="572" width="14.42578125" customWidth="1"/>
    <col min="822" max="822" width="4.28515625" customWidth="1"/>
    <col min="823" max="823" width="14.42578125" customWidth="1"/>
    <col min="825" max="825" width="54.5703125" bestFit="1" customWidth="1"/>
    <col min="827" max="827" width="20.28515625" customWidth="1"/>
    <col min="828" max="828" width="14.42578125" customWidth="1"/>
    <col min="1078" max="1078" width="4.28515625" customWidth="1"/>
    <col min="1079" max="1079" width="14.42578125" customWidth="1"/>
    <col min="1081" max="1081" width="54.5703125" bestFit="1" customWidth="1"/>
    <col min="1083" max="1083" width="20.28515625" customWidth="1"/>
    <col min="1084" max="1084" width="14.42578125" customWidth="1"/>
    <col min="1334" max="1334" width="4.28515625" customWidth="1"/>
    <col min="1335" max="1335" width="14.42578125" customWidth="1"/>
    <col min="1337" max="1337" width="54.5703125" bestFit="1" customWidth="1"/>
    <col min="1339" max="1339" width="20.28515625" customWidth="1"/>
    <col min="1340" max="1340" width="14.42578125" customWidth="1"/>
    <col min="1590" max="1590" width="4.28515625" customWidth="1"/>
    <col min="1591" max="1591" width="14.42578125" customWidth="1"/>
    <col min="1593" max="1593" width="54.5703125" bestFit="1" customWidth="1"/>
    <col min="1595" max="1595" width="20.28515625" customWidth="1"/>
    <col min="1596" max="1596" width="14.42578125" customWidth="1"/>
    <col min="1846" max="1846" width="4.28515625" customWidth="1"/>
    <col min="1847" max="1847" width="14.42578125" customWidth="1"/>
    <col min="1849" max="1849" width="54.5703125" bestFit="1" customWidth="1"/>
    <col min="1851" max="1851" width="20.28515625" customWidth="1"/>
    <col min="1852" max="1852" width="14.42578125" customWidth="1"/>
    <col min="2102" max="2102" width="4.28515625" customWidth="1"/>
    <col min="2103" max="2103" width="14.42578125" customWidth="1"/>
    <col min="2105" max="2105" width="54.5703125" bestFit="1" customWidth="1"/>
    <col min="2107" max="2107" width="20.28515625" customWidth="1"/>
    <col min="2108" max="2108" width="14.42578125" customWidth="1"/>
    <col min="2358" max="2358" width="4.28515625" customWidth="1"/>
    <col min="2359" max="2359" width="14.42578125" customWidth="1"/>
    <col min="2361" max="2361" width="54.5703125" bestFit="1" customWidth="1"/>
    <col min="2363" max="2363" width="20.28515625" customWidth="1"/>
    <col min="2364" max="2364" width="14.42578125" customWidth="1"/>
    <col min="2614" max="2614" width="4.28515625" customWidth="1"/>
    <col min="2615" max="2615" width="14.42578125" customWidth="1"/>
    <col min="2617" max="2617" width="54.5703125" bestFit="1" customWidth="1"/>
    <col min="2619" max="2619" width="20.28515625" customWidth="1"/>
    <col min="2620" max="2620" width="14.42578125" customWidth="1"/>
    <col min="2870" max="2870" width="4.28515625" customWidth="1"/>
    <col min="2871" max="2871" width="14.42578125" customWidth="1"/>
    <col min="2873" max="2873" width="54.5703125" bestFit="1" customWidth="1"/>
    <col min="2875" max="2875" width="20.28515625" customWidth="1"/>
    <col min="2876" max="2876" width="14.42578125" customWidth="1"/>
    <col min="3126" max="3126" width="4.28515625" customWidth="1"/>
    <col min="3127" max="3127" width="14.42578125" customWidth="1"/>
    <col min="3129" max="3129" width="54.5703125" bestFit="1" customWidth="1"/>
    <col min="3131" max="3131" width="20.28515625" customWidth="1"/>
    <col min="3132" max="3132" width="14.42578125" customWidth="1"/>
    <col min="3382" max="3382" width="4.28515625" customWidth="1"/>
    <col min="3383" max="3383" width="14.42578125" customWidth="1"/>
    <col min="3385" max="3385" width="54.5703125" bestFit="1" customWidth="1"/>
    <col min="3387" max="3387" width="20.28515625" customWidth="1"/>
    <col min="3388" max="3388" width="14.42578125" customWidth="1"/>
    <col min="3638" max="3638" width="4.28515625" customWidth="1"/>
    <col min="3639" max="3639" width="14.42578125" customWidth="1"/>
    <col min="3641" max="3641" width="54.5703125" bestFit="1" customWidth="1"/>
    <col min="3643" max="3643" width="20.28515625" customWidth="1"/>
    <col min="3644" max="3644" width="14.42578125" customWidth="1"/>
    <col min="3894" max="3894" width="4.28515625" customWidth="1"/>
    <col min="3895" max="3895" width="14.42578125" customWidth="1"/>
    <col min="3897" max="3897" width="54.5703125" bestFit="1" customWidth="1"/>
    <col min="3899" max="3899" width="20.28515625" customWidth="1"/>
    <col min="3900" max="3900" width="14.42578125" customWidth="1"/>
    <col min="4150" max="4150" width="4.28515625" customWidth="1"/>
    <col min="4151" max="4151" width="14.42578125" customWidth="1"/>
    <col min="4153" max="4153" width="54.5703125" bestFit="1" customWidth="1"/>
    <col min="4155" max="4155" width="20.28515625" customWidth="1"/>
    <col min="4156" max="4156" width="14.42578125" customWidth="1"/>
    <col min="4406" max="4406" width="4.28515625" customWidth="1"/>
    <col min="4407" max="4407" width="14.42578125" customWidth="1"/>
    <col min="4409" max="4409" width="54.5703125" bestFit="1" customWidth="1"/>
    <col min="4411" max="4411" width="20.28515625" customWidth="1"/>
    <col min="4412" max="4412" width="14.42578125" customWidth="1"/>
    <col min="4662" max="4662" width="4.28515625" customWidth="1"/>
    <col min="4663" max="4663" width="14.42578125" customWidth="1"/>
    <col min="4665" max="4665" width="54.5703125" bestFit="1" customWidth="1"/>
    <col min="4667" max="4667" width="20.28515625" customWidth="1"/>
    <col min="4668" max="4668" width="14.42578125" customWidth="1"/>
    <col min="4918" max="4918" width="4.28515625" customWidth="1"/>
    <col min="4919" max="4919" width="14.42578125" customWidth="1"/>
    <col min="4921" max="4921" width="54.5703125" bestFit="1" customWidth="1"/>
    <col min="4923" max="4923" width="20.28515625" customWidth="1"/>
    <col min="4924" max="4924" width="14.42578125" customWidth="1"/>
    <col min="5174" max="5174" width="4.28515625" customWidth="1"/>
    <col min="5175" max="5175" width="14.42578125" customWidth="1"/>
    <col min="5177" max="5177" width="54.5703125" bestFit="1" customWidth="1"/>
    <col min="5179" max="5179" width="20.28515625" customWidth="1"/>
    <col min="5180" max="5180" width="14.42578125" customWidth="1"/>
    <col min="5430" max="5430" width="4.28515625" customWidth="1"/>
    <col min="5431" max="5431" width="14.42578125" customWidth="1"/>
    <col min="5433" max="5433" width="54.5703125" bestFit="1" customWidth="1"/>
    <col min="5435" max="5435" width="20.28515625" customWidth="1"/>
    <col min="5436" max="5436" width="14.42578125" customWidth="1"/>
    <col min="5686" max="5686" width="4.28515625" customWidth="1"/>
    <col min="5687" max="5687" width="14.42578125" customWidth="1"/>
    <col min="5689" max="5689" width="54.5703125" bestFit="1" customWidth="1"/>
    <col min="5691" max="5691" width="20.28515625" customWidth="1"/>
    <col min="5692" max="5692" width="14.42578125" customWidth="1"/>
    <col min="5942" max="5942" width="4.28515625" customWidth="1"/>
    <col min="5943" max="5943" width="14.42578125" customWidth="1"/>
    <col min="5945" max="5945" width="54.5703125" bestFit="1" customWidth="1"/>
    <col min="5947" max="5947" width="20.28515625" customWidth="1"/>
    <col min="5948" max="5948" width="14.42578125" customWidth="1"/>
    <col min="6198" max="6198" width="4.28515625" customWidth="1"/>
    <col min="6199" max="6199" width="14.42578125" customWidth="1"/>
    <col min="6201" max="6201" width="54.5703125" bestFit="1" customWidth="1"/>
    <col min="6203" max="6203" width="20.28515625" customWidth="1"/>
    <col min="6204" max="6204" width="14.42578125" customWidth="1"/>
    <col min="6454" max="6454" width="4.28515625" customWidth="1"/>
    <col min="6455" max="6455" width="14.42578125" customWidth="1"/>
    <col min="6457" max="6457" width="54.5703125" bestFit="1" customWidth="1"/>
    <col min="6459" max="6459" width="20.28515625" customWidth="1"/>
    <col min="6460" max="6460" width="14.42578125" customWidth="1"/>
    <col min="6710" max="6710" width="4.28515625" customWidth="1"/>
    <col min="6711" max="6711" width="14.42578125" customWidth="1"/>
    <col min="6713" max="6713" width="54.5703125" bestFit="1" customWidth="1"/>
    <col min="6715" max="6715" width="20.28515625" customWidth="1"/>
    <col min="6716" max="6716" width="14.42578125" customWidth="1"/>
    <col min="6966" max="6966" width="4.28515625" customWidth="1"/>
    <col min="6967" max="6967" width="14.42578125" customWidth="1"/>
    <col min="6969" max="6969" width="54.5703125" bestFit="1" customWidth="1"/>
    <col min="6971" max="6971" width="20.28515625" customWidth="1"/>
    <col min="6972" max="6972" width="14.42578125" customWidth="1"/>
    <col min="7222" max="7222" width="4.28515625" customWidth="1"/>
    <col min="7223" max="7223" width="14.42578125" customWidth="1"/>
    <col min="7225" max="7225" width="54.5703125" bestFit="1" customWidth="1"/>
    <col min="7227" max="7227" width="20.28515625" customWidth="1"/>
    <col min="7228" max="7228" width="14.42578125" customWidth="1"/>
    <col min="7478" max="7478" width="4.28515625" customWidth="1"/>
    <col min="7479" max="7479" width="14.42578125" customWidth="1"/>
    <col min="7481" max="7481" width="54.5703125" bestFit="1" customWidth="1"/>
    <col min="7483" max="7483" width="20.28515625" customWidth="1"/>
    <col min="7484" max="7484" width="14.42578125" customWidth="1"/>
    <col min="7734" max="7734" width="4.28515625" customWidth="1"/>
    <col min="7735" max="7735" width="14.42578125" customWidth="1"/>
    <col min="7737" max="7737" width="54.5703125" bestFit="1" customWidth="1"/>
    <col min="7739" max="7739" width="20.28515625" customWidth="1"/>
    <col min="7740" max="7740" width="14.42578125" customWidth="1"/>
    <col min="7990" max="7990" width="4.28515625" customWidth="1"/>
    <col min="7991" max="7991" width="14.42578125" customWidth="1"/>
    <col min="7993" max="7993" width="54.5703125" bestFit="1" customWidth="1"/>
    <col min="7995" max="7995" width="20.28515625" customWidth="1"/>
    <col min="7996" max="7996" width="14.42578125" customWidth="1"/>
    <col min="8246" max="8246" width="4.28515625" customWidth="1"/>
    <col min="8247" max="8247" width="14.42578125" customWidth="1"/>
    <col min="8249" max="8249" width="54.5703125" bestFit="1" customWidth="1"/>
    <col min="8251" max="8251" width="20.28515625" customWidth="1"/>
    <col min="8252" max="8252" width="14.42578125" customWidth="1"/>
    <col min="8502" max="8502" width="4.28515625" customWidth="1"/>
    <col min="8503" max="8503" width="14.42578125" customWidth="1"/>
    <col min="8505" max="8505" width="54.5703125" bestFit="1" customWidth="1"/>
    <col min="8507" max="8507" width="20.28515625" customWidth="1"/>
    <col min="8508" max="8508" width="14.42578125" customWidth="1"/>
    <col min="8758" max="8758" width="4.28515625" customWidth="1"/>
    <col min="8759" max="8759" width="14.42578125" customWidth="1"/>
    <col min="8761" max="8761" width="54.5703125" bestFit="1" customWidth="1"/>
    <col min="8763" max="8763" width="20.28515625" customWidth="1"/>
    <col min="8764" max="8764" width="14.42578125" customWidth="1"/>
    <col min="9014" max="9014" width="4.28515625" customWidth="1"/>
    <col min="9015" max="9015" width="14.42578125" customWidth="1"/>
    <col min="9017" max="9017" width="54.5703125" bestFit="1" customWidth="1"/>
    <col min="9019" max="9019" width="20.28515625" customWidth="1"/>
    <col min="9020" max="9020" width="14.42578125" customWidth="1"/>
    <col min="9270" max="9270" width="4.28515625" customWidth="1"/>
    <col min="9271" max="9271" width="14.42578125" customWidth="1"/>
    <col min="9273" max="9273" width="54.5703125" bestFit="1" customWidth="1"/>
    <col min="9275" max="9275" width="20.28515625" customWidth="1"/>
    <col min="9276" max="9276" width="14.42578125" customWidth="1"/>
    <col min="9526" max="9526" width="4.28515625" customWidth="1"/>
    <col min="9527" max="9527" width="14.42578125" customWidth="1"/>
    <col min="9529" max="9529" width="54.5703125" bestFit="1" customWidth="1"/>
    <col min="9531" max="9531" width="20.28515625" customWidth="1"/>
    <col min="9532" max="9532" width="14.42578125" customWidth="1"/>
    <col min="9782" max="9782" width="4.28515625" customWidth="1"/>
    <col min="9783" max="9783" width="14.42578125" customWidth="1"/>
    <col min="9785" max="9785" width="54.5703125" bestFit="1" customWidth="1"/>
    <col min="9787" max="9787" width="20.28515625" customWidth="1"/>
    <col min="9788" max="9788" width="14.42578125" customWidth="1"/>
    <col min="10038" max="10038" width="4.28515625" customWidth="1"/>
    <col min="10039" max="10039" width="14.42578125" customWidth="1"/>
    <col min="10041" max="10041" width="54.5703125" bestFit="1" customWidth="1"/>
    <col min="10043" max="10043" width="20.28515625" customWidth="1"/>
    <col min="10044" max="10044" width="14.42578125" customWidth="1"/>
    <col min="10294" max="10294" width="4.28515625" customWidth="1"/>
    <col min="10295" max="10295" width="14.42578125" customWidth="1"/>
    <col min="10297" max="10297" width="54.5703125" bestFit="1" customWidth="1"/>
    <col min="10299" max="10299" width="20.28515625" customWidth="1"/>
    <col min="10300" max="10300" width="14.42578125" customWidth="1"/>
    <col min="10550" max="10550" width="4.28515625" customWidth="1"/>
    <col min="10551" max="10551" width="14.42578125" customWidth="1"/>
    <col min="10553" max="10553" width="54.5703125" bestFit="1" customWidth="1"/>
    <col min="10555" max="10555" width="20.28515625" customWidth="1"/>
    <col min="10556" max="10556" width="14.42578125" customWidth="1"/>
    <col min="10806" max="10806" width="4.28515625" customWidth="1"/>
    <col min="10807" max="10807" width="14.42578125" customWidth="1"/>
    <col min="10809" max="10809" width="54.5703125" bestFit="1" customWidth="1"/>
    <col min="10811" max="10811" width="20.28515625" customWidth="1"/>
    <col min="10812" max="10812" width="14.42578125" customWidth="1"/>
    <col min="11062" max="11062" width="4.28515625" customWidth="1"/>
    <col min="11063" max="11063" width="14.42578125" customWidth="1"/>
    <col min="11065" max="11065" width="54.5703125" bestFit="1" customWidth="1"/>
    <col min="11067" max="11067" width="20.28515625" customWidth="1"/>
    <col min="11068" max="11068" width="14.42578125" customWidth="1"/>
    <col min="11318" max="11318" width="4.28515625" customWidth="1"/>
    <col min="11319" max="11319" width="14.42578125" customWidth="1"/>
    <col min="11321" max="11321" width="54.5703125" bestFit="1" customWidth="1"/>
    <col min="11323" max="11323" width="20.28515625" customWidth="1"/>
    <col min="11324" max="11324" width="14.42578125" customWidth="1"/>
    <col min="11574" max="11574" width="4.28515625" customWidth="1"/>
    <col min="11575" max="11575" width="14.42578125" customWidth="1"/>
    <col min="11577" max="11577" width="54.5703125" bestFit="1" customWidth="1"/>
    <col min="11579" max="11579" width="20.28515625" customWidth="1"/>
    <col min="11580" max="11580" width="14.42578125" customWidth="1"/>
    <col min="11830" max="11830" width="4.28515625" customWidth="1"/>
    <col min="11831" max="11831" width="14.42578125" customWidth="1"/>
    <col min="11833" max="11833" width="54.5703125" bestFit="1" customWidth="1"/>
    <col min="11835" max="11835" width="20.28515625" customWidth="1"/>
    <col min="11836" max="11836" width="14.42578125" customWidth="1"/>
    <col min="12086" max="12086" width="4.28515625" customWidth="1"/>
    <col min="12087" max="12087" width="14.42578125" customWidth="1"/>
    <col min="12089" max="12089" width="54.5703125" bestFit="1" customWidth="1"/>
    <col min="12091" max="12091" width="20.28515625" customWidth="1"/>
    <col min="12092" max="12092" width="14.42578125" customWidth="1"/>
    <col min="12342" max="12342" width="4.28515625" customWidth="1"/>
    <col min="12343" max="12343" width="14.42578125" customWidth="1"/>
    <col min="12345" max="12345" width="54.5703125" bestFit="1" customWidth="1"/>
    <col min="12347" max="12347" width="20.28515625" customWidth="1"/>
    <col min="12348" max="12348" width="14.42578125" customWidth="1"/>
    <col min="12598" max="12598" width="4.28515625" customWidth="1"/>
    <col min="12599" max="12599" width="14.42578125" customWidth="1"/>
    <col min="12601" max="12601" width="54.5703125" bestFit="1" customWidth="1"/>
    <col min="12603" max="12603" width="20.28515625" customWidth="1"/>
    <col min="12604" max="12604" width="14.42578125" customWidth="1"/>
    <col min="12854" max="12854" width="4.28515625" customWidth="1"/>
    <col min="12855" max="12855" width="14.42578125" customWidth="1"/>
    <col min="12857" max="12857" width="54.5703125" bestFit="1" customWidth="1"/>
    <col min="12859" max="12859" width="20.28515625" customWidth="1"/>
    <col min="12860" max="12860" width="14.42578125" customWidth="1"/>
    <col min="13110" max="13110" width="4.28515625" customWidth="1"/>
    <col min="13111" max="13111" width="14.42578125" customWidth="1"/>
    <col min="13113" max="13113" width="54.5703125" bestFit="1" customWidth="1"/>
    <col min="13115" max="13115" width="20.28515625" customWidth="1"/>
    <col min="13116" max="13116" width="14.42578125" customWidth="1"/>
    <col min="13366" max="13366" width="4.28515625" customWidth="1"/>
    <col min="13367" max="13367" width="14.42578125" customWidth="1"/>
    <col min="13369" max="13369" width="54.5703125" bestFit="1" customWidth="1"/>
    <col min="13371" max="13371" width="20.28515625" customWidth="1"/>
    <col min="13372" max="13372" width="14.42578125" customWidth="1"/>
    <col min="13622" max="13622" width="4.28515625" customWidth="1"/>
    <col min="13623" max="13623" width="14.42578125" customWidth="1"/>
    <col min="13625" max="13625" width="54.5703125" bestFit="1" customWidth="1"/>
    <col min="13627" max="13627" width="20.28515625" customWidth="1"/>
    <col min="13628" max="13628" width="14.42578125" customWidth="1"/>
    <col min="13878" max="13878" width="4.28515625" customWidth="1"/>
    <col min="13879" max="13879" width="14.42578125" customWidth="1"/>
    <col min="13881" max="13881" width="54.5703125" bestFit="1" customWidth="1"/>
    <col min="13883" max="13883" width="20.28515625" customWidth="1"/>
    <col min="13884" max="13884" width="14.42578125" customWidth="1"/>
    <col min="14134" max="14134" width="4.28515625" customWidth="1"/>
    <col min="14135" max="14135" width="14.42578125" customWidth="1"/>
    <col min="14137" max="14137" width="54.5703125" bestFit="1" customWidth="1"/>
    <col min="14139" max="14139" width="20.28515625" customWidth="1"/>
    <col min="14140" max="14140" width="14.42578125" customWidth="1"/>
    <col min="14390" max="14390" width="4.28515625" customWidth="1"/>
    <col min="14391" max="14391" width="14.42578125" customWidth="1"/>
    <col min="14393" max="14393" width="54.5703125" bestFit="1" customWidth="1"/>
    <col min="14395" max="14395" width="20.28515625" customWidth="1"/>
    <col min="14396" max="14396" width="14.42578125" customWidth="1"/>
    <col min="14646" max="14646" width="4.28515625" customWidth="1"/>
    <col min="14647" max="14647" width="14.42578125" customWidth="1"/>
    <col min="14649" max="14649" width="54.5703125" bestFit="1" customWidth="1"/>
    <col min="14651" max="14651" width="20.28515625" customWidth="1"/>
    <col min="14652" max="14652" width="14.42578125" customWidth="1"/>
    <col min="14902" max="14902" width="4.28515625" customWidth="1"/>
    <col min="14903" max="14903" width="14.42578125" customWidth="1"/>
    <col min="14905" max="14905" width="54.5703125" bestFit="1" customWidth="1"/>
    <col min="14907" max="14907" width="20.28515625" customWidth="1"/>
    <col min="14908" max="14908" width="14.42578125" customWidth="1"/>
    <col min="15158" max="15158" width="4.28515625" customWidth="1"/>
    <col min="15159" max="15159" width="14.42578125" customWidth="1"/>
    <col min="15161" max="15161" width="54.5703125" bestFit="1" customWidth="1"/>
    <col min="15163" max="15163" width="20.28515625" customWidth="1"/>
    <col min="15164" max="15164" width="14.42578125" customWidth="1"/>
    <col min="15414" max="15414" width="4.28515625" customWidth="1"/>
    <col min="15415" max="15415" width="14.42578125" customWidth="1"/>
    <col min="15417" max="15417" width="54.5703125" bestFit="1" customWidth="1"/>
    <col min="15419" max="15419" width="20.28515625" customWidth="1"/>
    <col min="15420" max="15420" width="14.42578125" customWidth="1"/>
    <col min="15670" max="15670" width="4.28515625" customWidth="1"/>
    <col min="15671" max="15671" width="14.42578125" customWidth="1"/>
    <col min="15673" max="15673" width="54.5703125" bestFit="1" customWidth="1"/>
    <col min="15675" max="15675" width="20.28515625" customWidth="1"/>
    <col min="15676" max="15676" width="14.42578125" customWidth="1"/>
    <col min="15926" max="15926" width="4.28515625" customWidth="1"/>
    <col min="15927" max="15927" width="14.42578125" customWidth="1"/>
    <col min="15929" max="15929" width="54.5703125" bestFit="1" customWidth="1"/>
    <col min="15931" max="15931" width="20.28515625" customWidth="1"/>
    <col min="15932" max="15932" width="14.42578125" customWidth="1"/>
    <col min="16182" max="16182" width="4.28515625" customWidth="1"/>
    <col min="16183" max="16183" width="14.42578125" customWidth="1"/>
    <col min="16185" max="16185" width="54.5703125" bestFit="1" customWidth="1"/>
    <col min="16187" max="16187" width="20.28515625" customWidth="1"/>
    <col min="16188" max="16188" width="14.42578125" customWidth="1"/>
  </cols>
  <sheetData>
    <row r="1" spans="1:70">
      <c r="AK1" s="43"/>
      <c r="AL1" s="1027"/>
      <c r="AM1" s="1027"/>
      <c r="AN1" s="1105"/>
      <c r="AO1" s="1106"/>
      <c r="AP1" s="1107"/>
      <c r="AQ1" s="1108"/>
      <c r="AR1" s="1108"/>
      <c r="AT1" s="1021"/>
      <c r="AU1" s="1021"/>
      <c r="AV1" s="1021"/>
      <c r="AW1" s="1021"/>
      <c r="AX1" s="1021"/>
      <c r="BC1" s="1021"/>
      <c r="BD1" s="1021"/>
      <c r="BE1" s="1021"/>
      <c r="BF1" s="1021"/>
      <c r="BG1" s="1021"/>
      <c r="BH1" s="1021"/>
      <c r="BI1" s="1021"/>
    </row>
    <row r="2" spans="1:70" ht="29.25" customHeight="1">
      <c r="A2" s="4974" t="s">
        <v>3970</v>
      </c>
      <c r="B2" s="4974"/>
      <c r="C2" s="4974"/>
      <c r="D2" s="4709"/>
      <c r="E2" s="4709"/>
      <c r="F2" s="4709"/>
      <c r="G2" s="4709"/>
      <c r="I2" s="4975" t="s">
        <v>2725</v>
      </c>
      <c r="J2" s="4975"/>
      <c r="K2" s="4975"/>
      <c r="L2" s="4975"/>
      <c r="M2" s="4975"/>
      <c r="N2" s="4975"/>
      <c r="P2" s="305" t="s">
        <v>2022</v>
      </c>
      <c r="Q2" s="73"/>
      <c r="R2" s="73"/>
      <c r="S2" s="73"/>
      <c r="T2" s="73"/>
      <c r="U2" s="73"/>
      <c r="W2" s="305" t="s">
        <v>1946</v>
      </c>
      <c r="X2" s="305"/>
      <c r="Y2" s="305"/>
      <c r="Z2" s="305"/>
      <c r="AA2" s="305"/>
      <c r="AB2" s="305"/>
      <c r="AD2" s="4975" t="s">
        <v>1432</v>
      </c>
      <c r="AE2" s="4975"/>
      <c r="AF2" s="4975"/>
      <c r="AG2" s="4975"/>
      <c r="AH2" s="4975"/>
      <c r="AI2" s="4975"/>
      <c r="AK2" s="1022" t="s">
        <v>2728</v>
      </c>
      <c r="AL2" s="1027"/>
      <c r="AM2" s="1027"/>
      <c r="AN2" s="1105"/>
      <c r="AO2" s="1106"/>
      <c r="AP2" s="1107"/>
      <c r="AQ2" s="1108"/>
      <c r="AR2" s="1108"/>
      <c r="AT2" s="3313" t="s">
        <v>2727</v>
      </c>
      <c r="AU2" s="1021"/>
      <c r="AV2" s="1021"/>
      <c r="AW2" s="1021"/>
      <c r="AX2" s="1021"/>
      <c r="BC2" s="4976" t="s">
        <v>2726</v>
      </c>
      <c r="BD2" s="4976"/>
      <c r="BE2" s="4976"/>
      <c r="BF2" s="4976"/>
      <c r="BG2" s="4976"/>
      <c r="BH2" s="4976"/>
      <c r="BI2" s="4976"/>
      <c r="BL2" s="118"/>
    </row>
    <row r="3" spans="1:70">
      <c r="A3" s="305"/>
      <c r="I3" t="s">
        <v>2719</v>
      </c>
      <c r="P3" s="1024" t="s">
        <v>2018</v>
      </c>
      <c r="Q3" s="73"/>
      <c r="R3" s="73"/>
      <c r="S3" s="73"/>
      <c r="T3" s="73"/>
      <c r="U3" s="73"/>
      <c r="W3" s="2252" t="s">
        <v>1942</v>
      </c>
      <c r="AD3" s="2285" t="s">
        <v>1418</v>
      </c>
      <c r="AE3" s="1115"/>
      <c r="AF3" s="1115"/>
      <c r="AG3" s="1115"/>
      <c r="AH3" s="1115"/>
      <c r="AI3" s="73"/>
      <c r="AK3" s="43" t="s">
        <v>1419</v>
      </c>
      <c r="AL3" s="1027"/>
      <c r="AM3" s="1027"/>
      <c r="AN3" s="1105"/>
      <c r="AO3" s="1106"/>
      <c r="AP3" s="1107"/>
      <c r="AQ3" s="1108"/>
      <c r="AR3" s="1108"/>
      <c r="BC3" s="1116"/>
      <c r="BD3" s="1116"/>
      <c r="BE3" s="1116"/>
      <c r="BF3" s="1116"/>
      <c r="BG3" s="1116"/>
      <c r="BH3" s="1116"/>
      <c r="BI3" s="118"/>
      <c r="BL3" s="118"/>
    </row>
    <row r="4" spans="1:70" ht="15.75">
      <c r="I4" s="74" t="s">
        <v>2724</v>
      </c>
      <c r="P4" s="73"/>
      <c r="Q4" s="73"/>
      <c r="R4" s="73"/>
      <c r="S4" s="4973">
        <v>2016</v>
      </c>
      <c r="T4" s="4973"/>
      <c r="U4" s="4973"/>
      <c r="Z4" s="4977">
        <v>2015</v>
      </c>
      <c r="AA4" s="4977"/>
      <c r="AB4" s="4977"/>
      <c r="AD4" s="80"/>
      <c r="AE4" s="1117"/>
      <c r="AF4" s="1117"/>
      <c r="AG4" s="4973">
        <v>2014</v>
      </c>
      <c r="AH4" s="4973"/>
      <c r="AI4" s="4973"/>
      <c r="AK4" s="1027"/>
      <c r="AL4" s="1027"/>
      <c r="AM4" s="1027"/>
      <c r="AN4" s="1105"/>
      <c r="AO4" s="4973">
        <v>2013</v>
      </c>
      <c r="AP4" s="4973"/>
      <c r="AQ4" s="4973"/>
      <c r="AR4" s="4973"/>
      <c r="AT4" s="1118"/>
      <c r="AU4" s="1118"/>
      <c r="AV4" s="1118"/>
      <c r="AW4" s="4973">
        <v>2012</v>
      </c>
      <c r="AX4" s="4973"/>
      <c r="AY4" s="4973"/>
      <c r="AZ4" s="4973"/>
      <c r="BA4" s="4973"/>
      <c r="BC4" s="121"/>
      <c r="BD4" s="121"/>
      <c r="BE4" s="74"/>
      <c r="BF4" s="4973">
        <v>2011</v>
      </c>
      <c r="BG4" s="4973"/>
      <c r="BH4" s="4973"/>
      <c r="BI4" s="4973"/>
      <c r="BJ4" s="74"/>
      <c r="BK4" s="74"/>
      <c r="BL4" s="74"/>
      <c r="BM4" s="74"/>
      <c r="BN4" s="74"/>
      <c r="BO4" s="4973">
        <v>2010</v>
      </c>
      <c r="BP4" s="4973"/>
      <c r="BQ4" s="4973"/>
      <c r="BR4" s="4973"/>
    </row>
    <row r="5" spans="1:70" ht="30.75" customHeight="1" thickBot="1">
      <c r="A5" s="768" t="s">
        <v>0</v>
      </c>
      <c r="B5" s="768" t="s">
        <v>1</v>
      </c>
      <c r="C5" s="768" t="s">
        <v>2</v>
      </c>
      <c r="D5" s="768" t="s">
        <v>1208</v>
      </c>
      <c r="E5" s="768" t="s">
        <v>1420</v>
      </c>
      <c r="F5" s="1120" t="s">
        <v>1356</v>
      </c>
      <c r="G5" s="88" t="s">
        <v>1425</v>
      </c>
      <c r="I5" s="768" t="s">
        <v>0</v>
      </c>
      <c r="J5" s="768" t="s">
        <v>1</v>
      </c>
      <c r="K5" s="768" t="s">
        <v>2</v>
      </c>
      <c r="L5" s="768" t="s">
        <v>2721</v>
      </c>
      <c r="M5" s="837" t="s">
        <v>1355</v>
      </c>
      <c r="N5" s="1120" t="s">
        <v>1356</v>
      </c>
      <c r="P5" s="733" t="s">
        <v>0</v>
      </c>
      <c r="Q5" s="733" t="s">
        <v>1</v>
      </c>
      <c r="R5" s="733" t="s">
        <v>2</v>
      </c>
      <c r="S5" s="733" t="s">
        <v>2019</v>
      </c>
      <c r="T5" s="733" t="s">
        <v>1420</v>
      </c>
      <c r="U5" s="1120" t="s">
        <v>1356</v>
      </c>
      <c r="V5" s="1"/>
      <c r="W5" s="2253" t="s">
        <v>0</v>
      </c>
      <c r="X5" s="2253" t="s">
        <v>1</v>
      </c>
      <c r="Y5" s="2254" t="s">
        <v>2</v>
      </c>
      <c r="Z5" s="2255" t="s">
        <v>1943</v>
      </c>
      <c r="AA5" s="2255" t="s">
        <v>1420</v>
      </c>
      <c r="AB5" s="1120" t="s">
        <v>1356</v>
      </c>
      <c r="AD5" s="1119" t="s">
        <v>0</v>
      </c>
      <c r="AE5" s="1119" t="s">
        <v>1</v>
      </c>
      <c r="AF5" s="1119" t="s">
        <v>2</v>
      </c>
      <c r="AG5" s="1119" t="s">
        <v>1208</v>
      </c>
      <c r="AH5" s="1119" t="s">
        <v>1420</v>
      </c>
      <c r="AI5" s="1120" t="s">
        <v>1356</v>
      </c>
      <c r="AK5" s="1121" t="s">
        <v>1057</v>
      </c>
      <c r="AL5" s="1121" t="s">
        <v>0</v>
      </c>
      <c r="AM5" s="949" t="s">
        <v>1</v>
      </c>
      <c r="AN5" s="949" t="s">
        <v>2</v>
      </c>
      <c r="AO5" s="949" t="s">
        <v>1208</v>
      </c>
      <c r="AP5" s="949" t="s">
        <v>1420</v>
      </c>
      <c r="AQ5" s="949" t="s">
        <v>1421</v>
      </c>
      <c r="AR5" s="1120" t="s">
        <v>1356</v>
      </c>
      <c r="AT5" s="1122" t="s">
        <v>0</v>
      </c>
      <c r="AU5" s="1122" t="s">
        <v>1</v>
      </c>
      <c r="AV5" s="1122" t="s">
        <v>2</v>
      </c>
      <c r="AW5" s="1031" t="s">
        <v>1422</v>
      </c>
      <c r="AX5" s="1031" t="s">
        <v>1356</v>
      </c>
      <c r="AY5" s="1122" t="s">
        <v>1420</v>
      </c>
      <c r="AZ5" s="1031" t="s">
        <v>1423</v>
      </c>
      <c r="BA5" s="1031" t="s">
        <v>1356</v>
      </c>
      <c r="BC5" s="768" t="s">
        <v>0</v>
      </c>
      <c r="BD5" s="768" t="s">
        <v>1</v>
      </c>
      <c r="BE5" s="768" t="s">
        <v>2</v>
      </c>
      <c r="BF5" s="1033" t="s">
        <v>1420</v>
      </c>
      <c r="BG5" s="88" t="s">
        <v>1424</v>
      </c>
      <c r="BH5" s="88" t="s">
        <v>1425</v>
      </c>
      <c r="BI5" s="1034" t="s">
        <v>1356</v>
      </c>
      <c r="BJ5" s="74"/>
      <c r="BK5" s="74"/>
      <c r="BL5" s="1123" t="s">
        <v>0</v>
      </c>
      <c r="BM5" s="1123" t="s">
        <v>1</v>
      </c>
      <c r="BN5" s="1123" t="s">
        <v>2</v>
      </c>
      <c r="BO5" s="1123" t="s">
        <v>1208</v>
      </c>
      <c r="BP5" s="1123" t="s">
        <v>1355</v>
      </c>
      <c r="BQ5" s="1124" t="s">
        <v>1357</v>
      </c>
      <c r="BR5" s="1125" t="s">
        <v>1358</v>
      </c>
    </row>
    <row r="6" spans="1:70">
      <c r="A6" s="74" t="s">
        <v>3</v>
      </c>
      <c r="B6" s="74" t="s">
        <v>4</v>
      </c>
      <c r="C6" s="74" t="s">
        <v>115</v>
      </c>
      <c r="D6" s="1046">
        <v>7</v>
      </c>
      <c r="E6" s="121">
        <v>1</v>
      </c>
      <c r="F6" s="1189">
        <f>D6-G6</f>
        <v>1</v>
      </c>
      <c r="G6" s="4677">
        <v>6</v>
      </c>
      <c r="I6" s="74" t="s">
        <v>3</v>
      </c>
      <c r="J6" s="74" t="s">
        <v>4</v>
      </c>
      <c r="K6" s="74" t="s">
        <v>115</v>
      </c>
      <c r="L6" s="1046">
        <v>5.33</v>
      </c>
      <c r="M6" s="121">
        <v>3</v>
      </c>
      <c r="N6" s="212">
        <f>L6-6</f>
        <v>-0.66999999999999993</v>
      </c>
      <c r="P6" s="163" t="s">
        <v>3</v>
      </c>
      <c r="Q6" s="163" t="s">
        <v>4</v>
      </c>
      <c r="R6" s="80" t="s">
        <v>116</v>
      </c>
      <c r="S6" s="212">
        <v>7.19</v>
      </c>
      <c r="T6" s="163">
        <v>31</v>
      </c>
      <c r="U6" s="212">
        <f>S6-6</f>
        <v>1.1900000000000004</v>
      </c>
      <c r="V6" s="1"/>
      <c r="W6" s="2256" t="s">
        <v>3</v>
      </c>
      <c r="X6" s="2256" t="s">
        <v>4</v>
      </c>
      <c r="Y6" s="2257" t="s">
        <v>116</v>
      </c>
      <c r="Z6" s="2258">
        <v>7.5294117647058814</v>
      </c>
      <c r="AA6" s="2259">
        <v>17</v>
      </c>
      <c r="AB6" s="212">
        <f>Z6-6</f>
        <v>1.5294117647058814</v>
      </c>
      <c r="AD6" s="1126" t="s">
        <v>3</v>
      </c>
      <c r="AE6" s="1126" t="s">
        <v>4</v>
      </c>
      <c r="AF6" s="1127" t="s">
        <v>115</v>
      </c>
      <c r="AG6" s="1128">
        <v>11.666666666666666</v>
      </c>
      <c r="AH6" s="1129">
        <v>3</v>
      </c>
      <c r="AI6" s="1130">
        <f>AG6-6</f>
        <v>5.6666666666666661</v>
      </c>
      <c r="AK6" s="965" t="s">
        <v>748</v>
      </c>
      <c r="AL6" s="965" t="s">
        <v>3</v>
      </c>
      <c r="AM6" s="965" t="s">
        <v>4</v>
      </c>
      <c r="AN6" s="734" t="s">
        <v>115</v>
      </c>
      <c r="AO6" s="736">
        <v>9</v>
      </c>
      <c r="AP6" s="735">
        <v>1</v>
      </c>
      <c r="AQ6" s="966"/>
      <c r="AR6" s="1131">
        <f>AO6-6</f>
        <v>3</v>
      </c>
      <c r="AT6" s="1132" t="s">
        <v>3</v>
      </c>
      <c r="AU6" s="1132" t="s">
        <v>4</v>
      </c>
      <c r="AV6" s="1133" t="s">
        <v>115</v>
      </c>
      <c r="AW6" s="1134">
        <v>9</v>
      </c>
      <c r="AX6" s="1134">
        <f>AW6-BH6</f>
        <v>3</v>
      </c>
      <c r="AY6" s="1135">
        <v>1</v>
      </c>
      <c r="AZ6" s="1134">
        <v>9</v>
      </c>
      <c r="BA6" s="1134">
        <f>AZ6-BH6</f>
        <v>3</v>
      </c>
      <c r="BC6" s="121" t="s">
        <v>3</v>
      </c>
      <c r="BD6" s="121" t="s">
        <v>4</v>
      </c>
      <c r="BE6" s="74" t="s">
        <v>115</v>
      </c>
      <c r="BF6" s="121">
        <v>4</v>
      </c>
      <c r="BG6" s="1046">
        <v>39</v>
      </c>
      <c r="BH6" s="121">
        <v>6</v>
      </c>
      <c r="BI6" s="1046">
        <f>+BG6-BH6</f>
        <v>33</v>
      </c>
      <c r="BJ6" s="74"/>
      <c r="BK6" s="74"/>
      <c r="BL6" s="1136" t="s">
        <v>3</v>
      </c>
      <c r="BM6" s="1137" t="s">
        <v>4</v>
      </c>
      <c r="BN6" s="1136" t="s">
        <v>115</v>
      </c>
      <c r="BO6" s="1138">
        <v>12</v>
      </c>
      <c r="BP6" s="1137">
        <v>1</v>
      </c>
      <c r="BQ6" s="1139">
        <v>6</v>
      </c>
      <c r="BR6" s="1138">
        <f>BO6-6</f>
        <v>6</v>
      </c>
    </row>
    <row r="7" spans="1:70">
      <c r="A7" s="74"/>
      <c r="B7" s="74"/>
      <c r="C7" s="74"/>
      <c r="D7" s="1046"/>
      <c r="E7" s="121"/>
      <c r="F7" s="1189"/>
      <c r="G7" s="4677"/>
      <c r="I7" s="74"/>
      <c r="J7" s="74"/>
      <c r="K7" s="74" t="s">
        <v>116</v>
      </c>
      <c r="L7" s="1046">
        <v>7.13</v>
      </c>
      <c r="M7" s="121">
        <v>16</v>
      </c>
      <c r="N7" s="212">
        <f t="shared" ref="N7:N70" si="0">L7-6</f>
        <v>1.1299999999999999</v>
      </c>
      <c r="P7" s="163"/>
      <c r="Q7" s="163"/>
      <c r="R7" s="80" t="s">
        <v>117</v>
      </c>
      <c r="S7" s="212">
        <v>6.38</v>
      </c>
      <c r="T7" s="163">
        <v>8</v>
      </c>
      <c r="U7" s="212">
        <f>S7-5</f>
        <v>1.38</v>
      </c>
      <c r="V7" s="1"/>
      <c r="W7" s="2256"/>
      <c r="X7" s="2256"/>
      <c r="Y7" s="2257" t="s">
        <v>117</v>
      </c>
      <c r="Z7" s="2258">
        <v>6</v>
      </c>
      <c r="AA7" s="2259">
        <v>9</v>
      </c>
      <c r="AB7" s="212">
        <f>Z7-5</f>
        <v>1</v>
      </c>
      <c r="AD7" s="1126"/>
      <c r="AE7" s="1126"/>
      <c r="AF7" s="1127" t="s">
        <v>116</v>
      </c>
      <c r="AG7" s="1128">
        <v>7.5294117647058805</v>
      </c>
      <c r="AH7" s="1129">
        <v>17</v>
      </c>
      <c r="AI7" s="1130">
        <f>AG7-6</f>
        <v>1.5294117647058805</v>
      </c>
      <c r="AK7" s="965"/>
      <c r="AL7" s="965"/>
      <c r="AM7" s="965"/>
      <c r="AN7" s="734" t="s">
        <v>116</v>
      </c>
      <c r="AO7" s="736">
        <v>8.2857142857142883</v>
      </c>
      <c r="AP7" s="735">
        <v>14</v>
      </c>
      <c r="AQ7" s="1042">
        <v>2.7576068618270453</v>
      </c>
      <c r="AR7" s="1131">
        <f t="shared" ref="AR7" si="1">AO7-6</f>
        <v>2.2857142857142883</v>
      </c>
      <c r="AT7" s="1132"/>
      <c r="AU7" s="1132"/>
      <c r="AV7" s="1133" t="s">
        <v>116</v>
      </c>
      <c r="AW7" s="1134">
        <v>8.1538461538461533</v>
      </c>
      <c r="AX7" s="1134">
        <f t="shared" ref="AX7:AX16" si="2">AW7-BH7</f>
        <v>2.1538461538461533</v>
      </c>
      <c r="AY7" s="1135">
        <v>26</v>
      </c>
      <c r="AZ7" s="1134">
        <v>9.8461538461538485</v>
      </c>
      <c r="BA7" s="1134">
        <f t="shared" ref="BA7:BA58" si="3">AZ7-BH7</f>
        <v>3.8461538461538485</v>
      </c>
      <c r="BC7" s="121"/>
      <c r="BD7" s="121"/>
      <c r="BE7" s="74" t="s">
        <v>116</v>
      </c>
      <c r="BF7" s="121">
        <v>18</v>
      </c>
      <c r="BG7" s="1046">
        <v>13.611111111111107</v>
      </c>
      <c r="BH7" s="121">
        <v>6</v>
      </c>
      <c r="BI7" s="1046">
        <f t="shared" ref="BI7:BI58" si="4">+BG7-BH7</f>
        <v>7.6111111111111072</v>
      </c>
      <c r="BJ7" s="74"/>
      <c r="BK7" s="74"/>
      <c r="BL7" s="1136"/>
      <c r="BM7" s="1137"/>
      <c r="BN7" s="1136" t="s">
        <v>116</v>
      </c>
      <c r="BO7" s="1138">
        <v>11.5</v>
      </c>
      <c r="BP7" s="1137">
        <v>10</v>
      </c>
      <c r="BQ7" s="1139">
        <v>6</v>
      </c>
      <c r="BR7" s="1138">
        <f>BO7-6</f>
        <v>5.5</v>
      </c>
    </row>
    <row r="8" spans="1:70">
      <c r="A8" s="74"/>
      <c r="B8" s="74"/>
      <c r="C8" s="74" t="s">
        <v>117</v>
      </c>
      <c r="D8" s="1046">
        <v>6.38</v>
      </c>
      <c r="E8" s="121">
        <v>8</v>
      </c>
      <c r="F8" s="1189">
        <f t="shared" ref="F8:F70" si="5">D8-G8</f>
        <v>0.37999999999999989</v>
      </c>
      <c r="G8" s="4677">
        <v>6</v>
      </c>
      <c r="I8" s="74"/>
      <c r="J8" s="74"/>
      <c r="K8" s="74" t="s">
        <v>117</v>
      </c>
      <c r="L8" s="1046">
        <v>6.5</v>
      </c>
      <c r="M8" s="121">
        <v>16</v>
      </c>
      <c r="N8" s="212">
        <f t="shared" si="0"/>
        <v>0.5</v>
      </c>
      <c r="P8" s="163"/>
      <c r="Q8" s="163"/>
      <c r="R8" s="80" t="s">
        <v>708</v>
      </c>
      <c r="S8" s="212">
        <v>7.67</v>
      </c>
      <c r="T8" s="163">
        <v>9</v>
      </c>
      <c r="U8" s="212">
        <f t="shared" ref="U8:U70" si="6">S8-6</f>
        <v>1.67</v>
      </c>
      <c r="V8" s="1"/>
      <c r="W8" s="2256"/>
      <c r="X8" s="2256"/>
      <c r="Y8" s="2257" t="s">
        <v>708</v>
      </c>
      <c r="Z8" s="2258">
        <v>7.4</v>
      </c>
      <c r="AA8" s="2259">
        <v>5</v>
      </c>
      <c r="AB8" s="212">
        <f t="shared" ref="AB8:AB68" si="7">Z8-6</f>
        <v>1.4000000000000004</v>
      </c>
      <c r="AD8" s="1126"/>
      <c r="AE8" s="1126"/>
      <c r="AF8" s="1127" t="s">
        <v>117</v>
      </c>
      <c r="AG8" s="1128">
        <v>6</v>
      </c>
      <c r="AH8" s="1129">
        <v>12</v>
      </c>
      <c r="AI8" s="1130">
        <f>AG8-5</f>
        <v>1</v>
      </c>
      <c r="AK8" s="965"/>
      <c r="AL8" s="965"/>
      <c r="AM8" s="965"/>
      <c r="AN8" s="734" t="s">
        <v>117</v>
      </c>
      <c r="AO8" s="736">
        <v>7.25</v>
      </c>
      <c r="AP8" s="735">
        <v>8</v>
      </c>
      <c r="AQ8" s="1042">
        <v>1.8322507626258087</v>
      </c>
      <c r="AR8" s="1131">
        <f>AO8-5</f>
        <v>2.25</v>
      </c>
      <c r="AT8" s="1132"/>
      <c r="AU8" s="1132"/>
      <c r="AV8" s="1133" t="s">
        <v>117</v>
      </c>
      <c r="AW8" s="1134">
        <v>5.8333333333333339</v>
      </c>
      <c r="AX8" s="1134">
        <f t="shared" si="2"/>
        <v>0.83333333333333393</v>
      </c>
      <c r="AY8" s="1135">
        <v>12</v>
      </c>
      <c r="AZ8" s="1134">
        <v>6.1666666666666661</v>
      </c>
      <c r="BA8" s="1134">
        <f t="shared" si="3"/>
        <v>1.1666666666666661</v>
      </c>
      <c r="BC8" s="121"/>
      <c r="BD8" s="121"/>
      <c r="BE8" s="74" t="s">
        <v>117</v>
      </c>
      <c r="BF8" s="121">
        <v>9</v>
      </c>
      <c r="BG8" s="1046">
        <v>8.4444444444444446</v>
      </c>
      <c r="BH8" s="121">
        <v>5</v>
      </c>
      <c r="BI8" s="1046">
        <f t="shared" si="4"/>
        <v>3.4444444444444446</v>
      </c>
      <c r="BJ8" s="74"/>
      <c r="BK8" s="74"/>
      <c r="BL8" s="1136"/>
      <c r="BM8" s="1137"/>
      <c r="BN8" s="1136" t="s">
        <v>117</v>
      </c>
      <c r="BO8" s="1138">
        <v>7.125</v>
      </c>
      <c r="BP8" s="1137">
        <v>8</v>
      </c>
      <c r="BQ8" s="1139">
        <v>5</v>
      </c>
      <c r="BR8" s="1138">
        <f>BO8-5</f>
        <v>2.125</v>
      </c>
    </row>
    <row r="9" spans="1:70">
      <c r="A9" s="74"/>
      <c r="B9" s="74"/>
      <c r="C9" s="74" t="s">
        <v>708</v>
      </c>
      <c r="D9" s="1046">
        <v>7.5</v>
      </c>
      <c r="E9" s="121">
        <v>8</v>
      </c>
      <c r="F9" s="1189">
        <f t="shared" si="5"/>
        <v>1.5</v>
      </c>
      <c r="G9" s="4677">
        <v>6</v>
      </c>
      <c r="I9" s="74"/>
      <c r="J9" s="74"/>
      <c r="K9" s="74" t="s">
        <v>708</v>
      </c>
      <c r="L9" s="1046">
        <v>7.75</v>
      </c>
      <c r="M9" s="121">
        <v>12</v>
      </c>
      <c r="N9" s="212">
        <f t="shared" si="0"/>
        <v>1.75</v>
      </c>
      <c r="P9" s="163"/>
      <c r="Q9" s="163"/>
      <c r="R9" s="80" t="s">
        <v>707</v>
      </c>
      <c r="S9" s="212">
        <v>8</v>
      </c>
      <c r="T9" s="163">
        <v>3</v>
      </c>
      <c r="U9" s="212">
        <f t="shared" si="6"/>
        <v>2</v>
      </c>
      <c r="V9" s="1"/>
      <c r="W9" s="2256"/>
      <c r="X9" s="2256"/>
      <c r="Y9" s="2257" t="s">
        <v>707</v>
      </c>
      <c r="Z9" s="2258">
        <v>8.3333333333333339</v>
      </c>
      <c r="AA9" s="2259">
        <v>3</v>
      </c>
      <c r="AB9" s="212">
        <f t="shared" si="7"/>
        <v>2.3333333333333339</v>
      </c>
      <c r="AD9" s="1126"/>
      <c r="AE9" s="1126"/>
      <c r="AF9" s="1127" t="s">
        <v>708</v>
      </c>
      <c r="AG9" s="1128">
        <v>7.6</v>
      </c>
      <c r="AH9" s="1129">
        <v>5</v>
      </c>
      <c r="AI9" s="1130">
        <f>AG9-6</f>
        <v>1.5999999999999996</v>
      </c>
      <c r="AK9" s="965"/>
      <c r="AL9" s="965"/>
      <c r="AM9" s="965"/>
      <c r="AN9" s="1061" t="s">
        <v>572</v>
      </c>
      <c r="AO9" s="739">
        <v>7.9565217391304337</v>
      </c>
      <c r="AP9" s="740">
        <v>23</v>
      </c>
      <c r="AQ9" s="1062">
        <v>2.4210865492690226</v>
      </c>
      <c r="AR9" s="1140">
        <f>+(AP6*AR6+AP7*AR7+AP8*AR8)/AP9</f>
        <v>2.3043478260869579</v>
      </c>
      <c r="AT9" s="1132"/>
      <c r="AU9" s="1132"/>
      <c r="AV9" s="1141" t="s">
        <v>572</v>
      </c>
      <c r="AW9" s="1140">
        <v>7.4615384615384626</v>
      </c>
      <c r="AX9" s="1140">
        <f>+(AY6*AX6+AY7*AX7+AY8*AX8)/AY9</f>
        <v>1.7692307692307692</v>
      </c>
      <c r="AY9" s="1142">
        <v>39</v>
      </c>
      <c r="AZ9" s="1140">
        <v>8.6923076923076952</v>
      </c>
      <c r="BA9" s="1140">
        <f>+(AY6*BA6+AY7*BA7+AY8*BA8)/AY9</f>
        <v>3.0000000000000013</v>
      </c>
      <c r="BC9" s="121"/>
      <c r="BD9" s="121"/>
      <c r="BE9" s="761" t="s">
        <v>15</v>
      </c>
      <c r="BF9" s="729">
        <v>31</v>
      </c>
      <c r="BG9" s="1059">
        <v>15.38709677419355</v>
      </c>
      <c r="BH9" s="1143"/>
      <c r="BI9" s="1059">
        <f>+(BF6*BI6+BF7*BI7+BF8*BI8)/BF9</f>
        <v>9.6774193548387082</v>
      </c>
      <c r="BJ9" s="1144">
        <f>AVERAGE(BI6:BI8)</f>
        <v>14.685185185185183</v>
      </c>
      <c r="BK9" s="74"/>
      <c r="BL9" s="1136"/>
      <c r="BM9" s="1137"/>
      <c r="BN9" s="1137" t="s">
        <v>15</v>
      </c>
      <c r="BO9" s="1138">
        <v>9.6842105263157876</v>
      </c>
      <c r="BP9" s="1137">
        <v>19</v>
      </c>
      <c r="BQ9" s="1145"/>
      <c r="BR9" s="1146">
        <f>AVERAGE(BR6:BR8)</f>
        <v>4.541666666666667</v>
      </c>
    </row>
    <row r="10" spans="1:70">
      <c r="A10" s="74"/>
      <c r="B10" s="74"/>
      <c r="C10" s="74" t="s">
        <v>707</v>
      </c>
      <c r="D10" s="1046">
        <v>8</v>
      </c>
      <c r="E10" s="121">
        <v>6</v>
      </c>
      <c r="F10" s="1189">
        <f t="shared" si="5"/>
        <v>2</v>
      </c>
      <c r="G10" s="4677">
        <v>6</v>
      </c>
      <c r="I10" s="74"/>
      <c r="J10" s="74"/>
      <c r="K10" s="74" t="s">
        <v>707</v>
      </c>
      <c r="L10" s="1046">
        <v>7.67</v>
      </c>
      <c r="M10" s="121">
        <v>3</v>
      </c>
      <c r="N10" s="212">
        <f t="shared" si="0"/>
        <v>1.67</v>
      </c>
      <c r="P10" s="163"/>
      <c r="Q10" s="163"/>
      <c r="R10" s="1245" t="s">
        <v>572</v>
      </c>
      <c r="S10" s="1246">
        <v>7.2</v>
      </c>
      <c r="T10" s="213">
        <v>51</v>
      </c>
      <c r="U10" s="1152">
        <f>+(T6*U6+T7*U7+T8*U8+T9*U9)/T10</f>
        <v>1.3521568627450982</v>
      </c>
      <c r="V10" s="1"/>
      <c r="W10" s="2256"/>
      <c r="X10" s="2256"/>
      <c r="Y10" s="2257"/>
      <c r="Z10" s="2258"/>
      <c r="AA10" s="2259"/>
      <c r="AB10" s="212"/>
      <c r="AD10" s="1126"/>
      <c r="AE10" s="1126"/>
      <c r="AF10" s="1127" t="s">
        <v>707</v>
      </c>
      <c r="AG10" s="1128">
        <v>7</v>
      </c>
      <c r="AH10" s="1129">
        <v>1</v>
      </c>
      <c r="AI10" s="1130">
        <f t="shared" ref="AI10:AI67" si="8">AG10-6</f>
        <v>1</v>
      </c>
      <c r="AK10" s="965"/>
      <c r="AL10" s="965"/>
      <c r="AM10" s="965" t="s">
        <v>16</v>
      </c>
      <c r="AN10" s="734" t="s">
        <v>118</v>
      </c>
      <c r="AO10" s="736">
        <v>7.25</v>
      </c>
      <c r="AP10" s="735">
        <v>4</v>
      </c>
      <c r="AQ10" s="1147">
        <v>0.49999999999999994</v>
      </c>
      <c r="AR10" s="1148">
        <f>AO10-6</f>
        <v>1.25</v>
      </c>
      <c r="AT10" s="1132"/>
      <c r="AU10" s="1132" t="s">
        <v>16</v>
      </c>
      <c r="AV10" s="1133" t="s">
        <v>118</v>
      </c>
      <c r="AW10" s="1134">
        <v>7.5</v>
      </c>
      <c r="AX10" s="1134">
        <f t="shared" si="2"/>
        <v>1.5</v>
      </c>
      <c r="AY10" s="1135">
        <v>2</v>
      </c>
      <c r="AZ10" s="1134">
        <v>7.5</v>
      </c>
      <c r="BA10" s="1134">
        <f t="shared" si="3"/>
        <v>1.5</v>
      </c>
      <c r="BC10" s="121"/>
      <c r="BD10" s="121" t="s">
        <v>16</v>
      </c>
      <c r="BE10" s="74" t="s">
        <v>118</v>
      </c>
      <c r="BF10" s="121">
        <v>3</v>
      </c>
      <c r="BG10" s="1046">
        <v>7.333333333333333</v>
      </c>
      <c r="BH10" s="121">
        <v>6</v>
      </c>
      <c r="BI10" s="1046">
        <f t="shared" si="4"/>
        <v>1.333333333333333</v>
      </c>
      <c r="BJ10" s="74"/>
      <c r="BK10" s="74"/>
      <c r="BL10" s="1136"/>
      <c r="BM10" s="1137" t="s">
        <v>16</v>
      </c>
      <c r="BN10" s="1136" t="s">
        <v>118</v>
      </c>
      <c r="BO10" s="1138">
        <v>6.6</v>
      </c>
      <c r="BP10" s="1137">
        <v>5</v>
      </c>
      <c r="BQ10" s="1139">
        <v>6</v>
      </c>
      <c r="BR10" s="1138">
        <f>BO10-6</f>
        <v>0.59999999999999964</v>
      </c>
    </row>
    <row r="11" spans="1:70">
      <c r="A11" s="74"/>
      <c r="B11" s="74"/>
      <c r="C11" s="74" t="s">
        <v>2713</v>
      </c>
      <c r="D11" s="1046">
        <v>7.58</v>
      </c>
      <c r="E11" s="121">
        <v>33</v>
      </c>
      <c r="F11" s="1189">
        <f t="shared" si="5"/>
        <v>1.58</v>
      </c>
      <c r="G11" s="4677">
        <v>6</v>
      </c>
      <c r="I11" s="74"/>
      <c r="J11" s="74"/>
      <c r="K11" s="74" t="s">
        <v>2713</v>
      </c>
      <c r="L11" s="1046">
        <v>7.73</v>
      </c>
      <c r="M11" s="121">
        <v>15</v>
      </c>
      <c r="N11" s="212">
        <f t="shared" si="0"/>
        <v>1.7300000000000004</v>
      </c>
      <c r="P11" s="163"/>
      <c r="Q11" s="163" t="s">
        <v>16</v>
      </c>
      <c r="R11" s="80" t="s">
        <v>118</v>
      </c>
      <c r="S11" s="212">
        <v>6.89</v>
      </c>
      <c r="T11" s="163">
        <v>9</v>
      </c>
      <c r="U11" s="212">
        <f t="shared" ref="U11:U15" si="9">S11-6</f>
        <v>0.88999999999999968</v>
      </c>
      <c r="V11" s="1"/>
      <c r="W11" s="2256"/>
      <c r="X11" s="2256"/>
      <c r="Y11" s="2260" t="s">
        <v>572</v>
      </c>
      <c r="Z11" s="2261">
        <v>7.1764705882352944</v>
      </c>
      <c r="AA11" s="2262">
        <v>34</v>
      </c>
      <c r="AB11" s="1152">
        <f>+(AA6*AB6+AA7*AB7+AA8*AB8+AA9*AB9+AA10*AB10)/AA11</f>
        <v>1.4411764705882348</v>
      </c>
      <c r="AD11" s="1126"/>
      <c r="AE11" s="1126"/>
      <c r="AF11" s="1149" t="s">
        <v>572</v>
      </c>
      <c r="AG11" s="1150">
        <v>7.3684210526315805</v>
      </c>
      <c r="AH11" s="1151">
        <v>38</v>
      </c>
      <c r="AI11" s="1152">
        <f>+(AH6*AI6+AH7*AI7+AH8*AI8+AH9*AI9+AH10*AI10)/AH11</f>
        <v>1.6842105263157887</v>
      </c>
      <c r="AK11" s="965"/>
      <c r="AL11" s="965"/>
      <c r="AM11" s="965"/>
      <c r="AN11" s="734" t="s">
        <v>247</v>
      </c>
      <c r="AO11" s="736">
        <v>6</v>
      </c>
      <c r="AP11" s="735">
        <v>15</v>
      </c>
      <c r="AQ11" s="1042">
        <v>0</v>
      </c>
      <c r="AR11" s="1148">
        <f t="shared" ref="AR11:AR12" si="10">AO11-6</f>
        <v>0</v>
      </c>
      <c r="AT11" s="1132"/>
      <c r="AU11" s="1132"/>
      <c r="AV11" s="1133"/>
      <c r="AW11" s="1134"/>
      <c r="AX11" s="1134"/>
      <c r="AY11" s="1135"/>
      <c r="AZ11" s="1134"/>
      <c r="BA11" s="1134"/>
      <c r="BC11" s="121"/>
      <c r="BD11" s="121"/>
      <c r="BE11" s="74" t="s">
        <v>247</v>
      </c>
      <c r="BF11" s="121">
        <v>10</v>
      </c>
      <c r="BG11" s="1046">
        <v>6</v>
      </c>
      <c r="BH11" s="121">
        <v>6</v>
      </c>
      <c r="BI11" s="1046">
        <f t="shared" si="4"/>
        <v>0</v>
      </c>
      <c r="BJ11" s="74"/>
      <c r="BK11" s="74"/>
      <c r="BL11" s="1136"/>
      <c r="BM11" s="1137"/>
      <c r="BN11" s="1153" t="s">
        <v>892</v>
      </c>
      <c r="BO11" s="1138">
        <v>6</v>
      </c>
      <c r="BP11" s="1137">
        <v>2</v>
      </c>
      <c r="BQ11" s="1139">
        <v>6</v>
      </c>
      <c r="BR11" s="1138">
        <f>BO11-6</f>
        <v>0</v>
      </c>
    </row>
    <row r="12" spans="1:70">
      <c r="A12" s="74"/>
      <c r="B12" s="74"/>
      <c r="C12" s="761" t="s">
        <v>572</v>
      </c>
      <c r="D12" s="1059">
        <v>7.43</v>
      </c>
      <c r="E12" s="4673">
        <v>56</v>
      </c>
      <c r="F12" s="1152">
        <f>+(E6*F6+E7*F7+E8*F8+E9*F9+E10*F10+E11*F11)/E12</f>
        <v>1.4317857142857144</v>
      </c>
      <c r="G12" s="4677"/>
      <c r="I12" s="74"/>
      <c r="J12" s="74"/>
      <c r="K12" s="761" t="s">
        <v>572</v>
      </c>
      <c r="L12" s="1059">
        <v>7.17</v>
      </c>
      <c r="M12" s="729">
        <v>65</v>
      </c>
      <c r="N12" s="1152">
        <f>+(M6*N6+M7*N7+M8*N8+M9*N9+M10*N10+M11*N11)/M12</f>
        <v>1.1696923076923078</v>
      </c>
      <c r="P12" s="163"/>
      <c r="Q12" s="163"/>
      <c r="R12" s="80" t="s">
        <v>247</v>
      </c>
      <c r="S12" s="212">
        <v>6</v>
      </c>
      <c r="T12" s="163">
        <v>4</v>
      </c>
      <c r="U12" s="212">
        <f t="shared" si="9"/>
        <v>0</v>
      </c>
      <c r="V12" s="1"/>
      <c r="W12" s="2256"/>
      <c r="X12" s="2256" t="s">
        <v>16</v>
      </c>
      <c r="Y12" s="2257" t="s">
        <v>118</v>
      </c>
      <c r="Z12" s="2258">
        <v>6.7</v>
      </c>
      <c r="AA12" s="2259">
        <v>10</v>
      </c>
      <c r="AB12" s="212">
        <f t="shared" si="7"/>
        <v>0.70000000000000018</v>
      </c>
      <c r="AD12" s="1126"/>
      <c r="AE12" s="1126" t="s">
        <v>16</v>
      </c>
      <c r="AF12" s="1127" t="s">
        <v>118</v>
      </c>
      <c r="AG12" s="1128">
        <v>6.5</v>
      </c>
      <c r="AH12" s="1129">
        <v>2</v>
      </c>
      <c r="AI12" s="1130">
        <f t="shared" si="8"/>
        <v>0.5</v>
      </c>
      <c r="AK12" s="965"/>
      <c r="AL12" s="965"/>
      <c r="AM12" s="965"/>
      <c r="AN12" s="734" t="s">
        <v>120</v>
      </c>
      <c r="AO12" s="736">
        <v>6</v>
      </c>
      <c r="AP12" s="735">
        <v>1</v>
      </c>
      <c r="AQ12" s="966"/>
      <c r="AR12" s="1148">
        <f t="shared" si="10"/>
        <v>0</v>
      </c>
      <c r="AT12" s="1132"/>
      <c r="AU12" s="1132"/>
      <c r="AV12" s="1133" t="s">
        <v>892</v>
      </c>
      <c r="AW12" s="1134">
        <v>6</v>
      </c>
      <c r="AX12" s="1134">
        <f t="shared" si="2"/>
        <v>0</v>
      </c>
      <c r="AY12" s="1135">
        <v>1</v>
      </c>
      <c r="AZ12" s="1134">
        <v>25</v>
      </c>
      <c r="BA12" s="1134">
        <f t="shared" si="3"/>
        <v>19</v>
      </c>
      <c r="BC12" s="121"/>
      <c r="BD12" s="121"/>
      <c r="BE12" s="74" t="s">
        <v>892</v>
      </c>
      <c r="BF12" s="121">
        <v>3</v>
      </c>
      <c r="BG12" s="1046">
        <v>20.333333333333332</v>
      </c>
      <c r="BH12" s="121">
        <v>6</v>
      </c>
      <c r="BI12" s="1046">
        <f t="shared" si="4"/>
        <v>14.333333333333332</v>
      </c>
      <c r="BJ12" s="74"/>
      <c r="BK12" s="74"/>
      <c r="BL12" s="1136"/>
      <c r="BM12" s="1137"/>
      <c r="BN12" s="1136" t="s">
        <v>119</v>
      </c>
      <c r="BO12" s="1138">
        <v>6.4166666666666661</v>
      </c>
      <c r="BP12" s="1137">
        <v>12</v>
      </c>
      <c r="BQ12" s="1139">
        <v>6</v>
      </c>
      <c r="BR12" s="1138">
        <f>BO12-6</f>
        <v>0.41666666666666607</v>
      </c>
    </row>
    <row r="13" spans="1:70">
      <c r="A13" s="74"/>
      <c r="B13" s="74" t="s">
        <v>16</v>
      </c>
      <c r="C13" s="74" t="s">
        <v>118</v>
      </c>
      <c r="D13" s="1046">
        <v>6.67</v>
      </c>
      <c r="E13" s="121">
        <v>6</v>
      </c>
      <c r="F13" s="1189">
        <f t="shared" si="5"/>
        <v>0.66999999999999993</v>
      </c>
      <c r="G13" s="4677">
        <v>6</v>
      </c>
      <c r="I13" s="74"/>
      <c r="J13" s="74" t="s">
        <v>16</v>
      </c>
      <c r="K13" s="74" t="s">
        <v>118</v>
      </c>
      <c r="L13" s="1046">
        <v>7.5</v>
      </c>
      <c r="M13" s="121">
        <v>8</v>
      </c>
      <c r="N13" s="212">
        <f t="shared" si="0"/>
        <v>1.5</v>
      </c>
      <c r="P13" s="163"/>
      <c r="Q13" s="163"/>
      <c r="R13" s="80" t="s">
        <v>119</v>
      </c>
      <c r="S13" s="212">
        <v>7.07</v>
      </c>
      <c r="T13" s="163">
        <v>15</v>
      </c>
      <c r="U13" s="212">
        <f t="shared" si="9"/>
        <v>1.0700000000000003</v>
      </c>
      <c r="V13" s="1"/>
      <c r="W13" s="2256"/>
      <c r="X13" s="2256"/>
      <c r="Y13" s="2257" t="s">
        <v>247</v>
      </c>
      <c r="Z13" s="2258">
        <v>6</v>
      </c>
      <c r="AA13" s="2259">
        <v>6</v>
      </c>
      <c r="AB13" s="212">
        <f t="shared" si="7"/>
        <v>0</v>
      </c>
      <c r="AD13" s="1126"/>
      <c r="AE13" s="1126"/>
      <c r="AF13" s="1127" t="s">
        <v>247</v>
      </c>
      <c r="AG13" s="1128">
        <v>6</v>
      </c>
      <c r="AH13" s="1129">
        <v>5</v>
      </c>
      <c r="AI13" s="1130">
        <f t="shared" si="8"/>
        <v>0</v>
      </c>
      <c r="AK13" s="965"/>
      <c r="AL13" s="965"/>
      <c r="AM13" s="965"/>
      <c r="AN13" s="1061" t="s">
        <v>573</v>
      </c>
      <c r="AO13" s="739">
        <v>6.2499999999999991</v>
      </c>
      <c r="AP13" s="740">
        <v>20</v>
      </c>
      <c r="AQ13" s="1154">
        <v>0.5501196042201808</v>
      </c>
      <c r="AR13" s="1140">
        <f>+(AP10*AR10+AP11*AR11+AP12*AR12)/AP13</f>
        <v>0.25</v>
      </c>
      <c r="AT13" s="1132"/>
      <c r="AU13" s="1132"/>
      <c r="AV13" s="1133" t="s">
        <v>119</v>
      </c>
      <c r="AW13" s="1134">
        <v>6.5</v>
      </c>
      <c r="AX13" s="1134">
        <f t="shared" si="2"/>
        <v>0.5</v>
      </c>
      <c r="AY13" s="1135">
        <v>10</v>
      </c>
      <c r="AZ13" s="1134">
        <v>7.3999999999999995</v>
      </c>
      <c r="BA13" s="1134">
        <f t="shared" si="3"/>
        <v>1.3999999999999995</v>
      </c>
      <c r="BC13" s="121"/>
      <c r="BD13" s="121"/>
      <c r="BE13" s="74" t="s">
        <v>119</v>
      </c>
      <c r="BF13" s="121">
        <v>6</v>
      </c>
      <c r="BG13" s="1046">
        <v>6.6666666666666661</v>
      </c>
      <c r="BH13" s="121">
        <v>6</v>
      </c>
      <c r="BI13" s="1046">
        <f t="shared" si="4"/>
        <v>0.66666666666666607</v>
      </c>
      <c r="BJ13" s="74"/>
      <c r="BK13" s="74"/>
      <c r="BL13" s="1136"/>
      <c r="BM13" s="1137"/>
      <c r="BN13" s="1136" t="s">
        <v>120</v>
      </c>
      <c r="BO13" s="1138">
        <v>9.3333333333333339</v>
      </c>
      <c r="BP13" s="1137">
        <v>3</v>
      </c>
      <c r="BQ13" s="1139">
        <v>6</v>
      </c>
      <c r="BR13" s="1138">
        <f>BO13-6</f>
        <v>3.3333333333333339</v>
      </c>
    </row>
    <row r="14" spans="1:70">
      <c r="A14" s="74"/>
      <c r="B14" s="74"/>
      <c r="C14" s="74" t="s">
        <v>247</v>
      </c>
      <c r="D14" s="1046">
        <v>6.29</v>
      </c>
      <c r="E14" s="121">
        <v>7</v>
      </c>
      <c r="F14" s="1189">
        <f t="shared" si="5"/>
        <v>0.29000000000000004</v>
      </c>
      <c r="G14" s="4677">
        <v>6</v>
      </c>
      <c r="I14" s="74"/>
      <c r="J14" s="74"/>
      <c r="K14" s="74" t="s">
        <v>247</v>
      </c>
      <c r="L14" s="1046">
        <v>6</v>
      </c>
      <c r="M14" s="121">
        <v>2</v>
      </c>
      <c r="N14" s="212">
        <f t="shared" si="0"/>
        <v>0</v>
      </c>
      <c r="P14" s="163"/>
      <c r="Q14" s="163"/>
      <c r="R14" s="80" t="s">
        <v>120</v>
      </c>
      <c r="S14" s="212">
        <v>8</v>
      </c>
      <c r="T14" s="163">
        <v>5</v>
      </c>
      <c r="U14" s="212">
        <f t="shared" si="9"/>
        <v>2</v>
      </c>
      <c r="V14" s="1"/>
      <c r="W14" s="2256"/>
      <c r="X14" s="2256"/>
      <c r="Y14" s="2257" t="s">
        <v>119</v>
      </c>
      <c r="Z14" s="2258">
        <v>8</v>
      </c>
      <c r="AA14" s="2259">
        <v>3</v>
      </c>
      <c r="AB14" s="212">
        <f t="shared" si="7"/>
        <v>2</v>
      </c>
      <c r="AD14" s="1126"/>
      <c r="AE14" s="1126"/>
      <c r="AF14" s="1127" t="s">
        <v>119</v>
      </c>
      <c r="AG14" s="1128">
        <v>6.6999999999999993</v>
      </c>
      <c r="AH14" s="1129">
        <v>10</v>
      </c>
      <c r="AI14" s="1130">
        <f t="shared" si="8"/>
        <v>0.69999999999999929</v>
      </c>
      <c r="AK14" s="965"/>
      <c r="AL14" s="965"/>
      <c r="AM14" s="965" t="s">
        <v>105</v>
      </c>
      <c r="AN14" s="734" t="s">
        <v>106</v>
      </c>
      <c r="AO14" s="736">
        <v>5.243243243243243</v>
      </c>
      <c r="AP14" s="735">
        <v>37</v>
      </c>
      <c r="AQ14" s="1042">
        <v>1.9494358928419011</v>
      </c>
      <c r="AR14" s="736">
        <f>AO14-3</f>
        <v>2.243243243243243</v>
      </c>
      <c r="AT14" s="1132"/>
      <c r="AU14" s="1132"/>
      <c r="AV14" s="1133" t="s">
        <v>120</v>
      </c>
      <c r="AW14" s="1134">
        <v>6</v>
      </c>
      <c r="AX14" s="1134">
        <f t="shared" si="2"/>
        <v>0</v>
      </c>
      <c r="AY14" s="1135">
        <v>3</v>
      </c>
      <c r="AZ14" s="1134">
        <v>6</v>
      </c>
      <c r="BA14" s="1134">
        <f t="shared" si="3"/>
        <v>0</v>
      </c>
      <c r="BC14" s="121"/>
      <c r="BD14" s="121"/>
      <c r="BE14" s="74" t="s">
        <v>120</v>
      </c>
      <c r="BF14" s="121">
        <v>4</v>
      </c>
      <c r="BG14" s="1046">
        <v>8.25</v>
      </c>
      <c r="BH14" s="121">
        <v>6</v>
      </c>
      <c r="BI14" s="1046">
        <f t="shared" si="4"/>
        <v>2.25</v>
      </c>
      <c r="BJ14" s="74"/>
      <c r="BK14" s="74"/>
      <c r="BL14" s="1136"/>
      <c r="BM14" s="1137"/>
      <c r="BN14" s="1137" t="s">
        <v>15</v>
      </c>
      <c r="BO14" s="1138">
        <v>6.8181818181818183</v>
      </c>
      <c r="BP14" s="1137">
        <v>22</v>
      </c>
      <c r="BQ14" s="1139"/>
      <c r="BR14" s="1146">
        <f>AVERAGE(BR10:BR13)</f>
        <v>1.0874999999999999</v>
      </c>
    </row>
    <row r="15" spans="1:70" ht="16.5" customHeight="1">
      <c r="A15" s="74"/>
      <c r="B15" s="74"/>
      <c r="C15" s="74" t="s">
        <v>119</v>
      </c>
      <c r="D15" s="1046">
        <v>9.7799999999999994</v>
      </c>
      <c r="E15" s="121">
        <v>9</v>
      </c>
      <c r="F15" s="1189">
        <f t="shared" si="5"/>
        <v>3.7799999999999994</v>
      </c>
      <c r="G15" s="4677">
        <v>6</v>
      </c>
      <c r="I15" s="74"/>
      <c r="J15" s="74"/>
      <c r="K15" s="74" t="s">
        <v>119</v>
      </c>
      <c r="L15" s="1046">
        <v>7</v>
      </c>
      <c r="M15" s="121">
        <v>1</v>
      </c>
      <c r="N15" s="212">
        <f t="shared" si="0"/>
        <v>1</v>
      </c>
      <c r="P15" s="163"/>
      <c r="Q15" s="163"/>
      <c r="R15" s="80" t="s">
        <v>533</v>
      </c>
      <c r="S15" s="212">
        <v>6.27</v>
      </c>
      <c r="T15" s="163">
        <v>11</v>
      </c>
      <c r="U15" s="212">
        <f t="shared" si="9"/>
        <v>0.26999999999999957</v>
      </c>
      <c r="V15" s="1"/>
      <c r="W15" s="2256"/>
      <c r="X15" s="2256"/>
      <c r="Y15" s="2257" t="s">
        <v>120</v>
      </c>
      <c r="Z15" s="2258">
        <v>6</v>
      </c>
      <c r="AA15" s="2259">
        <v>1</v>
      </c>
      <c r="AB15" s="212">
        <f t="shared" si="7"/>
        <v>0</v>
      </c>
      <c r="AD15" s="1126"/>
      <c r="AE15" s="1126"/>
      <c r="AF15" s="1127" t="s">
        <v>120</v>
      </c>
      <c r="AG15" s="1128">
        <v>10.666666666666666</v>
      </c>
      <c r="AH15" s="1129">
        <v>3</v>
      </c>
      <c r="AI15" s="1130">
        <f t="shared" si="8"/>
        <v>4.6666666666666661</v>
      </c>
      <c r="AK15" s="965"/>
      <c r="AL15" s="965"/>
      <c r="AM15" s="965"/>
      <c r="AN15" s="1061" t="s">
        <v>888</v>
      </c>
      <c r="AO15" s="739">
        <v>5.243243243243243</v>
      </c>
      <c r="AP15" s="740">
        <v>37</v>
      </c>
      <c r="AQ15" s="1062">
        <v>1.9494358928419011</v>
      </c>
      <c r="AR15" s="1140">
        <f>+(AP14*AR14)/AP15</f>
        <v>2.243243243243243</v>
      </c>
      <c r="AT15" s="1132"/>
      <c r="AU15" s="1132"/>
      <c r="AV15" s="1141" t="s">
        <v>573</v>
      </c>
      <c r="AW15" s="1140">
        <v>6.5000000000000009</v>
      </c>
      <c r="AX15" s="1140">
        <f>+(AY12*AX12+AY13*AX13+AY14*AX14)/AY15</f>
        <v>0.3125</v>
      </c>
      <c r="AY15" s="1142">
        <v>16</v>
      </c>
      <c r="AZ15" s="1140">
        <v>8.25</v>
      </c>
      <c r="BA15" s="1140">
        <f>+(AY12*BA12+AY13*BA13+AY14*BA14)/AY15</f>
        <v>2.0624999999999996</v>
      </c>
      <c r="BC15" s="121"/>
      <c r="BD15" s="121"/>
      <c r="BE15" s="761" t="s">
        <v>15</v>
      </c>
      <c r="BF15" s="729">
        <v>26</v>
      </c>
      <c r="BG15" s="1059">
        <v>8.3076923076923084</v>
      </c>
      <c r="BH15" s="729"/>
      <c r="BI15" s="1059">
        <f>+(BF10*BI10+BF11*BI11+BF12*BI12+BF13*BI13+BF14*BI14)/BF15</f>
        <v>2.3076923076923075</v>
      </c>
      <c r="BJ15" s="1144">
        <f>AVERAGE(BI10:BI14)</f>
        <v>3.7166666666666659</v>
      </c>
      <c r="BK15" s="74"/>
      <c r="BL15" s="1136"/>
      <c r="BM15" s="1137"/>
      <c r="BN15" s="1137"/>
      <c r="BO15" s="1138"/>
      <c r="BP15" s="1137"/>
      <c r="BQ15" s="1139"/>
      <c r="BR15" s="1146"/>
    </row>
    <row r="16" spans="1:70">
      <c r="A16" s="74"/>
      <c r="B16" s="74"/>
      <c r="C16" s="74" t="s">
        <v>120</v>
      </c>
      <c r="D16" s="1046">
        <v>10.67</v>
      </c>
      <c r="E16" s="121">
        <v>3</v>
      </c>
      <c r="F16" s="1189">
        <f t="shared" si="5"/>
        <v>4.67</v>
      </c>
      <c r="G16" s="4677">
        <v>6</v>
      </c>
      <c r="I16" s="74"/>
      <c r="J16" s="74"/>
      <c r="K16" s="74" t="s">
        <v>120</v>
      </c>
      <c r="L16" s="1046">
        <v>7.2</v>
      </c>
      <c r="M16" s="121">
        <v>5</v>
      </c>
      <c r="N16" s="212">
        <f t="shared" si="0"/>
        <v>1.2000000000000002</v>
      </c>
      <c r="P16" s="163"/>
      <c r="Q16" s="163"/>
      <c r="R16" s="1245" t="s">
        <v>573</v>
      </c>
      <c r="S16" s="1246">
        <v>6.84</v>
      </c>
      <c r="T16" s="213">
        <v>44</v>
      </c>
      <c r="U16" s="1152">
        <f>+(T11*U11+T12*U12+T13*U13+T14*U14+T15*U15)/T16</f>
        <v>0.84159090909090917</v>
      </c>
      <c r="V16" s="1"/>
      <c r="W16" s="2256"/>
      <c r="X16" s="2256"/>
      <c r="Y16" s="2257" t="s">
        <v>533</v>
      </c>
      <c r="Z16" s="2258">
        <v>6.5</v>
      </c>
      <c r="AA16" s="2259">
        <v>2</v>
      </c>
      <c r="AB16" s="212">
        <f t="shared" si="7"/>
        <v>0.5</v>
      </c>
      <c r="AD16" s="1126"/>
      <c r="AE16" s="1126"/>
      <c r="AF16" s="1127" t="s">
        <v>533</v>
      </c>
      <c r="AG16" s="1128">
        <v>6.2</v>
      </c>
      <c r="AH16" s="1129">
        <v>5</v>
      </c>
      <c r="AI16" s="1130">
        <f t="shared" si="8"/>
        <v>0.20000000000000018</v>
      </c>
      <c r="AK16" s="965"/>
      <c r="AL16" s="965"/>
      <c r="AM16" s="965"/>
      <c r="AN16" s="1155" t="s">
        <v>107</v>
      </c>
      <c r="AO16" s="1156">
        <v>6.2749999999999977</v>
      </c>
      <c r="AP16" s="1157">
        <v>80</v>
      </c>
      <c r="AQ16" s="1158">
        <v>2.1814813222885205</v>
      </c>
      <c r="AR16" s="1159">
        <f>+(AP9*AR9+AP13*AR13+AP15*AR15)/AP16</f>
        <v>1.7625</v>
      </c>
      <c r="AT16" s="1132"/>
      <c r="AU16" s="1132" t="s">
        <v>105</v>
      </c>
      <c r="AV16" s="1133" t="s">
        <v>106</v>
      </c>
      <c r="AW16" s="1134">
        <v>4.1363636363636367</v>
      </c>
      <c r="AX16" s="1134">
        <f t="shared" si="2"/>
        <v>-1.8636363636363633</v>
      </c>
      <c r="AY16" s="1135">
        <v>22</v>
      </c>
      <c r="AZ16" s="1134">
        <v>7.0454545454545441</v>
      </c>
      <c r="BA16" s="1134">
        <f t="shared" si="3"/>
        <v>1.0454545454545441</v>
      </c>
      <c r="BC16" s="121"/>
      <c r="BD16" s="121" t="s">
        <v>105</v>
      </c>
      <c r="BE16" s="74" t="s">
        <v>106</v>
      </c>
      <c r="BF16" s="121">
        <v>24</v>
      </c>
      <c r="BG16" s="1046">
        <f>5+3</f>
        <v>8</v>
      </c>
      <c r="BH16" s="121">
        <v>6</v>
      </c>
      <c r="BI16" s="1046">
        <f t="shared" si="4"/>
        <v>2</v>
      </c>
      <c r="BJ16" s="74"/>
      <c r="BK16" s="74"/>
      <c r="BL16" s="1136"/>
      <c r="BM16" s="1137" t="s">
        <v>105</v>
      </c>
      <c r="BN16" s="1136" t="s">
        <v>106</v>
      </c>
      <c r="BO16" s="1138">
        <v>11.894736842105264</v>
      </c>
      <c r="BP16" s="1137">
        <v>19</v>
      </c>
      <c r="BQ16" s="1139">
        <v>6</v>
      </c>
      <c r="BR16" s="1138">
        <f>BO16-6</f>
        <v>5.8947368421052637</v>
      </c>
    </row>
    <row r="17" spans="1:70">
      <c r="A17" s="74"/>
      <c r="B17" s="74"/>
      <c r="C17" s="74" t="s">
        <v>533</v>
      </c>
      <c r="D17" s="1046">
        <v>6.17</v>
      </c>
      <c r="E17" s="121">
        <v>6</v>
      </c>
      <c r="F17" s="1189">
        <f t="shared" si="5"/>
        <v>0.16999999999999993</v>
      </c>
      <c r="G17" s="4677">
        <v>6</v>
      </c>
      <c r="I17" s="74"/>
      <c r="J17" s="74"/>
      <c r="K17" s="74" t="s">
        <v>533</v>
      </c>
      <c r="L17" s="1046">
        <v>6.25</v>
      </c>
      <c r="M17" s="121">
        <v>4</v>
      </c>
      <c r="N17" s="212">
        <f t="shared" si="0"/>
        <v>0.25</v>
      </c>
      <c r="P17" s="163"/>
      <c r="Q17" s="163" t="s">
        <v>105</v>
      </c>
      <c r="R17" s="80" t="s">
        <v>1692</v>
      </c>
      <c r="S17" s="212">
        <v>7.67</v>
      </c>
      <c r="T17" s="163">
        <v>6</v>
      </c>
      <c r="U17" s="2263">
        <f>S17-3</f>
        <v>4.67</v>
      </c>
      <c r="V17" s="1"/>
      <c r="W17" s="2256"/>
      <c r="X17" s="2256"/>
      <c r="Y17" s="2260" t="s">
        <v>573</v>
      </c>
      <c r="Z17" s="2261">
        <v>6.6363636363636358</v>
      </c>
      <c r="AA17" s="2262">
        <v>22</v>
      </c>
      <c r="AB17" s="1152">
        <f>+(AA12*AB12+AA13*AB13+AA14*AB14+AA15*AB15+AA16*AB16)/AA17</f>
        <v>0.63636363636363646</v>
      </c>
      <c r="AD17" s="1126"/>
      <c r="AE17" s="1126"/>
      <c r="AF17" s="1149" t="s">
        <v>573</v>
      </c>
      <c r="AG17" s="1150">
        <v>6.9200000000000008</v>
      </c>
      <c r="AH17" s="1151">
        <v>25</v>
      </c>
      <c r="AI17" s="1152">
        <f>+(AH12*AI12+AH13*AI13+AH14*AI14+AH15*AI15+AH16*AI16)/AH17</f>
        <v>0.91999999999999971</v>
      </c>
      <c r="AK17" s="965"/>
      <c r="AL17" s="965" t="s">
        <v>25</v>
      </c>
      <c r="AM17" s="965" t="s">
        <v>4</v>
      </c>
      <c r="AN17" s="734" t="s">
        <v>121</v>
      </c>
      <c r="AO17" s="736">
        <v>9.7777777777777786</v>
      </c>
      <c r="AP17" s="735">
        <v>9</v>
      </c>
      <c r="AQ17" s="1042">
        <v>2.7738861628488727</v>
      </c>
      <c r="AR17" s="736">
        <f>AO17-6</f>
        <v>3.7777777777777786</v>
      </c>
      <c r="AT17" s="1160"/>
      <c r="AU17" s="1160"/>
      <c r="AV17" s="1161" t="s">
        <v>888</v>
      </c>
      <c r="AW17" s="1159">
        <v>4.1363636363636367</v>
      </c>
      <c r="AX17" s="1159">
        <f>+(AY16*AX16)/AY17</f>
        <v>-1.8636363636363633</v>
      </c>
      <c r="AY17" s="1162">
        <v>22</v>
      </c>
      <c r="AZ17" s="1159">
        <v>7.0454545454545441</v>
      </c>
      <c r="BA17" s="1159">
        <f>+(AY16*BA16)/AY17</f>
        <v>1.0454545454545441</v>
      </c>
      <c r="BC17" s="1163"/>
      <c r="BD17" s="1163"/>
      <c r="BE17" s="1164" t="s">
        <v>15</v>
      </c>
      <c r="BF17" s="1165">
        <v>24</v>
      </c>
      <c r="BG17" s="1166">
        <f>+BG16</f>
        <v>8</v>
      </c>
      <c r="BH17" s="1165"/>
      <c r="BI17" s="1166">
        <f>+BI16</f>
        <v>2</v>
      </c>
      <c r="BJ17" s="1144">
        <f>+BI17</f>
        <v>2</v>
      </c>
      <c r="BK17" s="74"/>
      <c r="BL17" s="1136"/>
      <c r="BM17" s="1137"/>
      <c r="BN17" s="1137" t="s">
        <v>15</v>
      </c>
      <c r="BO17" s="1138">
        <v>11.894736842105264</v>
      </c>
      <c r="BP17" s="1137">
        <v>19</v>
      </c>
      <c r="BQ17" s="1139"/>
      <c r="BR17" s="1146">
        <f>BO17-3</f>
        <v>8.8947368421052637</v>
      </c>
    </row>
    <row r="18" spans="1:70">
      <c r="A18" s="74"/>
      <c r="B18" s="74"/>
      <c r="C18" s="74" t="s">
        <v>2364</v>
      </c>
      <c r="D18" s="1046">
        <v>6</v>
      </c>
      <c r="E18" s="121">
        <v>2</v>
      </c>
      <c r="F18" s="1189">
        <f t="shared" si="5"/>
        <v>0</v>
      </c>
      <c r="G18" s="4677">
        <v>6</v>
      </c>
      <c r="I18" s="74"/>
      <c r="J18" s="74"/>
      <c r="K18" s="761" t="s">
        <v>573</v>
      </c>
      <c r="L18" s="1059">
        <v>7</v>
      </c>
      <c r="M18" s="729">
        <v>20</v>
      </c>
      <c r="N18" s="1152">
        <f>+(M13*N13+M14*N14+M15*N15+M16*N16+M17*N17)/M18</f>
        <v>1</v>
      </c>
      <c r="P18" s="163"/>
      <c r="Q18" s="163"/>
      <c r="R18" s="80" t="s">
        <v>1693</v>
      </c>
      <c r="S18" s="212">
        <v>8</v>
      </c>
      <c r="T18" s="163">
        <v>1</v>
      </c>
      <c r="U18" s="2263">
        <f>S18-3</f>
        <v>5</v>
      </c>
      <c r="V18" s="1"/>
      <c r="W18" s="2256"/>
      <c r="X18" s="2256" t="s">
        <v>105</v>
      </c>
      <c r="Y18" s="2257" t="s">
        <v>106</v>
      </c>
      <c r="Z18" s="2258">
        <v>5.6</v>
      </c>
      <c r="AA18" s="2259">
        <v>15</v>
      </c>
      <c r="AB18" s="2263">
        <f>Z18-3</f>
        <v>2.5999999999999996</v>
      </c>
      <c r="AD18" s="1126"/>
      <c r="AE18" s="1126" t="s">
        <v>105</v>
      </c>
      <c r="AF18" s="1127" t="s">
        <v>106</v>
      </c>
      <c r="AG18" s="1128">
        <v>4.2307692307692317</v>
      </c>
      <c r="AH18" s="1129">
        <v>26</v>
      </c>
      <c r="AI18" s="1130">
        <f>AG18-3</f>
        <v>1.2307692307692317</v>
      </c>
      <c r="AK18" s="965"/>
      <c r="AL18" s="965"/>
      <c r="AM18" s="965"/>
      <c r="AN18" s="734" t="s">
        <v>122</v>
      </c>
      <c r="AO18" s="736">
        <v>8</v>
      </c>
      <c r="AP18" s="735">
        <v>13</v>
      </c>
      <c r="AQ18" s="1042">
        <v>1.4719601443879742</v>
      </c>
      <c r="AR18" s="736">
        <f t="shared" ref="AR18:AR31" si="11">AO18-6</f>
        <v>2</v>
      </c>
      <c r="BC18" s="121"/>
      <c r="BD18" s="121"/>
      <c r="BE18" s="761"/>
      <c r="BF18" s="729"/>
      <c r="BG18" s="1059"/>
      <c r="BH18" s="729"/>
      <c r="BI18" s="1059"/>
      <c r="BJ18" s="74"/>
      <c r="BK18" s="74"/>
      <c r="BL18" s="1167"/>
      <c r="BM18" s="1168"/>
      <c r="BN18" s="1169" t="s">
        <v>107</v>
      </c>
      <c r="BO18" s="1170">
        <v>9.3333333333333321</v>
      </c>
      <c r="BP18" s="1171">
        <v>60</v>
      </c>
      <c r="BQ18" s="1172"/>
      <c r="BR18" s="1170">
        <f>BO18-12+AVERAGE(BR9,BR14,BR17)</f>
        <v>2.1746345029239755</v>
      </c>
    </row>
    <row r="19" spans="1:70">
      <c r="A19" s="74"/>
      <c r="B19" s="74"/>
      <c r="C19" s="761" t="s">
        <v>573</v>
      </c>
      <c r="D19" s="1059">
        <v>7.67</v>
      </c>
      <c r="E19" s="4673">
        <v>33</v>
      </c>
      <c r="F19" s="1152">
        <f>+(E14*F14+E15*F15+E16*F16+E17*F17+E18*F18)/E19</f>
        <v>1.5478787878787879</v>
      </c>
      <c r="G19" s="4677"/>
      <c r="I19" s="74"/>
      <c r="J19" s="74" t="s">
        <v>21</v>
      </c>
      <c r="K19" s="74" t="s">
        <v>106</v>
      </c>
      <c r="L19" s="1046">
        <v>6</v>
      </c>
      <c r="M19" s="121">
        <v>1</v>
      </c>
      <c r="N19" s="212">
        <f t="shared" si="0"/>
        <v>0</v>
      </c>
      <c r="P19" s="163"/>
      <c r="Q19" s="163"/>
      <c r="R19" s="80" t="s">
        <v>1694</v>
      </c>
      <c r="S19" s="212">
        <v>6.5</v>
      </c>
      <c r="T19" s="163">
        <v>2</v>
      </c>
      <c r="U19" s="212">
        <f t="shared" si="6"/>
        <v>0.5</v>
      </c>
      <c r="V19" s="1"/>
      <c r="W19" s="2256"/>
      <c r="X19" s="2256"/>
      <c r="Y19" s="2257" t="s">
        <v>1692</v>
      </c>
      <c r="Z19" s="2258">
        <v>7</v>
      </c>
      <c r="AA19" s="2259">
        <v>1</v>
      </c>
      <c r="AB19" s="212">
        <f t="shared" si="7"/>
        <v>1</v>
      </c>
      <c r="AD19" s="1126"/>
      <c r="AE19" s="1126"/>
      <c r="AF19" s="1149" t="s">
        <v>888</v>
      </c>
      <c r="AG19" s="1150">
        <v>4.2307692307692317</v>
      </c>
      <c r="AH19" s="1151">
        <v>26</v>
      </c>
      <c r="AI19" s="1152">
        <f>AG19-3</f>
        <v>1.2307692307692317</v>
      </c>
      <c r="AK19" s="965"/>
      <c r="AL19" s="965"/>
      <c r="AM19" s="965"/>
      <c r="AN19" s="734" t="s">
        <v>123</v>
      </c>
      <c r="AO19" s="736">
        <v>6</v>
      </c>
      <c r="AP19" s="735">
        <v>4</v>
      </c>
      <c r="AQ19" s="1042">
        <v>0</v>
      </c>
      <c r="AR19" s="736">
        <f t="shared" si="11"/>
        <v>0</v>
      </c>
      <c r="AT19" s="1132" t="s">
        <v>25</v>
      </c>
      <c r="AU19" s="1132" t="s">
        <v>4</v>
      </c>
      <c r="BC19" s="121" t="s">
        <v>25</v>
      </c>
      <c r="BD19" s="121" t="s">
        <v>4</v>
      </c>
      <c r="BE19" s="74" t="s">
        <v>121</v>
      </c>
      <c r="BF19" s="121">
        <v>3</v>
      </c>
      <c r="BG19" s="1046">
        <v>9.6666666666666661</v>
      </c>
      <c r="BH19" s="121">
        <v>6</v>
      </c>
      <c r="BI19" s="1046">
        <f t="shared" si="4"/>
        <v>3.6666666666666661</v>
      </c>
      <c r="BJ19" s="74"/>
      <c r="BK19" s="74"/>
      <c r="BL19" s="1136" t="s">
        <v>25</v>
      </c>
      <c r="BM19" s="1137" t="s">
        <v>4</v>
      </c>
      <c r="BN19" s="1136" t="s">
        <v>121</v>
      </c>
      <c r="BO19" s="1138">
        <v>8.25</v>
      </c>
      <c r="BP19" s="1137">
        <v>4</v>
      </c>
      <c r="BQ19" s="1139">
        <v>6</v>
      </c>
      <c r="BR19" s="1138">
        <f t="shared" ref="BR19:BR24" si="12">BO19-6</f>
        <v>2.25</v>
      </c>
    </row>
    <row r="20" spans="1:70">
      <c r="A20" s="74"/>
      <c r="B20" s="74" t="s">
        <v>21</v>
      </c>
      <c r="C20" s="74" t="s">
        <v>1692</v>
      </c>
      <c r="D20" s="1046">
        <v>6.67</v>
      </c>
      <c r="E20" s="121">
        <v>3</v>
      </c>
      <c r="F20" s="1189">
        <f t="shared" si="5"/>
        <v>0.66999999999999993</v>
      </c>
      <c r="G20" s="4677">
        <v>6</v>
      </c>
      <c r="I20" s="74"/>
      <c r="J20" s="74"/>
      <c r="K20" s="74" t="s">
        <v>1692</v>
      </c>
      <c r="L20" s="1046">
        <v>5.88</v>
      </c>
      <c r="M20" s="121">
        <v>8</v>
      </c>
      <c r="N20" s="212">
        <f t="shared" si="0"/>
        <v>-0.12000000000000011</v>
      </c>
      <c r="P20" s="163"/>
      <c r="Q20" s="163"/>
      <c r="R20" s="80" t="s">
        <v>1691</v>
      </c>
      <c r="S20" s="212">
        <v>4.67</v>
      </c>
      <c r="T20" s="163">
        <v>3</v>
      </c>
      <c r="U20" s="212">
        <f t="shared" si="6"/>
        <v>-1.33</v>
      </c>
      <c r="V20" s="1"/>
      <c r="W20" s="2256"/>
      <c r="X20" s="2256"/>
      <c r="Y20" s="2257" t="s">
        <v>1691</v>
      </c>
      <c r="Z20" s="2258">
        <v>7.5</v>
      </c>
      <c r="AA20" s="2259">
        <v>2</v>
      </c>
      <c r="AB20" s="212">
        <f t="shared" si="7"/>
        <v>1.5</v>
      </c>
      <c r="AD20" s="1126"/>
      <c r="AE20" s="1126"/>
      <c r="AF20" s="1173" t="s">
        <v>107</v>
      </c>
      <c r="AG20" s="1174">
        <v>6.3258426966292127</v>
      </c>
      <c r="AH20" s="1175">
        <v>89</v>
      </c>
      <c r="AI20" s="1176">
        <f>+(AH11*AI11+AH17*AI17+AH19*AI19)/AH20</f>
        <v>1.3370786516853932</v>
      </c>
      <c r="AK20" s="965"/>
      <c r="AL20" s="965"/>
      <c r="AM20" s="965"/>
      <c r="AN20" s="734" t="s">
        <v>124</v>
      </c>
      <c r="AO20" s="736">
        <v>8.7000000000000011</v>
      </c>
      <c r="AP20" s="735">
        <v>10</v>
      </c>
      <c r="AQ20" s="1042">
        <v>2.4517567397911053</v>
      </c>
      <c r="AR20" s="736">
        <f t="shared" si="11"/>
        <v>2.7000000000000011</v>
      </c>
      <c r="AV20" s="1133" t="s">
        <v>122</v>
      </c>
      <c r="AW20" s="1134">
        <v>9.7777777777777786</v>
      </c>
      <c r="AX20" s="1134">
        <f>AW20-BH19</f>
        <v>3.7777777777777786</v>
      </c>
      <c r="AY20" s="1135">
        <v>18</v>
      </c>
      <c r="AZ20" s="1134">
        <v>11.555555555555555</v>
      </c>
      <c r="BA20" s="1134">
        <f>AZ20-BH20</f>
        <v>5.5555555555555554</v>
      </c>
      <c r="BC20" s="121"/>
      <c r="BD20" s="121"/>
      <c r="BE20" s="74" t="s">
        <v>122</v>
      </c>
      <c r="BF20" s="121">
        <v>14</v>
      </c>
      <c r="BG20" s="1046">
        <v>11</v>
      </c>
      <c r="BH20" s="121">
        <v>6</v>
      </c>
      <c r="BI20" s="1046">
        <f t="shared" si="4"/>
        <v>5</v>
      </c>
      <c r="BJ20" s="74"/>
      <c r="BK20" s="74"/>
      <c r="BL20" s="1136"/>
      <c r="BM20" s="1137"/>
      <c r="BN20" s="1136" t="s">
        <v>122</v>
      </c>
      <c r="BO20" s="1138">
        <v>9.5</v>
      </c>
      <c r="BP20" s="1137">
        <v>18</v>
      </c>
      <c r="BQ20" s="1139">
        <v>6</v>
      </c>
      <c r="BR20" s="1138">
        <f t="shared" si="12"/>
        <v>3.5</v>
      </c>
    </row>
    <row r="21" spans="1:70" ht="15.75" customHeight="1">
      <c r="A21" s="74"/>
      <c r="B21" s="74"/>
      <c r="C21" s="74" t="s">
        <v>1693</v>
      </c>
      <c r="D21" s="1046">
        <v>8.67</v>
      </c>
      <c r="E21" s="121">
        <v>3</v>
      </c>
      <c r="F21" s="1189">
        <f t="shared" si="5"/>
        <v>2.67</v>
      </c>
      <c r="G21" s="4677">
        <v>6</v>
      </c>
      <c r="I21" s="74"/>
      <c r="J21" s="74"/>
      <c r="K21" s="74" t="s">
        <v>1693</v>
      </c>
      <c r="L21" s="1046">
        <v>9.5</v>
      </c>
      <c r="M21" s="121">
        <v>2</v>
      </c>
      <c r="N21" s="212">
        <f t="shared" si="0"/>
        <v>3.5</v>
      </c>
      <c r="P21" s="163"/>
      <c r="Q21" s="163"/>
      <c r="R21" s="80" t="s">
        <v>1695</v>
      </c>
      <c r="S21" s="212">
        <v>6</v>
      </c>
      <c r="T21" s="163">
        <v>1</v>
      </c>
      <c r="U21" s="212">
        <f t="shared" si="6"/>
        <v>0</v>
      </c>
      <c r="V21" s="1"/>
      <c r="W21" s="2256"/>
      <c r="X21" s="2256"/>
      <c r="Y21" s="2260" t="s">
        <v>888</v>
      </c>
      <c r="Z21" s="2261">
        <v>5.8888888888888893</v>
      </c>
      <c r="AA21" s="2262">
        <v>18</v>
      </c>
      <c r="AB21" s="1152">
        <f>+(AA18*AB18+AA19*AB19+AA20*AB20)/AA21</f>
        <v>2.3888888888888884</v>
      </c>
      <c r="AD21" s="1126" t="s">
        <v>25</v>
      </c>
      <c r="AE21" s="1126" t="s">
        <v>4</v>
      </c>
      <c r="AF21" s="1127" t="s">
        <v>121</v>
      </c>
      <c r="AG21" s="1128">
        <v>9.75</v>
      </c>
      <c r="AH21" s="1129">
        <v>8</v>
      </c>
      <c r="AI21" s="1130">
        <f t="shared" si="8"/>
        <v>3.75</v>
      </c>
      <c r="AK21" s="965"/>
      <c r="AL21" s="965"/>
      <c r="AM21" s="965"/>
      <c r="AN21" s="734" t="s">
        <v>125</v>
      </c>
      <c r="AO21" s="736">
        <v>8.7333333333333325</v>
      </c>
      <c r="AP21" s="735">
        <v>15</v>
      </c>
      <c r="AQ21" s="1042">
        <v>2.1201976547572383</v>
      </c>
      <c r="AR21" s="736">
        <f t="shared" si="11"/>
        <v>2.7333333333333325</v>
      </c>
      <c r="AT21" s="1132"/>
      <c r="AU21" s="1132"/>
      <c r="AV21" s="1133" t="s">
        <v>123</v>
      </c>
      <c r="AW21" s="1134">
        <v>6.5</v>
      </c>
      <c r="AX21" s="1134">
        <f>AW21-BH20</f>
        <v>0.5</v>
      </c>
      <c r="AY21" s="1135">
        <v>4</v>
      </c>
      <c r="AZ21" s="1134">
        <v>6.5</v>
      </c>
      <c r="BA21" s="1134">
        <f>AZ21-BH21</f>
        <v>0.5</v>
      </c>
      <c r="BC21" s="121"/>
      <c r="BD21" s="121"/>
      <c r="BE21" s="74" t="s">
        <v>123</v>
      </c>
      <c r="BF21" s="121">
        <v>3</v>
      </c>
      <c r="BG21" s="1046">
        <v>9</v>
      </c>
      <c r="BH21" s="121">
        <v>6</v>
      </c>
      <c r="BI21" s="1046">
        <f t="shared" si="4"/>
        <v>3</v>
      </c>
      <c r="BJ21" s="74"/>
      <c r="BK21" s="74"/>
      <c r="BL21" s="1136"/>
      <c r="BM21" s="1137"/>
      <c r="BN21" s="1136" t="s">
        <v>123</v>
      </c>
      <c r="BO21" s="1138">
        <v>8.8000000000000007</v>
      </c>
      <c r="BP21" s="1137">
        <v>5</v>
      </c>
      <c r="BQ21" s="1139">
        <v>6</v>
      </c>
      <c r="BR21" s="1138">
        <f t="shared" si="12"/>
        <v>2.8000000000000007</v>
      </c>
    </row>
    <row r="22" spans="1:70">
      <c r="A22" s="74"/>
      <c r="B22" s="74"/>
      <c r="C22" s="74" t="s">
        <v>1694</v>
      </c>
      <c r="D22" s="1046">
        <v>9.75</v>
      </c>
      <c r="E22" s="121">
        <v>4</v>
      </c>
      <c r="F22" s="1189">
        <f t="shared" si="5"/>
        <v>3.75</v>
      </c>
      <c r="G22" s="4677">
        <v>6</v>
      </c>
      <c r="I22" s="74"/>
      <c r="J22" s="74"/>
      <c r="K22" s="74" t="s">
        <v>1694</v>
      </c>
      <c r="L22" s="1046">
        <v>5.33</v>
      </c>
      <c r="M22" s="121">
        <v>6</v>
      </c>
      <c r="N22" s="212">
        <f t="shared" si="0"/>
        <v>-0.66999999999999993</v>
      </c>
      <c r="P22" s="163"/>
      <c r="Q22" s="163"/>
      <c r="R22" s="1245" t="s">
        <v>574</v>
      </c>
      <c r="S22" s="1246">
        <v>6.69</v>
      </c>
      <c r="T22" s="213">
        <v>13</v>
      </c>
      <c r="U22" s="1152">
        <f>+(T17*U17+T18*U18+T19*U19+T20*U20+T21*U21)/T22</f>
        <v>2.3099999999999996</v>
      </c>
      <c r="V22" s="1"/>
      <c r="W22" s="2256"/>
      <c r="X22" s="2256"/>
      <c r="Y22" s="2260" t="s">
        <v>107</v>
      </c>
      <c r="Z22" s="2261">
        <v>6.7027027027027035</v>
      </c>
      <c r="AA22" s="2262">
        <v>74</v>
      </c>
      <c r="AB22" s="1152">
        <f>+(AA11*AB11+AA17*AB17+AA21*AB21)/AA22</f>
        <v>1.432432432432432</v>
      </c>
      <c r="AD22" s="1126"/>
      <c r="AE22" s="1126"/>
      <c r="AF22" s="1127" t="s">
        <v>122</v>
      </c>
      <c r="AG22" s="1128">
        <v>9.5</v>
      </c>
      <c r="AH22" s="1129">
        <v>22</v>
      </c>
      <c r="AI22" s="1130">
        <f t="shared" si="8"/>
        <v>3.5</v>
      </c>
      <c r="AK22" s="965"/>
      <c r="AL22" s="965"/>
      <c r="AM22" s="965"/>
      <c r="AN22" s="734" t="s">
        <v>424</v>
      </c>
      <c r="AO22" s="736">
        <v>7.7692307692307692</v>
      </c>
      <c r="AP22" s="735">
        <v>13</v>
      </c>
      <c r="AQ22" s="1147">
        <v>0.92680869599629834</v>
      </c>
      <c r="AR22" s="736">
        <f t="shared" si="11"/>
        <v>1.7692307692307692</v>
      </c>
      <c r="AT22" s="1132"/>
      <c r="AU22" s="1132"/>
      <c r="AV22" s="1133" t="s">
        <v>124</v>
      </c>
      <c r="AW22" s="1134">
        <v>8.571428571428573</v>
      </c>
      <c r="AX22" s="1134">
        <f>AW22-BH21</f>
        <v>2.571428571428573</v>
      </c>
      <c r="AY22" s="1135">
        <v>14</v>
      </c>
      <c r="AZ22" s="1134">
        <v>8.7857142857142847</v>
      </c>
      <c r="BA22" s="1134">
        <f>AZ22-BH22</f>
        <v>2.7857142857142847</v>
      </c>
      <c r="BC22" s="121"/>
      <c r="BD22" s="121"/>
      <c r="BE22" s="74" t="s">
        <v>124</v>
      </c>
      <c r="BF22" s="121">
        <v>7</v>
      </c>
      <c r="BG22" s="1046">
        <v>8.8571428571428577</v>
      </c>
      <c r="BH22" s="121">
        <v>6</v>
      </c>
      <c r="BI22" s="1046">
        <f t="shared" si="4"/>
        <v>2.8571428571428577</v>
      </c>
      <c r="BJ22" s="74"/>
      <c r="BK22" s="74"/>
      <c r="BL22" s="1136"/>
      <c r="BM22" s="1137"/>
      <c r="BN22" s="1136" t="s">
        <v>124</v>
      </c>
      <c r="BO22" s="1138">
        <v>10.1</v>
      </c>
      <c r="BP22" s="1137">
        <v>10</v>
      </c>
      <c r="BQ22" s="1139">
        <v>6</v>
      </c>
      <c r="BR22" s="1138">
        <f t="shared" si="12"/>
        <v>4.0999999999999996</v>
      </c>
    </row>
    <row r="23" spans="1:70">
      <c r="A23" s="74"/>
      <c r="B23" s="74"/>
      <c r="C23" s="74" t="s">
        <v>1695</v>
      </c>
      <c r="D23" s="1046">
        <v>7.6</v>
      </c>
      <c r="E23" s="121">
        <v>5</v>
      </c>
      <c r="F23" s="1189">
        <f t="shared" si="5"/>
        <v>1.5999999999999996</v>
      </c>
      <c r="G23" s="4677">
        <v>6</v>
      </c>
      <c r="I23" s="74"/>
      <c r="J23" s="74"/>
      <c r="K23" s="74" t="s">
        <v>1691</v>
      </c>
      <c r="L23" s="1046">
        <v>10.5</v>
      </c>
      <c r="M23" s="121">
        <v>2</v>
      </c>
      <c r="N23" s="212">
        <f t="shared" si="0"/>
        <v>4.5</v>
      </c>
      <c r="P23" s="2630"/>
      <c r="Q23" s="2630"/>
      <c r="R23" s="2627" t="s">
        <v>107</v>
      </c>
      <c r="S23" s="2628">
        <v>6.99</v>
      </c>
      <c r="T23" s="2629">
        <v>108</v>
      </c>
      <c r="U23" s="2631">
        <f>+(T10*U10+T16*U16+T22*U22)/T23</f>
        <v>1.2594444444444446</v>
      </c>
      <c r="V23" s="1"/>
      <c r="W23" s="2264" t="s">
        <v>25</v>
      </c>
      <c r="X23" s="2264" t="s">
        <v>4</v>
      </c>
      <c r="Y23" s="2265" t="s">
        <v>121</v>
      </c>
      <c r="Z23" s="2266">
        <v>8.2857142857142865</v>
      </c>
      <c r="AA23" s="2267">
        <v>7</v>
      </c>
      <c r="AB23" s="2268">
        <f t="shared" si="7"/>
        <v>2.2857142857142865</v>
      </c>
      <c r="AD23" s="1126"/>
      <c r="AE23" s="1126"/>
      <c r="AF23" s="1127" t="s">
        <v>123</v>
      </c>
      <c r="AG23" s="1128">
        <v>7.9000000000000012</v>
      </c>
      <c r="AH23" s="1129">
        <v>10</v>
      </c>
      <c r="AI23" s="1130">
        <f t="shared" si="8"/>
        <v>1.9000000000000012</v>
      </c>
      <c r="AK23" s="965"/>
      <c r="AL23" s="965"/>
      <c r="AM23" s="965"/>
      <c r="AN23" s="1061" t="s">
        <v>572</v>
      </c>
      <c r="AO23" s="739">
        <v>8.359375</v>
      </c>
      <c r="AP23" s="740">
        <v>64</v>
      </c>
      <c r="AQ23" s="1062">
        <v>2.049910470363995</v>
      </c>
      <c r="AR23" s="1140">
        <f>+(AP17*AR17+AP18*AR18+AP19*AR19+AP20*AR20+AP21*AR21+AP22*AR22)/AP23</f>
        <v>2.359375</v>
      </c>
      <c r="AT23" s="1132"/>
      <c r="AU23" s="1132"/>
      <c r="AV23" s="1133" t="s">
        <v>125</v>
      </c>
      <c r="AW23" s="1134">
        <v>9.5</v>
      </c>
      <c r="AX23" s="1134">
        <f>AW23-BH22</f>
        <v>3.5</v>
      </c>
      <c r="AY23" s="1135">
        <v>6</v>
      </c>
      <c r="AZ23" s="1134">
        <v>11</v>
      </c>
      <c r="BA23" s="1134">
        <f>AZ23-BH23</f>
        <v>5</v>
      </c>
      <c r="BC23" s="121"/>
      <c r="BD23" s="121"/>
      <c r="BE23" s="74" t="s">
        <v>125</v>
      </c>
      <c r="BF23" s="121">
        <v>8</v>
      </c>
      <c r="BG23" s="1046">
        <v>13.75</v>
      </c>
      <c r="BH23" s="121">
        <v>6</v>
      </c>
      <c r="BI23" s="1046">
        <f t="shared" si="4"/>
        <v>7.75</v>
      </c>
      <c r="BJ23" s="74"/>
      <c r="BK23" s="74"/>
      <c r="BL23" s="1136"/>
      <c r="BM23" s="1137"/>
      <c r="BN23" s="1136" t="s">
        <v>125</v>
      </c>
      <c r="BO23" s="1138">
        <v>10.235294117647058</v>
      </c>
      <c r="BP23" s="1137">
        <v>17</v>
      </c>
      <c r="BQ23" s="1139">
        <v>6</v>
      </c>
      <c r="BR23" s="1138">
        <f t="shared" si="12"/>
        <v>4.235294117647058</v>
      </c>
    </row>
    <row r="24" spans="1:70">
      <c r="A24" s="74"/>
      <c r="B24" s="74"/>
      <c r="C24" s="74" t="s">
        <v>2714</v>
      </c>
      <c r="D24" s="1046">
        <v>9.33</v>
      </c>
      <c r="E24" s="121">
        <v>6</v>
      </c>
      <c r="F24" s="1189">
        <f t="shared" si="5"/>
        <v>3.33</v>
      </c>
      <c r="G24" s="4677">
        <v>6</v>
      </c>
      <c r="I24" s="74"/>
      <c r="J24" s="74"/>
      <c r="K24" s="74" t="s">
        <v>1695</v>
      </c>
      <c r="L24" s="1046">
        <v>10</v>
      </c>
      <c r="M24" s="121">
        <v>4</v>
      </c>
      <c r="N24" s="212">
        <f t="shared" si="0"/>
        <v>4</v>
      </c>
      <c r="P24" s="163" t="s">
        <v>25</v>
      </c>
      <c r="Q24" s="163" t="s">
        <v>4</v>
      </c>
      <c r="R24" s="80" t="s">
        <v>121</v>
      </c>
      <c r="S24" s="212">
        <v>8.33</v>
      </c>
      <c r="T24" s="163">
        <v>3</v>
      </c>
      <c r="U24" s="212">
        <f t="shared" si="6"/>
        <v>2.33</v>
      </c>
      <c r="V24" s="1"/>
      <c r="W24" s="2256"/>
      <c r="X24" s="2256"/>
      <c r="Y24" s="2257" t="s">
        <v>122</v>
      </c>
      <c r="Z24" s="2258">
        <v>9.571428571428573</v>
      </c>
      <c r="AA24" s="2259">
        <v>14</v>
      </c>
      <c r="AB24" s="212">
        <f t="shared" si="7"/>
        <v>3.571428571428573</v>
      </c>
      <c r="AD24" s="1126"/>
      <c r="AE24" s="1126"/>
      <c r="AF24" s="1127" t="s">
        <v>124</v>
      </c>
      <c r="AG24" s="1128">
        <v>7.333333333333333</v>
      </c>
      <c r="AH24" s="1129">
        <v>12</v>
      </c>
      <c r="AI24" s="1130">
        <f t="shared" si="8"/>
        <v>1.333333333333333</v>
      </c>
      <c r="AK24" s="965"/>
      <c r="AL24" s="965"/>
      <c r="AM24" s="965" t="s">
        <v>16</v>
      </c>
      <c r="AN24" s="734" t="s">
        <v>126</v>
      </c>
      <c r="AO24" s="736">
        <v>9.3333333333333339</v>
      </c>
      <c r="AP24" s="735">
        <v>3</v>
      </c>
      <c r="AQ24" s="1042">
        <v>2.5166114784235831</v>
      </c>
      <c r="AR24" s="736">
        <f t="shared" si="11"/>
        <v>3.3333333333333339</v>
      </c>
      <c r="AT24" s="1132"/>
      <c r="AU24" s="1132"/>
      <c r="AV24" s="1133" t="s">
        <v>424</v>
      </c>
      <c r="AW24" s="1134">
        <v>8.1428571428571423</v>
      </c>
      <c r="AX24" s="1134">
        <f>AW24-BH23</f>
        <v>2.1428571428571423</v>
      </c>
      <c r="AY24" s="1135">
        <v>7</v>
      </c>
      <c r="AZ24" s="1134">
        <v>8.2857142857142865</v>
      </c>
      <c r="BA24" s="1134">
        <f>AZ24-BH24</f>
        <v>2.2857142857142865</v>
      </c>
      <c r="BC24" s="121"/>
      <c r="BD24" s="121"/>
      <c r="BE24" s="74" t="s">
        <v>424</v>
      </c>
      <c r="BF24" s="121">
        <v>14</v>
      </c>
      <c r="BG24" s="1046">
        <v>7.1428571428571423</v>
      </c>
      <c r="BH24" s="121">
        <v>6</v>
      </c>
      <c r="BI24" s="1046">
        <f t="shared" si="4"/>
        <v>1.1428571428571423</v>
      </c>
      <c r="BJ24" s="1144">
        <f>AVERAGE(BI19:BI24)</f>
        <v>3.9027777777777781</v>
      </c>
      <c r="BK24" s="74"/>
      <c r="BL24" s="1136"/>
      <c r="BM24" s="1137"/>
      <c r="BN24" s="1136" t="s">
        <v>1399</v>
      </c>
      <c r="BO24" s="1138">
        <v>8.25</v>
      </c>
      <c r="BP24" s="1137">
        <v>4</v>
      </c>
      <c r="BQ24" s="1139">
        <v>6</v>
      </c>
      <c r="BR24" s="1138">
        <f t="shared" si="12"/>
        <v>2.25</v>
      </c>
    </row>
    <row r="25" spans="1:70">
      <c r="A25" s="74"/>
      <c r="B25" s="74"/>
      <c r="C25" s="761" t="s">
        <v>574</v>
      </c>
      <c r="D25" s="1059">
        <v>8.52</v>
      </c>
      <c r="E25" s="4673">
        <v>21</v>
      </c>
      <c r="F25" s="1152">
        <f>+(E19*F19+E20*F20+E21*F21+E22*F22+E23*F23+E24*F24)/E25</f>
        <v>4.9561904761904758</v>
      </c>
      <c r="G25" s="4677"/>
      <c r="I25" s="74"/>
      <c r="J25" s="74"/>
      <c r="K25" s="761" t="s">
        <v>574</v>
      </c>
      <c r="L25" s="1059">
        <v>7.17</v>
      </c>
      <c r="M25" s="729">
        <v>23</v>
      </c>
      <c r="N25" s="1152">
        <f>+(M19*N19+M20*N20+M21*N21+M22*N22+M23*N23+M24*N24)/M25</f>
        <v>1.1747826086956521</v>
      </c>
      <c r="P25" s="163"/>
      <c r="Q25" s="163"/>
      <c r="R25" s="80" t="s">
        <v>122</v>
      </c>
      <c r="S25" s="212">
        <v>8.85</v>
      </c>
      <c r="T25" s="163">
        <v>20</v>
      </c>
      <c r="U25" s="212">
        <f t="shared" si="6"/>
        <v>2.8499999999999996</v>
      </c>
      <c r="V25" s="1"/>
      <c r="W25" s="2256"/>
      <c r="X25" s="2256"/>
      <c r="Y25" s="2257" t="s">
        <v>123</v>
      </c>
      <c r="Z25" s="2258">
        <v>7</v>
      </c>
      <c r="AA25" s="2259">
        <v>4</v>
      </c>
      <c r="AB25" s="212">
        <f t="shared" si="7"/>
        <v>1</v>
      </c>
      <c r="AD25" s="1126"/>
      <c r="AE25" s="1126"/>
      <c r="AF25" s="1127" t="s">
        <v>125</v>
      </c>
      <c r="AG25" s="1128">
        <v>8.7000000000000011</v>
      </c>
      <c r="AH25" s="1129">
        <v>10</v>
      </c>
      <c r="AI25" s="1130">
        <f t="shared" si="8"/>
        <v>2.7000000000000011</v>
      </c>
      <c r="AK25" s="965"/>
      <c r="AL25" s="965"/>
      <c r="AM25" s="965"/>
      <c r="AN25" s="734" t="s">
        <v>127</v>
      </c>
      <c r="AO25" s="736">
        <v>7.9024390243902456</v>
      </c>
      <c r="AP25" s="735">
        <v>41</v>
      </c>
      <c r="AQ25" s="1147">
        <v>0.9435273723846197</v>
      </c>
      <c r="AR25" s="736">
        <f t="shared" si="11"/>
        <v>1.9024390243902456</v>
      </c>
      <c r="AT25" s="1132"/>
      <c r="AU25" s="1132"/>
      <c r="AV25" s="1141" t="s">
        <v>572</v>
      </c>
      <c r="AW25" s="1140">
        <v>8.8979591836734713</v>
      </c>
      <c r="AX25" s="1140">
        <f>+(AY20*AX20+AY21*AX21+AY22*AX22+AY23*AX23+AY24*AX24)/AY25</f>
        <v>2.8979591836734699</v>
      </c>
      <c r="AY25" s="1142">
        <v>49</v>
      </c>
      <c r="AZ25" s="1140">
        <v>9.816326530612244</v>
      </c>
      <c r="BA25" s="1140">
        <f>+(AY20*BA20+AY21*BA21+AY22*BA22+AY23*BA23+AY24*BA24)/AY25</f>
        <v>3.8163265306122449</v>
      </c>
      <c r="BC25" s="121"/>
      <c r="BD25" s="121"/>
      <c r="BE25" s="761" t="s">
        <v>15</v>
      </c>
      <c r="BF25" s="729">
        <v>49</v>
      </c>
      <c r="BG25" s="1059">
        <v>9.8367346938775526</v>
      </c>
      <c r="BH25" s="729"/>
      <c r="BI25" s="1059">
        <f>+(BF19*BI19+BF20*BI20+BF21*BI21+BF22*BI22+BF23*BI23+BF24*BI24)/BF25</f>
        <v>3.8367346938775508</v>
      </c>
      <c r="BJ25" s="74"/>
      <c r="BK25" s="74"/>
      <c r="BL25" s="1136"/>
      <c r="BM25" s="1137"/>
      <c r="BN25" s="1137" t="s">
        <v>15</v>
      </c>
      <c r="BO25" s="1138">
        <v>9.5862068965517224</v>
      </c>
      <c r="BP25" s="1137">
        <v>58</v>
      </c>
      <c r="BQ25" s="1139"/>
      <c r="BR25" s="1146">
        <f>AVERAGE(BR19:BR24)</f>
        <v>3.1892156862745096</v>
      </c>
    </row>
    <row r="26" spans="1:70">
      <c r="A26" s="4703"/>
      <c r="B26" s="4703"/>
      <c r="C26" s="4704" t="s">
        <v>107</v>
      </c>
      <c r="D26" s="4705">
        <v>7.71</v>
      </c>
      <c r="E26" s="4706">
        <v>110</v>
      </c>
      <c r="F26" s="2631">
        <f>+(E12*F12+E18*F18+E25*F25)/E26</f>
        <v>1.675090909090909</v>
      </c>
      <c r="G26" s="4677"/>
      <c r="I26" s="3287"/>
      <c r="J26" s="3287"/>
      <c r="K26" s="3288" t="s">
        <v>107</v>
      </c>
      <c r="L26" s="3289">
        <v>7.14</v>
      </c>
      <c r="M26" s="3290">
        <v>108</v>
      </c>
      <c r="N26" s="2631">
        <f>+(M12*N12+M18*N18+M25*N25)/M26</f>
        <v>1.1393518518518517</v>
      </c>
      <c r="P26" s="163"/>
      <c r="Q26" s="163"/>
      <c r="R26" s="80" t="s">
        <v>123</v>
      </c>
      <c r="S26" s="212">
        <v>9</v>
      </c>
      <c r="T26" s="163">
        <v>7</v>
      </c>
      <c r="U26" s="212">
        <f t="shared" si="6"/>
        <v>3</v>
      </c>
      <c r="V26" s="1"/>
      <c r="W26" s="2256"/>
      <c r="X26" s="2256"/>
      <c r="Y26" s="2257" t="s">
        <v>124</v>
      </c>
      <c r="Z26" s="2258">
        <v>8</v>
      </c>
      <c r="AA26" s="2259">
        <v>13</v>
      </c>
      <c r="AB26" s="212">
        <f t="shared" si="7"/>
        <v>2</v>
      </c>
      <c r="AD26" s="1126"/>
      <c r="AE26" s="1126"/>
      <c r="AF26" s="1127" t="s">
        <v>424</v>
      </c>
      <c r="AG26" s="1128">
        <v>8.1999999999999993</v>
      </c>
      <c r="AH26" s="1129">
        <v>10</v>
      </c>
      <c r="AI26" s="1130">
        <f t="shared" si="8"/>
        <v>2.1999999999999993</v>
      </c>
      <c r="AK26" s="965"/>
      <c r="AL26" s="965"/>
      <c r="AM26" s="965"/>
      <c r="AN26" s="734" t="s">
        <v>128</v>
      </c>
      <c r="AO26" s="736">
        <v>6.6</v>
      </c>
      <c r="AP26" s="735">
        <v>5</v>
      </c>
      <c r="AQ26" s="1147">
        <v>0.54772255750516619</v>
      </c>
      <c r="AR26" s="736">
        <f t="shared" si="11"/>
        <v>0.59999999999999964</v>
      </c>
      <c r="AT26" s="1132"/>
      <c r="AU26" s="1132" t="s">
        <v>16</v>
      </c>
      <c r="BC26" s="121"/>
      <c r="BD26" s="121" t="s">
        <v>16</v>
      </c>
      <c r="BE26" s="74" t="s">
        <v>1433</v>
      </c>
      <c r="BF26" s="121">
        <v>1</v>
      </c>
      <c r="BG26" s="1046">
        <v>51</v>
      </c>
      <c r="BH26" s="121">
        <v>6</v>
      </c>
      <c r="BI26" s="1046">
        <f t="shared" si="4"/>
        <v>45</v>
      </c>
      <c r="BJ26" s="74"/>
      <c r="BK26" s="74"/>
      <c r="BL26" s="1136"/>
      <c r="BM26" s="1137" t="s">
        <v>16</v>
      </c>
      <c r="BN26" s="1136" t="s">
        <v>1434</v>
      </c>
      <c r="BO26" s="1138">
        <v>19</v>
      </c>
      <c r="BP26" s="1137">
        <v>3</v>
      </c>
      <c r="BQ26" s="1139">
        <v>6</v>
      </c>
      <c r="BR26" s="1138">
        <f>BO26-6</f>
        <v>13</v>
      </c>
    </row>
    <row r="27" spans="1:70">
      <c r="A27" s="74" t="s">
        <v>25</v>
      </c>
      <c r="B27" s="74" t="s">
        <v>4</v>
      </c>
      <c r="C27" s="74" t="s">
        <v>121</v>
      </c>
      <c r="D27" s="1046">
        <v>9.57</v>
      </c>
      <c r="E27" s="121">
        <v>14</v>
      </c>
      <c r="F27" s="1189">
        <f t="shared" si="5"/>
        <v>3.5700000000000003</v>
      </c>
      <c r="G27" s="4677">
        <v>6</v>
      </c>
      <c r="I27" s="74" t="s">
        <v>25</v>
      </c>
      <c r="J27" s="74" t="s">
        <v>4</v>
      </c>
      <c r="K27" s="74" t="s">
        <v>121</v>
      </c>
      <c r="L27" s="1046">
        <v>9</v>
      </c>
      <c r="M27" s="121">
        <v>12</v>
      </c>
      <c r="N27" s="212">
        <f t="shared" si="0"/>
        <v>3</v>
      </c>
      <c r="P27" s="163"/>
      <c r="Q27" s="163"/>
      <c r="R27" s="80" t="s">
        <v>124</v>
      </c>
      <c r="S27" s="212">
        <v>8.5</v>
      </c>
      <c r="T27" s="163">
        <v>16</v>
      </c>
      <c r="U27" s="212">
        <f t="shared" si="6"/>
        <v>2.5</v>
      </c>
      <c r="V27" s="1"/>
      <c r="W27" s="2256"/>
      <c r="X27" s="2256"/>
      <c r="Y27" s="2257" t="s">
        <v>125</v>
      </c>
      <c r="Z27" s="2258">
        <v>8.875</v>
      </c>
      <c r="AA27" s="2259">
        <v>8</v>
      </c>
      <c r="AB27" s="212">
        <f t="shared" si="7"/>
        <v>2.875</v>
      </c>
      <c r="AD27" s="1126"/>
      <c r="AE27" s="1126"/>
      <c r="AF27" s="1149" t="s">
        <v>572</v>
      </c>
      <c r="AG27" s="1150">
        <v>8.6527777777777786</v>
      </c>
      <c r="AH27" s="1151">
        <v>72</v>
      </c>
      <c r="AI27" s="1152">
        <f t="shared" si="8"/>
        <v>2.6527777777777786</v>
      </c>
      <c r="AK27" s="965"/>
      <c r="AL27" s="965"/>
      <c r="AM27" s="965"/>
      <c r="AN27" s="734" t="s">
        <v>129</v>
      </c>
      <c r="AO27" s="736">
        <v>7.8750000000000018</v>
      </c>
      <c r="AP27" s="735">
        <v>16</v>
      </c>
      <c r="AQ27" s="1042">
        <v>1.0878112581387152</v>
      </c>
      <c r="AR27" s="736">
        <f t="shared" si="11"/>
        <v>1.8750000000000018</v>
      </c>
      <c r="AT27" s="1132"/>
      <c r="AV27" s="1133" t="s">
        <v>108</v>
      </c>
      <c r="AW27" s="1134">
        <v>3</v>
      </c>
      <c r="AX27" s="1134">
        <f>AW27-BH26</f>
        <v>-3</v>
      </c>
      <c r="AY27" s="1135">
        <v>1</v>
      </c>
      <c r="AZ27" s="1134">
        <v>3</v>
      </c>
      <c r="BA27" s="1134">
        <f>AZ27-BH27</f>
        <v>-3</v>
      </c>
      <c r="BC27" s="121"/>
      <c r="BD27" s="121"/>
      <c r="BE27" s="74" t="s">
        <v>108</v>
      </c>
      <c r="BF27" s="121">
        <v>15</v>
      </c>
      <c r="BG27" s="1046">
        <f>3.13333333333333+3</f>
        <v>6.1333333333333302</v>
      </c>
      <c r="BH27" s="121">
        <v>6</v>
      </c>
      <c r="BI27" s="1046">
        <f t="shared" si="4"/>
        <v>0.1333333333333302</v>
      </c>
      <c r="BJ27" s="74"/>
      <c r="BK27" s="74"/>
      <c r="BL27" s="1136"/>
      <c r="BM27" s="1137"/>
      <c r="BN27" s="1136" t="s">
        <v>108</v>
      </c>
      <c r="BO27" s="1138">
        <v>18.5</v>
      </c>
      <c r="BP27" s="1137">
        <v>2</v>
      </c>
      <c r="BQ27" s="1139">
        <v>6</v>
      </c>
      <c r="BR27" s="1138">
        <f>BO27-3</f>
        <v>15.5</v>
      </c>
    </row>
    <row r="28" spans="1:70">
      <c r="A28" s="74"/>
      <c r="B28" s="74"/>
      <c r="C28" s="74" t="s">
        <v>122</v>
      </c>
      <c r="D28" s="1046">
        <v>8.6</v>
      </c>
      <c r="E28" s="121">
        <v>10</v>
      </c>
      <c r="F28" s="1189">
        <f t="shared" si="5"/>
        <v>2.5999999999999996</v>
      </c>
      <c r="G28" s="4677">
        <v>6</v>
      </c>
      <c r="I28" s="74"/>
      <c r="J28" s="74"/>
      <c r="K28" s="74" t="s">
        <v>122</v>
      </c>
      <c r="L28" s="1046">
        <v>8.52</v>
      </c>
      <c r="M28" s="121">
        <v>21</v>
      </c>
      <c r="N28" s="212">
        <f t="shared" si="0"/>
        <v>2.5199999999999996</v>
      </c>
      <c r="P28" s="163"/>
      <c r="Q28" s="163"/>
      <c r="R28" s="80" t="s">
        <v>125</v>
      </c>
      <c r="S28" s="212">
        <v>10.199999999999999</v>
      </c>
      <c r="T28" s="163">
        <v>5</v>
      </c>
      <c r="U28" s="212">
        <f t="shared" si="6"/>
        <v>4.1999999999999993</v>
      </c>
      <c r="V28" s="1"/>
      <c r="W28" s="2256"/>
      <c r="X28" s="2256"/>
      <c r="Y28" s="2257" t="s">
        <v>424</v>
      </c>
      <c r="Z28" s="2258">
        <v>7.666666666666667</v>
      </c>
      <c r="AA28" s="2259">
        <v>6</v>
      </c>
      <c r="AB28" s="212">
        <f t="shared" si="7"/>
        <v>1.666666666666667</v>
      </c>
      <c r="AD28" s="1126"/>
      <c r="AE28" s="1126" t="s">
        <v>16</v>
      </c>
      <c r="AF28" s="1127" t="s">
        <v>108</v>
      </c>
      <c r="AG28" s="1128">
        <v>3.3333333333333335</v>
      </c>
      <c r="AH28" s="1129">
        <v>15</v>
      </c>
      <c r="AI28" s="1130">
        <f>AG28-3</f>
        <v>0.33333333333333348</v>
      </c>
      <c r="AK28" s="965"/>
      <c r="AL28" s="965"/>
      <c r="AM28" s="965"/>
      <c r="AN28" s="1061" t="s">
        <v>573</v>
      </c>
      <c r="AO28" s="739">
        <v>7.8615384615384594</v>
      </c>
      <c r="AP28" s="740">
        <v>65</v>
      </c>
      <c r="AQ28" s="1062">
        <v>1.1302229187880797</v>
      </c>
      <c r="AR28" s="1140">
        <f>+(AP24*AR24+AP25*AR25+AP26*AR26+AP27*AR27)/AP28</f>
        <v>1.8615384615384631</v>
      </c>
      <c r="AT28" s="1132"/>
      <c r="AU28" s="1132"/>
      <c r="AV28" s="1133" t="s">
        <v>126</v>
      </c>
      <c r="AW28" s="1134">
        <v>11.125</v>
      </c>
      <c r="AX28" s="1134">
        <f>AW28-BH27</f>
        <v>5.125</v>
      </c>
      <c r="AY28" s="1135">
        <v>8</v>
      </c>
      <c r="AZ28" s="1134">
        <v>13.5</v>
      </c>
      <c r="BA28" s="1134">
        <f>AZ28-BH28</f>
        <v>7.5</v>
      </c>
      <c r="BC28" s="121"/>
      <c r="BD28" s="121"/>
      <c r="BE28" s="74" t="s">
        <v>126</v>
      </c>
      <c r="BF28" s="121">
        <v>9</v>
      </c>
      <c r="BG28" s="1046">
        <v>7.8888888888888893</v>
      </c>
      <c r="BH28" s="121">
        <v>6</v>
      </c>
      <c r="BI28" s="1046">
        <f t="shared" si="4"/>
        <v>1.8888888888888893</v>
      </c>
      <c r="BJ28" s="74"/>
      <c r="BK28" s="74"/>
      <c r="BL28" s="1136"/>
      <c r="BM28" s="1137"/>
      <c r="BN28" s="1136" t="s">
        <v>126</v>
      </c>
      <c r="BO28" s="1138">
        <v>6.2941176470588243</v>
      </c>
      <c r="BP28" s="1137">
        <v>3</v>
      </c>
      <c r="BQ28" s="1139">
        <v>6</v>
      </c>
      <c r="BR28" s="1138">
        <f>BO28-6</f>
        <v>0.29411764705882426</v>
      </c>
    </row>
    <row r="29" spans="1:70">
      <c r="A29" s="74"/>
      <c r="B29" s="74"/>
      <c r="C29" s="74" t="s">
        <v>123</v>
      </c>
      <c r="D29" s="1046">
        <v>6.56</v>
      </c>
      <c r="E29" s="121">
        <v>16</v>
      </c>
      <c r="F29" s="1189">
        <f t="shared" si="5"/>
        <v>0.55999999999999961</v>
      </c>
      <c r="G29" s="4677">
        <v>6</v>
      </c>
      <c r="I29" s="74"/>
      <c r="J29" s="74"/>
      <c r="K29" s="74" t="s">
        <v>123</v>
      </c>
      <c r="L29" s="1046">
        <v>6.5</v>
      </c>
      <c r="M29" s="121">
        <v>14</v>
      </c>
      <c r="N29" s="212">
        <f t="shared" si="0"/>
        <v>0.5</v>
      </c>
      <c r="P29" s="163"/>
      <c r="Q29" s="163"/>
      <c r="R29" s="80" t="s">
        <v>424</v>
      </c>
      <c r="S29" s="212">
        <v>9</v>
      </c>
      <c r="T29" s="163">
        <v>6</v>
      </c>
      <c r="U29" s="212">
        <f t="shared" si="6"/>
        <v>3</v>
      </c>
      <c r="V29" s="1"/>
      <c r="W29" s="2256"/>
      <c r="X29" s="2256"/>
      <c r="Y29" s="2257" t="s">
        <v>834</v>
      </c>
      <c r="Z29" s="2258">
        <v>8</v>
      </c>
      <c r="AA29" s="2259">
        <v>7</v>
      </c>
      <c r="AB29" s="212">
        <f t="shared" si="7"/>
        <v>2</v>
      </c>
      <c r="AD29" s="1126"/>
      <c r="AE29" s="1126"/>
      <c r="AF29" s="1127" t="s">
        <v>126</v>
      </c>
      <c r="AG29" s="1128">
        <v>8.9333333333333336</v>
      </c>
      <c r="AH29" s="1129">
        <v>15</v>
      </c>
      <c r="AI29" s="1130">
        <f t="shared" si="8"/>
        <v>2.9333333333333336</v>
      </c>
      <c r="AK29" s="965"/>
      <c r="AL29" s="965"/>
      <c r="AM29" s="965" t="s">
        <v>41</v>
      </c>
      <c r="AN29" s="734" t="s">
        <v>130</v>
      </c>
      <c r="AO29" s="736">
        <v>7.3181818181818201</v>
      </c>
      <c r="AP29" s="735">
        <v>22</v>
      </c>
      <c r="AQ29" s="1042">
        <v>2.1018441706627349</v>
      </c>
      <c r="AR29" s="736">
        <f t="shared" si="11"/>
        <v>1.3181818181818201</v>
      </c>
      <c r="AT29" s="1132"/>
      <c r="AU29" s="1132"/>
      <c r="AV29" s="1133" t="s">
        <v>127</v>
      </c>
      <c r="AW29" s="1134">
        <v>7.8636363636363642</v>
      </c>
      <c r="AX29" s="1134">
        <f>AW29-BH28</f>
        <v>1.8636363636363642</v>
      </c>
      <c r="AY29" s="1135">
        <v>22</v>
      </c>
      <c r="AZ29" s="1134">
        <v>8.1818181818181817</v>
      </c>
      <c r="BA29" s="1134">
        <f>AZ29-BH29</f>
        <v>2.1818181818181817</v>
      </c>
      <c r="BC29" s="121"/>
      <c r="BD29" s="121"/>
      <c r="BE29" s="74" t="s">
        <v>127</v>
      </c>
      <c r="BF29" s="121">
        <v>52</v>
      </c>
      <c r="BG29" s="1046">
        <v>9.4999999999999964</v>
      </c>
      <c r="BH29" s="121">
        <v>6</v>
      </c>
      <c r="BI29" s="1046">
        <f t="shared" si="4"/>
        <v>3.4999999999999964</v>
      </c>
      <c r="BJ29" s="74"/>
      <c r="BK29" s="74"/>
      <c r="BL29" s="1136"/>
      <c r="BM29" s="1137"/>
      <c r="BN29" s="1136" t="s">
        <v>127</v>
      </c>
      <c r="BO29" s="1138">
        <v>14</v>
      </c>
      <c r="BP29" s="1137">
        <v>26</v>
      </c>
      <c r="BQ29" s="1139">
        <v>6</v>
      </c>
      <c r="BR29" s="1138">
        <f>BO29-6</f>
        <v>8</v>
      </c>
    </row>
    <row r="30" spans="1:70">
      <c r="A30" s="74"/>
      <c r="B30" s="74"/>
      <c r="C30" s="74" t="s">
        <v>124</v>
      </c>
      <c r="D30" s="1046">
        <v>7.73</v>
      </c>
      <c r="E30" s="121">
        <v>11</v>
      </c>
      <c r="F30" s="1189">
        <f t="shared" si="5"/>
        <v>1.7300000000000004</v>
      </c>
      <c r="G30" s="4677">
        <v>6</v>
      </c>
      <c r="I30" s="74"/>
      <c r="J30" s="74"/>
      <c r="K30" s="74" t="s">
        <v>124</v>
      </c>
      <c r="L30" s="1046">
        <v>7.91</v>
      </c>
      <c r="M30" s="121">
        <v>11</v>
      </c>
      <c r="N30" s="212">
        <f t="shared" si="0"/>
        <v>1.9100000000000001</v>
      </c>
      <c r="P30" s="163"/>
      <c r="Q30" s="163"/>
      <c r="R30" s="80" t="s">
        <v>834</v>
      </c>
      <c r="S30" s="212">
        <v>9.17</v>
      </c>
      <c r="T30" s="163">
        <v>6</v>
      </c>
      <c r="U30" s="212">
        <f t="shared" si="6"/>
        <v>3.17</v>
      </c>
      <c r="V30" s="1"/>
      <c r="W30" s="2256"/>
      <c r="X30" s="2256"/>
      <c r="Y30" s="2260" t="s">
        <v>572</v>
      </c>
      <c r="Z30" s="2261">
        <v>8.4237288135593218</v>
      </c>
      <c r="AA30" s="2262">
        <v>59</v>
      </c>
      <c r="AB30" s="1152">
        <f>+(AA23*AB23+AA24*AB24+AA25*AB25+AA26*AB26+AA27*AB27+AA28*AB28+AA29*AB29)/AA30</f>
        <v>2.4237288135593227</v>
      </c>
      <c r="AD30" s="1126"/>
      <c r="AE30" s="1126"/>
      <c r="AF30" s="1127" t="s">
        <v>127</v>
      </c>
      <c r="AG30" s="1128">
        <v>7.8409090909090944</v>
      </c>
      <c r="AH30" s="1129">
        <v>44</v>
      </c>
      <c r="AI30" s="1130">
        <f t="shared" si="8"/>
        <v>1.8409090909090944</v>
      </c>
      <c r="AK30" s="965"/>
      <c r="AL30" s="965"/>
      <c r="AM30" s="965"/>
      <c r="AN30" s="734" t="s">
        <v>131</v>
      </c>
      <c r="AO30" s="736">
        <v>8.3333333333333339</v>
      </c>
      <c r="AP30" s="735">
        <v>18</v>
      </c>
      <c r="AQ30" s="1042">
        <v>2.1420166418862494</v>
      </c>
      <c r="AR30" s="736">
        <f t="shared" si="11"/>
        <v>2.3333333333333339</v>
      </c>
      <c r="AT30" s="1132"/>
      <c r="AU30" s="1132"/>
      <c r="AV30" s="1133" t="s">
        <v>128</v>
      </c>
      <c r="AW30" s="1134">
        <v>6.615384615384615</v>
      </c>
      <c r="AX30" s="1134">
        <f>AW30-BH29</f>
        <v>0.61538461538461497</v>
      </c>
      <c r="AY30" s="1135">
        <v>26</v>
      </c>
      <c r="AZ30" s="1134">
        <v>6.615384615384615</v>
      </c>
      <c r="BA30" s="1134">
        <f>AZ30-BH30</f>
        <v>0.61538461538461497</v>
      </c>
      <c r="BC30" s="121"/>
      <c r="BD30" s="121"/>
      <c r="BE30" s="74" t="s">
        <v>128</v>
      </c>
      <c r="BF30" s="121">
        <v>12</v>
      </c>
      <c r="BG30" s="1046">
        <v>7.333333333333333</v>
      </c>
      <c r="BH30" s="121">
        <v>6</v>
      </c>
      <c r="BI30" s="1046">
        <f t="shared" si="4"/>
        <v>1.333333333333333</v>
      </c>
      <c r="BJ30" s="74"/>
      <c r="BK30" s="74"/>
      <c r="BL30" s="1136"/>
      <c r="BM30" s="1137"/>
      <c r="BN30" s="1136" t="s">
        <v>128</v>
      </c>
      <c r="BO30" s="1138">
        <v>6.375</v>
      </c>
      <c r="BP30" s="1137">
        <v>24</v>
      </c>
      <c r="BQ30" s="1139">
        <v>6</v>
      </c>
      <c r="BR30" s="1138">
        <f>BO30-6</f>
        <v>0.375</v>
      </c>
    </row>
    <row r="31" spans="1:70">
      <c r="A31" s="74"/>
      <c r="B31" s="74"/>
      <c r="C31" s="74" t="s">
        <v>125</v>
      </c>
      <c r="D31" s="1046">
        <v>6.33</v>
      </c>
      <c r="E31" s="121">
        <v>6</v>
      </c>
      <c r="F31" s="1189">
        <f t="shared" si="5"/>
        <v>0.33000000000000007</v>
      </c>
      <c r="G31" s="4677">
        <v>6</v>
      </c>
      <c r="I31" s="74"/>
      <c r="J31" s="74"/>
      <c r="K31" s="74" t="s">
        <v>125</v>
      </c>
      <c r="L31" s="1046">
        <v>10.25</v>
      </c>
      <c r="M31" s="121">
        <v>4</v>
      </c>
      <c r="N31" s="212">
        <f t="shared" si="0"/>
        <v>4.25</v>
      </c>
      <c r="P31" s="163"/>
      <c r="Q31" s="163"/>
      <c r="R31" s="1245" t="s">
        <v>572</v>
      </c>
      <c r="S31" s="1246">
        <v>8.9</v>
      </c>
      <c r="T31" s="213">
        <v>63</v>
      </c>
      <c r="U31" s="1152">
        <f>+(T24*U24+T25*U25+T26*U26+T27*U27+T28*U28+T29*U29+T30*U30)/T31</f>
        <v>2.9049206349206349</v>
      </c>
      <c r="V31" s="1"/>
      <c r="W31" s="2256"/>
      <c r="X31" s="2256" t="s">
        <v>16</v>
      </c>
      <c r="Y31" s="2257" t="s">
        <v>126</v>
      </c>
      <c r="Z31" s="2258">
        <v>11.5</v>
      </c>
      <c r="AA31" s="2259">
        <v>2</v>
      </c>
      <c r="AB31" s="212">
        <f t="shared" si="7"/>
        <v>5.5</v>
      </c>
      <c r="AD31" s="1126"/>
      <c r="AE31" s="1126"/>
      <c r="AF31" s="1127" t="s">
        <v>128</v>
      </c>
      <c r="AG31" s="1128">
        <v>6.2608695652173916</v>
      </c>
      <c r="AH31" s="1129">
        <v>23</v>
      </c>
      <c r="AI31" s="1130">
        <f t="shared" si="8"/>
        <v>0.26086956521739157</v>
      </c>
      <c r="AK31" s="965"/>
      <c r="AL31" s="965"/>
      <c r="AM31" s="965"/>
      <c r="AN31" s="734" t="s">
        <v>132</v>
      </c>
      <c r="AO31" s="736">
        <v>8.6666666666666661</v>
      </c>
      <c r="AP31" s="735">
        <v>12</v>
      </c>
      <c r="AQ31" s="1042">
        <v>1.9694638556693229</v>
      </c>
      <c r="AR31" s="736">
        <f t="shared" si="11"/>
        <v>2.6666666666666661</v>
      </c>
      <c r="AT31" s="1132"/>
      <c r="AU31" s="1132"/>
      <c r="AV31" s="1133" t="s">
        <v>129</v>
      </c>
      <c r="AW31" s="1134">
        <v>7</v>
      </c>
      <c r="AX31" s="1134">
        <f>AW31-BH30</f>
        <v>1</v>
      </c>
      <c r="AY31" s="1135">
        <v>6</v>
      </c>
      <c r="AZ31" s="1134">
        <v>7</v>
      </c>
      <c r="BA31" s="1134">
        <f>AZ31-BH31</f>
        <v>1</v>
      </c>
      <c r="BC31" s="121"/>
      <c r="BD31" s="121"/>
      <c r="BE31" s="74" t="s">
        <v>129</v>
      </c>
      <c r="BF31" s="121">
        <v>9</v>
      </c>
      <c r="BG31" s="1046">
        <v>7.666666666666667</v>
      </c>
      <c r="BH31" s="121">
        <v>6</v>
      </c>
      <c r="BI31" s="1046">
        <f t="shared" si="4"/>
        <v>1.666666666666667</v>
      </c>
      <c r="BJ31" s="1144">
        <f>AVERAGE(BI26:BI31)</f>
        <v>8.9203703703703709</v>
      </c>
      <c r="BK31" s="74"/>
      <c r="BL31" s="1136"/>
      <c r="BM31" s="1137"/>
      <c r="BN31" s="1136" t="s">
        <v>129</v>
      </c>
      <c r="BO31" s="1138">
        <v>7</v>
      </c>
      <c r="BP31" s="1137">
        <v>13</v>
      </c>
      <c r="BQ31" s="1139">
        <v>6</v>
      </c>
      <c r="BR31" s="1138">
        <f>BO31-6</f>
        <v>1</v>
      </c>
    </row>
    <row r="32" spans="1:70">
      <c r="A32" s="74"/>
      <c r="B32" s="74"/>
      <c r="C32" s="74" t="s">
        <v>424</v>
      </c>
      <c r="D32" s="1046">
        <v>9.44</v>
      </c>
      <c r="E32" s="121">
        <v>9</v>
      </c>
      <c r="F32" s="1189">
        <f t="shared" si="5"/>
        <v>3.4399999999999995</v>
      </c>
      <c r="G32" s="4677">
        <v>6</v>
      </c>
      <c r="I32" s="74"/>
      <c r="J32" s="74"/>
      <c r="K32" s="74" t="s">
        <v>424</v>
      </c>
      <c r="L32" s="1046">
        <v>8</v>
      </c>
      <c r="M32" s="121">
        <v>10</v>
      </c>
      <c r="N32" s="212">
        <f t="shared" si="0"/>
        <v>2</v>
      </c>
      <c r="P32" s="163"/>
      <c r="Q32" s="163" t="s">
        <v>16</v>
      </c>
      <c r="R32" s="80" t="s">
        <v>108</v>
      </c>
      <c r="S32" s="212">
        <v>3</v>
      </c>
      <c r="T32" s="163">
        <v>10</v>
      </c>
      <c r="U32" s="212">
        <f t="shared" si="6"/>
        <v>-3</v>
      </c>
      <c r="V32" s="1"/>
      <c r="W32" s="2256"/>
      <c r="X32" s="2256"/>
      <c r="Y32" s="2257" t="s">
        <v>127</v>
      </c>
      <c r="Z32" s="2258">
        <v>8.0833333333333321</v>
      </c>
      <c r="AA32" s="2259">
        <v>12</v>
      </c>
      <c r="AB32" s="212">
        <f t="shared" si="7"/>
        <v>2.0833333333333321</v>
      </c>
      <c r="AD32" s="1126"/>
      <c r="AE32" s="1126"/>
      <c r="AF32" s="1127" t="s">
        <v>129</v>
      </c>
      <c r="AG32" s="1128">
        <v>6.0588235294117645</v>
      </c>
      <c r="AH32" s="1129">
        <v>17</v>
      </c>
      <c r="AI32" s="1130">
        <f t="shared" si="8"/>
        <v>5.8823529411764497E-2</v>
      </c>
      <c r="AK32" s="965"/>
      <c r="AL32" s="965"/>
      <c r="AM32" s="965"/>
      <c r="AN32" s="1061" t="s">
        <v>575</v>
      </c>
      <c r="AO32" s="739">
        <v>7.9807692307692326</v>
      </c>
      <c r="AP32" s="740">
        <v>52</v>
      </c>
      <c r="AQ32" s="1062">
        <v>2.128152882384017</v>
      </c>
      <c r="AR32" s="1140">
        <f>+(AP29*AR29+AP30*AR30+AP31*AR31)/AP32</f>
        <v>1.9807692307692319</v>
      </c>
      <c r="AU32" s="1132"/>
      <c r="AV32" s="1141" t="s">
        <v>573</v>
      </c>
      <c r="AW32" s="1140">
        <v>7.6031746031746037</v>
      </c>
      <c r="AX32" s="1140">
        <f>+(AY27*AX27+AY28*AX28+AY29*AX29+AY30*AX30+AY31*AX31)/AY32</f>
        <v>1.6031746031746033</v>
      </c>
      <c r="AY32" s="1142">
        <v>63</v>
      </c>
      <c r="AZ32" s="1140">
        <v>8.0158730158730176</v>
      </c>
      <c r="BA32" s="1140">
        <f>+(AY27*BA27+AY28*BA28+29*BA29+AY30*BA30+AY31*BA31)/AY32</f>
        <v>2.258297258297258</v>
      </c>
      <c r="BC32" s="121"/>
      <c r="BD32" s="121"/>
      <c r="BE32" s="761" t="s">
        <v>15</v>
      </c>
      <c r="BF32" s="729">
        <v>98</v>
      </c>
      <c r="BG32" s="1059">
        <v>8.8265306122448948</v>
      </c>
      <c r="BH32" s="729"/>
      <c r="BI32" s="1059">
        <f>+(BF26*BI26+BF27*BI27+BF28*BI28+BF29*BI29+BF30*BI30+BF31*BI31)/BF32</f>
        <v>2.8265306122448957</v>
      </c>
      <c r="BJ32" s="74"/>
      <c r="BK32" s="74"/>
      <c r="BL32" s="1136"/>
      <c r="BM32" s="1137"/>
      <c r="BN32" s="1137" t="s">
        <v>15</v>
      </c>
      <c r="BO32" s="1138">
        <v>9.5176470588235329</v>
      </c>
      <c r="BP32" s="1137">
        <v>85</v>
      </c>
      <c r="BQ32" s="1139"/>
      <c r="BR32" s="1146">
        <f>AVERAGE(BR26:BR31)</f>
        <v>6.361519607843138</v>
      </c>
    </row>
    <row r="33" spans="1:70">
      <c r="A33" s="74"/>
      <c r="B33" s="74"/>
      <c r="C33" s="74" t="s">
        <v>834</v>
      </c>
      <c r="D33" s="1046">
        <v>8.3000000000000007</v>
      </c>
      <c r="E33" s="121">
        <v>27</v>
      </c>
      <c r="F33" s="1189">
        <f t="shared" si="5"/>
        <v>2.3000000000000007</v>
      </c>
      <c r="G33" s="4677">
        <v>6</v>
      </c>
      <c r="I33" s="74"/>
      <c r="J33" s="74"/>
      <c r="K33" s="74" t="s">
        <v>834</v>
      </c>
      <c r="L33" s="1046">
        <v>8.6</v>
      </c>
      <c r="M33" s="121">
        <v>10</v>
      </c>
      <c r="N33" s="212">
        <f t="shared" si="0"/>
        <v>2.5999999999999996</v>
      </c>
      <c r="P33" s="163"/>
      <c r="Q33" s="163"/>
      <c r="R33" s="80" t="s">
        <v>126</v>
      </c>
      <c r="S33" s="212">
        <v>6</v>
      </c>
      <c r="T33" s="163">
        <v>8</v>
      </c>
      <c r="U33" s="212">
        <f t="shared" si="6"/>
        <v>0</v>
      </c>
      <c r="V33" s="1"/>
      <c r="W33" s="2256"/>
      <c r="X33" s="2256"/>
      <c r="Y33" s="2257" t="s">
        <v>128</v>
      </c>
      <c r="Z33" s="2258">
        <v>8.25</v>
      </c>
      <c r="AA33" s="2259">
        <v>4</v>
      </c>
      <c r="AB33" s="212">
        <f t="shared" si="7"/>
        <v>2.25</v>
      </c>
      <c r="AD33" s="1126"/>
      <c r="AE33" s="1126"/>
      <c r="AF33" s="1149" t="s">
        <v>573</v>
      </c>
      <c r="AG33" s="1150">
        <v>6.8070175438596472</v>
      </c>
      <c r="AH33" s="1151">
        <v>114</v>
      </c>
      <c r="AI33" s="1152">
        <f>+(AH28*AI28+AH29*AI29+AH30*AI30+AH31*AI31+AH32*AI32)/AH33</f>
        <v>1.2017543859649138</v>
      </c>
      <c r="AK33" s="965"/>
      <c r="AL33" s="965"/>
      <c r="AM33" s="965"/>
      <c r="AN33" s="1155" t="s">
        <v>111</v>
      </c>
      <c r="AO33" s="1156">
        <v>8.0718232044198892</v>
      </c>
      <c r="AP33" s="1157">
        <v>181</v>
      </c>
      <c r="AQ33" s="1158">
        <v>1.8044178783421485</v>
      </c>
      <c r="AR33" s="1159">
        <f>+(AP23*AR23+AP28*AR28+AP32*AR32)/AP33</f>
        <v>2.0718232044198905</v>
      </c>
      <c r="AT33" s="1132"/>
      <c r="AU33" s="1132" t="s">
        <v>41</v>
      </c>
      <c r="AV33" s="1133" t="s">
        <v>130</v>
      </c>
      <c r="AW33" s="1134">
        <v>8.0666666666666682</v>
      </c>
      <c r="AX33" s="1134">
        <f t="shared" ref="AX33:AX35" si="13">AW33-BH32</f>
        <v>8.0666666666666682</v>
      </c>
      <c r="AY33" s="1135">
        <v>15</v>
      </c>
      <c r="AZ33" s="1134">
        <v>8.8000000000000007</v>
      </c>
      <c r="BA33" s="1134">
        <f t="shared" si="3"/>
        <v>2.8000000000000007</v>
      </c>
      <c r="BC33" s="121"/>
      <c r="BD33" s="121" t="s">
        <v>41</v>
      </c>
      <c r="BE33" s="74" t="s">
        <v>130</v>
      </c>
      <c r="BF33" s="121">
        <v>16</v>
      </c>
      <c r="BG33" s="1046">
        <v>6.875</v>
      </c>
      <c r="BH33" s="121">
        <v>6</v>
      </c>
      <c r="BI33" s="1046">
        <f t="shared" si="4"/>
        <v>0.875</v>
      </c>
      <c r="BJ33" s="74"/>
      <c r="BK33" s="74"/>
      <c r="BL33" s="1136"/>
      <c r="BM33" s="1137" t="s">
        <v>41</v>
      </c>
      <c r="BN33" s="1136" t="s">
        <v>462</v>
      </c>
      <c r="BO33" s="1138">
        <v>9</v>
      </c>
      <c r="BP33" s="1137">
        <v>2</v>
      </c>
      <c r="BQ33" s="1139">
        <v>6</v>
      </c>
      <c r="BR33" s="1138">
        <f>BO33-6</f>
        <v>3</v>
      </c>
    </row>
    <row r="34" spans="1:70">
      <c r="A34" s="74"/>
      <c r="B34" s="74"/>
      <c r="C34" s="761" t="s">
        <v>572</v>
      </c>
      <c r="D34" s="1059">
        <v>8.14</v>
      </c>
      <c r="E34" s="4673">
        <v>93</v>
      </c>
      <c r="F34" s="1152">
        <f>+(E27*F27+E28*F28+E29*F29+E30*F30+E31*F31+E32*F32+E33*F33)/E34</f>
        <v>2.1398924731182798</v>
      </c>
      <c r="G34" s="4677"/>
      <c r="I34" s="74"/>
      <c r="J34" s="74"/>
      <c r="K34" s="761" t="s">
        <v>572</v>
      </c>
      <c r="L34" s="1059">
        <v>8.1999999999999993</v>
      </c>
      <c r="M34" s="729">
        <v>82</v>
      </c>
      <c r="N34" s="1152">
        <f>+(M27*N27+M28*N28+M29*N29+M30*N30+M31*N31+M32*N32+M33*N33)/M34</f>
        <v>2.1942682926829269</v>
      </c>
      <c r="P34" s="163"/>
      <c r="Q34" s="163"/>
      <c r="R34" s="80" t="s">
        <v>127</v>
      </c>
      <c r="S34" s="212">
        <v>7.34</v>
      </c>
      <c r="T34" s="163">
        <v>41</v>
      </c>
      <c r="U34" s="212">
        <f t="shared" si="6"/>
        <v>1.3399999999999999</v>
      </c>
      <c r="V34" s="1"/>
      <c r="W34" s="2256"/>
      <c r="X34" s="2256"/>
      <c r="Y34" s="2257" t="s">
        <v>129</v>
      </c>
      <c r="Z34" s="2258">
        <v>6.666666666666667</v>
      </c>
      <c r="AA34" s="2259">
        <v>9</v>
      </c>
      <c r="AB34" s="212">
        <f t="shared" si="7"/>
        <v>0.66666666666666696</v>
      </c>
      <c r="AD34" s="1126"/>
      <c r="AE34" s="1126" t="s">
        <v>41</v>
      </c>
      <c r="AF34" s="1127" t="s">
        <v>462</v>
      </c>
      <c r="AG34" s="1128">
        <v>7.5</v>
      </c>
      <c r="AH34" s="1129">
        <v>12</v>
      </c>
      <c r="AI34" s="1130">
        <f t="shared" si="8"/>
        <v>1.5</v>
      </c>
      <c r="AK34" s="965"/>
      <c r="AL34" s="965" t="s">
        <v>48</v>
      </c>
      <c r="AM34" s="965" t="s">
        <v>16</v>
      </c>
      <c r="AN34" s="734" t="s">
        <v>133</v>
      </c>
      <c r="AO34" s="736">
        <v>7.75</v>
      </c>
      <c r="AP34" s="735">
        <v>16</v>
      </c>
      <c r="AQ34" s="1042">
        <v>2.2360679774997894</v>
      </c>
      <c r="AR34" s="736">
        <f>AO34-6</f>
        <v>1.75</v>
      </c>
      <c r="AT34" s="1132"/>
      <c r="AU34" s="1132"/>
      <c r="AV34" s="1133" t="s">
        <v>131</v>
      </c>
      <c r="AW34" s="1134">
        <v>8.3913043478260896</v>
      </c>
      <c r="AX34" s="1134">
        <f t="shared" si="13"/>
        <v>2.3913043478260896</v>
      </c>
      <c r="AY34" s="1135">
        <v>23</v>
      </c>
      <c r="AZ34" s="1134">
        <v>8.3913043478260896</v>
      </c>
      <c r="BA34" s="1134">
        <f t="shared" si="3"/>
        <v>2.3913043478260896</v>
      </c>
      <c r="BC34" s="121"/>
      <c r="BD34" s="121"/>
      <c r="BE34" s="74" t="s">
        <v>131</v>
      </c>
      <c r="BF34" s="121">
        <v>18</v>
      </c>
      <c r="BG34" s="1046">
        <v>7.6111111111111116</v>
      </c>
      <c r="BH34" s="121">
        <v>6</v>
      </c>
      <c r="BI34" s="1046">
        <f t="shared" si="4"/>
        <v>1.6111111111111116</v>
      </c>
      <c r="BJ34" s="74"/>
      <c r="BK34" s="74"/>
      <c r="BL34" s="1136"/>
      <c r="BM34" s="1137"/>
      <c r="BN34" s="1136" t="s">
        <v>130</v>
      </c>
      <c r="BO34" s="1138">
        <v>10.333333333333332</v>
      </c>
      <c r="BP34" s="1137">
        <v>27</v>
      </c>
      <c r="BQ34" s="1139">
        <v>6</v>
      </c>
      <c r="BR34" s="1138">
        <f>BO34-6</f>
        <v>4.3333333333333321</v>
      </c>
    </row>
    <row r="35" spans="1:70">
      <c r="A35" s="74"/>
      <c r="B35" s="74" t="s">
        <v>16</v>
      </c>
      <c r="C35" s="74" t="s">
        <v>108</v>
      </c>
      <c r="D35" s="1046">
        <v>3</v>
      </c>
      <c r="E35" s="121">
        <v>10</v>
      </c>
      <c r="F35" s="1189">
        <f t="shared" si="5"/>
        <v>0</v>
      </c>
      <c r="G35" s="4677">
        <v>3</v>
      </c>
      <c r="I35" s="74"/>
      <c r="J35" s="74" t="s">
        <v>16</v>
      </c>
      <c r="K35" s="74" t="s">
        <v>108</v>
      </c>
      <c r="L35" s="1046">
        <v>4</v>
      </c>
      <c r="M35" s="121">
        <v>4</v>
      </c>
      <c r="N35" s="212">
        <f t="shared" si="0"/>
        <v>-2</v>
      </c>
      <c r="P35" s="163"/>
      <c r="Q35" s="163"/>
      <c r="R35" s="80" t="s">
        <v>128</v>
      </c>
      <c r="S35" s="212">
        <v>6.19</v>
      </c>
      <c r="T35" s="163">
        <v>16</v>
      </c>
      <c r="U35" s="212">
        <f t="shared" si="6"/>
        <v>0.19000000000000039</v>
      </c>
      <c r="V35" s="1"/>
      <c r="W35" s="2256"/>
      <c r="X35" s="2256"/>
      <c r="Y35" s="2260" t="s">
        <v>573</v>
      </c>
      <c r="Z35" s="2261">
        <v>7.8888888888888902</v>
      </c>
      <c r="AA35" s="2262">
        <v>27</v>
      </c>
      <c r="AB35" s="1152">
        <f>+(AA31*AB31+AA32*AB32+AA33*AB33+AA34*AB34)/AA35</f>
        <v>1.8888888888888884</v>
      </c>
      <c r="AD35" s="1126"/>
      <c r="AE35" s="1126"/>
      <c r="AF35" s="1127" t="s">
        <v>130</v>
      </c>
      <c r="AG35" s="1128">
        <v>7.0000000000000009</v>
      </c>
      <c r="AH35" s="1129">
        <v>13</v>
      </c>
      <c r="AI35" s="1130">
        <f t="shared" si="8"/>
        <v>1.0000000000000009</v>
      </c>
      <c r="AK35" s="965"/>
      <c r="AL35" s="965"/>
      <c r="AM35" s="965"/>
      <c r="AN35" s="734" t="s">
        <v>134</v>
      </c>
      <c r="AO35" s="736">
        <v>6</v>
      </c>
      <c r="AP35" s="735">
        <v>6</v>
      </c>
      <c r="AQ35" s="1042">
        <v>0</v>
      </c>
      <c r="AR35" s="736">
        <f t="shared" ref="AR35:AR55" si="14">AO35-6</f>
        <v>0</v>
      </c>
      <c r="AT35" s="1132"/>
      <c r="AU35" s="1132"/>
      <c r="AV35" s="1133" t="s">
        <v>132</v>
      </c>
      <c r="AW35" s="1134">
        <v>11.428571428571429</v>
      </c>
      <c r="AX35" s="1134">
        <f t="shared" si="13"/>
        <v>5.4285714285714288</v>
      </c>
      <c r="AY35" s="1135">
        <v>7</v>
      </c>
      <c r="AZ35" s="1134">
        <v>11.428571428571429</v>
      </c>
      <c r="BA35" s="1134">
        <f t="shared" si="3"/>
        <v>5.4285714285714288</v>
      </c>
      <c r="BC35" s="121"/>
      <c r="BD35" s="121"/>
      <c r="BE35" s="74" t="s">
        <v>132</v>
      </c>
      <c r="BF35" s="121">
        <v>13</v>
      </c>
      <c r="BG35" s="1046">
        <v>9.615384615384615</v>
      </c>
      <c r="BH35" s="121">
        <v>6</v>
      </c>
      <c r="BI35" s="1046">
        <f t="shared" si="4"/>
        <v>3.615384615384615</v>
      </c>
      <c r="BJ35" s="1144">
        <f>AVERAGE(BI33:BI35)</f>
        <v>2.033831908831909</v>
      </c>
      <c r="BK35" s="74"/>
      <c r="BL35" s="1136"/>
      <c r="BM35" s="1137"/>
      <c r="BN35" s="1136" t="s">
        <v>131</v>
      </c>
      <c r="BO35" s="1138">
        <v>11.384615384615387</v>
      </c>
      <c r="BP35" s="1137">
        <v>13</v>
      </c>
      <c r="BQ35" s="1139">
        <v>6</v>
      </c>
      <c r="BR35" s="1138">
        <f>BO35-6</f>
        <v>5.3846153846153868</v>
      </c>
    </row>
    <row r="36" spans="1:70">
      <c r="A36" s="74"/>
      <c r="B36" s="74"/>
      <c r="C36" s="74" t="s">
        <v>126</v>
      </c>
      <c r="D36" s="1046">
        <v>10</v>
      </c>
      <c r="E36" s="121">
        <v>3</v>
      </c>
      <c r="F36" s="1189">
        <f t="shared" si="5"/>
        <v>4</v>
      </c>
      <c r="G36" s="4677">
        <v>6</v>
      </c>
      <c r="I36" s="74"/>
      <c r="J36" s="74"/>
      <c r="K36" s="74" t="s">
        <v>126</v>
      </c>
      <c r="L36" s="1046">
        <v>6.46</v>
      </c>
      <c r="M36" s="121">
        <v>26</v>
      </c>
      <c r="N36" s="212">
        <f t="shared" si="0"/>
        <v>0.45999999999999996</v>
      </c>
      <c r="P36" s="163"/>
      <c r="Q36" s="163"/>
      <c r="R36" s="80" t="s">
        <v>129</v>
      </c>
      <c r="S36" s="212">
        <v>6.44</v>
      </c>
      <c r="T36" s="163">
        <v>9</v>
      </c>
      <c r="U36" s="212">
        <f t="shared" si="6"/>
        <v>0.44000000000000039</v>
      </c>
      <c r="V36" s="1"/>
      <c r="W36" s="2256"/>
      <c r="X36" s="2256" t="s">
        <v>41</v>
      </c>
      <c r="Y36" s="2257" t="s">
        <v>462</v>
      </c>
      <c r="Z36" s="2258">
        <v>8.3333333333333321</v>
      </c>
      <c r="AA36" s="2259">
        <v>6</v>
      </c>
      <c r="AB36" s="212">
        <f t="shared" si="7"/>
        <v>2.3333333333333321</v>
      </c>
      <c r="AD36" s="1126"/>
      <c r="AE36" s="1126"/>
      <c r="AF36" s="1127" t="s">
        <v>131</v>
      </c>
      <c r="AG36" s="1128">
        <v>7.1052631578947381</v>
      </c>
      <c r="AH36" s="1129">
        <v>19</v>
      </c>
      <c r="AI36" s="1130">
        <f t="shared" si="8"/>
        <v>1.1052631578947381</v>
      </c>
      <c r="AK36" s="965"/>
      <c r="AL36" s="965"/>
      <c r="AM36" s="965"/>
      <c r="AN36" s="734" t="s">
        <v>135</v>
      </c>
      <c r="AO36" s="736">
        <v>3</v>
      </c>
      <c r="AP36" s="735">
        <v>1</v>
      </c>
      <c r="AQ36" s="966"/>
      <c r="AR36" s="736">
        <f>AO36-3</f>
        <v>0</v>
      </c>
      <c r="AT36" s="1132"/>
      <c r="AU36" s="1132"/>
      <c r="AV36" s="1141" t="s">
        <v>575</v>
      </c>
      <c r="AW36" s="1140">
        <v>8.7555555555555529</v>
      </c>
      <c r="AX36" s="1140">
        <f>+(AY33*AX33+AY34*AX34+AY35*AX35)/AY36</f>
        <v>4.7555555555555573</v>
      </c>
      <c r="AY36" s="1142">
        <v>45</v>
      </c>
      <c r="AZ36" s="1140">
        <v>8.9999999999999982</v>
      </c>
      <c r="BA36" s="1140">
        <f>+(AY33*BA33+AY34*BA34+AY35*BA35)/AY36</f>
        <v>3.0000000000000013</v>
      </c>
      <c r="BC36" s="121"/>
      <c r="BD36" s="121"/>
      <c r="BE36" s="761" t="s">
        <v>15</v>
      </c>
      <c r="BF36" s="729">
        <v>47</v>
      </c>
      <c r="BG36" s="1059">
        <v>7.9148936170212769</v>
      </c>
      <c r="BH36" s="729"/>
      <c r="BI36" s="1059">
        <f>+(BF33*BI33+BF34*BI34+BF35*BI35)/BF36</f>
        <v>1.9148936170212767</v>
      </c>
      <c r="BJ36" s="74"/>
      <c r="BK36" s="74"/>
      <c r="BL36" s="1136"/>
      <c r="BM36" s="1137"/>
      <c r="BN36" s="1136" t="s">
        <v>132</v>
      </c>
      <c r="BO36" s="1138">
        <v>9.4</v>
      </c>
      <c r="BP36" s="1137">
        <v>10</v>
      </c>
      <c r="BQ36" s="1139">
        <v>6</v>
      </c>
      <c r="BR36" s="1138">
        <f>BO36-6</f>
        <v>3.4000000000000004</v>
      </c>
    </row>
    <row r="37" spans="1:70">
      <c r="A37" s="74"/>
      <c r="B37" s="74"/>
      <c r="C37" s="74" t="s">
        <v>127</v>
      </c>
      <c r="D37" s="1046">
        <v>7.14</v>
      </c>
      <c r="E37" s="121">
        <v>14</v>
      </c>
      <c r="F37" s="1189">
        <f t="shared" si="5"/>
        <v>1.1399999999999997</v>
      </c>
      <c r="G37" s="4677">
        <v>6</v>
      </c>
      <c r="I37" s="74"/>
      <c r="J37" s="74"/>
      <c r="K37" s="74" t="s">
        <v>127</v>
      </c>
      <c r="L37" s="1046">
        <v>8.5</v>
      </c>
      <c r="M37" s="121">
        <v>14</v>
      </c>
      <c r="N37" s="212">
        <f t="shared" si="0"/>
        <v>2.5</v>
      </c>
      <c r="P37" s="163"/>
      <c r="Q37" s="163"/>
      <c r="R37" s="1245" t="s">
        <v>573</v>
      </c>
      <c r="S37" s="1246">
        <v>6.38</v>
      </c>
      <c r="T37" s="213">
        <v>84</v>
      </c>
      <c r="U37" s="1152">
        <f>+(T32*U32+T33*U33+T34*U34+T35*U35+T36*U36)/T37</f>
        <v>0.38023809523809532</v>
      </c>
      <c r="V37" s="1"/>
      <c r="W37" s="2256"/>
      <c r="X37" s="2256"/>
      <c r="Y37" s="2257" t="s">
        <v>130</v>
      </c>
      <c r="Z37" s="2258">
        <v>6.75</v>
      </c>
      <c r="AA37" s="2259">
        <v>20</v>
      </c>
      <c r="AB37" s="212">
        <f t="shared" si="7"/>
        <v>0.75</v>
      </c>
      <c r="AD37" s="1126"/>
      <c r="AE37" s="1126"/>
      <c r="AF37" s="1127" t="s">
        <v>132</v>
      </c>
      <c r="AG37" s="1128">
        <v>9.0000000000000018</v>
      </c>
      <c r="AH37" s="1129">
        <v>19</v>
      </c>
      <c r="AI37" s="1130">
        <f t="shared" si="8"/>
        <v>3.0000000000000018</v>
      </c>
      <c r="AK37" s="965"/>
      <c r="AL37" s="965"/>
      <c r="AM37" s="965"/>
      <c r="AN37" s="734" t="s">
        <v>136</v>
      </c>
      <c r="AO37" s="736">
        <v>7.8181818181818192</v>
      </c>
      <c r="AP37" s="735">
        <v>11</v>
      </c>
      <c r="AQ37" s="1042">
        <v>1.8877596148970777</v>
      </c>
      <c r="AR37" s="736">
        <f t="shared" si="14"/>
        <v>1.8181818181818192</v>
      </c>
      <c r="AT37" s="1132"/>
      <c r="AU37" s="1132"/>
      <c r="BC37" s="121"/>
      <c r="BD37" s="121"/>
      <c r="BE37" s="761"/>
      <c r="BF37" s="729"/>
      <c r="BG37" s="1059"/>
      <c r="BH37" s="729"/>
      <c r="BI37" s="1059"/>
      <c r="BJ37" s="74"/>
      <c r="BK37" s="74"/>
      <c r="BL37" s="1136"/>
      <c r="BM37" s="1137"/>
      <c r="BN37" s="1137" t="s">
        <v>15</v>
      </c>
      <c r="BO37" s="1138">
        <v>10.365384615384613</v>
      </c>
      <c r="BP37" s="1137">
        <v>52</v>
      </c>
      <c r="BQ37" s="1139"/>
      <c r="BR37" s="1146">
        <f>AVERAGE(BR33:BR36)</f>
        <v>4.0294871794871803</v>
      </c>
    </row>
    <row r="38" spans="1:70">
      <c r="A38" s="74"/>
      <c r="B38" s="74"/>
      <c r="C38" s="74" t="s">
        <v>128</v>
      </c>
      <c r="D38" s="1046">
        <v>6.19</v>
      </c>
      <c r="E38" s="121">
        <v>16</v>
      </c>
      <c r="F38" s="1189">
        <f t="shared" si="5"/>
        <v>0.19000000000000039</v>
      </c>
      <c r="G38" s="4677">
        <v>6</v>
      </c>
      <c r="I38" s="74"/>
      <c r="J38" s="74"/>
      <c r="K38" s="74" t="s">
        <v>128</v>
      </c>
      <c r="L38" s="1046">
        <v>6.4</v>
      </c>
      <c r="M38" s="121">
        <v>5</v>
      </c>
      <c r="N38" s="212">
        <f t="shared" si="0"/>
        <v>0.40000000000000036</v>
      </c>
      <c r="P38" s="163"/>
      <c r="Q38" s="163" t="s">
        <v>41</v>
      </c>
      <c r="R38" s="80" t="s">
        <v>462</v>
      </c>
      <c r="S38" s="212">
        <v>7.46</v>
      </c>
      <c r="T38" s="163">
        <v>13</v>
      </c>
      <c r="U38" s="212">
        <f t="shared" si="6"/>
        <v>1.46</v>
      </c>
      <c r="V38" s="1"/>
      <c r="W38" s="2256"/>
      <c r="X38" s="2256"/>
      <c r="Y38" s="2257" t="s">
        <v>131</v>
      </c>
      <c r="Z38" s="2258">
        <v>7.0714285714285703</v>
      </c>
      <c r="AA38" s="2259">
        <v>14</v>
      </c>
      <c r="AB38" s="212">
        <f t="shared" si="7"/>
        <v>1.0714285714285703</v>
      </c>
      <c r="AD38" s="1126"/>
      <c r="AE38" s="1126"/>
      <c r="AF38" s="1149" t="s">
        <v>575</v>
      </c>
      <c r="AG38" s="1150">
        <v>7.7301587301587302</v>
      </c>
      <c r="AH38" s="1151">
        <v>63</v>
      </c>
      <c r="AI38" s="1152">
        <f t="shared" si="8"/>
        <v>1.7301587301587302</v>
      </c>
      <c r="AJ38" s="85"/>
      <c r="AK38" s="965"/>
      <c r="AL38" s="965"/>
      <c r="AM38" s="965"/>
      <c r="AN38" s="734" t="s">
        <v>137</v>
      </c>
      <c r="AO38" s="736">
        <v>6.125</v>
      </c>
      <c r="AP38" s="735">
        <v>8</v>
      </c>
      <c r="AQ38" s="1147">
        <v>0.35355339059327379</v>
      </c>
      <c r="AR38" s="736">
        <f t="shared" si="14"/>
        <v>0.125</v>
      </c>
      <c r="AT38" s="1160"/>
      <c r="AU38" s="1160"/>
      <c r="AV38" s="1161"/>
      <c r="AW38" s="1159"/>
      <c r="AX38" s="1159"/>
      <c r="AY38" s="1162"/>
      <c r="AZ38" s="1159"/>
      <c r="BA38" s="1159"/>
      <c r="BC38" s="1163"/>
      <c r="BD38" s="1163"/>
      <c r="BE38" s="1164"/>
      <c r="BF38" s="1165"/>
      <c r="BG38" s="1166"/>
      <c r="BH38" s="1165"/>
      <c r="BI38" s="1166"/>
      <c r="BJ38" s="74"/>
      <c r="BK38" s="74"/>
      <c r="BL38" s="1167"/>
      <c r="BM38" s="1168"/>
      <c r="BN38" s="1169" t="s">
        <v>111</v>
      </c>
      <c r="BO38" s="1170">
        <v>9.7641025641025614</v>
      </c>
      <c r="BP38" s="1171">
        <v>195</v>
      </c>
      <c r="BQ38" s="1172"/>
      <c r="BR38" s="1170">
        <f>AVERAGE(BR25,BR32,BR37)</f>
        <v>4.5267408245349428</v>
      </c>
    </row>
    <row r="39" spans="1:70">
      <c r="A39" s="74"/>
      <c r="B39" s="74"/>
      <c r="C39" s="74" t="s">
        <v>129</v>
      </c>
      <c r="D39" s="1046">
        <v>6.33</v>
      </c>
      <c r="E39" s="121">
        <v>3</v>
      </c>
      <c r="F39" s="1189">
        <f t="shared" si="5"/>
        <v>0.33000000000000007</v>
      </c>
      <c r="G39" s="4677">
        <v>6</v>
      </c>
      <c r="I39" s="74"/>
      <c r="J39" s="74"/>
      <c r="K39" s="74" t="s">
        <v>129</v>
      </c>
      <c r="L39" s="1046">
        <v>6</v>
      </c>
      <c r="M39" s="121">
        <v>7</v>
      </c>
      <c r="N39" s="212">
        <f t="shared" si="0"/>
        <v>0</v>
      </c>
      <c r="P39" s="163"/>
      <c r="Q39" s="163"/>
      <c r="R39" s="80" t="s">
        <v>130</v>
      </c>
      <c r="S39" s="212">
        <v>7.3</v>
      </c>
      <c r="T39" s="163">
        <v>20</v>
      </c>
      <c r="U39" s="212">
        <f t="shared" si="6"/>
        <v>1.2999999999999998</v>
      </c>
      <c r="V39" s="1"/>
      <c r="W39" s="2256"/>
      <c r="X39" s="2256"/>
      <c r="Y39" s="2257" t="s">
        <v>132</v>
      </c>
      <c r="Z39" s="2258">
        <v>8.5555555555555554</v>
      </c>
      <c r="AA39" s="2259">
        <v>18</v>
      </c>
      <c r="AB39" s="212">
        <f t="shared" si="7"/>
        <v>2.5555555555555554</v>
      </c>
      <c r="AD39" s="1126"/>
      <c r="AE39" s="1126"/>
      <c r="AF39" s="1173" t="s">
        <v>111</v>
      </c>
      <c r="AG39" s="1174">
        <v>7.5742971887550237</v>
      </c>
      <c r="AH39" s="1175">
        <v>249</v>
      </c>
      <c r="AI39" s="1176">
        <f>+(AH27*AI27+AH33*AI33+AH38*AI38)/AH39</f>
        <v>1.7550200803212861</v>
      </c>
      <c r="AJ39" s="85"/>
      <c r="AK39" s="965"/>
      <c r="AL39" s="965"/>
      <c r="AM39" s="965"/>
      <c r="AN39" s="734" t="s">
        <v>138</v>
      </c>
      <c r="AO39" s="736">
        <v>7.5714285714285712</v>
      </c>
      <c r="AP39" s="735">
        <v>7</v>
      </c>
      <c r="AQ39" s="1147">
        <v>0.7867957924694432</v>
      </c>
      <c r="AR39" s="736">
        <f t="shared" si="14"/>
        <v>1.5714285714285712</v>
      </c>
      <c r="AT39" s="1132" t="s">
        <v>48</v>
      </c>
      <c r="AU39" s="1132" t="s">
        <v>16</v>
      </c>
      <c r="BC39" s="121" t="s">
        <v>48</v>
      </c>
      <c r="BD39" s="121" t="s">
        <v>16</v>
      </c>
      <c r="BE39" s="74" t="s">
        <v>1400</v>
      </c>
      <c r="BF39" s="121">
        <v>1</v>
      </c>
      <c r="BG39" s="1046">
        <f>1+5</f>
        <v>6</v>
      </c>
      <c r="BH39" s="121">
        <v>6</v>
      </c>
      <c r="BI39" s="1046">
        <f t="shared" si="4"/>
        <v>0</v>
      </c>
      <c r="BJ39" s="74"/>
      <c r="BK39" s="74"/>
      <c r="BL39" s="1136" t="s">
        <v>48</v>
      </c>
      <c r="BM39" s="1137" t="s">
        <v>16</v>
      </c>
      <c r="BN39" s="1136" t="s">
        <v>133</v>
      </c>
      <c r="BO39" s="1138">
        <v>14.916666666666664</v>
      </c>
      <c r="BP39" s="1137">
        <v>12</v>
      </c>
      <c r="BQ39" s="1139">
        <v>6</v>
      </c>
      <c r="BR39" s="1138">
        <f>BO39-6</f>
        <v>8.9166666666666643</v>
      </c>
    </row>
    <row r="40" spans="1:70">
      <c r="A40" s="74"/>
      <c r="B40" s="74"/>
      <c r="C40" s="761" t="s">
        <v>573</v>
      </c>
      <c r="D40" s="1059">
        <v>6.04</v>
      </c>
      <c r="E40" s="4673">
        <v>46</v>
      </c>
      <c r="F40" s="1152">
        <f>+(E35*F35+E36*F36+E37*F37+E38*F38+E39*F39)/E40</f>
        <v>0.69543478260869573</v>
      </c>
      <c r="G40" s="4677"/>
      <c r="I40" s="74"/>
      <c r="J40" s="74"/>
      <c r="K40" s="761" t="s">
        <v>573</v>
      </c>
      <c r="L40" s="1059">
        <v>6.73</v>
      </c>
      <c r="M40" s="729">
        <v>56</v>
      </c>
      <c r="N40" s="1152">
        <f>+(M35*N35+M36*N36+M37*N37+M38*N38+M39*N39)/M40</f>
        <v>0.73142857142857143</v>
      </c>
      <c r="P40" s="163"/>
      <c r="Q40" s="163"/>
      <c r="R40" s="80" t="s">
        <v>131</v>
      </c>
      <c r="S40" s="212">
        <v>6.81</v>
      </c>
      <c r="T40" s="163">
        <v>16</v>
      </c>
      <c r="U40" s="212">
        <f t="shared" si="6"/>
        <v>0.80999999999999961</v>
      </c>
      <c r="V40" s="1"/>
      <c r="W40" s="2256"/>
      <c r="X40" s="2256"/>
      <c r="Y40" s="2260" t="s">
        <v>575</v>
      </c>
      <c r="Z40" s="2261">
        <v>7.5517241379310338</v>
      </c>
      <c r="AA40" s="2262">
        <v>58</v>
      </c>
      <c r="AB40" s="1152">
        <f>+(AA36*AB36+AA37*AB37+AA38*AB38+AA39*AB39)/AA40</f>
        <v>1.551724137931034</v>
      </c>
      <c r="AD40" s="1126" t="s">
        <v>48</v>
      </c>
      <c r="AE40" s="1126" t="s">
        <v>16</v>
      </c>
      <c r="AF40" s="1127" t="s">
        <v>133</v>
      </c>
      <c r="AG40" s="1128">
        <v>8</v>
      </c>
      <c r="AH40" s="1129">
        <v>5</v>
      </c>
      <c r="AI40" s="1130">
        <f t="shared" si="8"/>
        <v>2</v>
      </c>
      <c r="AK40" s="965"/>
      <c r="AL40" s="965"/>
      <c r="AM40" s="965"/>
      <c r="AN40" s="734" t="s">
        <v>112</v>
      </c>
      <c r="AO40" s="736">
        <v>3.9090909090909087</v>
      </c>
      <c r="AP40" s="735">
        <v>11</v>
      </c>
      <c r="AQ40" s="1042">
        <v>1.3751033019046572</v>
      </c>
      <c r="AR40" s="736">
        <f>AO40-6</f>
        <v>-2.0909090909090913</v>
      </c>
      <c r="AT40" s="1132"/>
      <c r="AU40" s="1132"/>
      <c r="AV40" s="1133" t="s">
        <v>133</v>
      </c>
      <c r="AW40" s="1134">
        <v>8.4285714285714288</v>
      </c>
      <c r="AX40" s="1134">
        <f t="shared" ref="AX40:AX47" si="15">AW40-BH40</f>
        <v>2.4285714285714288</v>
      </c>
      <c r="AY40" s="1135">
        <v>14</v>
      </c>
      <c r="AZ40" s="1134">
        <v>9.5</v>
      </c>
      <c r="BA40" s="1134">
        <f t="shared" ref="BA40:BA46" si="16">AZ40-BH40</f>
        <v>3.5</v>
      </c>
      <c r="BC40" s="121"/>
      <c r="BD40" s="121"/>
      <c r="BE40" s="74" t="s">
        <v>133</v>
      </c>
      <c r="BF40" s="121">
        <v>9</v>
      </c>
      <c r="BG40" s="1046">
        <v>11.777777777777779</v>
      </c>
      <c r="BH40" s="121">
        <v>6</v>
      </c>
      <c r="BI40" s="1046">
        <f t="shared" si="4"/>
        <v>5.7777777777777786</v>
      </c>
      <c r="BJ40" s="74"/>
      <c r="BK40" s="74"/>
      <c r="BL40" s="1136"/>
      <c r="BM40" s="1137"/>
      <c r="BN40" s="1136" t="s">
        <v>134</v>
      </c>
      <c r="BO40" s="1138">
        <v>6.3076923076923075</v>
      </c>
      <c r="BP40" s="1137">
        <v>13</v>
      </c>
      <c r="BQ40" s="1139">
        <v>6</v>
      </c>
      <c r="BR40" s="1138">
        <f>BO40-6</f>
        <v>0.30769230769230749</v>
      </c>
    </row>
    <row r="41" spans="1:70">
      <c r="A41" s="74"/>
      <c r="B41" s="74" t="s">
        <v>41</v>
      </c>
      <c r="C41" s="74" t="s">
        <v>462</v>
      </c>
      <c r="D41" s="1046">
        <v>7.71</v>
      </c>
      <c r="E41" s="121">
        <v>14</v>
      </c>
      <c r="F41" s="1189">
        <f t="shared" si="5"/>
        <v>1.71</v>
      </c>
      <c r="G41" s="4677">
        <v>6</v>
      </c>
      <c r="I41" s="74"/>
      <c r="J41" s="74" t="s">
        <v>41</v>
      </c>
      <c r="K41" s="74" t="s">
        <v>462</v>
      </c>
      <c r="L41" s="1046">
        <v>7.5</v>
      </c>
      <c r="M41" s="121">
        <v>10</v>
      </c>
      <c r="N41" s="212">
        <f t="shared" si="0"/>
        <v>1.5</v>
      </c>
      <c r="P41" s="163"/>
      <c r="Q41" s="163"/>
      <c r="R41" s="80" t="s">
        <v>132</v>
      </c>
      <c r="S41" s="212">
        <v>9.4600000000000009</v>
      </c>
      <c r="T41" s="163">
        <v>24</v>
      </c>
      <c r="U41" s="212">
        <f t="shared" si="6"/>
        <v>3.4600000000000009</v>
      </c>
      <c r="V41" s="1"/>
      <c r="W41" s="2256"/>
      <c r="X41" s="2256"/>
      <c r="Y41" s="2260" t="s">
        <v>111</v>
      </c>
      <c r="Z41" s="2261">
        <v>7.9722222222222276</v>
      </c>
      <c r="AA41" s="2262">
        <v>144</v>
      </c>
      <c r="AB41" s="2269">
        <f>+(AA30*AB30+AA36*AB36+AA40*AB40)/AA41</f>
        <v>1.7152777777777777</v>
      </c>
      <c r="AD41" s="1126"/>
      <c r="AE41" s="1126"/>
      <c r="AF41" s="1127" t="s">
        <v>134</v>
      </c>
      <c r="AG41" s="1128">
        <v>6.625</v>
      </c>
      <c r="AH41" s="1129">
        <v>8</v>
      </c>
      <c r="AI41" s="1130">
        <f t="shared" si="8"/>
        <v>0.625</v>
      </c>
      <c r="AK41" s="965"/>
      <c r="AL41" s="965"/>
      <c r="AM41" s="965"/>
      <c r="AN41" s="734" t="s">
        <v>621</v>
      </c>
      <c r="AO41" s="736">
        <v>3</v>
      </c>
      <c r="AP41" s="735">
        <v>8</v>
      </c>
      <c r="AQ41" s="1042">
        <v>0</v>
      </c>
      <c r="AR41" s="736">
        <f t="shared" si="14"/>
        <v>-3</v>
      </c>
      <c r="AT41" s="1132"/>
      <c r="AU41" s="1132"/>
      <c r="AV41" s="1133" t="s">
        <v>134</v>
      </c>
      <c r="AW41" s="1134">
        <v>6</v>
      </c>
      <c r="AX41" s="1134">
        <f t="shared" si="15"/>
        <v>0</v>
      </c>
      <c r="AY41" s="1135">
        <v>9</v>
      </c>
      <c r="AZ41" s="1134">
        <v>6</v>
      </c>
      <c r="BA41" s="1134">
        <f t="shared" si="16"/>
        <v>0</v>
      </c>
      <c r="BC41" s="121"/>
      <c r="BD41" s="121"/>
      <c r="BE41" s="74" t="s">
        <v>134</v>
      </c>
      <c r="BF41" s="121">
        <v>10</v>
      </c>
      <c r="BG41" s="1046">
        <v>10.6</v>
      </c>
      <c r="BH41" s="121">
        <v>6</v>
      </c>
      <c r="BI41" s="1046">
        <f t="shared" si="4"/>
        <v>4.5999999999999996</v>
      </c>
      <c r="BJ41" s="74"/>
      <c r="BK41" s="74"/>
      <c r="BL41" s="1136"/>
      <c r="BM41" s="1137"/>
      <c r="BN41" s="1136" t="s">
        <v>135</v>
      </c>
      <c r="BO41" s="1138">
        <v>3.2</v>
      </c>
      <c r="BP41" s="1137">
        <v>20</v>
      </c>
      <c r="BQ41" s="1139">
        <v>3</v>
      </c>
      <c r="BR41" s="1138">
        <f>BO41-3</f>
        <v>0.20000000000000018</v>
      </c>
    </row>
    <row r="42" spans="1:70">
      <c r="A42" s="74"/>
      <c r="B42" s="74"/>
      <c r="C42" s="74" t="s">
        <v>130</v>
      </c>
      <c r="D42" s="1046">
        <v>7</v>
      </c>
      <c r="E42" s="121">
        <v>13</v>
      </c>
      <c r="F42" s="1189">
        <f t="shared" si="5"/>
        <v>1</v>
      </c>
      <c r="G42" s="4677">
        <v>6</v>
      </c>
      <c r="I42" s="74"/>
      <c r="J42" s="74"/>
      <c r="K42" s="74" t="s">
        <v>130</v>
      </c>
      <c r="L42" s="1046">
        <v>6.71</v>
      </c>
      <c r="M42" s="121">
        <v>14</v>
      </c>
      <c r="N42" s="212">
        <f t="shared" si="0"/>
        <v>0.71</v>
      </c>
      <c r="P42" s="163"/>
      <c r="Q42" s="163"/>
      <c r="R42" s="1245" t="s">
        <v>575</v>
      </c>
      <c r="S42" s="1246">
        <v>7.93</v>
      </c>
      <c r="T42" s="213">
        <v>73</v>
      </c>
      <c r="U42" s="1152">
        <f>+(T38*U38+T39*U39+T40*U40+T41*U41)/T42</f>
        <v>1.931232876712329</v>
      </c>
      <c r="V42" s="1"/>
      <c r="W42" s="2264" t="s">
        <v>48</v>
      </c>
      <c r="X42" s="2264" t="s">
        <v>16</v>
      </c>
      <c r="Y42" s="2265" t="s">
        <v>133</v>
      </c>
      <c r="Z42" s="2266">
        <v>7.375</v>
      </c>
      <c r="AA42" s="2267">
        <v>8</v>
      </c>
      <c r="AB42" s="2268">
        <f t="shared" si="7"/>
        <v>1.375</v>
      </c>
      <c r="AD42" s="1126"/>
      <c r="AE42" s="1126"/>
      <c r="AF42" s="1127" t="s">
        <v>136</v>
      </c>
      <c r="AG42" s="1128">
        <v>7.1666666666666661</v>
      </c>
      <c r="AH42" s="1129">
        <v>12</v>
      </c>
      <c r="AI42" s="1130">
        <f t="shared" si="8"/>
        <v>1.1666666666666661</v>
      </c>
      <c r="AK42" s="965"/>
      <c r="AL42" s="965"/>
      <c r="AM42" s="965"/>
      <c r="AN42" s="1061" t="s">
        <v>573</v>
      </c>
      <c r="AO42" s="739">
        <v>6.1470588235294095</v>
      </c>
      <c r="AP42" s="740">
        <v>68</v>
      </c>
      <c r="AQ42" s="1062">
        <v>2.3325388504857663</v>
      </c>
      <c r="AR42" s="1140">
        <f>+(AP34*AR34+AP35*AR35+AP36*AR36+AP37*AR37+AP38*AR38+AP39*AR39+AP40*AR40+AP41*AR41)/AP42</f>
        <v>0.1911764705882355</v>
      </c>
      <c r="AT42" s="1132"/>
      <c r="AU42" s="1132"/>
      <c r="AV42" s="1133" t="s">
        <v>135</v>
      </c>
      <c r="AW42" s="1134">
        <v>3</v>
      </c>
      <c r="AX42" s="1134">
        <f t="shared" si="15"/>
        <v>-3</v>
      </c>
      <c r="AY42" s="1135">
        <v>1</v>
      </c>
      <c r="AZ42" s="1134">
        <v>3</v>
      </c>
      <c r="BA42" s="1134">
        <f t="shared" si="16"/>
        <v>-3</v>
      </c>
      <c r="BC42" s="121"/>
      <c r="BD42" s="121"/>
      <c r="BE42" s="74" t="s">
        <v>135</v>
      </c>
      <c r="BF42" s="121">
        <v>13</v>
      </c>
      <c r="BG42" s="1046">
        <v>3.6153846153846154</v>
      </c>
      <c r="BH42" s="121">
        <v>6</v>
      </c>
      <c r="BI42" s="1046">
        <f t="shared" si="4"/>
        <v>-2.3846153846153846</v>
      </c>
      <c r="BJ42" s="74"/>
      <c r="BK42" s="74"/>
      <c r="BL42" s="1136"/>
      <c r="BM42" s="1137"/>
      <c r="BN42" s="1136" t="s">
        <v>136</v>
      </c>
      <c r="BO42" s="1138">
        <v>6.5</v>
      </c>
      <c r="BP42" s="1137">
        <v>18</v>
      </c>
      <c r="BQ42" s="1139">
        <v>6</v>
      </c>
      <c r="BR42" s="1138">
        <f>BO42-6</f>
        <v>0.5</v>
      </c>
    </row>
    <row r="43" spans="1:70">
      <c r="A43" s="74"/>
      <c r="B43" s="74"/>
      <c r="C43" s="74" t="s">
        <v>131</v>
      </c>
      <c r="D43" s="1046">
        <v>7.39</v>
      </c>
      <c r="E43" s="121">
        <v>18</v>
      </c>
      <c r="F43" s="1189">
        <f t="shared" si="5"/>
        <v>1.3899999999999997</v>
      </c>
      <c r="G43" s="4677">
        <v>6</v>
      </c>
      <c r="I43" s="74"/>
      <c r="J43" s="74"/>
      <c r="K43" s="74" t="s">
        <v>131</v>
      </c>
      <c r="L43" s="1046">
        <v>7.1</v>
      </c>
      <c r="M43" s="121">
        <v>10</v>
      </c>
      <c r="N43" s="212">
        <f t="shared" si="0"/>
        <v>1.0999999999999996</v>
      </c>
      <c r="P43" s="2630"/>
      <c r="Q43" s="2630"/>
      <c r="R43" s="2627" t="s">
        <v>111</v>
      </c>
      <c r="S43" s="2628">
        <v>7.62</v>
      </c>
      <c r="T43" s="2629">
        <v>220</v>
      </c>
      <c r="U43" s="2631">
        <f>+(T31*U31+T37*U37+T42*U42)/T43</f>
        <v>1.6178636363636365</v>
      </c>
      <c r="V43" s="1"/>
      <c r="W43" s="2256"/>
      <c r="X43" s="2256"/>
      <c r="Y43" s="2257" t="s">
        <v>134</v>
      </c>
      <c r="Z43" s="2258">
        <v>6.3</v>
      </c>
      <c r="AA43" s="2259">
        <v>10</v>
      </c>
      <c r="AB43" s="212">
        <f t="shared" si="7"/>
        <v>0.29999999999999982</v>
      </c>
      <c r="AD43" s="1126"/>
      <c r="AE43" s="1126"/>
      <c r="AF43" s="1127" t="s">
        <v>137</v>
      </c>
      <c r="AG43" s="1128">
        <v>10</v>
      </c>
      <c r="AH43" s="1129">
        <v>1</v>
      </c>
      <c r="AI43" s="1130">
        <f t="shared" si="8"/>
        <v>4</v>
      </c>
      <c r="AK43" s="965"/>
      <c r="AL43" s="965"/>
      <c r="AM43" s="965" t="s">
        <v>41</v>
      </c>
      <c r="AN43" s="734" t="s">
        <v>139</v>
      </c>
      <c r="AO43" s="736">
        <v>7</v>
      </c>
      <c r="AP43" s="735">
        <v>3</v>
      </c>
      <c r="AQ43" s="1042">
        <v>2.6457513110645907</v>
      </c>
      <c r="AR43" s="736">
        <f t="shared" si="14"/>
        <v>1</v>
      </c>
      <c r="AT43" s="1132"/>
      <c r="AU43" s="1132"/>
      <c r="AV43" s="1133" t="s">
        <v>136</v>
      </c>
      <c r="AW43" s="1134">
        <v>6.3</v>
      </c>
      <c r="AX43" s="1134">
        <f t="shared" si="15"/>
        <v>0.29999999999999982</v>
      </c>
      <c r="AY43" s="1135">
        <v>10</v>
      </c>
      <c r="AZ43" s="1134">
        <v>6.3</v>
      </c>
      <c r="BA43" s="1134">
        <f t="shared" si="16"/>
        <v>0.29999999999999982</v>
      </c>
      <c r="BC43" s="121"/>
      <c r="BD43" s="121"/>
      <c r="BE43" s="74" t="s">
        <v>136</v>
      </c>
      <c r="BF43" s="121">
        <v>8</v>
      </c>
      <c r="BG43" s="1046">
        <v>9</v>
      </c>
      <c r="BH43" s="121">
        <v>6</v>
      </c>
      <c r="BI43" s="1046">
        <f t="shared" si="4"/>
        <v>3</v>
      </c>
      <c r="BJ43" s="74"/>
      <c r="BK43" s="74"/>
      <c r="BL43" s="1136"/>
      <c r="BM43" s="1137"/>
      <c r="BN43" s="1136" t="s">
        <v>137</v>
      </c>
      <c r="BO43" s="1138">
        <v>6</v>
      </c>
      <c r="BP43" s="1137">
        <v>14</v>
      </c>
      <c r="BQ43" s="1139">
        <v>6</v>
      </c>
      <c r="BR43" s="1138">
        <f>BO43-6</f>
        <v>0</v>
      </c>
    </row>
    <row r="44" spans="1:70">
      <c r="A44" s="74"/>
      <c r="B44" s="74"/>
      <c r="C44" s="74" t="s">
        <v>132</v>
      </c>
      <c r="D44" s="1046">
        <v>9</v>
      </c>
      <c r="E44" s="121">
        <v>14</v>
      </c>
      <c r="F44" s="1189">
        <f t="shared" si="5"/>
        <v>3</v>
      </c>
      <c r="G44" s="4677">
        <v>6</v>
      </c>
      <c r="I44" s="74"/>
      <c r="J44" s="74"/>
      <c r="K44" s="74" t="s">
        <v>132</v>
      </c>
      <c r="L44" s="1046">
        <v>8.57</v>
      </c>
      <c r="M44" s="121">
        <v>14</v>
      </c>
      <c r="N44" s="212">
        <f t="shared" si="0"/>
        <v>2.5700000000000003</v>
      </c>
      <c r="P44" s="163" t="s">
        <v>48</v>
      </c>
      <c r="Q44" s="163" t="s">
        <v>16</v>
      </c>
      <c r="R44" s="80" t="s">
        <v>133</v>
      </c>
      <c r="S44" s="212">
        <v>7.06</v>
      </c>
      <c r="T44" s="163">
        <v>16</v>
      </c>
      <c r="U44" s="212">
        <f t="shared" si="6"/>
        <v>1.0599999999999996</v>
      </c>
      <c r="V44" s="1"/>
      <c r="W44" s="2256"/>
      <c r="X44" s="2256"/>
      <c r="Y44" s="2257" t="s">
        <v>136</v>
      </c>
      <c r="Z44" s="2258">
        <v>6.375</v>
      </c>
      <c r="AA44" s="2259">
        <v>8</v>
      </c>
      <c r="AB44" s="212">
        <f t="shared" si="7"/>
        <v>0.375</v>
      </c>
      <c r="AD44" s="1126"/>
      <c r="AE44" s="1126"/>
      <c r="AF44" s="1127" t="s">
        <v>138</v>
      </c>
      <c r="AG44" s="1128">
        <v>6.5</v>
      </c>
      <c r="AH44" s="1129">
        <v>4</v>
      </c>
      <c r="AI44" s="1130">
        <f t="shared" si="8"/>
        <v>0.5</v>
      </c>
      <c r="AK44" s="965"/>
      <c r="AL44" s="965"/>
      <c r="AM44" s="965"/>
      <c r="AN44" s="734" t="s">
        <v>140</v>
      </c>
      <c r="AO44" s="736">
        <v>6.8947368421052646</v>
      </c>
      <c r="AP44" s="735">
        <v>19</v>
      </c>
      <c r="AQ44" s="1147">
        <v>0.87526103040466141</v>
      </c>
      <c r="AR44" s="736">
        <f>AO44-7</f>
        <v>-0.10526315789473539</v>
      </c>
      <c r="AT44" s="1132"/>
      <c r="AU44" s="1132"/>
      <c r="AV44" s="1133" t="s">
        <v>137</v>
      </c>
      <c r="AW44" s="1134">
        <v>6.75</v>
      </c>
      <c r="AX44" s="1134">
        <f t="shared" si="15"/>
        <v>0.75</v>
      </c>
      <c r="AY44" s="1135">
        <v>8</v>
      </c>
      <c r="AZ44" s="1134">
        <v>8.125</v>
      </c>
      <c r="BA44" s="1134">
        <f t="shared" si="16"/>
        <v>2.125</v>
      </c>
      <c r="BC44" s="121"/>
      <c r="BD44" s="121"/>
      <c r="BE44" s="74" t="s">
        <v>137</v>
      </c>
      <c r="BF44" s="121">
        <v>11</v>
      </c>
      <c r="BG44" s="1046">
        <v>7.0909090909090899</v>
      </c>
      <c r="BH44" s="121">
        <v>6</v>
      </c>
      <c r="BI44" s="1046">
        <f t="shared" si="4"/>
        <v>1.0909090909090899</v>
      </c>
      <c r="BJ44" s="1144">
        <f>AVERAGE(BI39:BI46)</f>
        <v>2.2105840105840104</v>
      </c>
      <c r="BK44" s="74"/>
      <c r="BL44" s="1136"/>
      <c r="BM44" s="1137"/>
      <c r="BN44" s="1136" t="s">
        <v>138</v>
      </c>
      <c r="BO44" s="1138">
        <v>7.7272727272727275</v>
      </c>
      <c r="BP44" s="1137">
        <v>11</v>
      </c>
      <c r="BQ44" s="1139">
        <v>6</v>
      </c>
      <c r="BR44" s="1138">
        <f>BO44-6</f>
        <v>1.7272727272727275</v>
      </c>
    </row>
    <row r="45" spans="1:70">
      <c r="A45" s="74"/>
      <c r="B45" s="74"/>
      <c r="C45" s="761" t="s">
        <v>575</v>
      </c>
      <c r="D45" s="1059">
        <v>7.76</v>
      </c>
      <c r="E45" s="4673">
        <v>59</v>
      </c>
      <c r="F45" s="1152">
        <f>+(E41*F41+E42*F42+E43*F43+E44*F44)/E45</f>
        <v>1.7620338983050847</v>
      </c>
      <c r="G45" s="4677"/>
      <c r="I45" s="74"/>
      <c r="J45" s="74"/>
      <c r="K45" s="761" t="s">
        <v>575</v>
      </c>
      <c r="L45" s="1059">
        <v>7.5</v>
      </c>
      <c r="M45" s="729">
        <v>48</v>
      </c>
      <c r="N45" s="1152">
        <f>+(M41*N41+M42*N42+M43*N43+M44*N44)/M45</f>
        <v>1.4983333333333333</v>
      </c>
      <c r="P45" s="163"/>
      <c r="Q45" s="163"/>
      <c r="R45" s="80" t="s">
        <v>136</v>
      </c>
      <c r="S45" s="212">
        <v>7.14</v>
      </c>
      <c r="T45" s="163">
        <v>7</v>
      </c>
      <c r="U45" s="212">
        <f t="shared" si="6"/>
        <v>1.1399999999999997</v>
      </c>
      <c r="V45" s="1"/>
      <c r="W45" s="2256"/>
      <c r="X45" s="2256"/>
      <c r="Y45" s="2257" t="s">
        <v>137</v>
      </c>
      <c r="Z45" s="2258">
        <v>6</v>
      </c>
      <c r="AA45" s="2259">
        <v>6</v>
      </c>
      <c r="AB45" s="212">
        <f t="shared" si="7"/>
        <v>0</v>
      </c>
      <c r="AD45" s="1126"/>
      <c r="AE45" s="1126"/>
      <c r="AF45" s="1127" t="s">
        <v>112</v>
      </c>
      <c r="AG45" s="1128">
        <v>3.666666666666667</v>
      </c>
      <c r="AH45" s="1129">
        <v>15</v>
      </c>
      <c r="AI45" s="1130">
        <f t="shared" si="8"/>
        <v>-2.333333333333333</v>
      </c>
      <c r="AK45" s="965"/>
      <c r="AL45" s="965"/>
      <c r="AM45" s="965"/>
      <c r="AN45" s="734" t="s">
        <v>141</v>
      </c>
      <c r="AO45" s="736">
        <v>5.4444444444444446</v>
      </c>
      <c r="AP45" s="735">
        <v>9</v>
      </c>
      <c r="AQ45" s="1147">
        <v>0.5270462766947297</v>
      </c>
      <c r="AR45" s="736">
        <f>AO45-5</f>
        <v>0.44444444444444464</v>
      </c>
      <c r="AT45" s="1132"/>
      <c r="AU45" s="1132"/>
      <c r="AV45" s="1133" t="s">
        <v>138</v>
      </c>
      <c r="AW45" s="1134">
        <v>7</v>
      </c>
      <c r="AX45" s="1134">
        <f t="shared" si="15"/>
        <v>1</v>
      </c>
      <c r="AY45" s="1135">
        <v>7</v>
      </c>
      <c r="AZ45" s="1134">
        <v>7</v>
      </c>
      <c r="BA45" s="1134">
        <f t="shared" si="16"/>
        <v>1</v>
      </c>
      <c r="BC45" s="121"/>
      <c r="BD45" s="121"/>
      <c r="BE45" s="74" t="s">
        <v>138</v>
      </c>
      <c r="BF45" s="121">
        <v>9</v>
      </c>
      <c r="BG45" s="1046">
        <v>9.2222222222222214</v>
      </c>
      <c r="BH45" s="121">
        <v>6</v>
      </c>
      <c r="BI45" s="1046">
        <f t="shared" si="4"/>
        <v>3.2222222222222214</v>
      </c>
      <c r="BJ45" s="74"/>
      <c r="BK45" s="74"/>
      <c r="BL45" s="1136"/>
      <c r="BM45" s="1137"/>
      <c r="BN45" s="1136" t="s">
        <v>112</v>
      </c>
      <c r="BO45" s="1138">
        <v>6.1428571428571441</v>
      </c>
      <c r="BP45" s="1137">
        <v>28</v>
      </c>
      <c r="BQ45" s="1139">
        <v>6</v>
      </c>
      <c r="BR45" s="1138">
        <f>BO45-6</f>
        <v>0.14285714285714413</v>
      </c>
    </row>
    <row r="46" spans="1:70">
      <c r="A46" s="4703"/>
      <c r="B46" s="4703"/>
      <c r="C46" s="4704" t="s">
        <v>111</v>
      </c>
      <c r="D46" s="4705">
        <v>7.54</v>
      </c>
      <c r="E46" s="4706">
        <v>198</v>
      </c>
      <c r="F46" s="2631">
        <f>+(E34*F34+E40*F40+E45*F45)/E46</f>
        <v>1.691717171717172</v>
      </c>
      <c r="G46" s="4677"/>
      <c r="I46" s="3287"/>
      <c r="J46" s="3287"/>
      <c r="K46" s="3288" t="s">
        <v>111</v>
      </c>
      <c r="L46" s="3289">
        <v>7.58</v>
      </c>
      <c r="M46" s="3290">
        <v>186</v>
      </c>
      <c r="N46" s="2631">
        <f>+(M34*N34+M40*N40+M45*N45)/M46</f>
        <v>1.574247311827957</v>
      </c>
      <c r="P46" s="163"/>
      <c r="Q46" s="163"/>
      <c r="R46" s="80" t="s">
        <v>137</v>
      </c>
      <c r="S46" s="212">
        <v>6</v>
      </c>
      <c r="T46" s="163">
        <v>3</v>
      </c>
      <c r="U46" s="212">
        <f t="shared" si="6"/>
        <v>0</v>
      </c>
      <c r="V46" s="1"/>
      <c r="W46" s="2256"/>
      <c r="X46" s="2256"/>
      <c r="Y46" s="2257" t="s">
        <v>138</v>
      </c>
      <c r="Z46" s="2258">
        <v>7.833333333333333</v>
      </c>
      <c r="AA46" s="2259">
        <v>6</v>
      </c>
      <c r="AB46" s="212">
        <f t="shared" si="7"/>
        <v>1.833333333333333</v>
      </c>
      <c r="AD46" s="1126"/>
      <c r="AE46" s="1126"/>
      <c r="AF46" s="1127" t="s">
        <v>534</v>
      </c>
      <c r="AG46" s="1128">
        <v>6</v>
      </c>
      <c r="AH46" s="1129">
        <v>8</v>
      </c>
      <c r="AI46" s="1130">
        <f t="shared" si="8"/>
        <v>0</v>
      </c>
      <c r="AK46" s="965"/>
      <c r="AL46" s="965"/>
      <c r="AM46" s="965"/>
      <c r="AN46" s="734" t="s">
        <v>142</v>
      </c>
      <c r="AO46" s="736">
        <v>6.5</v>
      </c>
      <c r="AP46" s="735">
        <v>10</v>
      </c>
      <c r="AQ46" s="1147">
        <v>0.70710678118654735</v>
      </c>
      <c r="AR46" s="736">
        <f t="shared" si="14"/>
        <v>0.5</v>
      </c>
      <c r="AT46" s="1132"/>
      <c r="AU46" s="1132"/>
      <c r="AV46" s="1133" t="s">
        <v>112</v>
      </c>
      <c r="AW46" s="1134">
        <v>3.1000000000000005</v>
      </c>
      <c r="AX46" s="1134">
        <f t="shared" si="15"/>
        <v>-2.8999999999999995</v>
      </c>
      <c r="AY46" s="1135">
        <v>10</v>
      </c>
      <c r="AZ46" s="1134">
        <v>3.1000000000000005</v>
      </c>
      <c r="BA46" s="1134">
        <f t="shared" si="16"/>
        <v>-2.8999999999999995</v>
      </c>
      <c r="BC46" s="121"/>
      <c r="BD46" s="121"/>
      <c r="BE46" s="74" t="s">
        <v>112</v>
      </c>
      <c r="BF46" s="121">
        <v>37</v>
      </c>
      <c r="BG46" s="1046">
        <f>5.37837837837838+3</f>
        <v>8.378378378378379</v>
      </c>
      <c r="BH46" s="121">
        <v>6</v>
      </c>
      <c r="BI46" s="1046">
        <f t="shared" si="4"/>
        <v>2.378378378378379</v>
      </c>
      <c r="BJ46" s="74"/>
      <c r="BK46" s="74"/>
      <c r="BL46" s="1136"/>
      <c r="BM46" s="1137"/>
      <c r="BN46" s="1137" t="s">
        <v>15</v>
      </c>
      <c r="BO46" s="1138">
        <v>6.75</v>
      </c>
      <c r="BP46" s="1137">
        <v>116</v>
      </c>
      <c r="BQ46" s="1139"/>
      <c r="BR46" s="1146">
        <f>AVERAGE(BR39:BR45)</f>
        <v>1.68492697778412</v>
      </c>
    </row>
    <row r="47" spans="1:70">
      <c r="A47" s="74" t="s">
        <v>48</v>
      </c>
      <c r="B47" s="74" t="s">
        <v>16</v>
      </c>
      <c r="C47" s="74" t="s">
        <v>133</v>
      </c>
      <c r="D47" s="1046">
        <v>7.27</v>
      </c>
      <c r="E47" s="121">
        <v>15</v>
      </c>
      <c r="F47" s="1189">
        <f t="shared" si="5"/>
        <v>1.2699999999999996</v>
      </c>
      <c r="G47" s="4677">
        <v>6</v>
      </c>
      <c r="I47" s="74" t="s">
        <v>48</v>
      </c>
      <c r="J47" s="74" t="s">
        <v>16</v>
      </c>
      <c r="K47" s="74" t="s">
        <v>133</v>
      </c>
      <c r="L47" s="1046">
        <v>6.2</v>
      </c>
      <c r="M47" s="121">
        <v>5</v>
      </c>
      <c r="N47" s="212">
        <f t="shared" si="0"/>
        <v>0.20000000000000018</v>
      </c>
      <c r="P47" s="163"/>
      <c r="Q47" s="163"/>
      <c r="R47" s="80" t="s">
        <v>138</v>
      </c>
      <c r="S47" s="212">
        <v>6</v>
      </c>
      <c r="T47" s="163">
        <v>6</v>
      </c>
      <c r="U47" s="212">
        <f t="shared" si="6"/>
        <v>0</v>
      </c>
      <c r="V47" s="1"/>
      <c r="W47" s="2256"/>
      <c r="X47" s="2256"/>
      <c r="Y47" s="2257" t="s">
        <v>112</v>
      </c>
      <c r="Z47" s="2258">
        <v>3.791666666666667</v>
      </c>
      <c r="AA47" s="2259">
        <v>24</v>
      </c>
      <c r="AB47" s="212">
        <f t="shared" si="7"/>
        <v>-2.208333333333333</v>
      </c>
      <c r="AD47" s="1126"/>
      <c r="AE47" s="1126"/>
      <c r="AF47" s="1127" t="s">
        <v>621</v>
      </c>
      <c r="AG47" s="1128">
        <v>5.4545454545454541</v>
      </c>
      <c r="AH47" s="1129">
        <v>11</v>
      </c>
      <c r="AI47" s="1130">
        <f>AG47-3</f>
        <v>2.4545454545454541</v>
      </c>
      <c r="AK47" s="965"/>
      <c r="AL47" s="965"/>
      <c r="AM47" s="965"/>
      <c r="AN47" s="734" t="s">
        <v>143</v>
      </c>
      <c r="AO47" s="736">
        <v>6.9285714285714288</v>
      </c>
      <c r="AP47" s="735">
        <v>14</v>
      </c>
      <c r="AQ47" s="1147">
        <v>0.99724896315087452</v>
      </c>
      <c r="AR47" s="736">
        <f>AO47-6</f>
        <v>0.92857142857142883</v>
      </c>
      <c r="AT47" s="1132"/>
      <c r="AU47" s="1132"/>
      <c r="AV47" s="1133" t="s">
        <v>621</v>
      </c>
      <c r="AW47" s="1134">
        <v>3</v>
      </c>
      <c r="AX47" s="1134">
        <f t="shared" si="15"/>
        <v>3</v>
      </c>
      <c r="AY47" s="1135">
        <v>4</v>
      </c>
      <c r="AZ47" s="1134">
        <v>3</v>
      </c>
      <c r="BA47" s="1134">
        <f>AZ47-6</f>
        <v>-3</v>
      </c>
      <c r="BC47" s="121"/>
      <c r="BD47" s="121"/>
      <c r="BE47" s="761" t="s">
        <v>15</v>
      </c>
      <c r="BF47" s="729">
        <v>98</v>
      </c>
      <c r="BG47" s="1059">
        <v>8.2448979591836729</v>
      </c>
      <c r="BH47" s="729"/>
      <c r="BI47" s="1059">
        <f>+(BF39*BI39+BF40*BI40+BF41*BI41+BF42*BI42+BF43*BI43+BF44*BI44+BF45*BI45+BF46*BI46)/BF47</f>
        <v>2.2448979591836733</v>
      </c>
      <c r="BJ47" s="74"/>
      <c r="BK47" s="74"/>
      <c r="BL47" s="1136"/>
      <c r="BM47" s="1137"/>
      <c r="BN47" s="1137"/>
      <c r="BO47" s="1138"/>
      <c r="BP47" s="1137"/>
      <c r="BQ47" s="1139"/>
      <c r="BR47" s="1146"/>
    </row>
    <row r="48" spans="1:70">
      <c r="A48" s="74"/>
      <c r="B48" s="74"/>
      <c r="C48" s="74" t="s">
        <v>136</v>
      </c>
      <c r="D48" s="1046">
        <v>6.88</v>
      </c>
      <c r="E48" s="121">
        <v>8</v>
      </c>
      <c r="F48" s="1189">
        <f t="shared" si="5"/>
        <v>0.87999999999999989</v>
      </c>
      <c r="G48" s="4677">
        <v>6</v>
      </c>
      <c r="I48" s="74"/>
      <c r="J48" s="74"/>
      <c r="K48" s="74" t="s">
        <v>136</v>
      </c>
      <c r="L48" s="1046">
        <v>6.38</v>
      </c>
      <c r="M48" s="121">
        <v>8</v>
      </c>
      <c r="N48" s="212">
        <f t="shared" si="0"/>
        <v>0.37999999999999989</v>
      </c>
      <c r="P48" s="163"/>
      <c r="Q48" s="163"/>
      <c r="R48" s="80" t="s">
        <v>112</v>
      </c>
      <c r="S48" s="212">
        <v>3.08</v>
      </c>
      <c r="T48" s="163">
        <v>13</v>
      </c>
      <c r="U48" s="212">
        <f t="shared" si="6"/>
        <v>-2.92</v>
      </c>
      <c r="V48" s="1"/>
      <c r="W48" s="2256"/>
      <c r="X48" s="2256"/>
      <c r="Y48" s="2257" t="s">
        <v>534</v>
      </c>
      <c r="Z48" s="2258">
        <v>6</v>
      </c>
      <c r="AA48" s="2259">
        <v>1</v>
      </c>
      <c r="AB48" s="212">
        <f t="shared" si="7"/>
        <v>0</v>
      </c>
      <c r="AD48" s="1126"/>
      <c r="AE48" s="1126"/>
      <c r="AF48" s="1149" t="s">
        <v>573</v>
      </c>
      <c r="AG48" s="1150">
        <v>5.9062499999999982</v>
      </c>
      <c r="AH48" s="1151">
        <v>64</v>
      </c>
      <c r="AI48" s="1152">
        <f>+(AH40*AI40+AH41*AI41+AH42*AI42+AH43*AI43+AH44*AI44+AH45*AI45+AH46*AI46+AH47*AI47)/AH48</f>
        <v>0.42187499999999994</v>
      </c>
      <c r="AK48" s="965"/>
      <c r="AL48" s="965"/>
      <c r="AM48" s="965"/>
      <c r="AN48" s="734" t="s">
        <v>113</v>
      </c>
      <c r="AO48" s="736">
        <v>3.6666666666666665</v>
      </c>
      <c r="AP48" s="735">
        <v>6</v>
      </c>
      <c r="AQ48" s="1147">
        <v>0.5163977794943222</v>
      </c>
      <c r="AR48" s="736">
        <f>AO48-3</f>
        <v>0.66666666666666652</v>
      </c>
      <c r="AV48" s="1141" t="s">
        <v>573</v>
      </c>
      <c r="AW48" s="1140">
        <v>6.0952380952380931</v>
      </c>
      <c r="AX48" s="1140">
        <f>+(AY40*AX40+AY41*AX41+AY42*AX42+AY43*AX43+AY44*AX44+AY45*AX45+AY46*AX46+AY47*AX47)/AY48</f>
        <v>0.47619047619047633</v>
      </c>
      <c r="AY48" s="1142">
        <v>63</v>
      </c>
      <c r="AZ48" s="1140">
        <v>6.5079365079365088</v>
      </c>
      <c r="BA48" s="1140">
        <f>+(AY40*BA40+AY41*BA41+AY42*BA42+AY43*BA43+AY44*BA44+AY45*BA45+AY46*BA46+AY47*BA47)/AY48</f>
        <v>0.50793650793650802</v>
      </c>
      <c r="BC48" s="121"/>
      <c r="BD48" s="121"/>
      <c r="BE48" s="761"/>
      <c r="BF48" s="729"/>
      <c r="BG48" s="1059"/>
      <c r="BH48" s="729"/>
      <c r="BI48" s="1059"/>
      <c r="BJ48" s="74"/>
      <c r="BK48" s="74"/>
      <c r="BL48" s="1136"/>
      <c r="BM48" s="1137"/>
      <c r="BN48" s="1137"/>
      <c r="BO48" s="1138"/>
      <c r="BP48" s="1137"/>
      <c r="BQ48" s="1139"/>
      <c r="BR48" s="1146"/>
    </row>
    <row r="49" spans="1:70">
      <c r="A49" s="74"/>
      <c r="B49" s="74"/>
      <c r="C49" s="74" t="s">
        <v>137</v>
      </c>
      <c r="D49" s="1046">
        <v>6.6</v>
      </c>
      <c r="E49" s="121">
        <v>5</v>
      </c>
      <c r="F49" s="1189">
        <f t="shared" si="5"/>
        <v>0.59999999999999964</v>
      </c>
      <c r="G49" s="4677">
        <v>6</v>
      </c>
      <c r="I49" s="74"/>
      <c r="J49" s="74"/>
      <c r="K49" s="74" t="s">
        <v>137</v>
      </c>
      <c r="L49" s="1046">
        <v>6</v>
      </c>
      <c r="M49" s="121">
        <v>10</v>
      </c>
      <c r="N49" s="212">
        <f t="shared" si="0"/>
        <v>0</v>
      </c>
      <c r="P49" s="163"/>
      <c r="Q49" s="163"/>
      <c r="R49" s="80" t="s">
        <v>534</v>
      </c>
      <c r="S49" s="212">
        <v>6.5</v>
      </c>
      <c r="T49" s="163">
        <v>12</v>
      </c>
      <c r="U49" s="212">
        <f t="shared" si="6"/>
        <v>0.5</v>
      </c>
      <c r="V49" s="1"/>
      <c r="W49" s="2256"/>
      <c r="X49" s="2256"/>
      <c r="Y49" s="2257" t="s">
        <v>621</v>
      </c>
      <c r="Z49" s="2258">
        <v>6</v>
      </c>
      <c r="AA49" s="2259">
        <v>8</v>
      </c>
      <c r="AB49" s="212">
        <f t="shared" si="7"/>
        <v>0</v>
      </c>
      <c r="AD49" s="1126"/>
      <c r="AE49" s="1126" t="s">
        <v>41</v>
      </c>
      <c r="AF49" s="1127" t="s">
        <v>139</v>
      </c>
      <c r="AG49" s="1128">
        <v>4.5</v>
      </c>
      <c r="AH49" s="1129">
        <v>2</v>
      </c>
      <c r="AI49" s="1130">
        <f t="shared" si="8"/>
        <v>-1.5</v>
      </c>
      <c r="AK49" s="965"/>
      <c r="AL49" s="965"/>
      <c r="AM49" s="965"/>
      <c r="AN49" s="1061" t="s">
        <v>575</v>
      </c>
      <c r="AO49" s="739">
        <v>6.3114754098360653</v>
      </c>
      <c r="AP49" s="740">
        <v>61</v>
      </c>
      <c r="AQ49" s="1062">
        <v>1.3606491539770931</v>
      </c>
      <c r="AR49" s="1140">
        <f>+(AP43*AR43+AP44*AR44+AP45*AR45+AP46*AR46+AP47*AR47+AP48*AR48)/AP49</f>
        <v>0.44262295081967268</v>
      </c>
      <c r="AT49" s="1132"/>
      <c r="AU49" s="1132" t="s">
        <v>41</v>
      </c>
      <c r="AV49" s="1133" t="s">
        <v>139</v>
      </c>
      <c r="AW49" s="1134">
        <v>6</v>
      </c>
      <c r="AX49" s="1134">
        <f t="shared" ref="AX49:AX54" si="17">AW49-BH49</f>
        <v>6</v>
      </c>
      <c r="AY49" s="1135">
        <v>1</v>
      </c>
      <c r="AZ49" s="1134">
        <v>6</v>
      </c>
      <c r="BA49" s="1134">
        <f>AZ49-6</f>
        <v>0</v>
      </c>
      <c r="BC49" s="121"/>
      <c r="BD49" s="121"/>
      <c r="BE49" s="761"/>
      <c r="BF49" s="729"/>
      <c r="BG49" s="1059"/>
      <c r="BH49" s="729"/>
      <c r="BI49" s="1059"/>
      <c r="BJ49" s="74"/>
      <c r="BK49" s="74"/>
      <c r="BL49" s="1136"/>
      <c r="BM49" s="1137" t="s">
        <v>41</v>
      </c>
      <c r="BN49" s="1136" t="s">
        <v>139</v>
      </c>
      <c r="BO49" s="1138">
        <v>18.2</v>
      </c>
      <c r="BP49" s="1137">
        <v>10</v>
      </c>
      <c r="BQ49" s="1139">
        <v>6</v>
      </c>
      <c r="BR49" s="1138">
        <f>BO49-6</f>
        <v>12.2</v>
      </c>
    </row>
    <row r="50" spans="1:70">
      <c r="A50" s="74"/>
      <c r="B50" s="74"/>
      <c r="C50" s="74" t="s">
        <v>138</v>
      </c>
      <c r="D50" s="1046">
        <v>6.67</v>
      </c>
      <c r="E50" s="121">
        <v>6</v>
      </c>
      <c r="F50" s="1189">
        <f t="shared" si="5"/>
        <v>0.66999999999999993</v>
      </c>
      <c r="G50" s="4677">
        <v>6</v>
      </c>
      <c r="I50" s="74"/>
      <c r="J50" s="74"/>
      <c r="K50" s="74" t="s">
        <v>138</v>
      </c>
      <c r="L50" s="1046">
        <v>6</v>
      </c>
      <c r="M50" s="121">
        <v>8</v>
      </c>
      <c r="N50" s="212">
        <f t="shared" si="0"/>
        <v>0</v>
      </c>
      <c r="P50" s="163"/>
      <c r="Q50" s="163"/>
      <c r="R50" s="80" t="s">
        <v>621</v>
      </c>
      <c r="S50" s="212">
        <v>5.8</v>
      </c>
      <c r="T50" s="163">
        <v>10</v>
      </c>
      <c r="U50" s="212">
        <f t="shared" si="6"/>
        <v>-0.20000000000000018</v>
      </c>
      <c r="V50" s="1"/>
      <c r="W50" s="2256"/>
      <c r="X50" s="2256"/>
      <c r="Y50" s="2260" t="s">
        <v>573</v>
      </c>
      <c r="Z50" s="2261">
        <v>5.6478873239436629</v>
      </c>
      <c r="AA50" s="2262">
        <v>71</v>
      </c>
      <c r="AB50" s="1152">
        <f>+(AA42*AB42+AA43*AB43+AA44*AB44+AA45*AB45+AA46*AB46+AA47*AB47+AA48*AB48+AA49*AB49)/AA50</f>
        <v>-0.35211267605633795</v>
      </c>
      <c r="AD50" s="1126"/>
      <c r="AE50" s="1126"/>
      <c r="AF50" s="1127" t="s">
        <v>140</v>
      </c>
      <c r="AG50" s="1128">
        <v>6.75</v>
      </c>
      <c r="AH50" s="1129">
        <v>4</v>
      </c>
      <c r="AI50" s="1130">
        <f>AG50-7</f>
        <v>-0.25</v>
      </c>
      <c r="AK50" s="965"/>
      <c r="AL50" s="965"/>
      <c r="AM50" s="965" t="s">
        <v>105</v>
      </c>
      <c r="AN50" s="734" t="s">
        <v>144</v>
      </c>
      <c r="AO50" s="736">
        <v>6</v>
      </c>
      <c r="AP50" s="735">
        <v>15</v>
      </c>
      <c r="AQ50" s="1042">
        <v>0</v>
      </c>
      <c r="AR50" s="736">
        <f t="shared" si="14"/>
        <v>0</v>
      </c>
      <c r="AT50" s="1132"/>
      <c r="AU50" s="1132"/>
      <c r="AV50" s="1133" t="s">
        <v>140</v>
      </c>
      <c r="AW50" s="1134">
        <v>6.4</v>
      </c>
      <c r="AX50" s="1134">
        <f t="shared" si="17"/>
        <v>-0.59999999999999964</v>
      </c>
      <c r="AY50" s="1135">
        <v>10</v>
      </c>
      <c r="AZ50" s="1134">
        <v>6.4</v>
      </c>
      <c r="BA50" s="1134">
        <f>AZ50-BH50</f>
        <v>-0.59999999999999964</v>
      </c>
      <c r="BC50" s="121"/>
      <c r="BD50" s="121" t="s">
        <v>41</v>
      </c>
      <c r="BE50" s="74" t="s">
        <v>140</v>
      </c>
      <c r="BF50" s="121">
        <v>21</v>
      </c>
      <c r="BG50" s="1046">
        <v>7.4761904761904772</v>
      </c>
      <c r="BH50" s="121">
        <v>7</v>
      </c>
      <c r="BI50" s="1046">
        <f t="shared" si="4"/>
        <v>0.47619047619047716</v>
      </c>
      <c r="BJ50" s="74"/>
      <c r="BK50" s="74"/>
      <c r="BL50" s="1136"/>
      <c r="BM50" s="1137"/>
      <c r="BN50" s="1136" t="s">
        <v>140</v>
      </c>
      <c r="BO50" s="1138">
        <v>6.166666666666667</v>
      </c>
      <c r="BP50" s="1137">
        <v>12</v>
      </c>
      <c r="BQ50" s="1139">
        <v>7</v>
      </c>
      <c r="BR50" s="1138">
        <f>BO50-7</f>
        <v>-0.83333333333333304</v>
      </c>
    </row>
    <row r="51" spans="1:70">
      <c r="A51" s="74"/>
      <c r="B51" s="74"/>
      <c r="C51" s="74" t="s">
        <v>129</v>
      </c>
      <c r="D51" s="1046">
        <v>6</v>
      </c>
      <c r="E51" s="121">
        <v>10</v>
      </c>
      <c r="F51" s="1189">
        <f t="shared" si="5"/>
        <v>0</v>
      </c>
      <c r="G51" s="4677">
        <v>6</v>
      </c>
      <c r="I51" s="74"/>
      <c r="J51" s="74"/>
      <c r="K51" s="74" t="s">
        <v>112</v>
      </c>
      <c r="L51" s="1046">
        <v>5.46</v>
      </c>
      <c r="M51" s="121">
        <v>24</v>
      </c>
      <c r="N51" s="212">
        <f t="shared" si="0"/>
        <v>-0.54</v>
      </c>
      <c r="P51" s="163"/>
      <c r="Q51" s="163"/>
      <c r="R51" s="80" t="s">
        <v>2009</v>
      </c>
      <c r="S51" s="212">
        <v>6.6</v>
      </c>
      <c r="T51" s="163">
        <v>10</v>
      </c>
      <c r="U51" s="212">
        <f t="shared" si="6"/>
        <v>0.59999999999999964</v>
      </c>
      <c r="V51" s="1"/>
      <c r="W51" s="2256"/>
      <c r="X51" s="2256" t="s">
        <v>41</v>
      </c>
      <c r="Y51" s="2257" t="s">
        <v>139</v>
      </c>
      <c r="Z51" s="2258">
        <v>4.4285714285714288</v>
      </c>
      <c r="AA51" s="2259">
        <v>7</v>
      </c>
      <c r="AB51" s="212">
        <f t="shared" si="7"/>
        <v>-1.5714285714285712</v>
      </c>
      <c r="AD51" s="1126"/>
      <c r="AE51" s="1126"/>
      <c r="AF51" s="1127" t="s">
        <v>141</v>
      </c>
      <c r="AG51" s="1128">
        <v>5.666666666666667</v>
      </c>
      <c r="AH51" s="1129">
        <v>3</v>
      </c>
      <c r="AI51" s="1130">
        <f>AG51-5</f>
        <v>0.66666666666666696</v>
      </c>
      <c r="AK51" s="965"/>
      <c r="AL51" s="965"/>
      <c r="AM51" s="965"/>
      <c r="AN51" s="734" t="s">
        <v>425</v>
      </c>
      <c r="AO51" s="736">
        <v>6.7777777777777777</v>
      </c>
      <c r="AP51" s="735">
        <v>9</v>
      </c>
      <c r="AQ51" s="1147">
        <v>0.83333333333333326</v>
      </c>
      <c r="AR51" s="736">
        <f t="shared" si="14"/>
        <v>0.77777777777777768</v>
      </c>
      <c r="AT51" s="1132"/>
      <c r="AU51" s="1132"/>
      <c r="AV51" s="1133" t="s">
        <v>141</v>
      </c>
      <c r="AW51" s="1134">
        <v>6</v>
      </c>
      <c r="AX51" s="1134">
        <f t="shared" si="17"/>
        <v>1</v>
      </c>
      <c r="AY51" s="1135">
        <v>5</v>
      </c>
      <c r="AZ51" s="1134">
        <v>7.2</v>
      </c>
      <c r="BA51" s="1134">
        <f>AZ51-BH51</f>
        <v>2.2000000000000002</v>
      </c>
      <c r="BC51" s="121"/>
      <c r="BD51" s="121"/>
      <c r="BE51" s="74" t="s">
        <v>141</v>
      </c>
      <c r="BF51" s="121">
        <v>4</v>
      </c>
      <c r="BG51" s="1046">
        <v>5.5</v>
      </c>
      <c r="BH51" s="121">
        <v>5</v>
      </c>
      <c r="BI51" s="1046">
        <f t="shared" si="4"/>
        <v>0.5</v>
      </c>
      <c r="BJ51" s="74"/>
      <c r="BK51" s="74"/>
      <c r="BL51" s="1136"/>
      <c r="BM51" s="1137"/>
      <c r="BN51" s="1136" t="s">
        <v>141</v>
      </c>
      <c r="BO51" s="1138">
        <v>6.2727272727272725</v>
      </c>
      <c r="BP51" s="1137">
        <v>11</v>
      </c>
      <c r="BQ51" s="1139">
        <v>5</v>
      </c>
      <c r="BR51" s="1138">
        <f>BO51-5</f>
        <v>1.2727272727272725</v>
      </c>
    </row>
    <row r="52" spans="1:70">
      <c r="A52" s="74"/>
      <c r="B52" s="74"/>
      <c r="C52" s="74" t="s">
        <v>112</v>
      </c>
      <c r="D52" s="1046">
        <v>4.8499999999999996</v>
      </c>
      <c r="E52" s="121">
        <v>13</v>
      </c>
      <c r="F52" s="1189">
        <f t="shared" si="5"/>
        <v>-1.1500000000000004</v>
      </c>
      <c r="G52" s="4677">
        <v>6</v>
      </c>
      <c r="I52" s="74"/>
      <c r="J52" s="74"/>
      <c r="K52" s="74" t="s">
        <v>621</v>
      </c>
      <c r="L52" s="1046">
        <v>6.09</v>
      </c>
      <c r="M52" s="121">
        <v>11</v>
      </c>
      <c r="N52" s="212">
        <f t="shared" si="0"/>
        <v>8.9999999999999858E-2</v>
      </c>
      <c r="P52" s="163"/>
      <c r="Q52" s="163"/>
      <c r="R52" s="1245" t="s">
        <v>573</v>
      </c>
      <c r="S52" s="1246">
        <v>5.96</v>
      </c>
      <c r="T52" s="213">
        <v>77</v>
      </c>
      <c r="U52" s="1152">
        <f>+(T44*U44+T45*U45+T46*U46+T47*U47+T48*U48+T49*U49+T50*U50+T51*U51)/T52</f>
        <v>-3.922077922077942E-2</v>
      </c>
      <c r="V52" s="1"/>
      <c r="W52" s="2256"/>
      <c r="X52" s="2256"/>
      <c r="Y52" s="2257" t="s">
        <v>140</v>
      </c>
      <c r="Z52" s="2258">
        <v>6.5</v>
      </c>
      <c r="AA52" s="2259">
        <v>10</v>
      </c>
      <c r="AB52" s="212">
        <f t="shared" si="7"/>
        <v>0.5</v>
      </c>
      <c r="AD52" s="1126"/>
      <c r="AE52" s="1126"/>
      <c r="AF52" s="1127" t="s">
        <v>463</v>
      </c>
      <c r="AG52" s="1128">
        <v>7.2</v>
      </c>
      <c r="AH52" s="1129">
        <v>5</v>
      </c>
      <c r="AI52" s="1130">
        <f t="shared" si="8"/>
        <v>1.2000000000000002</v>
      </c>
      <c r="AK52" s="965"/>
      <c r="AL52" s="965"/>
      <c r="AM52" s="965"/>
      <c r="AN52" s="734" t="s">
        <v>426</v>
      </c>
      <c r="AO52" s="736">
        <v>6.1851851851851851</v>
      </c>
      <c r="AP52" s="735">
        <v>27</v>
      </c>
      <c r="AQ52" s="1147">
        <v>0.48334070138798968</v>
      </c>
      <c r="AR52" s="736">
        <f t="shared" si="14"/>
        <v>0.18518518518518512</v>
      </c>
      <c r="AT52" s="1132"/>
      <c r="AU52" s="1132"/>
      <c r="AV52" s="1133" t="s">
        <v>463</v>
      </c>
      <c r="AW52" s="1134">
        <v>6</v>
      </c>
      <c r="AX52" s="1134">
        <f t="shared" si="17"/>
        <v>0</v>
      </c>
      <c r="AY52" s="1135">
        <v>1</v>
      </c>
      <c r="AZ52" s="1134">
        <v>6</v>
      </c>
      <c r="BA52" s="1134">
        <f>AZ52-6</f>
        <v>0</v>
      </c>
      <c r="BC52" s="121"/>
      <c r="BD52" s="121"/>
      <c r="BE52" s="74" t="s">
        <v>142</v>
      </c>
      <c r="BF52" s="121">
        <v>19</v>
      </c>
      <c r="BG52" s="1046">
        <v>7.1578947368421053</v>
      </c>
      <c r="BH52" s="121">
        <v>6</v>
      </c>
      <c r="BI52" s="1046">
        <f t="shared" si="4"/>
        <v>1.1578947368421053</v>
      </c>
      <c r="BJ52" s="1144">
        <f>AVERAGE(BI50:BI54)</f>
        <v>0.39110275689223073</v>
      </c>
      <c r="BK52" s="74"/>
      <c r="BL52" s="1136"/>
      <c r="BM52" s="1137"/>
      <c r="BN52" s="1136" t="s">
        <v>463</v>
      </c>
      <c r="BO52" s="1138">
        <v>8</v>
      </c>
      <c r="BP52" s="1137">
        <v>2</v>
      </c>
      <c r="BQ52" s="1139">
        <v>6</v>
      </c>
      <c r="BR52" s="1138">
        <f>BO52-6</f>
        <v>2</v>
      </c>
    </row>
    <row r="53" spans="1:70">
      <c r="A53" s="74"/>
      <c r="B53" s="74"/>
      <c r="C53" s="74" t="s">
        <v>534</v>
      </c>
      <c r="D53" s="1046">
        <v>6.57</v>
      </c>
      <c r="E53" s="121">
        <v>14</v>
      </c>
      <c r="F53" s="1189">
        <f t="shared" si="5"/>
        <v>0.57000000000000028</v>
      </c>
      <c r="G53" s="4677">
        <v>6</v>
      </c>
      <c r="I53" s="74"/>
      <c r="J53" s="74"/>
      <c r="K53" s="74" t="s">
        <v>2009</v>
      </c>
      <c r="L53" s="1046">
        <v>6</v>
      </c>
      <c r="M53" s="121">
        <v>5</v>
      </c>
      <c r="N53" s="212">
        <f t="shared" si="0"/>
        <v>0</v>
      </c>
      <c r="P53" s="163"/>
      <c r="Q53" s="163" t="s">
        <v>41</v>
      </c>
      <c r="R53" s="80" t="s">
        <v>139</v>
      </c>
      <c r="S53" s="212">
        <v>5.1100000000000003</v>
      </c>
      <c r="T53" s="163">
        <v>9</v>
      </c>
      <c r="U53" s="212">
        <f t="shared" si="6"/>
        <v>-0.88999999999999968</v>
      </c>
      <c r="V53" s="1"/>
      <c r="W53" s="2256"/>
      <c r="X53" s="2256"/>
      <c r="Y53" s="2257" t="s">
        <v>141</v>
      </c>
      <c r="Z53" s="2258">
        <v>5.375</v>
      </c>
      <c r="AA53" s="2259">
        <v>8</v>
      </c>
      <c r="AB53" s="212">
        <f t="shared" si="7"/>
        <v>-0.625</v>
      </c>
      <c r="AD53" s="1126"/>
      <c r="AE53" s="1126"/>
      <c r="AF53" s="1127" t="s">
        <v>142</v>
      </c>
      <c r="AG53" s="1128">
        <v>7.2666666666666675</v>
      </c>
      <c r="AH53" s="1129">
        <v>15</v>
      </c>
      <c r="AI53" s="1130">
        <f t="shared" si="8"/>
        <v>1.2666666666666675</v>
      </c>
      <c r="AK53" s="965"/>
      <c r="AL53" s="965"/>
      <c r="AM53" s="965"/>
      <c r="AN53" s="1061" t="s">
        <v>888</v>
      </c>
      <c r="AO53" s="739">
        <v>6.2352941176470589</v>
      </c>
      <c r="AP53" s="740">
        <v>51</v>
      </c>
      <c r="AQ53" s="1154">
        <v>0.55093503406908673</v>
      </c>
      <c r="AR53" s="1140">
        <f>+(AP50*AR50+AP51*AR51+AP52*AR52)/AP53</f>
        <v>0.23529411764705876</v>
      </c>
      <c r="AT53" s="1132"/>
      <c r="AU53" s="1132"/>
      <c r="AV53" s="1133" t="s">
        <v>142</v>
      </c>
      <c r="AW53" s="1134">
        <v>8.2000000000000011</v>
      </c>
      <c r="AX53" s="1134">
        <f t="shared" si="17"/>
        <v>1.2000000000000011</v>
      </c>
      <c r="AY53" s="1135">
        <v>10</v>
      </c>
      <c r="AZ53" s="1134">
        <v>8.2000000000000011</v>
      </c>
      <c r="BA53" s="1134">
        <f>AZ53-BH52</f>
        <v>2.2000000000000011</v>
      </c>
      <c r="BC53" s="121"/>
      <c r="BD53" s="121"/>
      <c r="BE53" s="74" t="s">
        <v>143</v>
      </c>
      <c r="BF53" s="121">
        <v>14</v>
      </c>
      <c r="BG53" s="1046">
        <v>6.0714285714285712</v>
      </c>
      <c r="BH53" s="121">
        <v>7</v>
      </c>
      <c r="BI53" s="1046">
        <f t="shared" si="4"/>
        <v>-0.92857142857142883</v>
      </c>
      <c r="BJ53" s="74"/>
      <c r="BK53" s="74"/>
      <c r="BL53" s="1136"/>
      <c r="BM53" s="1137"/>
      <c r="BN53" s="1136" t="s">
        <v>142</v>
      </c>
      <c r="BO53" s="1138">
        <v>9</v>
      </c>
      <c r="BP53" s="1137">
        <v>9</v>
      </c>
      <c r="BQ53" s="1139">
        <v>6</v>
      </c>
      <c r="BR53" s="1138">
        <f>BO53-6</f>
        <v>3</v>
      </c>
    </row>
    <row r="54" spans="1:70">
      <c r="A54" s="74"/>
      <c r="B54" s="74"/>
      <c r="C54" s="74" t="s">
        <v>621</v>
      </c>
      <c r="D54" s="1046">
        <v>6</v>
      </c>
      <c r="E54" s="121">
        <v>9</v>
      </c>
      <c r="F54" s="1189">
        <f t="shared" si="5"/>
        <v>0</v>
      </c>
      <c r="G54" s="4677">
        <v>6</v>
      </c>
      <c r="I54" s="74"/>
      <c r="J54" s="74"/>
      <c r="K54" s="761" t="s">
        <v>573</v>
      </c>
      <c r="L54" s="1059">
        <v>5.89</v>
      </c>
      <c r="M54" s="729">
        <v>71</v>
      </c>
      <c r="N54" s="1152">
        <f>+(M47*N47+M48*N48+M49*N49+M50*N50+M51*N51+M52*N52+M53*N53)/M54</f>
        <v>-0.11169014084507047</v>
      </c>
      <c r="P54" s="163"/>
      <c r="Q54" s="163"/>
      <c r="R54" s="80" t="s">
        <v>140</v>
      </c>
      <c r="S54" s="212">
        <v>6.6</v>
      </c>
      <c r="T54" s="163">
        <v>10</v>
      </c>
      <c r="U54" s="212">
        <f t="shared" si="6"/>
        <v>0.59999999999999964</v>
      </c>
      <c r="V54" s="1"/>
      <c r="W54" s="2256"/>
      <c r="X54" s="2256"/>
      <c r="Y54" s="2257" t="s">
        <v>142</v>
      </c>
      <c r="Z54" s="2258">
        <v>7.916666666666667</v>
      </c>
      <c r="AA54" s="2259">
        <v>12</v>
      </c>
      <c r="AB54" s="212">
        <f t="shared" si="7"/>
        <v>1.916666666666667</v>
      </c>
      <c r="AD54" s="1126"/>
      <c r="AE54" s="1126"/>
      <c r="AF54" s="1127" t="s">
        <v>143</v>
      </c>
      <c r="AG54" s="1128">
        <v>6.7272727272727275</v>
      </c>
      <c r="AH54" s="1129">
        <v>22</v>
      </c>
      <c r="AI54" s="1130">
        <f t="shared" si="8"/>
        <v>0.72727272727272751</v>
      </c>
      <c r="AK54" s="965"/>
      <c r="AL54" s="965"/>
      <c r="AM54" s="965"/>
      <c r="AN54" s="1155" t="s">
        <v>461</v>
      </c>
      <c r="AO54" s="1156">
        <v>6.2277777777777779</v>
      </c>
      <c r="AP54" s="1157">
        <v>180</v>
      </c>
      <c r="AQ54" s="1158">
        <v>1.6573201615678153</v>
      </c>
      <c r="AR54" s="1159">
        <f>+(AP42*AR42+AP49*AR49+AP53*AR53)/AP54</f>
        <v>0.28888888888888914</v>
      </c>
      <c r="AT54" s="1132"/>
      <c r="AU54" s="1132"/>
      <c r="AV54" s="1133" t="s">
        <v>143</v>
      </c>
      <c r="AW54" s="1134">
        <v>7.166666666666667</v>
      </c>
      <c r="AX54" s="1134">
        <f t="shared" si="17"/>
        <v>1.166666666666667</v>
      </c>
      <c r="AY54" s="1135">
        <v>6</v>
      </c>
      <c r="AZ54" s="1134">
        <v>9.5</v>
      </c>
      <c r="BA54" s="1134">
        <f>AZ54-BH53</f>
        <v>2.5</v>
      </c>
      <c r="BC54" s="121"/>
      <c r="BD54" s="121"/>
      <c r="BE54" s="74" t="s">
        <v>113</v>
      </c>
      <c r="BF54" s="121">
        <v>4</v>
      </c>
      <c r="BG54" s="1046">
        <f>3.75+3</f>
        <v>6.75</v>
      </c>
      <c r="BH54" s="121">
        <v>6</v>
      </c>
      <c r="BI54" s="1046">
        <f t="shared" si="4"/>
        <v>0.75</v>
      </c>
      <c r="BJ54" s="74"/>
      <c r="BK54" s="74"/>
      <c r="BL54" s="1136"/>
      <c r="BM54" s="1137"/>
      <c r="BN54" s="1136" t="s">
        <v>143</v>
      </c>
      <c r="BO54" s="1138">
        <v>6.5714285714285721</v>
      </c>
      <c r="BP54" s="1137">
        <v>14</v>
      </c>
      <c r="BQ54" s="1139">
        <v>7</v>
      </c>
      <c r="BR54" s="1138">
        <f>BO54-7</f>
        <v>-0.42857142857142794</v>
      </c>
    </row>
    <row r="55" spans="1:70">
      <c r="A55" s="74"/>
      <c r="B55" s="74"/>
      <c r="C55" s="74" t="s">
        <v>2009</v>
      </c>
      <c r="D55" s="1046">
        <v>6.24</v>
      </c>
      <c r="E55" s="121">
        <v>17</v>
      </c>
      <c r="F55" s="1189">
        <f t="shared" si="5"/>
        <v>0.24000000000000021</v>
      </c>
      <c r="G55" s="4677">
        <v>6</v>
      </c>
      <c r="I55" s="74"/>
      <c r="J55" s="74" t="s">
        <v>41</v>
      </c>
      <c r="K55" s="74" t="s">
        <v>139</v>
      </c>
      <c r="L55" s="1046">
        <v>6.33</v>
      </c>
      <c r="M55" s="121">
        <v>9</v>
      </c>
      <c r="N55" s="212">
        <f t="shared" si="0"/>
        <v>0.33000000000000007</v>
      </c>
      <c r="P55" s="163"/>
      <c r="Q55" s="163"/>
      <c r="R55" s="80" t="s">
        <v>463</v>
      </c>
      <c r="S55" s="212">
        <v>6</v>
      </c>
      <c r="T55" s="163">
        <v>1</v>
      </c>
      <c r="U55" s="212">
        <f t="shared" si="6"/>
        <v>0</v>
      </c>
      <c r="V55" s="1"/>
      <c r="W55" s="2256"/>
      <c r="X55" s="2256"/>
      <c r="Y55" s="2257" t="s">
        <v>143</v>
      </c>
      <c r="Z55" s="2258">
        <v>7.3</v>
      </c>
      <c r="AA55" s="2259">
        <v>20</v>
      </c>
      <c r="AB55" s="212">
        <f t="shared" si="7"/>
        <v>1.2999999999999998</v>
      </c>
      <c r="AD55" s="1126"/>
      <c r="AE55" s="1126"/>
      <c r="AF55" s="1149" t="s">
        <v>575</v>
      </c>
      <c r="AG55" s="1150">
        <v>6.784313725490196</v>
      </c>
      <c r="AH55" s="1151">
        <v>51</v>
      </c>
      <c r="AI55" s="1152">
        <f>+(AH49*AI49+AH50*AI50+AH51*AI51+AH52*AI52+AH53*AI53+AH54*AI54)/AH55</f>
        <v>0.76470588235294157</v>
      </c>
      <c r="AK55" s="965"/>
      <c r="AL55" s="965" t="s">
        <v>59</v>
      </c>
      <c r="AM55" s="965" t="s">
        <v>16</v>
      </c>
      <c r="AN55" s="734" t="s">
        <v>709</v>
      </c>
      <c r="AO55" s="736">
        <v>6.3000000000000007</v>
      </c>
      <c r="AP55" s="735">
        <v>10</v>
      </c>
      <c r="AQ55" s="1147">
        <v>0.48304589153964789</v>
      </c>
      <c r="AR55" s="736">
        <f t="shared" si="14"/>
        <v>0.30000000000000071</v>
      </c>
      <c r="AT55" s="1132"/>
      <c r="AU55" s="1132"/>
      <c r="AV55" s="1141" t="s">
        <v>575</v>
      </c>
      <c r="AW55" s="1140">
        <v>7</v>
      </c>
      <c r="AX55" s="1140">
        <f>+(AY49*AX49+AY50*AX50+AY51*AX51+AY52*AX52+AY53*AX53+AY54*AX54)/AY55</f>
        <v>0.72727272727272774</v>
      </c>
      <c r="AY55" s="1142">
        <v>33</v>
      </c>
      <c r="AZ55" s="1140">
        <v>7.6060606060606064</v>
      </c>
      <c r="BA55" s="1140">
        <f>+(AY49*BA49+AY50*BA50+AY51*BA51+AY52*BA52+AY53*BA53+AY54*BA54)/AY55</f>
        <v>1.2727272727272732</v>
      </c>
      <c r="BC55" s="121"/>
      <c r="BD55" s="121"/>
      <c r="BE55" s="761" t="s">
        <v>15</v>
      </c>
      <c r="BF55" s="729">
        <v>62</v>
      </c>
      <c r="BG55" s="1059">
        <v>6.887096774193548</v>
      </c>
      <c r="BH55" s="729"/>
      <c r="BI55" s="1059">
        <f>+(BF50*BI50+BF51*BI51+BF52*BI52+BF53*BI53+BF54*BI54)/BF55</f>
        <v>0.38709677419354865</v>
      </c>
      <c r="BJ55" s="1144">
        <f>AVERAGE(BI57:BI58)</f>
        <v>0.29864253393665141</v>
      </c>
      <c r="BK55" s="74"/>
      <c r="BL55" s="1136"/>
      <c r="BM55" s="1137"/>
      <c r="BN55" s="1137" t="s">
        <v>15</v>
      </c>
      <c r="BO55" s="1138">
        <v>8.8620689655172384</v>
      </c>
      <c r="BP55" s="1137">
        <v>58</v>
      </c>
      <c r="BQ55" s="1139"/>
      <c r="BR55" s="1146">
        <f>AVERAGE(BR49:BR54)</f>
        <v>2.8684704184704191</v>
      </c>
    </row>
    <row r="56" spans="1:70">
      <c r="A56" s="74"/>
      <c r="B56" s="74"/>
      <c r="C56" s="74" t="s">
        <v>2364</v>
      </c>
      <c r="D56" s="1046">
        <v>6</v>
      </c>
      <c r="E56" s="121">
        <v>1</v>
      </c>
      <c r="F56" s="1189">
        <f t="shared" si="5"/>
        <v>0</v>
      </c>
      <c r="G56" s="4677">
        <v>6</v>
      </c>
      <c r="I56" s="74"/>
      <c r="J56" s="74"/>
      <c r="K56" s="74" t="s">
        <v>140</v>
      </c>
      <c r="L56" s="1046">
        <v>6.23</v>
      </c>
      <c r="M56" s="121">
        <v>13</v>
      </c>
      <c r="N56" s="212">
        <f t="shared" si="0"/>
        <v>0.23000000000000043</v>
      </c>
      <c r="P56" s="163"/>
      <c r="Q56" s="163"/>
      <c r="R56" s="80" t="s">
        <v>142</v>
      </c>
      <c r="S56" s="212">
        <v>6.92</v>
      </c>
      <c r="T56" s="163">
        <v>12</v>
      </c>
      <c r="U56" s="212">
        <f t="shared" si="6"/>
        <v>0.91999999999999993</v>
      </c>
      <c r="V56" s="1"/>
      <c r="W56" s="2256"/>
      <c r="X56" s="2256"/>
      <c r="Y56" s="2257" t="s">
        <v>868</v>
      </c>
      <c r="Z56" s="2258">
        <v>4</v>
      </c>
      <c r="AA56" s="2259">
        <v>5</v>
      </c>
      <c r="AB56" s="212">
        <f t="shared" si="7"/>
        <v>-2</v>
      </c>
      <c r="AD56" s="1126"/>
      <c r="AE56" s="1126" t="s">
        <v>105</v>
      </c>
      <c r="AF56" s="1127" t="s">
        <v>144</v>
      </c>
      <c r="AG56" s="1128">
        <v>6</v>
      </c>
      <c r="AH56" s="1129">
        <v>19</v>
      </c>
      <c r="AI56" s="1130">
        <f t="shared" si="8"/>
        <v>0</v>
      </c>
      <c r="AK56" s="965"/>
      <c r="AL56" s="965"/>
      <c r="AM56" s="965"/>
      <c r="AN56" s="1061" t="s">
        <v>573</v>
      </c>
      <c r="AO56" s="739">
        <v>6.3000000000000007</v>
      </c>
      <c r="AP56" s="740">
        <v>10</v>
      </c>
      <c r="AQ56" s="1154">
        <v>0.48304589153964789</v>
      </c>
      <c r="AR56" s="1140">
        <f>+(AP55*AR55)/AP56</f>
        <v>0.30000000000000071</v>
      </c>
      <c r="AT56" s="1132"/>
      <c r="BC56" s="121"/>
      <c r="BD56" s="121"/>
      <c r="BE56" s="74"/>
      <c r="BF56" s="74"/>
      <c r="BG56" s="74"/>
      <c r="BH56" s="74"/>
      <c r="BI56" s="74"/>
      <c r="BJ56" s="74"/>
      <c r="BK56" s="74"/>
      <c r="BL56" s="1136"/>
      <c r="BM56" s="1137" t="s">
        <v>105</v>
      </c>
      <c r="BN56" s="1136" t="s">
        <v>144</v>
      </c>
      <c r="BO56" s="1138">
        <v>6.375</v>
      </c>
      <c r="BP56" s="1137">
        <v>16</v>
      </c>
      <c r="BQ56" s="1139">
        <v>6</v>
      </c>
      <c r="BR56" s="1138">
        <f>BO56-6</f>
        <v>0.375</v>
      </c>
    </row>
    <row r="57" spans="1:70">
      <c r="A57" s="74"/>
      <c r="B57" s="74"/>
      <c r="C57" s="761" t="s">
        <v>573</v>
      </c>
      <c r="D57" s="1059">
        <v>6.31</v>
      </c>
      <c r="E57" s="4673">
        <v>98</v>
      </c>
      <c r="F57" s="1152">
        <f>+(E47*F47+E48*F48+E49*F49+E50*F50+E51*F51+E52*F52+E53*F53+E54*F54+E55*F55+E56*F56)/E57</f>
        <v>0.30836734693877543</v>
      </c>
      <c r="G57" s="4677"/>
      <c r="I57" s="74"/>
      <c r="J57" s="74"/>
      <c r="K57" s="74" t="s">
        <v>141</v>
      </c>
      <c r="L57" s="1046">
        <v>5.69</v>
      </c>
      <c r="M57" s="121">
        <v>13</v>
      </c>
      <c r="N57" s="212">
        <f t="shared" si="0"/>
        <v>-0.30999999999999961</v>
      </c>
      <c r="P57" s="163"/>
      <c r="Q57" s="163"/>
      <c r="R57" s="80" t="s">
        <v>143</v>
      </c>
      <c r="S57" s="212">
        <v>6.53</v>
      </c>
      <c r="T57" s="163">
        <v>17</v>
      </c>
      <c r="U57" s="212">
        <f t="shared" si="6"/>
        <v>0.53000000000000025</v>
      </c>
      <c r="V57" s="1"/>
      <c r="W57" s="2256"/>
      <c r="X57" s="2256"/>
      <c r="Y57" s="2260" t="s">
        <v>575</v>
      </c>
      <c r="Z57" s="2261">
        <v>6.4516129032258061</v>
      </c>
      <c r="AA57" s="2262">
        <v>62</v>
      </c>
      <c r="AB57" s="1152">
        <f>+(AA51*AB51+AA52*AB52+AA53*AB53+AA54*AB54+AA55*AB55+AA56*AB56)/AA57</f>
        <v>0.45161290322580644</v>
      </c>
      <c r="AD57" s="1126"/>
      <c r="AE57" s="1126"/>
      <c r="AF57" s="1127" t="s">
        <v>425</v>
      </c>
      <c r="AG57" s="1128">
        <v>7</v>
      </c>
      <c r="AH57" s="1129">
        <v>1</v>
      </c>
      <c r="AI57" s="1130">
        <f t="shared" si="8"/>
        <v>1</v>
      </c>
      <c r="AK57" s="965"/>
      <c r="AL57" s="965"/>
      <c r="AM57" s="965"/>
      <c r="AN57" s="1155" t="s">
        <v>265</v>
      </c>
      <c r="AO57" s="1156">
        <v>6.3000000000000007</v>
      </c>
      <c r="AP57" s="1157">
        <v>10</v>
      </c>
      <c r="AQ57" s="1177">
        <v>0.48304589153964789</v>
      </c>
      <c r="AR57" s="1159">
        <f>+(AP56*AR56)/AP57</f>
        <v>0.30000000000000071</v>
      </c>
      <c r="AT57" s="1132"/>
      <c r="AU57" s="1132" t="s">
        <v>105</v>
      </c>
      <c r="AV57" s="1133" t="s">
        <v>144</v>
      </c>
      <c r="AW57" s="1134">
        <v>6</v>
      </c>
      <c r="AX57" s="1134">
        <f t="shared" ref="AX57:AX58" si="18">AW57-BH57</f>
        <v>0</v>
      </c>
      <c r="AY57" s="1135">
        <v>12</v>
      </c>
      <c r="AZ57" s="1134">
        <v>6</v>
      </c>
      <c r="BA57" s="1134">
        <f t="shared" si="3"/>
        <v>0</v>
      </c>
      <c r="BC57" s="121"/>
      <c r="BD57" s="121" t="s">
        <v>105</v>
      </c>
      <c r="BE57" s="74" t="s">
        <v>144</v>
      </c>
      <c r="BF57" s="121">
        <v>17</v>
      </c>
      <c r="BG57" s="1046">
        <v>6.0588235294117645</v>
      </c>
      <c r="BH57" s="121">
        <v>6</v>
      </c>
      <c r="BI57" s="1046">
        <f t="shared" si="4"/>
        <v>5.8823529411764497E-2</v>
      </c>
      <c r="BJ57" s="74"/>
      <c r="BK57" s="74"/>
      <c r="BL57" s="1136"/>
      <c r="BM57" s="1137"/>
      <c r="BN57" s="1137" t="s">
        <v>15</v>
      </c>
      <c r="BO57" s="1138">
        <v>6.375</v>
      </c>
      <c r="BP57" s="1137">
        <v>16</v>
      </c>
      <c r="BQ57" s="1139"/>
      <c r="BR57" s="1146">
        <f>BO57-6</f>
        <v>0.375</v>
      </c>
    </row>
    <row r="58" spans="1:70" ht="15.75" thickBot="1">
      <c r="A58" s="74"/>
      <c r="B58" s="74" t="s">
        <v>41</v>
      </c>
      <c r="C58" s="74" t="s">
        <v>140</v>
      </c>
      <c r="D58" s="1046">
        <v>6.67</v>
      </c>
      <c r="E58" s="121">
        <v>15</v>
      </c>
      <c r="F58" s="1189">
        <f t="shared" si="5"/>
        <v>0.66999999999999993</v>
      </c>
      <c r="G58" s="4677">
        <v>6</v>
      </c>
      <c r="I58" s="74"/>
      <c r="J58" s="74"/>
      <c r="K58" s="74" t="s">
        <v>463</v>
      </c>
      <c r="L58" s="1046">
        <v>6</v>
      </c>
      <c r="M58" s="121">
        <v>4</v>
      </c>
      <c r="N58" s="212">
        <f t="shared" si="0"/>
        <v>0</v>
      </c>
      <c r="P58" s="163"/>
      <c r="Q58" s="163"/>
      <c r="R58" s="80" t="s">
        <v>2010</v>
      </c>
      <c r="S58" s="212">
        <v>6</v>
      </c>
      <c r="T58" s="163">
        <v>3</v>
      </c>
      <c r="U58" s="212">
        <f t="shared" si="6"/>
        <v>0</v>
      </c>
      <c r="V58" s="1"/>
      <c r="W58" s="2256"/>
      <c r="X58" s="2256" t="s">
        <v>105</v>
      </c>
      <c r="Y58" s="2257" t="s">
        <v>144</v>
      </c>
      <c r="Z58" s="2258">
        <v>6.0526315789473681</v>
      </c>
      <c r="AA58" s="2259">
        <v>19</v>
      </c>
      <c r="AB58" s="212">
        <f t="shared" si="7"/>
        <v>5.2631578947368141E-2</v>
      </c>
      <c r="AD58" s="1126"/>
      <c r="AE58" s="1126"/>
      <c r="AF58" s="1127" t="s">
        <v>426</v>
      </c>
      <c r="AG58" s="1128">
        <v>6</v>
      </c>
      <c r="AH58" s="1129">
        <v>3</v>
      </c>
      <c r="AI58" s="1130">
        <f t="shared" si="8"/>
        <v>0</v>
      </c>
      <c r="AK58" s="989"/>
      <c r="AL58" s="989"/>
      <c r="AM58" s="989"/>
      <c r="AN58" s="1071" t="s">
        <v>114</v>
      </c>
      <c r="AO58" s="745">
        <v>6.9778270509977807</v>
      </c>
      <c r="AP58" s="744">
        <v>451</v>
      </c>
      <c r="AQ58" s="1072">
        <v>2.0098525487706675</v>
      </c>
      <c r="AR58" s="1178">
        <f>+(AP16*AR16+AP33*AR33+AP54*AR54+AP57*AR57)/AP58</f>
        <v>1.266075388026608</v>
      </c>
      <c r="AT58" s="1132"/>
      <c r="AU58" s="1132"/>
      <c r="AV58" s="1133" t="s">
        <v>426</v>
      </c>
      <c r="AW58" s="1134">
        <v>6</v>
      </c>
      <c r="AX58" s="1134">
        <f t="shared" si="18"/>
        <v>0</v>
      </c>
      <c r="AY58" s="1135">
        <v>2</v>
      </c>
      <c r="AZ58" s="1134">
        <v>6</v>
      </c>
      <c r="BA58" s="1134">
        <f t="shared" si="3"/>
        <v>0</v>
      </c>
      <c r="BC58" s="121"/>
      <c r="BD58" s="121"/>
      <c r="BE58" s="74" t="s">
        <v>425</v>
      </c>
      <c r="BF58" s="121">
        <v>13</v>
      </c>
      <c r="BG58" s="1046">
        <v>6.5384615384615383</v>
      </c>
      <c r="BH58" s="121">
        <v>6</v>
      </c>
      <c r="BI58" s="1046">
        <f t="shared" si="4"/>
        <v>0.53846153846153832</v>
      </c>
      <c r="BJ58" s="74"/>
      <c r="BK58" s="74"/>
      <c r="BL58" s="1136"/>
      <c r="BM58" s="1137"/>
      <c r="BN58" s="1179" t="s">
        <v>461</v>
      </c>
      <c r="BO58" s="1180">
        <v>7.3631578947368457</v>
      </c>
      <c r="BP58" s="1181">
        <v>190</v>
      </c>
      <c r="BQ58" s="1139"/>
      <c r="BR58" s="1180">
        <f>AVERAGE(BR46,BR55,BR57)</f>
        <v>1.6427991320848463</v>
      </c>
    </row>
    <row r="59" spans="1:70" ht="15.75" thickBot="1">
      <c r="A59" s="74"/>
      <c r="B59" s="74"/>
      <c r="C59" s="74" t="s">
        <v>141</v>
      </c>
      <c r="D59" s="1046">
        <v>5.2</v>
      </c>
      <c r="E59" s="121">
        <v>5</v>
      </c>
      <c r="F59" s="1189">
        <f t="shared" si="5"/>
        <v>0.20000000000000018</v>
      </c>
      <c r="G59" s="4677">
        <v>5</v>
      </c>
      <c r="I59" s="74"/>
      <c r="J59" s="74"/>
      <c r="K59" s="74" t="s">
        <v>142</v>
      </c>
      <c r="L59" s="1046">
        <v>6.67</v>
      </c>
      <c r="M59" s="121">
        <v>9</v>
      </c>
      <c r="N59" s="212">
        <f t="shared" si="0"/>
        <v>0.66999999999999993</v>
      </c>
      <c r="P59" s="163"/>
      <c r="Q59" s="163"/>
      <c r="R59" s="80" t="s">
        <v>868</v>
      </c>
      <c r="S59" s="212">
        <v>4</v>
      </c>
      <c r="T59" s="163">
        <v>2</v>
      </c>
      <c r="U59" s="212">
        <f t="shared" si="6"/>
        <v>-2</v>
      </c>
      <c r="V59" s="1"/>
      <c r="W59" s="2256"/>
      <c r="X59" s="2256"/>
      <c r="Y59" s="2257" t="s">
        <v>425</v>
      </c>
      <c r="Z59" s="2258">
        <v>6</v>
      </c>
      <c r="AA59" s="2259">
        <v>15</v>
      </c>
      <c r="AB59" s="212">
        <f t="shared" si="7"/>
        <v>0</v>
      </c>
      <c r="AD59" s="1126"/>
      <c r="AE59" s="1126"/>
      <c r="AF59" s="1149" t="s">
        <v>888</v>
      </c>
      <c r="AG59" s="1150">
        <v>6.0434782608695645</v>
      </c>
      <c r="AH59" s="1151">
        <v>23</v>
      </c>
      <c r="AI59" s="1152">
        <f t="shared" si="8"/>
        <v>4.3478260869564522E-2</v>
      </c>
      <c r="AK59" s="965"/>
      <c r="AL59" s="965"/>
      <c r="AM59" s="965"/>
      <c r="AN59" s="734"/>
      <c r="AO59" s="1074"/>
      <c r="AP59" s="1075"/>
      <c r="AQ59" s="1182"/>
      <c r="AR59" s="1074"/>
      <c r="AT59" s="1183"/>
      <c r="AU59" s="1183"/>
      <c r="AV59" s="1184" t="s">
        <v>888</v>
      </c>
      <c r="AW59" s="1185">
        <v>6</v>
      </c>
      <c r="AX59" s="1185">
        <f>+(AY57*AX57+AY58*AX58)/AY59</f>
        <v>0</v>
      </c>
      <c r="AY59" s="1186">
        <v>14</v>
      </c>
      <c r="AZ59" s="1185">
        <v>6</v>
      </c>
      <c r="BA59" s="1185">
        <f>+(AY57*BA57+AY58*BA58)/AY59</f>
        <v>0</v>
      </c>
      <c r="BC59" s="819"/>
      <c r="BD59" s="819"/>
      <c r="BE59" s="821" t="s">
        <v>15</v>
      </c>
      <c r="BF59" s="768">
        <v>30</v>
      </c>
      <c r="BG59" s="1081">
        <v>6.2666666666666675</v>
      </c>
      <c r="BH59" s="768"/>
      <c r="BI59" s="1081">
        <f>+(BF57*BI57+BF58*BI58)/BF59</f>
        <v>0.2666666666666665</v>
      </c>
      <c r="BJ59" s="1144">
        <f>AVERAGE(BI9,BI25)</f>
        <v>6.7570770243581295</v>
      </c>
      <c r="BK59" s="74"/>
      <c r="BL59" s="1136"/>
      <c r="BM59" s="1168"/>
      <c r="BN59" s="1169" t="s">
        <v>114</v>
      </c>
      <c r="BO59" s="1170">
        <v>8.6808988764044948</v>
      </c>
      <c r="BP59" s="1171">
        <v>445</v>
      </c>
      <c r="BQ59" s="1172"/>
      <c r="BR59" s="1187">
        <f>AVERAGE(BR18,BR38,BR58)</f>
        <v>2.7813914865145883</v>
      </c>
    </row>
    <row r="60" spans="1:70">
      <c r="A60" s="74"/>
      <c r="B60" s="74"/>
      <c r="C60" s="74" t="s">
        <v>142</v>
      </c>
      <c r="D60" s="1046">
        <v>6.78</v>
      </c>
      <c r="E60" s="121">
        <v>18</v>
      </c>
      <c r="F60" s="1189">
        <f t="shared" si="5"/>
        <v>0.78000000000000025</v>
      </c>
      <c r="G60" s="4677">
        <v>6</v>
      </c>
      <c r="I60" s="74"/>
      <c r="J60" s="74"/>
      <c r="K60" s="74" t="s">
        <v>143</v>
      </c>
      <c r="L60" s="1046">
        <v>6.41</v>
      </c>
      <c r="M60" s="121">
        <v>17</v>
      </c>
      <c r="N60" s="212">
        <f t="shared" si="0"/>
        <v>0.41000000000000014</v>
      </c>
      <c r="P60" s="163"/>
      <c r="Q60" s="163"/>
      <c r="R60" s="1245" t="s">
        <v>575</v>
      </c>
      <c r="S60" s="1246">
        <v>6.26</v>
      </c>
      <c r="T60" s="213">
        <v>54</v>
      </c>
      <c r="U60" s="1152">
        <f>+(T53*U53+T54*U54+T55*U55+T56*U56+T57*U57+T58*U58+T59*U59)/T60</f>
        <v>0.26000000000000006</v>
      </c>
      <c r="V60" s="1"/>
      <c r="W60" s="2256"/>
      <c r="X60" s="2256"/>
      <c r="Y60" s="2257" t="s">
        <v>426</v>
      </c>
      <c r="Z60" s="2258">
        <v>6.1764705882352944</v>
      </c>
      <c r="AA60" s="2259">
        <v>17</v>
      </c>
      <c r="AB60" s="212">
        <f t="shared" si="7"/>
        <v>0.17647058823529438</v>
      </c>
      <c r="AD60" s="1126"/>
      <c r="AE60" s="1126"/>
      <c r="AF60" s="1173" t="s">
        <v>461</v>
      </c>
      <c r="AG60" s="1174">
        <v>6.2536231884057987</v>
      </c>
      <c r="AH60" s="1175">
        <v>138</v>
      </c>
      <c r="AI60" s="1176">
        <f>+(AH48*AI48+AH55*AI55+AH59*AI59)/AH60</f>
        <v>0.48550724637681159</v>
      </c>
      <c r="AK60" s="965"/>
      <c r="AL60" s="965"/>
      <c r="AM60" s="965"/>
      <c r="AN60" s="734"/>
      <c r="AO60" s="1074"/>
      <c r="AP60" s="1075"/>
      <c r="AQ60" s="1182"/>
      <c r="AR60" s="1074"/>
      <c r="BC60" s="121"/>
      <c r="BD60" s="121"/>
      <c r="BE60" s="761"/>
      <c r="BF60" s="729"/>
      <c r="BG60" s="1059"/>
      <c r="BH60" s="761"/>
      <c r="BI60" s="761"/>
      <c r="BJ60" s="1144">
        <f>AVERAGE(BI15,BI32,BI47)</f>
        <v>2.4597069597069585</v>
      </c>
      <c r="BK60" s="74"/>
      <c r="BL60" s="74"/>
      <c r="BM60" s="1136" t="s">
        <v>1428</v>
      </c>
      <c r="BN60" s="1136"/>
      <c r="BO60" s="1136"/>
      <c r="BP60" s="1137"/>
      <c r="BQ60" s="1137"/>
      <c r="BR60" s="1136"/>
    </row>
    <row r="61" spans="1:70">
      <c r="A61" s="74"/>
      <c r="B61" s="74"/>
      <c r="C61" s="74" t="s">
        <v>143</v>
      </c>
      <c r="D61" s="1046">
        <v>7.31</v>
      </c>
      <c r="E61" s="121">
        <v>13</v>
      </c>
      <c r="F61" s="1189">
        <f t="shared" si="5"/>
        <v>1.3099999999999996</v>
      </c>
      <c r="G61" s="4677">
        <v>6</v>
      </c>
      <c r="I61" s="74"/>
      <c r="J61" s="74"/>
      <c r="K61" s="74" t="s">
        <v>2010</v>
      </c>
      <c r="L61" s="1046">
        <v>6</v>
      </c>
      <c r="M61" s="121">
        <v>6</v>
      </c>
      <c r="N61" s="212">
        <f t="shared" si="0"/>
        <v>0</v>
      </c>
      <c r="P61" s="163"/>
      <c r="Q61" s="163" t="s">
        <v>105</v>
      </c>
      <c r="R61" s="80" t="s">
        <v>144</v>
      </c>
      <c r="S61" s="212">
        <v>6</v>
      </c>
      <c r="T61" s="163">
        <v>24</v>
      </c>
      <c r="U61" s="212">
        <f t="shared" si="6"/>
        <v>0</v>
      </c>
      <c r="V61" s="1"/>
      <c r="W61" s="2256"/>
      <c r="X61" s="2256"/>
      <c r="Y61" s="2260" t="s">
        <v>888</v>
      </c>
      <c r="Z61" s="2261">
        <v>6.0784313725490184</v>
      </c>
      <c r="AA61" s="2262">
        <v>51</v>
      </c>
      <c r="AB61" s="1152">
        <f>+(AA58*AB58+AA59*AB59+AA60*AB60)/AA61</f>
        <v>7.8431372549019593E-2</v>
      </c>
      <c r="AD61" s="1126" t="s">
        <v>59</v>
      </c>
      <c r="AE61" s="1126" t="s">
        <v>16</v>
      </c>
      <c r="AF61" s="1127" t="s">
        <v>709</v>
      </c>
      <c r="AG61" s="1128">
        <v>6.3333333333333339</v>
      </c>
      <c r="AH61" s="1129">
        <v>6</v>
      </c>
      <c r="AI61" s="1130">
        <f t="shared" si="8"/>
        <v>0.33333333333333393</v>
      </c>
      <c r="AK61" s="965"/>
      <c r="AL61" s="965"/>
      <c r="AM61" s="965"/>
      <c r="AN61" s="734"/>
      <c r="AO61" s="1074"/>
      <c r="AP61" s="1075"/>
      <c r="AQ61" s="1182"/>
      <c r="AR61" s="1074"/>
      <c r="AT61" s="1132"/>
      <c r="AU61" s="1132"/>
      <c r="AV61" s="1133"/>
      <c r="AW61" s="1134"/>
      <c r="AX61" s="1134"/>
      <c r="AY61" s="1135"/>
      <c r="AZ61" s="1135"/>
      <c r="BA61" s="1134"/>
      <c r="BC61" s="121"/>
      <c r="BD61" s="121"/>
      <c r="BE61" s="761"/>
      <c r="BF61" s="729"/>
      <c r="BG61" s="1059"/>
      <c r="BH61" s="761"/>
      <c r="BI61" s="761"/>
      <c r="BJ61" s="1144">
        <f>AVERAGE(BI36,BI55)</f>
        <v>1.1509951956074127</v>
      </c>
      <c r="BK61" s="74"/>
      <c r="BL61" s="74"/>
      <c r="BM61" s="1089"/>
      <c r="BN61" s="1088"/>
      <c r="BO61" s="1088"/>
      <c r="BP61" s="1089"/>
      <c r="BQ61" s="1089"/>
      <c r="BR61" s="1088"/>
    </row>
    <row r="62" spans="1:70" ht="26.25" thickBot="1">
      <c r="A62" s="74"/>
      <c r="B62" s="74"/>
      <c r="C62" s="74" t="s">
        <v>2010</v>
      </c>
      <c r="D62" s="1046">
        <v>6</v>
      </c>
      <c r="E62" s="121">
        <v>7</v>
      </c>
      <c r="F62" s="1189">
        <f t="shared" si="5"/>
        <v>0</v>
      </c>
      <c r="G62" s="4677">
        <v>6</v>
      </c>
      <c r="I62" s="74"/>
      <c r="J62" s="74"/>
      <c r="K62" s="74" t="s">
        <v>868</v>
      </c>
      <c r="L62" s="1046">
        <v>6</v>
      </c>
      <c r="M62" s="121">
        <v>6</v>
      </c>
      <c r="N62" s="212">
        <f t="shared" si="0"/>
        <v>0</v>
      </c>
      <c r="P62" s="163"/>
      <c r="Q62" s="163"/>
      <c r="R62" s="80" t="s">
        <v>426</v>
      </c>
      <c r="S62" s="212">
        <v>6</v>
      </c>
      <c r="T62" s="163">
        <v>3</v>
      </c>
      <c r="U62" s="212">
        <f t="shared" si="6"/>
        <v>0</v>
      </c>
      <c r="V62" s="1"/>
      <c r="W62" s="2256"/>
      <c r="X62" s="2256"/>
      <c r="Y62" s="2270" t="s">
        <v>461</v>
      </c>
      <c r="Z62" s="2271">
        <v>6.0380434782608665</v>
      </c>
      <c r="AA62" s="2272">
        <v>184</v>
      </c>
      <c r="AB62" s="2269">
        <f>+(AA50*AB50+AA57*AB57+AA61*AB61)/AA62</f>
        <v>3.8043478260869602E-2</v>
      </c>
      <c r="AD62" s="1126"/>
      <c r="AE62" s="1126"/>
      <c r="AF62" s="1149" t="s">
        <v>573</v>
      </c>
      <c r="AG62" s="1150">
        <v>6.3333333333333339</v>
      </c>
      <c r="AH62" s="1151">
        <v>6</v>
      </c>
      <c r="AI62" s="1152">
        <f t="shared" si="8"/>
        <v>0.33333333333333393</v>
      </c>
      <c r="AK62" s="1121" t="s">
        <v>1057</v>
      </c>
      <c r="AL62" s="989"/>
      <c r="AM62" s="989"/>
      <c r="AN62" s="949" t="s">
        <v>1</v>
      </c>
      <c r="AO62" s="949" t="s">
        <v>1208</v>
      </c>
      <c r="AP62" s="949" t="s">
        <v>1420</v>
      </c>
      <c r="AQ62" s="949" t="s">
        <v>1421</v>
      </c>
      <c r="AR62" s="1188" t="s">
        <v>1356</v>
      </c>
      <c r="AT62" s="1132"/>
      <c r="AU62" s="1132"/>
      <c r="AV62" s="1031" t="s">
        <v>1</v>
      </c>
      <c r="AW62" s="1031" t="s">
        <v>1422</v>
      </c>
      <c r="AX62" s="1031" t="s">
        <v>1356</v>
      </c>
      <c r="AY62" s="1122" t="s">
        <v>1420</v>
      </c>
      <c r="AZ62" s="1031" t="s">
        <v>1423</v>
      </c>
      <c r="BA62" s="1031" t="s">
        <v>1356</v>
      </c>
      <c r="BC62" s="121"/>
      <c r="BD62" s="121"/>
      <c r="BE62" s="768" t="s">
        <v>1</v>
      </c>
      <c r="BF62" s="1033" t="s">
        <v>1420</v>
      </c>
      <c r="BG62" s="88" t="s">
        <v>1424</v>
      </c>
      <c r="BH62" s="88" t="s">
        <v>1425</v>
      </c>
      <c r="BI62" s="88" t="s">
        <v>1356</v>
      </c>
      <c r="BJ62" s="1144">
        <f>AVERAGE(BI17,BI59)</f>
        <v>1.1333333333333333</v>
      </c>
      <c r="BK62" s="74"/>
      <c r="BL62" s="74"/>
      <c r="BM62" s="74"/>
      <c r="BN62" s="74"/>
      <c r="BO62" s="74"/>
      <c r="BP62" s="74"/>
      <c r="BQ62" s="74"/>
      <c r="BR62" s="74"/>
    </row>
    <row r="63" spans="1:70">
      <c r="A63" s="74"/>
      <c r="B63" s="74"/>
      <c r="C63" s="74" t="s">
        <v>868</v>
      </c>
      <c r="D63" s="1046">
        <v>6</v>
      </c>
      <c r="E63" s="121">
        <v>1</v>
      </c>
      <c r="F63" s="1189">
        <f t="shared" si="5"/>
        <v>0</v>
      </c>
      <c r="G63" s="4677">
        <v>6</v>
      </c>
      <c r="I63" s="74"/>
      <c r="J63" s="74"/>
      <c r="K63" s="74" t="s">
        <v>2715</v>
      </c>
      <c r="L63" s="1046">
        <v>7</v>
      </c>
      <c r="M63" s="121">
        <v>1</v>
      </c>
      <c r="N63" s="212">
        <f t="shared" si="0"/>
        <v>1</v>
      </c>
      <c r="P63" s="163"/>
      <c r="Q63" s="163"/>
      <c r="R63" s="1245" t="s">
        <v>574</v>
      </c>
      <c r="S63" s="1246">
        <v>6</v>
      </c>
      <c r="T63" s="213">
        <v>27</v>
      </c>
      <c r="U63" s="1152">
        <f>+(T61*U61+T62*U62)/T63</f>
        <v>0</v>
      </c>
      <c r="V63" s="1"/>
      <c r="W63" s="2264" t="s">
        <v>59</v>
      </c>
      <c r="X63" s="2264" t="s">
        <v>16</v>
      </c>
      <c r="Y63" s="2265" t="s">
        <v>709</v>
      </c>
      <c r="Z63" s="2266">
        <v>6</v>
      </c>
      <c r="AA63" s="2267">
        <v>9</v>
      </c>
      <c r="AB63" s="2268">
        <f t="shared" si="7"/>
        <v>0</v>
      </c>
      <c r="AD63" s="1126"/>
      <c r="AE63" s="1126" t="s">
        <v>869</v>
      </c>
      <c r="AF63" s="1127" t="s">
        <v>870</v>
      </c>
      <c r="AG63" s="1128">
        <v>6</v>
      </c>
      <c r="AH63" s="1129">
        <v>8</v>
      </c>
      <c r="AI63" s="1130">
        <f t="shared" si="8"/>
        <v>0</v>
      </c>
      <c r="AK63" s="965" t="s">
        <v>748</v>
      </c>
      <c r="AL63" s="965"/>
      <c r="AM63" s="73"/>
      <c r="AN63" s="965" t="s">
        <v>4</v>
      </c>
      <c r="AO63" s="736">
        <v>8.2528735632183903</v>
      </c>
      <c r="AP63" s="735">
        <v>87</v>
      </c>
      <c r="AQ63" s="1042">
        <v>2.1470281830268481</v>
      </c>
      <c r="AR63" s="1189">
        <f>+(AP9*AR9+AP23*AR23)/AP63</f>
        <v>2.3448275862068968</v>
      </c>
      <c r="AT63" s="1132"/>
      <c r="AU63" s="1132"/>
      <c r="AV63" s="1190" t="s">
        <v>4</v>
      </c>
      <c r="AW63" s="1191">
        <v>8.2613636363636349</v>
      </c>
      <c r="AX63" s="1189">
        <f>+(AY9*AX9+AY25*AX25)/AY63</f>
        <v>2.3977272727272729</v>
      </c>
      <c r="AY63" s="1192">
        <v>88</v>
      </c>
      <c r="AZ63" s="1191">
        <v>9.318181818181813</v>
      </c>
      <c r="BA63" s="1189">
        <f>+(AY9*BA9+AY25*BA25)/AY63</f>
        <v>3.454545454545455</v>
      </c>
      <c r="BC63" s="121"/>
      <c r="BD63" s="121"/>
      <c r="BE63" s="121" t="s">
        <v>4</v>
      </c>
      <c r="BF63" s="121">
        <v>80</v>
      </c>
      <c r="BG63" s="1046">
        <v>11.987499999999999</v>
      </c>
      <c r="BH63" s="74"/>
      <c r="BI63" s="1046">
        <f>+(BF9*BI9+BF25*BI25)/BF63</f>
        <v>6.1</v>
      </c>
      <c r="BJ63" s="74"/>
      <c r="BK63" s="74"/>
      <c r="BL63" s="74"/>
      <c r="BM63" s="74"/>
      <c r="BN63" s="74"/>
      <c r="BO63" s="74"/>
      <c r="BP63" s="74"/>
      <c r="BQ63" s="74"/>
      <c r="BR63" s="74"/>
    </row>
    <row r="64" spans="1:70">
      <c r="A64" s="74"/>
      <c r="B64" s="74"/>
      <c r="C64" s="74" t="s">
        <v>2715</v>
      </c>
      <c r="D64" s="1046">
        <v>4.83</v>
      </c>
      <c r="E64" s="121">
        <v>6</v>
      </c>
      <c r="F64" s="1189">
        <f t="shared" si="5"/>
        <v>-1.17</v>
      </c>
      <c r="G64" s="4677">
        <v>6</v>
      </c>
      <c r="I64" s="74"/>
      <c r="J64" s="74"/>
      <c r="K64" s="761" t="s">
        <v>575</v>
      </c>
      <c r="L64" s="1059">
        <v>6.21</v>
      </c>
      <c r="M64" s="729">
        <v>78</v>
      </c>
      <c r="N64" s="1152">
        <f>+(+M55*N55+M56*N56+M57*N57+M58*N58+M59*N59+M60*N60+M61*N61+M62*N62+M63*N63)/M64</f>
        <v>0.20423076923076941</v>
      </c>
      <c r="P64" s="2630"/>
      <c r="Q64" s="2630"/>
      <c r="R64" s="2627" t="s">
        <v>461</v>
      </c>
      <c r="S64" s="2628">
        <v>6.07</v>
      </c>
      <c r="T64" s="2629">
        <v>158</v>
      </c>
      <c r="U64" s="2631">
        <f>+(T52*U52+T60*U60+T63*U63)/T64</f>
        <v>6.9746835443037891E-2</v>
      </c>
      <c r="V64" s="1"/>
      <c r="W64" s="2256"/>
      <c r="X64" s="2256"/>
      <c r="Y64" s="2260" t="s">
        <v>573</v>
      </c>
      <c r="Z64" s="2261">
        <v>6</v>
      </c>
      <c r="AA64" s="2262">
        <v>9</v>
      </c>
      <c r="AB64" s="1246">
        <f t="shared" si="7"/>
        <v>0</v>
      </c>
      <c r="AD64" s="1126"/>
      <c r="AE64" s="1126"/>
      <c r="AF64" s="1149" t="s">
        <v>893</v>
      </c>
      <c r="AG64" s="1150">
        <v>6</v>
      </c>
      <c r="AH64" s="1151">
        <v>8</v>
      </c>
      <c r="AI64" s="1152">
        <f t="shared" si="8"/>
        <v>0</v>
      </c>
      <c r="AK64" s="965"/>
      <c r="AL64" s="965"/>
      <c r="AM64" s="73"/>
      <c r="AN64" s="965" t="s">
        <v>16</v>
      </c>
      <c r="AO64" s="736">
        <v>6.8527607361963181</v>
      </c>
      <c r="AP64" s="735">
        <v>163</v>
      </c>
      <c r="AQ64" s="1042">
        <v>1.86664394441976</v>
      </c>
      <c r="AR64" s="1189">
        <f>+(AP13*AR13+AP28*AR28+AP42*AR42+AP56*AR56)/AP64</f>
        <v>0.87116564417177988</v>
      </c>
      <c r="AT64" s="1132"/>
      <c r="AV64" s="1190" t="s">
        <v>16</v>
      </c>
      <c r="AW64" s="1191">
        <v>6.8098591549295771</v>
      </c>
      <c r="AX64" s="1189">
        <f>+(AY15*AX15+AY32*AX32+AY48*AX48)/AY64</f>
        <v>0.95774647887323938</v>
      </c>
      <c r="AY64" s="1192">
        <v>142</v>
      </c>
      <c r="AZ64" s="1191">
        <v>7.3732394366197145</v>
      </c>
      <c r="BA64" s="1189">
        <f>+(AY15*BA15+AY32*BA32+AY48*BA48)/AY64</f>
        <v>1.4596670934699103</v>
      </c>
      <c r="BC64" s="121"/>
      <c r="BD64" s="121"/>
      <c r="BE64" s="121" t="s">
        <v>16</v>
      </c>
      <c r="BF64" s="121">
        <v>222</v>
      </c>
      <c r="BG64" s="1046">
        <v>8.5090090090090076</v>
      </c>
      <c r="BH64" s="74"/>
      <c r="BI64" s="1046">
        <f>+(BF15*BI15+BF32*BI32+BF47*BI47)/BF64</f>
        <v>2.509009009009008</v>
      </c>
      <c r="BJ64" s="1144">
        <f>AVERAGE(BI63:BI66)</f>
        <v>2.6729794014197679</v>
      </c>
      <c r="BK64" s="74"/>
      <c r="BL64" s="74"/>
      <c r="BM64" s="74"/>
      <c r="BN64" s="74"/>
      <c r="BO64" s="74"/>
      <c r="BP64" s="74"/>
      <c r="BQ64" s="74"/>
      <c r="BR64" s="74"/>
    </row>
    <row r="65" spans="1:70" ht="15" customHeight="1">
      <c r="A65" s="74"/>
      <c r="B65" s="74"/>
      <c r="C65" s="761" t="s">
        <v>575</v>
      </c>
      <c r="D65" s="1059">
        <v>6.46</v>
      </c>
      <c r="E65" s="4673">
        <v>65</v>
      </c>
      <c r="F65" s="1152">
        <f>+(E58*F58+E59*F59+E60*F60+E61*F61+E62*F62+E63*F63+E64*F64)/E65</f>
        <v>0.53999999999999992</v>
      </c>
      <c r="G65" s="4677"/>
      <c r="I65" s="74"/>
      <c r="J65" s="74" t="s">
        <v>21</v>
      </c>
      <c r="K65" s="74" t="s">
        <v>144</v>
      </c>
      <c r="L65" s="1046">
        <v>6.07</v>
      </c>
      <c r="M65" s="121">
        <v>14</v>
      </c>
      <c r="N65" s="212">
        <f t="shared" si="0"/>
        <v>7.0000000000000284E-2</v>
      </c>
      <c r="P65" s="163" t="s">
        <v>59</v>
      </c>
      <c r="Q65" s="163" t="s">
        <v>16</v>
      </c>
      <c r="R65" s="80" t="s">
        <v>709</v>
      </c>
      <c r="S65" s="212">
        <v>6</v>
      </c>
      <c r="T65" s="163">
        <v>7</v>
      </c>
      <c r="U65" s="212">
        <f t="shared" si="6"/>
        <v>0</v>
      </c>
      <c r="V65" s="1"/>
      <c r="W65" s="2256"/>
      <c r="X65" s="2256" t="s">
        <v>869</v>
      </c>
      <c r="Y65" s="2257" t="s">
        <v>870</v>
      </c>
      <c r="Z65" s="2258">
        <v>6.2727272727272725</v>
      </c>
      <c r="AA65" s="2259">
        <v>11</v>
      </c>
      <c r="AB65" s="212">
        <f t="shared" si="7"/>
        <v>0.27272727272727249</v>
      </c>
      <c r="AD65" s="1126"/>
      <c r="AE65" s="1126" t="s">
        <v>64</v>
      </c>
      <c r="AF65" s="1127" t="s">
        <v>710</v>
      </c>
      <c r="AG65" s="1128">
        <v>7</v>
      </c>
      <c r="AH65" s="1129">
        <v>1</v>
      </c>
      <c r="AI65" s="1130">
        <f t="shared" si="8"/>
        <v>1</v>
      </c>
      <c r="AK65" s="965"/>
      <c r="AL65" s="965"/>
      <c r="AM65" s="73"/>
      <c r="AN65" s="965" t="s">
        <v>41</v>
      </c>
      <c r="AO65" s="736">
        <v>7.0796460176991109</v>
      </c>
      <c r="AP65" s="735">
        <v>113</v>
      </c>
      <c r="AQ65" s="1042">
        <v>1.9371444047892552</v>
      </c>
      <c r="AR65" s="1189">
        <f>+(AP32*AR32+AP49*AR49)/AP65</f>
        <v>1.1504424778761069</v>
      </c>
      <c r="AT65" s="1132"/>
      <c r="AV65" s="1190" t="s">
        <v>41</v>
      </c>
      <c r="AW65" s="1191">
        <v>8.0128205128205092</v>
      </c>
      <c r="AX65" s="1189">
        <f>+(AY25*AX25+AY55*AX55)/AY65</f>
        <v>2.1282051282051291</v>
      </c>
      <c r="AY65" s="1192">
        <v>78</v>
      </c>
      <c r="AZ65" s="1191">
        <v>8.4102564102564088</v>
      </c>
      <c r="BA65" s="1189">
        <f>+(AY36*BA36+AY55*BA55)/AY65</f>
        <v>2.2692307692307701</v>
      </c>
      <c r="BC65" s="121"/>
      <c r="BD65" s="121"/>
      <c r="BE65" s="121" t="s">
        <v>41</v>
      </c>
      <c r="BF65" s="121">
        <v>109</v>
      </c>
      <c r="BG65" s="1046">
        <v>7.330275229357798</v>
      </c>
      <c r="BH65" s="74"/>
      <c r="BI65" s="1046">
        <f>+(BF36*BI36+BF55*BI55)/BF65</f>
        <v>1.0458715596330277</v>
      </c>
      <c r="BJ65" s="74"/>
      <c r="BK65" s="74"/>
      <c r="BL65" s="74"/>
      <c r="BM65" s="74"/>
      <c r="BN65" s="74"/>
      <c r="BO65" s="74"/>
      <c r="BP65" s="74"/>
      <c r="BQ65" s="74"/>
      <c r="BR65" s="74"/>
    </row>
    <row r="66" spans="1:70">
      <c r="A66" s="74"/>
      <c r="B66" s="74" t="s">
        <v>21</v>
      </c>
      <c r="C66" s="74" t="s">
        <v>144</v>
      </c>
      <c r="D66" s="1046">
        <v>6.04</v>
      </c>
      <c r="E66" s="121">
        <v>27</v>
      </c>
      <c r="F66" s="1189">
        <f t="shared" si="5"/>
        <v>4.0000000000000036E-2</v>
      </c>
      <c r="G66" s="4677">
        <v>6</v>
      </c>
      <c r="I66" s="74"/>
      <c r="J66" s="74"/>
      <c r="K66" s="74" t="s">
        <v>425</v>
      </c>
      <c r="L66" s="1046">
        <v>6</v>
      </c>
      <c r="M66" s="121">
        <v>15</v>
      </c>
      <c r="N66" s="212">
        <f t="shared" si="0"/>
        <v>0</v>
      </c>
      <c r="P66" s="163"/>
      <c r="Q66" s="163"/>
      <c r="R66" s="1245" t="s">
        <v>573</v>
      </c>
      <c r="S66" s="1246">
        <v>6</v>
      </c>
      <c r="T66" s="213">
        <v>7</v>
      </c>
      <c r="U66" s="1246">
        <f t="shared" si="6"/>
        <v>0</v>
      </c>
      <c r="V66" s="1"/>
      <c r="W66" s="2256"/>
      <c r="X66" s="2256"/>
      <c r="Y66" s="2260" t="s">
        <v>893</v>
      </c>
      <c r="Z66" s="2261">
        <v>6.2727272727272725</v>
      </c>
      <c r="AA66" s="2262">
        <v>11</v>
      </c>
      <c r="AB66" s="212">
        <f t="shared" si="7"/>
        <v>0.27272727272727249</v>
      </c>
      <c r="AD66" s="1126"/>
      <c r="AE66" s="1126"/>
      <c r="AF66" s="1149" t="s">
        <v>577</v>
      </c>
      <c r="AG66" s="1150">
        <v>7</v>
      </c>
      <c r="AH66" s="1151">
        <v>1</v>
      </c>
      <c r="AI66" s="1152">
        <f t="shared" si="8"/>
        <v>1</v>
      </c>
      <c r="AK66" s="965"/>
      <c r="AL66" s="965"/>
      <c r="AM66" s="73"/>
      <c r="AN66" s="965" t="s">
        <v>105</v>
      </c>
      <c r="AO66" s="736">
        <v>5.8181818181818192</v>
      </c>
      <c r="AP66" s="735">
        <v>88</v>
      </c>
      <c r="AQ66" s="1042">
        <v>1.4105143314429143</v>
      </c>
      <c r="AR66" s="1189">
        <f>+(AP15*AR15+AP53*AR53)/AP66</f>
        <v>1.0795454545454544</v>
      </c>
      <c r="AT66" s="1132"/>
      <c r="AV66" s="1190" t="s">
        <v>105</v>
      </c>
      <c r="AW66" s="1191">
        <v>4.8611111111111107</v>
      </c>
      <c r="AX66" s="1189">
        <f>+(AY17*AX17+AY59*AX59)/AY66</f>
        <v>-1.1388888888888886</v>
      </c>
      <c r="AY66" s="1192">
        <v>36</v>
      </c>
      <c r="AZ66" s="1191">
        <v>6.6388888888888902</v>
      </c>
      <c r="BA66" s="1189">
        <f>+(AY17*BA17+AY59*BA59)/AY66</f>
        <v>0.63888888888888806</v>
      </c>
      <c r="BC66" s="121"/>
      <c r="BD66" s="121"/>
      <c r="BE66" s="121" t="s">
        <v>105</v>
      </c>
      <c r="BF66" s="121">
        <v>54</v>
      </c>
      <c r="BG66" s="1046">
        <v>7.0370370370370372</v>
      </c>
      <c r="BH66" s="74"/>
      <c r="BI66" s="1046">
        <f>+(BF17*BI17+BF59*BI59)/BF66</f>
        <v>1.037037037037037</v>
      </c>
      <c r="BJ66" s="74"/>
      <c r="BK66" s="74"/>
      <c r="BL66" s="74"/>
      <c r="BM66" s="74"/>
      <c r="BN66" s="74"/>
      <c r="BO66" s="74"/>
      <c r="BP66" s="74"/>
      <c r="BQ66" s="74"/>
      <c r="BR66" s="74"/>
    </row>
    <row r="67" spans="1:70" ht="15.75" thickBot="1">
      <c r="A67" s="74"/>
      <c r="B67" s="74"/>
      <c r="C67" s="74" t="s">
        <v>425</v>
      </c>
      <c r="D67" s="1046">
        <v>6</v>
      </c>
      <c r="E67" s="121">
        <v>2</v>
      </c>
      <c r="F67" s="1189">
        <f t="shared" si="5"/>
        <v>0</v>
      </c>
      <c r="G67" s="4677">
        <v>6</v>
      </c>
      <c r="I67" s="74"/>
      <c r="J67" s="74"/>
      <c r="K67" s="74" t="s">
        <v>426</v>
      </c>
      <c r="L67" s="1046">
        <v>6.56</v>
      </c>
      <c r="M67" s="121">
        <v>9</v>
      </c>
      <c r="N67" s="212">
        <f t="shared" si="0"/>
        <v>0.55999999999999961</v>
      </c>
      <c r="P67" s="163"/>
      <c r="Q67" s="163" t="s">
        <v>869</v>
      </c>
      <c r="R67" s="80" t="s">
        <v>870</v>
      </c>
      <c r="S67" s="212">
        <v>6.83</v>
      </c>
      <c r="T67" s="163">
        <v>18</v>
      </c>
      <c r="U67" s="212">
        <f t="shared" si="6"/>
        <v>0.83000000000000007</v>
      </c>
      <c r="V67" s="1"/>
      <c r="W67" s="2256"/>
      <c r="X67" s="2256" t="s">
        <v>64</v>
      </c>
      <c r="Y67" s="2257" t="s">
        <v>710</v>
      </c>
      <c r="Z67" s="2258">
        <v>6.3333333333333339</v>
      </c>
      <c r="AA67" s="2259">
        <v>6</v>
      </c>
      <c r="AB67" s="212">
        <f t="shared" si="7"/>
        <v>0.33333333333333393</v>
      </c>
      <c r="AD67" s="1126"/>
      <c r="AE67" s="1126"/>
      <c r="AF67" s="1173" t="s">
        <v>265</v>
      </c>
      <c r="AG67" s="1174">
        <v>6.2</v>
      </c>
      <c r="AH67" s="1175">
        <v>15</v>
      </c>
      <c r="AI67" s="1176">
        <f t="shared" si="8"/>
        <v>0.20000000000000018</v>
      </c>
      <c r="AK67" s="990"/>
      <c r="AL67" s="990"/>
      <c r="AM67" s="990"/>
      <c r="AN67" s="1071" t="s">
        <v>114</v>
      </c>
      <c r="AO67" s="745">
        <v>6.9778270509977807</v>
      </c>
      <c r="AP67" s="744">
        <v>451</v>
      </c>
      <c r="AQ67" s="1072">
        <v>2.0098525487706675</v>
      </c>
      <c r="AR67" s="1193">
        <f>+(AP63*AR63+AP64*AR64+AP65*AR65+AP66*AR66)/AP67</f>
        <v>1.266075388026608</v>
      </c>
      <c r="AT67" s="1132"/>
      <c r="AV67" s="1194" t="s">
        <v>75</v>
      </c>
      <c r="AW67" s="1195">
        <v>7.2499999999999982</v>
      </c>
      <c r="AX67" s="1196">
        <f>+(AY63*AX63+AY64*AX64+AY65*AX65+AY66*AX66)/AY67</f>
        <v>1.3720930232558139</v>
      </c>
      <c r="AY67" s="1197">
        <v>344</v>
      </c>
      <c r="AZ67" s="1195">
        <v>8.0290697674418627</v>
      </c>
      <c r="BA67" s="1196">
        <f>+(AY63*BA63+AY64*BA64+AY65*BA65+AY66*BA66)/AY67</f>
        <v>2.0676532769556029</v>
      </c>
      <c r="BC67" s="121"/>
      <c r="BD67" s="121"/>
      <c r="BE67" s="768" t="s">
        <v>75</v>
      </c>
      <c r="BF67" s="768">
        <v>465</v>
      </c>
      <c r="BG67" s="1081">
        <v>8.660215053763439</v>
      </c>
      <c r="BH67" s="821"/>
      <c r="BI67" s="1081">
        <f>+(BF63*BI63+BF64*BI64+BF65*BI65+BF66*BI66)/BF67</f>
        <v>2.6129032258064511</v>
      </c>
      <c r="BJ67" s="74"/>
      <c r="BK67" s="74"/>
      <c r="BL67" s="74"/>
      <c r="BM67" s="74"/>
      <c r="BN67" s="74"/>
      <c r="BO67" s="74"/>
      <c r="BP67" s="74"/>
      <c r="BQ67" s="74"/>
      <c r="BR67" s="74"/>
    </row>
    <row r="68" spans="1:70" ht="15.75" thickBot="1">
      <c r="A68" s="74"/>
      <c r="B68" s="74"/>
      <c r="C68" s="761" t="s">
        <v>574</v>
      </c>
      <c r="D68" s="1059">
        <v>6.03</v>
      </c>
      <c r="E68" s="4673">
        <v>29</v>
      </c>
      <c r="F68" s="1152">
        <f>+(E66*F66+E67*F67)/E68</f>
        <v>3.7241379310344859E-2</v>
      </c>
      <c r="G68" s="4677"/>
      <c r="I68" s="74"/>
      <c r="J68" s="74"/>
      <c r="K68" s="761" t="s">
        <v>574</v>
      </c>
      <c r="L68" s="1059">
        <v>6.16</v>
      </c>
      <c r="M68" s="729">
        <v>38</v>
      </c>
      <c r="N68" s="1152">
        <f>+(M65*N65+M66*N66+M67*N67)/M68</f>
        <v>0.15842105263157896</v>
      </c>
      <c r="P68" s="163"/>
      <c r="Q68" s="163"/>
      <c r="R68" s="1245" t="s">
        <v>576</v>
      </c>
      <c r="S68" s="1246">
        <v>6.83</v>
      </c>
      <c r="T68" s="213">
        <v>18</v>
      </c>
      <c r="U68" s="1246">
        <f t="shared" si="6"/>
        <v>0.83000000000000007</v>
      </c>
      <c r="V68" s="1"/>
      <c r="W68" s="2256"/>
      <c r="X68" s="2256"/>
      <c r="Y68" s="2260" t="s">
        <v>577</v>
      </c>
      <c r="Z68" s="2261">
        <v>6.3333333333333339</v>
      </c>
      <c r="AA68" s="2262">
        <v>6</v>
      </c>
      <c r="AB68" s="1246">
        <f t="shared" si="7"/>
        <v>0.33333333333333393</v>
      </c>
      <c r="AD68" s="1198"/>
      <c r="AE68" s="1198"/>
      <c r="AF68" s="1199" t="s">
        <v>114</v>
      </c>
      <c r="AG68" s="1200">
        <v>6.9348268839103895</v>
      </c>
      <c r="AH68" s="1201">
        <v>491</v>
      </c>
      <c r="AI68" s="1202">
        <f>+(AH20*AI20+AH39*AI39+AH60*AI60+AH67*AI67)/AH68</f>
        <v>1.2749490835030555</v>
      </c>
      <c r="AT68" s="1132"/>
      <c r="BC68" s="121"/>
      <c r="BD68" s="121"/>
      <c r="BE68" s="121"/>
      <c r="BF68" s="74"/>
      <c r="BG68" s="74"/>
      <c r="BH68" s="74"/>
      <c r="BI68" s="74"/>
      <c r="BJ68" s="1144">
        <f>AVERAGE(BI9,BI15,BI17)</f>
        <v>4.6617038875103383</v>
      </c>
      <c r="BK68" s="74"/>
      <c r="BL68" s="74"/>
      <c r="BM68" s="74"/>
      <c r="BN68" s="74"/>
      <c r="BO68" s="74"/>
      <c r="BP68" s="74"/>
      <c r="BQ68" s="74"/>
      <c r="BR68" s="74"/>
    </row>
    <row r="69" spans="1:70">
      <c r="A69" s="4703"/>
      <c r="B69" s="4703"/>
      <c r="C69" s="4704" t="s">
        <v>461</v>
      </c>
      <c r="D69" s="4705">
        <v>6.32</v>
      </c>
      <c r="E69" s="4706">
        <v>192</v>
      </c>
      <c r="F69" s="2631">
        <f>+(E57*F57+E65*F65+E68*F68)/E69</f>
        <v>0.34583333333333327</v>
      </c>
      <c r="G69" s="4677"/>
      <c r="I69" s="3287"/>
      <c r="J69" s="3287"/>
      <c r="K69" s="3288" t="s">
        <v>461</v>
      </c>
      <c r="L69" s="3289">
        <v>6.07</v>
      </c>
      <c r="M69" s="3290">
        <v>187</v>
      </c>
      <c r="N69" s="2631">
        <f>+(M54*N54+M64*N64+M68*N68)/M69</f>
        <v>7.4973262032085611E-2</v>
      </c>
      <c r="P69" s="163"/>
      <c r="Q69" s="163" t="s">
        <v>64</v>
      </c>
      <c r="R69" s="80" t="s">
        <v>710</v>
      </c>
      <c r="S69" s="212">
        <v>7</v>
      </c>
      <c r="T69" s="163">
        <v>9</v>
      </c>
      <c r="U69" s="212">
        <f t="shared" si="6"/>
        <v>1</v>
      </c>
      <c r="V69" s="1"/>
      <c r="W69" s="2256"/>
      <c r="X69" s="2256"/>
      <c r="Y69" s="2260" t="s">
        <v>265</v>
      </c>
      <c r="Z69" s="2261">
        <v>6.1923076923076925</v>
      </c>
      <c r="AA69" s="2262">
        <v>26</v>
      </c>
      <c r="AB69" s="2269">
        <f>+(AA64*AB64+AA66*AB66+AA68*AB68)/AA69</f>
        <v>0.19230769230769235</v>
      </c>
      <c r="AT69" s="1132"/>
      <c r="BC69" s="121"/>
      <c r="BD69" s="121"/>
      <c r="BE69" s="121"/>
      <c r="BF69" s="74"/>
      <c r="BG69" s="74"/>
      <c r="BH69" s="74"/>
      <c r="BI69" s="74"/>
      <c r="BJ69" s="1144">
        <f>AVERAGE(BI25,BI32,BI36)</f>
        <v>2.8593863077145745</v>
      </c>
      <c r="BK69" s="74"/>
      <c r="BL69" s="74"/>
      <c r="BM69" s="74"/>
      <c r="BN69" s="74"/>
      <c r="BO69" s="74"/>
      <c r="BP69" s="74"/>
      <c r="BQ69" s="74"/>
      <c r="BR69" s="74"/>
    </row>
    <row r="70" spans="1:70" ht="26.25" thickBot="1">
      <c r="A70" s="74" t="s">
        <v>59</v>
      </c>
      <c r="B70" s="74" t="s">
        <v>16</v>
      </c>
      <c r="C70" s="74" t="s">
        <v>709</v>
      </c>
      <c r="D70" s="1046">
        <v>6.67</v>
      </c>
      <c r="E70" s="121">
        <v>9</v>
      </c>
      <c r="F70" s="1189">
        <f t="shared" si="5"/>
        <v>0.66999999999999993</v>
      </c>
      <c r="G70" s="4677">
        <v>6</v>
      </c>
      <c r="I70" s="108" t="s">
        <v>59</v>
      </c>
      <c r="J70" s="108" t="s">
        <v>16</v>
      </c>
      <c r="K70" s="108" t="s">
        <v>709</v>
      </c>
      <c r="L70" s="1189">
        <v>6.75</v>
      </c>
      <c r="M70" s="150">
        <v>12</v>
      </c>
      <c r="N70" s="212">
        <f t="shared" si="0"/>
        <v>0.75</v>
      </c>
      <c r="P70" s="163"/>
      <c r="Q70" s="163"/>
      <c r="R70" s="1245" t="s">
        <v>577</v>
      </c>
      <c r="S70" s="1246">
        <v>7</v>
      </c>
      <c r="T70" s="213">
        <v>9</v>
      </c>
      <c r="U70" s="1246">
        <f t="shared" si="6"/>
        <v>1</v>
      </c>
      <c r="V70" s="1"/>
      <c r="W70" s="2273"/>
      <c r="X70" s="2273"/>
      <c r="Y70" s="2274" t="s">
        <v>114</v>
      </c>
      <c r="Z70" s="2275">
        <v>6.8130841121495243</v>
      </c>
      <c r="AA70" s="2276">
        <v>428</v>
      </c>
      <c r="AB70" s="1202">
        <f>+(AA22*AB22+AA41*AB41+AA62*AB62+AA69*AB69)/AA70</f>
        <v>0.85280373831775702</v>
      </c>
      <c r="AT70" s="1132"/>
      <c r="AV70" s="1031" t="s">
        <v>0</v>
      </c>
      <c r="AW70" s="1031" t="s">
        <v>1422</v>
      </c>
      <c r="AX70" s="1031" t="s">
        <v>1356</v>
      </c>
      <c r="AY70" s="1122" t="s">
        <v>1420</v>
      </c>
      <c r="AZ70" s="1031" t="s">
        <v>1423</v>
      </c>
      <c r="BA70" s="1031" t="s">
        <v>1356</v>
      </c>
      <c r="BC70" s="121"/>
      <c r="BD70" s="121"/>
      <c r="BE70" s="768" t="s">
        <v>0</v>
      </c>
      <c r="BF70" s="1033" t="s">
        <v>1420</v>
      </c>
      <c r="BG70" s="88" t="s">
        <v>1424</v>
      </c>
      <c r="BH70" s="88" t="s">
        <v>1425</v>
      </c>
      <c r="BI70" s="88" t="s">
        <v>1356</v>
      </c>
      <c r="BJ70" s="1144">
        <f>AVERAGE(BI47,BI55,BI59)</f>
        <v>0.96622046668129613</v>
      </c>
      <c r="BK70" s="74"/>
      <c r="BL70" s="74"/>
      <c r="BM70" s="74"/>
      <c r="BN70" s="74"/>
      <c r="BO70" s="74"/>
      <c r="BP70" s="74"/>
      <c r="BQ70" s="74"/>
      <c r="BR70" s="74"/>
    </row>
    <row r="71" spans="1:70">
      <c r="A71" s="74"/>
      <c r="B71" s="74"/>
      <c r="C71" s="761" t="s">
        <v>573</v>
      </c>
      <c r="D71" s="1059">
        <v>6.67</v>
      </c>
      <c r="E71" s="4673">
        <v>9</v>
      </c>
      <c r="F71" s="1189">
        <f t="shared" ref="F71:F75" si="19">D71-G71</f>
        <v>0.66999999999999993</v>
      </c>
      <c r="G71" s="4677">
        <v>6</v>
      </c>
      <c r="I71" s="74"/>
      <c r="J71" s="74"/>
      <c r="K71" s="761" t="s">
        <v>573</v>
      </c>
      <c r="L71" s="1059">
        <v>6.75</v>
      </c>
      <c r="M71" s="729">
        <v>12</v>
      </c>
      <c r="N71" s="212">
        <f t="shared" ref="N71:N75" si="20">L71-6</f>
        <v>0.75</v>
      </c>
      <c r="P71" s="163"/>
      <c r="Q71" s="163"/>
      <c r="R71" s="2627" t="s">
        <v>265</v>
      </c>
      <c r="S71" s="2628">
        <v>6.71</v>
      </c>
      <c r="T71" s="2629">
        <v>34</v>
      </c>
      <c r="U71" s="2269">
        <f>+(T66*U66+T68*U68+T70*U70)/T71</f>
        <v>0.70411764705882351</v>
      </c>
      <c r="V71" s="1"/>
      <c r="W71" s="2277"/>
      <c r="X71" s="2277"/>
      <c r="Y71" s="2278"/>
      <c r="Z71" s="2279"/>
      <c r="AA71" s="2280"/>
      <c r="AB71" s="212"/>
      <c r="AT71" s="1132"/>
      <c r="AV71" s="1203" t="s">
        <v>107</v>
      </c>
      <c r="AW71" s="1204">
        <v>6.3116883116883109</v>
      </c>
      <c r="AX71" s="1204">
        <f>+(AY9*AX9+AY15*AX15+AY17*AX17)/AY71</f>
        <v>0.42857142857142866</v>
      </c>
      <c r="AY71" s="1205">
        <v>77</v>
      </c>
      <c r="AZ71" s="1204">
        <v>8.1298701298701221</v>
      </c>
      <c r="BA71" s="1204">
        <f>+(AY9*BA9+AY15*BA15+AY17*BA17)/AY71</f>
        <v>2.2467532467532472</v>
      </c>
      <c r="BC71" s="121"/>
      <c r="BD71" s="121"/>
      <c r="BE71" s="121" t="s">
        <v>3</v>
      </c>
      <c r="BF71" s="121">
        <v>81</v>
      </c>
      <c r="BG71" s="1046">
        <v>10.925925925925927</v>
      </c>
      <c r="BH71" s="761"/>
      <c r="BI71" s="1046">
        <f>+(BF9*BI9+BF15*BI15+BF17*BI17)/BF71</f>
        <v>5.0370370370370363</v>
      </c>
      <c r="BJ71" s="74"/>
      <c r="BK71" s="74"/>
      <c r="BL71" s="74"/>
      <c r="BM71" s="74"/>
      <c r="BN71" s="74"/>
      <c r="BO71" s="74"/>
      <c r="BP71" s="74"/>
      <c r="BQ71" s="74"/>
      <c r="BR71" s="74"/>
    </row>
    <row r="72" spans="1:70" ht="15.75" thickBot="1">
      <c r="A72" s="74"/>
      <c r="B72" s="74"/>
      <c r="C72" s="761"/>
      <c r="D72" s="1059"/>
      <c r="E72" s="4673"/>
      <c r="F72" s="1189"/>
      <c r="G72" s="4677"/>
      <c r="I72" s="74"/>
      <c r="J72" s="74" t="s">
        <v>61</v>
      </c>
      <c r="K72" s="74" t="s">
        <v>870</v>
      </c>
      <c r="L72" s="1046">
        <v>7</v>
      </c>
      <c r="M72" s="121">
        <v>7</v>
      </c>
      <c r="N72" s="212">
        <f t="shared" si="20"/>
        <v>1</v>
      </c>
      <c r="P72" s="1504"/>
      <c r="Q72" s="1504"/>
      <c r="R72" s="1218" t="s">
        <v>114</v>
      </c>
      <c r="S72" s="1269">
        <v>6.96</v>
      </c>
      <c r="T72" s="733">
        <v>520</v>
      </c>
      <c r="U72" s="1202">
        <v>0.9862884615384615</v>
      </c>
      <c r="V72" s="1"/>
      <c r="W72" s="2277"/>
      <c r="X72" s="2277"/>
      <c r="Y72" s="2278"/>
      <c r="Z72" s="2279"/>
      <c r="AA72" s="2280"/>
      <c r="AB72" s="212"/>
      <c r="AV72" s="1133" t="s">
        <v>111</v>
      </c>
      <c r="AW72" s="1134">
        <v>8.3375796178343879</v>
      </c>
      <c r="AX72" s="1134">
        <f>+(AY25*AX25+AY32*AX32+AY36*AX36)/AY72</f>
        <v>2.9108280254777079</v>
      </c>
      <c r="AY72" s="1135">
        <v>157</v>
      </c>
      <c r="AZ72" s="1134">
        <v>8.8598726114649704</v>
      </c>
      <c r="BA72" s="1134">
        <f>+(AY25*BA25+AY32*BA32+AY36*BA36)/AY72</f>
        <v>2.9571511291256516</v>
      </c>
      <c r="BC72" s="121"/>
      <c r="BD72" s="121"/>
      <c r="BE72" s="121" t="s">
        <v>25</v>
      </c>
      <c r="BF72" s="121">
        <v>194</v>
      </c>
      <c r="BG72" s="1046">
        <v>8.86082474226804</v>
      </c>
      <c r="BH72" s="761"/>
      <c r="BI72" s="1046">
        <f>+(BF25*BI25+BF32*BI32+BF36*BI36)/BF72</f>
        <v>2.86082474226804</v>
      </c>
      <c r="BJ72" s="1144">
        <f>AVERAGE(BI71:BI73)</f>
        <v>3.0747258562595867</v>
      </c>
      <c r="BK72" s="74"/>
      <c r="BL72" s="74"/>
      <c r="BM72" s="74"/>
      <c r="BN72" s="74"/>
      <c r="BO72" s="74"/>
      <c r="BP72" s="74"/>
      <c r="BQ72" s="74"/>
      <c r="BR72" s="74"/>
    </row>
    <row r="73" spans="1:70" ht="15.75" thickBot="1">
      <c r="A73" s="74"/>
      <c r="B73" s="74"/>
      <c r="C73" s="761"/>
      <c r="D73" s="1059"/>
      <c r="E73" s="4673"/>
      <c r="F73" s="1189"/>
      <c r="G73" s="4677"/>
      <c r="I73" s="74"/>
      <c r="J73" s="74"/>
      <c r="K73" s="761" t="s">
        <v>576</v>
      </c>
      <c r="L73" s="1059">
        <v>7</v>
      </c>
      <c r="M73" s="729">
        <v>7</v>
      </c>
      <c r="N73" s="212">
        <f t="shared" si="20"/>
        <v>1</v>
      </c>
      <c r="P73" s="80"/>
      <c r="Q73" s="80"/>
      <c r="R73" s="1245"/>
      <c r="S73" s="1246"/>
      <c r="T73" s="213"/>
      <c r="U73" s="212"/>
      <c r="V73" s="1"/>
      <c r="W73" s="2277"/>
      <c r="X73" s="2277"/>
      <c r="Y73" s="2253" t="s">
        <v>1</v>
      </c>
      <c r="Z73" s="2253" t="s">
        <v>1943</v>
      </c>
      <c r="AA73" s="2253" t="s">
        <v>1420</v>
      </c>
      <c r="AB73" s="1120" t="s">
        <v>1356</v>
      </c>
      <c r="AV73" s="1133" t="s">
        <v>461</v>
      </c>
      <c r="AW73" s="1134">
        <v>6.3545454545454554</v>
      </c>
      <c r="AX73" s="1134">
        <f>+(AY48*AX48+AY55*AX55+AY59*AX59)/AY73</f>
        <v>0.49090909090909113</v>
      </c>
      <c r="AY73" s="1135">
        <v>110</v>
      </c>
      <c r="AZ73" s="1134">
        <v>6.7727272727272725</v>
      </c>
      <c r="BA73" s="1134">
        <f>+(AY48*BA48+AY55*BA55+AY59*BA59)/AY73</f>
        <v>0.67272727272727295</v>
      </c>
      <c r="BC73" s="121"/>
      <c r="BD73" s="121"/>
      <c r="BE73" s="121" t="s">
        <v>48</v>
      </c>
      <c r="BF73" s="121">
        <v>190</v>
      </c>
      <c r="BG73" s="1046">
        <v>7.4894736842105267</v>
      </c>
      <c r="BH73" s="761"/>
      <c r="BI73" s="1046">
        <f>+(BF47*BI47+BF55*BI55+BF59*BI59)/BF73</f>
        <v>1.3263157894736841</v>
      </c>
      <c r="BJ73" s="74"/>
      <c r="BK73" s="74"/>
      <c r="BL73" s="74"/>
      <c r="BM73" s="74"/>
      <c r="BN73" s="74"/>
      <c r="BO73" s="74"/>
      <c r="BP73" s="74"/>
      <c r="BQ73" s="74"/>
      <c r="BR73" s="74"/>
    </row>
    <row r="74" spans="1:70" ht="15.75" thickBot="1">
      <c r="A74" s="74"/>
      <c r="B74" s="74" t="s">
        <v>64</v>
      </c>
      <c r="C74" s="74" t="s">
        <v>710</v>
      </c>
      <c r="D74" s="1046">
        <v>7.67</v>
      </c>
      <c r="E74" s="121">
        <v>6</v>
      </c>
      <c r="F74" s="1189">
        <f t="shared" si="19"/>
        <v>1.67</v>
      </c>
      <c r="G74" s="4677">
        <v>6</v>
      </c>
      <c r="I74" s="74"/>
      <c r="J74" s="74" t="s">
        <v>64</v>
      </c>
      <c r="K74" s="74" t="s">
        <v>710</v>
      </c>
      <c r="L74" s="1046">
        <v>6.86</v>
      </c>
      <c r="M74" s="121">
        <v>7</v>
      </c>
      <c r="N74" s="212">
        <f t="shared" si="20"/>
        <v>0.86000000000000032</v>
      </c>
      <c r="P74" s="80"/>
      <c r="Q74" s="80"/>
      <c r="R74" s="1245"/>
      <c r="S74" s="1246"/>
      <c r="T74" s="213"/>
      <c r="U74" s="212"/>
      <c r="V74" s="1"/>
      <c r="W74" s="2277"/>
      <c r="Y74" s="2256" t="s">
        <v>4</v>
      </c>
      <c r="Z74" s="2281">
        <v>7.9677419354838692</v>
      </c>
      <c r="AA74" s="2282">
        <v>93</v>
      </c>
      <c r="AB74" s="1189">
        <f>+(AA11*AB11+AA30*AB30)/AA74</f>
        <v>2.064516129032258</v>
      </c>
      <c r="BC74" s="121"/>
      <c r="BD74" s="121"/>
      <c r="BE74" s="768" t="s">
        <v>75</v>
      </c>
      <c r="BF74" s="768">
        <v>465</v>
      </c>
      <c r="BG74" s="1081">
        <v>8.6602150537634408</v>
      </c>
      <c r="BH74" s="821"/>
      <c r="BI74" s="1110">
        <f>+(BF71*BI71+BF72*BI72+BF73*BI73)/BF74</f>
        <v>2.6129032258064511</v>
      </c>
      <c r="BJ74" s="74"/>
      <c r="BK74" s="74"/>
      <c r="BL74" s="74"/>
      <c r="BM74" s="74"/>
      <c r="BN74" s="74"/>
      <c r="BO74" s="74"/>
      <c r="BP74" s="74"/>
      <c r="BQ74" s="74"/>
      <c r="BR74" s="74"/>
    </row>
    <row r="75" spans="1:70" ht="15.75" thickBot="1">
      <c r="A75" s="74"/>
      <c r="B75" s="74"/>
      <c r="C75" s="4698" t="s">
        <v>577</v>
      </c>
      <c r="D75" s="4699">
        <v>7.67</v>
      </c>
      <c r="E75" s="4689">
        <v>6</v>
      </c>
      <c r="F75" s="1189">
        <f t="shared" si="19"/>
        <v>1.67</v>
      </c>
      <c r="G75" s="4677">
        <v>6</v>
      </c>
      <c r="I75" s="74"/>
      <c r="J75" s="74"/>
      <c r="K75" s="761" t="s">
        <v>577</v>
      </c>
      <c r="L75" s="1059">
        <v>6.86</v>
      </c>
      <c r="M75" s="729">
        <v>7</v>
      </c>
      <c r="N75" s="212">
        <f t="shared" si="20"/>
        <v>0.86000000000000032</v>
      </c>
      <c r="P75" s="80"/>
      <c r="Q75" s="80"/>
      <c r="R75" s="733" t="s">
        <v>1</v>
      </c>
      <c r="S75" s="733" t="s">
        <v>2019</v>
      </c>
      <c r="T75" s="733" t="s">
        <v>1420</v>
      </c>
      <c r="U75" s="1120" t="s">
        <v>1356</v>
      </c>
      <c r="V75" s="1"/>
      <c r="W75" s="2277"/>
      <c r="Y75" s="2256" t="s">
        <v>16</v>
      </c>
      <c r="Z75" s="2281">
        <v>6.3100775193798411</v>
      </c>
      <c r="AA75" s="2282">
        <v>129</v>
      </c>
      <c r="AB75" s="1189">
        <f>+(AA17*AB17+AA35*AB35+AA50*AB50+AA64*AB64)/AA75</f>
        <v>0.3100775193798449</v>
      </c>
      <c r="AV75" s="1194" t="s">
        <v>75</v>
      </c>
      <c r="AW75" s="1195">
        <v>7.2499999999999982</v>
      </c>
      <c r="AX75" s="1196">
        <f>+(AY71*AX71+AY72*AX72+AY73*AX73+AY74*AX74)/AY75</f>
        <v>1.5813953488372099</v>
      </c>
      <c r="AY75" s="1197">
        <v>344</v>
      </c>
      <c r="AZ75" s="1195">
        <v>8.0290697674418627</v>
      </c>
      <c r="BA75" s="1196">
        <f>+(AY71*BA71+AY72*BA72+AY73*BA73)/AY75</f>
        <v>2.0676532769556029</v>
      </c>
      <c r="BC75" s="121"/>
      <c r="BD75" s="121"/>
      <c r="BE75" s="1206" t="s">
        <v>1389</v>
      </c>
      <c r="BF75" s="74"/>
      <c r="BG75" s="74"/>
      <c r="BH75" s="74"/>
      <c r="BI75" s="74"/>
      <c r="BJ75" s="74"/>
      <c r="BK75" s="74"/>
      <c r="BL75" s="74"/>
      <c r="BM75" s="74"/>
      <c r="BN75" s="74"/>
      <c r="BO75" s="74"/>
      <c r="BP75" s="74"/>
      <c r="BQ75" s="74"/>
      <c r="BR75" s="74"/>
    </row>
    <row r="76" spans="1:70">
      <c r="A76" s="4703"/>
      <c r="B76" s="4703"/>
      <c r="C76" s="4704" t="s">
        <v>265</v>
      </c>
      <c r="D76" s="4705">
        <v>7.07</v>
      </c>
      <c r="E76" s="4706">
        <v>15</v>
      </c>
      <c r="F76" s="2269">
        <f>+(E71*F71+E73*F73+E75*F75)/E76</f>
        <v>1.0699999999999998</v>
      </c>
      <c r="G76" s="4677"/>
      <c r="I76" s="3287"/>
      <c r="J76" s="3287"/>
      <c r="K76" s="3288" t="s">
        <v>265</v>
      </c>
      <c r="L76" s="3289">
        <v>6.85</v>
      </c>
      <c r="M76" s="3290">
        <v>26</v>
      </c>
      <c r="N76" s="2269">
        <f>+(M71*N71+M73*N73+M75*N75)/M76</f>
        <v>0.846923076923077</v>
      </c>
      <c r="P76" s="80"/>
      <c r="Q76" s="80"/>
      <c r="R76" s="163" t="s">
        <v>4</v>
      </c>
      <c r="S76" s="212">
        <v>8.14</v>
      </c>
      <c r="T76" s="163">
        <v>114</v>
      </c>
      <c r="U76" s="1189">
        <f>+(T10*U10+T31*U31)/T76</f>
        <v>2.2102631578947367</v>
      </c>
      <c r="V76" s="1"/>
      <c r="W76" s="2277"/>
      <c r="Y76" s="2256" t="s">
        <v>41</v>
      </c>
      <c r="Z76" s="2281">
        <v>6.9833333333333343</v>
      </c>
      <c r="AA76" s="2282">
        <v>120</v>
      </c>
      <c r="AB76" s="1189">
        <f>+(AA40*AB40+AA57*AB57)/AA76</f>
        <v>0.98333333333333306</v>
      </c>
      <c r="BC76" s="121"/>
      <c r="BD76" s="121"/>
      <c r="BE76" s="74"/>
      <c r="BF76" s="74"/>
      <c r="BG76" s="74"/>
      <c r="BH76" s="74"/>
      <c r="BI76" s="74"/>
      <c r="BJ76" s="74"/>
      <c r="BK76" s="74"/>
      <c r="BL76" s="74"/>
      <c r="BM76" s="74"/>
      <c r="BN76" s="74"/>
      <c r="BO76" s="74"/>
      <c r="BP76" s="74"/>
      <c r="BQ76" s="74"/>
      <c r="BR76" s="74"/>
    </row>
    <row r="77" spans="1:70" ht="28.5" customHeight="1" thickBot="1">
      <c r="A77" s="821"/>
      <c r="B77" s="821"/>
      <c r="C77" s="1033" t="s">
        <v>114</v>
      </c>
      <c r="D77" s="1178">
        <v>7.11</v>
      </c>
      <c r="E77" s="1033">
        <v>515</v>
      </c>
      <c r="F77" s="3314">
        <f>+(E26*F26+E46*F46+E69*F69+E76*F76)/E77</f>
        <v>1.1682912621359223</v>
      </c>
      <c r="G77" s="4677"/>
      <c r="I77" s="820"/>
      <c r="J77" s="820"/>
      <c r="K77" s="3303" t="s">
        <v>114</v>
      </c>
      <c r="L77" s="1178">
        <v>6.89</v>
      </c>
      <c r="M77" s="1033">
        <v>507</v>
      </c>
      <c r="N77" s="3314">
        <f>+(M26*N26+M46*N46+M69*N69+M76*N76)/M77</f>
        <v>0.89132149901380664</v>
      </c>
      <c r="P77" s="80"/>
      <c r="Q77" s="80"/>
      <c r="R77" s="163" t="s">
        <v>16</v>
      </c>
      <c r="S77" s="212">
        <v>6.31</v>
      </c>
      <c r="T77" s="163">
        <v>212</v>
      </c>
      <c r="U77" s="1189">
        <f>+(T16*U16+T37*U37+T52*U52+T66*U66)/T77</f>
        <v>0.31108490566037739</v>
      </c>
      <c r="V77" s="1"/>
      <c r="W77" s="2277"/>
      <c r="Y77" s="2256" t="s">
        <v>105</v>
      </c>
      <c r="Z77" s="2281">
        <v>6.0289855072463769</v>
      </c>
      <c r="AA77" s="2282">
        <v>69</v>
      </c>
      <c r="AB77" s="1189">
        <f>+(AA21*AB21+AA61*AB61)/AA77</f>
        <v>0.68115942028985499</v>
      </c>
      <c r="BC77" s="4959" t="s">
        <v>1430</v>
      </c>
      <c r="BD77" s="4959"/>
      <c r="BE77" s="4959"/>
      <c r="BF77" s="4959"/>
      <c r="BG77" s="4959"/>
      <c r="BH77" s="4959"/>
      <c r="BI77" s="4959"/>
      <c r="BJ77" s="74"/>
      <c r="BK77" s="74"/>
      <c r="BL77" s="74"/>
      <c r="BM77" s="74"/>
      <c r="BN77" s="74"/>
      <c r="BO77" s="74"/>
      <c r="BP77" s="74"/>
      <c r="BQ77" s="74"/>
      <c r="BR77" s="74"/>
    </row>
    <row r="78" spans="1:70">
      <c r="P78" s="80"/>
      <c r="Q78" s="80"/>
      <c r="R78" s="163" t="s">
        <v>41</v>
      </c>
      <c r="S78" s="212">
        <v>7.22</v>
      </c>
      <c r="T78" s="163">
        <v>127</v>
      </c>
      <c r="U78" s="1189">
        <f>+(T42*U42+T60*U60)/T78</f>
        <v>1.2206299212598426</v>
      </c>
      <c r="V78" s="1"/>
      <c r="W78" s="2277"/>
      <c r="Y78" s="2256" t="s">
        <v>869</v>
      </c>
      <c r="Z78" s="2281">
        <v>6.2727272727272725</v>
      </c>
      <c r="AA78" s="2282">
        <v>11</v>
      </c>
      <c r="AB78" s="212">
        <f t="shared" ref="AB78:AB79" si="21">Z78-6</f>
        <v>0.27272727272727249</v>
      </c>
      <c r="BC78" s="121"/>
      <c r="BD78" s="121"/>
      <c r="BE78" s="74"/>
      <c r="BF78" s="74"/>
      <c r="BG78" s="74"/>
      <c r="BH78" s="74"/>
      <c r="BI78" s="74"/>
      <c r="BJ78" s="74"/>
      <c r="BK78" s="74"/>
      <c r="BL78" s="74"/>
      <c r="BM78" s="74"/>
      <c r="BN78" s="74"/>
      <c r="BO78" s="74"/>
      <c r="BP78" s="74"/>
      <c r="BQ78" s="74"/>
      <c r="BR78" s="74"/>
    </row>
    <row r="79" spans="1:70" ht="26.25" customHeight="1">
      <c r="P79" s="80"/>
      <c r="Q79" s="80"/>
      <c r="R79" s="163" t="s">
        <v>21</v>
      </c>
      <c r="S79" s="212">
        <v>6.23</v>
      </c>
      <c r="T79" s="163">
        <v>40</v>
      </c>
      <c r="U79" s="1189">
        <f>+(T22*U22+T63*U63)/T79</f>
        <v>0.75074999999999981</v>
      </c>
      <c r="V79" s="1"/>
      <c r="W79" s="2277"/>
      <c r="Y79" s="2256" t="s">
        <v>64</v>
      </c>
      <c r="Z79" s="2281">
        <v>6.3333333333333339</v>
      </c>
      <c r="AA79" s="2282">
        <v>6</v>
      </c>
      <c r="AB79" s="1246">
        <f t="shared" si="21"/>
        <v>0.33333333333333393</v>
      </c>
      <c r="BC79" s="4959" t="s">
        <v>1431</v>
      </c>
      <c r="BD79" s="4959"/>
      <c r="BE79" s="4959"/>
      <c r="BF79" s="4959"/>
      <c r="BG79" s="4959"/>
      <c r="BH79" s="4959"/>
      <c r="BI79" s="4959"/>
      <c r="BJ79" s="74"/>
      <c r="BK79" s="74"/>
      <c r="BL79" s="74"/>
      <c r="BM79" s="74"/>
      <c r="BN79" s="74"/>
      <c r="BO79" s="74"/>
      <c r="BP79" s="74"/>
      <c r="BQ79" s="74"/>
      <c r="BR79" s="74"/>
    </row>
    <row r="80" spans="1:70" ht="15.75" thickBot="1">
      <c r="P80" s="80"/>
      <c r="Q80" s="80"/>
      <c r="R80" s="163" t="s">
        <v>61</v>
      </c>
      <c r="S80" s="212">
        <v>6.83</v>
      </c>
      <c r="T80" s="163">
        <v>18</v>
      </c>
      <c r="U80" s="212">
        <f t="shared" ref="U80:U81" si="22">S80-6</f>
        <v>0.83000000000000007</v>
      </c>
      <c r="V80" s="1"/>
      <c r="W80" s="2277"/>
      <c r="X80" s="2277"/>
      <c r="Y80" s="2253" t="s">
        <v>114</v>
      </c>
      <c r="Z80" s="2283">
        <v>6.8130841121495243</v>
      </c>
      <c r="AA80" s="2284">
        <v>428</v>
      </c>
      <c r="AB80" s="1202">
        <v>0.85280373831775702</v>
      </c>
      <c r="BJ80" s="74"/>
      <c r="BK80" s="74"/>
      <c r="BL80" s="74"/>
      <c r="BM80" s="74"/>
      <c r="BN80" s="74"/>
      <c r="BO80" s="74"/>
      <c r="BP80" s="74"/>
      <c r="BQ80" s="74"/>
      <c r="BR80" s="74"/>
    </row>
    <row r="81" spans="16:63">
      <c r="P81" s="80"/>
      <c r="Q81" s="80"/>
      <c r="R81" s="163" t="s">
        <v>64</v>
      </c>
      <c r="S81" s="212">
        <v>7</v>
      </c>
      <c r="T81" s="163">
        <v>9</v>
      </c>
      <c r="U81" s="1246">
        <f t="shared" si="22"/>
        <v>1</v>
      </c>
      <c r="V81" s="1"/>
      <c r="BJ81" s="74"/>
      <c r="BK81" s="74"/>
    </row>
    <row r="82" spans="16:63" ht="15.75" thickBot="1">
      <c r="P82" s="80"/>
      <c r="Q82" s="80"/>
      <c r="R82" s="733" t="s">
        <v>114</v>
      </c>
      <c r="S82" s="1269">
        <v>6.96</v>
      </c>
      <c r="T82" s="733">
        <v>520</v>
      </c>
      <c r="U82" s="1202">
        <v>0.9862884615384615</v>
      </c>
      <c r="V82" s="1"/>
    </row>
  </sheetData>
  <mergeCells count="13">
    <mergeCell ref="A2:C2"/>
    <mergeCell ref="I2:N2"/>
    <mergeCell ref="BC2:BI2"/>
    <mergeCell ref="S4:U4"/>
    <mergeCell ref="Z4:AB4"/>
    <mergeCell ref="AD2:AI2"/>
    <mergeCell ref="BO4:BR4"/>
    <mergeCell ref="BC77:BI77"/>
    <mergeCell ref="BC79:BI79"/>
    <mergeCell ref="AG4:AI4"/>
    <mergeCell ref="AO4:AR4"/>
    <mergeCell ref="AW4:BA4"/>
    <mergeCell ref="BF4:BI4"/>
  </mergeCells>
  <pageMargins left="0.7" right="0.7" top="0.75" bottom="0.75" header="0.3" footer="0.3"/>
  <pageSetup paperSize="9" orientation="portrait" r:id="rId1"/>
  <ignoredErrors>
    <ignoredError sqref="U52:U60 U7:U10 U31:U37 N12:N18 N25 N34:N40 N54:N64 F12:F19 F34:F40 F57:F65" formula="1"/>
  </ignoredErrors>
</worksheet>
</file>

<file path=xl/worksheets/sheet19.xml><?xml version="1.0" encoding="utf-8"?>
<worksheet xmlns="http://schemas.openxmlformats.org/spreadsheetml/2006/main" xmlns:r="http://schemas.openxmlformats.org/officeDocument/2006/relationships">
  <sheetPr>
    <tabColor theme="9" tint="-0.499984740745262"/>
  </sheetPr>
  <dimension ref="A1:L64"/>
  <sheetViews>
    <sheetView workbookViewId="0">
      <pane ySplit="4" topLeftCell="A5" activePane="bottomLeft" state="frozen"/>
      <selection activeCell="L69" sqref="L69"/>
      <selection pane="bottomLeft" activeCell="I52" sqref="I52"/>
    </sheetView>
  </sheetViews>
  <sheetFormatPr baseColWidth="10" defaultRowHeight="14.25"/>
  <cols>
    <col min="1" max="1" width="2.7109375" style="42" customWidth="1"/>
    <col min="2" max="2" width="11.42578125" style="42"/>
    <col min="3" max="3" width="52.28515625" style="42" bestFit="1" customWidth="1"/>
    <col min="4" max="16384" width="11.42578125" style="42"/>
  </cols>
  <sheetData>
    <row r="1" spans="1:12">
      <c r="B1" s="730"/>
      <c r="C1" s="1404"/>
      <c r="D1" s="719"/>
      <c r="E1" s="1404"/>
      <c r="F1" s="1404"/>
      <c r="G1" s="1404"/>
      <c r="H1" s="1404"/>
    </row>
    <row r="2" spans="1:12" ht="15">
      <c r="B2" s="1316" t="s">
        <v>3954</v>
      </c>
      <c r="C2" s="718"/>
      <c r="D2" s="719"/>
    </row>
    <row r="3" spans="1:12" ht="15">
      <c r="A3" s="1316"/>
      <c r="B3" s="719"/>
      <c r="C3" s="718"/>
      <c r="D3" s="719"/>
    </row>
    <row r="4" spans="1:12" ht="24">
      <c r="A4" s="1316"/>
      <c r="B4" s="4095" t="s">
        <v>2763</v>
      </c>
      <c r="C4" s="1405" t="s">
        <v>2</v>
      </c>
      <c r="D4" s="1406">
        <v>2010</v>
      </c>
      <c r="E4" s="1362">
        <v>2011</v>
      </c>
      <c r="F4" s="1362">
        <v>2012</v>
      </c>
      <c r="G4" s="1362">
        <v>2013</v>
      </c>
      <c r="H4" s="1362">
        <v>2014</v>
      </c>
      <c r="I4" s="1362">
        <v>2015</v>
      </c>
      <c r="J4" s="1362">
        <v>2016</v>
      </c>
      <c r="K4" s="1362">
        <v>2017</v>
      </c>
      <c r="L4" s="1362">
        <v>2018</v>
      </c>
    </row>
    <row r="5" spans="1:12" ht="15" customHeight="1">
      <c r="A5" s="1316"/>
      <c r="B5" s="4980" t="s">
        <v>4</v>
      </c>
      <c r="C5" s="1414" t="s">
        <v>116</v>
      </c>
      <c r="D5" s="1415">
        <v>5</v>
      </c>
      <c r="E5" s="1292">
        <v>7.6</v>
      </c>
      <c r="F5" s="1416">
        <v>7</v>
      </c>
      <c r="G5" s="1394">
        <v>5.2727272727272716</v>
      </c>
      <c r="H5" s="1292">
        <v>3.1999999999999993</v>
      </c>
      <c r="I5" s="1292">
        <v>3.3333333333333339</v>
      </c>
      <c r="J5" s="1292">
        <v>5.57</v>
      </c>
      <c r="K5" s="1292">
        <v>0</v>
      </c>
      <c r="L5" s="1292"/>
    </row>
    <row r="6" spans="1:12" ht="15" customHeight="1">
      <c r="A6" s="1316"/>
      <c r="B6" s="4982"/>
      <c r="C6" s="1392" t="s">
        <v>117</v>
      </c>
      <c r="D6" s="1408">
        <v>5</v>
      </c>
      <c r="E6" s="1293">
        <v>9</v>
      </c>
      <c r="F6" s="1409">
        <v>4</v>
      </c>
      <c r="G6" s="1388">
        <v>12.5</v>
      </c>
      <c r="H6" s="1293"/>
      <c r="I6" s="1293">
        <v>9</v>
      </c>
      <c r="J6" s="1293"/>
      <c r="K6" s="1293">
        <v>10</v>
      </c>
      <c r="L6" s="1293"/>
    </row>
    <row r="7" spans="1:12" ht="15" customHeight="1">
      <c r="A7" s="1316"/>
      <c r="B7" s="4983"/>
      <c r="C7" s="3332" t="s">
        <v>708</v>
      </c>
      <c r="D7" s="2644"/>
      <c r="E7" s="2636"/>
      <c r="F7" s="2645"/>
      <c r="G7" s="2635"/>
      <c r="H7" s="2636"/>
      <c r="I7" s="2636"/>
      <c r="J7" s="2636"/>
      <c r="K7" s="2636">
        <v>-3</v>
      </c>
      <c r="L7" s="2636">
        <v>-1</v>
      </c>
    </row>
    <row r="8" spans="1:12" ht="15" customHeight="1">
      <c r="A8" s="1316"/>
      <c r="B8" s="4983"/>
      <c r="C8" s="3332" t="s">
        <v>707</v>
      </c>
      <c r="D8" s="2644"/>
      <c r="E8" s="2636"/>
      <c r="F8" s="2645"/>
      <c r="G8" s="2635"/>
      <c r="H8" s="2636"/>
      <c r="I8" s="2636"/>
      <c r="J8" s="2636"/>
      <c r="K8" s="2636">
        <v>3</v>
      </c>
      <c r="L8" s="2636">
        <v>2</v>
      </c>
    </row>
    <row r="9" spans="1:12" ht="15" customHeight="1">
      <c r="A9" s="1316"/>
      <c r="B9" s="4983"/>
      <c r="C9" s="3332" t="s">
        <v>2713</v>
      </c>
      <c r="D9" s="2644"/>
      <c r="E9" s="2636"/>
      <c r="F9" s="2645"/>
      <c r="G9" s="2635"/>
      <c r="H9" s="2636"/>
      <c r="I9" s="2636"/>
      <c r="J9" s="2636"/>
      <c r="K9" s="2636">
        <v>0.40000000000000036</v>
      </c>
      <c r="L9" s="2636">
        <v>-0.5</v>
      </c>
    </row>
    <row r="10" spans="1:12" ht="15" customHeight="1">
      <c r="A10" s="1316"/>
      <c r="B10" s="4981"/>
      <c r="C10" s="4717" t="s">
        <v>572</v>
      </c>
      <c r="D10" s="1410">
        <v>5</v>
      </c>
      <c r="E10" s="1294">
        <v>7.7272727272727275</v>
      </c>
      <c r="F10" s="1411">
        <v>6.5</v>
      </c>
      <c r="G10" s="1411">
        <v>6.3846153846153832</v>
      </c>
      <c r="H10" s="1294">
        <v>3.1999999999999993</v>
      </c>
      <c r="I10" s="1294">
        <v>4.75</v>
      </c>
      <c r="J10" s="1294"/>
      <c r="K10" s="1294">
        <v>1.5000000000000002</v>
      </c>
      <c r="L10" s="1294">
        <v>0</v>
      </c>
    </row>
    <row r="11" spans="1:12" ht="15" customHeight="1">
      <c r="A11" s="1316"/>
      <c r="B11" s="4980" t="s">
        <v>16</v>
      </c>
      <c r="C11" s="1417" t="s">
        <v>129</v>
      </c>
      <c r="D11" s="1408">
        <v>-3</v>
      </c>
      <c r="E11" s="1293"/>
      <c r="F11" s="1409"/>
      <c r="G11" s="1293"/>
      <c r="H11" s="1293"/>
      <c r="I11" s="1293">
        <v>2</v>
      </c>
      <c r="J11" s="1293"/>
      <c r="K11" s="1293">
        <v>0</v>
      </c>
      <c r="L11" s="1293"/>
    </row>
    <row r="12" spans="1:12" ht="15" customHeight="1">
      <c r="A12" s="1316"/>
      <c r="B12" s="4983"/>
      <c r="C12" s="1407" t="s">
        <v>119</v>
      </c>
      <c r="D12" s="1408">
        <v>0</v>
      </c>
      <c r="E12" s="1293">
        <v>0</v>
      </c>
      <c r="F12" s="1409">
        <v>1.5</v>
      </c>
      <c r="G12" s="1388">
        <v>0.74999999999999822</v>
      </c>
      <c r="H12" s="1293">
        <v>0.85714285714285765</v>
      </c>
      <c r="I12" s="1293">
        <v>2</v>
      </c>
      <c r="J12" s="1293">
        <v>3.8000000000000007</v>
      </c>
      <c r="K12" s="1293">
        <v>6</v>
      </c>
      <c r="L12" s="1293">
        <v>4.67</v>
      </c>
    </row>
    <row r="13" spans="1:12" ht="15" customHeight="1">
      <c r="A13" s="1316"/>
      <c r="B13" s="4982"/>
      <c r="C13" s="1407" t="s">
        <v>120</v>
      </c>
      <c r="D13" s="1293"/>
      <c r="E13" s="1293">
        <v>-0.19999999999999929</v>
      </c>
      <c r="F13" s="1409">
        <v>0</v>
      </c>
      <c r="G13" s="1293"/>
      <c r="H13" s="1293">
        <v>0.19999999999999929</v>
      </c>
      <c r="I13" s="1293">
        <v>2.75</v>
      </c>
      <c r="J13" s="1293">
        <v>1.33</v>
      </c>
      <c r="K13" s="1293">
        <v>2.5</v>
      </c>
      <c r="L13" s="1293">
        <v>4.67</v>
      </c>
    </row>
    <row r="14" spans="1:12" ht="15" customHeight="1">
      <c r="A14" s="1316"/>
      <c r="B14" s="4981"/>
      <c r="C14" s="4717" t="s">
        <v>573</v>
      </c>
      <c r="D14" s="1410">
        <v>-1.5</v>
      </c>
      <c r="E14" s="1294">
        <v>-0.16666666666666607</v>
      </c>
      <c r="F14" s="1411">
        <v>1</v>
      </c>
      <c r="G14" s="1411">
        <v>0.74999999999999822</v>
      </c>
      <c r="H14" s="1294">
        <v>0.58333333333333337</v>
      </c>
      <c r="I14" s="1294">
        <v>2.4285714285714284</v>
      </c>
      <c r="J14" s="1294">
        <v>2.5</v>
      </c>
      <c r="K14" s="1294">
        <v>2.75</v>
      </c>
      <c r="L14" s="1294">
        <v>4.67</v>
      </c>
    </row>
    <row r="15" spans="1:12" ht="15" customHeight="1">
      <c r="A15" s="1316"/>
      <c r="B15" s="4984" t="s">
        <v>21</v>
      </c>
      <c r="C15" s="1407" t="s">
        <v>106</v>
      </c>
      <c r="D15" s="1408">
        <v>2.4000000000000004</v>
      </c>
      <c r="E15" s="1293">
        <v>1.5714285714285712</v>
      </c>
      <c r="F15" s="1409">
        <v>0</v>
      </c>
      <c r="G15" s="1388">
        <v>2.3333333333333339</v>
      </c>
      <c r="H15" s="1293">
        <v>3.8888888888888893</v>
      </c>
      <c r="I15" s="1293">
        <v>4</v>
      </c>
      <c r="J15" s="1293"/>
      <c r="K15" s="1293"/>
      <c r="L15" s="1293"/>
    </row>
    <row r="16" spans="1:12" ht="15" customHeight="1">
      <c r="A16" s="1316"/>
      <c r="B16" s="4982"/>
      <c r="C16" s="1407" t="s">
        <v>1692</v>
      </c>
      <c r="D16" s="1408"/>
      <c r="E16" s="1293"/>
      <c r="F16" s="1409"/>
      <c r="G16" s="1388"/>
      <c r="H16" s="1293"/>
      <c r="I16" s="1293">
        <v>0</v>
      </c>
      <c r="J16" s="1293"/>
      <c r="K16" s="1293"/>
      <c r="L16" s="1293">
        <v>-1</v>
      </c>
    </row>
    <row r="17" spans="1:12" ht="15" customHeight="1">
      <c r="A17" s="1316"/>
      <c r="B17" s="4982"/>
      <c r="C17" s="1407" t="s">
        <v>1693</v>
      </c>
      <c r="D17" s="1408"/>
      <c r="E17" s="1293"/>
      <c r="F17" s="1409"/>
      <c r="G17" s="1388"/>
      <c r="H17" s="1293"/>
      <c r="I17" s="1293">
        <v>0</v>
      </c>
      <c r="J17" s="1293"/>
      <c r="K17" s="1293">
        <v>-2</v>
      </c>
      <c r="L17" s="1293"/>
    </row>
    <row r="18" spans="1:12" ht="15" customHeight="1">
      <c r="A18" s="1316"/>
      <c r="B18" s="4982"/>
      <c r="C18" s="1407" t="s">
        <v>1694</v>
      </c>
      <c r="D18" s="1408"/>
      <c r="E18" s="1293"/>
      <c r="F18" s="1409"/>
      <c r="G18" s="1388"/>
      <c r="H18" s="1293"/>
      <c r="I18" s="1293">
        <v>0</v>
      </c>
      <c r="J18" s="1293">
        <v>0</v>
      </c>
      <c r="K18" s="1293">
        <v>8</v>
      </c>
      <c r="L18" s="1293">
        <v>1.1999999999999993</v>
      </c>
    </row>
    <row r="19" spans="1:12" ht="15" customHeight="1">
      <c r="A19" s="1316"/>
      <c r="B19" s="4983"/>
      <c r="C19" s="2643" t="s">
        <v>1695</v>
      </c>
      <c r="D19" s="2644"/>
      <c r="E19" s="2636"/>
      <c r="F19" s="2645"/>
      <c r="G19" s="2635"/>
      <c r="H19" s="2636"/>
      <c r="I19" s="2636"/>
      <c r="J19" s="2636">
        <v>0.5</v>
      </c>
      <c r="K19" s="2636">
        <v>1.33</v>
      </c>
      <c r="L19" s="2636">
        <v>0</v>
      </c>
    </row>
    <row r="20" spans="1:12" ht="15" customHeight="1">
      <c r="A20" s="1316"/>
      <c r="B20" s="4985"/>
      <c r="C20" s="4717" t="s">
        <v>574</v>
      </c>
      <c r="D20" s="1410">
        <v>2.4000000000000004</v>
      </c>
      <c r="E20" s="1294">
        <v>1.5714285714285712</v>
      </c>
      <c r="F20" s="1411">
        <v>0</v>
      </c>
      <c r="G20" s="1411">
        <v>2.3333333333333339</v>
      </c>
      <c r="H20" s="1294">
        <v>3.8888888888888893</v>
      </c>
      <c r="I20" s="1294">
        <v>0</v>
      </c>
      <c r="J20" s="1294">
        <v>0.14285714285714285</v>
      </c>
      <c r="K20" s="1294">
        <v>1.998</v>
      </c>
      <c r="L20" s="1294">
        <v>0.55555555555555514</v>
      </c>
    </row>
    <row r="21" spans="1:12" ht="15" customHeight="1">
      <c r="A21" s="1316"/>
      <c r="B21" s="4094"/>
      <c r="C21" s="1421" t="s">
        <v>107</v>
      </c>
      <c r="D21" s="1418">
        <v>1.9666666666666668</v>
      </c>
      <c r="E21" s="1397">
        <v>3.9583333333333335</v>
      </c>
      <c r="F21" s="1419">
        <v>3.2142857142857144</v>
      </c>
      <c r="G21" s="1419">
        <v>3.6666666666666656</v>
      </c>
      <c r="H21" s="1397">
        <v>2.2307692307692308</v>
      </c>
      <c r="I21" s="1397">
        <v>2.25</v>
      </c>
      <c r="J21" s="1397">
        <v>2.6787999999999998</v>
      </c>
      <c r="K21" s="1397">
        <v>1.8942105263157896</v>
      </c>
      <c r="L21" s="1397">
        <v>1.7378947368421052</v>
      </c>
    </row>
    <row r="22" spans="1:12" ht="15" customHeight="1">
      <c r="A22" s="1316"/>
      <c r="B22" s="4980" t="s">
        <v>4</v>
      </c>
      <c r="C22" s="1407" t="s">
        <v>121</v>
      </c>
      <c r="D22" s="1408">
        <v>2</v>
      </c>
      <c r="E22" s="1293">
        <v>2</v>
      </c>
      <c r="F22" s="1409">
        <v>12.5</v>
      </c>
      <c r="G22" s="1388">
        <v>3.3333333333333339</v>
      </c>
      <c r="H22" s="1293">
        <v>8.7142857142857117</v>
      </c>
      <c r="I22" s="1293">
        <v>8</v>
      </c>
      <c r="J22" s="1293">
        <v>5</v>
      </c>
      <c r="K22" s="1293"/>
      <c r="L22" s="1293">
        <v>1.25</v>
      </c>
    </row>
    <row r="23" spans="1:12" ht="15" customHeight="1">
      <c r="A23" s="1316"/>
      <c r="B23" s="4982"/>
      <c r="C23" s="1407" t="s">
        <v>122</v>
      </c>
      <c r="D23" s="1408">
        <v>4</v>
      </c>
      <c r="E23" s="1293">
        <v>5.5</v>
      </c>
      <c r="F23" s="1409">
        <v>4.3333333333333321</v>
      </c>
      <c r="G23" s="1388">
        <v>4.9999999999999964</v>
      </c>
      <c r="H23" s="1293">
        <v>5.1999999999999993</v>
      </c>
      <c r="I23" s="1293">
        <v>6</v>
      </c>
      <c r="J23" s="1293">
        <v>3.67</v>
      </c>
      <c r="K23" s="1293">
        <v>6.6700000000000017</v>
      </c>
      <c r="L23" s="1293">
        <v>3.8900000000000006</v>
      </c>
    </row>
    <row r="24" spans="1:12" ht="15" customHeight="1">
      <c r="A24" s="1316"/>
      <c r="B24" s="4982"/>
      <c r="C24" s="1407" t="s">
        <v>123</v>
      </c>
      <c r="D24" s="1408">
        <v>5.25</v>
      </c>
      <c r="E24" s="1293">
        <v>7.6428571428571388</v>
      </c>
      <c r="F24" s="1409">
        <v>5.3333333333333357</v>
      </c>
      <c r="G24" s="1388">
        <v>2.2857142857142847</v>
      </c>
      <c r="H24" s="1293">
        <v>5.3125</v>
      </c>
      <c r="I24" s="1293">
        <v>6</v>
      </c>
      <c r="J24" s="1293">
        <v>3.5</v>
      </c>
      <c r="K24" s="1293">
        <v>4.3999999999999986</v>
      </c>
      <c r="L24" s="1293">
        <v>6.129999999999999</v>
      </c>
    </row>
    <row r="25" spans="1:12" ht="15" customHeight="1">
      <c r="A25" s="1316"/>
      <c r="B25" s="4982"/>
      <c r="C25" s="1407" t="s">
        <v>124</v>
      </c>
      <c r="D25" s="1408">
        <v>4.875</v>
      </c>
      <c r="E25" s="1293">
        <v>-1.6666666666666661</v>
      </c>
      <c r="F25" s="1409">
        <v>10.833333333333332</v>
      </c>
      <c r="G25" s="1388">
        <v>8.1666666666666679</v>
      </c>
      <c r="H25" s="1293">
        <v>3.1999999999999993</v>
      </c>
      <c r="I25" s="1293">
        <v>6</v>
      </c>
      <c r="J25" s="1293">
        <v>5.4400000000000013</v>
      </c>
      <c r="K25" s="1293">
        <v>2.25</v>
      </c>
      <c r="L25" s="1293">
        <v>5.3999999999999986</v>
      </c>
    </row>
    <row r="26" spans="1:12" ht="15" customHeight="1">
      <c r="A26" s="1316"/>
      <c r="B26" s="4982"/>
      <c r="C26" s="1407" t="s">
        <v>125</v>
      </c>
      <c r="D26" s="1408">
        <v>2.3333333333333339</v>
      </c>
      <c r="E26" s="1293"/>
      <c r="F26" s="1409">
        <v>0</v>
      </c>
      <c r="G26" s="1388">
        <v>-3</v>
      </c>
      <c r="H26" s="1293">
        <v>2.25</v>
      </c>
      <c r="I26" s="1293">
        <v>4.3333333333333321</v>
      </c>
      <c r="J26" s="1293">
        <v>3</v>
      </c>
      <c r="K26" s="1293">
        <v>4.1700000000000017</v>
      </c>
      <c r="L26" s="1293">
        <v>9.3299999999999983</v>
      </c>
    </row>
    <row r="27" spans="1:12" ht="15" customHeight="1">
      <c r="A27" s="1316"/>
      <c r="B27" s="4983"/>
      <c r="C27" s="1407" t="s">
        <v>424</v>
      </c>
      <c r="D27" s="1408"/>
      <c r="E27" s="1293"/>
      <c r="F27" s="1409"/>
      <c r="G27" s="1388"/>
      <c r="H27" s="1293"/>
      <c r="I27" s="1293"/>
      <c r="J27" s="1293">
        <v>1</v>
      </c>
      <c r="K27" s="1293">
        <v>3.1999999999999993</v>
      </c>
      <c r="L27" s="1293">
        <v>3</v>
      </c>
    </row>
    <row r="28" spans="1:12" ht="15" customHeight="1">
      <c r="A28" s="1316"/>
      <c r="B28" s="4983"/>
      <c r="C28" s="2643" t="s">
        <v>834</v>
      </c>
      <c r="D28" s="2644"/>
      <c r="E28" s="2636"/>
      <c r="F28" s="2645"/>
      <c r="G28" s="2635"/>
      <c r="H28" s="2636"/>
      <c r="I28" s="2636"/>
      <c r="J28" s="2636"/>
      <c r="K28" s="2636"/>
      <c r="L28" s="2636">
        <v>3.5</v>
      </c>
    </row>
    <row r="29" spans="1:12" ht="15" customHeight="1">
      <c r="A29" s="1316"/>
      <c r="B29" s="4981"/>
      <c r="C29" s="4717" t="s">
        <v>572</v>
      </c>
      <c r="D29" s="1410">
        <v>4.9854797979797985</v>
      </c>
      <c r="E29" s="1294">
        <v>5.2608695652173889</v>
      </c>
      <c r="F29" s="1411">
        <v>6.7272727272727275</v>
      </c>
      <c r="G29" s="1411">
        <v>4.4583333333333321</v>
      </c>
      <c r="H29" s="1294">
        <v>5.3243243243243228</v>
      </c>
      <c r="I29" s="1294">
        <v>5.4782608695652177</v>
      </c>
      <c r="J29" s="1294">
        <v>3.9719444444444445</v>
      </c>
      <c r="K29" s="1294">
        <v>4.3344444444444443</v>
      </c>
      <c r="L29" s="1294">
        <v>5.0263414634146342</v>
      </c>
    </row>
    <row r="30" spans="1:12" ht="15" customHeight="1">
      <c r="A30" s="1316"/>
      <c r="B30" s="4980" t="s">
        <v>16</v>
      </c>
      <c r="C30" s="1407" t="s">
        <v>108</v>
      </c>
      <c r="D30" s="1408">
        <v>0.93333333333333357</v>
      </c>
      <c r="E30" s="1293">
        <v>2.5833333333333339</v>
      </c>
      <c r="F30" s="1409">
        <v>7.6923076923078426E-2</v>
      </c>
      <c r="G30" s="1388">
        <v>0.77777777777777857</v>
      </c>
      <c r="H30" s="1293">
        <v>2.5555555555555554</v>
      </c>
      <c r="I30" s="1293">
        <v>2.5555555555555554</v>
      </c>
      <c r="J30" s="1293">
        <v>3.58</v>
      </c>
      <c r="K30" s="1293">
        <v>2.83</v>
      </c>
      <c r="L30" s="1293">
        <v>2</v>
      </c>
    </row>
    <row r="31" spans="1:12" ht="15" customHeight="1">
      <c r="A31" s="1316"/>
      <c r="B31" s="4982"/>
      <c r="C31" s="1407" t="s">
        <v>126</v>
      </c>
      <c r="D31" s="1408">
        <v>1.125</v>
      </c>
      <c r="E31" s="1293">
        <v>1.1999999999999993</v>
      </c>
      <c r="F31" s="1409">
        <v>9</v>
      </c>
      <c r="G31" s="1388">
        <v>0.7272727272727284</v>
      </c>
      <c r="H31" s="1293">
        <v>1</v>
      </c>
      <c r="I31" s="1293">
        <v>3.33</v>
      </c>
      <c r="J31" s="1293">
        <v>1.6199999999999992</v>
      </c>
      <c r="K31" s="1293">
        <v>4.8000000000000007</v>
      </c>
      <c r="L31" s="1293">
        <v>-0.11999999999999922</v>
      </c>
    </row>
    <row r="32" spans="1:12" ht="15" customHeight="1">
      <c r="A32" s="1316"/>
      <c r="B32" s="4982"/>
      <c r="C32" s="1407" t="s">
        <v>127</v>
      </c>
      <c r="D32" s="1408">
        <v>4.3333333333333357</v>
      </c>
      <c r="E32" s="1293">
        <v>0.17647058823529349</v>
      </c>
      <c r="F32" s="1409">
        <v>-0.64705882352941302</v>
      </c>
      <c r="G32" s="1388">
        <v>-0.96428571428571175</v>
      </c>
      <c r="H32" s="1293">
        <v>-1.0399999999999991</v>
      </c>
      <c r="I32" s="1293">
        <v>3.4117647058823533</v>
      </c>
      <c r="J32" s="1293">
        <v>4.2200000000000006</v>
      </c>
      <c r="K32" s="1293">
        <v>1.9299999999999997</v>
      </c>
      <c r="L32" s="1293">
        <v>1.3599999999999994</v>
      </c>
    </row>
    <row r="33" spans="1:12" ht="15" customHeight="1">
      <c r="A33" s="1316"/>
      <c r="B33" s="4982"/>
      <c r="C33" s="1407" t="s">
        <v>128</v>
      </c>
      <c r="D33" s="1408">
        <v>-0.45454545454545503</v>
      </c>
      <c r="E33" s="1293">
        <v>-0.91666666666666607</v>
      </c>
      <c r="F33" s="1409">
        <v>-7.1428571428571175E-2</v>
      </c>
      <c r="G33" s="1388">
        <v>0.42857142857142883</v>
      </c>
      <c r="H33" s="1293">
        <v>0.90909090909090828</v>
      </c>
      <c r="I33" s="1293">
        <v>2.5</v>
      </c>
      <c r="J33" s="1293">
        <v>0.19999999999999929</v>
      </c>
      <c r="K33" s="1293">
        <v>0.85999999999999943</v>
      </c>
      <c r="L33" s="1293">
        <v>1.9399999999999995</v>
      </c>
    </row>
    <row r="34" spans="1:12" ht="15" customHeight="1">
      <c r="A34" s="1316"/>
      <c r="B34" s="4982"/>
      <c r="C34" s="1407" t="s">
        <v>129</v>
      </c>
      <c r="D34" s="1408">
        <v>0</v>
      </c>
      <c r="E34" s="1293">
        <v>-1</v>
      </c>
      <c r="F34" s="1409">
        <v>1</v>
      </c>
      <c r="G34" s="1388">
        <v>2.3333333333333339</v>
      </c>
      <c r="H34" s="1293">
        <v>2.3333333333333339</v>
      </c>
      <c r="I34" s="1293">
        <v>3</v>
      </c>
      <c r="J34" s="1293">
        <v>2.75</v>
      </c>
      <c r="K34" s="1293">
        <v>4.6700000000000017</v>
      </c>
      <c r="L34" s="1293">
        <v>0.33000000000000007</v>
      </c>
    </row>
    <row r="35" spans="1:12" ht="15" customHeight="1">
      <c r="A35" s="1316"/>
      <c r="B35" s="4981"/>
      <c r="C35" s="4717" t="s">
        <v>573</v>
      </c>
      <c r="D35" s="1410">
        <v>1.1874242424242429</v>
      </c>
      <c r="E35" s="1294">
        <v>0.61666666666666659</v>
      </c>
      <c r="F35" s="1411">
        <v>0.53061224489795922</v>
      </c>
      <c r="G35" s="1411">
        <v>-3.4482758620688031E-2</v>
      </c>
      <c r="H35" s="1294">
        <v>0.71428571428571352</v>
      </c>
      <c r="I35" s="1294">
        <v>3.1250000000000009</v>
      </c>
      <c r="J35" s="1294">
        <v>2.6131343283582087</v>
      </c>
      <c r="K35" s="1294">
        <v>2.9331111111111112</v>
      </c>
      <c r="L35" s="1294">
        <v>0.99926470588235294</v>
      </c>
    </row>
    <row r="36" spans="1:12" ht="15" customHeight="1">
      <c r="A36" s="1316"/>
      <c r="B36" s="4980" t="s">
        <v>41</v>
      </c>
      <c r="C36" s="1407" t="s">
        <v>130</v>
      </c>
      <c r="D36" s="1408">
        <v>1.2631578947368443</v>
      </c>
      <c r="E36" s="1293">
        <v>3.5882352941176432</v>
      </c>
      <c r="F36" s="1409">
        <v>2.8666666666666689</v>
      </c>
      <c r="G36" s="1388">
        <v>2.7692307692307683</v>
      </c>
      <c r="H36" s="1293">
        <v>1.7727272727272734</v>
      </c>
      <c r="I36" s="1293">
        <v>1.71</v>
      </c>
      <c r="J36" s="1293">
        <v>2.5</v>
      </c>
      <c r="K36" s="1293">
        <v>4.07</v>
      </c>
      <c r="L36" s="1293">
        <v>2.5500000000000007</v>
      </c>
    </row>
    <row r="37" spans="1:12" ht="15" customHeight="1">
      <c r="A37" s="1316"/>
      <c r="B37" s="4982"/>
      <c r="C37" s="1407" t="s">
        <v>131</v>
      </c>
      <c r="D37" s="1408">
        <v>10</v>
      </c>
      <c r="E37" s="1293">
        <v>4.5</v>
      </c>
      <c r="F37" s="1409">
        <v>3.3333333333333339</v>
      </c>
      <c r="G37" s="1388">
        <v>4.4444444444444429</v>
      </c>
      <c r="H37" s="1293">
        <v>1</v>
      </c>
      <c r="I37" s="1293">
        <v>4.6428571428571423</v>
      </c>
      <c r="J37" s="1293">
        <v>1.33</v>
      </c>
      <c r="K37" s="1293">
        <v>4</v>
      </c>
      <c r="L37" s="1293">
        <v>1.75</v>
      </c>
    </row>
    <row r="38" spans="1:12" ht="15" customHeight="1">
      <c r="A38" s="1316"/>
      <c r="B38" s="4983"/>
      <c r="C38" s="1407" t="s">
        <v>338</v>
      </c>
      <c r="D38" s="1408">
        <v>4</v>
      </c>
      <c r="E38" s="1293">
        <v>13.333333333333332</v>
      </c>
      <c r="F38" s="1409">
        <v>6.375</v>
      </c>
      <c r="G38" s="1388">
        <v>5</v>
      </c>
      <c r="H38" s="1293">
        <v>3.125</v>
      </c>
      <c r="I38" s="1293">
        <v>1.9166666666666679</v>
      </c>
      <c r="J38" s="1293">
        <v>2.5700000000000003</v>
      </c>
      <c r="K38" s="1293">
        <v>4</v>
      </c>
      <c r="L38" s="1293">
        <v>2.3000000000000007</v>
      </c>
    </row>
    <row r="39" spans="1:12" ht="15" customHeight="1">
      <c r="A39" s="1316"/>
      <c r="B39" s="4981"/>
      <c r="C39" s="4718" t="s">
        <v>575</v>
      </c>
      <c r="D39" s="1410">
        <v>5.0877192982456148</v>
      </c>
      <c r="E39" s="1294">
        <v>6.6333333333333311</v>
      </c>
      <c r="F39" s="1411">
        <v>3.8750000000000013</v>
      </c>
      <c r="G39" s="1411">
        <v>3.9696969696969688</v>
      </c>
      <c r="H39" s="1294">
        <v>1.8947368421052637</v>
      </c>
      <c r="I39" s="1294">
        <v>2.8</v>
      </c>
      <c r="J39" s="1294">
        <v>2.0893939393939394</v>
      </c>
      <c r="K39" s="1294">
        <v>4.0296969696969702</v>
      </c>
      <c r="L39" s="1294">
        <v>2.3157894736842111</v>
      </c>
    </row>
    <row r="40" spans="1:12" ht="15" customHeight="1">
      <c r="A40" s="1316"/>
      <c r="B40" s="4094"/>
      <c r="C40" s="1422" t="s">
        <v>111</v>
      </c>
      <c r="D40" s="1418">
        <v>3.753541112883219</v>
      </c>
      <c r="E40" s="1397">
        <v>3.159292035398229</v>
      </c>
      <c r="F40" s="1419">
        <v>2.8932038834951461</v>
      </c>
      <c r="G40" s="1419">
        <v>2.0521739130434788</v>
      </c>
      <c r="H40" s="1397">
        <v>2.1315789473684159</v>
      </c>
      <c r="I40" s="1397">
        <v>3.5242718446601948</v>
      </c>
      <c r="J40" s="1397">
        <v>2.845735294117647</v>
      </c>
      <c r="K40" s="1397">
        <v>3.6930701754385966</v>
      </c>
      <c r="L40" s="1397">
        <v>2.4627891156462587</v>
      </c>
    </row>
    <row r="41" spans="1:12" ht="15" customHeight="1">
      <c r="A41" s="1316"/>
      <c r="B41" s="4980" t="s">
        <v>16</v>
      </c>
      <c r="C41" s="1407" t="s">
        <v>145</v>
      </c>
      <c r="D41" s="1408">
        <v>1.2564102564102555</v>
      </c>
      <c r="E41" s="1293">
        <v>1.1600000000000001</v>
      </c>
      <c r="F41" s="1409">
        <v>0.8125</v>
      </c>
      <c r="G41" s="1388">
        <v>1.1363636363636349</v>
      </c>
      <c r="H41" s="1293">
        <v>1.1111111111111125</v>
      </c>
      <c r="I41" s="1293"/>
      <c r="J41" s="1293">
        <v>0.14000000000000057</v>
      </c>
      <c r="K41" s="1293">
        <v>3.9600000000000009</v>
      </c>
      <c r="L41" s="1293">
        <v>4.33</v>
      </c>
    </row>
    <row r="42" spans="1:12" ht="15" customHeight="1">
      <c r="A42" s="1316"/>
      <c r="B42" s="4982"/>
      <c r="C42" s="1407" t="s">
        <v>112</v>
      </c>
      <c r="D42" s="1408">
        <v>-1.375</v>
      </c>
      <c r="E42" s="1293">
        <v>-1.1428571428571423</v>
      </c>
      <c r="F42" s="1409">
        <v>0.16666666666666607</v>
      </c>
      <c r="G42" s="1388">
        <v>-1</v>
      </c>
      <c r="H42" s="1293">
        <v>-0.16666666666666607</v>
      </c>
      <c r="I42" s="1293">
        <v>2.5555555555555554</v>
      </c>
      <c r="J42" s="1293">
        <v>2.75</v>
      </c>
      <c r="K42" s="1293">
        <v>2.25</v>
      </c>
      <c r="L42" s="1293">
        <v>3.75</v>
      </c>
    </row>
    <row r="43" spans="1:12" ht="15" customHeight="1">
      <c r="A43" s="1316"/>
      <c r="B43" s="4982"/>
      <c r="C43" s="1407" t="s">
        <v>129</v>
      </c>
      <c r="D43" s="1293"/>
      <c r="E43" s="1293">
        <v>0</v>
      </c>
      <c r="F43" s="1409">
        <v>-2</v>
      </c>
      <c r="G43" s="1388">
        <v>1.75</v>
      </c>
      <c r="H43" s="1293">
        <v>0</v>
      </c>
      <c r="I43" s="1293">
        <v>0.77</v>
      </c>
      <c r="J43" s="1293"/>
      <c r="K43" s="1293"/>
      <c r="L43" s="1293">
        <v>1.75</v>
      </c>
    </row>
    <row r="44" spans="1:12" ht="15" customHeight="1">
      <c r="A44" s="1316"/>
      <c r="B44" s="4981"/>
      <c r="C44" s="4717" t="s">
        <v>573</v>
      </c>
      <c r="D44" s="1410">
        <v>-5.929487179487225E-2</v>
      </c>
      <c r="E44" s="1294">
        <v>0.63636363636363658</v>
      </c>
      <c r="F44" s="1411">
        <v>0.41666666666666652</v>
      </c>
      <c r="G44" s="1411">
        <v>0.93333333333333224</v>
      </c>
      <c r="H44" s="1294">
        <v>0.7307692307692264</v>
      </c>
      <c r="I44" s="1294">
        <v>1.2903225806451617</v>
      </c>
      <c r="J44" s="1294">
        <v>0.72000000000000042</v>
      </c>
      <c r="K44" s="1294">
        <v>3.52</v>
      </c>
      <c r="L44" s="1294">
        <v>3.8438461538461537</v>
      </c>
    </row>
    <row r="45" spans="1:12" ht="15" customHeight="1">
      <c r="A45" s="1316"/>
      <c r="B45" s="4980" t="s">
        <v>41</v>
      </c>
      <c r="C45" s="1407" t="s">
        <v>146</v>
      </c>
      <c r="D45" s="1408">
        <v>2.6363636363636367</v>
      </c>
      <c r="E45" s="1293">
        <v>1.25</v>
      </c>
      <c r="F45" s="1409">
        <v>6.5</v>
      </c>
      <c r="G45" s="1388">
        <v>2.4000000000000004</v>
      </c>
      <c r="H45" s="1293">
        <v>3.5</v>
      </c>
      <c r="I45" s="1293">
        <v>1</v>
      </c>
      <c r="J45" s="1293">
        <v>2</v>
      </c>
      <c r="K45" s="1293">
        <v>1.25</v>
      </c>
      <c r="L45" s="1293">
        <v>2.8000000000000007</v>
      </c>
    </row>
    <row r="46" spans="1:12" ht="15" customHeight="1">
      <c r="A46" s="1316"/>
      <c r="B46" s="4982"/>
      <c r="C46" s="1407" t="s">
        <v>338</v>
      </c>
      <c r="D46" s="1408">
        <v>3.4000000000000004</v>
      </c>
      <c r="E46" s="1293">
        <v>11</v>
      </c>
      <c r="F46" s="1409">
        <v>8.2666666666666622</v>
      </c>
      <c r="G46" s="1388">
        <v>4.7142857142857135</v>
      </c>
      <c r="H46" s="1293">
        <v>2.1428571428571423</v>
      </c>
      <c r="I46" s="1293">
        <v>0.92</v>
      </c>
      <c r="J46" s="1293">
        <v>0.82000000000000028</v>
      </c>
      <c r="K46" s="1293">
        <v>3.5600000000000005</v>
      </c>
      <c r="L46" s="1293">
        <v>2.1300000000000008</v>
      </c>
    </row>
    <row r="47" spans="1:12" ht="15" customHeight="1">
      <c r="A47" s="1316"/>
      <c r="B47" s="4983"/>
      <c r="C47" s="1407" t="s">
        <v>2024</v>
      </c>
      <c r="D47" s="2644"/>
      <c r="E47" s="2636"/>
      <c r="F47" s="2645"/>
      <c r="G47" s="2635"/>
      <c r="H47" s="2636"/>
      <c r="I47" s="2636"/>
      <c r="J47" s="2636">
        <v>0</v>
      </c>
      <c r="K47" s="2636">
        <v>0.75</v>
      </c>
      <c r="L47" s="2636">
        <v>1.25</v>
      </c>
    </row>
    <row r="48" spans="1:12" ht="15" customHeight="1">
      <c r="A48" s="1316"/>
      <c r="B48" s="4981"/>
      <c r="C48" s="4717" t="s">
        <v>575</v>
      </c>
      <c r="D48" s="1410">
        <v>3.0181818181818185</v>
      </c>
      <c r="E48" s="1294">
        <v>8.8333333333333339</v>
      </c>
      <c r="F48" s="1411">
        <v>8.0588235294117609</v>
      </c>
      <c r="G48" s="1411">
        <v>3.7499999999999996</v>
      </c>
      <c r="H48" s="1294">
        <v>2.7692307692307692</v>
      </c>
      <c r="I48" s="1294">
        <v>0.92307692307692413</v>
      </c>
      <c r="J48" s="1294">
        <v>1.0637500000000002</v>
      </c>
      <c r="K48" s="1294">
        <v>2.355294117647059</v>
      </c>
      <c r="L48" s="1294">
        <v>2.3718518518518525</v>
      </c>
    </row>
    <row r="49" spans="1:12" ht="15" customHeight="1">
      <c r="A49" s="1316"/>
      <c r="B49" s="4980" t="s">
        <v>21</v>
      </c>
      <c r="C49" s="1407" t="s">
        <v>147</v>
      </c>
      <c r="D49" s="1408">
        <v>4</v>
      </c>
      <c r="E49" s="1293">
        <v>5</v>
      </c>
      <c r="F49" s="1409">
        <v>7.5</v>
      </c>
      <c r="G49" s="1388">
        <v>6.5</v>
      </c>
      <c r="H49" s="1293">
        <v>4.1666666666666679</v>
      </c>
      <c r="I49" s="1293">
        <v>1.3333333333333339</v>
      </c>
      <c r="J49" s="1293">
        <v>3.1999999999999993</v>
      </c>
      <c r="K49" s="1293">
        <v>2</v>
      </c>
      <c r="L49" s="1293">
        <v>0.25</v>
      </c>
    </row>
    <row r="50" spans="1:12" ht="15" customHeight="1">
      <c r="A50" s="1316"/>
      <c r="B50" s="4981"/>
      <c r="C50" s="4717" t="s">
        <v>574</v>
      </c>
      <c r="D50" s="1410">
        <v>4</v>
      </c>
      <c r="E50" s="1294">
        <v>5</v>
      </c>
      <c r="F50" s="1411">
        <v>7.5</v>
      </c>
      <c r="G50" s="1411">
        <v>6.5</v>
      </c>
      <c r="H50" s="1294">
        <v>4.1666666666666679</v>
      </c>
      <c r="I50" s="1294">
        <v>1.3333333333333339</v>
      </c>
      <c r="J50" s="1294">
        <v>3.1999999999999993</v>
      </c>
      <c r="K50" s="1294">
        <v>2</v>
      </c>
      <c r="L50" s="1294">
        <v>0.25</v>
      </c>
    </row>
    <row r="51" spans="1:12" ht="15" customHeight="1">
      <c r="A51" s="1316"/>
      <c r="B51" s="4094"/>
      <c r="C51" s="1422" t="s">
        <v>461</v>
      </c>
      <c r="D51" s="1418">
        <v>2.3196289821289819</v>
      </c>
      <c r="E51" s="1397">
        <v>3.6111111111111112</v>
      </c>
      <c r="F51" s="1419">
        <v>4.0851063829787222</v>
      </c>
      <c r="G51" s="1419">
        <v>1.9545454545454535</v>
      </c>
      <c r="H51" s="1397">
        <v>1.7777777777777752</v>
      </c>
      <c r="I51" s="1397">
        <v>1.2000000000000006</v>
      </c>
      <c r="J51" s="1397">
        <v>1.0517948717948717</v>
      </c>
      <c r="K51" s="1397">
        <v>2.9658181818181819</v>
      </c>
      <c r="L51" s="1397">
        <v>2.894385964912281</v>
      </c>
    </row>
    <row r="52" spans="1:12" ht="15" customHeight="1">
      <c r="A52" s="1316"/>
      <c r="B52" s="4980" t="s">
        <v>16</v>
      </c>
      <c r="C52" s="1407" t="s">
        <v>709</v>
      </c>
      <c r="D52" s="1293"/>
      <c r="E52" s="1293"/>
      <c r="F52" s="1293"/>
      <c r="G52" s="1352"/>
      <c r="H52" s="1293">
        <v>0</v>
      </c>
      <c r="I52" s="1293">
        <v>0</v>
      </c>
      <c r="J52" s="1293">
        <v>0.19999999999999929</v>
      </c>
      <c r="K52" s="1293">
        <v>1</v>
      </c>
      <c r="L52" s="1293">
        <v>0.71000000000000085</v>
      </c>
    </row>
    <row r="53" spans="1:12" ht="15" customHeight="1">
      <c r="A53" s="1316"/>
      <c r="B53" s="4981"/>
      <c r="C53" s="4717" t="s">
        <v>573</v>
      </c>
      <c r="D53" s="1293"/>
      <c r="E53" s="1294"/>
      <c r="F53" s="1294"/>
      <c r="G53" s="1294"/>
      <c r="H53" s="1294">
        <v>0</v>
      </c>
      <c r="I53" s="1294">
        <v>0</v>
      </c>
      <c r="J53" s="1294">
        <v>0.19999999999999929</v>
      </c>
      <c r="K53" s="1294">
        <v>1</v>
      </c>
      <c r="L53" s="1294">
        <v>0.71000000000000085</v>
      </c>
    </row>
    <row r="54" spans="1:12" ht="15" customHeight="1">
      <c r="A54" s="1316"/>
      <c r="B54" s="4984" t="s">
        <v>64</v>
      </c>
      <c r="C54" s="1734" t="s">
        <v>710</v>
      </c>
      <c r="D54" s="1293"/>
      <c r="E54" s="1294"/>
      <c r="F54" s="1294"/>
      <c r="G54" s="1294"/>
      <c r="H54" s="1294"/>
      <c r="I54" s="1294">
        <v>1</v>
      </c>
      <c r="J54" s="1294"/>
      <c r="K54" s="1294">
        <v>1.5</v>
      </c>
      <c r="L54" s="1294">
        <v>1.75</v>
      </c>
    </row>
    <row r="55" spans="1:12" ht="15" customHeight="1">
      <c r="A55" s="1316"/>
      <c r="B55" s="4982"/>
      <c r="C55" s="1734" t="s">
        <v>338</v>
      </c>
      <c r="D55" s="1293"/>
      <c r="E55" s="1294"/>
      <c r="F55" s="1294"/>
      <c r="G55" s="1294"/>
      <c r="H55" s="1294"/>
      <c r="I55" s="1294">
        <v>6</v>
      </c>
      <c r="J55" s="1294"/>
      <c r="K55" s="1294"/>
      <c r="L55" s="1294"/>
    </row>
    <row r="56" spans="1:12" ht="15" customHeight="1">
      <c r="A56" s="1316"/>
      <c r="B56" s="4985"/>
      <c r="C56" s="4719" t="s">
        <v>577</v>
      </c>
      <c r="D56" s="1293"/>
      <c r="E56" s="1294"/>
      <c r="F56" s="1294"/>
      <c r="G56" s="1294"/>
      <c r="H56" s="1294"/>
      <c r="I56" s="1294">
        <v>3.5</v>
      </c>
      <c r="J56" s="1294"/>
      <c r="K56" s="1294">
        <v>1.5</v>
      </c>
      <c r="L56" s="1294">
        <v>1.75</v>
      </c>
    </row>
    <row r="57" spans="1:12" ht="15" customHeight="1">
      <c r="A57" s="1316"/>
      <c r="B57" s="4094"/>
      <c r="C57" s="1421" t="s">
        <v>265</v>
      </c>
      <c r="D57" s="1420"/>
      <c r="E57" s="1397"/>
      <c r="F57" s="1397"/>
      <c r="G57" s="1397"/>
      <c r="H57" s="1397">
        <v>0</v>
      </c>
      <c r="I57" s="1397">
        <v>2.3333333333333335</v>
      </c>
      <c r="J57" s="1397">
        <v>0.19999999999999929</v>
      </c>
      <c r="K57" s="1397">
        <v>1.0900000000000001</v>
      </c>
      <c r="L57" s="1397">
        <v>1.0881818181818188</v>
      </c>
    </row>
    <row r="58" spans="1:12" ht="15" customHeight="1">
      <c r="A58" s="1316"/>
      <c r="B58" s="4978" t="s">
        <v>883</v>
      </c>
      <c r="C58" s="4979"/>
      <c r="D58" s="1403">
        <v>2.6799455872262894</v>
      </c>
      <c r="E58" s="1393">
        <v>3.3874345549738214</v>
      </c>
      <c r="F58" s="1412">
        <v>3.2621951219512195</v>
      </c>
      <c r="G58" s="1413">
        <v>2.2857142857142856</v>
      </c>
      <c r="H58" s="1393">
        <v>2.0533333333333292</v>
      </c>
      <c r="I58" s="1393">
        <v>2.7093023255813962</v>
      </c>
      <c r="J58" s="1393">
        <v>2.42</v>
      </c>
      <c r="K58" s="1393">
        <v>3.18</v>
      </c>
      <c r="L58" s="1733">
        <v>2.4444444444444446</v>
      </c>
    </row>
    <row r="59" spans="1:12" ht="15">
      <c r="A59" s="1316"/>
    </row>
    <row r="60" spans="1:12" ht="15">
      <c r="A60" s="1316"/>
    </row>
    <row r="61" spans="1:12" ht="15">
      <c r="A61" s="1316"/>
    </row>
    <row r="62" spans="1:12" ht="15">
      <c r="A62" s="1316"/>
    </row>
    <row r="63" spans="1:12" ht="15">
      <c r="A63" s="1316"/>
    </row>
    <row r="64" spans="1:12" ht="15">
      <c r="A64" s="1316"/>
    </row>
  </sheetData>
  <mergeCells count="12">
    <mergeCell ref="B58:C58"/>
    <mergeCell ref="B52:B53"/>
    <mergeCell ref="B5:B10"/>
    <mergeCell ref="B11:B14"/>
    <mergeCell ref="B15:B20"/>
    <mergeCell ref="B22:B29"/>
    <mergeCell ref="B30:B35"/>
    <mergeCell ref="B36:B39"/>
    <mergeCell ref="B41:B44"/>
    <mergeCell ref="B45:B48"/>
    <mergeCell ref="B49:B50"/>
    <mergeCell ref="B54:B5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7030A0"/>
  </sheetPr>
  <dimension ref="A1:T3574"/>
  <sheetViews>
    <sheetView showGridLines="0" zoomScaleNormal="100" zoomScaleSheetLayoutView="40" workbookViewId="0">
      <selection activeCell="C62" sqref="C62"/>
    </sheetView>
  </sheetViews>
  <sheetFormatPr baseColWidth="10" defaultColWidth="11.42578125" defaultRowHeight="15.75"/>
  <cols>
    <col min="1" max="1" width="18.42578125" style="494" customWidth="1"/>
    <col min="2" max="2" width="22.7109375" style="494" customWidth="1"/>
    <col min="3" max="3" width="38.85546875" style="1440" customWidth="1"/>
    <col min="4" max="4" width="46.28515625" style="494" customWidth="1"/>
    <col min="5" max="5" width="41" style="494" hidden="1" customWidth="1"/>
    <col min="6" max="10" width="9.7109375" style="495" customWidth="1"/>
    <col min="11" max="11" width="9.7109375" style="1523" hidden="1" customWidth="1"/>
    <col min="12" max="12" width="9.5703125" style="494" customWidth="1"/>
    <col min="13" max="18" width="9.7109375" style="494" customWidth="1"/>
    <col min="19" max="19" width="11.5703125" style="11" customWidth="1"/>
    <col min="20" max="16384" width="11.42578125" style="11"/>
  </cols>
  <sheetData>
    <row r="1" spans="1:19" ht="17.25" customHeight="1">
      <c r="K1" s="495"/>
      <c r="L1" s="495"/>
      <c r="M1" s="495"/>
      <c r="N1" s="495"/>
      <c r="O1" s="495"/>
      <c r="P1" s="495"/>
      <c r="Q1" s="495"/>
    </row>
    <row r="2" spans="1:19" ht="25.5">
      <c r="B2" s="1522"/>
      <c r="D2" s="4414" t="s">
        <v>1335</v>
      </c>
      <c r="E2" s="1522"/>
      <c r="F2" s="1522"/>
      <c r="G2" s="1522"/>
      <c r="H2" s="1522"/>
      <c r="I2" s="1522"/>
      <c r="J2" s="1522"/>
      <c r="K2" s="1522"/>
      <c r="L2" s="1522"/>
      <c r="M2" s="1522"/>
      <c r="N2" s="1522"/>
      <c r="O2" s="1522"/>
      <c r="P2" s="1522"/>
      <c r="Q2" s="1522"/>
      <c r="R2" s="1522"/>
    </row>
    <row r="3" spans="1:19" ht="20.25">
      <c r="B3" s="682"/>
      <c r="C3" s="682"/>
      <c r="D3" s="682"/>
      <c r="E3" s="682"/>
      <c r="F3" s="682"/>
      <c r="G3" s="682"/>
      <c r="H3" s="682"/>
      <c r="I3" s="682"/>
      <c r="J3" s="682"/>
      <c r="K3" s="682"/>
      <c r="L3" s="682"/>
      <c r="M3" s="682"/>
      <c r="N3" s="682"/>
      <c r="O3" s="682"/>
      <c r="P3" s="682"/>
      <c r="Q3" s="682"/>
      <c r="R3" s="682"/>
    </row>
    <row r="4" spans="1:19" ht="18" customHeight="1">
      <c r="A4" s="4810" t="s">
        <v>1299</v>
      </c>
      <c r="B4" s="4811"/>
      <c r="C4" s="4811"/>
      <c r="D4" s="4812"/>
      <c r="E4" s="4099" t="s">
        <v>1533</v>
      </c>
      <c r="F4" s="4823" t="s">
        <v>1223</v>
      </c>
      <c r="G4" s="4824"/>
      <c r="H4" s="4824"/>
      <c r="I4" s="4824"/>
      <c r="J4" s="4824"/>
      <c r="K4" s="4824"/>
      <c r="L4" s="4824"/>
      <c r="M4" s="4824"/>
      <c r="N4" s="4824"/>
      <c r="O4" s="4825"/>
      <c r="P4" s="4820" t="s">
        <v>1224</v>
      </c>
      <c r="Q4" s="4821"/>
      <c r="R4" s="4822"/>
    </row>
    <row r="5" spans="1:19" ht="32.25" thickBot="1">
      <c r="A5" s="4111" t="s">
        <v>1225</v>
      </c>
      <c r="B5" s="4111" t="s">
        <v>1532</v>
      </c>
      <c r="C5" s="4111" t="s">
        <v>1226</v>
      </c>
      <c r="D5" s="4111" t="s">
        <v>1227</v>
      </c>
      <c r="E5" s="4111" t="s">
        <v>1227</v>
      </c>
      <c r="F5" s="4112">
        <v>2010</v>
      </c>
      <c r="G5" s="4107">
        <v>2011</v>
      </c>
      <c r="H5" s="4107">
        <v>2012</v>
      </c>
      <c r="I5" s="4108">
        <v>2013</v>
      </c>
      <c r="J5" s="4108">
        <v>2014</v>
      </c>
      <c r="K5" s="4108">
        <v>2015</v>
      </c>
      <c r="L5" s="4108">
        <v>2015</v>
      </c>
      <c r="M5" s="4108">
        <v>2016</v>
      </c>
      <c r="N5" s="4108">
        <v>2017</v>
      </c>
      <c r="O5" s="4113">
        <v>2018</v>
      </c>
      <c r="P5" s="4114">
        <v>2013</v>
      </c>
      <c r="Q5" s="4109">
        <v>2017</v>
      </c>
      <c r="R5" s="4110">
        <v>2024</v>
      </c>
    </row>
    <row r="6" spans="1:19" ht="60" customHeight="1">
      <c r="A6" s="4816" t="s">
        <v>1699</v>
      </c>
      <c r="B6" s="4668" t="s">
        <v>1705</v>
      </c>
      <c r="C6" s="4419" t="s">
        <v>1544</v>
      </c>
      <c r="D6" s="4420"/>
      <c r="E6" s="4100" t="s">
        <v>1300</v>
      </c>
      <c r="F6" s="4101">
        <v>0.13700000000000001</v>
      </c>
      <c r="G6" s="4101">
        <v>0.12234848484848485</v>
      </c>
      <c r="H6" s="4101">
        <v>0.14153297682709448</v>
      </c>
      <c r="I6" s="4102">
        <v>0.15752514708673374</v>
      </c>
      <c r="J6" s="4102">
        <v>0.1452562326869806</v>
      </c>
      <c r="K6" s="4103">
        <v>0.16</v>
      </c>
      <c r="L6" s="3484">
        <v>0.13881188118811882</v>
      </c>
      <c r="M6" s="3484">
        <v>0.15794499618029029</v>
      </c>
      <c r="N6" s="3484">
        <v>0.14981273408239701</v>
      </c>
      <c r="O6" s="4722">
        <f>+D.1.!S102</f>
        <v>0.16965678627145087</v>
      </c>
      <c r="P6" s="4104">
        <v>0.16</v>
      </c>
      <c r="Q6" s="4105">
        <v>0.2</v>
      </c>
      <c r="R6" s="4106">
        <v>0.4</v>
      </c>
    </row>
    <row r="7" spans="1:19" ht="75">
      <c r="A7" s="4817"/>
      <c r="B7" s="4669" t="s">
        <v>1707</v>
      </c>
      <c r="C7" s="4417" t="s">
        <v>1301</v>
      </c>
      <c r="D7" s="4418"/>
      <c r="E7" s="1448" t="s">
        <v>1302</v>
      </c>
      <c r="F7" s="683">
        <v>0.41099999999999998</v>
      </c>
      <c r="G7" s="683">
        <v>0.41303269375410073</v>
      </c>
      <c r="H7" s="683">
        <v>0.41422026925953626</v>
      </c>
      <c r="I7" s="683">
        <v>0.42727580164171303</v>
      </c>
      <c r="J7" s="683">
        <v>0.42655201908792151</v>
      </c>
      <c r="K7" s="1524">
        <v>0.42</v>
      </c>
      <c r="L7" s="2040">
        <v>0.45</v>
      </c>
      <c r="M7" s="2951">
        <v>0.45353666554417021</v>
      </c>
      <c r="N7" s="3485">
        <v>0.46158823343749011</v>
      </c>
      <c r="O7" s="3462">
        <f>+D.2.!L103</f>
        <v>0.49111951415148392</v>
      </c>
      <c r="P7" s="4041">
        <v>0.42</v>
      </c>
      <c r="Q7" s="4042">
        <v>0.5</v>
      </c>
      <c r="R7" s="695">
        <v>0.6</v>
      </c>
    </row>
    <row r="8" spans="1:19" ht="75">
      <c r="A8" s="4415" t="s">
        <v>1700</v>
      </c>
      <c r="B8" s="4670" t="s">
        <v>1706</v>
      </c>
      <c r="C8" s="4417" t="s">
        <v>1303</v>
      </c>
      <c r="D8" s="4418"/>
      <c r="E8" s="1448" t="s">
        <v>1304</v>
      </c>
      <c r="F8" s="506">
        <v>3.6275236918006364</v>
      </c>
      <c r="G8" s="506">
        <v>3.6483812949640946</v>
      </c>
      <c r="H8" s="506">
        <v>3.5697475395806606</v>
      </c>
      <c r="I8" s="507">
        <v>3.751781027371603</v>
      </c>
      <c r="J8" s="507">
        <v>3.8583843571006149</v>
      </c>
      <c r="K8" s="1525">
        <v>3</v>
      </c>
      <c r="L8" s="2039">
        <v>3.9487079852341136</v>
      </c>
      <c r="M8" s="2949">
        <v>3.8599999999999994</v>
      </c>
      <c r="N8" s="3486">
        <v>4.1099999999999994</v>
      </c>
      <c r="O8" s="3463">
        <f>+D.3.!L101</f>
        <v>3.93</v>
      </c>
      <c r="P8" s="4043">
        <v>3</v>
      </c>
      <c r="Q8" s="4044">
        <v>3</v>
      </c>
      <c r="R8" s="688">
        <v>1.5</v>
      </c>
    </row>
    <row r="9" spans="1:19" ht="48">
      <c r="A9" s="4818" t="s">
        <v>1701</v>
      </c>
      <c r="B9" s="4671" t="s">
        <v>1708</v>
      </c>
      <c r="C9" s="4421" t="s">
        <v>1486</v>
      </c>
      <c r="D9" s="4422"/>
      <c r="E9" s="1448" t="s">
        <v>1305</v>
      </c>
      <c r="F9" s="525">
        <v>0.38007380073800739</v>
      </c>
      <c r="G9" s="525">
        <v>0.4788135593220339</v>
      </c>
      <c r="H9" s="525">
        <v>0.47783251231527096</v>
      </c>
      <c r="I9" s="683">
        <v>0.50340136054421769</v>
      </c>
      <c r="J9" s="683">
        <v>0.61643835616438358</v>
      </c>
      <c r="K9" s="1524">
        <v>0.4</v>
      </c>
      <c r="L9" s="2040">
        <v>0.51282051282051277</v>
      </c>
      <c r="M9" s="2951">
        <v>0.5</v>
      </c>
      <c r="N9" s="3485">
        <v>0.76271186440677963</v>
      </c>
      <c r="O9" s="3464">
        <f>+D.4.!L33</f>
        <v>0.70629370629370625</v>
      </c>
      <c r="P9" s="4041">
        <v>0.4</v>
      </c>
      <c r="Q9" s="4045">
        <v>0.55000000000000004</v>
      </c>
      <c r="R9" s="684">
        <v>0.6</v>
      </c>
    </row>
    <row r="10" spans="1:19" ht="54.95" customHeight="1">
      <c r="A10" s="4817"/>
      <c r="B10" s="4669" t="s">
        <v>1709</v>
      </c>
      <c r="C10" s="4421" t="s">
        <v>1487</v>
      </c>
      <c r="D10" s="4422"/>
      <c r="E10" s="1448" t="s">
        <v>1306</v>
      </c>
      <c r="F10" s="525">
        <v>0.32006920415224915</v>
      </c>
      <c r="G10" s="525">
        <v>0.33620689655172414</v>
      </c>
      <c r="H10" s="525">
        <v>0.33745583038869259</v>
      </c>
      <c r="I10" s="683">
        <v>0.33203125</v>
      </c>
      <c r="J10" s="683">
        <v>0.37235543018335682</v>
      </c>
      <c r="K10" s="1524">
        <v>0.35</v>
      </c>
      <c r="L10" s="2040">
        <v>0.34703947368421051</v>
      </c>
      <c r="M10" s="2951">
        <v>0.42040816326530611</v>
      </c>
      <c r="N10" s="3485">
        <v>0.36283185840707965</v>
      </c>
      <c r="O10" s="3462">
        <f>+D.5.!L83</f>
        <v>0.39586410635155095</v>
      </c>
      <c r="P10" s="4041">
        <v>0.35</v>
      </c>
      <c r="Q10" s="4045">
        <v>0.38</v>
      </c>
      <c r="R10" s="684">
        <v>0.6</v>
      </c>
    </row>
    <row r="11" spans="1:19" ht="54.95" customHeight="1">
      <c r="A11" s="4819"/>
      <c r="B11" s="4672" t="s">
        <v>1710</v>
      </c>
      <c r="C11" s="4421" t="s">
        <v>1488</v>
      </c>
      <c r="D11" s="4422"/>
      <c r="E11" s="1448" t="s">
        <v>1307</v>
      </c>
      <c r="F11" s="525">
        <v>0.38857142857142857</v>
      </c>
      <c r="G11" s="525">
        <v>0.28990228013029318</v>
      </c>
      <c r="H11" s="525">
        <v>0.34389140271493213</v>
      </c>
      <c r="I11" s="683">
        <v>0.29655172413793102</v>
      </c>
      <c r="J11" s="683">
        <v>0.36688311688311687</v>
      </c>
      <c r="K11" s="1524">
        <v>0.4</v>
      </c>
      <c r="L11" s="2040">
        <v>0.30967741935483872</v>
      </c>
      <c r="M11" s="2951">
        <v>0.32881355932203388</v>
      </c>
      <c r="N11" s="3485">
        <v>0.33214285714285713</v>
      </c>
      <c r="O11" s="3465">
        <f>+D.6.!L61</f>
        <v>0.31871345029239767</v>
      </c>
      <c r="P11" s="4041">
        <v>0.4</v>
      </c>
      <c r="Q11" s="4045">
        <v>0.41599999999999998</v>
      </c>
      <c r="R11" s="684">
        <v>0.6</v>
      </c>
    </row>
    <row r="12" spans="1:19" ht="76.5" customHeight="1">
      <c r="A12" s="4818" t="s">
        <v>1702</v>
      </c>
      <c r="B12" s="4671" t="s">
        <v>1712</v>
      </c>
      <c r="C12" s="4421" t="s">
        <v>1545</v>
      </c>
      <c r="D12" s="4423"/>
      <c r="E12" s="1448" t="s">
        <v>1308</v>
      </c>
      <c r="F12" s="506">
        <v>1.6250988142292486</v>
      </c>
      <c r="G12" s="506">
        <v>0.72682926829268346</v>
      </c>
      <c r="H12" s="506">
        <v>0.65806451612903338</v>
      </c>
      <c r="I12" s="507">
        <v>0.38043478260869606</v>
      </c>
      <c r="J12" s="507">
        <v>0.70707070707070707</v>
      </c>
      <c r="K12" s="1525">
        <v>1</v>
      </c>
      <c r="L12" s="2039">
        <v>0.84745762711864436</v>
      </c>
      <c r="M12" s="2949">
        <v>0.47464646464646459</v>
      </c>
      <c r="N12" s="3486">
        <v>0.87</v>
      </c>
      <c r="O12" s="3469">
        <f>+D.7.!L29</f>
        <v>0.59542056074766347</v>
      </c>
      <c r="P12" s="4043">
        <v>1</v>
      </c>
      <c r="Q12" s="4044">
        <v>0.5</v>
      </c>
      <c r="R12" s="688">
        <v>0.5</v>
      </c>
    </row>
    <row r="13" spans="1:19" ht="78" customHeight="1">
      <c r="A13" s="4817"/>
      <c r="B13" s="4669" t="s">
        <v>1711</v>
      </c>
      <c r="C13" s="4421" t="s">
        <v>1546</v>
      </c>
      <c r="D13" s="4423"/>
      <c r="E13" s="1448" t="s">
        <v>1309</v>
      </c>
      <c r="F13" s="506">
        <v>2.7813914865145883</v>
      </c>
      <c r="G13" s="506">
        <v>2.6129032258064511</v>
      </c>
      <c r="H13" s="506">
        <v>2.0676532769556029</v>
      </c>
      <c r="I13" s="507">
        <v>1.266075388026608</v>
      </c>
      <c r="J13" s="507">
        <v>1.2749490835030555</v>
      </c>
      <c r="K13" s="1525">
        <v>2</v>
      </c>
      <c r="L13" s="2039">
        <v>1.0210280373831775</v>
      </c>
      <c r="M13" s="2949">
        <v>0.9862884615384615</v>
      </c>
      <c r="N13" s="3486">
        <v>0.89132149901380664</v>
      </c>
      <c r="O13" s="3463">
        <f>+D.8.!L84</f>
        <v>1.1682912621359223</v>
      </c>
      <c r="P13" s="4043">
        <v>2</v>
      </c>
      <c r="Q13" s="4044">
        <v>0.7</v>
      </c>
      <c r="R13" s="688">
        <v>0.5</v>
      </c>
    </row>
    <row r="14" spans="1:19" ht="78.75" customHeight="1">
      <c r="A14" s="4819"/>
      <c r="B14" s="4669" t="s">
        <v>1713</v>
      </c>
      <c r="C14" s="4421" t="s">
        <v>1547</v>
      </c>
      <c r="D14" s="4423"/>
      <c r="E14" s="1448" t="s">
        <v>1310</v>
      </c>
      <c r="F14" s="506">
        <v>2.6799455872262894</v>
      </c>
      <c r="G14" s="506">
        <v>3.3874345549738214</v>
      </c>
      <c r="H14" s="506">
        <v>3.2621951219512195</v>
      </c>
      <c r="I14" s="507">
        <v>2.2857142857142856</v>
      </c>
      <c r="J14" s="507">
        <v>2.0533333333333292</v>
      </c>
      <c r="K14" s="1525">
        <v>2</v>
      </c>
      <c r="L14" s="2039">
        <v>2.7093023255813962</v>
      </c>
      <c r="M14" s="2949">
        <v>2.42</v>
      </c>
      <c r="N14" s="3486">
        <v>3.18</v>
      </c>
      <c r="O14" s="3463">
        <f>+D.9.!L58</f>
        <v>2.4444444444444446</v>
      </c>
      <c r="P14" s="4043">
        <v>2</v>
      </c>
      <c r="Q14" s="4044">
        <v>1.5</v>
      </c>
      <c r="R14" s="688">
        <v>1</v>
      </c>
    </row>
    <row r="15" spans="1:19" ht="40.5" customHeight="1">
      <c r="A15" s="4792" t="s">
        <v>1703</v>
      </c>
      <c r="B15" s="732" t="s">
        <v>1714</v>
      </c>
      <c r="C15" s="1446" t="s">
        <v>1311</v>
      </c>
      <c r="D15" s="1435" t="s">
        <v>1312</v>
      </c>
      <c r="E15" s="1448"/>
      <c r="F15" s="525">
        <v>0.78259999999999996</v>
      </c>
      <c r="G15" s="525">
        <v>0.75800000000000001</v>
      </c>
      <c r="H15" s="525">
        <v>0.73699999999999999</v>
      </c>
      <c r="I15" s="684">
        <v>0.73699999999999999</v>
      </c>
      <c r="J15" s="684">
        <v>0.73699999999999999</v>
      </c>
      <c r="K15" s="1524">
        <v>0.82</v>
      </c>
      <c r="L15" s="2040">
        <v>0.78610000000000002</v>
      </c>
      <c r="M15" s="2040">
        <v>0.74199999999999999</v>
      </c>
      <c r="N15" s="3485">
        <v>0.73499999999999999</v>
      </c>
      <c r="O15" s="3465">
        <f>+D.10.!F25</f>
        <v>0.71587819467101677</v>
      </c>
      <c r="P15" s="4041">
        <v>0.82</v>
      </c>
      <c r="Q15" s="4045">
        <v>0.82</v>
      </c>
      <c r="R15" s="684">
        <v>0.9</v>
      </c>
      <c r="S15" s="2734"/>
    </row>
    <row r="16" spans="1:19" ht="40.5" customHeight="1">
      <c r="A16" s="4794"/>
      <c r="B16" s="499" t="s">
        <v>1715</v>
      </c>
      <c r="C16" s="1441" t="s">
        <v>1311</v>
      </c>
      <c r="D16" s="1435" t="s">
        <v>1313</v>
      </c>
      <c r="E16" s="1448"/>
      <c r="F16" s="525">
        <v>0.88500000000000001</v>
      </c>
      <c r="G16" s="685">
        <v>0.86119999999999997</v>
      </c>
      <c r="H16" s="525">
        <v>0.85871453387376995</v>
      </c>
      <c r="I16" s="684">
        <v>0.82722126507506766</v>
      </c>
      <c r="J16" s="684">
        <v>0.83914331282752297</v>
      </c>
      <c r="K16" s="1524">
        <v>0.89</v>
      </c>
      <c r="L16" s="2040">
        <v>0.80300000000000005</v>
      </c>
      <c r="M16" s="2951">
        <v>0.8</v>
      </c>
      <c r="N16" s="3485">
        <v>0.78600000000000003</v>
      </c>
      <c r="O16" s="3465">
        <f>+D.11.!E18</f>
        <v>0.78470211793387168</v>
      </c>
      <c r="P16" s="4041">
        <v>0.89</v>
      </c>
      <c r="Q16" s="4045">
        <v>0.9</v>
      </c>
      <c r="R16" s="684">
        <v>0.9</v>
      </c>
      <c r="S16" s="2734"/>
    </row>
    <row r="17" spans="1:19" ht="60" customHeight="1">
      <c r="A17" s="4809" t="s">
        <v>1704</v>
      </c>
      <c r="B17" s="496" t="s">
        <v>1716</v>
      </c>
      <c r="C17" s="1441" t="s">
        <v>1314</v>
      </c>
      <c r="D17" s="699"/>
      <c r="E17" s="1448" t="s">
        <v>1315</v>
      </c>
      <c r="F17" s="525">
        <v>0.77</v>
      </c>
      <c r="G17" s="525">
        <v>0.80327868852459017</v>
      </c>
      <c r="H17" s="525">
        <v>0.81818181818181823</v>
      </c>
      <c r="I17" s="683">
        <v>0.78787878787878785</v>
      </c>
      <c r="J17" s="683">
        <v>0.76923076923076927</v>
      </c>
      <c r="K17" s="1524">
        <v>0.8</v>
      </c>
      <c r="L17" s="2040">
        <v>0.68571428571428572</v>
      </c>
      <c r="M17" s="2951">
        <v>0.45714285714285713</v>
      </c>
      <c r="N17" s="3485">
        <v>0.36</v>
      </c>
      <c r="O17" s="3465">
        <f>+D.12.!G32</f>
        <v>0.50666666666666671</v>
      </c>
      <c r="P17" s="4046">
        <v>0.8</v>
      </c>
      <c r="Q17" s="4042">
        <v>0.84699999999999998</v>
      </c>
      <c r="R17" s="502">
        <v>1</v>
      </c>
    </row>
    <row r="18" spans="1:19" ht="45" customHeight="1">
      <c r="A18" s="4793"/>
      <c r="B18" s="496" t="s">
        <v>1717</v>
      </c>
      <c r="C18" s="1441" t="s">
        <v>1316</v>
      </c>
      <c r="D18" s="699"/>
      <c r="E18" s="1448" t="s">
        <v>1317</v>
      </c>
      <c r="F18" s="525">
        <v>0.78100000000000003</v>
      </c>
      <c r="G18" s="525">
        <v>0.78666666666666663</v>
      </c>
      <c r="H18" s="525">
        <v>0.71264367816091956</v>
      </c>
      <c r="I18" s="683">
        <v>0.78888888888888886</v>
      </c>
      <c r="J18" s="683">
        <v>0.80219780219780223</v>
      </c>
      <c r="K18" s="1524">
        <v>0.85</v>
      </c>
      <c r="L18" s="2040">
        <v>0.74489795918367352</v>
      </c>
      <c r="M18" s="2951">
        <v>0.74747474747474751</v>
      </c>
      <c r="N18" s="3485">
        <v>0.68518518518518523</v>
      </c>
      <c r="O18" s="3465">
        <f>+D.13.!L32</f>
        <v>0.67272727272727273</v>
      </c>
      <c r="P18" s="4041">
        <v>0.85</v>
      </c>
      <c r="Q18" s="4045">
        <v>0.91200000000000003</v>
      </c>
      <c r="R18" s="502">
        <v>1</v>
      </c>
    </row>
    <row r="19" spans="1:19" ht="48">
      <c r="A19" s="4792" t="s">
        <v>1780</v>
      </c>
      <c r="B19" s="499" t="s">
        <v>1781</v>
      </c>
      <c r="C19" s="1520" t="s">
        <v>1318</v>
      </c>
      <c r="D19" s="700"/>
      <c r="E19" s="1448" t="s">
        <v>1319</v>
      </c>
      <c r="F19" s="525">
        <v>0.61111111111111116</v>
      </c>
      <c r="G19" s="525">
        <v>0.61333333333333329</v>
      </c>
      <c r="H19" s="525">
        <v>0.72368421052631582</v>
      </c>
      <c r="I19" s="683">
        <v>0.76315789473684215</v>
      </c>
      <c r="J19" s="683">
        <v>0.85526315789473684</v>
      </c>
      <c r="K19" s="1524">
        <v>0.7</v>
      </c>
      <c r="L19" s="2040">
        <v>0.82894736842105265</v>
      </c>
      <c r="M19" s="2951">
        <v>0.88311688311688308</v>
      </c>
      <c r="N19" s="3485">
        <v>0.60759493670886078</v>
      </c>
      <c r="O19" s="3465">
        <f>+D.14.!BI103</f>
        <v>0.37804878048780488</v>
      </c>
      <c r="P19" s="4041">
        <v>0.7</v>
      </c>
      <c r="Q19" s="4045">
        <v>0.87</v>
      </c>
      <c r="R19" s="502">
        <v>1</v>
      </c>
    </row>
    <row r="20" spans="1:19" ht="56.25" customHeight="1">
      <c r="A20" s="4794"/>
      <c r="B20" s="499" t="s">
        <v>1782</v>
      </c>
      <c r="C20" s="1441" t="s">
        <v>1320</v>
      </c>
      <c r="D20" s="699"/>
      <c r="E20" s="1448" t="s">
        <v>1321</v>
      </c>
      <c r="F20" s="525">
        <v>0.57534246575342463</v>
      </c>
      <c r="G20" s="525">
        <v>0.70666666666666667</v>
      </c>
      <c r="H20" s="525">
        <v>0.67777777777777781</v>
      </c>
      <c r="I20" s="683">
        <v>0.65555555555555556</v>
      </c>
      <c r="J20" s="683">
        <v>0.72527472527472525</v>
      </c>
      <c r="K20" s="1524">
        <v>0.6</v>
      </c>
      <c r="L20" s="2040">
        <v>0.76530612244897955</v>
      </c>
      <c r="M20" s="2951">
        <v>0.86868686868686873</v>
      </c>
      <c r="N20" s="3485">
        <v>0.76851851851851849</v>
      </c>
      <c r="O20" s="3465">
        <f>+D.15.!BH142</f>
        <v>0.73636363636363633</v>
      </c>
      <c r="P20" s="4041">
        <v>0.6</v>
      </c>
      <c r="Q20" s="4045">
        <v>0.8</v>
      </c>
      <c r="R20" s="502">
        <v>1</v>
      </c>
    </row>
    <row r="21" spans="1:19" ht="56.25" customHeight="1">
      <c r="A21" s="4809" t="s">
        <v>1783</v>
      </c>
      <c r="B21" s="1735" t="s">
        <v>1784</v>
      </c>
      <c r="C21" s="1736" t="s">
        <v>1322</v>
      </c>
      <c r="D21" s="1840"/>
      <c r="E21" s="1448"/>
      <c r="F21" s="525">
        <v>0.83499999999999996</v>
      </c>
      <c r="G21" s="525">
        <v>0.84139879901095016</v>
      </c>
      <c r="H21" s="683">
        <v>0.85473321858864026</v>
      </c>
      <c r="I21" s="683">
        <v>0.86848223181667217</v>
      </c>
      <c r="J21" s="683">
        <v>0.87089430894308939</v>
      </c>
      <c r="K21" s="1841"/>
      <c r="L21" s="2044">
        <v>0.87444231994901211</v>
      </c>
      <c r="M21" s="2952">
        <v>0.87828011381599747</v>
      </c>
      <c r="N21" s="3488">
        <v>0.86751302083333337</v>
      </c>
      <c r="O21" s="3467">
        <f>+'D.16. y 17'!Q33</f>
        <v>0.87564766839378239</v>
      </c>
      <c r="P21" s="4047">
        <v>0.85</v>
      </c>
      <c r="Q21" s="4045">
        <v>0.9</v>
      </c>
      <c r="R21" s="502">
        <v>0.93</v>
      </c>
    </row>
    <row r="22" spans="1:19" ht="56.25" customHeight="1">
      <c r="A22" s="4796"/>
      <c r="B22" s="1737" t="s">
        <v>1785</v>
      </c>
      <c r="C22" s="1708" t="s">
        <v>1491</v>
      </c>
      <c r="D22" s="1840"/>
      <c r="E22" s="1448"/>
      <c r="F22" s="525">
        <v>0.496</v>
      </c>
      <c r="G22" s="525">
        <v>0.51819145178382198</v>
      </c>
      <c r="H22" s="683">
        <v>0.53769363166953532</v>
      </c>
      <c r="I22" s="683">
        <v>0.55861839920292267</v>
      </c>
      <c r="J22" s="683">
        <v>0.56195121951219518</v>
      </c>
      <c r="K22" s="1841"/>
      <c r="L22" s="2044">
        <v>0.56309751434034416</v>
      </c>
      <c r="M22" s="2952">
        <v>0.5722415428390768</v>
      </c>
      <c r="N22" s="3488">
        <v>0.56803385416666663</v>
      </c>
      <c r="O22" s="3467">
        <f>+'D.16. y 17'!R33</f>
        <v>0.57707253886010368</v>
      </c>
      <c r="P22" s="4047">
        <v>0.52</v>
      </c>
      <c r="Q22" s="4045">
        <v>0.57999999999999996</v>
      </c>
      <c r="R22" s="502">
        <v>0.7</v>
      </c>
    </row>
    <row r="23" spans="1:19" ht="45">
      <c r="A23" s="4792" t="s">
        <v>1787</v>
      </c>
      <c r="B23" s="686" t="s">
        <v>1788</v>
      </c>
      <c r="C23" s="1446" t="s">
        <v>1489</v>
      </c>
      <c r="D23" s="547" t="s">
        <v>1323</v>
      </c>
      <c r="E23" s="1449"/>
      <c r="F23" s="687">
        <v>51922</v>
      </c>
      <c r="G23" s="687">
        <v>52888</v>
      </c>
      <c r="H23" s="687">
        <v>54364</v>
      </c>
      <c r="I23" s="687">
        <v>55967</v>
      </c>
      <c r="J23" s="687">
        <v>56606</v>
      </c>
      <c r="K23" s="1526">
        <v>54000</v>
      </c>
      <c r="L23" s="2045">
        <v>57092</v>
      </c>
      <c r="M23" s="2953">
        <v>57742</v>
      </c>
      <c r="N23" s="3489">
        <v>57827</v>
      </c>
      <c r="O23" s="3468">
        <f>+'D.18 y 19'!AB33</f>
        <v>58623</v>
      </c>
      <c r="P23" s="4048">
        <v>54000</v>
      </c>
      <c r="Q23" s="4049">
        <v>60000</v>
      </c>
      <c r="R23" s="522">
        <v>66500</v>
      </c>
    </row>
    <row r="24" spans="1:19" ht="45">
      <c r="A24" s="4794"/>
      <c r="B24" s="1433" t="s">
        <v>1789</v>
      </c>
      <c r="C24" s="1446" t="s">
        <v>1324</v>
      </c>
      <c r="D24" s="701"/>
      <c r="E24" s="1448" t="s">
        <v>1325</v>
      </c>
      <c r="F24" s="2962">
        <v>6.4000000000000001E-2</v>
      </c>
      <c r="G24" s="2962">
        <v>6.3908637119951595E-2</v>
      </c>
      <c r="H24" s="2962">
        <v>6.3203590611434032E-2</v>
      </c>
      <c r="I24" s="2962">
        <v>6.3E-2</v>
      </c>
      <c r="J24" s="2962">
        <v>6.5505423453344175E-2</v>
      </c>
      <c r="K24" s="2963">
        <v>7.0000000000000007E-2</v>
      </c>
      <c r="L24" s="2041">
        <v>6.5122959433896163E-2</v>
      </c>
      <c r="M24" s="2954">
        <v>6.6537355824183436E-2</v>
      </c>
      <c r="N24" s="3487">
        <v>6.6370380618050395E-2</v>
      </c>
      <c r="O24" s="3466">
        <f>+'D.18 y 19'!AC33</f>
        <v>6.5980928986916404E-2</v>
      </c>
      <c r="P24" s="4041">
        <v>7.0000000000000007E-2</v>
      </c>
      <c r="Q24" s="4045">
        <v>0.08</v>
      </c>
      <c r="R24" s="502">
        <v>0.2</v>
      </c>
    </row>
    <row r="25" spans="1:19" ht="105">
      <c r="A25" s="4424" t="s">
        <v>1791</v>
      </c>
      <c r="B25" s="4416" t="s">
        <v>1792</v>
      </c>
      <c r="C25" s="4417" t="s">
        <v>1490</v>
      </c>
      <c r="D25" s="4425"/>
      <c r="E25" s="1448" t="s">
        <v>1326</v>
      </c>
      <c r="F25" s="688" t="s">
        <v>271</v>
      </c>
      <c r="G25" s="689">
        <v>0.1514174163978951</v>
      </c>
      <c r="H25" s="689">
        <v>0.19812646370023418</v>
      </c>
      <c r="I25" s="689">
        <v>0.308236403646652</v>
      </c>
      <c r="J25" s="689">
        <v>0.24493047508690613</v>
      </c>
      <c r="K25" s="1527">
        <v>0.1</v>
      </c>
      <c r="L25" s="1710">
        <v>0.33764329512130098</v>
      </c>
      <c r="M25" s="2950">
        <v>0.30200580295193641</v>
      </c>
      <c r="N25" s="3487">
        <v>0.1325287356321839</v>
      </c>
      <c r="O25" s="4790">
        <f>+D.20.!F58</f>
        <v>0.21487424111014744</v>
      </c>
      <c r="P25" s="4050">
        <v>0.1</v>
      </c>
      <c r="Q25" s="4051">
        <v>0.37</v>
      </c>
      <c r="R25" s="684">
        <v>0.4</v>
      </c>
      <c r="S25" s="4394"/>
    </row>
    <row r="26" spans="1:19">
      <c r="A26" s="11"/>
      <c r="B26" s="11"/>
      <c r="C26" s="11"/>
      <c r="D26" s="11"/>
      <c r="E26" s="11"/>
      <c r="F26" s="11"/>
      <c r="G26" s="11"/>
      <c r="H26" s="11"/>
      <c r="I26" s="11"/>
      <c r="J26" s="11"/>
      <c r="K26" s="11"/>
      <c r="L26" s="11"/>
      <c r="M26" s="11"/>
      <c r="N26" s="11"/>
      <c r="O26" s="11"/>
      <c r="P26" s="11"/>
      <c r="Q26" s="11"/>
      <c r="R26" s="11"/>
    </row>
    <row r="27" spans="1:19">
      <c r="E27" s="99"/>
      <c r="F27" s="494"/>
      <c r="G27" s="494"/>
      <c r="H27" s="494"/>
      <c r="I27" s="494"/>
      <c r="J27" s="494"/>
      <c r="K27" s="494"/>
    </row>
    <row r="28" spans="1:19" ht="18" customHeight="1">
      <c r="A28" s="4813" t="s">
        <v>1327</v>
      </c>
      <c r="B28" s="4814"/>
      <c r="C28" s="4814"/>
      <c r="D28" s="4815"/>
      <c r="E28" s="1434" t="s">
        <v>1533</v>
      </c>
      <c r="F28" s="4803" t="s">
        <v>1223</v>
      </c>
      <c r="G28" s="4804"/>
      <c r="H28" s="4804"/>
      <c r="I28" s="4804"/>
      <c r="J28" s="4804"/>
      <c r="K28" s="4804"/>
      <c r="L28" s="4804"/>
      <c r="M28" s="4804"/>
      <c r="N28" s="4804"/>
      <c r="O28" s="4805"/>
      <c r="P28" s="4800" t="s">
        <v>1224</v>
      </c>
      <c r="Q28" s="4801"/>
      <c r="R28" s="4802"/>
    </row>
    <row r="29" spans="1:19" customFormat="1" ht="32.25" thickBot="1">
      <c r="A29" s="4111" t="s">
        <v>1225</v>
      </c>
      <c r="B29" s="4111" t="s">
        <v>1532</v>
      </c>
      <c r="C29" s="4111" t="s">
        <v>1226</v>
      </c>
      <c r="D29" s="4111" t="s">
        <v>1227</v>
      </c>
      <c r="E29" s="4111" t="s">
        <v>1227</v>
      </c>
      <c r="F29" s="4112">
        <v>2010</v>
      </c>
      <c r="G29" s="4107">
        <v>2011</v>
      </c>
      <c r="H29" s="4107">
        <v>2012</v>
      </c>
      <c r="I29" s="4108">
        <v>2013</v>
      </c>
      <c r="J29" s="4108">
        <v>2014</v>
      </c>
      <c r="K29" s="4108">
        <v>2015</v>
      </c>
      <c r="L29" s="4108">
        <v>2015</v>
      </c>
      <c r="M29" s="4108">
        <v>2016</v>
      </c>
      <c r="N29" s="4108">
        <v>2017</v>
      </c>
      <c r="O29" s="4113">
        <v>2018</v>
      </c>
      <c r="P29" s="4114">
        <v>2013</v>
      </c>
      <c r="Q29" s="4109">
        <v>2017</v>
      </c>
      <c r="R29" s="4110">
        <v>2024</v>
      </c>
    </row>
    <row r="30" spans="1:19" ht="60">
      <c r="A30" s="4792" t="s">
        <v>1794</v>
      </c>
      <c r="B30" s="546" t="s">
        <v>1800</v>
      </c>
      <c r="C30" s="1441" t="s">
        <v>1531</v>
      </c>
      <c r="D30" s="499"/>
      <c r="E30" s="528" t="s">
        <v>1328</v>
      </c>
      <c r="F30" s="502">
        <v>0.35184466019417476</v>
      </c>
      <c r="G30" s="502">
        <v>0.34845596645062904</v>
      </c>
      <c r="H30" s="684">
        <v>0.35336087119789711</v>
      </c>
      <c r="I30" s="684">
        <v>0.3922365988909427</v>
      </c>
      <c r="J30" s="684">
        <v>0.39289597680318955</v>
      </c>
      <c r="K30" s="1524">
        <v>0.38</v>
      </c>
      <c r="L30" s="1709">
        <v>0.40466642362376959</v>
      </c>
      <c r="M30" s="2951">
        <v>0.42825768667642755</v>
      </c>
      <c r="N30" s="3485">
        <v>0.42229484386347133</v>
      </c>
      <c r="O30" s="3462">
        <f>+I.21.!AC84</f>
        <v>0.40886167146974062</v>
      </c>
      <c r="P30" s="4041">
        <v>0.38</v>
      </c>
      <c r="Q30" s="4045">
        <v>0.41</v>
      </c>
      <c r="R30" s="684">
        <v>0.46</v>
      </c>
    </row>
    <row r="31" spans="1:19" ht="60">
      <c r="A31" s="4793"/>
      <c r="B31" s="546" t="s">
        <v>1801</v>
      </c>
      <c r="C31" s="1441" t="s">
        <v>1471</v>
      </c>
      <c r="D31" s="499"/>
      <c r="E31" s="528"/>
      <c r="F31" s="502">
        <v>0.66083150984682715</v>
      </c>
      <c r="G31" s="502">
        <v>0.62304021813224264</v>
      </c>
      <c r="H31" s="684">
        <v>0.60243277848911647</v>
      </c>
      <c r="I31" s="684">
        <v>0.63079667063020217</v>
      </c>
      <c r="J31" s="684">
        <v>0.62731481481481477</v>
      </c>
      <c r="K31" s="1524"/>
      <c r="L31" s="1709">
        <v>0.6281833616298812</v>
      </c>
      <c r="M31" s="2951">
        <v>0.64640883977900554</v>
      </c>
      <c r="N31" s="3485">
        <v>0.67</v>
      </c>
      <c r="O31" s="3462">
        <f>+I.22.!H83</f>
        <v>0.6369248035914703</v>
      </c>
      <c r="P31" s="4037"/>
      <c r="Q31" s="4045">
        <v>0.65</v>
      </c>
      <c r="R31" s="684">
        <v>0.7</v>
      </c>
    </row>
    <row r="32" spans="1:19" ht="67.5" customHeight="1">
      <c r="A32" s="4794"/>
      <c r="B32" s="546" t="s">
        <v>1802</v>
      </c>
      <c r="C32" s="1909" t="s">
        <v>1478</v>
      </c>
      <c r="D32" s="499"/>
      <c r="E32" s="528"/>
      <c r="F32" s="502">
        <v>0.51</v>
      </c>
      <c r="G32" s="502">
        <v>0.49590834697217678</v>
      </c>
      <c r="H32" s="684">
        <v>0.47031250000000002</v>
      </c>
      <c r="I32" s="684">
        <v>0.44353741496598642</v>
      </c>
      <c r="J32" s="684">
        <v>0.4434087882822903</v>
      </c>
      <c r="K32" s="1524"/>
      <c r="L32" s="2040">
        <v>0.46825396825396826</v>
      </c>
      <c r="M32" s="2951">
        <v>0.45703611457036114</v>
      </c>
      <c r="N32" s="3485">
        <v>0.48531289910600256</v>
      </c>
      <c r="O32" s="3462">
        <f>+I.23.!BE84</f>
        <v>0.49342105263157893</v>
      </c>
      <c r="P32" s="4037"/>
      <c r="Q32" s="4045">
        <v>0.48</v>
      </c>
      <c r="R32" s="684">
        <v>0.52</v>
      </c>
    </row>
    <row r="33" spans="1:20" ht="45">
      <c r="A33" s="508" t="s">
        <v>1795</v>
      </c>
      <c r="B33" s="499" t="s">
        <v>1804</v>
      </c>
      <c r="C33" s="1441" t="s">
        <v>1329</v>
      </c>
      <c r="D33" s="499"/>
      <c r="E33" s="528" t="s">
        <v>1330</v>
      </c>
      <c r="F33" s="508">
        <v>1.9</v>
      </c>
      <c r="G33" s="508">
        <v>3.9</v>
      </c>
      <c r="H33" s="692">
        <v>4.3672791821439141</v>
      </c>
      <c r="I33" s="693">
        <v>2.1</v>
      </c>
      <c r="J33" s="693">
        <v>2.1716292134831461</v>
      </c>
      <c r="K33" s="1525">
        <v>2.2999999999999998</v>
      </c>
      <c r="L33" s="693">
        <v>2.69</v>
      </c>
      <c r="M33" s="2949">
        <v>3.541143950669785</v>
      </c>
      <c r="N33" s="3486">
        <v>3.9443327974276525</v>
      </c>
      <c r="O33" s="3469">
        <f>+I.24.!H5</f>
        <v>5.4109125117591725</v>
      </c>
      <c r="P33" s="4043">
        <v>2.2999999999999998</v>
      </c>
      <c r="Q33" s="4044">
        <v>2.8</v>
      </c>
      <c r="R33" s="688">
        <v>3.1</v>
      </c>
      <c r="S33" s="2860"/>
      <c r="T33" s="2861"/>
    </row>
    <row r="34" spans="1:20" ht="75">
      <c r="A34" s="508" t="s">
        <v>1799</v>
      </c>
      <c r="B34" s="499" t="s">
        <v>1803</v>
      </c>
      <c r="C34" s="1441" t="s">
        <v>1472</v>
      </c>
      <c r="D34" s="499"/>
      <c r="E34" s="528" t="s">
        <v>1331</v>
      </c>
      <c r="F34" s="694">
        <v>4.5515541250479193E-2</v>
      </c>
      <c r="G34" s="694">
        <v>3.3728468433111856E-2</v>
      </c>
      <c r="H34" s="694">
        <v>3.2901193281015262E-2</v>
      </c>
      <c r="I34" s="695">
        <v>1.3883060691626665E-2</v>
      </c>
      <c r="J34" s="695">
        <v>3.1470644190112716E-2</v>
      </c>
      <c r="K34" s="1524">
        <v>0.06</v>
      </c>
      <c r="L34" s="2041">
        <v>4.0827540962266193E-2</v>
      </c>
      <c r="M34" s="2954">
        <v>3.2000000000000001E-2</v>
      </c>
      <c r="N34" s="3487">
        <v>1.3957390546569538E-2</v>
      </c>
      <c r="O34" s="3466">
        <f>+I.25!F43</f>
        <v>1.1734772553631473E-2</v>
      </c>
      <c r="P34" s="4041">
        <v>0.06</v>
      </c>
      <c r="Q34" s="4045">
        <v>0.06</v>
      </c>
      <c r="R34" s="684">
        <v>0.1</v>
      </c>
      <c r="S34" s="2734"/>
    </row>
    <row r="35" spans="1:20" ht="60">
      <c r="A35" s="4792" t="s">
        <v>1809</v>
      </c>
      <c r="B35" s="499" t="s">
        <v>1805</v>
      </c>
      <c r="C35" s="1441" t="s">
        <v>1494</v>
      </c>
      <c r="D35" s="499"/>
      <c r="E35" s="528"/>
      <c r="F35" s="1519">
        <v>1.5549514563106797</v>
      </c>
      <c r="G35" s="1519">
        <v>1.5549514563106797</v>
      </c>
      <c r="H35" s="1519">
        <v>1.5549514563106797</v>
      </c>
      <c r="I35" s="1519">
        <v>1.5549514563106797</v>
      </c>
      <c r="J35" s="1519">
        <v>1.5549514563106797</v>
      </c>
      <c r="K35" s="1524"/>
      <c r="L35" s="1519">
        <v>1.7</v>
      </c>
      <c r="M35" s="2955">
        <v>1.5051244509516837</v>
      </c>
      <c r="N35" s="3490">
        <v>1.565359477124183</v>
      </c>
      <c r="O35" s="3470">
        <f>+I.26.!AC82</f>
        <v>1.6811959654178674</v>
      </c>
      <c r="P35" s="4037"/>
      <c r="Q35" s="4052">
        <v>1.8</v>
      </c>
      <c r="R35" s="2955">
        <v>2</v>
      </c>
    </row>
    <row r="36" spans="1:20" ht="60">
      <c r="A36" s="4793"/>
      <c r="B36" s="499" t="s">
        <v>1806</v>
      </c>
      <c r="C36" s="1441" t="s">
        <v>1495</v>
      </c>
      <c r="D36" s="499"/>
      <c r="E36" s="528"/>
      <c r="F36" s="3414">
        <v>0.33126213592233011</v>
      </c>
      <c r="G36" s="3414">
        <v>0.31681280975981702</v>
      </c>
      <c r="H36" s="3414">
        <v>0.40818625610214043</v>
      </c>
      <c r="I36" s="3414">
        <v>0.40184842883548982</v>
      </c>
      <c r="J36" s="3414">
        <v>0.41500543675244655</v>
      </c>
      <c r="K36" s="3415"/>
      <c r="L36" s="3414">
        <v>0.4</v>
      </c>
      <c r="M36" s="3416">
        <v>0.36456808199121521</v>
      </c>
      <c r="N36" s="3491">
        <v>0.41793754538852579</v>
      </c>
      <c r="O36" s="4375">
        <f>+I.27.!AC82</f>
        <v>0.44236311239193082</v>
      </c>
      <c r="P36" s="4038"/>
      <c r="Q36" s="4053">
        <v>0.5</v>
      </c>
      <c r="R36" s="3416">
        <v>1</v>
      </c>
    </row>
    <row r="37" spans="1:20" ht="60">
      <c r="A37" s="4794"/>
      <c r="B37" s="499" t="s">
        <v>1807</v>
      </c>
      <c r="C37" s="1441" t="s">
        <v>1496</v>
      </c>
      <c r="D37" s="499"/>
      <c r="E37" s="528"/>
      <c r="F37" s="502">
        <v>0.21303696303696304</v>
      </c>
      <c r="G37" s="502">
        <v>0.20057929036929761</v>
      </c>
      <c r="H37" s="502">
        <v>0.22689463955637709</v>
      </c>
      <c r="I37" s="684">
        <v>0.25011504832029452</v>
      </c>
      <c r="J37" s="684">
        <v>0.26419012459621599</v>
      </c>
      <c r="K37" s="1524"/>
      <c r="L37" s="2040">
        <v>0.24190763918860594</v>
      </c>
      <c r="M37" s="2951">
        <v>0.24221789883268482</v>
      </c>
      <c r="N37" s="3485">
        <v>0.26699141730456971</v>
      </c>
      <c r="O37" s="3462">
        <f>+I.28.!AC82</f>
        <v>0.26312406256695953</v>
      </c>
      <c r="P37" s="4037"/>
      <c r="Q37" s="4045">
        <v>0.28000000000000003</v>
      </c>
      <c r="R37" s="684">
        <v>0.35</v>
      </c>
    </row>
    <row r="38" spans="1:20" ht="90">
      <c r="A38" s="508" t="s">
        <v>1808</v>
      </c>
      <c r="B38" s="499" t="s">
        <v>1811</v>
      </c>
      <c r="C38" s="1441" t="s">
        <v>1548</v>
      </c>
      <c r="D38" s="499"/>
      <c r="E38" s="528"/>
      <c r="F38" s="694"/>
      <c r="G38" s="694"/>
      <c r="H38" s="694">
        <v>3.919174023216776E-2</v>
      </c>
      <c r="I38" s="695">
        <v>4.218210808189804E-2</v>
      </c>
      <c r="J38" s="695">
        <v>3.6985605384519227E-2</v>
      </c>
      <c r="K38" s="1524"/>
      <c r="L38" s="2041">
        <v>4.0750214699574849E-2</v>
      </c>
      <c r="M38" s="2954">
        <v>4.1361021968411738E-2</v>
      </c>
      <c r="N38" s="3487">
        <v>3.9389648606213967E-2</v>
      </c>
      <c r="O38" s="3471">
        <f>+I.29.!Z88</f>
        <v>4.6102150566865729E-2</v>
      </c>
      <c r="P38" s="4037"/>
      <c r="Q38" s="4042">
        <v>4.4999999999999998E-2</v>
      </c>
      <c r="R38" s="695">
        <v>0.05</v>
      </c>
      <c r="S38" s="2734"/>
    </row>
    <row r="39" spans="1:20" ht="45">
      <c r="A39" s="508" t="s">
        <v>1810</v>
      </c>
      <c r="B39" s="499" t="s">
        <v>1814</v>
      </c>
      <c r="C39" s="1441" t="s">
        <v>1550</v>
      </c>
      <c r="D39" s="547"/>
      <c r="E39" s="528"/>
      <c r="F39" s="1536">
        <v>0.26353790613718414</v>
      </c>
      <c r="G39" s="1536">
        <v>0.25174825174825177</v>
      </c>
      <c r="H39" s="1536">
        <v>0.27972027972027974</v>
      </c>
      <c r="I39" s="1536">
        <v>0.28723404255319152</v>
      </c>
      <c r="J39" s="1536">
        <v>0.30324909747292417</v>
      </c>
      <c r="K39" s="1524"/>
      <c r="L39" s="2042">
        <v>0.31182795698924731</v>
      </c>
      <c r="M39" s="2952">
        <v>0.29602888086642598</v>
      </c>
      <c r="N39" s="3488">
        <v>0.30303030303030304</v>
      </c>
      <c r="O39" s="3467">
        <f>+I.30.!BC37</f>
        <v>0.31203007518796994</v>
      </c>
      <c r="P39" s="4039"/>
      <c r="Q39" s="4054">
        <v>0.33</v>
      </c>
      <c r="R39" s="1537">
        <v>0.4</v>
      </c>
    </row>
    <row r="40" spans="1:20">
      <c r="B40" s="113"/>
      <c r="C40" s="1442"/>
      <c r="D40" s="696"/>
      <c r="E40" s="236"/>
      <c r="F40" s="697"/>
      <c r="G40" s="697"/>
      <c r="H40" s="697"/>
      <c r="I40" s="697"/>
      <c r="J40" s="697"/>
      <c r="K40" s="697"/>
      <c r="L40" s="697"/>
      <c r="M40" s="697"/>
      <c r="N40" s="697"/>
      <c r="O40" s="697"/>
      <c r="P40" s="697"/>
      <c r="Q40" s="697"/>
      <c r="R40" s="697"/>
    </row>
    <row r="41" spans="1:20">
      <c r="E41" s="99"/>
      <c r="F41" s="494"/>
      <c r="G41" s="494"/>
      <c r="H41" s="494"/>
      <c r="I41" s="494"/>
      <c r="J41" s="494"/>
      <c r="K41" s="494"/>
    </row>
    <row r="42" spans="1:20" ht="18">
      <c r="A42" s="4813" t="s">
        <v>1860</v>
      </c>
      <c r="B42" s="4814"/>
      <c r="C42" s="4814"/>
      <c r="D42" s="4815"/>
      <c r="E42" s="1434" t="s">
        <v>1533</v>
      </c>
      <c r="F42" s="4803" t="s">
        <v>1223</v>
      </c>
      <c r="G42" s="4804"/>
      <c r="H42" s="4804"/>
      <c r="I42" s="4804"/>
      <c r="J42" s="4804"/>
      <c r="K42" s="4804"/>
      <c r="L42" s="4804"/>
      <c r="M42" s="4804"/>
      <c r="N42" s="4804"/>
      <c r="O42" s="4805"/>
      <c r="P42" s="4800" t="s">
        <v>1224</v>
      </c>
      <c r="Q42" s="4801"/>
      <c r="R42" s="4802"/>
    </row>
    <row r="43" spans="1:20" customFormat="1" ht="32.25" thickBot="1">
      <c r="A43" s="4111" t="s">
        <v>1225</v>
      </c>
      <c r="B43" s="4111" t="s">
        <v>1532</v>
      </c>
      <c r="C43" s="4111" t="s">
        <v>1226</v>
      </c>
      <c r="D43" s="4111" t="s">
        <v>1227</v>
      </c>
      <c r="E43" s="4111" t="s">
        <v>1227</v>
      </c>
      <c r="F43" s="4112">
        <v>2010</v>
      </c>
      <c r="G43" s="4107">
        <v>2011</v>
      </c>
      <c r="H43" s="4107">
        <v>2012</v>
      </c>
      <c r="I43" s="4108">
        <v>2013</v>
      </c>
      <c r="J43" s="4108">
        <v>2014</v>
      </c>
      <c r="K43" s="4108">
        <v>2015</v>
      </c>
      <c r="L43" s="4108">
        <v>2015</v>
      </c>
      <c r="M43" s="4108">
        <v>2016</v>
      </c>
      <c r="N43" s="4108">
        <v>2017</v>
      </c>
      <c r="O43" s="4113">
        <v>2018</v>
      </c>
      <c r="P43" s="4114">
        <v>2013</v>
      </c>
      <c r="Q43" s="4109">
        <v>2017</v>
      </c>
      <c r="R43" s="4110">
        <v>2024</v>
      </c>
    </row>
    <row r="44" spans="1:20" ht="75" hidden="1">
      <c r="A44" s="508" t="s">
        <v>1812</v>
      </c>
      <c r="B44" s="514" t="s">
        <v>1815</v>
      </c>
      <c r="C44" s="1441" t="s">
        <v>1332</v>
      </c>
      <c r="D44" s="700"/>
      <c r="E44" s="1448" t="s">
        <v>1333</v>
      </c>
      <c r="F44" s="523" t="s">
        <v>271</v>
      </c>
      <c r="G44" s="690">
        <v>0.30952380952380953</v>
      </c>
      <c r="H44" s="690">
        <v>0.21</v>
      </c>
      <c r="I44" s="691">
        <v>0.20714285714285713</v>
      </c>
      <c r="J44" s="691">
        <v>0.33</v>
      </c>
      <c r="K44" s="1528">
        <v>0.5</v>
      </c>
      <c r="L44" s="1711">
        <v>0.3</v>
      </c>
      <c r="M44" s="2873"/>
      <c r="N44" s="2947"/>
      <c r="O44" s="3472"/>
      <c r="P44" s="4055">
        <v>0.5</v>
      </c>
      <c r="Q44" s="4056">
        <v>0.35</v>
      </c>
      <c r="R44" s="698">
        <v>0.5</v>
      </c>
      <c r="S44" s="2872" t="s">
        <v>2318</v>
      </c>
      <c r="T44" s="2861"/>
    </row>
    <row r="45" spans="1:20" ht="41.25" customHeight="1">
      <c r="A45" s="508" t="s">
        <v>1813</v>
      </c>
      <c r="B45" s="499" t="s">
        <v>1816</v>
      </c>
      <c r="C45" s="1441" t="s">
        <v>1473</v>
      </c>
      <c r="D45" s="547" t="s">
        <v>1500</v>
      </c>
      <c r="E45" s="1448" t="s">
        <v>1334</v>
      </c>
      <c r="F45" s="687">
        <v>225</v>
      </c>
      <c r="G45" s="687">
        <v>248</v>
      </c>
      <c r="H45" s="687">
        <v>240</v>
      </c>
      <c r="I45" s="687">
        <v>293</v>
      </c>
      <c r="J45" s="687">
        <v>287</v>
      </c>
      <c r="K45" s="1525">
        <v>250</v>
      </c>
      <c r="L45" s="2043">
        <v>301</v>
      </c>
      <c r="M45" s="2956">
        <v>262</v>
      </c>
      <c r="N45" s="3483">
        <v>290</v>
      </c>
      <c r="O45" s="3473">
        <f>+C.32.!K30</f>
        <v>338</v>
      </c>
      <c r="P45" s="4043">
        <v>250</v>
      </c>
      <c r="Q45" s="4057">
        <v>350</v>
      </c>
      <c r="R45" s="2964">
        <v>500</v>
      </c>
      <c r="S45" s="4395"/>
    </row>
    <row r="46" spans="1:20" ht="45">
      <c r="A46" s="508" t="s">
        <v>1861</v>
      </c>
      <c r="B46" s="499" t="s">
        <v>1868</v>
      </c>
      <c r="C46" s="1441" t="s">
        <v>1474</v>
      </c>
      <c r="D46" s="702"/>
      <c r="E46" s="1448"/>
      <c r="F46" s="506"/>
      <c r="G46" s="503"/>
      <c r="H46" s="515">
        <v>0.15669642857142851</v>
      </c>
      <c r="I46" s="516">
        <v>3.0876109610189495E-3</v>
      </c>
      <c r="J46" s="516">
        <v>8.8495575221239076E-3</v>
      </c>
      <c r="K46" s="2963"/>
      <c r="L46" s="4090">
        <v>4.9580472921433305E-3</v>
      </c>
      <c r="M46" s="4091">
        <v>5.6925996204932883E-3</v>
      </c>
      <c r="N46" s="4092">
        <v>3.7735849056603765E-3</v>
      </c>
      <c r="O46" s="4093">
        <f>+C.33.!D12</f>
        <v>1.0150375939849576E-2</v>
      </c>
      <c r="P46" s="4040"/>
      <c r="Q46" s="4058">
        <v>0.01</v>
      </c>
      <c r="R46" s="1539">
        <v>0.02</v>
      </c>
      <c r="S46" s="4395"/>
    </row>
    <row r="47" spans="1:20" ht="20.25">
      <c r="B47" s="682"/>
      <c r="C47" s="682"/>
      <c r="D47" s="682"/>
      <c r="E47" s="682"/>
      <c r="F47" s="682"/>
      <c r="G47" s="682"/>
      <c r="H47" s="682"/>
      <c r="I47" s="682"/>
      <c r="J47" s="682"/>
      <c r="K47" s="682"/>
      <c r="L47" s="682"/>
      <c r="M47" s="682"/>
      <c r="N47" s="682"/>
      <c r="O47" s="682"/>
      <c r="P47" s="682"/>
      <c r="Q47" s="682"/>
      <c r="R47" s="682"/>
    </row>
    <row r="48" spans="1:20">
      <c r="F48" s="494"/>
      <c r="G48" s="494"/>
      <c r="H48" s="494"/>
      <c r="I48" s="494"/>
      <c r="J48" s="494"/>
      <c r="K48" s="494"/>
    </row>
    <row r="49" spans="1:20" ht="18">
      <c r="A49" s="4813" t="s">
        <v>1856</v>
      </c>
      <c r="B49" s="4814"/>
      <c r="C49" s="4814"/>
      <c r="D49" s="4815"/>
      <c r="E49" s="1434" t="s">
        <v>1533</v>
      </c>
      <c r="F49" s="4803" t="s">
        <v>1223</v>
      </c>
      <c r="G49" s="4804"/>
      <c r="H49" s="4804"/>
      <c r="I49" s="4804"/>
      <c r="J49" s="4804"/>
      <c r="K49" s="4804"/>
      <c r="L49" s="4804"/>
      <c r="M49" s="4804"/>
      <c r="N49" s="4804"/>
      <c r="O49" s="4805"/>
      <c r="P49" s="4800" t="s">
        <v>1224</v>
      </c>
      <c r="Q49" s="4801"/>
      <c r="R49" s="4802"/>
    </row>
    <row r="50" spans="1:20" customFormat="1" ht="32.25" thickBot="1">
      <c r="A50" s="4111" t="s">
        <v>1225</v>
      </c>
      <c r="B50" s="4111" t="s">
        <v>1532</v>
      </c>
      <c r="C50" s="4111" t="s">
        <v>1226</v>
      </c>
      <c r="D50" s="4111" t="s">
        <v>1227</v>
      </c>
      <c r="E50" s="4111" t="s">
        <v>1227</v>
      </c>
      <c r="F50" s="4112">
        <v>2010</v>
      </c>
      <c r="G50" s="4107">
        <v>2011</v>
      </c>
      <c r="H50" s="4107">
        <v>2012</v>
      </c>
      <c r="I50" s="4108">
        <v>2013</v>
      </c>
      <c r="J50" s="4108">
        <v>2014</v>
      </c>
      <c r="K50" s="4108">
        <v>2015</v>
      </c>
      <c r="L50" s="4108">
        <v>2015</v>
      </c>
      <c r="M50" s="4108">
        <v>2016</v>
      </c>
      <c r="N50" s="4108">
        <v>2017</v>
      </c>
      <c r="O50" s="4113">
        <v>2018</v>
      </c>
      <c r="P50" s="4114">
        <v>2013</v>
      </c>
      <c r="Q50" s="4109">
        <v>2017</v>
      </c>
      <c r="R50" s="4110">
        <v>2024</v>
      </c>
    </row>
    <row r="51" spans="1:20" ht="60.75" hidden="1">
      <c r="B51" s="497" t="s">
        <v>1228</v>
      </c>
      <c r="C51" s="1443" t="s">
        <v>1229</v>
      </c>
      <c r="D51" s="703"/>
      <c r="E51" s="1450" t="s">
        <v>1230</v>
      </c>
      <c r="F51" s="3409" t="s">
        <v>271</v>
      </c>
      <c r="G51" s="3409" t="s">
        <v>271</v>
      </c>
      <c r="H51" s="3409" t="s">
        <v>271</v>
      </c>
      <c r="I51" s="3410" t="s">
        <v>271</v>
      </c>
      <c r="J51" s="3411"/>
      <c r="K51" s="3412">
        <v>0.3</v>
      </c>
      <c r="L51" s="2948"/>
      <c r="M51" s="2948"/>
      <c r="N51" s="2948"/>
      <c r="O51" s="2948"/>
      <c r="P51" s="4059"/>
      <c r="Q51" s="4059"/>
      <c r="R51" s="498">
        <v>1</v>
      </c>
      <c r="T51"/>
    </row>
    <row r="52" spans="1:20" ht="45.75" customHeight="1">
      <c r="A52" s="4795" t="s">
        <v>1862</v>
      </c>
      <c r="B52" s="499" t="s">
        <v>1869</v>
      </c>
      <c r="C52" s="1441" t="s">
        <v>1231</v>
      </c>
      <c r="D52" s="699"/>
      <c r="E52" s="1448" t="s">
        <v>1232</v>
      </c>
      <c r="F52" s="3413">
        <v>-8.9737048015541804E-2</v>
      </c>
      <c r="G52" s="3413">
        <v>1.8097664104599884E-2</v>
      </c>
      <c r="H52" s="3413">
        <v>9.6817407578872972E-2</v>
      </c>
      <c r="I52" s="3413">
        <v>2.7702117437070857E-2</v>
      </c>
      <c r="J52" s="3413">
        <v>1.8808607166875595E-2</v>
      </c>
      <c r="K52" s="3413">
        <v>0.10215379956425058</v>
      </c>
      <c r="L52" s="3413">
        <v>0.10199999999999999</v>
      </c>
      <c r="M52" s="3413">
        <v>-1.9E-2</v>
      </c>
      <c r="N52" s="3487">
        <v>-6.8000000000000005E-2</v>
      </c>
      <c r="O52" s="3466">
        <f>+A.34.!G19</f>
        <v>2.2828407348137559E-2</v>
      </c>
      <c r="P52" s="4041">
        <v>0.03</v>
      </c>
      <c r="Q52" s="4045">
        <v>0.03</v>
      </c>
      <c r="R52" s="502">
        <v>0.04</v>
      </c>
      <c r="T52"/>
    </row>
    <row r="53" spans="1:20" ht="45.75" customHeight="1">
      <c r="A53" s="4796"/>
      <c r="B53" s="499" t="s">
        <v>1870</v>
      </c>
      <c r="C53" s="1441" t="s">
        <v>1233</v>
      </c>
      <c r="D53" s="699"/>
      <c r="E53" s="1448" t="s">
        <v>1234</v>
      </c>
      <c r="F53" s="509">
        <v>7.5861911602785326E-2</v>
      </c>
      <c r="G53" s="500">
        <v>5.6252575174334907E-2</v>
      </c>
      <c r="H53" s="500">
        <v>9.5070184089154228E-2</v>
      </c>
      <c r="I53" s="501">
        <v>3.9169734690045845E-2</v>
      </c>
      <c r="J53" s="501">
        <v>4.6145653843722476E-2</v>
      </c>
      <c r="K53" s="1524">
        <v>0.1</v>
      </c>
      <c r="L53" s="2040">
        <v>5.1431446233375831E-2</v>
      </c>
      <c r="M53" s="2951">
        <v>4.4123820981219211E-2</v>
      </c>
      <c r="N53" s="3487">
        <v>3.4064175838582518E-2</v>
      </c>
      <c r="O53" s="3466">
        <f>+A.35.!J9</f>
        <v>2.6656320671037462E-2</v>
      </c>
      <c r="P53" s="4041">
        <v>0.1</v>
      </c>
      <c r="Q53" s="4045">
        <v>0.1</v>
      </c>
      <c r="R53" s="684">
        <v>0.15</v>
      </c>
      <c r="T53"/>
    </row>
    <row r="54" spans="1:20" ht="69" customHeight="1">
      <c r="A54" s="4792" t="s">
        <v>1863</v>
      </c>
      <c r="B54" s="499" t="s">
        <v>1871</v>
      </c>
      <c r="C54" s="1441" t="s">
        <v>1235</v>
      </c>
      <c r="D54" s="547" t="s">
        <v>2866</v>
      </c>
      <c r="E54" s="1448" t="s">
        <v>1236</v>
      </c>
      <c r="F54" s="521" t="s">
        <v>1237</v>
      </c>
      <c r="G54" s="504" t="s">
        <v>1238</v>
      </c>
      <c r="H54" s="504" t="s">
        <v>1238</v>
      </c>
      <c r="I54" s="505" t="s">
        <v>1239</v>
      </c>
      <c r="J54" s="505" t="s">
        <v>1240</v>
      </c>
      <c r="K54" s="1529" t="s">
        <v>1241</v>
      </c>
      <c r="L54" s="2046" t="s">
        <v>3974</v>
      </c>
      <c r="M54" s="2957" t="s">
        <v>3975</v>
      </c>
      <c r="N54" s="3495" t="s">
        <v>3976</v>
      </c>
      <c r="O54" s="3475">
        <f>+A.36.!G14</f>
        <v>1.0418790968681719</v>
      </c>
      <c r="P54" s="4060" t="s">
        <v>1241</v>
      </c>
      <c r="Q54" s="4060" t="s">
        <v>1241</v>
      </c>
      <c r="R54" s="2965" t="s">
        <v>1242</v>
      </c>
      <c r="S54" s="4395"/>
      <c r="T54"/>
    </row>
    <row r="55" spans="1:20" ht="60">
      <c r="A55" s="4794"/>
      <c r="B55" s="499" t="s">
        <v>1872</v>
      </c>
      <c r="C55" s="1441" t="s">
        <v>1243</v>
      </c>
      <c r="D55" s="1445"/>
      <c r="E55" s="1448" t="s">
        <v>1244</v>
      </c>
      <c r="F55" s="1424">
        <v>0.82164291072768192</v>
      </c>
      <c r="G55" s="506">
        <v>0.82164291072768192</v>
      </c>
      <c r="H55" s="507">
        <v>0.81961731376555824</v>
      </c>
      <c r="I55" s="507">
        <v>0.81926811053024651</v>
      </c>
      <c r="J55" s="507">
        <v>0.81277372262773717</v>
      </c>
      <c r="K55" s="1525">
        <v>0.9</v>
      </c>
      <c r="L55" s="2039">
        <v>0.81604552964934829</v>
      </c>
      <c r="M55" s="2949">
        <v>0.8058428597350753</v>
      </c>
      <c r="N55" s="3486">
        <v>0.80615046677649638</v>
      </c>
      <c r="O55" s="3463">
        <f>+A.37.!M22</f>
        <v>0.80589949016751639</v>
      </c>
      <c r="P55" s="4044">
        <v>0.9</v>
      </c>
      <c r="Q55" s="4044">
        <v>0.9</v>
      </c>
      <c r="R55" s="688">
        <v>1.5</v>
      </c>
      <c r="T55"/>
    </row>
    <row r="56" spans="1:20" ht="48">
      <c r="A56" s="4795" t="s">
        <v>1864</v>
      </c>
      <c r="B56" s="499" t="s">
        <v>1873</v>
      </c>
      <c r="C56" s="1441" t="s">
        <v>1245</v>
      </c>
      <c r="D56" s="699"/>
      <c r="E56" s="1448" t="s">
        <v>1246</v>
      </c>
      <c r="F56" s="509">
        <v>0.15843033424702199</v>
      </c>
      <c r="G56" s="500">
        <v>0.12510299866566413</v>
      </c>
      <c r="H56" s="500">
        <v>4.5715443236822341E-2</v>
      </c>
      <c r="I56" s="501">
        <v>0.15242109181624777</v>
      </c>
      <c r="J56" s="501">
        <v>8.5820714942343029E-2</v>
      </c>
      <c r="K56" s="1524">
        <v>0.1</v>
      </c>
      <c r="L56" s="2041">
        <v>0.10030650502895806</v>
      </c>
      <c r="M56" s="2954">
        <v>9.6000000000000002E-2</v>
      </c>
      <c r="N56" s="3487">
        <v>5.904304023129036E-2</v>
      </c>
      <c r="O56" s="3474">
        <f>+A.38.!F44</f>
        <v>6.2012911702644058E-2</v>
      </c>
      <c r="P56" s="4045">
        <v>0.1</v>
      </c>
      <c r="Q56" s="4045">
        <v>0.08</v>
      </c>
      <c r="R56" s="684">
        <v>0.05</v>
      </c>
      <c r="T56"/>
    </row>
    <row r="57" spans="1:20" ht="48">
      <c r="A57" s="4796"/>
      <c r="B57" s="499" t="s">
        <v>1874</v>
      </c>
      <c r="C57" s="1441" t="s">
        <v>1247</v>
      </c>
      <c r="D57" s="699"/>
      <c r="E57" s="1448" t="s">
        <v>1248</v>
      </c>
      <c r="F57" s="509">
        <v>5.7379000235996153E-2</v>
      </c>
      <c r="G57" s="500">
        <v>6.6680872634037838E-2</v>
      </c>
      <c r="H57" s="500">
        <v>6.8905772228962547E-2</v>
      </c>
      <c r="I57" s="501">
        <v>0.11209202449465978</v>
      </c>
      <c r="J57" s="501">
        <v>0.10640451614318684</v>
      </c>
      <c r="K57" s="1524">
        <v>7.0000000000000007E-2</v>
      </c>
      <c r="L57" s="2041">
        <v>0.12324832761795072</v>
      </c>
      <c r="M57" s="2954">
        <v>0.122</v>
      </c>
      <c r="N57" s="3487">
        <v>0.14411560011689206</v>
      </c>
      <c r="O57" s="3466">
        <f>+A.39.!G44</f>
        <v>8.6819191305660737E-2</v>
      </c>
      <c r="P57" s="4045">
        <v>0.12</v>
      </c>
      <c r="Q57" s="4045">
        <v>0.13</v>
      </c>
      <c r="R57" s="684">
        <v>0.15</v>
      </c>
      <c r="T57"/>
    </row>
    <row r="58" spans="1:20" ht="47.25" customHeight="1">
      <c r="A58" s="4792" t="s">
        <v>1865</v>
      </c>
      <c r="B58" s="499" t="s">
        <v>1875</v>
      </c>
      <c r="C58" s="1446" t="s">
        <v>1249</v>
      </c>
      <c r="D58" s="701"/>
      <c r="E58" s="1448" t="s">
        <v>1250</v>
      </c>
      <c r="F58" s="1424">
        <v>13.168286755771568</v>
      </c>
      <c r="G58" s="506">
        <v>11.693290734824281</v>
      </c>
      <c r="H58" s="506">
        <v>9.9668068156671836</v>
      </c>
      <c r="I58" s="507">
        <v>9.2884156050955422</v>
      </c>
      <c r="J58" s="507">
        <v>9.2945660672400319</v>
      </c>
      <c r="K58" s="1525">
        <v>10</v>
      </c>
      <c r="L58" s="2039">
        <v>8.8084284136915709</v>
      </c>
      <c r="M58" s="2949">
        <v>10.659734513274337</v>
      </c>
      <c r="N58" s="3486">
        <v>10.73076070082058</v>
      </c>
      <c r="O58" s="3463">
        <f>+'A.40.-42.'!AO43</f>
        <v>10.70483239007401</v>
      </c>
      <c r="P58" s="4044">
        <v>8</v>
      </c>
      <c r="Q58" s="4044">
        <v>7</v>
      </c>
      <c r="R58" s="688">
        <v>5</v>
      </c>
      <c r="S58" s="4395"/>
      <c r="T58"/>
    </row>
    <row r="59" spans="1:20" ht="45">
      <c r="A59" s="4793"/>
      <c r="B59" s="499" t="s">
        <v>1876</v>
      </c>
      <c r="C59" s="1446" t="s">
        <v>1251</v>
      </c>
      <c r="D59" s="701"/>
      <c r="E59" s="1448" t="s">
        <v>1252</v>
      </c>
      <c r="F59" s="1424">
        <v>1.6409472880061116</v>
      </c>
      <c r="G59" s="506">
        <v>1.0245844064621867</v>
      </c>
      <c r="H59" s="506">
        <v>1.0557549653027041</v>
      </c>
      <c r="I59" s="507">
        <v>0.65402843601895733</v>
      </c>
      <c r="J59" s="507">
        <v>0.62882959198079913</v>
      </c>
      <c r="K59" s="1525">
        <v>1</v>
      </c>
      <c r="L59" s="2039">
        <v>0.87242394504416099</v>
      </c>
      <c r="M59" s="2949">
        <v>0.7773499037283389</v>
      </c>
      <c r="N59" s="3492">
        <v>0.70588235294117652</v>
      </c>
      <c r="O59" s="3477">
        <f>+'A.40.-42.'!AO44</f>
        <v>0.72976092333058529</v>
      </c>
      <c r="P59" s="4044">
        <v>1</v>
      </c>
      <c r="Q59" s="4044">
        <v>1</v>
      </c>
      <c r="R59" s="688">
        <v>1</v>
      </c>
      <c r="S59" s="4395"/>
      <c r="T59"/>
    </row>
    <row r="60" spans="1:20" ht="45">
      <c r="A60" s="4793"/>
      <c r="B60" s="499" t="s">
        <v>1877</v>
      </c>
      <c r="C60" s="1441" t="s">
        <v>1253</v>
      </c>
      <c r="D60" s="699"/>
      <c r="E60" s="1448" t="s">
        <v>1254</v>
      </c>
      <c r="F60" s="1425">
        <v>3.0465253239104828</v>
      </c>
      <c r="G60" s="506">
        <v>2.039785768936496</v>
      </c>
      <c r="H60" s="510">
        <v>1.6759028642590286</v>
      </c>
      <c r="I60" s="511">
        <v>0.93325305350077414</v>
      </c>
      <c r="J60" s="511">
        <v>0.9263015551048005</v>
      </c>
      <c r="K60" s="1530">
        <v>2</v>
      </c>
      <c r="L60" s="2039">
        <v>1.4413866102143424</v>
      </c>
      <c r="M60" s="2949">
        <v>1.22876254180602</v>
      </c>
      <c r="N60" s="3486">
        <v>1.147689075630252</v>
      </c>
      <c r="O60" s="3476">
        <f>+'A.40.-42.'!AO45</f>
        <v>0.86162535299654852</v>
      </c>
      <c r="P60" s="4061">
        <v>1</v>
      </c>
      <c r="Q60" s="4061">
        <v>1</v>
      </c>
      <c r="R60" s="2966">
        <v>1</v>
      </c>
      <c r="S60" s="4395"/>
      <c r="T60"/>
    </row>
    <row r="61" spans="1:20" ht="30.75" customHeight="1">
      <c r="A61" s="4794"/>
      <c r="B61" s="686" t="s">
        <v>1878</v>
      </c>
      <c r="C61" s="1446" t="s">
        <v>1255</v>
      </c>
      <c r="D61" s="547" t="s">
        <v>1256</v>
      </c>
      <c r="E61" s="1448" t="s">
        <v>1256</v>
      </c>
      <c r="F61" s="1426" t="s">
        <v>1257</v>
      </c>
      <c r="G61" s="512" t="s">
        <v>518</v>
      </c>
      <c r="H61" s="512" t="s">
        <v>1258</v>
      </c>
      <c r="I61" s="513" t="s">
        <v>1259</v>
      </c>
      <c r="J61" s="513" t="s">
        <v>1260</v>
      </c>
      <c r="K61" s="1525" t="s">
        <v>1261</v>
      </c>
      <c r="L61" s="513" t="s">
        <v>1260</v>
      </c>
      <c r="M61" s="2958" t="s">
        <v>1887</v>
      </c>
      <c r="N61" s="3493" t="s">
        <v>1887</v>
      </c>
      <c r="O61" s="3466" t="s">
        <v>1887</v>
      </c>
      <c r="P61" s="4044" t="s">
        <v>1261</v>
      </c>
      <c r="Q61" s="4044" t="s">
        <v>1857</v>
      </c>
      <c r="R61" s="688" t="s">
        <v>1262</v>
      </c>
      <c r="T61"/>
    </row>
    <row r="62" spans="1:20" ht="56.25" customHeight="1">
      <c r="A62" s="4792" t="s">
        <v>1866</v>
      </c>
      <c r="B62" s="514" t="s">
        <v>1879</v>
      </c>
      <c r="C62" s="1447" t="s">
        <v>1263</v>
      </c>
      <c r="D62" s="704"/>
      <c r="E62" s="1448" t="s">
        <v>1264</v>
      </c>
      <c r="F62" s="521" t="s">
        <v>271</v>
      </c>
      <c r="G62" s="515">
        <v>0.23600261976645739</v>
      </c>
      <c r="H62" s="515">
        <v>0.33510497358125907</v>
      </c>
      <c r="I62" s="516">
        <v>0.58133341449681175</v>
      </c>
      <c r="J62" s="516">
        <v>0.3513525698827773</v>
      </c>
      <c r="K62" s="1524">
        <v>0.2</v>
      </c>
      <c r="L62" s="2041">
        <v>0.59611250447868147</v>
      </c>
      <c r="M62" s="2954">
        <v>0.3126681846408611</v>
      </c>
      <c r="N62" s="3487">
        <v>0.76157414246462019</v>
      </c>
      <c r="O62" s="3466">
        <f>+A.44.!E11</f>
        <v>0.43623524605710451</v>
      </c>
      <c r="P62" s="4045">
        <v>0.37</v>
      </c>
      <c r="Q62" s="4045">
        <v>0.65</v>
      </c>
      <c r="R62" s="684">
        <v>0.7</v>
      </c>
      <c r="S62" s="4395"/>
      <c r="T62"/>
    </row>
    <row r="63" spans="1:20" ht="45" customHeight="1">
      <c r="A63" s="4793"/>
      <c r="B63" s="4808" t="s">
        <v>1880</v>
      </c>
      <c r="C63" s="1441" t="s">
        <v>1265</v>
      </c>
      <c r="D63" s="547" t="s">
        <v>1266</v>
      </c>
      <c r="E63" s="1448" t="s">
        <v>1266</v>
      </c>
      <c r="F63" s="1427">
        <v>83</v>
      </c>
      <c r="G63" s="517">
        <v>179</v>
      </c>
      <c r="H63" s="518">
        <v>151</v>
      </c>
      <c r="I63" s="519">
        <v>155</v>
      </c>
      <c r="J63" s="519">
        <v>115</v>
      </c>
      <c r="K63" s="1525">
        <v>120</v>
      </c>
      <c r="L63" s="2047">
        <v>129</v>
      </c>
      <c r="M63" s="2956">
        <v>155</v>
      </c>
      <c r="N63" s="3483">
        <v>188</v>
      </c>
      <c r="O63" s="3478">
        <f>+A.45.!E28</f>
        <v>213</v>
      </c>
      <c r="P63" s="4044">
        <v>170</v>
      </c>
      <c r="Q63" s="4044">
        <v>170</v>
      </c>
      <c r="R63" s="688">
        <v>200</v>
      </c>
      <c r="T63"/>
    </row>
    <row r="64" spans="1:20" ht="35.1" customHeight="1">
      <c r="A64" s="4794"/>
      <c r="B64" s="4798"/>
      <c r="C64" s="1441" t="s">
        <v>1267</v>
      </c>
      <c r="D64" s="547" t="s">
        <v>1530</v>
      </c>
      <c r="E64" s="1448" t="s">
        <v>1268</v>
      </c>
      <c r="F64" s="1428">
        <v>165033</v>
      </c>
      <c r="G64" s="521">
        <v>205482</v>
      </c>
      <c r="H64" s="520">
        <v>256086</v>
      </c>
      <c r="I64" s="522">
        <v>308184</v>
      </c>
      <c r="J64" s="522">
        <v>384931</v>
      </c>
      <c r="K64" s="1531">
        <v>200000</v>
      </c>
      <c r="L64" s="2047">
        <v>440904</v>
      </c>
      <c r="M64" s="2956">
        <v>225035</v>
      </c>
      <c r="N64" s="3483">
        <v>307894</v>
      </c>
      <c r="O64" s="3479">
        <f>+A.45.!B60</f>
        <v>356779</v>
      </c>
      <c r="P64" s="4062">
        <v>400000</v>
      </c>
      <c r="Q64" s="4062">
        <v>500000</v>
      </c>
      <c r="R64" s="522">
        <v>600000</v>
      </c>
    </row>
    <row r="65" spans="1:20" ht="24.95" customHeight="1">
      <c r="A65" s="4792" t="s">
        <v>1867</v>
      </c>
      <c r="B65" s="4791" t="s">
        <v>1858</v>
      </c>
      <c r="C65" s="1441" t="s">
        <v>1269</v>
      </c>
      <c r="D65" s="547" t="s">
        <v>1524</v>
      </c>
      <c r="E65" s="1448" t="s">
        <v>1524</v>
      </c>
      <c r="F65" s="1429">
        <v>5</v>
      </c>
      <c r="G65" s="523">
        <v>5</v>
      </c>
      <c r="H65" s="523">
        <v>2</v>
      </c>
      <c r="I65" s="524">
        <v>2</v>
      </c>
      <c r="J65" s="524">
        <v>4</v>
      </c>
      <c r="K65" s="1525">
        <v>3</v>
      </c>
      <c r="L65" s="2043">
        <v>3</v>
      </c>
      <c r="M65" s="2959">
        <v>4</v>
      </c>
      <c r="N65" s="3494">
        <v>4</v>
      </c>
      <c r="O65" s="3480">
        <v>5</v>
      </c>
      <c r="P65" s="4044">
        <v>2</v>
      </c>
      <c r="Q65" s="4044">
        <v>2</v>
      </c>
      <c r="R65" s="688">
        <v>1</v>
      </c>
    </row>
    <row r="66" spans="1:20" ht="24.95" customHeight="1">
      <c r="A66" s="4793"/>
      <c r="B66" s="4791"/>
      <c r="C66" s="1441" t="s">
        <v>1270</v>
      </c>
      <c r="D66" s="547" t="s">
        <v>1524</v>
      </c>
      <c r="E66" s="1448" t="s">
        <v>1271</v>
      </c>
      <c r="F66" s="1429">
        <v>22</v>
      </c>
      <c r="G66" s="512">
        <v>25</v>
      </c>
      <c r="H66" s="512">
        <v>21</v>
      </c>
      <c r="I66" s="513">
        <v>33</v>
      </c>
      <c r="J66" s="513">
        <v>35</v>
      </c>
      <c r="K66" s="1532">
        <v>15</v>
      </c>
      <c r="L66" s="2048">
        <v>36</v>
      </c>
      <c r="M66" s="2960">
        <v>30</v>
      </c>
      <c r="N66" s="3496">
        <v>32</v>
      </c>
      <c r="O66" s="3480">
        <v>29</v>
      </c>
      <c r="P66" s="4063">
        <v>20</v>
      </c>
      <c r="Q66" s="4063">
        <v>20</v>
      </c>
      <c r="R66" s="2967">
        <v>10</v>
      </c>
    </row>
    <row r="67" spans="1:20" ht="24.95" customHeight="1">
      <c r="A67" s="4793"/>
      <c r="B67" s="4791"/>
      <c r="C67" s="1441" t="s">
        <v>1272</v>
      </c>
      <c r="D67" s="547" t="s">
        <v>1524</v>
      </c>
      <c r="E67" s="1448" t="s">
        <v>1271</v>
      </c>
      <c r="F67" s="1429">
        <v>4</v>
      </c>
      <c r="G67" s="523">
        <v>4</v>
      </c>
      <c r="H67" s="523">
        <v>8</v>
      </c>
      <c r="I67" s="524">
        <v>8</v>
      </c>
      <c r="J67" s="524">
        <v>12</v>
      </c>
      <c r="K67" s="1525">
        <v>3</v>
      </c>
      <c r="L67" s="2043">
        <v>12</v>
      </c>
      <c r="M67" s="2959">
        <v>12</v>
      </c>
      <c r="N67" s="3494">
        <v>7</v>
      </c>
      <c r="O67" s="3481">
        <v>7</v>
      </c>
      <c r="P67" s="4044">
        <v>3</v>
      </c>
      <c r="Q67" s="4044">
        <v>3</v>
      </c>
      <c r="R67" s="688">
        <v>2</v>
      </c>
    </row>
    <row r="68" spans="1:20" ht="47.25" hidden="1" customHeight="1">
      <c r="A68" s="4793"/>
      <c r="B68" s="4797" t="s">
        <v>1859</v>
      </c>
      <c r="C68" s="1441" t="s">
        <v>1273</v>
      </c>
      <c r="D68" s="1435"/>
      <c r="E68" s="1448" t="s">
        <v>1274</v>
      </c>
      <c r="F68" s="509">
        <v>-1.8633540372670843E-2</v>
      </c>
      <c r="G68" s="500">
        <v>0.518987341772152</v>
      </c>
      <c r="H68" s="500">
        <v>8.3333333333333259E-2</v>
      </c>
      <c r="I68" s="501">
        <v>-0.2038461538461539</v>
      </c>
      <c r="J68" s="501">
        <v>-0.2560386473429952</v>
      </c>
      <c r="K68" s="1525">
        <v>0</v>
      </c>
      <c r="L68" s="2049">
        <v>-0.27922077922077926</v>
      </c>
      <c r="M68" s="2961"/>
      <c r="N68" s="3497"/>
      <c r="O68" s="3482"/>
      <c r="P68" s="4044">
        <v>0</v>
      </c>
      <c r="Q68" s="4044">
        <v>0</v>
      </c>
      <c r="R68" s="688">
        <v>0</v>
      </c>
      <c r="S68" s="2872" t="s">
        <v>2318</v>
      </c>
      <c r="T68" s="2861"/>
    </row>
    <row r="69" spans="1:20" ht="45" customHeight="1">
      <c r="A69" s="4794"/>
      <c r="B69" s="4798"/>
      <c r="C69" s="1441" t="s">
        <v>1275</v>
      </c>
      <c r="D69" s="1435"/>
      <c r="E69" s="1448" t="s">
        <v>1276</v>
      </c>
      <c r="F69" s="1430">
        <v>0.32</v>
      </c>
      <c r="G69" s="500">
        <v>0.34499999999999997</v>
      </c>
      <c r="H69" s="500">
        <v>-0.38998262541998396</v>
      </c>
      <c r="I69" s="501">
        <v>1.03594596620349</v>
      </c>
      <c r="J69" s="501">
        <v>0.36572638539379354</v>
      </c>
      <c r="K69" s="1524">
        <v>0.35</v>
      </c>
      <c r="L69" s="2041">
        <v>-0.30551019378894517</v>
      </c>
      <c r="M69" s="2954">
        <v>-0.16799616363643188</v>
      </c>
      <c r="N69" s="3487">
        <v>-0.19180013814919206</v>
      </c>
      <c r="O69" s="4469">
        <f>+A.47.2!AI30</f>
        <v>0.65640501407695395</v>
      </c>
      <c r="P69" s="4045">
        <v>0.4</v>
      </c>
      <c r="Q69" s="4045">
        <v>0.4</v>
      </c>
      <c r="R69" s="684">
        <v>0.5</v>
      </c>
    </row>
    <row r="70" spans="1:20" ht="15.75" customHeight="1">
      <c r="C70" s="1444"/>
      <c r="D70" s="11"/>
      <c r="E70" s="11"/>
      <c r="F70" s="11"/>
      <c r="G70" s="11"/>
      <c r="H70" s="11"/>
      <c r="I70" s="11"/>
      <c r="J70" s="11"/>
      <c r="K70" s="1533"/>
      <c r="L70" s="11"/>
      <c r="M70" s="11"/>
      <c r="N70" s="11"/>
      <c r="O70" s="11"/>
      <c r="P70" s="4806" t="s">
        <v>2865</v>
      </c>
      <c r="Q70" s="11"/>
      <c r="R70" s="11"/>
    </row>
    <row r="71" spans="1:20">
      <c r="C71" s="1444"/>
      <c r="D71" s="11"/>
      <c r="E71" s="11"/>
      <c r="F71" s="11"/>
      <c r="G71" s="11"/>
      <c r="H71" s="11"/>
      <c r="I71" s="11"/>
      <c r="J71" s="11"/>
      <c r="K71" s="1533"/>
      <c r="L71" s="11"/>
      <c r="M71" s="11"/>
      <c r="N71" s="11"/>
      <c r="O71" s="11"/>
      <c r="P71" s="4807"/>
      <c r="Q71" s="11"/>
      <c r="R71" s="11"/>
    </row>
    <row r="72" spans="1:20">
      <c r="C72" s="1444"/>
      <c r="D72" s="11"/>
      <c r="E72" s="11"/>
      <c r="F72" s="11"/>
      <c r="G72" s="11"/>
      <c r="H72" s="11"/>
      <c r="I72" s="11"/>
      <c r="J72" s="11"/>
      <c r="K72" s="1533"/>
      <c r="L72" s="11"/>
      <c r="M72" s="11"/>
      <c r="N72" s="11"/>
      <c r="O72" s="11"/>
      <c r="P72" s="4807"/>
      <c r="Q72" s="11"/>
      <c r="R72" s="11"/>
    </row>
    <row r="73" spans="1:20">
      <c r="E73" s="11"/>
      <c r="F73" s="11"/>
      <c r="G73" s="11"/>
      <c r="H73" s="11"/>
      <c r="I73" s="31"/>
      <c r="J73" s="11"/>
      <c r="K73" s="1533"/>
      <c r="L73" s="11"/>
      <c r="M73" s="11"/>
      <c r="N73" s="11"/>
      <c r="O73" s="11"/>
      <c r="P73" s="4807"/>
      <c r="Q73" s="11"/>
    </row>
    <row r="74" spans="1:20">
      <c r="E74" s="11"/>
      <c r="F74" s="11"/>
      <c r="G74" s="11"/>
      <c r="H74" s="11"/>
      <c r="I74" s="31"/>
      <c r="J74" s="11"/>
      <c r="K74" s="1533"/>
      <c r="L74" s="11"/>
      <c r="M74" s="11"/>
      <c r="N74" s="11"/>
      <c r="O74" s="11"/>
      <c r="P74" s="11"/>
      <c r="Q74" s="11"/>
    </row>
    <row r="75" spans="1:20">
      <c r="E75" s="11"/>
      <c r="F75" s="11"/>
      <c r="G75" s="11"/>
      <c r="H75" s="11"/>
      <c r="I75" s="31"/>
      <c r="J75" s="11"/>
      <c r="K75" s="1533"/>
      <c r="L75" s="11"/>
      <c r="M75" s="11"/>
      <c r="N75" s="11"/>
      <c r="O75" s="11"/>
      <c r="P75" s="11"/>
      <c r="Q75" s="11"/>
    </row>
    <row r="76" spans="1:20">
      <c r="E76" s="11"/>
      <c r="F76" s="11"/>
      <c r="G76" s="11"/>
      <c r="H76" s="11"/>
      <c r="J76" s="11"/>
      <c r="K76" s="1533"/>
      <c r="L76" s="11"/>
      <c r="M76" s="11"/>
      <c r="N76" s="11"/>
      <c r="O76" s="11"/>
      <c r="P76" s="11"/>
      <c r="Q76" s="11"/>
    </row>
    <row r="77" spans="1:20">
      <c r="E77" s="11"/>
      <c r="J77" s="11"/>
      <c r="K77" s="1533"/>
      <c r="L77" s="11"/>
      <c r="M77" s="11"/>
      <c r="N77" s="11"/>
      <c r="O77" s="11"/>
      <c r="P77" s="11"/>
      <c r="Q77" s="11"/>
    </row>
    <row r="78" spans="1:20">
      <c r="D78" s="11"/>
      <c r="E78" s="11"/>
      <c r="F78" s="4799"/>
      <c r="J78" s="11"/>
      <c r="K78" s="1533"/>
      <c r="L78" s="11"/>
      <c r="M78" s="11"/>
      <c r="N78" s="11"/>
      <c r="O78" s="11"/>
      <c r="P78" s="11"/>
      <c r="Q78" s="11"/>
    </row>
    <row r="79" spans="1:20">
      <c r="C79" s="107"/>
      <c r="D79" s="11"/>
      <c r="E79" s="11"/>
      <c r="F79" s="4799"/>
      <c r="J79" s="11"/>
      <c r="K79" s="1533"/>
      <c r="L79" s="11"/>
      <c r="M79" s="11"/>
      <c r="N79" s="11"/>
      <c r="O79" s="11"/>
      <c r="P79" s="11"/>
      <c r="Q79" s="11"/>
    </row>
    <row r="80" spans="1:20">
      <c r="J80" s="11"/>
      <c r="K80" s="1533"/>
      <c r="L80" s="11"/>
      <c r="M80" s="11"/>
      <c r="N80" s="11"/>
      <c r="O80" s="11"/>
      <c r="P80" s="11"/>
      <c r="Q80" s="11"/>
    </row>
    <row r="81" spans="10:17">
      <c r="J81" s="11"/>
      <c r="K81" s="1533"/>
      <c r="L81" s="11"/>
      <c r="M81" s="11"/>
      <c r="N81" s="11"/>
      <c r="O81" s="11"/>
      <c r="P81" s="11"/>
      <c r="Q81" s="11"/>
    </row>
    <row r="82" spans="10:17">
      <c r="J82" s="11"/>
      <c r="K82" s="1533"/>
      <c r="L82" s="11"/>
      <c r="M82" s="11"/>
      <c r="N82" s="11"/>
      <c r="O82" s="11"/>
      <c r="P82" s="11"/>
      <c r="Q82" s="11"/>
    </row>
    <row r="83" spans="10:17">
      <c r="J83" s="11"/>
      <c r="K83" s="1533"/>
      <c r="L83" s="11"/>
      <c r="M83" s="11"/>
      <c r="N83" s="11"/>
      <c r="O83" s="11"/>
      <c r="P83" s="11"/>
      <c r="Q83" s="11"/>
    </row>
    <row r="84" spans="10:17">
      <c r="J84" s="11"/>
      <c r="K84" s="1533"/>
      <c r="L84" s="11"/>
      <c r="M84" s="11"/>
      <c r="N84" s="11"/>
      <c r="O84" s="11"/>
      <c r="P84" s="11"/>
      <c r="Q84" s="11"/>
    </row>
    <row r="85" spans="10:17">
      <c r="J85" s="11"/>
      <c r="K85" s="1533"/>
      <c r="L85" s="11"/>
      <c r="M85" s="11"/>
      <c r="N85" s="11"/>
      <c r="O85" s="11"/>
      <c r="P85" s="11"/>
      <c r="Q85" s="11"/>
    </row>
    <row r="86" spans="10:17">
      <c r="J86" s="11"/>
      <c r="K86" s="1533"/>
      <c r="L86" s="11"/>
      <c r="M86" s="11"/>
      <c r="N86" s="11"/>
      <c r="O86" s="11"/>
      <c r="P86" s="11"/>
      <c r="Q86" s="11"/>
    </row>
    <row r="87" spans="10:17">
      <c r="J87" s="11"/>
      <c r="K87" s="1533"/>
      <c r="L87" s="11"/>
      <c r="M87" s="11"/>
      <c r="N87" s="11"/>
      <c r="O87" s="11"/>
      <c r="P87" s="11"/>
      <c r="Q87" s="11"/>
    </row>
    <row r="88" spans="10:17">
      <c r="J88" s="11"/>
      <c r="K88" s="1533"/>
      <c r="L88" s="11"/>
      <c r="M88" s="11"/>
      <c r="N88" s="11"/>
      <c r="O88" s="11"/>
      <c r="P88" s="11"/>
      <c r="Q88" s="11"/>
    </row>
    <row r="89" spans="10:17">
      <c r="J89" s="11"/>
      <c r="K89" s="1533"/>
      <c r="L89" s="11"/>
      <c r="M89" s="11"/>
      <c r="N89" s="11"/>
      <c r="O89" s="11"/>
      <c r="P89" s="11"/>
      <c r="Q89" s="11"/>
    </row>
    <row r="90" spans="10:17">
      <c r="J90" s="11"/>
      <c r="K90" s="1533"/>
      <c r="L90" s="11"/>
      <c r="M90" s="11"/>
      <c r="N90" s="11"/>
      <c r="O90" s="11"/>
      <c r="P90" s="11"/>
      <c r="Q90" s="11"/>
    </row>
    <row r="91" spans="10:17">
      <c r="J91" s="11"/>
      <c r="K91" s="1533"/>
      <c r="L91" s="11"/>
      <c r="M91" s="11"/>
      <c r="N91" s="11"/>
      <c r="O91" s="11"/>
      <c r="P91" s="11"/>
      <c r="Q91" s="11"/>
    </row>
    <row r="92" spans="10:17">
      <c r="J92" s="11"/>
      <c r="K92" s="1533"/>
      <c r="L92" s="11"/>
      <c r="M92" s="11"/>
      <c r="N92" s="11"/>
      <c r="O92" s="11"/>
      <c r="P92" s="11"/>
      <c r="Q92" s="11"/>
    </row>
    <row r="93" spans="10:17">
      <c r="J93" s="11"/>
      <c r="K93" s="1533"/>
      <c r="L93" s="11"/>
      <c r="M93" s="11"/>
      <c r="N93" s="11"/>
      <c r="O93" s="11"/>
      <c r="P93" s="11"/>
      <c r="Q93" s="11"/>
    </row>
    <row r="94" spans="10:17">
      <c r="J94" s="11"/>
      <c r="K94" s="1533"/>
      <c r="L94" s="11"/>
      <c r="M94" s="11"/>
      <c r="N94" s="11"/>
      <c r="O94" s="11"/>
      <c r="P94" s="11"/>
      <c r="Q94" s="11"/>
    </row>
    <row r="95" spans="10:17">
      <c r="J95" s="11"/>
      <c r="K95" s="1533"/>
      <c r="L95" s="11"/>
      <c r="M95" s="11"/>
      <c r="N95" s="11"/>
      <c r="O95" s="11"/>
      <c r="P95" s="11"/>
      <c r="Q95" s="11"/>
    </row>
    <row r="96" spans="10:17">
      <c r="J96" s="11"/>
      <c r="K96" s="1533"/>
      <c r="L96" s="11"/>
      <c r="M96" s="11"/>
      <c r="N96" s="11"/>
      <c r="O96" s="11"/>
      <c r="P96" s="11"/>
      <c r="Q96" s="11"/>
    </row>
    <row r="97" spans="10:17">
      <c r="J97" s="11"/>
      <c r="K97" s="1533"/>
      <c r="L97" s="11"/>
      <c r="M97" s="11"/>
      <c r="N97" s="11"/>
      <c r="O97" s="11"/>
      <c r="P97" s="11"/>
      <c r="Q97" s="11"/>
    </row>
    <row r="98" spans="10:17">
      <c r="J98" s="11"/>
      <c r="K98" s="1533"/>
      <c r="L98" s="11"/>
      <c r="M98" s="11"/>
      <c r="N98" s="11"/>
      <c r="O98" s="11"/>
      <c r="P98" s="11"/>
      <c r="Q98" s="11"/>
    </row>
    <row r="99" spans="10:17">
      <c r="J99" s="11"/>
      <c r="K99" s="1533"/>
      <c r="L99" s="11"/>
      <c r="M99" s="11"/>
      <c r="N99" s="11"/>
      <c r="O99" s="11"/>
      <c r="P99" s="11"/>
      <c r="Q99" s="11"/>
    </row>
    <row r="100" spans="10:17">
      <c r="J100" s="11"/>
      <c r="K100" s="1533"/>
      <c r="L100" s="11"/>
      <c r="M100" s="11"/>
      <c r="N100" s="11"/>
      <c r="O100" s="11"/>
      <c r="P100" s="11"/>
      <c r="Q100" s="11"/>
    </row>
    <row r="101" spans="10:17">
      <c r="J101" s="11"/>
      <c r="K101" s="1533"/>
      <c r="L101" s="11"/>
      <c r="M101" s="11"/>
      <c r="N101" s="11"/>
      <c r="O101" s="11"/>
      <c r="P101" s="11"/>
      <c r="Q101" s="11"/>
    </row>
    <row r="102" spans="10:17">
      <c r="J102" s="11"/>
      <c r="K102" s="1533"/>
      <c r="L102" s="11"/>
      <c r="M102" s="11"/>
      <c r="N102" s="11"/>
      <c r="O102" s="11"/>
      <c r="P102" s="11"/>
      <c r="Q102" s="11"/>
    </row>
    <row r="103" spans="10:17">
      <c r="J103" s="11"/>
      <c r="K103" s="1533"/>
      <c r="L103" s="11"/>
      <c r="M103" s="11"/>
      <c r="N103" s="11"/>
      <c r="O103" s="11"/>
      <c r="P103" s="11"/>
      <c r="Q103" s="11"/>
    </row>
    <row r="104" spans="10:17">
      <c r="J104" s="11"/>
      <c r="K104" s="1533"/>
      <c r="L104" s="11"/>
      <c r="M104" s="11"/>
      <c r="N104" s="11"/>
      <c r="O104" s="11"/>
      <c r="P104" s="11"/>
      <c r="Q104" s="11"/>
    </row>
    <row r="105" spans="10:17">
      <c r="J105" s="11"/>
      <c r="K105" s="1533"/>
      <c r="L105" s="11"/>
      <c r="M105" s="11"/>
      <c r="N105" s="11"/>
      <c r="O105" s="11"/>
      <c r="P105" s="11"/>
      <c r="Q105" s="11"/>
    </row>
    <row r="106" spans="10:17">
      <c r="J106" s="11"/>
      <c r="K106" s="1533"/>
      <c r="L106" s="11"/>
      <c r="M106" s="11"/>
      <c r="N106" s="11"/>
      <c r="O106" s="11"/>
      <c r="P106" s="11"/>
      <c r="Q106" s="11"/>
    </row>
    <row r="107" spans="10:17">
      <c r="J107" s="11"/>
      <c r="K107" s="1533"/>
      <c r="L107" s="11"/>
      <c r="M107" s="11"/>
      <c r="N107" s="11"/>
      <c r="O107" s="11"/>
      <c r="P107" s="11"/>
      <c r="Q107" s="11"/>
    </row>
    <row r="108" spans="10:17">
      <c r="J108" s="11"/>
      <c r="K108" s="1533"/>
      <c r="L108" s="11"/>
      <c r="M108" s="11"/>
      <c r="N108" s="11"/>
      <c r="O108" s="11"/>
      <c r="P108" s="11"/>
      <c r="Q108" s="11"/>
    </row>
    <row r="109" spans="10:17">
      <c r="J109" s="11"/>
      <c r="K109" s="1533"/>
      <c r="L109" s="11"/>
      <c r="M109" s="11"/>
      <c r="N109" s="11"/>
      <c r="O109" s="11"/>
      <c r="P109" s="11"/>
      <c r="Q109" s="11"/>
    </row>
    <row r="110" spans="10:17">
      <c r="J110" s="11"/>
      <c r="K110" s="1533"/>
      <c r="L110" s="11"/>
      <c r="M110" s="11"/>
      <c r="N110" s="11"/>
      <c r="O110" s="11"/>
      <c r="P110" s="11"/>
      <c r="Q110" s="11"/>
    </row>
    <row r="111" spans="10:17">
      <c r="J111" s="11"/>
      <c r="K111" s="1533"/>
      <c r="L111" s="11"/>
      <c r="M111" s="11"/>
      <c r="N111" s="11"/>
      <c r="O111" s="11"/>
      <c r="P111" s="11"/>
      <c r="Q111" s="11"/>
    </row>
    <row r="112" spans="10:17">
      <c r="J112" s="11"/>
      <c r="K112" s="1533"/>
      <c r="L112" s="11"/>
      <c r="M112" s="11"/>
      <c r="N112" s="11"/>
      <c r="O112" s="11"/>
      <c r="P112" s="11"/>
      <c r="Q112" s="11"/>
    </row>
    <row r="113" spans="10:17">
      <c r="J113" s="11"/>
      <c r="K113" s="1533"/>
      <c r="L113" s="11"/>
      <c r="M113" s="11"/>
      <c r="N113" s="11"/>
      <c r="O113" s="11"/>
      <c r="P113" s="11"/>
      <c r="Q113" s="11"/>
    </row>
    <row r="114" spans="10:17">
      <c r="J114" s="11"/>
      <c r="K114" s="1533"/>
      <c r="L114" s="11"/>
      <c r="M114" s="11"/>
      <c r="N114" s="11"/>
      <c r="O114" s="11"/>
      <c r="P114" s="11"/>
      <c r="Q114" s="11"/>
    </row>
    <row r="115" spans="10:17">
      <c r="J115" s="11"/>
      <c r="K115" s="1533"/>
      <c r="L115" s="11"/>
      <c r="M115" s="11"/>
      <c r="N115" s="11"/>
      <c r="O115" s="11"/>
      <c r="P115" s="11"/>
      <c r="Q115" s="11"/>
    </row>
    <row r="116" spans="10:17">
      <c r="J116" s="11"/>
      <c r="K116" s="1533"/>
      <c r="L116" s="11"/>
      <c r="M116" s="11"/>
      <c r="N116" s="11"/>
      <c r="O116" s="11"/>
      <c r="P116" s="11"/>
      <c r="Q116" s="11"/>
    </row>
    <row r="117" spans="10:17">
      <c r="J117" s="11"/>
      <c r="K117" s="1533"/>
      <c r="L117" s="11"/>
      <c r="M117" s="11"/>
      <c r="N117" s="11"/>
      <c r="O117" s="11"/>
      <c r="P117" s="11"/>
      <c r="Q117" s="11"/>
    </row>
    <row r="118" spans="10:17">
      <c r="J118" s="11"/>
      <c r="K118" s="1533"/>
      <c r="L118" s="11"/>
      <c r="M118" s="11"/>
      <c r="N118" s="11"/>
      <c r="O118" s="11"/>
      <c r="P118" s="11"/>
      <c r="Q118" s="11"/>
    </row>
    <row r="119" spans="10:17">
      <c r="J119" s="11"/>
      <c r="K119" s="1533"/>
      <c r="L119" s="11"/>
      <c r="M119" s="11"/>
      <c r="N119" s="11"/>
      <c r="O119" s="11"/>
      <c r="P119" s="11"/>
      <c r="Q119" s="11"/>
    </row>
    <row r="120" spans="10:17">
      <c r="J120" s="11"/>
      <c r="K120" s="1533"/>
      <c r="L120" s="11"/>
      <c r="M120" s="11"/>
      <c r="N120" s="11"/>
      <c r="O120" s="11"/>
      <c r="P120" s="11"/>
      <c r="Q120" s="11"/>
    </row>
    <row r="121" spans="10:17">
      <c r="J121" s="11"/>
      <c r="K121" s="1533"/>
      <c r="L121" s="11"/>
      <c r="M121" s="11"/>
      <c r="N121" s="11"/>
      <c r="O121" s="11"/>
      <c r="P121" s="11"/>
      <c r="Q121" s="11"/>
    </row>
    <row r="122" spans="10:17">
      <c r="J122" s="11"/>
      <c r="K122" s="1533"/>
      <c r="L122" s="11"/>
      <c r="M122" s="11"/>
      <c r="N122" s="11"/>
      <c r="O122" s="11"/>
      <c r="P122" s="11"/>
      <c r="Q122" s="11"/>
    </row>
    <row r="123" spans="10:17">
      <c r="J123" s="11"/>
      <c r="K123" s="1533"/>
      <c r="L123" s="11"/>
      <c r="M123" s="11"/>
      <c r="N123" s="11"/>
      <c r="O123" s="11"/>
      <c r="P123" s="11"/>
      <c r="Q123" s="11"/>
    </row>
    <row r="124" spans="10:17">
      <c r="J124" s="11"/>
      <c r="K124" s="1533"/>
      <c r="L124" s="11"/>
      <c r="M124" s="11"/>
      <c r="N124" s="11"/>
      <c r="O124" s="11"/>
      <c r="P124" s="11"/>
      <c r="Q124" s="11"/>
    </row>
    <row r="125" spans="10:17">
      <c r="J125" s="11"/>
      <c r="K125" s="1533"/>
      <c r="L125" s="11"/>
      <c r="M125" s="11"/>
      <c r="N125" s="11"/>
      <c r="O125" s="11"/>
      <c r="P125" s="11"/>
      <c r="Q125" s="11"/>
    </row>
    <row r="126" spans="10:17">
      <c r="J126" s="11"/>
      <c r="K126" s="1533"/>
      <c r="L126" s="11"/>
      <c r="M126" s="11"/>
      <c r="N126" s="11"/>
      <c r="O126" s="11"/>
      <c r="P126" s="11"/>
      <c r="Q126" s="11"/>
    </row>
    <row r="127" spans="10:17">
      <c r="J127" s="11"/>
      <c r="K127" s="1533"/>
      <c r="L127" s="11"/>
      <c r="M127" s="11"/>
      <c r="N127" s="11"/>
      <c r="O127" s="11"/>
      <c r="P127" s="11"/>
      <c r="Q127" s="11"/>
    </row>
    <row r="128" spans="10:17">
      <c r="J128" s="11"/>
      <c r="K128" s="1533"/>
      <c r="L128" s="11"/>
      <c r="M128" s="11"/>
      <c r="N128" s="11"/>
      <c r="O128" s="11"/>
      <c r="P128" s="11"/>
      <c r="Q128" s="11"/>
    </row>
    <row r="129" spans="10:17">
      <c r="J129" s="11"/>
      <c r="K129" s="1533"/>
      <c r="L129" s="11"/>
      <c r="M129" s="11"/>
      <c r="N129" s="11"/>
      <c r="O129" s="11"/>
      <c r="P129" s="11"/>
      <c r="Q129" s="11"/>
    </row>
    <row r="130" spans="10:17">
      <c r="J130" s="11"/>
      <c r="K130" s="1533"/>
      <c r="L130" s="11"/>
      <c r="M130" s="11"/>
      <c r="N130" s="11"/>
      <c r="O130" s="11"/>
      <c r="P130" s="11"/>
      <c r="Q130" s="11"/>
    </row>
    <row r="131" spans="10:17">
      <c r="J131" s="11"/>
      <c r="K131" s="1533"/>
      <c r="L131" s="11"/>
      <c r="M131" s="11"/>
      <c r="N131" s="11"/>
      <c r="O131" s="11"/>
      <c r="P131" s="11"/>
      <c r="Q131" s="11"/>
    </row>
    <row r="132" spans="10:17">
      <c r="J132" s="11"/>
      <c r="K132" s="1533"/>
      <c r="L132" s="11"/>
      <c r="M132" s="11"/>
      <c r="N132" s="11"/>
      <c r="O132" s="11"/>
      <c r="P132" s="11"/>
      <c r="Q132" s="11"/>
    </row>
    <row r="133" spans="10:17">
      <c r="J133" s="11"/>
      <c r="K133" s="1533"/>
      <c r="L133" s="11"/>
      <c r="M133" s="11"/>
      <c r="N133" s="11"/>
      <c r="O133" s="11"/>
      <c r="P133" s="11"/>
      <c r="Q133" s="11"/>
    </row>
    <row r="134" spans="10:17">
      <c r="J134" s="11"/>
      <c r="K134" s="1533"/>
      <c r="L134" s="11"/>
      <c r="M134" s="11"/>
      <c r="N134" s="11"/>
      <c r="O134" s="11"/>
      <c r="P134" s="11"/>
      <c r="Q134" s="11"/>
    </row>
    <row r="135" spans="10:17">
      <c r="J135" s="11"/>
      <c r="K135" s="1533"/>
      <c r="L135" s="11"/>
      <c r="M135" s="11"/>
      <c r="N135" s="11"/>
      <c r="O135" s="11"/>
      <c r="P135" s="11"/>
      <c r="Q135" s="11"/>
    </row>
    <row r="136" spans="10:17">
      <c r="J136" s="11"/>
      <c r="K136" s="1533"/>
      <c r="L136" s="11"/>
      <c r="M136" s="11"/>
      <c r="N136" s="11"/>
      <c r="O136" s="11"/>
      <c r="P136" s="11"/>
      <c r="Q136" s="11"/>
    </row>
    <row r="137" spans="10:17">
      <c r="J137" s="11"/>
      <c r="K137" s="1533"/>
      <c r="L137" s="11"/>
      <c r="M137" s="11"/>
      <c r="N137" s="11"/>
      <c r="O137" s="11"/>
      <c r="P137" s="11"/>
      <c r="Q137" s="11"/>
    </row>
    <row r="138" spans="10:17">
      <c r="J138" s="11"/>
      <c r="K138" s="1533"/>
      <c r="L138" s="11"/>
      <c r="M138" s="11"/>
      <c r="N138" s="11"/>
      <c r="O138" s="11"/>
      <c r="P138" s="11"/>
      <c r="Q138" s="11"/>
    </row>
    <row r="139" spans="10:17">
      <c r="J139" s="11"/>
      <c r="K139" s="1533"/>
      <c r="L139" s="11"/>
      <c r="M139" s="11"/>
      <c r="N139" s="11"/>
      <c r="O139" s="11"/>
      <c r="P139" s="11"/>
      <c r="Q139" s="11"/>
    </row>
    <row r="140" spans="10:17">
      <c r="J140" s="11"/>
      <c r="K140" s="1533"/>
      <c r="L140" s="11"/>
      <c r="M140" s="11"/>
      <c r="N140" s="11"/>
      <c r="O140" s="11"/>
      <c r="P140" s="11"/>
      <c r="Q140" s="11"/>
    </row>
    <row r="141" spans="10:17">
      <c r="J141" s="11"/>
      <c r="K141" s="1533"/>
      <c r="L141" s="11"/>
      <c r="M141" s="11"/>
      <c r="N141" s="11"/>
      <c r="O141" s="11"/>
      <c r="P141" s="11"/>
      <c r="Q141" s="11"/>
    </row>
    <row r="142" spans="10:17">
      <c r="J142" s="11"/>
      <c r="K142" s="1533"/>
      <c r="L142" s="11"/>
      <c r="M142" s="11"/>
      <c r="N142" s="11"/>
      <c r="O142" s="11"/>
      <c r="P142" s="11"/>
      <c r="Q142" s="11"/>
    </row>
    <row r="143" spans="10:17">
      <c r="J143" s="11"/>
      <c r="K143" s="1533"/>
      <c r="L143" s="11"/>
      <c r="M143" s="11"/>
      <c r="N143" s="11"/>
      <c r="O143" s="11"/>
      <c r="P143" s="11"/>
      <c r="Q143" s="11"/>
    </row>
    <row r="144" spans="10:17">
      <c r="J144" s="11"/>
      <c r="K144" s="1533"/>
      <c r="L144" s="11"/>
      <c r="M144" s="11"/>
      <c r="N144" s="11"/>
      <c r="O144" s="11"/>
      <c r="P144" s="11"/>
      <c r="Q144" s="11"/>
    </row>
    <row r="145" spans="10:17">
      <c r="J145" s="11"/>
      <c r="K145" s="1533"/>
      <c r="L145" s="11"/>
      <c r="M145" s="11"/>
      <c r="N145" s="11"/>
      <c r="O145" s="11"/>
      <c r="P145" s="11"/>
      <c r="Q145" s="11"/>
    </row>
    <row r="146" spans="10:17">
      <c r="J146" s="11"/>
      <c r="K146" s="1533"/>
      <c r="L146" s="11"/>
      <c r="M146" s="11"/>
      <c r="N146" s="11"/>
      <c r="O146" s="11"/>
      <c r="P146" s="11"/>
      <c r="Q146" s="11"/>
    </row>
    <row r="147" spans="10:17">
      <c r="J147" s="11"/>
      <c r="K147" s="1533"/>
      <c r="L147" s="11"/>
      <c r="M147" s="11"/>
      <c r="N147" s="11"/>
      <c r="O147" s="11"/>
      <c r="P147" s="11"/>
      <c r="Q147" s="11"/>
    </row>
    <row r="148" spans="10:17">
      <c r="J148" s="11"/>
      <c r="K148" s="1533"/>
      <c r="L148" s="11"/>
      <c r="M148" s="11"/>
      <c r="N148" s="11"/>
      <c r="O148" s="11"/>
      <c r="P148" s="11"/>
      <c r="Q148" s="11"/>
    </row>
    <row r="149" spans="10:17">
      <c r="J149" s="11"/>
      <c r="K149" s="1533"/>
      <c r="L149" s="11"/>
      <c r="M149" s="11"/>
      <c r="N149" s="11"/>
      <c r="O149" s="11"/>
      <c r="P149" s="11"/>
      <c r="Q149" s="11"/>
    </row>
    <row r="150" spans="10:17">
      <c r="J150" s="11"/>
      <c r="K150" s="1533"/>
      <c r="L150" s="11"/>
      <c r="M150" s="11"/>
      <c r="N150" s="11"/>
      <c r="O150" s="11"/>
      <c r="P150" s="11"/>
      <c r="Q150" s="11"/>
    </row>
    <row r="151" spans="10:17">
      <c r="J151" s="11"/>
      <c r="K151" s="1533"/>
      <c r="L151" s="11"/>
      <c r="M151" s="11"/>
      <c r="N151" s="11"/>
      <c r="O151" s="11"/>
      <c r="P151" s="11"/>
      <c r="Q151" s="11"/>
    </row>
    <row r="152" spans="10:17">
      <c r="J152" s="11"/>
      <c r="K152" s="1533"/>
      <c r="L152" s="11"/>
      <c r="M152" s="11"/>
      <c r="N152" s="11"/>
      <c r="O152" s="11"/>
      <c r="P152" s="11"/>
      <c r="Q152" s="11"/>
    </row>
    <row r="153" spans="10:17">
      <c r="J153" s="11"/>
      <c r="K153" s="1533"/>
      <c r="L153" s="11"/>
      <c r="M153" s="11"/>
      <c r="N153" s="11"/>
      <c r="O153" s="11"/>
      <c r="P153" s="11"/>
      <c r="Q153" s="11"/>
    </row>
    <row r="154" spans="10:17">
      <c r="J154" s="11"/>
      <c r="K154" s="1533"/>
      <c r="L154" s="11"/>
      <c r="M154" s="11"/>
      <c r="N154" s="11"/>
      <c r="O154" s="11"/>
      <c r="P154" s="11"/>
      <c r="Q154" s="11"/>
    </row>
    <row r="155" spans="10:17">
      <c r="J155" s="11"/>
      <c r="K155" s="1533"/>
      <c r="L155" s="11"/>
      <c r="M155" s="11"/>
      <c r="N155" s="11"/>
      <c r="O155" s="11"/>
      <c r="P155" s="11"/>
      <c r="Q155" s="11"/>
    </row>
    <row r="156" spans="10:17">
      <c r="J156" s="11"/>
      <c r="K156" s="1533"/>
      <c r="L156" s="11"/>
      <c r="M156" s="11"/>
      <c r="N156" s="11"/>
      <c r="O156" s="11"/>
      <c r="P156" s="11"/>
      <c r="Q156" s="11"/>
    </row>
    <row r="157" spans="10:17">
      <c r="J157" s="11"/>
      <c r="K157" s="1533"/>
      <c r="L157" s="11"/>
      <c r="M157" s="11"/>
      <c r="N157" s="11"/>
      <c r="O157" s="11"/>
      <c r="P157" s="11"/>
      <c r="Q157" s="11"/>
    </row>
    <row r="158" spans="10:17">
      <c r="J158" s="11"/>
      <c r="K158" s="1533"/>
      <c r="L158" s="11"/>
      <c r="M158" s="11"/>
      <c r="N158" s="11"/>
      <c r="O158" s="11"/>
      <c r="P158" s="11"/>
      <c r="Q158" s="11"/>
    </row>
    <row r="159" spans="10:17">
      <c r="J159" s="11"/>
      <c r="K159" s="1533"/>
      <c r="L159" s="11"/>
      <c r="M159" s="11"/>
      <c r="N159" s="11"/>
      <c r="O159" s="11"/>
      <c r="P159" s="11"/>
      <c r="Q159" s="11"/>
    </row>
    <row r="160" spans="10:17">
      <c r="J160" s="11"/>
      <c r="K160" s="1533"/>
      <c r="L160" s="11"/>
      <c r="M160" s="11"/>
      <c r="N160" s="11"/>
      <c r="O160" s="11"/>
      <c r="P160" s="11"/>
      <c r="Q160" s="11"/>
    </row>
    <row r="161" spans="10:17">
      <c r="J161" s="11"/>
      <c r="K161" s="1533"/>
      <c r="L161" s="11"/>
      <c r="M161" s="11"/>
      <c r="N161" s="11"/>
      <c r="O161" s="11"/>
      <c r="P161" s="11"/>
      <c r="Q161" s="11"/>
    </row>
    <row r="162" spans="10:17">
      <c r="J162" s="11"/>
      <c r="K162" s="1533"/>
      <c r="L162" s="11"/>
      <c r="M162" s="11"/>
      <c r="N162" s="11"/>
      <c r="O162" s="11"/>
      <c r="P162" s="11"/>
      <c r="Q162" s="11"/>
    </row>
    <row r="163" spans="10:17">
      <c r="J163" s="11"/>
      <c r="K163" s="1533"/>
      <c r="L163" s="11"/>
      <c r="M163" s="11"/>
      <c r="N163" s="11"/>
      <c r="O163" s="11"/>
      <c r="P163" s="11"/>
      <c r="Q163" s="11"/>
    </row>
    <row r="164" spans="10:17">
      <c r="J164" s="11"/>
      <c r="K164" s="1533"/>
      <c r="L164" s="11"/>
      <c r="M164" s="11"/>
      <c r="N164" s="11"/>
      <c r="O164" s="11"/>
      <c r="P164" s="11"/>
      <c r="Q164" s="11"/>
    </row>
    <row r="165" spans="10:17">
      <c r="J165" s="11"/>
      <c r="K165" s="1533"/>
      <c r="L165" s="11"/>
      <c r="M165" s="11"/>
      <c r="N165" s="11"/>
      <c r="O165" s="11"/>
      <c r="P165" s="11"/>
      <c r="Q165" s="11"/>
    </row>
    <row r="166" spans="10:17">
      <c r="J166" s="11"/>
      <c r="K166" s="1533"/>
      <c r="L166" s="11"/>
      <c r="M166" s="11"/>
      <c r="N166" s="11"/>
      <c r="O166" s="11"/>
      <c r="P166" s="11"/>
      <c r="Q166" s="11"/>
    </row>
    <row r="167" spans="10:17">
      <c r="J167" s="11"/>
      <c r="K167" s="1533"/>
      <c r="L167" s="11"/>
      <c r="M167" s="11"/>
      <c r="N167" s="11"/>
      <c r="O167" s="11"/>
      <c r="P167" s="11"/>
      <c r="Q167" s="11"/>
    </row>
    <row r="168" spans="10:17">
      <c r="J168" s="11"/>
      <c r="K168" s="1533"/>
      <c r="L168" s="11"/>
      <c r="M168" s="11"/>
      <c r="N168" s="11"/>
      <c r="O168" s="11"/>
      <c r="P168" s="11"/>
      <c r="Q168" s="11"/>
    </row>
    <row r="169" spans="10:17">
      <c r="J169" s="11"/>
      <c r="K169" s="1533"/>
      <c r="L169" s="11"/>
      <c r="M169" s="11"/>
      <c r="N169" s="11"/>
      <c r="O169" s="11"/>
      <c r="P169" s="11"/>
      <c r="Q169" s="11"/>
    </row>
    <row r="170" spans="10:17">
      <c r="J170" s="11"/>
      <c r="K170" s="1533"/>
      <c r="L170" s="11"/>
      <c r="M170" s="11"/>
      <c r="N170" s="11"/>
      <c r="O170" s="11"/>
      <c r="P170" s="11"/>
      <c r="Q170" s="11"/>
    </row>
    <row r="171" spans="10:17">
      <c r="J171" s="11"/>
      <c r="K171" s="1533"/>
      <c r="L171" s="11"/>
      <c r="M171" s="11"/>
      <c r="N171" s="11"/>
      <c r="O171" s="11"/>
      <c r="P171" s="11"/>
      <c r="Q171" s="11"/>
    </row>
    <row r="172" spans="10:17">
      <c r="J172" s="11"/>
      <c r="K172" s="1533"/>
      <c r="L172" s="11"/>
      <c r="M172" s="11"/>
      <c r="N172" s="11"/>
      <c r="O172" s="11"/>
      <c r="P172" s="11"/>
      <c r="Q172" s="11"/>
    </row>
    <row r="173" spans="10:17">
      <c r="J173" s="11"/>
      <c r="K173" s="1533"/>
      <c r="L173" s="11"/>
      <c r="M173" s="11"/>
      <c r="N173" s="11"/>
      <c r="O173" s="11"/>
      <c r="P173" s="11"/>
      <c r="Q173" s="11"/>
    </row>
    <row r="174" spans="10:17">
      <c r="J174" s="11"/>
      <c r="K174" s="1533"/>
      <c r="L174" s="11"/>
      <c r="M174" s="11"/>
      <c r="N174" s="11"/>
      <c r="O174" s="11"/>
      <c r="P174" s="11"/>
      <c r="Q174" s="11"/>
    </row>
    <row r="175" spans="10:17">
      <c r="J175" s="11"/>
      <c r="K175" s="1533"/>
      <c r="L175" s="11"/>
      <c r="M175" s="11"/>
      <c r="N175" s="11"/>
      <c r="O175" s="11"/>
      <c r="P175" s="11"/>
      <c r="Q175" s="11"/>
    </row>
    <row r="176" spans="10:17">
      <c r="J176" s="11"/>
      <c r="K176" s="1533"/>
      <c r="L176" s="11"/>
      <c r="M176" s="11"/>
      <c r="N176" s="11"/>
      <c r="O176" s="11"/>
      <c r="P176" s="11"/>
      <c r="Q176" s="11"/>
    </row>
    <row r="177" spans="10:17">
      <c r="J177" s="11"/>
      <c r="K177" s="1533"/>
      <c r="L177" s="11"/>
      <c r="M177" s="11"/>
      <c r="N177" s="11"/>
      <c r="O177" s="11"/>
      <c r="P177" s="11"/>
      <c r="Q177" s="11"/>
    </row>
    <row r="178" spans="10:17">
      <c r="J178" s="11"/>
      <c r="K178" s="1533"/>
      <c r="L178" s="11"/>
      <c r="M178" s="11"/>
      <c r="N178" s="11"/>
      <c r="O178" s="11"/>
      <c r="P178" s="11"/>
      <c r="Q178" s="11"/>
    </row>
    <row r="179" spans="10:17">
      <c r="J179" s="11"/>
      <c r="K179" s="1533"/>
      <c r="L179" s="11"/>
      <c r="M179" s="11"/>
      <c r="N179" s="11"/>
      <c r="O179" s="11"/>
      <c r="P179" s="11"/>
      <c r="Q179" s="11"/>
    </row>
    <row r="180" spans="10:17">
      <c r="J180" s="11"/>
      <c r="K180" s="1533"/>
      <c r="L180" s="11"/>
      <c r="M180" s="11"/>
      <c r="N180" s="11"/>
      <c r="O180" s="11"/>
      <c r="P180" s="11"/>
      <c r="Q180" s="11"/>
    </row>
    <row r="181" spans="10:17">
      <c r="J181" s="11"/>
      <c r="K181" s="1533"/>
      <c r="L181" s="11"/>
      <c r="M181" s="11"/>
      <c r="N181" s="11"/>
      <c r="O181" s="11"/>
      <c r="P181" s="11"/>
      <c r="Q181" s="11"/>
    </row>
    <row r="182" spans="10:17">
      <c r="J182" s="11"/>
      <c r="K182" s="1533"/>
      <c r="L182" s="11"/>
      <c r="M182" s="11"/>
      <c r="N182" s="11"/>
      <c r="O182" s="11"/>
      <c r="P182" s="11"/>
      <c r="Q182" s="11"/>
    </row>
    <row r="183" spans="10:17">
      <c r="J183" s="11"/>
      <c r="K183" s="1533"/>
      <c r="L183" s="11"/>
      <c r="M183" s="11"/>
      <c r="N183" s="11"/>
      <c r="O183" s="11"/>
      <c r="P183" s="11"/>
      <c r="Q183" s="11"/>
    </row>
    <row r="184" spans="10:17">
      <c r="J184" s="11"/>
      <c r="K184" s="1533"/>
      <c r="L184" s="11"/>
      <c r="M184" s="11"/>
      <c r="N184" s="11"/>
      <c r="O184" s="11"/>
      <c r="P184" s="11"/>
      <c r="Q184" s="11"/>
    </row>
    <row r="185" spans="10:17">
      <c r="J185" s="11"/>
      <c r="K185" s="1533"/>
      <c r="L185" s="11"/>
      <c r="M185" s="11"/>
      <c r="N185" s="11"/>
      <c r="O185" s="11"/>
      <c r="P185" s="11"/>
      <c r="Q185" s="11"/>
    </row>
    <row r="186" spans="10:17">
      <c r="J186" s="11"/>
      <c r="K186" s="1533"/>
      <c r="L186" s="11"/>
      <c r="M186" s="11"/>
      <c r="N186" s="11"/>
      <c r="O186" s="11"/>
      <c r="P186" s="11"/>
      <c r="Q186" s="11"/>
    </row>
    <row r="187" spans="10:17">
      <c r="J187" s="11"/>
      <c r="K187" s="1533"/>
      <c r="L187" s="11"/>
      <c r="M187" s="11"/>
      <c r="N187" s="11"/>
      <c r="O187" s="11"/>
      <c r="P187" s="11"/>
      <c r="Q187" s="11"/>
    </row>
    <row r="188" spans="10:17">
      <c r="J188" s="11"/>
      <c r="K188" s="1533"/>
      <c r="L188" s="11"/>
      <c r="M188" s="11"/>
      <c r="N188" s="11"/>
      <c r="O188" s="11"/>
      <c r="P188" s="11"/>
      <c r="Q188" s="11"/>
    </row>
    <row r="189" spans="10:17">
      <c r="J189" s="11"/>
      <c r="K189" s="1533"/>
      <c r="L189" s="11"/>
      <c r="M189" s="11"/>
      <c r="N189" s="11"/>
      <c r="O189" s="11"/>
      <c r="P189" s="11"/>
      <c r="Q189" s="11"/>
    </row>
    <row r="190" spans="10:17">
      <c r="J190" s="11"/>
      <c r="K190" s="1533"/>
      <c r="L190" s="11"/>
      <c r="M190" s="11"/>
      <c r="N190" s="11"/>
      <c r="O190" s="11"/>
      <c r="P190" s="11"/>
      <c r="Q190" s="11"/>
    </row>
    <row r="191" spans="10:17">
      <c r="J191" s="11"/>
      <c r="K191" s="1533"/>
      <c r="L191" s="11"/>
      <c r="M191" s="11"/>
      <c r="N191" s="11"/>
      <c r="O191" s="11"/>
      <c r="P191" s="11"/>
      <c r="Q191" s="11"/>
    </row>
    <row r="192" spans="10:17">
      <c r="J192" s="11"/>
      <c r="K192" s="1533"/>
      <c r="L192" s="11"/>
      <c r="M192" s="11"/>
      <c r="N192" s="11"/>
      <c r="O192" s="11"/>
      <c r="P192" s="11"/>
      <c r="Q192" s="11"/>
    </row>
    <row r="193" spans="10:17">
      <c r="J193" s="11"/>
      <c r="K193" s="1533"/>
      <c r="L193" s="11"/>
      <c r="M193" s="11"/>
      <c r="N193" s="11"/>
      <c r="O193" s="11"/>
      <c r="P193" s="11"/>
      <c r="Q193" s="11"/>
    </row>
    <row r="194" spans="10:17">
      <c r="J194" s="11"/>
      <c r="K194" s="1533"/>
      <c r="L194" s="11"/>
      <c r="M194" s="11"/>
      <c r="N194" s="11"/>
      <c r="O194" s="11"/>
      <c r="P194" s="11"/>
      <c r="Q194" s="11"/>
    </row>
    <row r="195" spans="10:17">
      <c r="J195" s="11"/>
      <c r="K195" s="1533"/>
      <c r="L195" s="11"/>
      <c r="M195" s="11"/>
      <c r="N195" s="11"/>
      <c r="O195" s="11"/>
      <c r="P195" s="11"/>
      <c r="Q195" s="11"/>
    </row>
    <row r="196" spans="10:17">
      <c r="J196" s="11"/>
      <c r="K196" s="1533"/>
      <c r="L196" s="11"/>
      <c r="M196" s="11"/>
      <c r="N196" s="11"/>
      <c r="O196" s="11"/>
      <c r="P196" s="11"/>
      <c r="Q196" s="11"/>
    </row>
    <row r="197" spans="10:17">
      <c r="J197" s="11"/>
      <c r="K197" s="1533"/>
      <c r="L197" s="11"/>
      <c r="M197" s="11"/>
      <c r="N197" s="11"/>
      <c r="O197" s="11"/>
      <c r="P197" s="11"/>
      <c r="Q197" s="11"/>
    </row>
    <row r="198" spans="10:17">
      <c r="J198" s="11"/>
      <c r="K198" s="1533"/>
      <c r="L198" s="11"/>
      <c r="M198" s="11"/>
      <c r="N198" s="11"/>
      <c r="O198" s="11"/>
      <c r="P198" s="11"/>
      <c r="Q198" s="11"/>
    </row>
    <row r="199" spans="10:17">
      <c r="J199" s="11"/>
      <c r="K199" s="1533"/>
      <c r="L199" s="11"/>
      <c r="M199" s="11"/>
      <c r="N199" s="11"/>
      <c r="O199" s="11"/>
      <c r="P199" s="11"/>
      <c r="Q199" s="11"/>
    </row>
    <row r="200" spans="10:17">
      <c r="J200" s="11"/>
      <c r="K200" s="1533"/>
      <c r="L200" s="11"/>
      <c r="M200" s="11"/>
      <c r="N200" s="11"/>
      <c r="O200" s="11"/>
      <c r="P200" s="11"/>
      <c r="Q200" s="11"/>
    </row>
    <row r="201" spans="10:17">
      <c r="J201" s="11"/>
      <c r="K201" s="1533"/>
      <c r="L201" s="11"/>
      <c r="M201" s="11"/>
      <c r="N201" s="11"/>
      <c r="O201" s="11"/>
      <c r="P201" s="11"/>
      <c r="Q201" s="11"/>
    </row>
    <row r="202" spans="10:17">
      <c r="J202" s="11"/>
      <c r="K202" s="1533"/>
      <c r="L202" s="11"/>
      <c r="M202" s="11"/>
      <c r="N202" s="11"/>
      <c r="O202" s="11"/>
      <c r="P202" s="11"/>
      <c r="Q202" s="11"/>
    </row>
    <row r="203" spans="10:17">
      <c r="J203" s="11"/>
      <c r="K203" s="1533"/>
      <c r="L203" s="11"/>
      <c r="M203" s="11"/>
      <c r="N203" s="11"/>
      <c r="O203" s="11"/>
      <c r="P203" s="11"/>
      <c r="Q203" s="11"/>
    </row>
    <row r="204" spans="10:17">
      <c r="J204" s="11"/>
      <c r="K204" s="1533"/>
      <c r="L204" s="11"/>
      <c r="M204" s="11"/>
      <c r="N204" s="11"/>
      <c r="O204" s="11"/>
      <c r="P204" s="11"/>
      <c r="Q204" s="11"/>
    </row>
    <row r="205" spans="10:17">
      <c r="J205" s="11"/>
      <c r="K205" s="1533"/>
      <c r="L205" s="11"/>
      <c r="M205" s="11"/>
      <c r="N205" s="11"/>
      <c r="O205" s="11"/>
      <c r="P205" s="11"/>
      <c r="Q205" s="11"/>
    </row>
    <row r="206" spans="10:17">
      <c r="J206" s="11"/>
      <c r="K206" s="1533"/>
      <c r="L206" s="11"/>
      <c r="M206" s="11"/>
      <c r="N206" s="11"/>
      <c r="O206" s="11"/>
      <c r="P206" s="11"/>
      <c r="Q206" s="11"/>
    </row>
    <row r="207" spans="10:17">
      <c r="J207" s="11"/>
      <c r="K207" s="1533"/>
      <c r="L207" s="11"/>
      <c r="M207" s="11"/>
      <c r="N207" s="11"/>
      <c r="O207" s="11"/>
      <c r="P207" s="11"/>
      <c r="Q207" s="11"/>
    </row>
    <row r="208" spans="10:17">
      <c r="J208" s="11"/>
      <c r="K208" s="1533"/>
      <c r="L208" s="11"/>
      <c r="M208" s="11"/>
      <c r="N208" s="11"/>
      <c r="O208" s="11"/>
      <c r="P208" s="11"/>
      <c r="Q208" s="11"/>
    </row>
    <row r="209" spans="10:17">
      <c r="J209" s="11"/>
      <c r="K209" s="1533"/>
      <c r="L209" s="11"/>
      <c r="M209" s="11"/>
      <c r="N209" s="11"/>
      <c r="O209" s="11"/>
      <c r="P209" s="11"/>
      <c r="Q209" s="11"/>
    </row>
    <row r="210" spans="10:17">
      <c r="J210" s="11"/>
      <c r="K210" s="1533"/>
      <c r="L210" s="11"/>
      <c r="M210" s="11"/>
      <c r="N210" s="11"/>
      <c r="O210" s="11"/>
      <c r="P210" s="11"/>
      <c r="Q210" s="11"/>
    </row>
    <row r="211" spans="10:17">
      <c r="J211" s="11"/>
      <c r="K211" s="1533"/>
      <c r="L211" s="11"/>
      <c r="M211" s="11"/>
      <c r="N211" s="11"/>
      <c r="O211" s="11"/>
      <c r="P211" s="11"/>
      <c r="Q211" s="11"/>
    </row>
    <row r="212" spans="10:17">
      <c r="J212" s="11"/>
      <c r="K212" s="1533"/>
      <c r="L212" s="11"/>
      <c r="M212" s="11"/>
      <c r="N212" s="11"/>
      <c r="O212" s="11"/>
      <c r="P212" s="11"/>
      <c r="Q212" s="11"/>
    </row>
    <row r="213" spans="10:17">
      <c r="J213" s="11"/>
      <c r="K213" s="1533"/>
      <c r="L213" s="11"/>
      <c r="M213" s="11"/>
      <c r="N213" s="11"/>
      <c r="O213" s="11"/>
      <c r="P213" s="11"/>
      <c r="Q213" s="11"/>
    </row>
    <row r="214" spans="10:17">
      <c r="J214" s="11"/>
      <c r="K214" s="1533"/>
      <c r="L214" s="11"/>
      <c r="M214" s="11"/>
      <c r="N214" s="11"/>
      <c r="O214" s="11"/>
      <c r="P214" s="11"/>
      <c r="Q214" s="11"/>
    </row>
    <row r="215" spans="10:17">
      <c r="J215" s="11"/>
      <c r="K215" s="1533"/>
      <c r="L215" s="11"/>
      <c r="M215" s="11"/>
      <c r="N215" s="11"/>
      <c r="O215" s="11"/>
      <c r="P215" s="11"/>
      <c r="Q215" s="11"/>
    </row>
    <row r="216" spans="10:17">
      <c r="J216" s="11"/>
      <c r="K216" s="1533"/>
      <c r="L216" s="11"/>
      <c r="M216" s="11"/>
      <c r="N216" s="11"/>
      <c r="O216" s="11"/>
      <c r="P216" s="11"/>
      <c r="Q216" s="11"/>
    </row>
    <row r="217" spans="10:17">
      <c r="J217" s="11"/>
      <c r="K217" s="1533"/>
      <c r="L217" s="11"/>
      <c r="M217" s="11"/>
      <c r="N217" s="11"/>
      <c r="O217" s="11"/>
      <c r="P217" s="11"/>
      <c r="Q217" s="11"/>
    </row>
    <row r="218" spans="10:17">
      <c r="J218" s="11"/>
      <c r="K218" s="1533"/>
      <c r="L218" s="11"/>
      <c r="M218" s="11"/>
      <c r="N218" s="11"/>
      <c r="O218" s="11"/>
      <c r="P218" s="11"/>
      <c r="Q218" s="11"/>
    </row>
    <row r="219" spans="10:17">
      <c r="J219" s="11"/>
      <c r="K219" s="1533"/>
      <c r="L219" s="11"/>
      <c r="M219" s="11"/>
      <c r="N219" s="11"/>
      <c r="O219" s="11"/>
      <c r="P219" s="11"/>
      <c r="Q219" s="11"/>
    </row>
    <row r="220" spans="10:17">
      <c r="J220" s="11"/>
      <c r="K220" s="1533"/>
      <c r="L220" s="11"/>
      <c r="M220" s="11"/>
      <c r="N220" s="11"/>
      <c r="O220" s="11"/>
      <c r="P220" s="11"/>
      <c r="Q220" s="11"/>
    </row>
    <row r="221" spans="10:17">
      <c r="J221" s="11"/>
      <c r="K221" s="1533"/>
      <c r="L221" s="11"/>
      <c r="M221" s="11"/>
      <c r="N221" s="11"/>
      <c r="O221" s="11"/>
      <c r="P221" s="11"/>
      <c r="Q221" s="11"/>
    </row>
    <row r="222" spans="10:17">
      <c r="J222" s="11"/>
      <c r="K222" s="1533"/>
      <c r="L222" s="11"/>
      <c r="M222" s="11"/>
      <c r="N222" s="11"/>
      <c r="O222" s="11"/>
      <c r="P222" s="11"/>
      <c r="Q222" s="11"/>
    </row>
    <row r="223" spans="10:17">
      <c r="J223" s="11"/>
      <c r="K223" s="1533"/>
      <c r="L223" s="11"/>
      <c r="M223" s="11"/>
      <c r="N223" s="11"/>
      <c r="O223" s="11"/>
      <c r="P223" s="11"/>
      <c r="Q223" s="11"/>
    </row>
    <row r="224" spans="10:17">
      <c r="J224" s="11"/>
      <c r="K224" s="1533"/>
      <c r="L224" s="11"/>
      <c r="M224" s="11"/>
      <c r="N224" s="11"/>
      <c r="O224" s="11"/>
      <c r="P224" s="11"/>
      <c r="Q224" s="11"/>
    </row>
    <row r="225" spans="10:17">
      <c r="J225" s="11"/>
      <c r="K225" s="1533"/>
      <c r="L225" s="11"/>
      <c r="M225" s="11"/>
      <c r="N225" s="11"/>
      <c r="O225" s="11"/>
      <c r="P225" s="11"/>
      <c r="Q225" s="11"/>
    </row>
    <row r="226" spans="10:17">
      <c r="J226" s="11"/>
      <c r="K226" s="1533"/>
      <c r="L226" s="11"/>
      <c r="M226" s="11"/>
      <c r="N226" s="11"/>
      <c r="O226" s="11"/>
      <c r="P226" s="11"/>
      <c r="Q226" s="11"/>
    </row>
    <row r="227" spans="10:17">
      <c r="J227" s="11"/>
      <c r="K227" s="1533"/>
      <c r="L227" s="11"/>
      <c r="M227" s="11"/>
      <c r="N227" s="11"/>
      <c r="O227" s="11"/>
      <c r="P227" s="11"/>
      <c r="Q227" s="11"/>
    </row>
    <row r="228" spans="10:17">
      <c r="J228" s="11"/>
      <c r="K228" s="1533"/>
      <c r="L228" s="11"/>
      <c r="M228" s="11"/>
      <c r="N228" s="11"/>
      <c r="O228" s="11"/>
      <c r="P228" s="11"/>
      <c r="Q228" s="11"/>
    </row>
    <row r="229" spans="10:17">
      <c r="J229" s="11"/>
      <c r="K229" s="1533"/>
      <c r="L229" s="11"/>
      <c r="M229" s="11"/>
      <c r="N229" s="11"/>
      <c r="O229" s="11"/>
      <c r="P229" s="11"/>
      <c r="Q229" s="11"/>
    </row>
    <row r="230" spans="10:17">
      <c r="J230" s="11"/>
      <c r="K230" s="1533"/>
      <c r="L230" s="11"/>
      <c r="M230" s="11"/>
      <c r="N230" s="11"/>
      <c r="O230" s="11"/>
      <c r="P230" s="11"/>
      <c r="Q230" s="11"/>
    </row>
    <row r="231" spans="10:17">
      <c r="J231" s="11"/>
      <c r="K231" s="1533"/>
      <c r="L231" s="11"/>
      <c r="M231" s="11"/>
      <c r="N231" s="11"/>
      <c r="O231" s="11"/>
      <c r="P231" s="11"/>
      <c r="Q231" s="11"/>
    </row>
    <row r="232" spans="10:17">
      <c r="J232" s="11"/>
      <c r="K232" s="1533"/>
      <c r="L232" s="11"/>
      <c r="M232" s="11"/>
      <c r="N232" s="11"/>
      <c r="O232" s="11"/>
      <c r="P232" s="11"/>
      <c r="Q232" s="11"/>
    </row>
    <row r="233" spans="10:17">
      <c r="J233" s="11"/>
      <c r="K233" s="1533"/>
      <c r="L233" s="11"/>
      <c r="M233" s="11"/>
      <c r="N233" s="11"/>
      <c r="O233" s="11"/>
      <c r="P233" s="11"/>
      <c r="Q233" s="11"/>
    </row>
    <row r="234" spans="10:17">
      <c r="J234" s="11"/>
      <c r="K234" s="1533"/>
      <c r="L234" s="11"/>
      <c r="M234" s="11"/>
      <c r="N234" s="11"/>
      <c r="O234" s="11"/>
      <c r="P234" s="11"/>
      <c r="Q234" s="11"/>
    </row>
    <row r="235" spans="10:17">
      <c r="J235" s="11"/>
      <c r="K235" s="1533"/>
      <c r="L235" s="11"/>
      <c r="M235" s="11"/>
      <c r="N235" s="11"/>
      <c r="O235" s="11"/>
      <c r="P235" s="11"/>
      <c r="Q235" s="11"/>
    </row>
    <row r="236" spans="10:17">
      <c r="J236" s="11"/>
      <c r="K236" s="1533"/>
      <c r="L236" s="11"/>
      <c r="M236" s="11"/>
      <c r="N236" s="11"/>
      <c r="O236" s="11"/>
      <c r="P236" s="11"/>
      <c r="Q236" s="11"/>
    </row>
    <row r="237" spans="10:17">
      <c r="J237" s="11"/>
      <c r="K237" s="1533"/>
      <c r="L237" s="11"/>
      <c r="M237" s="11"/>
      <c r="N237" s="11"/>
      <c r="O237" s="11"/>
      <c r="P237" s="11"/>
      <c r="Q237" s="11"/>
    </row>
    <row r="238" spans="10:17">
      <c r="J238" s="11"/>
      <c r="K238" s="1533"/>
      <c r="L238" s="11"/>
      <c r="M238" s="11"/>
      <c r="N238" s="11"/>
      <c r="O238" s="11"/>
      <c r="P238" s="11"/>
      <c r="Q238" s="11"/>
    </row>
    <row r="239" spans="10:17">
      <c r="J239" s="11"/>
      <c r="K239" s="1533"/>
      <c r="L239" s="11"/>
      <c r="M239" s="11"/>
      <c r="N239" s="11"/>
      <c r="O239" s="11"/>
      <c r="P239" s="11"/>
      <c r="Q239" s="11"/>
    </row>
    <row r="240" spans="10:17">
      <c r="J240" s="11"/>
      <c r="K240" s="1533"/>
      <c r="L240" s="11"/>
      <c r="M240" s="11"/>
      <c r="N240" s="11"/>
      <c r="O240" s="11"/>
      <c r="P240" s="11"/>
      <c r="Q240" s="11"/>
    </row>
    <row r="241" spans="10:17">
      <c r="J241" s="11"/>
      <c r="K241" s="1533"/>
      <c r="L241" s="11"/>
      <c r="M241" s="11"/>
      <c r="N241" s="11"/>
      <c r="O241" s="11"/>
      <c r="P241" s="11"/>
      <c r="Q241" s="11"/>
    </row>
    <row r="242" spans="10:17">
      <c r="J242" s="11"/>
      <c r="K242" s="1533"/>
      <c r="L242" s="11"/>
      <c r="M242" s="11"/>
      <c r="N242" s="11"/>
      <c r="O242" s="11"/>
      <c r="P242" s="11"/>
      <c r="Q242" s="11"/>
    </row>
    <row r="243" spans="10:17">
      <c r="J243" s="11"/>
      <c r="K243" s="1533"/>
      <c r="L243" s="11"/>
      <c r="M243" s="11"/>
      <c r="N243" s="11"/>
      <c r="O243" s="11"/>
      <c r="P243" s="11"/>
      <c r="Q243" s="11"/>
    </row>
    <row r="244" spans="10:17">
      <c r="J244" s="11"/>
      <c r="K244" s="1533"/>
      <c r="L244" s="11"/>
      <c r="M244" s="11"/>
      <c r="N244" s="11"/>
      <c r="O244" s="11"/>
      <c r="P244" s="11"/>
      <c r="Q244" s="11"/>
    </row>
    <row r="245" spans="10:17">
      <c r="J245" s="11"/>
      <c r="K245" s="1533"/>
      <c r="L245" s="11"/>
      <c r="M245" s="11"/>
      <c r="N245" s="11"/>
      <c r="O245" s="11"/>
      <c r="P245" s="11"/>
      <c r="Q245" s="11"/>
    </row>
    <row r="246" spans="10:17">
      <c r="J246" s="11"/>
      <c r="K246" s="1533"/>
      <c r="L246" s="11"/>
      <c r="M246" s="11"/>
      <c r="N246" s="11"/>
      <c r="O246" s="11"/>
      <c r="P246" s="11"/>
      <c r="Q246" s="11"/>
    </row>
    <row r="247" spans="10:17">
      <c r="J247" s="11"/>
      <c r="K247" s="1533"/>
      <c r="L247" s="11"/>
      <c r="M247" s="11"/>
      <c r="N247" s="11"/>
      <c r="O247" s="11"/>
      <c r="P247" s="11"/>
      <c r="Q247" s="11"/>
    </row>
    <row r="248" spans="10:17">
      <c r="J248" s="11"/>
      <c r="K248" s="1533"/>
      <c r="L248" s="11"/>
      <c r="M248" s="11"/>
      <c r="N248" s="11"/>
      <c r="O248" s="11"/>
      <c r="P248" s="11"/>
      <c r="Q248" s="11"/>
    </row>
    <row r="249" spans="10:17">
      <c r="J249" s="11"/>
      <c r="K249" s="1533"/>
      <c r="L249" s="11"/>
      <c r="M249" s="11"/>
      <c r="N249" s="11"/>
      <c r="O249" s="11"/>
      <c r="P249" s="11"/>
      <c r="Q249" s="11"/>
    </row>
    <row r="250" spans="10:17">
      <c r="J250" s="11"/>
      <c r="K250" s="1533"/>
      <c r="L250" s="11"/>
      <c r="M250" s="11"/>
      <c r="N250" s="11"/>
      <c r="O250" s="11"/>
      <c r="P250" s="11"/>
      <c r="Q250" s="11"/>
    </row>
    <row r="251" spans="10:17">
      <c r="J251" s="11"/>
      <c r="K251" s="1533"/>
      <c r="L251" s="11"/>
      <c r="M251" s="11"/>
      <c r="N251" s="11"/>
      <c r="O251" s="11"/>
      <c r="P251" s="11"/>
      <c r="Q251" s="11"/>
    </row>
    <row r="252" spans="10:17">
      <c r="J252" s="11"/>
      <c r="K252" s="1533"/>
      <c r="L252" s="11"/>
      <c r="M252" s="11"/>
      <c r="N252" s="11"/>
      <c r="O252" s="11"/>
      <c r="P252" s="11"/>
      <c r="Q252" s="11"/>
    </row>
    <row r="253" spans="10:17">
      <c r="J253" s="11"/>
      <c r="K253" s="1533"/>
      <c r="L253" s="11"/>
      <c r="M253" s="11"/>
      <c r="N253" s="11"/>
      <c r="O253" s="11"/>
      <c r="P253" s="11"/>
      <c r="Q253" s="11"/>
    </row>
    <row r="254" spans="10:17">
      <c r="J254" s="11"/>
      <c r="K254" s="1533"/>
      <c r="L254" s="11"/>
      <c r="M254" s="11"/>
      <c r="N254" s="11"/>
      <c r="O254" s="11"/>
      <c r="P254" s="11"/>
      <c r="Q254" s="11"/>
    </row>
    <row r="255" spans="10:17">
      <c r="J255" s="11"/>
      <c r="K255" s="1533"/>
      <c r="L255" s="11"/>
      <c r="M255" s="11"/>
      <c r="N255" s="11"/>
      <c r="O255" s="11"/>
      <c r="P255" s="11"/>
      <c r="Q255" s="11"/>
    </row>
    <row r="256" spans="10:17">
      <c r="J256" s="11"/>
      <c r="K256" s="1533"/>
      <c r="L256" s="11"/>
      <c r="M256" s="11"/>
      <c r="N256" s="11"/>
      <c r="O256" s="11"/>
      <c r="P256" s="11"/>
      <c r="Q256" s="11"/>
    </row>
    <row r="257" spans="10:17">
      <c r="J257" s="11"/>
      <c r="K257" s="1533"/>
      <c r="L257" s="11"/>
      <c r="M257" s="11"/>
      <c r="N257" s="11"/>
      <c r="O257" s="11"/>
      <c r="P257" s="11"/>
      <c r="Q257" s="11"/>
    </row>
    <row r="258" spans="10:17">
      <c r="J258" s="11"/>
      <c r="K258" s="1533"/>
      <c r="L258" s="11"/>
      <c r="M258" s="11"/>
      <c r="N258" s="11"/>
      <c r="O258" s="11"/>
      <c r="P258" s="11"/>
      <c r="Q258" s="11"/>
    </row>
    <row r="259" spans="10:17">
      <c r="J259" s="11"/>
      <c r="K259" s="1533"/>
      <c r="L259" s="11"/>
      <c r="M259" s="11"/>
      <c r="N259" s="11"/>
      <c r="O259" s="11"/>
      <c r="P259" s="11"/>
      <c r="Q259" s="11"/>
    </row>
    <row r="260" spans="10:17">
      <c r="J260" s="11"/>
      <c r="K260" s="1533"/>
      <c r="L260" s="11"/>
      <c r="M260" s="11"/>
      <c r="N260" s="11"/>
      <c r="O260" s="11"/>
      <c r="P260" s="11"/>
      <c r="Q260" s="11"/>
    </row>
    <row r="261" spans="10:17">
      <c r="J261" s="11"/>
      <c r="K261" s="1533"/>
      <c r="L261" s="11"/>
      <c r="M261" s="11"/>
      <c r="N261" s="11"/>
      <c r="O261" s="11"/>
      <c r="P261" s="11"/>
      <c r="Q261" s="11"/>
    </row>
    <row r="262" spans="10:17">
      <c r="J262" s="11"/>
      <c r="K262" s="1533"/>
      <c r="L262" s="11"/>
      <c r="M262" s="11"/>
      <c r="N262" s="11"/>
      <c r="O262" s="11"/>
      <c r="P262" s="11"/>
      <c r="Q262" s="11"/>
    </row>
    <row r="263" spans="10:17">
      <c r="J263" s="11"/>
      <c r="K263" s="1533"/>
      <c r="L263" s="11"/>
      <c r="M263" s="11"/>
      <c r="N263" s="11"/>
      <c r="O263" s="11"/>
      <c r="P263" s="11"/>
      <c r="Q263" s="11"/>
    </row>
    <row r="264" spans="10:17">
      <c r="J264" s="11"/>
      <c r="K264" s="1533"/>
      <c r="L264" s="11"/>
      <c r="M264" s="11"/>
      <c r="N264" s="11"/>
      <c r="O264" s="11"/>
      <c r="P264" s="11"/>
      <c r="Q264" s="11"/>
    </row>
    <row r="265" spans="10:17">
      <c r="J265" s="11"/>
      <c r="K265" s="1533"/>
      <c r="L265" s="11"/>
      <c r="M265" s="11"/>
      <c r="N265" s="11"/>
      <c r="O265" s="11"/>
      <c r="P265" s="11"/>
      <c r="Q265" s="11"/>
    </row>
    <row r="266" spans="10:17">
      <c r="J266" s="11"/>
      <c r="K266" s="1533"/>
      <c r="L266" s="11"/>
      <c r="M266" s="11"/>
      <c r="N266" s="11"/>
      <c r="O266" s="11"/>
      <c r="P266" s="11"/>
      <c r="Q266" s="11"/>
    </row>
    <row r="267" spans="10:17">
      <c r="J267" s="11"/>
      <c r="K267" s="1533"/>
      <c r="L267" s="11"/>
      <c r="M267" s="11"/>
      <c r="N267" s="11"/>
      <c r="O267" s="11"/>
      <c r="P267" s="11"/>
      <c r="Q267" s="11"/>
    </row>
    <row r="268" spans="10:17">
      <c r="J268" s="11"/>
      <c r="K268" s="1533"/>
      <c r="L268" s="11"/>
      <c r="M268" s="11"/>
      <c r="N268" s="11"/>
      <c r="O268" s="11"/>
      <c r="P268" s="11"/>
      <c r="Q268" s="11"/>
    </row>
    <row r="269" spans="10:17">
      <c r="J269" s="11"/>
      <c r="K269" s="1533"/>
      <c r="L269" s="11"/>
      <c r="M269" s="11"/>
      <c r="N269" s="11"/>
      <c r="O269" s="11"/>
      <c r="P269" s="11"/>
      <c r="Q269" s="11"/>
    </row>
    <row r="270" spans="10:17">
      <c r="J270" s="11"/>
      <c r="K270" s="1533"/>
      <c r="L270" s="11"/>
      <c r="M270" s="11"/>
      <c r="N270" s="11"/>
      <c r="O270" s="11"/>
      <c r="P270" s="11"/>
      <c r="Q270" s="11"/>
    </row>
    <row r="271" spans="10:17">
      <c r="J271" s="11"/>
      <c r="K271" s="1533"/>
      <c r="L271" s="11"/>
      <c r="M271" s="11"/>
      <c r="N271" s="11"/>
      <c r="O271" s="11"/>
      <c r="P271" s="11"/>
      <c r="Q271" s="11"/>
    </row>
    <row r="272" spans="10:17">
      <c r="J272" s="11"/>
      <c r="K272" s="1533"/>
      <c r="L272" s="11"/>
      <c r="M272" s="11"/>
      <c r="N272" s="11"/>
      <c r="O272" s="11"/>
      <c r="P272" s="11"/>
      <c r="Q272" s="11"/>
    </row>
    <row r="273" spans="10:17">
      <c r="J273" s="11"/>
      <c r="K273" s="1533"/>
      <c r="L273" s="11"/>
      <c r="M273" s="11"/>
      <c r="N273" s="11"/>
      <c r="O273" s="11"/>
      <c r="P273" s="11"/>
      <c r="Q273" s="11"/>
    </row>
    <row r="274" spans="10:17">
      <c r="J274" s="11"/>
      <c r="K274" s="1533"/>
      <c r="L274" s="11"/>
      <c r="M274" s="11"/>
      <c r="N274" s="11"/>
      <c r="O274" s="11"/>
      <c r="P274" s="11"/>
      <c r="Q274" s="11"/>
    </row>
    <row r="275" spans="10:17">
      <c r="J275" s="11"/>
      <c r="K275" s="1533"/>
      <c r="L275" s="11"/>
      <c r="M275" s="11"/>
      <c r="N275" s="11"/>
      <c r="O275" s="11"/>
      <c r="P275" s="11"/>
      <c r="Q275" s="11"/>
    </row>
    <row r="276" spans="10:17">
      <c r="J276" s="11"/>
      <c r="K276" s="1533"/>
      <c r="L276" s="11"/>
      <c r="M276" s="11"/>
      <c r="N276" s="11"/>
      <c r="O276" s="11"/>
      <c r="P276" s="11"/>
      <c r="Q276" s="11"/>
    </row>
    <row r="277" spans="10:17">
      <c r="J277" s="11"/>
      <c r="K277" s="1533"/>
      <c r="L277" s="11"/>
      <c r="M277" s="11"/>
      <c r="N277" s="11"/>
      <c r="O277" s="11"/>
      <c r="P277" s="11"/>
      <c r="Q277" s="11"/>
    </row>
    <row r="278" spans="10:17">
      <c r="J278" s="11"/>
      <c r="K278" s="1533"/>
      <c r="L278" s="11"/>
      <c r="M278" s="11"/>
      <c r="N278" s="11"/>
      <c r="O278" s="11"/>
      <c r="P278" s="11"/>
      <c r="Q278" s="11"/>
    </row>
    <row r="279" spans="10:17">
      <c r="J279" s="11"/>
      <c r="K279" s="1533"/>
      <c r="L279" s="11"/>
      <c r="M279" s="11"/>
      <c r="N279" s="11"/>
      <c r="O279" s="11"/>
      <c r="P279" s="11"/>
      <c r="Q279" s="11"/>
    </row>
    <row r="280" spans="10:17">
      <c r="J280" s="11"/>
      <c r="K280" s="1533"/>
      <c r="L280" s="11"/>
      <c r="M280" s="11"/>
      <c r="N280" s="11"/>
      <c r="O280" s="11"/>
      <c r="P280" s="11"/>
      <c r="Q280" s="11"/>
    </row>
    <row r="281" spans="10:17">
      <c r="J281" s="11"/>
      <c r="K281" s="1533"/>
      <c r="L281" s="11"/>
      <c r="M281" s="11"/>
      <c r="N281" s="11"/>
      <c r="O281" s="11"/>
      <c r="P281" s="11"/>
      <c r="Q281" s="11"/>
    </row>
    <row r="282" spans="10:17">
      <c r="J282" s="11"/>
      <c r="K282" s="1533"/>
      <c r="L282" s="11"/>
      <c r="M282" s="11"/>
      <c r="N282" s="11"/>
      <c r="O282" s="11"/>
      <c r="P282" s="11"/>
      <c r="Q282" s="11"/>
    </row>
    <row r="283" spans="10:17">
      <c r="J283" s="11"/>
      <c r="K283" s="1533"/>
      <c r="L283" s="11"/>
      <c r="M283" s="11"/>
      <c r="N283" s="11"/>
      <c r="O283" s="11"/>
      <c r="P283" s="11"/>
      <c r="Q283" s="11"/>
    </row>
    <row r="284" spans="10:17">
      <c r="J284" s="11"/>
      <c r="K284" s="1533"/>
      <c r="L284" s="11"/>
      <c r="M284" s="11"/>
      <c r="N284" s="11"/>
      <c r="O284" s="11"/>
      <c r="P284" s="11"/>
      <c r="Q284" s="11"/>
    </row>
    <row r="285" spans="10:17">
      <c r="J285" s="11"/>
      <c r="K285" s="1533"/>
      <c r="L285" s="11"/>
      <c r="M285" s="11"/>
      <c r="N285" s="11"/>
      <c r="O285" s="11"/>
      <c r="P285" s="11"/>
      <c r="Q285" s="11"/>
    </row>
    <row r="286" spans="10:17">
      <c r="J286" s="11"/>
      <c r="K286" s="1533"/>
      <c r="L286" s="11"/>
      <c r="M286" s="11"/>
      <c r="N286" s="11"/>
      <c r="O286" s="11"/>
      <c r="P286" s="11"/>
      <c r="Q286" s="11"/>
    </row>
    <row r="287" spans="10:17">
      <c r="J287" s="11"/>
      <c r="K287" s="1533"/>
      <c r="L287" s="11"/>
      <c r="M287" s="11"/>
      <c r="N287" s="11"/>
      <c r="O287" s="11"/>
      <c r="P287" s="11"/>
      <c r="Q287" s="11"/>
    </row>
    <row r="288" spans="10:17">
      <c r="J288" s="11"/>
      <c r="K288" s="1533"/>
      <c r="L288" s="11"/>
      <c r="M288" s="11"/>
      <c r="N288" s="11"/>
      <c r="O288" s="11"/>
      <c r="P288" s="11"/>
      <c r="Q288" s="11"/>
    </row>
    <row r="289" spans="10:17">
      <c r="J289" s="11"/>
      <c r="K289" s="1533"/>
      <c r="L289" s="11"/>
      <c r="M289" s="11"/>
      <c r="N289" s="11"/>
      <c r="O289" s="11"/>
      <c r="P289" s="11"/>
      <c r="Q289" s="11"/>
    </row>
    <row r="290" spans="10:17">
      <c r="J290" s="11"/>
      <c r="K290" s="1533"/>
      <c r="L290" s="11"/>
      <c r="M290" s="11"/>
      <c r="N290" s="11"/>
      <c r="O290" s="11"/>
      <c r="P290" s="11"/>
      <c r="Q290" s="11"/>
    </row>
    <row r="291" spans="10:17">
      <c r="J291" s="11"/>
      <c r="K291" s="1533"/>
      <c r="L291" s="11"/>
      <c r="M291" s="11"/>
      <c r="N291" s="11"/>
      <c r="O291" s="11"/>
      <c r="P291" s="11"/>
      <c r="Q291" s="11"/>
    </row>
    <row r="292" spans="10:17">
      <c r="J292" s="11"/>
      <c r="K292" s="1533"/>
      <c r="L292" s="11"/>
      <c r="M292" s="11"/>
      <c r="N292" s="11"/>
      <c r="O292" s="11"/>
      <c r="P292" s="11"/>
      <c r="Q292" s="11"/>
    </row>
    <row r="293" spans="10:17">
      <c r="J293" s="11"/>
      <c r="K293" s="1533"/>
      <c r="L293" s="11"/>
      <c r="M293" s="11"/>
      <c r="N293" s="11"/>
      <c r="O293" s="11"/>
      <c r="P293" s="11"/>
      <c r="Q293" s="11"/>
    </row>
    <row r="294" spans="10:17">
      <c r="J294" s="11"/>
      <c r="K294" s="1533"/>
      <c r="L294" s="11"/>
      <c r="M294" s="11"/>
      <c r="N294" s="11"/>
      <c r="O294" s="11"/>
      <c r="P294" s="11"/>
      <c r="Q294" s="11"/>
    </row>
    <row r="295" spans="10:17">
      <c r="J295" s="11"/>
      <c r="K295" s="1533"/>
      <c r="L295" s="11"/>
      <c r="M295" s="11"/>
      <c r="N295" s="11"/>
      <c r="O295" s="11"/>
      <c r="P295" s="11"/>
      <c r="Q295" s="11"/>
    </row>
    <row r="296" spans="10:17">
      <c r="J296" s="11"/>
      <c r="K296" s="1533"/>
      <c r="L296" s="11"/>
      <c r="M296" s="11"/>
      <c r="N296" s="11"/>
      <c r="O296" s="11"/>
      <c r="P296" s="11"/>
      <c r="Q296" s="11"/>
    </row>
    <row r="297" spans="10:17">
      <c r="J297" s="11"/>
      <c r="K297" s="1533"/>
      <c r="L297" s="11"/>
      <c r="M297" s="11"/>
      <c r="N297" s="11"/>
      <c r="O297" s="11"/>
      <c r="P297" s="11"/>
      <c r="Q297" s="11"/>
    </row>
    <row r="298" spans="10:17">
      <c r="J298" s="11"/>
      <c r="K298" s="1533"/>
      <c r="L298" s="11"/>
      <c r="M298" s="11"/>
      <c r="N298" s="11"/>
      <c r="O298" s="11"/>
      <c r="P298" s="11"/>
      <c r="Q298" s="11"/>
    </row>
    <row r="299" spans="10:17">
      <c r="J299" s="11"/>
      <c r="K299" s="1533"/>
      <c r="L299" s="11"/>
      <c r="M299" s="11"/>
      <c r="N299" s="11"/>
      <c r="O299" s="11"/>
      <c r="P299" s="11"/>
      <c r="Q299" s="11"/>
    </row>
    <row r="300" spans="10:17">
      <c r="J300" s="11"/>
      <c r="K300" s="1533"/>
      <c r="L300" s="11"/>
      <c r="M300" s="11"/>
      <c r="N300" s="11"/>
      <c r="O300" s="11"/>
      <c r="P300" s="11"/>
      <c r="Q300" s="11"/>
    </row>
    <row r="301" spans="10:17">
      <c r="J301" s="11"/>
      <c r="K301" s="1533"/>
      <c r="L301" s="11"/>
      <c r="M301" s="11"/>
      <c r="N301" s="11"/>
      <c r="O301" s="11"/>
      <c r="P301" s="11"/>
      <c r="Q301" s="11"/>
    </row>
    <row r="302" spans="10:17">
      <c r="J302" s="11"/>
      <c r="K302" s="1533"/>
      <c r="L302" s="11"/>
      <c r="M302" s="11"/>
      <c r="N302" s="11"/>
      <c r="O302" s="11"/>
      <c r="P302" s="11"/>
      <c r="Q302" s="11"/>
    </row>
    <row r="303" spans="10:17">
      <c r="J303" s="11"/>
      <c r="K303" s="1533"/>
      <c r="L303" s="11"/>
      <c r="M303" s="11"/>
      <c r="N303" s="11"/>
      <c r="O303" s="11"/>
      <c r="P303" s="11"/>
      <c r="Q303" s="11"/>
    </row>
    <row r="304" spans="10:17">
      <c r="J304" s="11"/>
      <c r="K304" s="1533"/>
      <c r="L304" s="11"/>
      <c r="M304" s="11"/>
      <c r="N304" s="11"/>
      <c r="O304" s="11"/>
      <c r="P304" s="11"/>
      <c r="Q304" s="11"/>
    </row>
    <row r="305" spans="10:17">
      <c r="J305" s="11"/>
      <c r="K305" s="1533"/>
      <c r="L305" s="11"/>
      <c r="M305" s="11"/>
      <c r="N305" s="11"/>
      <c r="O305" s="11"/>
      <c r="P305" s="11"/>
      <c r="Q305" s="11"/>
    </row>
    <row r="306" spans="10:17">
      <c r="J306" s="11"/>
      <c r="K306" s="1533"/>
      <c r="L306" s="11"/>
      <c r="M306" s="11"/>
      <c r="N306" s="11"/>
      <c r="O306" s="11"/>
      <c r="P306" s="11"/>
      <c r="Q306" s="11"/>
    </row>
    <row r="307" spans="10:17">
      <c r="J307" s="11"/>
      <c r="K307" s="1533"/>
      <c r="L307" s="11"/>
      <c r="M307" s="11"/>
      <c r="N307" s="11"/>
      <c r="O307" s="11"/>
      <c r="P307" s="11"/>
      <c r="Q307" s="11"/>
    </row>
    <row r="308" spans="10:17">
      <c r="J308" s="11"/>
      <c r="K308" s="1533"/>
      <c r="L308" s="11"/>
      <c r="M308" s="11"/>
      <c r="N308" s="11"/>
      <c r="O308" s="11"/>
      <c r="P308" s="11"/>
      <c r="Q308" s="11"/>
    </row>
    <row r="309" spans="10:17">
      <c r="J309" s="11"/>
      <c r="K309" s="1533"/>
      <c r="L309" s="11"/>
      <c r="M309" s="11"/>
      <c r="N309" s="11"/>
      <c r="O309" s="11"/>
      <c r="P309" s="11"/>
      <c r="Q309" s="11"/>
    </row>
    <row r="310" spans="10:17">
      <c r="J310" s="11"/>
      <c r="K310" s="1533"/>
      <c r="L310" s="11"/>
      <c r="M310" s="11"/>
      <c r="N310" s="11"/>
      <c r="O310" s="11"/>
      <c r="P310" s="11"/>
      <c r="Q310" s="11"/>
    </row>
    <row r="311" spans="10:17">
      <c r="J311" s="11"/>
      <c r="K311" s="1533"/>
      <c r="L311" s="11"/>
      <c r="M311" s="11"/>
      <c r="N311" s="11"/>
      <c r="O311" s="11"/>
      <c r="P311" s="11"/>
      <c r="Q311" s="11"/>
    </row>
    <row r="312" spans="10:17">
      <c r="J312" s="11"/>
      <c r="K312" s="1533"/>
      <c r="L312" s="11"/>
      <c r="M312" s="11"/>
      <c r="N312" s="11"/>
      <c r="O312" s="11"/>
      <c r="P312" s="11"/>
      <c r="Q312" s="11"/>
    </row>
    <row r="313" spans="10:17">
      <c r="J313" s="11"/>
      <c r="K313" s="1533"/>
      <c r="L313" s="11"/>
      <c r="M313" s="11"/>
      <c r="N313" s="11"/>
      <c r="O313" s="11"/>
      <c r="P313" s="11"/>
      <c r="Q313" s="11"/>
    </row>
    <row r="314" spans="10:17">
      <c r="J314" s="11"/>
      <c r="K314" s="1533"/>
      <c r="L314" s="11"/>
      <c r="M314" s="11"/>
      <c r="N314" s="11"/>
      <c r="O314" s="11"/>
      <c r="P314" s="11"/>
      <c r="Q314" s="11"/>
    </row>
    <row r="315" spans="10:17">
      <c r="J315" s="11"/>
      <c r="K315" s="1533"/>
      <c r="L315" s="11"/>
      <c r="M315" s="11"/>
      <c r="N315" s="11"/>
      <c r="O315" s="11"/>
      <c r="P315" s="11"/>
      <c r="Q315" s="11"/>
    </row>
    <row r="316" spans="10:17">
      <c r="J316" s="11"/>
      <c r="K316" s="1533"/>
      <c r="L316" s="11"/>
      <c r="M316" s="11"/>
      <c r="N316" s="11"/>
      <c r="O316" s="11"/>
      <c r="P316" s="11"/>
      <c r="Q316" s="11"/>
    </row>
    <row r="317" spans="10:17">
      <c r="J317" s="11"/>
      <c r="K317" s="1533"/>
      <c r="L317" s="11"/>
      <c r="M317" s="11"/>
      <c r="N317" s="11"/>
      <c r="O317" s="11"/>
      <c r="P317" s="11"/>
      <c r="Q317" s="11"/>
    </row>
    <row r="318" spans="10:17">
      <c r="J318" s="11"/>
      <c r="K318" s="1533"/>
      <c r="L318" s="11"/>
      <c r="M318" s="11"/>
      <c r="N318" s="11"/>
      <c r="O318" s="11"/>
      <c r="P318" s="11"/>
      <c r="Q318" s="11"/>
    </row>
    <row r="319" spans="10:17">
      <c r="J319" s="11"/>
      <c r="K319" s="1533"/>
      <c r="L319" s="11"/>
      <c r="M319" s="11"/>
      <c r="N319" s="11"/>
      <c r="O319" s="11"/>
      <c r="P319" s="11"/>
      <c r="Q319" s="11"/>
    </row>
    <row r="320" spans="10:17">
      <c r="J320" s="11"/>
      <c r="K320" s="1533"/>
      <c r="L320" s="11"/>
      <c r="M320" s="11"/>
      <c r="N320" s="11"/>
      <c r="O320" s="11"/>
      <c r="P320" s="11"/>
      <c r="Q320" s="11"/>
    </row>
    <row r="321" spans="10:17">
      <c r="J321" s="11"/>
      <c r="K321" s="1533"/>
      <c r="L321" s="11"/>
      <c r="M321" s="11"/>
      <c r="N321" s="11"/>
      <c r="O321" s="11"/>
      <c r="P321" s="11"/>
      <c r="Q321" s="11"/>
    </row>
    <row r="322" spans="10:17">
      <c r="J322" s="11"/>
      <c r="K322" s="1533"/>
      <c r="L322" s="11"/>
      <c r="M322" s="11"/>
      <c r="N322" s="11"/>
      <c r="O322" s="11"/>
      <c r="P322" s="11"/>
      <c r="Q322" s="11"/>
    </row>
    <row r="323" spans="10:17">
      <c r="J323" s="11"/>
      <c r="K323" s="1533"/>
      <c r="L323" s="11"/>
      <c r="M323" s="11"/>
      <c r="N323" s="11"/>
      <c r="O323" s="11"/>
      <c r="P323" s="11"/>
      <c r="Q323" s="11"/>
    </row>
    <row r="324" spans="10:17">
      <c r="J324" s="11"/>
      <c r="K324" s="1533"/>
      <c r="L324" s="11"/>
      <c r="M324" s="11"/>
      <c r="N324" s="11"/>
      <c r="O324" s="11"/>
      <c r="P324" s="11"/>
      <c r="Q324" s="11"/>
    </row>
    <row r="325" spans="10:17">
      <c r="J325" s="11"/>
      <c r="K325" s="1533"/>
      <c r="L325" s="11"/>
      <c r="M325" s="11"/>
      <c r="N325" s="11"/>
      <c r="O325" s="11"/>
      <c r="P325" s="11"/>
      <c r="Q325" s="11"/>
    </row>
    <row r="326" spans="10:17">
      <c r="J326" s="11"/>
      <c r="K326" s="1533"/>
      <c r="L326" s="11"/>
      <c r="M326" s="11"/>
      <c r="N326" s="11"/>
      <c r="O326" s="11"/>
      <c r="P326" s="11"/>
      <c r="Q326" s="11"/>
    </row>
    <row r="327" spans="10:17">
      <c r="J327" s="11"/>
      <c r="K327" s="1533"/>
      <c r="L327" s="11"/>
      <c r="M327" s="11"/>
      <c r="N327" s="11"/>
      <c r="O327" s="11"/>
      <c r="P327" s="11"/>
      <c r="Q327" s="11"/>
    </row>
    <row r="328" spans="10:17">
      <c r="J328" s="11"/>
      <c r="K328" s="1533"/>
      <c r="L328" s="11"/>
      <c r="M328" s="11"/>
      <c r="N328" s="11"/>
      <c r="O328" s="11"/>
      <c r="P328" s="11"/>
      <c r="Q328" s="11"/>
    </row>
    <row r="329" spans="10:17">
      <c r="J329" s="11"/>
      <c r="K329" s="1533"/>
      <c r="L329" s="11"/>
      <c r="M329" s="11"/>
      <c r="N329" s="11"/>
      <c r="O329" s="11"/>
      <c r="P329" s="11"/>
      <c r="Q329" s="11"/>
    </row>
    <row r="330" spans="10:17">
      <c r="J330" s="11"/>
      <c r="K330" s="1533"/>
      <c r="L330" s="11"/>
      <c r="M330" s="11"/>
      <c r="N330" s="11"/>
      <c r="O330" s="11"/>
      <c r="P330" s="11"/>
      <c r="Q330" s="11"/>
    </row>
    <row r="331" spans="10:17">
      <c r="J331" s="11"/>
      <c r="K331" s="1533"/>
      <c r="L331" s="11"/>
      <c r="M331" s="11"/>
      <c r="N331" s="11"/>
      <c r="O331" s="11"/>
      <c r="P331" s="11"/>
      <c r="Q331" s="11"/>
    </row>
    <row r="332" spans="10:17">
      <c r="J332" s="11"/>
      <c r="K332" s="1533"/>
      <c r="L332" s="11"/>
      <c r="M332" s="11"/>
      <c r="N332" s="11"/>
      <c r="O332" s="11"/>
      <c r="P332" s="11"/>
      <c r="Q332" s="11"/>
    </row>
    <row r="333" spans="10:17">
      <c r="J333" s="11"/>
      <c r="K333" s="1533"/>
      <c r="L333" s="11"/>
      <c r="M333" s="11"/>
      <c r="N333" s="11"/>
      <c r="O333" s="11"/>
      <c r="P333" s="11"/>
      <c r="Q333" s="11"/>
    </row>
    <row r="334" spans="10:17">
      <c r="J334" s="11"/>
      <c r="K334" s="1533"/>
      <c r="L334" s="11"/>
      <c r="M334" s="11"/>
      <c r="N334" s="11"/>
      <c r="O334" s="11"/>
      <c r="P334" s="11"/>
      <c r="Q334" s="11"/>
    </row>
    <row r="335" spans="10:17">
      <c r="J335" s="11"/>
      <c r="K335" s="1533"/>
      <c r="L335" s="11"/>
      <c r="M335" s="11"/>
      <c r="N335" s="11"/>
      <c r="O335" s="11"/>
      <c r="P335" s="11"/>
      <c r="Q335" s="11"/>
    </row>
    <row r="336" spans="10:17">
      <c r="J336" s="11"/>
      <c r="K336" s="1533"/>
      <c r="L336" s="11"/>
      <c r="M336" s="11"/>
      <c r="N336" s="11"/>
      <c r="O336" s="11"/>
      <c r="P336" s="11"/>
      <c r="Q336" s="11"/>
    </row>
    <row r="337" spans="10:17">
      <c r="J337" s="11"/>
      <c r="K337" s="1533"/>
      <c r="L337" s="11"/>
      <c r="M337" s="11"/>
      <c r="N337" s="11"/>
      <c r="O337" s="11"/>
      <c r="P337" s="11"/>
      <c r="Q337" s="11"/>
    </row>
    <row r="338" spans="10:17">
      <c r="J338" s="11"/>
      <c r="K338" s="1533"/>
      <c r="L338" s="11"/>
      <c r="M338" s="11"/>
      <c r="N338" s="11"/>
      <c r="O338" s="11"/>
      <c r="P338" s="11"/>
      <c r="Q338" s="11"/>
    </row>
    <row r="339" spans="10:17">
      <c r="J339" s="11"/>
      <c r="K339" s="1533"/>
      <c r="L339" s="11"/>
      <c r="M339" s="11"/>
      <c r="N339" s="11"/>
      <c r="O339" s="11"/>
      <c r="P339" s="11"/>
      <c r="Q339" s="11"/>
    </row>
    <row r="340" spans="10:17">
      <c r="J340" s="11"/>
      <c r="K340" s="1533"/>
      <c r="L340" s="11"/>
      <c r="M340" s="11"/>
      <c r="N340" s="11"/>
      <c r="O340" s="11"/>
      <c r="P340" s="11"/>
      <c r="Q340" s="11"/>
    </row>
    <row r="341" spans="10:17">
      <c r="J341" s="11"/>
      <c r="K341" s="1533"/>
      <c r="L341" s="11"/>
      <c r="M341" s="11"/>
      <c r="N341" s="11"/>
      <c r="O341" s="11"/>
      <c r="P341" s="11"/>
      <c r="Q341" s="11"/>
    </row>
    <row r="342" spans="10:17">
      <c r="J342" s="11"/>
      <c r="K342" s="1533"/>
      <c r="L342" s="11"/>
      <c r="M342" s="11"/>
      <c r="N342" s="11"/>
      <c r="O342" s="11"/>
      <c r="P342" s="11"/>
      <c r="Q342" s="11"/>
    </row>
    <row r="343" spans="10:17">
      <c r="J343" s="11"/>
      <c r="K343" s="1533"/>
      <c r="L343" s="11"/>
      <c r="M343" s="11"/>
      <c r="N343" s="11"/>
      <c r="O343" s="11"/>
      <c r="P343" s="11"/>
      <c r="Q343" s="11"/>
    </row>
    <row r="344" spans="10:17">
      <c r="J344" s="11"/>
      <c r="K344" s="1533"/>
      <c r="L344" s="11"/>
      <c r="M344" s="11"/>
      <c r="N344" s="11"/>
      <c r="O344" s="11"/>
      <c r="P344" s="11"/>
      <c r="Q344" s="11"/>
    </row>
    <row r="345" spans="10:17">
      <c r="J345" s="11"/>
      <c r="K345" s="1533"/>
      <c r="L345" s="11"/>
      <c r="M345" s="11"/>
      <c r="N345" s="11"/>
      <c r="O345" s="11"/>
      <c r="P345" s="11"/>
      <c r="Q345" s="11"/>
    </row>
    <row r="346" spans="10:17">
      <c r="J346" s="11"/>
      <c r="K346" s="1533"/>
      <c r="L346" s="11"/>
      <c r="M346" s="11"/>
      <c r="N346" s="11"/>
      <c r="O346" s="11"/>
      <c r="P346" s="11"/>
      <c r="Q346" s="11"/>
    </row>
    <row r="347" spans="10:17">
      <c r="J347" s="11"/>
      <c r="K347" s="1533"/>
      <c r="L347" s="11"/>
      <c r="M347" s="11"/>
      <c r="N347" s="11"/>
      <c r="O347" s="11"/>
      <c r="P347" s="11"/>
      <c r="Q347" s="11"/>
    </row>
    <row r="348" spans="10:17">
      <c r="J348" s="11"/>
      <c r="K348" s="1533"/>
      <c r="L348" s="11"/>
      <c r="M348" s="11"/>
      <c r="N348" s="11"/>
      <c r="O348" s="11"/>
      <c r="P348" s="11"/>
      <c r="Q348" s="11"/>
    </row>
    <row r="349" spans="10:17">
      <c r="J349" s="11"/>
      <c r="K349" s="1533"/>
      <c r="L349" s="11"/>
      <c r="M349" s="11"/>
      <c r="N349" s="11"/>
      <c r="O349" s="11"/>
      <c r="P349" s="11"/>
      <c r="Q349" s="11"/>
    </row>
    <row r="350" spans="10:17">
      <c r="J350" s="11"/>
      <c r="K350" s="1533"/>
      <c r="L350" s="11"/>
      <c r="M350" s="11"/>
      <c r="N350" s="11"/>
      <c r="O350" s="11"/>
      <c r="P350" s="11"/>
      <c r="Q350" s="11"/>
    </row>
    <row r="351" spans="10:17">
      <c r="J351" s="11"/>
      <c r="K351" s="1533"/>
      <c r="L351" s="11"/>
      <c r="M351" s="11"/>
      <c r="N351" s="11"/>
      <c r="O351" s="11"/>
      <c r="P351" s="11"/>
      <c r="Q351" s="11"/>
    </row>
    <row r="352" spans="10:17">
      <c r="J352" s="11"/>
      <c r="K352" s="1533"/>
      <c r="L352" s="11"/>
      <c r="M352" s="11"/>
      <c r="N352" s="11"/>
      <c r="O352" s="11"/>
      <c r="P352" s="11"/>
      <c r="Q352" s="11"/>
    </row>
    <row r="353" spans="10:17">
      <c r="J353" s="11"/>
      <c r="K353" s="1533"/>
      <c r="L353" s="11"/>
      <c r="M353" s="11"/>
      <c r="N353" s="11"/>
      <c r="O353" s="11"/>
      <c r="P353" s="11"/>
      <c r="Q353" s="11"/>
    </row>
    <row r="354" spans="10:17">
      <c r="J354" s="11"/>
      <c r="K354" s="1533"/>
      <c r="L354" s="11"/>
      <c r="M354" s="11"/>
      <c r="N354" s="11"/>
      <c r="O354" s="11"/>
      <c r="P354" s="11"/>
      <c r="Q354" s="11"/>
    </row>
    <row r="355" spans="10:17">
      <c r="J355" s="11"/>
      <c r="K355" s="1533"/>
      <c r="L355" s="11"/>
      <c r="M355" s="11"/>
      <c r="N355" s="11"/>
      <c r="O355" s="11"/>
      <c r="P355" s="11"/>
      <c r="Q355" s="11"/>
    </row>
    <row r="356" spans="10:17">
      <c r="J356" s="11"/>
      <c r="K356" s="1533"/>
      <c r="L356" s="11"/>
      <c r="M356" s="11"/>
      <c r="N356" s="11"/>
      <c r="O356" s="11"/>
      <c r="P356" s="11"/>
      <c r="Q356" s="11"/>
    </row>
    <row r="357" spans="10:17">
      <c r="J357" s="11"/>
      <c r="K357" s="1533"/>
      <c r="L357" s="11"/>
      <c r="M357" s="11"/>
      <c r="N357" s="11"/>
      <c r="O357" s="11"/>
      <c r="P357" s="11"/>
      <c r="Q357" s="11"/>
    </row>
    <row r="358" spans="10:17">
      <c r="J358" s="11"/>
      <c r="K358" s="1533"/>
      <c r="L358" s="11"/>
      <c r="M358" s="11"/>
      <c r="N358" s="11"/>
      <c r="O358" s="11"/>
      <c r="P358" s="11"/>
      <c r="Q358" s="11"/>
    </row>
    <row r="359" spans="10:17">
      <c r="J359" s="11"/>
      <c r="K359" s="1533"/>
      <c r="L359" s="11"/>
      <c r="M359" s="11"/>
      <c r="N359" s="11"/>
      <c r="O359" s="11"/>
      <c r="P359" s="11"/>
      <c r="Q359" s="11"/>
    </row>
    <row r="360" spans="10:17">
      <c r="J360" s="11"/>
      <c r="K360" s="1533"/>
      <c r="L360" s="11"/>
      <c r="M360" s="11"/>
      <c r="N360" s="11"/>
      <c r="O360" s="11"/>
      <c r="P360" s="11"/>
      <c r="Q360" s="11"/>
    </row>
    <row r="361" spans="10:17">
      <c r="J361" s="11"/>
      <c r="K361" s="1533"/>
      <c r="L361" s="11"/>
      <c r="M361" s="11"/>
      <c r="N361" s="11"/>
      <c r="O361" s="11"/>
      <c r="P361" s="11"/>
      <c r="Q361" s="11"/>
    </row>
    <row r="362" spans="10:17">
      <c r="J362" s="11"/>
      <c r="K362" s="1533"/>
      <c r="L362" s="11"/>
      <c r="M362" s="11"/>
      <c r="N362" s="11"/>
      <c r="O362" s="11"/>
      <c r="P362" s="11"/>
      <c r="Q362" s="11"/>
    </row>
    <row r="363" spans="10:17">
      <c r="J363" s="11"/>
      <c r="K363" s="1533"/>
      <c r="L363" s="11"/>
      <c r="M363" s="11"/>
      <c r="N363" s="11"/>
      <c r="O363" s="11"/>
      <c r="P363" s="11"/>
      <c r="Q363" s="11"/>
    </row>
    <row r="364" spans="10:17">
      <c r="J364" s="11"/>
      <c r="K364" s="1533"/>
      <c r="L364" s="11"/>
      <c r="M364" s="11"/>
      <c r="N364" s="11"/>
      <c r="O364" s="11"/>
      <c r="P364" s="11"/>
      <c r="Q364" s="11"/>
    </row>
    <row r="365" spans="10:17">
      <c r="J365" s="11"/>
      <c r="K365" s="1533"/>
      <c r="L365" s="11"/>
      <c r="M365" s="11"/>
      <c r="N365" s="11"/>
      <c r="O365" s="11"/>
      <c r="P365" s="11"/>
      <c r="Q365" s="11"/>
    </row>
    <row r="366" spans="10:17">
      <c r="J366" s="11"/>
      <c r="K366" s="1533"/>
      <c r="L366" s="11"/>
      <c r="M366" s="11"/>
      <c r="N366" s="11"/>
      <c r="O366" s="11"/>
      <c r="P366" s="11"/>
      <c r="Q366" s="11"/>
    </row>
    <row r="367" spans="10:17">
      <c r="J367" s="11"/>
      <c r="K367" s="1533"/>
      <c r="L367" s="11"/>
      <c r="M367" s="11"/>
      <c r="N367" s="11"/>
      <c r="O367" s="11"/>
      <c r="P367" s="11"/>
      <c r="Q367" s="11"/>
    </row>
    <row r="368" spans="10:17">
      <c r="J368" s="11"/>
      <c r="K368" s="1533"/>
      <c r="L368" s="11"/>
      <c r="M368" s="11"/>
      <c r="N368" s="11"/>
      <c r="O368" s="11"/>
      <c r="P368" s="11"/>
      <c r="Q368" s="11"/>
    </row>
    <row r="369" spans="10:17">
      <c r="J369" s="11"/>
      <c r="K369" s="1533"/>
      <c r="L369" s="11"/>
      <c r="M369" s="11"/>
      <c r="N369" s="11"/>
      <c r="O369" s="11"/>
      <c r="P369" s="11"/>
      <c r="Q369" s="11"/>
    </row>
    <row r="370" spans="10:17">
      <c r="J370" s="11"/>
      <c r="K370" s="1533"/>
      <c r="L370" s="11"/>
      <c r="M370" s="11"/>
      <c r="N370" s="11"/>
      <c r="O370" s="11"/>
      <c r="P370" s="11"/>
      <c r="Q370" s="11"/>
    </row>
    <row r="371" spans="10:17">
      <c r="J371" s="11"/>
      <c r="K371" s="1533"/>
      <c r="L371" s="11"/>
      <c r="M371" s="11"/>
      <c r="N371" s="11"/>
      <c r="O371" s="11"/>
      <c r="P371" s="11"/>
      <c r="Q371" s="11"/>
    </row>
    <row r="372" spans="10:17">
      <c r="J372" s="11"/>
      <c r="K372" s="1533"/>
      <c r="L372" s="11"/>
      <c r="M372" s="11"/>
      <c r="N372" s="11"/>
      <c r="O372" s="11"/>
      <c r="P372" s="11"/>
      <c r="Q372" s="11"/>
    </row>
    <row r="373" spans="10:17">
      <c r="J373" s="11"/>
      <c r="K373" s="1533"/>
      <c r="L373" s="11"/>
      <c r="M373" s="11"/>
      <c r="N373" s="11"/>
      <c r="O373" s="11"/>
      <c r="P373" s="11"/>
      <c r="Q373" s="11"/>
    </row>
    <row r="374" spans="10:17">
      <c r="J374" s="11"/>
      <c r="K374" s="1533"/>
      <c r="L374" s="11"/>
      <c r="M374" s="11"/>
      <c r="N374" s="11"/>
      <c r="O374" s="11"/>
      <c r="P374" s="11"/>
      <c r="Q374" s="11"/>
    </row>
    <row r="375" spans="10:17">
      <c r="J375" s="11"/>
      <c r="K375" s="1533"/>
      <c r="L375" s="11"/>
      <c r="M375" s="11"/>
      <c r="N375" s="11"/>
      <c r="O375" s="11"/>
      <c r="P375" s="11"/>
      <c r="Q375" s="11"/>
    </row>
    <row r="376" spans="10:17">
      <c r="J376" s="11"/>
      <c r="K376" s="1533"/>
      <c r="L376" s="11"/>
      <c r="M376" s="11"/>
      <c r="N376" s="11"/>
      <c r="O376" s="11"/>
      <c r="P376" s="11"/>
      <c r="Q376" s="11"/>
    </row>
    <row r="377" spans="10:17">
      <c r="J377" s="11"/>
      <c r="K377" s="1533"/>
      <c r="L377" s="11"/>
      <c r="M377" s="11"/>
      <c r="N377" s="11"/>
      <c r="O377" s="11"/>
      <c r="P377" s="11"/>
      <c r="Q377" s="11"/>
    </row>
    <row r="378" spans="10:17">
      <c r="J378" s="11"/>
      <c r="K378" s="1533"/>
      <c r="L378" s="11"/>
      <c r="M378" s="11"/>
      <c r="N378" s="11"/>
      <c r="O378" s="11"/>
      <c r="P378" s="11"/>
      <c r="Q378" s="11"/>
    </row>
    <row r="379" spans="10:17">
      <c r="J379" s="11"/>
      <c r="K379" s="1533"/>
      <c r="L379" s="11"/>
      <c r="M379" s="11"/>
      <c r="N379" s="11"/>
      <c r="O379" s="11"/>
      <c r="P379" s="11"/>
      <c r="Q379" s="11"/>
    </row>
    <row r="380" spans="10:17">
      <c r="J380" s="11"/>
      <c r="K380" s="1533"/>
      <c r="L380" s="11"/>
      <c r="M380" s="11"/>
      <c r="N380" s="11"/>
      <c r="O380" s="11"/>
      <c r="P380" s="11"/>
      <c r="Q380" s="11"/>
    </row>
    <row r="381" spans="10:17">
      <c r="J381" s="11"/>
      <c r="K381" s="1533"/>
      <c r="L381" s="11"/>
      <c r="M381" s="11"/>
      <c r="N381" s="11"/>
      <c r="O381" s="11"/>
      <c r="P381" s="11"/>
      <c r="Q381" s="11"/>
    </row>
    <row r="382" spans="10:17">
      <c r="J382" s="11"/>
      <c r="K382" s="1533"/>
      <c r="L382" s="11"/>
      <c r="M382" s="11"/>
      <c r="N382" s="11"/>
      <c r="O382" s="11"/>
      <c r="P382" s="11"/>
      <c r="Q382" s="11"/>
    </row>
    <row r="383" spans="10:17">
      <c r="J383" s="11"/>
      <c r="K383" s="1533"/>
      <c r="L383" s="11"/>
      <c r="M383" s="11"/>
      <c r="N383" s="11"/>
      <c r="O383" s="11"/>
      <c r="P383" s="11"/>
      <c r="Q383" s="11"/>
    </row>
    <row r="384" spans="10:17">
      <c r="J384" s="11"/>
      <c r="K384" s="1533"/>
      <c r="L384" s="11"/>
      <c r="M384" s="11"/>
      <c r="N384" s="11"/>
      <c r="O384" s="11"/>
      <c r="P384" s="11"/>
      <c r="Q384" s="11"/>
    </row>
    <row r="385" spans="10:17">
      <c r="J385" s="11"/>
      <c r="K385" s="1533"/>
      <c r="L385" s="11"/>
      <c r="M385" s="11"/>
      <c r="N385" s="11"/>
      <c r="O385" s="11"/>
      <c r="P385" s="11"/>
      <c r="Q385" s="11"/>
    </row>
    <row r="386" spans="10:17">
      <c r="J386" s="11"/>
      <c r="K386" s="1533"/>
      <c r="L386" s="11"/>
      <c r="M386" s="11"/>
      <c r="N386" s="11"/>
      <c r="O386" s="11"/>
      <c r="P386" s="11"/>
      <c r="Q386" s="11"/>
    </row>
    <row r="387" spans="10:17">
      <c r="J387" s="11"/>
      <c r="K387" s="1533"/>
      <c r="L387" s="11"/>
      <c r="M387" s="11"/>
      <c r="N387" s="11"/>
      <c r="O387" s="11"/>
      <c r="P387" s="11"/>
      <c r="Q387" s="11"/>
    </row>
    <row r="388" spans="10:17">
      <c r="J388" s="11"/>
      <c r="K388" s="1533"/>
      <c r="L388" s="11"/>
      <c r="M388" s="11"/>
      <c r="N388" s="11"/>
      <c r="O388" s="11"/>
      <c r="P388" s="11"/>
      <c r="Q388" s="11"/>
    </row>
    <row r="389" spans="10:17">
      <c r="J389" s="11"/>
      <c r="K389" s="1533"/>
      <c r="L389" s="11"/>
      <c r="M389" s="11"/>
      <c r="N389" s="11"/>
      <c r="O389" s="11"/>
      <c r="P389" s="11"/>
      <c r="Q389" s="11"/>
    </row>
    <row r="390" spans="10:17">
      <c r="J390" s="11"/>
      <c r="K390" s="1533"/>
      <c r="L390" s="11"/>
      <c r="M390" s="11"/>
      <c r="N390" s="11"/>
      <c r="O390" s="11"/>
      <c r="P390" s="11"/>
      <c r="Q390" s="11"/>
    </row>
    <row r="391" spans="10:17">
      <c r="J391" s="11"/>
      <c r="K391" s="1533"/>
      <c r="L391" s="11"/>
      <c r="M391" s="11"/>
      <c r="N391" s="11"/>
      <c r="O391" s="11"/>
      <c r="P391" s="11"/>
      <c r="Q391" s="11"/>
    </row>
    <row r="392" spans="10:17">
      <c r="J392" s="11"/>
      <c r="K392" s="1533"/>
      <c r="L392" s="11"/>
      <c r="M392" s="11"/>
      <c r="N392" s="11"/>
      <c r="O392" s="11"/>
      <c r="P392" s="11"/>
      <c r="Q392" s="11"/>
    </row>
    <row r="393" spans="10:17">
      <c r="J393" s="11"/>
      <c r="K393" s="1533"/>
      <c r="L393" s="11"/>
      <c r="M393" s="11"/>
      <c r="N393" s="11"/>
      <c r="O393" s="11"/>
      <c r="P393" s="11"/>
      <c r="Q393" s="11"/>
    </row>
    <row r="394" spans="10:17">
      <c r="J394" s="11"/>
      <c r="K394" s="1533"/>
      <c r="L394" s="11"/>
      <c r="M394" s="11"/>
      <c r="N394" s="11"/>
      <c r="O394" s="11"/>
      <c r="P394" s="11"/>
      <c r="Q394" s="11"/>
    </row>
    <row r="395" spans="10:17">
      <c r="J395" s="11"/>
      <c r="K395" s="1533"/>
      <c r="L395" s="11"/>
      <c r="M395" s="11"/>
      <c r="N395" s="11"/>
      <c r="O395" s="11"/>
      <c r="P395" s="11"/>
      <c r="Q395" s="11"/>
    </row>
    <row r="396" spans="10:17">
      <c r="J396" s="11"/>
      <c r="K396" s="1533"/>
      <c r="L396" s="11"/>
      <c r="M396" s="11"/>
      <c r="N396" s="11"/>
      <c r="O396" s="11"/>
      <c r="P396" s="11"/>
      <c r="Q396" s="11"/>
    </row>
    <row r="397" spans="10:17">
      <c r="J397" s="11"/>
      <c r="K397" s="1533"/>
      <c r="L397" s="11"/>
      <c r="M397" s="11"/>
      <c r="N397" s="11"/>
      <c r="O397" s="11"/>
      <c r="P397" s="11"/>
      <c r="Q397" s="11"/>
    </row>
    <row r="398" spans="10:17">
      <c r="J398" s="11"/>
      <c r="K398" s="1533"/>
      <c r="L398" s="11"/>
      <c r="M398" s="11"/>
      <c r="N398" s="11"/>
      <c r="O398" s="11"/>
      <c r="P398" s="11"/>
      <c r="Q398" s="11"/>
    </row>
    <row r="399" spans="10:17">
      <c r="J399" s="11"/>
      <c r="K399" s="1533"/>
      <c r="L399" s="11"/>
      <c r="M399" s="11"/>
      <c r="N399" s="11"/>
      <c r="O399" s="11"/>
      <c r="P399" s="11"/>
      <c r="Q399" s="11"/>
    </row>
    <row r="400" spans="10:17">
      <c r="J400" s="11"/>
      <c r="K400" s="1533"/>
      <c r="L400" s="11"/>
      <c r="M400" s="11"/>
      <c r="N400" s="11"/>
      <c r="O400" s="11"/>
      <c r="P400" s="11"/>
      <c r="Q400" s="11"/>
    </row>
    <row r="401" spans="10:17">
      <c r="J401" s="11"/>
      <c r="K401" s="1533"/>
      <c r="L401" s="11"/>
      <c r="M401" s="11"/>
      <c r="N401" s="11"/>
      <c r="O401" s="11"/>
      <c r="P401" s="11"/>
      <c r="Q401" s="11"/>
    </row>
    <row r="402" spans="10:17">
      <c r="J402" s="11"/>
      <c r="K402" s="1533"/>
      <c r="L402" s="11"/>
      <c r="M402" s="11"/>
      <c r="N402" s="11"/>
      <c r="O402" s="11"/>
      <c r="P402" s="11"/>
      <c r="Q402" s="11"/>
    </row>
    <row r="403" spans="10:17">
      <c r="J403" s="11"/>
      <c r="K403" s="1533"/>
      <c r="L403" s="11"/>
      <c r="M403" s="11"/>
      <c r="N403" s="11"/>
      <c r="O403" s="11"/>
      <c r="P403" s="11"/>
      <c r="Q403" s="11"/>
    </row>
    <row r="404" spans="10:17">
      <c r="J404" s="11"/>
      <c r="K404" s="1533"/>
      <c r="L404" s="11"/>
      <c r="M404" s="11"/>
      <c r="N404" s="11"/>
      <c r="O404" s="11"/>
      <c r="P404" s="11"/>
      <c r="Q404" s="11"/>
    </row>
    <row r="405" spans="10:17">
      <c r="J405" s="11"/>
      <c r="K405" s="1533"/>
      <c r="L405" s="11"/>
      <c r="M405" s="11"/>
      <c r="N405" s="11"/>
      <c r="O405" s="11"/>
      <c r="P405" s="11"/>
      <c r="Q405" s="11"/>
    </row>
    <row r="406" spans="10:17">
      <c r="J406" s="11"/>
      <c r="K406" s="1533"/>
      <c r="L406" s="11"/>
      <c r="M406" s="11"/>
      <c r="N406" s="11"/>
      <c r="O406" s="11"/>
      <c r="P406" s="11"/>
      <c r="Q406" s="11"/>
    </row>
    <row r="407" spans="10:17">
      <c r="J407" s="11"/>
      <c r="K407" s="1533"/>
      <c r="L407" s="11"/>
      <c r="M407" s="11"/>
      <c r="N407" s="11"/>
      <c r="O407" s="11"/>
      <c r="P407" s="11"/>
      <c r="Q407" s="11"/>
    </row>
    <row r="408" spans="10:17">
      <c r="J408" s="11"/>
      <c r="K408" s="1533"/>
      <c r="L408" s="11"/>
      <c r="M408" s="11"/>
      <c r="N408" s="11"/>
      <c r="O408" s="11"/>
      <c r="P408" s="11"/>
      <c r="Q408" s="11"/>
    </row>
    <row r="409" spans="10:17">
      <c r="J409" s="11"/>
      <c r="K409" s="1533"/>
      <c r="L409" s="11"/>
      <c r="M409" s="11"/>
      <c r="N409" s="11"/>
      <c r="O409" s="11"/>
      <c r="P409" s="11"/>
      <c r="Q409" s="11"/>
    </row>
    <row r="410" spans="10:17">
      <c r="J410" s="11"/>
      <c r="K410" s="1533"/>
      <c r="L410" s="11"/>
      <c r="M410" s="11"/>
      <c r="N410" s="11"/>
      <c r="O410" s="11"/>
      <c r="P410" s="11"/>
      <c r="Q410" s="11"/>
    </row>
    <row r="411" spans="10:17">
      <c r="J411" s="11"/>
      <c r="K411" s="1533"/>
      <c r="L411" s="11"/>
      <c r="M411" s="11"/>
      <c r="N411" s="11"/>
      <c r="O411" s="11"/>
      <c r="P411" s="11"/>
      <c r="Q411" s="11"/>
    </row>
    <row r="412" spans="10:17">
      <c r="J412" s="11"/>
      <c r="K412" s="1533"/>
      <c r="L412" s="11"/>
      <c r="M412" s="11"/>
      <c r="N412" s="11"/>
      <c r="O412" s="11"/>
      <c r="P412" s="11"/>
      <c r="Q412" s="11"/>
    </row>
    <row r="413" spans="10:17">
      <c r="J413" s="11"/>
      <c r="K413" s="1533"/>
      <c r="L413" s="11"/>
      <c r="M413" s="11"/>
      <c r="N413" s="11"/>
      <c r="O413" s="11"/>
      <c r="P413" s="11"/>
      <c r="Q413" s="11"/>
    </row>
    <row r="414" spans="10:17">
      <c r="J414" s="11"/>
      <c r="K414" s="1533"/>
      <c r="L414" s="11"/>
      <c r="M414" s="11"/>
      <c r="N414" s="11"/>
      <c r="O414" s="11"/>
      <c r="P414" s="11"/>
      <c r="Q414" s="11"/>
    </row>
    <row r="415" spans="10:17">
      <c r="J415" s="11"/>
      <c r="K415" s="1533"/>
      <c r="L415" s="11"/>
      <c r="M415" s="11"/>
      <c r="N415" s="11"/>
      <c r="O415" s="11"/>
      <c r="P415" s="11"/>
      <c r="Q415" s="11"/>
    </row>
    <row r="416" spans="10:17">
      <c r="J416" s="11"/>
      <c r="K416" s="1533"/>
      <c r="L416" s="11"/>
      <c r="M416" s="11"/>
      <c r="N416" s="11"/>
      <c r="O416" s="11"/>
      <c r="P416" s="11"/>
      <c r="Q416" s="11"/>
    </row>
    <row r="417" spans="10:17">
      <c r="J417" s="11"/>
      <c r="K417" s="1533"/>
      <c r="L417" s="11"/>
      <c r="M417" s="11"/>
      <c r="N417" s="11"/>
      <c r="O417" s="11"/>
      <c r="P417" s="11"/>
      <c r="Q417" s="11"/>
    </row>
    <row r="418" spans="10:17">
      <c r="J418" s="11"/>
      <c r="K418" s="1533"/>
      <c r="L418" s="11"/>
      <c r="M418" s="11"/>
      <c r="N418" s="11"/>
      <c r="O418" s="11"/>
      <c r="P418" s="11"/>
      <c r="Q418" s="11"/>
    </row>
    <row r="419" spans="10:17">
      <c r="J419" s="11"/>
      <c r="K419" s="1533"/>
      <c r="L419" s="11"/>
      <c r="M419" s="11"/>
      <c r="N419" s="11"/>
      <c r="O419" s="11"/>
      <c r="P419" s="11"/>
      <c r="Q419" s="11"/>
    </row>
    <row r="420" spans="10:17">
      <c r="J420" s="11"/>
      <c r="K420" s="1533"/>
      <c r="L420" s="11"/>
      <c r="M420" s="11"/>
      <c r="N420" s="11"/>
      <c r="O420" s="11"/>
      <c r="P420" s="11"/>
      <c r="Q420" s="11"/>
    </row>
    <row r="421" spans="10:17">
      <c r="J421" s="11"/>
      <c r="K421" s="1533"/>
      <c r="L421" s="11"/>
      <c r="M421" s="11"/>
      <c r="N421" s="11"/>
      <c r="O421" s="11"/>
      <c r="P421" s="11"/>
      <c r="Q421" s="11"/>
    </row>
    <row r="422" spans="10:17">
      <c r="J422" s="11"/>
      <c r="K422" s="1533"/>
      <c r="L422" s="11"/>
      <c r="M422" s="11"/>
      <c r="N422" s="11"/>
      <c r="O422" s="11"/>
      <c r="P422" s="11"/>
      <c r="Q422" s="11"/>
    </row>
    <row r="423" spans="10:17">
      <c r="J423" s="11"/>
      <c r="K423" s="1533"/>
      <c r="L423" s="11"/>
      <c r="M423" s="11"/>
      <c r="N423" s="11"/>
      <c r="O423" s="11"/>
      <c r="P423" s="11"/>
      <c r="Q423" s="11"/>
    </row>
    <row r="424" spans="10:17">
      <c r="J424" s="11"/>
      <c r="K424" s="1533"/>
      <c r="L424" s="11"/>
      <c r="M424" s="11"/>
      <c r="N424" s="11"/>
      <c r="O424" s="11"/>
      <c r="P424" s="11"/>
      <c r="Q424" s="11"/>
    </row>
    <row r="425" spans="10:17">
      <c r="J425" s="11"/>
      <c r="K425" s="1533"/>
      <c r="L425" s="11"/>
      <c r="M425" s="11"/>
      <c r="N425" s="11"/>
      <c r="O425" s="11"/>
      <c r="P425" s="11"/>
      <c r="Q425" s="11"/>
    </row>
    <row r="426" spans="10:17">
      <c r="J426" s="11"/>
      <c r="K426" s="1533"/>
      <c r="L426" s="11"/>
      <c r="M426" s="11"/>
      <c r="N426" s="11"/>
      <c r="O426" s="11"/>
      <c r="P426" s="11"/>
      <c r="Q426" s="11"/>
    </row>
    <row r="427" spans="10:17">
      <c r="J427" s="11"/>
      <c r="K427" s="1533"/>
      <c r="L427" s="11"/>
      <c r="M427" s="11"/>
      <c r="N427" s="11"/>
      <c r="O427" s="11"/>
      <c r="P427" s="11"/>
      <c r="Q427" s="11"/>
    </row>
    <row r="428" spans="10:17">
      <c r="J428" s="11"/>
      <c r="K428" s="1533"/>
      <c r="L428" s="11"/>
      <c r="M428" s="11"/>
      <c r="N428" s="11"/>
      <c r="O428" s="11"/>
      <c r="P428" s="11"/>
      <c r="Q428" s="11"/>
    </row>
    <row r="429" spans="10:17">
      <c r="J429" s="11"/>
      <c r="K429" s="1533"/>
      <c r="L429" s="11"/>
      <c r="M429" s="11"/>
      <c r="N429" s="11"/>
      <c r="O429" s="11"/>
      <c r="P429" s="11"/>
      <c r="Q429" s="11"/>
    </row>
    <row r="430" spans="10:17">
      <c r="J430" s="11"/>
      <c r="K430" s="1533"/>
      <c r="L430" s="11"/>
      <c r="M430" s="11"/>
      <c r="N430" s="11"/>
      <c r="O430" s="11"/>
      <c r="P430" s="11"/>
      <c r="Q430" s="11"/>
    </row>
    <row r="431" spans="10:17">
      <c r="J431" s="11"/>
      <c r="K431" s="1533"/>
      <c r="L431" s="11"/>
      <c r="M431" s="11"/>
      <c r="N431" s="11"/>
      <c r="O431" s="11"/>
      <c r="P431" s="11"/>
      <c r="Q431" s="11"/>
    </row>
    <row r="432" spans="10:17">
      <c r="J432" s="11"/>
      <c r="K432" s="1533"/>
      <c r="L432" s="11"/>
      <c r="M432" s="11"/>
      <c r="N432" s="11"/>
      <c r="O432" s="11"/>
      <c r="P432" s="11"/>
      <c r="Q432" s="11"/>
    </row>
    <row r="433" spans="10:17">
      <c r="J433" s="11"/>
      <c r="K433" s="1533"/>
      <c r="L433" s="11"/>
      <c r="M433" s="11"/>
      <c r="N433" s="11"/>
      <c r="O433" s="11"/>
      <c r="P433" s="11"/>
      <c r="Q433" s="11"/>
    </row>
    <row r="434" spans="10:17">
      <c r="J434" s="11"/>
      <c r="K434" s="1533"/>
      <c r="L434" s="11"/>
      <c r="M434" s="11"/>
      <c r="N434" s="11"/>
      <c r="O434" s="11"/>
      <c r="P434" s="11"/>
      <c r="Q434" s="11"/>
    </row>
    <row r="435" spans="10:17">
      <c r="J435" s="11"/>
      <c r="K435" s="1533"/>
      <c r="L435" s="11"/>
      <c r="M435" s="11"/>
      <c r="N435" s="11"/>
      <c r="O435" s="11"/>
      <c r="P435" s="11"/>
      <c r="Q435" s="11"/>
    </row>
    <row r="436" spans="10:17">
      <c r="J436" s="11"/>
      <c r="K436" s="1533"/>
      <c r="L436" s="11"/>
      <c r="M436" s="11"/>
      <c r="N436" s="11"/>
      <c r="O436" s="11"/>
      <c r="P436" s="11"/>
      <c r="Q436" s="11"/>
    </row>
    <row r="437" spans="10:17">
      <c r="J437" s="11"/>
      <c r="K437" s="1533"/>
      <c r="L437" s="11"/>
      <c r="M437" s="11"/>
      <c r="N437" s="11"/>
      <c r="O437" s="11"/>
      <c r="P437" s="11"/>
      <c r="Q437" s="11"/>
    </row>
    <row r="438" spans="10:17">
      <c r="J438" s="11"/>
      <c r="K438" s="1533"/>
      <c r="L438" s="11"/>
      <c r="M438" s="11"/>
      <c r="N438" s="11"/>
      <c r="O438" s="11"/>
      <c r="P438" s="11"/>
      <c r="Q438" s="11"/>
    </row>
    <row r="439" spans="10:17">
      <c r="J439" s="11"/>
      <c r="K439" s="1533"/>
      <c r="L439" s="11"/>
      <c r="M439" s="11"/>
      <c r="N439" s="11"/>
      <c r="O439" s="11"/>
      <c r="P439" s="11"/>
      <c r="Q439" s="11"/>
    </row>
    <row r="440" spans="10:17">
      <c r="J440" s="11"/>
      <c r="K440" s="1533"/>
      <c r="L440" s="11"/>
      <c r="M440" s="11"/>
      <c r="N440" s="11"/>
      <c r="O440" s="11"/>
      <c r="P440" s="11"/>
      <c r="Q440" s="11"/>
    </row>
    <row r="441" spans="10:17">
      <c r="J441" s="11"/>
      <c r="K441" s="1533"/>
      <c r="L441" s="11"/>
      <c r="M441" s="11"/>
      <c r="N441" s="11"/>
      <c r="O441" s="11"/>
      <c r="P441" s="11"/>
      <c r="Q441" s="11"/>
    </row>
    <row r="442" spans="10:17">
      <c r="J442" s="11"/>
      <c r="K442" s="1533"/>
      <c r="L442" s="11"/>
      <c r="M442" s="11"/>
      <c r="N442" s="11"/>
      <c r="O442" s="11"/>
      <c r="P442" s="11"/>
      <c r="Q442" s="11"/>
    </row>
    <row r="443" spans="10:17">
      <c r="J443" s="11"/>
      <c r="K443" s="1533"/>
      <c r="L443" s="11"/>
      <c r="M443" s="11"/>
      <c r="N443" s="11"/>
      <c r="O443" s="11"/>
      <c r="P443" s="11"/>
      <c r="Q443" s="11"/>
    </row>
    <row r="444" spans="10:17">
      <c r="J444" s="11"/>
      <c r="K444" s="1533"/>
      <c r="L444" s="11"/>
      <c r="M444" s="11"/>
      <c r="N444" s="11"/>
      <c r="O444" s="11"/>
      <c r="P444" s="11"/>
      <c r="Q444" s="11"/>
    </row>
    <row r="445" spans="10:17">
      <c r="J445" s="11"/>
      <c r="K445" s="1533"/>
      <c r="L445" s="11"/>
      <c r="M445" s="11"/>
      <c r="N445" s="11"/>
      <c r="O445" s="11"/>
      <c r="P445" s="11"/>
      <c r="Q445" s="11"/>
    </row>
    <row r="446" spans="10:17">
      <c r="J446" s="11"/>
      <c r="K446" s="1533"/>
      <c r="L446" s="11"/>
      <c r="M446" s="11"/>
      <c r="N446" s="11"/>
      <c r="O446" s="11"/>
      <c r="P446" s="11"/>
      <c r="Q446" s="11"/>
    </row>
    <row r="447" spans="10:17">
      <c r="J447" s="11"/>
      <c r="K447" s="1533"/>
      <c r="L447" s="11"/>
      <c r="M447" s="11"/>
      <c r="N447" s="11"/>
      <c r="O447" s="11"/>
      <c r="P447" s="11"/>
      <c r="Q447" s="11"/>
    </row>
    <row r="448" spans="10:17">
      <c r="J448" s="11"/>
      <c r="K448" s="1533"/>
      <c r="L448" s="11"/>
      <c r="M448" s="11"/>
      <c r="N448" s="11"/>
      <c r="O448" s="11"/>
      <c r="P448" s="11"/>
      <c r="Q448" s="11"/>
    </row>
    <row r="449" spans="10:17">
      <c r="J449" s="11"/>
      <c r="K449" s="1533"/>
      <c r="L449" s="11"/>
      <c r="M449" s="11"/>
      <c r="N449" s="11"/>
      <c r="O449" s="11"/>
      <c r="P449" s="11"/>
      <c r="Q449" s="11"/>
    </row>
    <row r="450" spans="10:17">
      <c r="J450" s="11"/>
      <c r="K450" s="1533"/>
      <c r="L450" s="11"/>
      <c r="M450" s="11"/>
      <c r="N450" s="11"/>
      <c r="O450" s="11"/>
      <c r="P450" s="11"/>
      <c r="Q450" s="11"/>
    </row>
    <row r="451" spans="10:17">
      <c r="J451" s="11"/>
      <c r="K451" s="1533"/>
      <c r="L451" s="11"/>
      <c r="M451" s="11"/>
      <c r="N451" s="11"/>
      <c r="O451" s="11"/>
      <c r="P451" s="11"/>
      <c r="Q451" s="11"/>
    </row>
    <row r="452" spans="10:17">
      <c r="J452" s="11"/>
      <c r="K452" s="1533"/>
      <c r="L452" s="11"/>
      <c r="M452" s="11"/>
      <c r="N452" s="11"/>
      <c r="O452" s="11"/>
      <c r="P452" s="11"/>
      <c r="Q452" s="11"/>
    </row>
    <row r="453" spans="10:17">
      <c r="J453" s="11"/>
      <c r="K453" s="1533"/>
      <c r="L453" s="11"/>
      <c r="M453" s="11"/>
      <c r="N453" s="11"/>
      <c r="O453" s="11"/>
      <c r="P453" s="11"/>
      <c r="Q453" s="11"/>
    </row>
    <row r="454" spans="10:17">
      <c r="J454" s="11"/>
      <c r="K454" s="1533"/>
      <c r="L454" s="11"/>
      <c r="M454" s="11"/>
      <c r="N454" s="11"/>
      <c r="O454" s="11"/>
      <c r="P454" s="11"/>
      <c r="Q454" s="11"/>
    </row>
    <row r="455" spans="10:17">
      <c r="J455" s="11"/>
      <c r="K455" s="1533"/>
      <c r="L455" s="11"/>
      <c r="M455" s="11"/>
      <c r="N455" s="11"/>
      <c r="O455" s="11"/>
      <c r="P455" s="11"/>
      <c r="Q455" s="11"/>
    </row>
    <row r="456" spans="10:17">
      <c r="J456" s="11"/>
      <c r="K456" s="1533"/>
      <c r="L456" s="11"/>
      <c r="M456" s="11"/>
      <c r="N456" s="11"/>
      <c r="O456" s="11"/>
      <c r="P456" s="11"/>
      <c r="Q456" s="11"/>
    </row>
    <row r="457" spans="10:17">
      <c r="J457" s="11"/>
      <c r="K457" s="1533"/>
      <c r="L457" s="11"/>
      <c r="M457" s="11"/>
      <c r="N457" s="11"/>
      <c r="O457" s="11"/>
      <c r="P457" s="11"/>
      <c r="Q457" s="11"/>
    </row>
    <row r="458" spans="10:17">
      <c r="J458" s="11"/>
      <c r="K458" s="1533"/>
      <c r="L458" s="11"/>
      <c r="M458" s="11"/>
      <c r="N458" s="11"/>
      <c r="O458" s="11"/>
      <c r="P458" s="11"/>
      <c r="Q458" s="11"/>
    </row>
    <row r="459" spans="10:17">
      <c r="J459" s="11"/>
      <c r="K459" s="1533"/>
      <c r="L459" s="11"/>
      <c r="M459" s="11"/>
      <c r="N459" s="11"/>
      <c r="O459" s="11"/>
      <c r="P459" s="11"/>
      <c r="Q459" s="11"/>
    </row>
    <row r="460" spans="10:17">
      <c r="J460" s="11"/>
      <c r="K460" s="1533"/>
      <c r="L460" s="11"/>
      <c r="M460" s="11"/>
      <c r="N460" s="11"/>
      <c r="O460" s="11"/>
      <c r="P460" s="11"/>
      <c r="Q460" s="11"/>
    </row>
    <row r="461" spans="10:17">
      <c r="J461" s="11"/>
      <c r="K461" s="1533"/>
      <c r="L461" s="11"/>
      <c r="M461" s="11"/>
      <c r="N461" s="11"/>
      <c r="O461" s="11"/>
      <c r="P461" s="11"/>
      <c r="Q461" s="11"/>
    </row>
    <row r="462" spans="10:17">
      <c r="J462" s="11"/>
      <c r="K462" s="1533"/>
      <c r="L462" s="11"/>
      <c r="M462" s="11"/>
      <c r="N462" s="11"/>
      <c r="O462" s="11"/>
      <c r="P462" s="11"/>
      <c r="Q462" s="11"/>
    </row>
    <row r="463" spans="10:17">
      <c r="J463" s="11"/>
      <c r="K463" s="1533"/>
      <c r="L463" s="11"/>
      <c r="M463" s="11"/>
      <c r="N463" s="11"/>
      <c r="O463" s="11"/>
      <c r="P463" s="11"/>
      <c r="Q463" s="11"/>
    </row>
    <row r="464" spans="10:17">
      <c r="J464" s="11"/>
      <c r="K464" s="1533"/>
      <c r="L464" s="11"/>
      <c r="M464" s="11"/>
      <c r="N464" s="11"/>
      <c r="O464" s="11"/>
      <c r="P464" s="11"/>
      <c r="Q464" s="11"/>
    </row>
    <row r="465" spans="10:17">
      <c r="J465" s="11"/>
      <c r="K465" s="1533"/>
      <c r="L465" s="11"/>
      <c r="M465" s="11"/>
      <c r="N465" s="11"/>
      <c r="O465" s="11"/>
      <c r="P465" s="11"/>
      <c r="Q465" s="11"/>
    </row>
    <row r="466" spans="10:17">
      <c r="J466" s="11"/>
      <c r="K466" s="1533"/>
      <c r="L466" s="11"/>
      <c r="M466" s="11"/>
      <c r="N466" s="11"/>
      <c r="O466" s="11"/>
      <c r="P466" s="11"/>
      <c r="Q466" s="11"/>
    </row>
    <row r="467" spans="10:17">
      <c r="J467" s="11"/>
      <c r="K467" s="1533"/>
      <c r="L467" s="11"/>
      <c r="M467" s="11"/>
      <c r="N467" s="11"/>
      <c r="O467" s="11"/>
      <c r="P467" s="11"/>
      <c r="Q467" s="11"/>
    </row>
    <row r="468" spans="10:17">
      <c r="J468" s="11"/>
      <c r="K468" s="1533"/>
      <c r="L468" s="11"/>
      <c r="M468" s="11"/>
      <c r="N468" s="11"/>
      <c r="O468" s="11"/>
      <c r="P468" s="11"/>
      <c r="Q468" s="11"/>
    </row>
    <row r="469" spans="10:17">
      <c r="J469" s="11"/>
      <c r="K469" s="1533"/>
      <c r="L469" s="11"/>
      <c r="M469" s="11"/>
      <c r="N469" s="11"/>
      <c r="O469" s="11"/>
      <c r="P469" s="11"/>
      <c r="Q469" s="11"/>
    </row>
    <row r="470" spans="10:17">
      <c r="J470" s="11"/>
      <c r="K470" s="1533"/>
      <c r="L470" s="11"/>
      <c r="M470" s="11"/>
      <c r="N470" s="11"/>
      <c r="O470" s="11"/>
      <c r="P470" s="11"/>
      <c r="Q470" s="11"/>
    </row>
    <row r="471" spans="10:17">
      <c r="J471" s="11"/>
      <c r="K471" s="1533"/>
      <c r="L471" s="11"/>
      <c r="M471" s="11"/>
      <c r="N471" s="11"/>
      <c r="O471" s="11"/>
      <c r="P471" s="11"/>
      <c r="Q471" s="11"/>
    </row>
    <row r="472" spans="10:17">
      <c r="J472" s="11"/>
      <c r="K472" s="1533"/>
      <c r="L472" s="11"/>
      <c r="M472" s="11"/>
      <c r="N472" s="11"/>
      <c r="O472" s="11"/>
      <c r="P472" s="11"/>
      <c r="Q472" s="11"/>
    </row>
    <row r="473" spans="10:17">
      <c r="J473" s="11"/>
      <c r="K473" s="1533"/>
      <c r="L473" s="11"/>
      <c r="M473" s="11"/>
      <c r="N473" s="11"/>
      <c r="O473" s="11"/>
      <c r="P473" s="11"/>
      <c r="Q473" s="11"/>
    </row>
    <row r="474" spans="10:17">
      <c r="J474" s="11"/>
      <c r="K474" s="1533"/>
      <c r="L474" s="11"/>
      <c r="M474" s="11"/>
      <c r="N474" s="11"/>
      <c r="O474" s="11"/>
      <c r="P474" s="11"/>
      <c r="Q474" s="11"/>
    </row>
    <row r="475" spans="10:17">
      <c r="J475" s="11"/>
      <c r="K475" s="1533"/>
      <c r="L475" s="11"/>
      <c r="M475" s="11"/>
      <c r="N475" s="11"/>
      <c r="O475" s="11"/>
      <c r="P475" s="11"/>
      <c r="Q475" s="11"/>
    </row>
    <row r="476" spans="10:17">
      <c r="J476" s="11"/>
      <c r="K476" s="1533"/>
      <c r="L476" s="11"/>
      <c r="M476" s="11"/>
      <c r="N476" s="11"/>
      <c r="O476" s="11"/>
      <c r="P476" s="11"/>
      <c r="Q476" s="11"/>
    </row>
    <row r="477" spans="10:17">
      <c r="J477" s="11"/>
      <c r="K477" s="1533"/>
      <c r="L477" s="11"/>
      <c r="M477" s="11"/>
      <c r="N477" s="11"/>
      <c r="O477" s="11"/>
      <c r="P477" s="11"/>
      <c r="Q477" s="11"/>
    </row>
    <row r="478" spans="10:17">
      <c r="J478" s="11"/>
      <c r="K478" s="1533"/>
      <c r="L478" s="11"/>
      <c r="M478" s="11"/>
      <c r="N478" s="11"/>
      <c r="O478" s="11"/>
      <c r="P478" s="11"/>
      <c r="Q478" s="11"/>
    </row>
    <row r="479" spans="10:17">
      <c r="J479" s="11"/>
      <c r="K479" s="1533"/>
      <c r="L479" s="11"/>
      <c r="M479" s="11"/>
      <c r="N479" s="11"/>
      <c r="O479" s="11"/>
      <c r="P479" s="11"/>
      <c r="Q479" s="11"/>
    </row>
    <row r="480" spans="10:17">
      <c r="J480" s="11"/>
      <c r="K480" s="1533"/>
      <c r="L480" s="11"/>
      <c r="M480" s="11"/>
      <c r="N480" s="11"/>
      <c r="O480" s="11"/>
      <c r="P480" s="11"/>
      <c r="Q480" s="11"/>
    </row>
    <row r="481" spans="10:17">
      <c r="J481" s="11"/>
      <c r="K481" s="1533"/>
      <c r="L481" s="11"/>
      <c r="M481" s="11"/>
      <c r="N481" s="11"/>
      <c r="O481" s="11"/>
      <c r="P481" s="11"/>
      <c r="Q481" s="11"/>
    </row>
    <row r="482" spans="10:17">
      <c r="J482" s="11"/>
      <c r="K482" s="1533"/>
      <c r="L482" s="11"/>
      <c r="M482" s="11"/>
      <c r="N482" s="11"/>
      <c r="O482" s="11"/>
      <c r="P482" s="11"/>
      <c r="Q482" s="11"/>
    </row>
    <row r="483" spans="10:17">
      <c r="J483" s="11"/>
      <c r="K483" s="1533"/>
      <c r="L483" s="11"/>
      <c r="M483" s="11"/>
      <c r="N483" s="11"/>
      <c r="O483" s="11"/>
      <c r="P483" s="11"/>
      <c r="Q483" s="11"/>
    </row>
    <row r="484" spans="10:17">
      <c r="J484" s="11"/>
      <c r="K484" s="1533"/>
      <c r="L484" s="11"/>
      <c r="M484" s="11"/>
      <c r="N484" s="11"/>
      <c r="O484" s="11"/>
      <c r="P484" s="11"/>
      <c r="Q484" s="11"/>
    </row>
    <row r="485" spans="10:17">
      <c r="J485" s="11"/>
      <c r="K485" s="1533"/>
      <c r="L485" s="11"/>
      <c r="M485" s="11"/>
      <c r="N485" s="11"/>
      <c r="O485" s="11"/>
      <c r="P485" s="11"/>
      <c r="Q485" s="11"/>
    </row>
    <row r="486" spans="10:17">
      <c r="J486" s="11"/>
      <c r="K486" s="1533"/>
      <c r="L486" s="11"/>
      <c r="M486" s="11"/>
      <c r="N486" s="11"/>
      <c r="O486" s="11"/>
      <c r="P486" s="11"/>
      <c r="Q486" s="11"/>
    </row>
    <row r="487" spans="10:17">
      <c r="J487" s="11"/>
      <c r="K487" s="1533"/>
      <c r="L487" s="11"/>
      <c r="M487" s="11"/>
      <c r="N487" s="11"/>
      <c r="O487" s="11"/>
      <c r="P487" s="11"/>
      <c r="Q487" s="11"/>
    </row>
    <row r="488" spans="10:17">
      <c r="J488" s="11"/>
      <c r="K488" s="1533"/>
      <c r="L488" s="11"/>
      <c r="M488" s="11"/>
      <c r="N488" s="11"/>
      <c r="O488" s="11"/>
      <c r="P488" s="11"/>
      <c r="Q488" s="11"/>
    </row>
    <row r="489" spans="10:17">
      <c r="J489" s="11"/>
      <c r="K489" s="1533"/>
      <c r="L489" s="11"/>
      <c r="M489" s="11"/>
      <c r="N489" s="11"/>
      <c r="O489" s="11"/>
      <c r="P489" s="11"/>
      <c r="Q489" s="11"/>
    </row>
    <row r="490" spans="10:17">
      <c r="J490" s="11"/>
      <c r="K490" s="1533"/>
      <c r="L490" s="11"/>
      <c r="M490" s="11"/>
      <c r="N490" s="11"/>
      <c r="O490" s="11"/>
      <c r="P490" s="11"/>
      <c r="Q490" s="11"/>
    </row>
    <row r="491" spans="10:17">
      <c r="J491" s="11"/>
      <c r="K491" s="1533"/>
      <c r="L491" s="11"/>
      <c r="M491" s="11"/>
      <c r="N491" s="11"/>
      <c r="O491" s="11"/>
      <c r="P491" s="11"/>
      <c r="Q491" s="11"/>
    </row>
    <row r="492" spans="10:17">
      <c r="J492" s="11"/>
      <c r="K492" s="1533"/>
      <c r="L492" s="11"/>
      <c r="M492" s="11"/>
      <c r="N492" s="11"/>
      <c r="O492" s="11"/>
      <c r="P492" s="11"/>
      <c r="Q492" s="11"/>
    </row>
    <row r="493" spans="10:17">
      <c r="J493" s="11"/>
      <c r="K493" s="1533"/>
      <c r="L493" s="11"/>
      <c r="M493" s="11"/>
      <c r="N493" s="11"/>
      <c r="O493" s="11"/>
      <c r="P493" s="11"/>
      <c r="Q493" s="11"/>
    </row>
    <row r="494" spans="10:17">
      <c r="J494" s="11"/>
      <c r="K494" s="1533"/>
      <c r="L494" s="11"/>
      <c r="M494" s="11"/>
      <c r="N494" s="11"/>
      <c r="O494" s="11"/>
      <c r="P494" s="11"/>
      <c r="Q494" s="11"/>
    </row>
    <row r="495" spans="10:17">
      <c r="J495" s="11"/>
      <c r="K495" s="1533"/>
      <c r="L495" s="11"/>
      <c r="M495" s="11"/>
      <c r="N495" s="11"/>
      <c r="O495" s="11"/>
      <c r="P495" s="11"/>
      <c r="Q495" s="11"/>
    </row>
    <row r="496" spans="10:17">
      <c r="J496" s="11"/>
      <c r="K496" s="1533"/>
      <c r="L496" s="11"/>
      <c r="M496" s="11"/>
      <c r="N496" s="11"/>
      <c r="O496" s="11"/>
      <c r="P496" s="11"/>
      <c r="Q496" s="11"/>
    </row>
    <row r="497" spans="10:17">
      <c r="J497" s="11"/>
      <c r="K497" s="1533"/>
      <c r="L497" s="11"/>
      <c r="M497" s="11"/>
      <c r="N497" s="11"/>
      <c r="O497" s="11"/>
      <c r="P497" s="11"/>
      <c r="Q497" s="11"/>
    </row>
    <row r="498" spans="10:17">
      <c r="J498" s="11"/>
      <c r="K498" s="1533"/>
      <c r="L498" s="11"/>
      <c r="M498" s="11"/>
      <c r="N498" s="11"/>
      <c r="O498" s="11"/>
      <c r="P498" s="11"/>
      <c r="Q498" s="11"/>
    </row>
    <row r="499" spans="10:17">
      <c r="J499" s="11"/>
      <c r="K499" s="1533"/>
      <c r="L499" s="11"/>
      <c r="M499" s="11"/>
      <c r="N499" s="11"/>
      <c r="O499" s="11"/>
      <c r="P499" s="11"/>
      <c r="Q499" s="11"/>
    </row>
    <row r="500" spans="10:17">
      <c r="J500" s="11"/>
      <c r="K500" s="1533"/>
      <c r="L500" s="11"/>
      <c r="M500" s="11"/>
      <c r="N500" s="11"/>
      <c r="O500" s="11"/>
      <c r="P500" s="11"/>
      <c r="Q500" s="11"/>
    </row>
    <row r="501" spans="10:17">
      <c r="J501" s="11"/>
      <c r="K501" s="1533"/>
      <c r="L501" s="11"/>
      <c r="M501" s="11"/>
      <c r="N501" s="11"/>
      <c r="O501" s="11"/>
      <c r="P501" s="11"/>
      <c r="Q501" s="11"/>
    </row>
    <row r="502" spans="10:17">
      <c r="J502" s="11"/>
      <c r="K502" s="1533"/>
      <c r="L502" s="11"/>
      <c r="M502" s="11"/>
      <c r="N502" s="11"/>
      <c r="O502" s="11"/>
      <c r="P502" s="11"/>
      <c r="Q502" s="11"/>
    </row>
    <row r="503" spans="10:17">
      <c r="J503" s="11"/>
      <c r="K503" s="1533"/>
      <c r="L503" s="11"/>
      <c r="M503" s="11"/>
      <c r="N503" s="11"/>
      <c r="O503" s="11"/>
      <c r="P503" s="11"/>
      <c r="Q503" s="11"/>
    </row>
    <row r="504" spans="10:17">
      <c r="J504" s="11"/>
      <c r="K504" s="1533"/>
      <c r="L504" s="11"/>
      <c r="M504" s="11"/>
      <c r="N504" s="11"/>
      <c r="O504" s="11"/>
      <c r="P504" s="11"/>
      <c r="Q504" s="11"/>
    </row>
    <row r="505" spans="10:17">
      <c r="J505" s="11"/>
      <c r="K505" s="1533"/>
      <c r="L505" s="11"/>
      <c r="M505" s="11"/>
      <c r="N505" s="11"/>
      <c r="O505" s="11"/>
      <c r="P505" s="11"/>
      <c r="Q505" s="11"/>
    </row>
    <row r="506" spans="10:17">
      <c r="J506" s="11"/>
      <c r="K506" s="1533"/>
      <c r="L506" s="11"/>
      <c r="M506" s="11"/>
      <c r="N506" s="11"/>
      <c r="O506" s="11"/>
      <c r="P506" s="11"/>
      <c r="Q506" s="11"/>
    </row>
    <row r="507" spans="10:17">
      <c r="J507" s="11"/>
      <c r="K507" s="1533"/>
      <c r="L507" s="11"/>
      <c r="M507" s="11"/>
      <c r="N507" s="11"/>
      <c r="O507" s="11"/>
      <c r="P507" s="11"/>
      <c r="Q507" s="11"/>
    </row>
    <row r="508" spans="10:17">
      <c r="J508" s="11"/>
      <c r="K508" s="1533"/>
      <c r="L508" s="11"/>
      <c r="M508" s="11"/>
      <c r="N508" s="11"/>
      <c r="O508" s="11"/>
      <c r="P508" s="11"/>
      <c r="Q508" s="11"/>
    </row>
    <row r="509" spans="10:17">
      <c r="J509" s="11"/>
      <c r="K509" s="1533"/>
      <c r="L509" s="11"/>
      <c r="M509" s="11"/>
      <c r="N509" s="11"/>
      <c r="O509" s="11"/>
      <c r="P509" s="11"/>
      <c r="Q509" s="11"/>
    </row>
    <row r="510" spans="10:17">
      <c r="J510" s="11"/>
      <c r="K510" s="1533"/>
      <c r="L510" s="11"/>
      <c r="M510" s="11"/>
      <c r="N510" s="11"/>
      <c r="O510" s="11"/>
      <c r="P510" s="11"/>
      <c r="Q510" s="11"/>
    </row>
    <row r="511" spans="10:17">
      <c r="J511" s="11"/>
      <c r="K511" s="1533"/>
      <c r="L511" s="11"/>
      <c r="M511" s="11"/>
      <c r="N511" s="11"/>
      <c r="O511" s="11"/>
      <c r="P511" s="11"/>
      <c r="Q511" s="11"/>
    </row>
    <row r="512" spans="10:17">
      <c r="J512" s="11"/>
      <c r="K512" s="1533"/>
      <c r="L512" s="11"/>
      <c r="M512" s="11"/>
      <c r="N512" s="11"/>
      <c r="O512" s="11"/>
      <c r="P512" s="11"/>
      <c r="Q512" s="11"/>
    </row>
    <row r="513" spans="10:17">
      <c r="J513" s="11"/>
      <c r="K513" s="1533"/>
      <c r="L513" s="11"/>
      <c r="M513" s="11"/>
      <c r="N513" s="11"/>
      <c r="O513" s="11"/>
      <c r="P513" s="11"/>
      <c r="Q513" s="11"/>
    </row>
    <row r="514" spans="10:17">
      <c r="J514" s="11"/>
      <c r="K514" s="1533"/>
      <c r="L514" s="11"/>
      <c r="M514" s="11"/>
      <c r="N514" s="11"/>
      <c r="O514" s="11"/>
      <c r="P514" s="11"/>
      <c r="Q514" s="11"/>
    </row>
    <row r="515" spans="10:17">
      <c r="J515" s="11"/>
      <c r="K515" s="1533"/>
      <c r="L515" s="11"/>
      <c r="M515" s="11"/>
      <c r="N515" s="11"/>
      <c r="O515" s="11"/>
      <c r="P515" s="11"/>
      <c r="Q515" s="11"/>
    </row>
    <row r="516" spans="10:17">
      <c r="J516" s="11"/>
      <c r="K516" s="1533"/>
      <c r="L516" s="11"/>
      <c r="M516" s="11"/>
      <c r="N516" s="11"/>
      <c r="O516" s="11"/>
      <c r="P516" s="11"/>
      <c r="Q516" s="11"/>
    </row>
    <row r="517" spans="10:17">
      <c r="J517" s="11"/>
      <c r="K517" s="1533"/>
      <c r="L517" s="11"/>
      <c r="M517" s="11"/>
      <c r="N517" s="11"/>
      <c r="O517" s="11"/>
      <c r="P517" s="11"/>
      <c r="Q517" s="11"/>
    </row>
    <row r="518" spans="10:17">
      <c r="J518" s="11"/>
      <c r="K518" s="1533"/>
      <c r="L518" s="11"/>
      <c r="M518" s="11"/>
      <c r="N518" s="11"/>
      <c r="O518" s="11"/>
      <c r="P518" s="11"/>
      <c r="Q518" s="11"/>
    </row>
    <row r="519" spans="10:17">
      <c r="J519" s="11"/>
      <c r="K519" s="1533"/>
      <c r="L519" s="11"/>
      <c r="M519" s="11"/>
      <c r="N519" s="11"/>
      <c r="O519" s="11"/>
      <c r="P519" s="11"/>
      <c r="Q519" s="11"/>
    </row>
    <row r="520" spans="10:17">
      <c r="J520" s="11"/>
      <c r="K520" s="1533"/>
      <c r="L520" s="11"/>
      <c r="M520" s="11"/>
      <c r="N520" s="11"/>
      <c r="O520" s="11"/>
      <c r="P520" s="11"/>
      <c r="Q520" s="11"/>
    </row>
    <row r="521" spans="10:17">
      <c r="J521" s="11"/>
      <c r="K521" s="1533"/>
      <c r="L521" s="11"/>
      <c r="M521" s="11"/>
      <c r="N521" s="11"/>
      <c r="O521" s="11"/>
      <c r="P521" s="11"/>
      <c r="Q521" s="11"/>
    </row>
    <row r="522" spans="10:17">
      <c r="J522" s="11"/>
      <c r="K522" s="1533"/>
      <c r="L522" s="11"/>
      <c r="M522" s="11"/>
      <c r="N522" s="11"/>
      <c r="O522" s="11"/>
      <c r="P522" s="11"/>
      <c r="Q522" s="11"/>
    </row>
    <row r="523" spans="10:17">
      <c r="J523" s="11"/>
      <c r="K523" s="1533"/>
      <c r="L523" s="11"/>
      <c r="M523" s="11"/>
      <c r="N523" s="11"/>
      <c r="O523" s="11"/>
      <c r="P523" s="11"/>
      <c r="Q523" s="11"/>
    </row>
    <row r="524" spans="10:17">
      <c r="J524" s="11"/>
      <c r="K524" s="1533"/>
      <c r="L524" s="11"/>
      <c r="M524" s="11"/>
      <c r="N524" s="11"/>
      <c r="O524" s="11"/>
      <c r="P524" s="11"/>
      <c r="Q524" s="11"/>
    </row>
    <row r="525" spans="10:17">
      <c r="J525" s="11"/>
      <c r="K525" s="1533"/>
      <c r="L525" s="11"/>
      <c r="M525" s="11"/>
      <c r="N525" s="11"/>
      <c r="O525" s="11"/>
      <c r="P525" s="11"/>
      <c r="Q525" s="11"/>
    </row>
    <row r="526" spans="10:17">
      <c r="J526" s="11"/>
      <c r="K526" s="1533"/>
      <c r="L526" s="11"/>
      <c r="M526" s="11"/>
      <c r="N526" s="11"/>
      <c r="O526" s="11"/>
      <c r="P526" s="11"/>
      <c r="Q526" s="11"/>
    </row>
    <row r="527" spans="10:17">
      <c r="J527" s="11"/>
      <c r="K527" s="1533"/>
      <c r="L527" s="11"/>
      <c r="M527" s="11"/>
      <c r="N527" s="11"/>
      <c r="O527" s="11"/>
      <c r="P527" s="11"/>
      <c r="Q527" s="11"/>
    </row>
    <row r="528" spans="10:17">
      <c r="J528" s="11"/>
      <c r="K528" s="1533"/>
      <c r="L528" s="11"/>
      <c r="M528" s="11"/>
      <c r="N528" s="11"/>
      <c r="O528" s="11"/>
      <c r="P528" s="11"/>
      <c r="Q528" s="11"/>
    </row>
    <row r="529" spans="10:17">
      <c r="J529" s="11"/>
      <c r="K529" s="1533"/>
      <c r="L529" s="11"/>
      <c r="M529" s="11"/>
      <c r="N529" s="11"/>
      <c r="O529" s="11"/>
      <c r="P529" s="11"/>
      <c r="Q529" s="11"/>
    </row>
    <row r="530" spans="10:17">
      <c r="J530" s="11"/>
      <c r="K530" s="1533"/>
      <c r="L530" s="11"/>
      <c r="M530" s="11"/>
      <c r="N530" s="11"/>
      <c r="O530" s="11"/>
      <c r="P530" s="11"/>
      <c r="Q530" s="11"/>
    </row>
    <row r="531" spans="10:17">
      <c r="J531" s="11"/>
      <c r="K531" s="1533"/>
      <c r="L531" s="11"/>
      <c r="M531" s="11"/>
      <c r="N531" s="11"/>
      <c r="O531" s="11"/>
      <c r="P531" s="11"/>
      <c r="Q531" s="11"/>
    </row>
    <row r="532" spans="10:17">
      <c r="J532" s="11"/>
      <c r="K532" s="1533"/>
      <c r="L532" s="11"/>
      <c r="M532" s="11"/>
      <c r="N532" s="11"/>
      <c r="O532" s="11"/>
      <c r="P532" s="11"/>
      <c r="Q532" s="11"/>
    </row>
    <row r="533" spans="10:17">
      <c r="J533" s="11"/>
      <c r="K533" s="1533"/>
      <c r="L533" s="11"/>
      <c r="M533" s="11"/>
      <c r="N533" s="11"/>
      <c r="O533" s="11"/>
      <c r="P533" s="11"/>
      <c r="Q533" s="11"/>
    </row>
    <row r="534" spans="10:17">
      <c r="J534" s="11"/>
      <c r="K534" s="1533"/>
      <c r="L534" s="11"/>
      <c r="M534" s="11"/>
      <c r="N534" s="11"/>
      <c r="O534" s="11"/>
      <c r="P534" s="11"/>
      <c r="Q534" s="11"/>
    </row>
    <row r="535" spans="10:17">
      <c r="J535" s="11"/>
      <c r="K535" s="1533"/>
      <c r="L535" s="11"/>
      <c r="M535" s="11"/>
      <c r="N535" s="11"/>
      <c r="O535" s="11"/>
      <c r="P535" s="11"/>
      <c r="Q535" s="11"/>
    </row>
    <row r="536" spans="10:17">
      <c r="J536" s="11"/>
      <c r="K536" s="1533"/>
      <c r="L536" s="11"/>
      <c r="M536" s="11"/>
      <c r="N536" s="11"/>
      <c r="O536" s="11"/>
      <c r="P536" s="11"/>
      <c r="Q536" s="11"/>
    </row>
    <row r="537" spans="10:17">
      <c r="J537" s="11"/>
      <c r="K537" s="1533"/>
      <c r="L537" s="11"/>
      <c r="M537" s="11"/>
      <c r="N537" s="11"/>
      <c r="O537" s="11"/>
      <c r="P537" s="11"/>
      <c r="Q537" s="11"/>
    </row>
    <row r="538" spans="10:17">
      <c r="J538" s="11"/>
      <c r="K538" s="1533"/>
      <c r="L538" s="11"/>
      <c r="M538" s="11"/>
      <c r="N538" s="11"/>
      <c r="O538" s="11"/>
      <c r="P538" s="11"/>
      <c r="Q538" s="11"/>
    </row>
    <row r="539" spans="10:17">
      <c r="J539" s="11"/>
      <c r="K539" s="1533"/>
      <c r="L539" s="11"/>
      <c r="M539" s="11"/>
      <c r="N539" s="11"/>
      <c r="O539" s="11"/>
      <c r="P539" s="11"/>
      <c r="Q539" s="11"/>
    </row>
    <row r="540" spans="10:17">
      <c r="J540" s="11"/>
      <c r="K540" s="1533"/>
      <c r="L540" s="11"/>
      <c r="M540" s="11"/>
      <c r="N540" s="11"/>
      <c r="O540" s="11"/>
      <c r="P540" s="11"/>
      <c r="Q540" s="11"/>
    </row>
    <row r="541" spans="10:17">
      <c r="J541" s="11"/>
      <c r="K541" s="1533"/>
      <c r="L541" s="11"/>
      <c r="M541" s="11"/>
      <c r="N541" s="11"/>
      <c r="O541" s="11"/>
      <c r="P541" s="11"/>
      <c r="Q541" s="11"/>
    </row>
    <row r="542" spans="10:17">
      <c r="J542" s="11"/>
      <c r="K542" s="1533"/>
      <c r="L542" s="11"/>
      <c r="M542" s="11"/>
      <c r="N542" s="11"/>
      <c r="O542" s="11"/>
      <c r="P542" s="11"/>
      <c r="Q542" s="11"/>
    </row>
    <row r="543" spans="10:17">
      <c r="J543" s="11"/>
      <c r="K543" s="1533"/>
      <c r="L543" s="11"/>
      <c r="M543" s="11"/>
      <c r="N543" s="11"/>
      <c r="O543" s="11"/>
      <c r="P543" s="11"/>
      <c r="Q543" s="11"/>
    </row>
    <row r="544" spans="10:17">
      <c r="J544" s="11"/>
      <c r="K544" s="1533"/>
      <c r="L544" s="11"/>
      <c r="M544" s="11"/>
      <c r="N544" s="11"/>
      <c r="O544" s="11"/>
      <c r="P544" s="11"/>
      <c r="Q544" s="11"/>
    </row>
    <row r="545" spans="10:17">
      <c r="J545" s="11"/>
      <c r="K545" s="1533"/>
      <c r="L545" s="11"/>
      <c r="M545" s="11"/>
      <c r="N545" s="11"/>
      <c r="O545" s="11"/>
      <c r="P545" s="11"/>
      <c r="Q545" s="11"/>
    </row>
    <row r="546" spans="10:17">
      <c r="J546" s="11"/>
      <c r="K546" s="1533"/>
      <c r="L546" s="11"/>
      <c r="M546" s="11"/>
      <c r="N546" s="11"/>
      <c r="O546" s="11"/>
      <c r="P546" s="11"/>
      <c r="Q546" s="11"/>
    </row>
    <row r="547" spans="10:17">
      <c r="J547" s="11"/>
      <c r="K547" s="1533"/>
      <c r="L547" s="11"/>
      <c r="M547" s="11"/>
      <c r="N547" s="11"/>
      <c r="O547" s="11"/>
      <c r="P547" s="11"/>
      <c r="Q547" s="11"/>
    </row>
    <row r="548" spans="10:17">
      <c r="J548" s="11"/>
      <c r="K548" s="1533"/>
      <c r="L548" s="11"/>
      <c r="M548" s="11"/>
      <c r="N548" s="11"/>
      <c r="O548" s="11"/>
      <c r="P548" s="11"/>
      <c r="Q548" s="11"/>
    </row>
    <row r="549" spans="10:17">
      <c r="J549" s="11"/>
      <c r="K549" s="1533"/>
      <c r="L549" s="11"/>
      <c r="M549" s="11"/>
      <c r="N549" s="11"/>
      <c r="O549" s="11"/>
      <c r="P549" s="11"/>
      <c r="Q549" s="11"/>
    </row>
    <row r="550" spans="10:17">
      <c r="J550" s="11"/>
      <c r="K550" s="1533"/>
      <c r="L550" s="11"/>
      <c r="M550" s="11"/>
      <c r="N550" s="11"/>
      <c r="O550" s="11"/>
      <c r="P550" s="11"/>
      <c r="Q550" s="11"/>
    </row>
    <row r="551" spans="10:17">
      <c r="J551" s="11"/>
      <c r="K551" s="1533"/>
      <c r="L551" s="11"/>
      <c r="M551" s="11"/>
      <c r="N551" s="11"/>
      <c r="O551" s="11"/>
      <c r="P551" s="11"/>
      <c r="Q551" s="11"/>
    </row>
    <row r="552" spans="10:17">
      <c r="J552" s="11"/>
      <c r="K552" s="1533"/>
      <c r="L552" s="11"/>
      <c r="M552" s="11"/>
      <c r="N552" s="11"/>
      <c r="O552" s="11"/>
      <c r="P552" s="11"/>
      <c r="Q552" s="11"/>
    </row>
    <row r="553" spans="10:17">
      <c r="J553" s="11"/>
      <c r="K553" s="1533"/>
      <c r="L553" s="11"/>
      <c r="M553" s="11"/>
      <c r="N553" s="11"/>
      <c r="O553" s="11"/>
      <c r="P553" s="11"/>
      <c r="Q553" s="11"/>
    </row>
    <row r="554" spans="10:17">
      <c r="J554" s="11"/>
      <c r="K554" s="1533"/>
      <c r="L554" s="11"/>
      <c r="M554" s="11"/>
      <c r="N554" s="11"/>
      <c r="O554" s="11"/>
      <c r="P554" s="11"/>
      <c r="Q554" s="11"/>
    </row>
    <row r="555" spans="10:17">
      <c r="J555" s="11"/>
      <c r="K555" s="1533"/>
      <c r="L555" s="11"/>
      <c r="M555" s="11"/>
      <c r="N555" s="11"/>
      <c r="O555" s="11"/>
      <c r="P555" s="11"/>
      <c r="Q555" s="11"/>
    </row>
    <row r="556" spans="10:17">
      <c r="J556" s="11"/>
      <c r="K556" s="1533"/>
      <c r="L556" s="11"/>
      <c r="M556" s="11"/>
      <c r="N556" s="11"/>
      <c r="O556" s="11"/>
      <c r="P556" s="11"/>
      <c r="Q556" s="11"/>
    </row>
    <row r="557" spans="10:17">
      <c r="J557" s="11"/>
      <c r="K557" s="1533"/>
      <c r="L557" s="11"/>
      <c r="M557" s="11"/>
      <c r="N557" s="11"/>
      <c r="O557" s="11"/>
      <c r="P557" s="11"/>
      <c r="Q557" s="11"/>
    </row>
    <row r="558" spans="10:17">
      <c r="J558" s="11"/>
      <c r="K558" s="1533"/>
      <c r="L558" s="11"/>
      <c r="M558" s="11"/>
      <c r="N558" s="11"/>
      <c r="O558" s="11"/>
      <c r="P558" s="11"/>
      <c r="Q558" s="11"/>
    </row>
    <row r="559" spans="10:17">
      <c r="J559" s="11"/>
      <c r="K559" s="1533"/>
      <c r="L559" s="11"/>
      <c r="M559" s="11"/>
      <c r="N559" s="11"/>
      <c r="O559" s="11"/>
      <c r="P559" s="11"/>
      <c r="Q559" s="11"/>
    </row>
    <row r="560" spans="10:17">
      <c r="J560" s="11"/>
      <c r="K560" s="1533"/>
      <c r="L560" s="11"/>
      <c r="M560" s="11"/>
      <c r="N560" s="11"/>
      <c r="O560" s="11"/>
      <c r="P560" s="11"/>
      <c r="Q560" s="11"/>
    </row>
    <row r="561" spans="10:17">
      <c r="J561" s="11"/>
      <c r="K561" s="1533"/>
      <c r="L561" s="11"/>
      <c r="M561" s="11"/>
      <c r="N561" s="11"/>
      <c r="O561" s="11"/>
      <c r="P561" s="11"/>
      <c r="Q561" s="11"/>
    </row>
    <row r="562" spans="10:17">
      <c r="J562" s="11"/>
      <c r="K562" s="1533"/>
      <c r="L562" s="11"/>
      <c r="M562" s="11"/>
      <c r="N562" s="11"/>
      <c r="O562" s="11"/>
      <c r="P562" s="11"/>
      <c r="Q562" s="11"/>
    </row>
    <row r="563" spans="10:17">
      <c r="J563" s="11"/>
      <c r="K563" s="1533"/>
      <c r="L563" s="11"/>
      <c r="M563" s="11"/>
      <c r="N563" s="11"/>
      <c r="O563" s="11"/>
      <c r="P563" s="11"/>
      <c r="Q563" s="11"/>
    </row>
    <row r="564" spans="10:17">
      <c r="J564" s="11"/>
      <c r="K564" s="1533"/>
      <c r="L564" s="11"/>
      <c r="M564" s="11"/>
      <c r="N564" s="11"/>
      <c r="O564" s="11"/>
      <c r="P564" s="11"/>
      <c r="Q564" s="11"/>
    </row>
    <row r="565" spans="10:17">
      <c r="J565" s="11"/>
      <c r="K565" s="1533"/>
      <c r="L565" s="11"/>
      <c r="M565" s="11"/>
      <c r="N565" s="11"/>
      <c r="O565" s="11"/>
      <c r="P565" s="11"/>
      <c r="Q565" s="11"/>
    </row>
    <row r="566" spans="10:17">
      <c r="J566" s="11"/>
      <c r="K566" s="1533"/>
      <c r="L566" s="11"/>
      <c r="M566" s="11"/>
      <c r="N566" s="11"/>
      <c r="O566" s="11"/>
      <c r="P566" s="11"/>
      <c r="Q566" s="11"/>
    </row>
    <row r="567" spans="10:17">
      <c r="J567" s="11"/>
      <c r="K567" s="1533"/>
      <c r="L567" s="11"/>
      <c r="M567" s="11"/>
      <c r="N567" s="11"/>
      <c r="O567" s="11"/>
      <c r="P567" s="11"/>
      <c r="Q567" s="11"/>
    </row>
    <row r="568" spans="10:17">
      <c r="J568" s="11"/>
      <c r="K568" s="1533"/>
      <c r="L568" s="11"/>
      <c r="M568" s="11"/>
      <c r="N568" s="11"/>
      <c r="O568" s="11"/>
      <c r="P568" s="11"/>
      <c r="Q568" s="11"/>
    </row>
    <row r="569" spans="10:17">
      <c r="J569" s="11"/>
      <c r="K569" s="1533"/>
      <c r="L569" s="11"/>
      <c r="M569" s="11"/>
      <c r="N569" s="11"/>
      <c r="O569" s="11"/>
      <c r="P569" s="11"/>
      <c r="Q569" s="11"/>
    </row>
    <row r="570" spans="10:17">
      <c r="J570" s="11"/>
      <c r="K570" s="1533"/>
      <c r="L570" s="11"/>
      <c r="M570" s="11"/>
      <c r="N570" s="11"/>
      <c r="O570" s="11"/>
      <c r="P570" s="11"/>
      <c r="Q570" s="11"/>
    </row>
    <row r="571" spans="10:17">
      <c r="J571" s="11"/>
      <c r="K571" s="1533"/>
      <c r="L571" s="11"/>
      <c r="M571" s="11"/>
      <c r="N571" s="11"/>
      <c r="O571" s="11"/>
      <c r="P571" s="11"/>
      <c r="Q571" s="11"/>
    </row>
    <row r="572" spans="10:17">
      <c r="J572" s="11"/>
      <c r="K572" s="1533"/>
      <c r="L572" s="11"/>
      <c r="M572" s="11"/>
      <c r="N572" s="11"/>
      <c r="O572" s="11"/>
      <c r="P572" s="11"/>
      <c r="Q572" s="11"/>
    </row>
    <row r="573" spans="10:17">
      <c r="J573" s="11"/>
      <c r="K573" s="1533"/>
      <c r="L573" s="11"/>
      <c r="M573" s="11"/>
      <c r="N573" s="11"/>
      <c r="O573" s="11"/>
      <c r="P573" s="11"/>
      <c r="Q573" s="11"/>
    </row>
    <row r="574" spans="10:17">
      <c r="J574" s="11"/>
      <c r="K574" s="1533"/>
      <c r="L574" s="11"/>
      <c r="M574" s="11"/>
      <c r="N574" s="11"/>
      <c r="O574" s="11"/>
      <c r="P574" s="11"/>
      <c r="Q574" s="11"/>
    </row>
    <row r="575" spans="10:17">
      <c r="J575" s="11"/>
      <c r="K575" s="1533"/>
      <c r="L575" s="11"/>
      <c r="M575" s="11"/>
      <c r="N575" s="11"/>
      <c r="O575" s="11"/>
      <c r="P575" s="11"/>
      <c r="Q575" s="11"/>
    </row>
    <row r="576" spans="10:17">
      <c r="J576" s="11"/>
      <c r="K576" s="1533"/>
      <c r="L576" s="11"/>
      <c r="M576" s="11"/>
      <c r="N576" s="11"/>
      <c r="O576" s="11"/>
      <c r="P576" s="11"/>
      <c r="Q576" s="11"/>
    </row>
    <row r="577" spans="10:17">
      <c r="J577" s="11"/>
      <c r="K577" s="1533"/>
      <c r="L577" s="11"/>
      <c r="M577" s="11"/>
      <c r="N577" s="11"/>
      <c r="O577" s="11"/>
      <c r="P577" s="11"/>
      <c r="Q577" s="11"/>
    </row>
    <row r="578" spans="10:17">
      <c r="J578" s="11"/>
      <c r="K578" s="1533"/>
      <c r="L578" s="11"/>
      <c r="M578" s="11"/>
      <c r="N578" s="11"/>
      <c r="O578" s="11"/>
      <c r="P578" s="11"/>
      <c r="Q578" s="11"/>
    </row>
    <row r="579" spans="10:17">
      <c r="J579" s="11"/>
      <c r="K579" s="1533"/>
      <c r="L579" s="11"/>
      <c r="M579" s="11"/>
      <c r="N579" s="11"/>
      <c r="O579" s="11"/>
      <c r="P579" s="11"/>
      <c r="Q579" s="11"/>
    </row>
    <row r="580" spans="10:17">
      <c r="J580" s="11"/>
      <c r="K580" s="1533"/>
      <c r="L580" s="11"/>
      <c r="M580" s="11"/>
      <c r="N580" s="11"/>
      <c r="O580" s="11"/>
      <c r="P580" s="11"/>
      <c r="Q580" s="11"/>
    </row>
    <row r="581" spans="10:17">
      <c r="J581" s="11"/>
      <c r="K581" s="1533"/>
      <c r="L581" s="11"/>
      <c r="M581" s="11"/>
      <c r="N581" s="11"/>
      <c r="O581" s="11"/>
      <c r="P581" s="11"/>
      <c r="Q581" s="11"/>
    </row>
    <row r="582" spans="10:17">
      <c r="J582" s="11"/>
      <c r="K582" s="1533"/>
      <c r="L582" s="11"/>
      <c r="M582" s="11"/>
      <c r="N582" s="11"/>
      <c r="O582" s="11"/>
      <c r="P582" s="11"/>
      <c r="Q582" s="11"/>
    </row>
    <row r="583" spans="10:17">
      <c r="J583" s="11"/>
      <c r="K583" s="1533"/>
      <c r="L583" s="11"/>
      <c r="M583" s="11"/>
      <c r="N583" s="11"/>
      <c r="O583" s="11"/>
      <c r="P583" s="11"/>
      <c r="Q583" s="11"/>
    </row>
    <row r="584" spans="10:17">
      <c r="J584" s="11"/>
      <c r="K584" s="1533"/>
      <c r="L584" s="11"/>
      <c r="M584" s="11"/>
      <c r="N584" s="11"/>
      <c r="O584" s="11"/>
      <c r="P584" s="11"/>
      <c r="Q584" s="11"/>
    </row>
    <row r="585" spans="10:17">
      <c r="J585" s="11"/>
      <c r="K585" s="1533"/>
      <c r="L585" s="11"/>
      <c r="M585" s="11"/>
      <c r="N585" s="11"/>
      <c r="O585" s="11"/>
      <c r="P585" s="11"/>
      <c r="Q585" s="11"/>
    </row>
    <row r="586" spans="10:17">
      <c r="J586" s="11"/>
      <c r="K586" s="1533"/>
      <c r="L586" s="11"/>
      <c r="M586" s="11"/>
      <c r="N586" s="11"/>
      <c r="O586" s="11"/>
      <c r="P586" s="11"/>
      <c r="Q586" s="11"/>
    </row>
    <row r="587" spans="10:17">
      <c r="J587" s="11"/>
      <c r="K587" s="1533"/>
      <c r="L587" s="11"/>
      <c r="M587" s="11"/>
      <c r="N587" s="11"/>
      <c r="O587" s="11"/>
      <c r="P587" s="11"/>
      <c r="Q587" s="11"/>
    </row>
    <row r="588" spans="10:17">
      <c r="J588" s="11"/>
      <c r="K588" s="1533"/>
      <c r="L588" s="11"/>
      <c r="M588" s="11"/>
      <c r="N588" s="11"/>
      <c r="O588" s="11"/>
      <c r="P588" s="11"/>
      <c r="Q588" s="11"/>
    </row>
    <row r="589" spans="10:17">
      <c r="J589" s="11"/>
      <c r="K589" s="1533"/>
      <c r="L589" s="11"/>
      <c r="M589" s="11"/>
      <c r="N589" s="11"/>
      <c r="O589" s="11"/>
      <c r="P589" s="11"/>
      <c r="Q589" s="11"/>
    </row>
    <row r="590" spans="10:17">
      <c r="J590" s="11"/>
      <c r="K590" s="1533"/>
      <c r="L590" s="11"/>
      <c r="M590" s="11"/>
      <c r="N590" s="11"/>
      <c r="O590" s="11"/>
      <c r="P590" s="11"/>
      <c r="Q590" s="11"/>
    </row>
    <row r="591" spans="10:17">
      <c r="J591" s="11"/>
      <c r="K591" s="1533"/>
      <c r="L591" s="11"/>
      <c r="M591" s="11"/>
      <c r="N591" s="11"/>
      <c r="O591" s="11"/>
      <c r="P591" s="11"/>
      <c r="Q591" s="11"/>
    </row>
    <row r="592" spans="10:17">
      <c r="J592" s="11"/>
      <c r="K592" s="1533"/>
      <c r="L592" s="11"/>
      <c r="M592" s="11"/>
      <c r="N592" s="11"/>
      <c r="O592" s="11"/>
      <c r="P592" s="11"/>
      <c r="Q592" s="11"/>
    </row>
    <row r="593" spans="10:17">
      <c r="J593" s="11"/>
      <c r="K593" s="1533"/>
      <c r="L593" s="11"/>
      <c r="M593" s="11"/>
      <c r="N593" s="11"/>
      <c r="O593" s="11"/>
      <c r="P593" s="11"/>
      <c r="Q593" s="11"/>
    </row>
    <row r="594" spans="10:17">
      <c r="J594" s="11"/>
      <c r="K594" s="1533"/>
      <c r="L594" s="11"/>
      <c r="M594" s="11"/>
      <c r="N594" s="11"/>
      <c r="O594" s="11"/>
      <c r="P594" s="11"/>
      <c r="Q594" s="11"/>
    </row>
    <row r="595" spans="10:17">
      <c r="J595" s="11"/>
      <c r="K595" s="1533"/>
      <c r="L595" s="11"/>
      <c r="M595" s="11"/>
      <c r="N595" s="11"/>
      <c r="O595" s="11"/>
      <c r="P595" s="11"/>
      <c r="Q595" s="11"/>
    </row>
    <row r="596" spans="10:17">
      <c r="J596" s="11"/>
      <c r="K596" s="1533"/>
      <c r="L596" s="11"/>
      <c r="M596" s="11"/>
      <c r="N596" s="11"/>
      <c r="O596" s="11"/>
      <c r="P596" s="11"/>
      <c r="Q596" s="11"/>
    </row>
    <row r="597" spans="10:17">
      <c r="J597" s="11"/>
      <c r="K597" s="1533"/>
      <c r="L597" s="11"/>
      <c r="M597" s="11"/>
      <c r="N597" s="11"/>
      <c r="O597" s="11"/>
      <c r="P597" s="11"/>
      <c r="Q597" s="11"/>
    </row>
    <row r="598" spans="10:17">
      <c r="J598" s="11"/>
      <c r="K598" s="1533"/>
      <c r="L598" s="11"/>
      <c r="M598" s="11"/>
      <c r="N598" s="11"/>
      <c r="O598" s="11"/>
      <c r="P598" s="11"/>
      <c r="Q598" s="11"/>
    </row>
    <row r="599" spans="10:17">
      <c r="J599" s="11"/>
      <c r="K599" s="1533"/>
      <c r="L599" s="11"/>
      <c r="M599" s="11"/>
      <c r="N599" s="11"/>
      <c r="O599" s="11"/>
      <c r="P599" s="11"/>
      <c r="Q599" s="11"/>
    </row>
    <row r="600" spans="10:17">
      <c r="J600" s="11"/>
      <c r="K600" s="1533"/>
      <c r="L600" s="11"/>
      <c r="M600" s="11"/>
      <c r="N600" s="11"/>
      <c r="O600" s="11"/>
      <c r="P600" s="11"/>
      <c r="Q600" s="11"/>
    </row>
    <row r="601" spans="10:17">
      <c r="J601" s="11"/>
      <c r="K601" s="1533"/>
      <c r="L601" s="11"/>
      <c r="M601" s="11"/>
      <c r="N601" s="11"/>
      <c r="O601" s="11"/>
      <c r="P601" s="11"/>
      <c r="Q601" s="11"/>
    </row>
    <row r="602" spans="10:17">
      <c r="J602" s="11"/>
      <c r="K602" s="1533"/>
      <c r="L602" s="11"/>
      <c r="M602" s="11"/>
      <c r="N602" s="11"/>
      <c r="O602" s="11"/>
      <c r="P602" s="11"/>
      <c r="Q602" s="11"/>
    </row>
    <row r="603" spans="10:17">
      <c r="J603" s="11"/>
      <c r="K603" s="1533"/>
      <c r="L603" s="11"/>
      <c r="M603" s="11"/>
      <c r="N603" s="11"/>
      <c r="O603" s="11"/>
      <c r="P603" s="11"/>
      <c r="Q603" s="11"/>
    </row>
    <row r="604" spans="10:17">
      <c r="J604" s="11"/>
      <c r="K604" s="1533"/>
      <c r="L604" s="11"/>
      <c r="M604" s="11"/>
      <c r="N604" s="11"/>
      <c r="O604" s="11"/>
      <c r="P604" s="11"/>
      <c r="Q604" s="11"/>
    </row>
    <row r="605" spans="10:17">
      <c r="J605" s="11"/>
      <c r="K605" s="1533"/>
      <c r="L605" s="11"/>
      <c r="M605" s="11"/>
      <c r="N605" s="11"/>
      <c r="O605" s="11"/>
      <c r="P605" s="11"/>
      <c r="Q605" s="11"/>
    </row>
    <row r="606" spans="10:17">
      <c r="J606" s="11"/>
      <c r="K606" s="1533"/>
      <c r="L606" s="11"/>
      <c r="M606" s="11"/>
      <c r="N606" s="11"/>
      <c r="O606" s="11"/>
      <c r="P606" s="11"/>
      <c r="Q606" s="11"/>
    </row>
    <row r="607" spans="10:17">
      <c r="J607" s="11"/>
      <c r="K607" s="1533"/>
      <c r="L607" s="11"/>
      <c r="M607" s="11"/>
      <c r="N607" s="11"/>
      <c r="O607" s="11"/>
      <c r="P607" s="11"/>
      <c r="Q607" s="11"/>
    </row>
    <row r="608" spans="10:17">
      <c r="J608" s="11"/>
      <c r="K608" s="1533"/>
      <c r="L608" s="11"/>
      <c r="M608" s="11"/>
      <c r="N608" s="11"/>
      <c r="O608" s="11"/>
      <c r="P608" s="11"/>
      <c r="Q608" s="11"/>
    </row>
    <row r="609" spans="10:17">
      <c r="J609" s="11"/>
      <c r="K609" s="1533"/>
      <c r="L609" s="11"/>
      <c r="M609" s="11"/>
      <c r="N609" s="11"/>
      <c r="O609" s="11"/>
      <c r="P609" s="11"/>
      <c r="Q609" s="11"/>
    </row>
    <row r="610" spans="10:17">
      <c r="J610" s="11"/>
      <c r="K610" s="1533"/>
      <c r="L610" s="11"/>
      <c r="M610" s="11"/>
      <c r="N610" s="11"/>
      <c r="O610" s="11"/>
      <c r="P610" s="11"/>
      <c r="Q610" s="11"/>
    </row>
    <row r="611" spans="10:17">
      <c r="J611" s="11"/>
      <c r="K611" s="1533"/>
      <c r="L611" s="11"/>
      <c r="M611" s="11"/>
      <c r="N611" s="11"/>
      <c r="O611" s="11"/>
      <c r="P611" s="11"/>
      <c r="Q611" s="11"/>
    </row>
    <row r="612" spans="10:17">
      <c r="J612" s="11"/>
      <c r="K612" s="1533"/>
      <c r="L612" s="11"/>
      <c r="M612" s="11"/>
      <c r="N612" s="11"/>
      <c r="O612" s="11"/>
      <c r="P612" s="11"/>
      <c r="Q612" s="11"/>
    </row>
    <row r="613" spans="10:17">
      <c r="J613" s="11"/>
      <c r="K613" s="1533"/>
      <c r="L613" s="11"/>
      <c r="M613" s="11"/>
      <c r="N613" s="11"/>
      <c r="O613" s="11"/>
      <c r="P613" s="11"/>
      <c r="Q613" s="11"/>
    </row>
    <row r="614" spans="10:17">
      <c r="J614" s="11"/>
      <c r="K614" s="1533"/>
      <c r="L614" s="11"/>
      <c r="M614" s="11"/>
      <c r="N614" s="11"/>
      <c r="O614" s="11"/>
      <c r="P614" s="11"/>
      <c r="Q614" s="11"/>
    </row>
    <row r="615" spans="10:17">
      <c r="J615" s="11"/>
      <c r="K615" s="1533"/>
      <c r="L615" s="11"/>
      <c r="M615" s="11"/>
      <c r="N615" s="11"/>
      <c r="O615" s="11"/>
      <c r="P615" s="11"/>
      <c r="Q615" s="11"/>
    </row>
    <row r="616" spans="10:17">
      <c r="J616" s="11"/>
      <c r="K616" s="1533"/>
      <c r="L616" s="11"/>
      <c r="M616" s="11"/>
      <c r="N616" s="11"/>
      <c r="O616" s="11"/>
      <c r="P616" s="11"/>
      <c r="Q616" s="11"/>
    </row>
    <row r="617" spans="10:17">
      <c r="J617" s="11"/>
      <c r="K617" s="1533"/>
      <c r="L617" s="11"/>
      <c r="M617" s="11"/>
      <c r="N617" s="11"/>
      <c r="O617" s="11"/>
      <c r="P617" s="11"/>
      <c r="Q617" s="11"/>
    </row>
    <row r="618" spans="10:17">
      <c r="J618" s="11"/>
      <c r="K618" s="1533"/>
      <c r="L618" s="11"/>
      <c r="M618" s="11"/>
      <c r="N618" s="11"/>
      <c r="O618" s="11"/>
      <c r="P618" s="11"/>
      <c r="Q618" s="11"/>
    </row>
    <row r="619" spans="10:17">
      <c r="J619" s="11"/>
      <c r="K619" s="1533"/>
      <c r="L619" s="11"/>
      <c r="M619" s="11"/>
      <c r="N619" s="11"/>
      <c r="O619" s="11"/>
      <c r="P619" s="11"/>
      <c r="Q619" s="11"/>
    </row>
    <row r="620" spans="10:17">
      <c r="J620" s="11"/>
      <c r="K620" s="1533"/>
      <c r="L620" s="11"/>
      <c r="M620" s="11"/>
      <c r="N620" s="11"/>
      <c r="O620" s="11"/>
      <c r="P620" s="11"/>
      <c r="Q620" s="11"/>
    </row>
    <row r="621" spans="10:17">
      <c r="J621" s="11"/>
      <c r="K621" s="1533"/>
      <c r="L621" s="11"/>
      <c r="M621" s="11"/>
      <c r="N621" s="11"/>
      <c r="O621" s="11"/>
      <c r="P621" s="11"/>
      <c r="Q621" s="11"/>
    </row>
    <row r="622" spans="10:17">
      <c r="J622" s="11"/>
      <c r="K622" s="1533"/>
      <c r="L622" s="11"/>
      <c r="M622" s="11"/>
      <c r="N622" s="11"/>
      <c r="O622" s="11"/>
      <c r="P622" s="11"/>
      <c r="Q622" s="11"/>
    </row>
    <row r="623" spans="10:17">
      <c r="J623" s="11"/>
      <c r="K623" s="1533"/>
      <c r="L623" s="11"/>
      <c r="M623" s="11"/>
      <c r="N623" s="11"/>
      <c r="O623" s="11"/>
      <c r="P623" s="11"/>
      <c r="Q623" s="11"/>
    </row>
    <row r="624" spans="10:17">
      <c r="J624" s="11"/>
      <c r="K624" s="1533"/>
      <c r="L624" s="11"/>
      <c r="M624" s="11"/>
      <c r="N624" s="11"/>
      <c r="O624" s="11"/>
      <c r="P624" s="11"/>
      <c r="Q624" s="11"/>
    </row>
    <row r="625" spans="10:17">
      <c r="J625" s="11"/>
      <c r="K625" s="1533"/>
      <c r="L625" s="11"/>
      <c r="M625" s="11"/>
      <c r="N625" s="11"/>
      <c r="O625" s="11"/>
      <c r="P625" s="11"/>
      <c r="Q625" s="11"/>
    </row>
    <row r="626" spans="10:17">
      <c r="J626" s="11"/>
      <c r="K626" s="1533"/>
      <c r="L626" s="11"/>
      <c r="M626" s="11"/>
      <c r="N626" s="11"/>
      <c r="O626" s="11"/>
      <c r="P626" s="11"/>
      <c r="Q626" s="11"/>
    </row>
    <row r="627" spans="10:17">
      <c r="J627" s="11"/>
      <c r="K627" s="1533"/>
      <c r="L627" s="11"/>
      <c r="M627" s="11"/>
      <c r="N627" s="11"/>
      <c r="O627" s="11"/>
      <c r="P627" s="11"/>
      <c r="Q627" s="11"/>
    </row>
    <row r="628" spans="10:17">
      <c r="J628" s="11"/>
      <c r="K628" s="1533"/>
      <c r="L628" s="11"/>
      <c r="M628" s="11"/>
      <c r="N628" s="11"/>
      <c r="O628" s="11"/>
      <c r="P628" s="11"/>
      <c r="Q628" s="11"/>
    </row>
    <row r="629" spans="10:17">
      <c r="J629" s="11"/>
      <c r="K629" s="1533"/>
      <c r="L629" s="11"/>
      <c r="M629" s="11"/>
      <c r="N629" s="11"/>
      <c r="O629" s="11"/>
      <c r="P629" s="11"/>
      <c r="Q629" s="11"/>
    </row>
    <row r="630" spans="10:17">
      <c r="J630" s="11"/>
      <c r="K630" s="1533"/>
      <c r="L630" s="11"/>
      <c r="M630" s="11"/>
      <c r="N630" s="11"/>
      <c r="O630" s="11"/>
      <c r="P630" s="11"/>
      <c r="Q630" s="11"/>
    </row>
    <row r="631" spans="10:17">
      <c r="J631" s="11"/>
      <c r="K631" s="1533"/>
      <c r="L631" s="11"/>
      <c r="M631" s="11"/>
      <c r="N631" s="11"/>
      <c r="O631" s="11"/>
      <c r="P631" s="11"/>
      <c r="Q631" s="11"/>
    </row>
    <row r="632" spans="10:17">
      <c r="J632" s="11"/>
      <c r="K632" s="1533"/>
      <c r="L632" s="11"/>
      <c r="M632" s="11"/>
      <c r="N632" s="11"/>
      <c r="O632" s="11"/>
      <c r="P632" s="11"/>
      <c r="Q632" s="11"/>
    </row>
    <row r="633" spans="10:17">
      <c r="J633" s="11"/>
      <c r="K633" s="1533"/>
      <c r="L633" s="11"/>
      <c r="M633" s="11"/>
      <c r="N633" s="11"/>
      <c r="O633" s="11"/>
      <c r="P633" s="11"/>
      <c r="Q633" s="11"/>
    </row>
    <row r="634" spans="10:17">
      <c r="J634" s="11"/>
      <c r="K634" s="1533"/>
      <c r="L634" s="11"/>
      <c r="M634" s="11"/>
      <c r="N634" s="11"/>
      <c r="O634" s="11"/>
      <c r="P634" s="11"/>
      <c r="Q634" s="11"/>
    </row>
    <row r="635" spans="10:17">
      <c r="J635" s="11"/>
      <c r="K635" s="1533"/>
      <c r="L635" s="11"/>
      <c r="M635" s="11"/>
      <c r="N635" s="11"/>
      <c r="O635" s="11"/>
      <c r="P635" s="11"/>
      <c r="Q635" s="11"/>
    </row>
    <row r="636" spans="10:17">
      <c r="J636" s="11"/>
      <c r="K636" s="1533"/>
      <c r="L636" s="11"/>
      <c r="M636" s="11"/>
      <c r="N636" s="11"/>
      <c r="O636" s="11"/>
      <c r="P636" s="11"/>
      <c r="Q636" s="11"/>
    </row>
    <row r="637" spans="10:17">
      <c r="J637" s="11"/>
      <c r="K637" s="1533"/>
      <c r="L637" s="11"/>
      <c r="M637" s="11"/>
      <c r="N637" s="11"/>
      <c r="O637" s="11"/>
      <c r="P637" s="11"/>
      <c r="Q637" s="11"/>
    </row>
    <row r="638" spans="10:17">
      <c r="J638" s="11"/>
      <c r="K638" s="1533"/>
      <c r="L638" s="11"/>
      <c r="M638" s="11"/>
      <c r="N638" s="11"/>
      <c r="O638" s="11"/>
      <c r="P638" s="11"/>
      <c r="Q638" s="11"/>
    </row>
    <row r="639" spans="10:17">
      <c r="J639" s="11"/>
      <c r="K639" s="1533"/>
      <c r="L639" s="11"/>
      <c r="M639" s="11"/>
      <c r="N639" s="11"/>
      <c r="O639" s="11"/>
      <c r="P639" s="11"/>
      <c r="Q639" s="11"/>
    </row>
    <row r="640" spans="10:17">
      <c r="J640" s="11"/>
      <c r="K640" s="1533"/>
      <c r="L640" s="11"/>
      <c r="M640" s="11"/>
      <c r="N640" s="11"/>
      <c r="O640" s="11"/>
      <c r="P640" s="11"/>
      <c r="Q640" s="11"/>
    </row>
    <row r="641" spans="10:17">
      <c r="J641" s="11"/>
      <c r="K641" s="1533"/>
      <c r="L641" s="11"/>
      <c r="M641" s="11"/>
      <c r="N641" s="11"/>
      <c r="O641" s="11"/>
      <c r="P641" s="11"/>
      <c r="Q641" s="11"/>
    </row>
    <row r="642" spans="10:17">
      <c r="J642" s="11"/>
      <c r="K642" s="1533"/>
      <c r="L642" s="11"/>
      <c r="M642" s="11"/>
      <c r="N642" s="11"/>
      <c r="O642" s="11"/>
      <c r="P642" s="11"/>
      <c r="Q642" s="11"/>
    </row>
    <row r="643" spans="10:17">
      <c r="J643" s="11"/>
      <c r="K643" s="1533"/>
      <c r="L643" s="11"/>
      <c r="M643" s="11"/>
      <c r="N643" s="11"/>
      <c r="O643" s="11"/>
      <c r="P643" s="11"/>
      <c r="Q643" s="11"/>
    </row>
    <row r="644" spans="10:17">
      <c r="J644" s="11"/>
      <c r="K644" s="1533"/>
      <c r="L644" s="11"/>
      <c r="M644" s="11"/>
      <c r="N644" s="11"/>
      <c r="O644" s="11"/>
      <c r="P644" s="11"/>
      <c r="Q644" s="11"/>
    </row>
    <row r="645" spans="10:17">
      <c r="J645" s="11"/>
      <c r="K645" s="1533"/>
      <c r="L645" s="11"/>
      <c r="M645" s="11"/>
      <c r="N645" s="11"/>
      <c r="O645" s="11"/>
      <c r="P645" s="11"/>
      <c r="Q645" s="11"/>
    </row>
    <row r="646" spans="10:17">
      <c r="J646" s="11"/>
      <c r="K646" s="1533"/>
      <c r="L646" s="11"/>
      <c r="M646" s="11"/>
      <c r="N646" s="11"/>
      <c r="O646" s="11"/>
      <c r="P646" s="11"/>
      <c r="Q646" s="11"/>
    </row>
    <row r="647" spans="10:17">
      <c r="J647" s="11"/>
      <c r="K647" s="1533"/>
      <c r="L647" s="11"/>
      <c r="M647" s="11"/>
      <c r="N647" s="11"/>
      <c r="O647" s="11"/>
      <c r="P647" s="11"/>
      <c r="Q647" s="11"/>
    </row>
    <row r="648" spans="10:17">
      <c r="J648" s="11"/>
      <c r="K648" s="1533"/>
      <c r="L648" s="11"/>
      <c r="M648" s="11"/>
      <c r="N648" s="11"/>
      <c r="O648" s="11"/>
      <c r="P648" s="11"/>
      <c r="Q648" s="11"/>
    </row>
    <row r="649" spans="10:17">
      <c r="J649" s="11"/>
      <c r="K649" s="1533"/>
      <c r="L649" s="11"/>
      <c r="M649" s="11"/>
      <c r="N649" s="11"/>
      <c r="O649" s="11"/>
      <c r="P649" s="11"/>
      <c r="Q649" s="11"/>
    </row>
    <row r="650" spans="10:17">
      <c r="J650" s="11"/>
      <c r="K650" s="1533"/>
      <c r="L650" s="11"/>
      <c r="M650" s="11"/>
      <c r="N650" s="11"/>
      <c r="O650" s="11"/>
      <c r="P650" s="11"/>
      <c r="Q650" s="11"/>
    </row>
    <row r="651" spans="10:17">
      <c r="J651" s="11"/>
      <c r="K651" s="1533"/>
      <c r="L651" s="11"/>
      <c r="M651" s="11"/>
      <c r="N651" s="11"/>
      <c r="O651" s="11"/>
      <c r="P651" s="11"/>
      <c r="Q651" s="11"/>
    </row>
    <row r="652" spans="10:17">
      <c r="J652" s="11"/>
      <c r="K652" s="1533"/>
      <c r="L652" s="11"/>
      <c r="M652" s="11"/>
      <c r="N652" s="11"/>
      <c r="O652" s="11"/>
      <c r="P652" s="11"/>
      <c r="Q652" s="11"/>
    </row>
    <row r="653" spans="10:17">
      <c r="J653" s="11"/>
      <c r="K653" s="1533"/>
      <c r="L653" s="11"/>
      <c r="M653" s="11"/>
      <c r="N653" s="11"/>
      <c r="O653" s="11"/>
      <c r="P653" s="11"/>
      <c r="Q653" s="11"/>
    </row>
    <row r="654" spans="10:17">
      <c r="J654" s="11"/>
      <c r="K654" s="1533"/>
      <c r="L654" s="11"/>
      <c r="M654" s="11"/>
      <c r="N654" s="11"/>
      <c r="O654" s="11"/>
      <c r="P654" s="11"/>
      <c r="Q654" s="11"/>
    </row>
    <row r="655" spans="10:17">
      <c r="J655" s="11"/>
      <c r="K655" s="1533"/>
      <c r="L655" s="11"/>
      <c r="M655" s="11"/>
      <c r="N655" s="11"/>
      <c r="O655" s="11"/>
      <c r="P655" s="11"/>
      <c r="Q655" s="11"/>
    </row>
    <row r="656" spans="10:17">
      <c r="J656" s="11"/>
      <c r="K656" s="1533"/>
      <c r="L656" s="11"/>
      <c r="M656" s="11"/>
      <c r="N656" s="11"/>
      <c r="O656" s="11"/>
      <c r="P656" s="11"/>
      <c r="Q656" s="11"/>
    </row>
    <row r="657" spans="10:17">
      <c r="J657" s="11"/>
      <c r="K657" s="1533"/>
      <c r="L657" s="11"/>
      <c r="M657" s="11"/>
      <c r="N657" s="11"/>
      <c r="O657" s="11"/>
      <c r="P657" s="11"/>
      <c r="Q657" s="11"/>
    </row>
    <row r="658" spans="10:17">
      <c r="J658" s="11"/>
      <c r="K658" s="1533"/>
      <c r="L658" s="11"/>
      <c r="M658" s="11"/>
      <c r="N658" s="11"/>
      <c r="O658" s="11"/>
      <c r="P658" s="11"/>
      <c r="Q658" s="11"/>
    </row>
    <row r="659" spans="10:17">
      <c r="J659" s="11"/>
      <c r="K659" s="1533"/>
      <c r="L659" s="11"/>
      <c r="M659" s="11"/>
      <c r="N659" s="11"/>
      <c r="O659" s="11"/>
      <c r="P659" s="11"/>
      <c r="Q659" s="11"/>
    </row>
    <row r="660" spans="10:17">
      <c r="J660" s="11"/>
      <c r="K660" s="1533"/>
      <c r="L660" s="11"/>
      <c r="M660" s="11"/>
      <c r="N660" s="11"/>
      <c r="O660" s="11"/>
      <c r="P660" s="11"/>
      <c r="Q660" s="11"/>
    </row>
    <row r="661" spans="10:17">
      <c r="J661" s="11"/>
      <c r="K661" s="1533"/>
      <c r="L661" s="11"/>
      <c r="M661" s="11"/>
      <c r="N661" s="11"/>
      <c r="O661" s="11"/>
      <c r="P661" s="11"/>
      <c r="Q661" s="11"/>
    </row>
    <row r="662" spans="10:17">
      <c r="J662" s="11"/>
      <c r="K662" s="1533"/>
      <c r="L662" s="11"/>
      <c r="M662" s="11"/>
      <c r="N662" s="11"/>
      <c r="O662" s="11"/>
      <c r="P662" s="11"/>
      <c r="Q662" s="11"/>
    </row>
    <row r="663" spans="10:17">
      <c r="J663" s="11"/>
      <c r="K663" s="1533"/>
      <c r="L663" s="11"/>
      <c r="M663" s="11"/>
      <c r="N663" s="11"/>
      <c r="O663" s="11"/>
      <c r="P663" s="11"/>
      <c r="Q663" s="11"/>
    </row>
    <row r="664" spans="10:17">
      <c r="J664" s="11"/>
      <c r="K664" s="1533"/>
      <c r="L664" s="11"/>
      <c r="M664" s="11"/>
      <c r="N664" s="11"/>
      <c r="O664" s="11"/>
      <c r="P664" s="11"/>
      <c r="Q664" s="11"/>
    </row>
    <row r="665" spans="10:17">
      <c r="J665" s="11"/>
      <c r="K665" s="1533"/>
      <c r="L665" s="11"/>
      <c r="M665" s="11"/>
      <c r="N665" s="11"/>
      <c r="O665" s="11"/>
      <c r="P665" s="11"/>
      <c r="Q665" s="11"/>
    </row>
    <row r="666" spans="10:17">
      <c r="J666" s="11"/>
      <c r="K666" s="1533"/>
      <c r="L666" s="11"/>
      <c r="M666" s="11"/>
      <c r="N666" s="11"/>
      <c r="O666" s="11"/>
      <c r="P666" s="11"/>
      <c r="Q666" s="11"/>
    </row>
    <row r="667" spans="10:17">
      <c r="J667" s="11"/>
      <c r="K667" s="1533"/>
      <c r="L667" s="11"/>
      <c r="M667" s="11"/>
      <c r="N667" s="11"/>
      <c r="O667" s="11"/>
      <c r="P667" s="11"/>
      <c r="Q667" s="11"/>
    </row>
    <row r="668" spans="10:17">
      <c r="J668" s="11"/>
      <c r="K668" s="1533"/>
      <c r="L668" s="11"/>
      <c r="M668" s="11"/>
      <c r="N668" s="11"/>
      <c r="O668" s="11"/>
      <c r="P668" s="11"/>
      <c r="Q668" s="11"/>
    </row>
    <row r="669" spans="10:17">
      <c r="J669" s="11"/>
      <c r="K669" s="1533"/>
      <c r="L669" s="11"/>
      <c r="M669" s="11"/>
      <c r="N669" s="11"/>
      <c r="O669" s="11"/>
      <c r="P669" s="11"/>
      <c r="Q669" s="11"/>
    </row>
    <row r="670" spans="10:17">
      <c r="J670" s="11"/>
      <c r="K670" s="1533"/>
      <c r="L670" s="11"/>
      <c r="M670" s="11"/>
      <c r="N670" s="11"/>
      <c r="O670" s="11"/>
      <c r="P670" s="11"/>
      <c r="Q670" s="11"/>
    </row>
    <row r="671" spans="10:17">
      <c r="J671" s="11"/>
      <c r="K671" s="1533"/>
      <c r="L671" s="11"/>
      <c r="M671" s="11"/>
      <c r="N671" s="11"/>
      <c r="O671" s="11"/>
      <c r="P671" s="11"/>
      <c r="Q671" s="11"/>
    </row>
    <row r="672" spans="10:17">
      <c r="J672" s="11"/>
      <c r="K672" s="1533"/>
      <c r="L672" s="11"/>
      <c r="M672" s="11"/>
      <c r="N672" s="11"/>
      <c r="O672" s="11"/>
      <c r="P672" s="11"/>
      <c r="Q672" s="11"/>
    </row>
    <row r="673" spans="10:17">
      <c r="J673" s="11"/>
      <c r="K673" s="1533"/>
      <c r="L673" s="11"/>
      <c r="M673" s="11"/>
      <c r="N673" s="11"/>
      <c r="O673" s="11"/>
      <c r="P673" s="11"/>
      <c r="Q673" s="11"/>
    </row>
    <row r="674" spans="10:17">
      <c r="J674" s="11"/>
      <c r="K674" s="1533"/>
      <c r="L674" s="11"/>
      <c r="M674" s="11"/>
      <c r="N674" s="11"/>
      <c r="O674" s="11"/>
      <c r="P674" s="11"/>
      <c r="Q674" s="11"/>
    </row>
    <row r="675" spans="10:17">
      <c r="J675" s="11"/>
      <c r="K675" s="1533"/>
      <c r="L675" s="11"/>
      <c r="M675" s="11"/>
      <c r="N675" s="11"/>
      <c r="O675" s="11"/>
      <c r="P675" s="11"/>
      <c r="Q675" s="11"/>
    </row>
    <row r="676" spans="10:17">
      <c r="J676" s="11"/>
      <c r="K676" s="1533"/>
      <c r="L676" s="11"/>
      <c r="M676" s="11"/>
      <c r="N676" s="11"/>
      <c r="O676" s="11"/>
      <c r="P676" s="11"/>
      <c r="Q676" s="11"/>
    </row>
    <row r="677" spans="10:17">
      <c r="J677" s="11"/>
      <c r="K677" s="1533"/>
      <c r="L677" s="11"/>
      <c r="M677" s="11"/>
      <c r="N677" s="11"/>
      <c r="O677" s="11"/>
      <c r="P677" s="11"/>
      <c r="Q677" s="11"/>
    </row>
    <row r="678" spans="10:17">
      <c r="J678" s="11"/>
      <c r="K678" s="1533"/>
      <c r="L678" s="11"/>
      <c r="M678" s="11"/>
      <c r="N678" s="11"/>
      <c r="O678" s="11"/>
      <c r="P678" s="11"/>
      <c r="Q678" s="11"/>
    </row>
    <row r="679" spans="10:17">
      <c r="J679" s="11"/>
      <c r="K679" s="1533"/>
      <c r="L679" s="11"/>
      <c r="M679" s="11"/>
      <c r="N679" s="11"/>
      <c r="O679" s="11"/>
      <c r="P679" s="11"/>
      <c r="Q679" s="11"/>
    </row>
    <row r="680" spans="10:17">
      <c r="J680" s="11"/>
      <c r="K680" s="1533"/>
      <c r="L680" s="11"/>
      <c r="M680" s="11"/>
      <c r="N680" s="11"/>
      <c r="O680" s="11"/>
      <c r="P680" s="11"/>
      <c r="Q680" s="11"/>
    </row>
    <row r="681" spans="10:17">
      <c r="J681" s="11"/>
      <c r="K681" s="1533"/>
      <c r="L681" s="11"/>
      <c r="M681" s="11"/>
      <c r="N681" s="11"/>
      <c r="O681" s="11"/>
      <c r="P681" s="11"/>
      <c r="Q681" s="11"/>
    </row>
    <row r="682" spans="10:17">
      <c r="J682" s="11"/>
      <c r="K682" s="1533"/>
      <c r="L682" s="11"/>
      <c r="M682" s="11"/>
      <c r="N682" s="11"/>
      <c r="O682" s="11"/>
      <c r="P682" s="11"/>
      <c r="Q682" s="11"/>
    </row>
    <row r="683" spans="10:17">
      <c r="J683" s="11"/>
      <c r="K683" s="1533"/>
      <c r="L683" s="11"/>
      <c r="M683" s="11"/>
      <c r="N683" s="11"/>
      <c r="O683" s="11"/>
      <c r="P683" s="11"/>
      <c r="Q683" s="11"/>
    </row>
    <row r="684" spans="10:17">
      <c r="J684" s="11"/>
      <c r="K684" s="1533"/>
      <c r="L684" s="11"/>
      <c r="M684" s="11"/>
      <c r="N684" s="11"/>
      <c r="O684" s="11"/>
      <c r="P684" s="11"/>
      <c r="Q684" s="11"/>
    </row>
    <row r="685" spans="10:17">
      <c r="J685" s="11"/>
      <c r="K685" s="1533"/>
      <c r="L685" s="11"/>
      <c r="M685" s="11"/>
      <c r="N685" s="11"/>
      <c r="O685" s="11"/>
      <c r="P685" s="11"/>
      <c r="Q685" s="11"/>
    </row>
    <row r="686" spans="10:17">
      <c r="J686" s="11"/>
      <c r="K686" s="1533"/>
      <c r="L686" s="11"/>
      <c r="M686" s="11"/>
      <c r="N686" s="11"/>
      <c r="O686" s="11"/>
      <c r="P686" s="11"/>
      <c r="Q686" s="11"/>
    </row>
    <row r="687" spans="10:17">
      <c r="J687" s="11"/>
      <c r="K687" s="1533"/>
      <c r="L687" s="11"/>
      <c r="M687" s="11"/>
      <c r="N687" s="11"/>
      <c r="O687" s="11"/>
      <c r="P687" s="11"/>
      <c r="Q687" s="11"/>
    </row>
    <row r="688" spans="10:17">
      <c r="J688" s="11"/>
      <c r="K688" s="1533"/>
      <c r="L688" s="11"/>
      <c r="M688" s="11"/>
      <c r="N688" s="11"/>
      <c r="O688" s="11"/>
      <c r="P688" s="11"/>
      <c r="Q688" s="11"/>
    </row>
    <row r="689" spans="10:17">
      <c r="J689" s="11"/>
      <c r="K689" s="1533"/>
      <c r="L689" s="11"/>
      <c r="M689" s="11"/>
      <c r="N689" s="11"/>
      <c r="O689" s="11"/>
      <c r="P689" s="11"/>
      <c r="Q689" s="11"/>
    </row>
    <row r="690" spans="10:17">
      <c r="J690" s="11"/>
      <c r="K690" s="1533"/>
      <c r="L690" s="11"/>
      <c r="M690" s="11"/>
      <c r="N690" s="11"/>
      <c r="O690" s="11"/>
      <c r="P690" s="11"/>
      <c r="Q690" s="11"/>
    </row>
    <row r="691" spans="10:17">
      <c r="J691" s="11"/>
      <c r="K691" s="1533"/>
      <c r="L691" s="11"/>
      <c r="M691" s="11"/>
      <c r="N691" s="11"/>
      <c r="O691" s="11"/>
      <c r="P691" s="11"/>
      <c r="Q691" s="11"/>
    </row>
    <row r="692" spans="10:17">
      <c r="J692" s="11"/>
      <c r="K692" s="1533"/>
      <c r="L692" s="11"/>
      <c r="M692" s="11"/>
      <c r="N692" s="11"/>
      <c r="O692" s="11"/>
      <c r="P692" s="11"/>
      <c r="Q692" s="11"/>
    </row>
    <row r="693" spans="10:17">
      <c r="J693" s="11"/>
      <c r="K693" s="1533"/>
      <c r="L693" s="11"/>
      <c r="M693" s="11"/>
      <c r="N693" s="11"/>
      <c r="O693" s="11"/>
      <c r="P693" s="11"/>
      <c r="Q693" s="11"/>
    </row>
    <row r="694" spans="10:17">
      <c r="J694" s="11"/>
      <c r="K694" s="1533"/>
      <c r="L694" s="11"/>
      <c r="M694" s="11"/>
      <c r="N694" s="11"/>
      <c r="O694" s="11"/>
      <c r="P694" s="11"/>
      <c r="Q694" s="11"/>
    </row>
    <row r="695" spans="10:17">
      <c r="J695" s="11"/>
      <c r="K695" s="1533"/>
      <c r="L695" s="11"/>
      <c r="M695" s="11"/>
      <c r="N695" s="11"/>
      <c r="O695" s="11"/>
      <c r="P695" s="11"/>
      <c r="Q695" s="11"/>
    </row>
    <row r="696" spans="10:17">
      <c r="J696" s="11"/>
      <c r="K696" s="1533"/>
      <c r="L696" s="11"/>
      <c r="M696" s="11"/>
      <c r="N696" s="11"/>
      <c r="O696" s="11"/>
      <c r="P696" s="11"/>
      <c r="Q696" s="11"/>
    </row>
    <row r="697" spans="10:17">
      <c r="J697" s="11"/>
      <c r="K697" s="1533"/>
      <c r="L697" s="11"/>
      <c r="M697" s="11"/>
      <c r="N697" s="11"/>
      <c r="O697" s="11"/>
      <c r="P697" s="11"/>
      <c r="Q697" s="11"/>
    </row>
    <row r="698" spans="10:17">
      <c r="J698" s="11"/>
      <c r="K698" s="1533"/>
      <c r="L698" s="11"/>
      <c r="M698" s="11"/>
      <c r="N698" s="11"/>
      <c r="O698" s="11"/>
      <c r="P698" s="11"/>
      <c r="Q698" s="11"/>
    </row>
    <row r="699" spans="10:17">
      <c r="J699" s="11"/>
      <c r="K699" s="1533"/>
      <c r="L699" s="11"/>
      <c r="M699" s="11"/>
      <c r="N699" s="11"/>
      <c r="O699" s="11"/>
      <c r="P699" s="11"/>
      <c r="Q699" s="11"/>
    </row>
    <row r="700" spans="10:17">
      <c r="J700" s="11"/>
      <c r="K700" s="1533"/>
      <c r="L700" s="11"/>
      <c r="M700" s="11"/>
      <c r="N700" s="11"/>
      <c r="O700" s="11"/>
      <c r="P700" s="11"/>
      <c r="Q700" s="11"/>
    </row>
    <row r="701" spans="10:17">
      <c r="J701" s="11"/>
      <c r="K701" s="1533"/>
      <c r="L701" s="11"/>
      <c r="M701" s="11"/>
      <c r="N701" s="11"/>
      <c r="O701" s="11"/>
      <c r="P701" s="11"/>
      <c r="Q701" s="11"/>
    </row>
    <row r="702" spans="10:17">
      <c r="J702" s="11"/>
      <c r="K702" s="1533"/>
      <c r="L702" s="11"/>
      <c r="M702" s="11"/>
      <c r="N702" s="11"/>
      <c r="O702" s="11"/>
      <c r="P702" s="11"/>
      <c r="Q702" s="11"/>
    </row>
    <row r="703" spans="10:17">
      <c r="J703" s="11"/>
      <c r="K703" s="1533"/>
      <c r="L703" s="11"/>
      <c r="M703" s="11"/>
      <c r="N703" s="11"/>
      <c r="O703" s="11"/>
      <c r="P703" s="11"/>
      <c r="Q703" s="11"/>
    </row>
    <row r="704" spans="10:17">
      <c r="J704" s="11"/>
      <c r="K704" s="1533"/>
      <c r="L704" s="11"/>
      <c r="M704" s="11"/>
      <c r="N704" s="11"/>
      <c r="O704" s="11"/>
      <c r="P704" s="11"/>
      <c r="Q704" s="11"/>
    </row>
    <row r="705" spans="10:17">
      <c r="J705" s="11"/>
      <c r="K705" s="1533"/>
      <c r="L705" s="11"/>
      <c r="M705" s="11"/>
      <c r="N705" s="11"/>
      <c r="O705" s="11"/>
      <c r="P705" s="11"/>
      <c r="Q705" s="11"/>
    </row>
    <row r="706" spans="10:17">
      <c r="J706" s="11"/>
      <c r="K706" s="1533"/>
      <c r="L706" s="11"/>
      <c r="M706" s="11"/>
      <c r="N706" s="11"/>
      <c r="O706" s="11"/>
      <c r="P706" s="11"/>
      <c r="Q706" s="11"/>
    </row>
    <row r="707" spans="10:17">
      <c r="J707" s="11"/>
      <c r="K707" s="1533"/>
      <c r="L707" s="11"/>
      <c r="M707" s="11"/>
      <c r="N707" s="11"/>
      <c r="O707" s="11"/>
      <c r="P707" s="11"/>
      <c r="Q707" s="11"/>
    </row>
    <row r="708" spans="10:17">
      <c r="J708" s="11"/>
      <c r="K708" s="1533"/>
      <c r="L708" s="11"/>
      <c r="M708" s="11"/>
      <c r="N708" s="11"/>
      <c r="O708" s="11"/>
      <c r="P708" s="11"/>
      <c r="Q708" s="11"/>
    </row>
    <row r="709" spans="10:17">
      <c r="J709" s="11"/>
      <c r="K709" s="1533"/>
      <c r="L709" s="11"/>
      <c r="M709" s="11"/>
      <c r="N709" s="11"/>
      <c r="O709" s="11"/>
      <c r="P709" s="11"/>
      <c r="Q709" s="11"/>
    </row>
    <row r="710" spans="10:17">
      <c r="J710" s="11"/>
      <c r="K710" s="1533"/>
      <c r="L710" s="11"/>
      <c r="M710" s="11"/>
      <c r="N710" s="11"/>
      <c r="O710" s="11"/>
      <c r="P710" s="11"/>
      <c r="Q710" s="11"/>
    </row>
    <row r="711" spans="10:17">
      <c r="J711" s="11"/>
      <c r="K711" s="1533"/>
      <c r="L711" s="11"/>
      <c r="M711" s="11"/>
      <c r="N711" s="11"/>
      <c r="O711" s="11"/>
      <c r="P711" s="11"/>
      <c r="Q711" s="11"/>
    </row>
    <row r="712" spans="10:17">
      <c r="J712" s="11"/>
      <c r="K712" s="1533"/>
      <c r="L712" s="11"/>
      <c r="M712" s="11"/>
      <c r="N712" s="11"/>
      <c r="O712" s="11"/>
      <c r="P712" s="11"/>
      <c r="Q712" s="11"/>
    </row>
    <row r="713" spans="10:17">
      <c r="J713" s="11"/>
      <c r="K713" s="1533"/>
      <c r="L713" s="11"/>
      <c r="M713" s="11"/>
      <c r="N713" s="11"/>
      <c r="O713" s="11"/>
      <c r="P713" s="11"/>
      <c r="Q713" s="11"/>
    </row>
    <row r="714" spans="10:17">
      <c r="J714" s="11"/>
      <c r="K714" s="1533"/>
      <c r="L714" s="11"/>
      <c r="M714" s="11"/>
      <c r="N714" s="11"/>
      <c r="O714" s="11"/>
      <c r="P714" s="11"/>
      <c r="Q714" s="11"/>
    </row>
    <row r="715" spans="10:17">
      <c r="J715" s="11"/>
      <c r="K715" s="1533"/>
      <c r="L715" s="11"/>
      <c r="M715" s="11"/>
      <c r="N715" s="11"/>
      <c r="O715" s="11"/>
      <c r="P715" s="11"/>
      <c r="Q715" s="11"/>
    </row>
    <row r="716" spans="10:17">
      <c r="J716" s="11"/>
      <c r="K716" s="1533"/>
      <c r="L716" s="11"/>
      <c r="M716" s="11"/>
      <c r="N716" s="11"/>
      <c r="O716" s="11"/>
      <c r="P716" s="11"/>
      <c r="Q716" s="11"/>
    </row>
    <row r="717" spans="10:17">
      <c r="J717" s="11"/>
      <c r="K717" s="1533"/>
      <c r="L717" s="11"/>
      <c r="M717" s="11"/>
      <c r="N717" s="11"/>
      <c r="O717" s="11"/>
      <c r="P717" s="11"/>
      <c r="Q717" s="11"/>
    </row>
    <row r="718" spans="10:17">
      <c r="J718" s="11"/>
      <c r="K718" s="1533"/>
      <c r="L718" s="11"/>
      <c r="M718" s="11"/>
      <c r="N718" s="11"/>
      <c r="O718" s="11"/>
      <c r="P718" s="11"/>
      <c r="Q718" s="11"/>
    </row>
    <row r="719" spans="10:17">
      <c r="J719" s="11"/>
      <c r="K719" s="1533"/>
      <c r="L719" s="11"/>
      <c r="M719" s="11"/>
      <c r="N719" s="11"/>
      <c r="O719" s="11"/>
      <c r="P719" s="11"/>
      <c r="Q719" s="11"/>
    </row>
    <row r="720" spans="10:17">
      <c r="J720" s="11"/>
      <c r="K720" s="1533"/>
      <c r="L720" s="11"/>
      <c r="M720" s="11"/>
      <c r="N720" s="11"/>
      <c r="O720" s="11"/>
      <c r="P720" s="11"/>
      <c r="Q720" s="11"/>
    </row>
    <row r="721" spans="10:17">
      <c r="J721" s="11"/>
      <c r="K721" s="1533"/>
      <c r="L721" s="11"/>
      <c r="M721" s="11"/>
      <c r="N721" s="11"/>
      <c r="O721" s="11"/>
      <c r="P721" s="11"/>
      <c r="Q721" s="11"/>
    </row>
    <row r="722" spans="10:17">
      <c r="J722" s="11"/>
      <c r="K722" s="1533"/>
      <c r="L722" s="11"/>
      <c r="M722" s="11"/>
      <c r="N722" s="11"/>
      <c r="O722" s="11"/>
      <c r="P722" s="11"/>
      <c r="Q722" s="11"/>
    </row>
    <row r="723" spans="10:17">
      <c r="J723" s="11"/>
      <c r="K723" s="1533"/>
      <c r="L723" s="11"/>
      <c r="M723" s="11"/>
      <c r="N723" s="11"/>
      <c r="O723" s="11"/>
      <c r="P723" s="11"/>
      <c r="Q723" s="11"/>
    </row>
    <row r="724" spans="10:17">
      <c r="J724" s="11"/>
      <c r="K724" s="1533"/>
      <c r="L724" s="11"/>
      <c r="M724" s="11"/>
      <c r="N724" s="11"/>
      <c r="O724" s="11"/>
      <c r="P724" s="11"/>
      <c r="Q724" s="11"/>
    </row>
    <row r="725" spans="10:17">
      <c r="J725" s="11"/>
      <c r="K725" s="1533"/>
      <c r="L725" s="11"/>
      <c r="M725" s="11"/>
      <c r="N725" s="11"/>
      <c r="O725" s="11"/>
      <c r="P725" s="11"/>
      <c r="Q725" s="11"/>
    </row>
    <row r="726" spans="10:17">
      <c r="J726" s="11"/>
      <c r="K726" s="1533"/>
      <c r="L726" s="11"/>
      <c r="M726" s="11"/>
      <c r="N726" s="11"/>
      <c r="O726" s="11"/>
      <c r="P726" s="11"/>
      <c r="Q726" s="11"/>
    </row>
    <row r="727" spans="10:17">
      <c r="J727" s="11"/>
      <c r="K727" s="1533"/>
      <c r="L727" s="11"/>
      <c r="M727" s="11"/>
      <c r="N727" s="11"/>
      <c r="O727" s="11"/>
      <c r="P727" s="11"/>
      <c r="Q727" s="11"/>
    </row>
    <row r="728" spans="10:17">
      <c r="J728" s="11"/>
      <c r="K728" s="1533"/>
      <c r="L728" s="11"/>
      <c r="M728" s="11"/>
      <c r="N728" s="11"/>
      <c r="O728" s="11"/>
      <c r="P728" s="11"/>
      <c r="Q728" s="11"/>
    </row>
    <row r="729" spans="10:17">
      <c r="J729" s="11"/>
      <c r="K729" s="1533"/>
      <c r="L729" s="11"/>
      <c r="M729" s="11"/>
      <c r="N729" s="11"/>
      <c r="O729" s="11"/>
      <c r="P729" s="11"/>
      <c r="Q729" s="11"/>
    </row>
    <row r="730" spans="10:17">
      <c r="J730" s="11"/>
      <c r="K730" s="1533"/>
      <c r="L730" s="11"/>
      <c r="M730" s="11"/>
      <c r="N730" s="11"/>
      <c r="O730" s="11"/>
      <c r="P730" s="11"/>
      <c r="Q730" s="11"/>
    </row>
    <row r="731" spans="10:17">
      <c r="J731" s="11"/>
      <c r="K731" s="1533"/>
      <c r="L731" s="11"/>
      <c r="M731" s="11"/>
      <c r="N731" s="11"/>
      <c r="O731" s="11"/>
      <c r="P731" s="11"/>
      <c r="Q731" s="11"/>
    </row>
    <row r="732" spans="10:17">
      <c r="J732" s="11"/>
      <c r="K732" s="1533"/>
      <c r="L732" s="11"/>
      <c r="M732" s="11"/>
      <c r="N732" s="11"/>
      <c r="O732" s="11"/>
      <c r="P732" s="11"/>
      <c r="Q732" s="11"/>
    </row>
    <row r="733" spans="10:17">
      <c r="J733" s="11"/>
      <c r="K733" s="1533"/>
      <c r="L733" s="11"/>
      <c r="M733" s="11"/>
      <c r="N733" s="11"/>
      <c r="O733" s="11"/>
      <c r="P733" s="11"/>
      <c r="Q733" s="11"/>
    </row>
    <row r="734" spans="10:17">
      <c r="J734" s="11"/>
      <c r="K734" s="1533"/>
      <c r="L734" s="11"/>
      <c r="M734" s="11"/>
      <c r="N734" s="11"/>
      <c r="O734" s="11"/>
      <c r="P734" s="11"/>
      <c r="Q734" s="11"/>
    </row>
    <row r="735" spans="10:17">
      <c r="J735" s="11"/>
      <c r="K735" s="1533"/>
      <c r="L735" s="11"/>
      <c r="M735" s="11"/>
      <c r="N735" s="11"/>
      <c r="O735" s="11"/>
      <c r="P735" s="11"/>
      <c r="Q735" s="11"/>
    </row>
    <row r="736" spans="10:17">
      <c r="J736" s="11"/>
      <c r="K736" s="1533"/>
      <c r="L736" s="11"/>
      <c r="M736" s="11"/>
      <c r="N736" s="11"/>
      <c r="O736" s="11"/>
      <c r="P736" s="11"/>
      <c r="Q736" s="11"/>
    </row>
    <row r="737" spans="10:17">
      <c r="J737" s="11"/>
      <c r="K737" s="1533"/>
      <c r="L737" s="11"/>
      <c r="M737" s="11"/>
      <c r="N737" s="11"/>
      <c r="O737" s="11"/>
      <c r="P737" s="11"/>
      <c r="Q737" s="11"/>
    </row>
    <row r="738" spans="10:17">
      <c r="J738" s="11"/>
      <c r="K738" s="1533"/>
      <c r="L738" s="11"/>
      <c r="M738" s="11"/>
      <c r="N738" s="11"/>
      <c r="O738" s="11"/>
      <c r="P738" s="11"/>
      <c r="Q738" s="11"/>
    </row>
    <row r="739" spans="10:17">
      <c r="J739" s="11"/>
      <c r="K739" s="1533"/>
      <c r="L739" s="11"/>
      <c r="M739" s="11"/>
      <c r="N739" s="11"/>
      <c r="O739" s="11"/>
      <c r="P739" s="11"/>
      <c r="Q739" s="11"/>
    </row>
    <row r="740" spans="10:17">
      <c r="J740" s="11"/>
      <c r="K740" s="1533"/>
      <c r="L740" s="11"/>
      <c r="M740" s="11"/>
      <c r="N740" s="11"/>
      <c r="O740" s="11"/>
      <c r="P740" s="11"/>
      <c r="Q740" s="11"/>
    </row>
    <row r="741" spans="10:17">
      <c r="J741" s="11"/>
      <c r="K741" s="1533"/>
      <c r="L741" s="11"/>
      <c r="M741" s="11"/>
      <c r="N741" s="11"/>
      <c r="O741" s="11"/>
      <c r="P741" s="11"/>
      <c r="Q741" s="11"/>
    </row>
    <row r="742" spans="10:17">
      <c r="J742" s="11"/>
      <c r="K742" s="1533"/>
      <c r="L742" s="11"/>
      <c r="M742" s="11"/>
      <c r="N742" s="11"/>
      <c r="O742" s="11"/>
      <c r="P742" s="11"/>
      <c r="Q742" s="11"/>
    </row>
    <row r="743" spans="10:17">
      <c r="J743" s="11"/>
      <c r="K743" s="1533"/>
      <c r="L743" s="11"/>
      <c r="M743" s="11"/>
      <c r="N743" s="11"/>
      <c r="O743" s="11"/>
      <c r="P743" s="11"/>
      <c r="Q743" s="11"/>
    </row>
    <row r="744" spans="10:17">
      <c r="J744" s="11"/>
      <c r="K744" s="1533"/>
      <c r="L744" s="11"/>
      <c r="M744" s="11"/>
      <c r="N744" s="11"/>
      <c r="O744" s="11"/>
      <c r="P744" s="11"/>
      <c r="Q744" s="11"/>
    </row>
    <row r="745" spans="10:17">
      <c r="J745" s="11"/>
      <c r="K745" s="1533"/>
      <c r="L745" s="11"/>
      <c r="M745" s="11"/>
      <c r="N745" s="11"/>
      <c r="O745" s="11"/>
      <c r="P745" s="11"/>
      <c r="Q745" s="11"/>
    </row>
    <row r="746" spans="10:17">
      <c r="J746" s="11"/>
      <c r="K746" s="1533"/>
      <c r="L746" s="11"/>
      <c r="M746" s="11"/>
      <c r="N746" s="11"/>
      <c r="O746" s="11"/>
      <c r="P746" s="11"/>
      <c r="Q746" s="11"/>
    </row>
    <row r="747" spans="10:17">
      <c r="J747" s="11"/>
      <c r="K747" s="1533"/>
      <c r="L747" s="11"/>
      <c r="M747" s="11"/>
      <c r="N747" s="11"/>
      <c r="O747" s="11"/>
      <c r="P747" s="11"/>
      <c r="Q747" s="11"/>
    </row>
    <row r="748" spans="10:17">
      <c r="J748" s="11"/>
      <c r="K748" s="1533"/>
      <c r="L748" s="11"/>
      <c r="M748" s="11"/>
      <c r="N748" s="11"/>
      <c r="O748" s="11"/>
      <c r="P748" s="11"/>
      <c r="Q748" s="11"/>
    </row>
    <row r="749" spans="10:17">
      <c r="J749" s="11"/>
      <c r="K749" s="1533"/>
      <c r="L749" s="11"/>
      <c r="M749" s="11"/>
      <c r="N749" s="11"/>
      <c r="O749" s="11"/>
      <c r="P749" s="11"/>
      <c r="Q749" s="11"/>
    </row>
    <row r="750" spans="10:17">
      <c r="J750" s="11"/>
      <c r="K750" s="1533"/>
      <c r="L750" s="11"/>
      <c r="M750" s="11"/>
      <c r="N750" s="11"/>
      <c r="O750" s="11"/>
      <c r="P750" s="11"/>
      <c r="Q750" s="11"/>
    </row>
    <row r="751" spans="10:17">
      <c r="J751" s="11"/>
      <c r="K751" s="1533"/>
      <c r="L751" s="11"/>
      <c r="M751" s="11"/>
      <c r="N751" s="11"/>
      <c r="O751" s="11"/>
      <c r="P751" s="11"/>
      <c r="Q751" s="11"/>
    </row>
    <row r="752" spans="10:17">
      <c r="J752" s="11"/>
      <c r="K752" s="1533"/>
      <c r="L752" s="11"/>
      <c r="M752" s="11"/>
      <c r="N752" s="11"/>
      <c r="O752" s="11"/>
      <c r="P752" s="11"/>
      <c r="Q752" s="11"/>
    </row>
    <row r="753" spans="10:17">
      <c r="J753" s="11"/>
      <c r="K753" s="1533"/>
      <c r="L753" s="11"/>
      <c r="M753" s="11"/>
      <c r="N753" s="11"/>
      <c r="O753" s="11"/>
      <c r="P753" s="11"/>
      <c r="Q753" s="11"/>
    </row>
    <row r="754" spans="10:17">
      <c r="J754" s="11"/>
      <c r="K754" s="1533"/>
      <c r="L754" s="11"/>
      <c r="M754" s="11"/>
      <c r="N754" s="11"/>
      <c r="O754" s="11"/>
      <c r="P754" s="11"/>
      <c r="Q754" s="11"/>
    </row>
    <row r="755" spans="10:17">
      <c r="J755" s="11"/>
      <c r="K755" s="1533"/>
      <c r="L755" s="11"/>
      <c r="M755" s="11"/>
      <c r="N755" s="11"/>
      <c r="O755" s="11"/>
      <c r="P755" s="11"/>
      <c r="Q755" s="11"/>
    </row>
    <row r="756" spans="10:17">
      <c r="J756" s="11"/>
      <c r="K756" s="1533"/>
      <c r="L756" s="11"/>
      <c r="M756" s="11"/>
      <c r="N756" s="11"/>
      <c r="O756" s="11"/>
      <c r="P756" s="11"/>
      <c r="Q756" s="11"/>
    </row>
    <row r="757" spans="10:17">
      <c r="J757" s="11"/>
      <c r="K757" s="1533"/>
      <c r="L757" s="11"/>
      <c r="M757" s="11"/>
      <c r="N757" s="11"/>
      <c r="O757" s="11"/>
      <c r="P757" s="11"/>
      <c r="Q757" s="11"/>
    </row>
    <row r="758" spans="10:17">
      <c r="J758" s="11"/>
      <c r="K758" s="1533"/>
      <c r="L758" s="11"/>
      <c r="M758" s="11"/>
      <c r="N758" s="11"/>
      <c r="O758" s="11"/>
      <c r="P758" s="11"/>
      <c r="Q758" s="11"/>
    </row>
    <row r="759" spans="10:17">
      <c r="J759" s="11"/>
      <c r="K759" s="1533"/>
      <c r="L759" s="11"/>
      <c r="M759" s="11"/>
      <c r="N759" s="11"/>
      <c r="O759" s="11"/>
      <c r="P759" s="11"/>
      <c r="Q759" s="11"/>
    </row>
    <row r="760" spans="10:17">
      <c r="J760" s="11"/>
      <c r="K760" s="1533"/>
      <c r="L760" s="11"/>
      <c r="M760" s="11"/>
      <c r="N760" s="11"/>
      <c r="O760" s="11"/>
      <c r="P760" s="11"/>
      <c r="Q760" s="11"/>
    </row>
    <row r="761" spans="10:17">
      <c r="J761" s="11"/>
      <c r="K761" s="1533"/>
      <c r="L761" s="11"/>
      <c r="M761" s="11"/>
      <c r="N761" s="11"/>
      <c r="O761" s="11"/>
      <c r="P761" s="11"/>
      <c r="Q761" s="11"/>
    </row>
    <row r="762" spans="10:17">
      <c r="J762" s="11"/>
      <c r="K762" s="1533"/>
      <c r="L762" s="11"/>
      <c r="M762" s="11"/>
      <c r="N762" s="11"/>
      <c r="O762" s="11"/>
      <c r="P762" s="11"/>
      <c r="Q762" s="11"/>
    </row>
    <row r="763" spans="10:17">
      <c r="J763" s="11"/>
      <c r="K763" s="1533"/>
      <c r="L763" s="11"/>
      <c r="M763" s="11"/>
      <c r="N763" s="11"/>
      <c r="O763" s="11"/>
      <c r="P763" s="11"/>
      <c r="Q763" s="11"/>
    </row>
    <row r="764" spans="10:17">
      <c r="J764" s="11"/>
      <c r="K764" s="1533"/>
      <c r="L764" s="11"/>
      <c r="M764" s="11"/>
      <c r="N764" s="11"/>
      <c r="O764" s="11"/>
      <c r="P764" s="11"/>
      <c r="Q764" s="11"/>
    </row>
    <row r="765" spans="10:17">
      <c r="J765" s="11"/>
      <c r="K765" s="1533"/>
      <c r="L765" s="11"/>
      <c r="M765" s="11"/>
      <c r="N765" s="11"/>
      <c r="O765" s="11"/>
      <c r="P765" s="11"/>
      <c r="Q765" s="11"/>
    </row>
    <row r="766" spans="10:17">
      <c r="J766" s="11"/>
      <c r="K766" s="1533"/>
      <c r="L766" s="11"/>
      <c r="M766" s="11"/>
      <c r="N766" s="11"/>
      <c r="O766" s="11"/>
      <c r="P766" s="11"/>
      <c r="Q766" s="11"/>
    </row>
    <row r="767" spans="10:17">
      <c r="J767" s="11"/>
      <c r="K767" s="1533"/>
      <c r="L767" s="11"/>
      <c r="M767" s="11"/>
      <c r="N767" s="11"/>
      <c r="O767" s="11"/>
      <c r="P767" s="11"/>
      <c r="Q767" s="11"/>
    </row>
    <row r="768" spans="10:17">
      <c r="J768" s="11"/>
      <c r="K768" s="1533"/>
      <c r="L768" s="11"/>
      <c r="M768" s="11"/>
      <c r="N768" s="11"/>
      <c r="O768" s="11"/>
      <c r="P768" s="11"/>
      <c r="Q768" s="11"/>
    </row>
    <row r="769" spans="10:17">
      <c r="J769" s="11"/>
      <c r="K769" s="1533"/>
      <c r="L769" s="11"/>
      <c r="M769" s="11"/>
      <c r="N769" s="11"/>
      <c r="O769" s="11"/>
      <c r="P769" s="11"/>
      <c r="Q769" s="11"/>
    </row>
    <row r="770" spans="10:17">
      <c r="J770" s="11"/>
      <c r="K770" s="1533"/>
      <c r="L770" s="11"/>
      <c r="M770" s="11"/>
      <c r="N770" s="11"/>
      <c r="O770" s="11"/>
      <c r="P770" s="11"/>
      <c r="Q770" s="11"/>
    </row>
    <row r="771" spans="10:17">
      <c r="J771" s="11"/>
      <c r="K771" s="1533"/>
      <c r="L771" s="11"/>
      <c r="M771" s="11"/>
      <c r="N771" s="11"/>
      <c r="O771" s="11"/>
      <c r="P771" s="11"/>
      <c r="Q771" s="11"/>
    </row>
    <row r="772" spans="10:17">
      <c r="J772" s="11"/>
      <c r="K772" s="1533"/>
      <c r="L772" s="11"/>
      <c r="M772" s="11"/>
      <c r="N772" s="11"/>
      <c r="O772" s="11"/>
      <c r="P772" s="11"/>
      <c r="Q772" s="11"/>
    </row>
    <row r="773" spans="10:17">
      <c r="J773" s="11"/>
      <c r="K773" s="1533"/>
      <c r="L773" s="11"/>
      <c r="M773" s="11"/>
      <c r="N773" s="11"/>
      <c r="O773" s="11"/>
      <c r="P773" s="11"/>
      <c r="Q773" s="11"/>
    </row>
    <row r="774" spans="10:17">
      <c r="J774" s="11"/>
      <c r="K774" s="1533"/>
      <c r="L774" s="11"/>
      <c r="M774" s="11"/>
      <c r="N774" s="11"/>
      <c r="O774" s="11"/>
      <c r="P774" s="11"/>
      <c r="Q774" s="11"/>
    </row>
    <row r="775" spans="10:17">
      <c r="J775" s="11"/>
      <c r="K775" s="1533"/>
      <c r="L775" s="11"/>
      <c r="M775" s="11"/>
      <c r="N775" s="11"/>
      <c r="O775" s="11"/>
      <c r="P775" s="11"/>
      <c r="Q775" s="11"/>
    </row>
    <row r="776" spans="10:17">
      <c r="J776" s="11"/>
      <c r="K776" s="1533"/>
      <c r="L776" s="11"/>
      <c r="M776" s="11"/>
      <c r="N776" s="11"/>
      <c r="O776" s="11"/>
      <c r="P776" s="11"/>
      <c r="Q776" s="11"/>
    </row>
    <row r="777" spans="10:17">
      <c r="J777" s="11"/>
      <c r="K777" s="1533"/>
      <c r="L777" s="11"/>
      <c r="M777" s="11"/>
      <c r="N777" s="11"/>
      <c r="O777" s="11"/>
      <c r="P777" s="11"/>
      <c r="Q777" s="11"/>
    </row>
    <row r="778" spans="10:17">
      <c r="J778" s="11"/>
      <c r="K778" s="1533"/>
      <c r="L778" s="11"/>
      <c r="M778" s="11"/>
      <c r="N778" s="11"/>
      <c r="O778" s="11"/>
      <c r="P778" s="11"/>
      <c r="Q778" s="11"/>
    </row>
    <row r="779" spans="10:17">
      <c r="J779" s="11"/>
      <c r="K779" s="1533"/>
      <c r="L779" s="11"/>
      <c r="M779" s="11"/>
      <c r="N779" s="11"/>
      <c r="O779" s="11"/>
      <c r="P779" s="11"/>
      <c r="Q779" s="11"/>
    </row>
    <row r="780" spans="10:17">
      <c r="J780" s="11"/>
      <c r="K780" s="1533"/>
      <c r="L780" s="11"/>
      <c r="M780" s="11"/>
      <c r="N780" s="11"/>
      <c r="O780" s="11"/>
      <c r="P780" s="11"/>
      <c r="Q780" s="11"/>
    </row>
    <row r="781" spans="10:17">
      <c r="J781" s="11"/>
      <c r="K781" s="1533"/>
      <c r="L781" s="11"/>
      <c r="M781" s="11"/>
      <c r="N781" s="11"/>
      <c r="O781" s="11"/>
      <c r="P781" s="11"/>
      <c r="Q781" s="11"/>
    </row>
    <row r="782" spans="10:17">
      <c r="J782" s="11"/>
      <c r="K782" s="1533"/>
      <c r="L782" s="11"/>
      <c r="M782" s="11"/>
      <c r="N782" s="11"/>
      <c r="O782" s="11"/>
      <c r="P782" s="11"/>
      <c r="Q782" s="11"/>
    </row>
    <row r="783" spans="10:17">
      <c r="J783" s="11"/>
      <c r="K783" s="1533"/>
      <c r="L783" s="11"/>
      <c r="M783" s="11"/>
      <c r="N783" s="11"/>
      <c r="O783" s="11"/>
      <c r="P783" s="11"/>
      <c r="Q783" s="11"/>
    </row>
    <row r="784" spans="10:17">
      <c r="J784" s="11"/>
      <c r="K784" s="1533"/>
      <c r="L784" s="11"/>
      <c r="M784" s="11"/>
      <c r="N784" s="11"/>
      <c r="O784" s="11"/>
      <c r="P784" s="11"/>
      <c r="Q784" s="11"/>
    </row>
    <row r="785" spans="10:17">
      <c r="J785" s="11"/>
      <c r="K785" s="1533"/>
      <c r="L785" s="11"/>
      <c r="M785" s="11"/>
      <c r="N785" s="11"/>
      <c r="O785" s="11"/>
      <c r="P785" s="11"/>
      <c r="Q785" s="11"/>
    </row>
    <row r="786" spans="10:17">
      <c r="J786" s="11"/>
      <c r="K786" s="1533"/>
      <c r="L786" s="11"/>
      <c r="M786" s="11"/>
      <c r="N786" s="11"/>
      <c r="O786" s="11"/>
      <c r="P786" s="11"/>
      <c r="Q786" s="11"/>
    </row>
    <row r="787" spans="10:17">
      <c r="J787" s="11"/>
      <c r="K787" s="1533"/>
      <c r="L787" s="11"/>
      <c r="M787" s="11"/>
      <c r="N787" s="11"/>
      <c r="O787" s="11"/>
      <c r="P787" s="11"/>
      <c r="Q787" s="11"/>
    </row>
    <row r="788" spans="10:17">
      <c r="J788" s="11"/>
      <c r="K788" s="1533"/>
      <c r="L788" s="11"/>
      <c r="M788" s="11"/>
      <c r="N788" s="11"/>
      <c r="O788" s="11"/>
      <c r="P788" s="11"/>
      <c r="Q788" s="11"/>
    </row>
    <row r="789" spans="10:17">
      <c r="J789" s="11"/>
      <c r="K789" s="1533"/>
      <c r="L789" s="11"/>
      <c r="M789" s="11"/>
      <c r="N789" s="11"/>
      <c r="O789" s="11"/>
      <c r="P789" s="11"/>
      <c r="Q789" s="11"/>
    </row>
    <row r="790" spans="10:17">
      <c r="J790" s="11"/>
      <c r="K790" s="1533"/>
      <c r="L790" s="11"/>
      <c r="M790" s="11"/>
      <c r="N790" s="11"/>
      <c r="O790" s="11"/>
      <c r="P790" s="11"/>
      <c r="Q790" s="11"/>
    </row>
    <row r="791" spans="10:17">
      <c r="J791" s="11"/>
      <c r="K791" s="1533"/>
      <c r="L791" s="11"/>
      <c r="M791" s="11"/>
      <c r="N791" s="11"/>
      <c r="O791" s="11"/>
      <c r="P791" s="11"/>
      <c r="Q791" s="11"/>
    </row>
    <row r="792" spans="10:17">
      <c r="J792" s="11"/>
      <c r="K792" s="1533"/>
      <c r="L792" s="11"/>
      <c r="M792" s="11"/>
      <c r="N792" s="11"/>
      <c r="O792" s="11"/>
      <c r="P792" s="11"/>
      <c r="Q792" s="11"/>
    </row>
    <row r="793" spans="10:17">
      <c r="J793" s="11"/>
      <c r="K793" s="1533"/>
      <c r="L793" s="11"/>
      <c r="M793" s="11"/>
      <c r="N793" s="11"/>
      <c r="O793" s="11"/>
      <c r="P793" s="11"/>
      <c r="Q793" s="11"/>
    </row>
    <row r="794" spans="10:17">
      <c r="J794" s="11"/>
      <c r="K794" s="1533"/>
      <c r="L794" s="11"/>
      <c r="M794" s="11"/>
      <c r="N794" s="11"/>
      <c r="O794" s="11"/>
      <c r="P794" s="11"/>
      <c r="Q794" s="11"/>
    </row>
    <row r="795" spans="10:17">
      <c r="J795" s="11"/>
      <c r="K795" s="1533"/>
      <c r="L795" s="11"/>
      <c r="M795" s="11"/>
      <c r="N795" s="11"/>
      <c r="O795" s="11"/>
      <c r="P795" s="11"/>
      <c r="Q795" s="11"/>
    </row>
    <row r="796" spans="10:17">
      <c r="J796" s="11"/>
      <c r="K796" s="1533"/>
      <c r="L796" s="11"/>
      <c r="M796" s="11"/>
      <c r="N796" s="11"/>
      <c r="O796" s="11"/>
      <c r="P796" s="11"/>
      <c r="Q796" s="11"/>
    </row>
    <row r="797" spans="10:17">
      <c r="J797" s="11"/>
      <c r="K797" s="1533"/>
      <c r="L797" s="11"/>
      <c r="M797" s="11"/>
      <c r="N797" s="11"/>
      <c r="O797" s="11"/>
      <c r="P797" s="11"/>
      <c r="Q797" s="11"/>
    </row>
    <row r="798" spans="10:17">
      <c r="J798" s="11"/>
      <c r="K798" s="1533"/>
      <c r="L798" s="11"/>
      <c r="M798" s="11"/>
      <c r="N798" s="11"/>
      <c r="O798" s="11"/>
      <c r="P798" s="11"/>
      <c r="Q798" s="11"/>
    </row>
    <row r="799" spans="10:17">
      <c r="J799" s="11"/>
      <c r="K799" s="1533"/>
      <c r="L799" s="11"/>
      <c r="M799" s="11"/>
      <c r="N799" s="11"/>
      <c r="O799" s="11"/>
      <c r="P799" s="11"/>
      <c r="Q799" s="11"/>
    </row>
    <row r="800" spans="10:17">
      <c r="J800" s="11"/>
      <c r="K800" s="1533"/>
      <c r="L800" s="11"/>
      <c r="M800" s="11"/>
      <c r="N800" s="11"/>
      <c r="O800" s="11"/>
      <c r="P800" s="11"/>
      <c r="Q800" s="11"/>
    </row>
    <row r="801" spans="10:17">
      <c r="J801" s="11"/>
      <c r="K801" s="1533"/>
      <c r="L801" s="11"/>
      <c r="M801" s="11"/>
      <c r="N801" s="11"/>
      <c r="O801" s="11"/>
      <c r="P801" s="11"/>
      <c r="Q801" s="11"/>
    </row>
    <row r="802" spans="10:17">
      <c r="J802" s="11"/>
      <c r="K802" s="1533"/>
      <c r="L802" s="11"/>
      <c r="M802" s="11"/>
      <c r="N802" s="11"/>
      <c r="O802" s="11"/>
      <c r="P802" s="11"/>
      <c r="Q802" s="11"/>
    </row>
    <row r="803" spans="10:17">
      <c r="J803" s="11"/>
      <c r="K803" s="1533"/>
      <c r="L803" s="11"/>
      <c r="M803" s="11"/>
      <c r="N803" s="11"/>
      <c r="O803" s="11"/>
      <c r="P803" s="11"/>
      <c r="Q803" s="11"/>
    </row>
    <row r="804" spans="10:17">
      <c r="J804" s="11"/>
      <c r="K804" s="1533"/>
      <c r="L804" s="11"/>
      <c r="M804" s="11"/>
      <c r="N804" s="11"/>
      <c r="O804" s="11"/>
      <c r="P804" s="11"/>
      <c r="Q804" s="11"/>
    </row>
    <row r="805" spans="10:17">
      <c r="J805" s="11"/>
      <c r="K805" s="1533"/>
      <c r="L805" s="11"/>
      <c r="M805" s="11"/>
      <c r="N805" s="11"/>
      <c r="O805" s="11"/>
      <c r="P805" s="11"/>
      <c r="Q805" s="11"/>
    </row>
    <row r="806" spans="10:17">
      <c r="J806" s="11"/>
      <c r="K806" s="1533"/>
      <c r="L806" s="11"/>
      <c r="M806" s="11"/>
      <c r="N806" s="11"/>
      <c r="O806" s="11"/>
      <c r="P806" s="11"/>
      <c r="Q806" s="11"/>
    </row>
    <row r="807" spans="10:17">
      <c r="J807" s="11"/>
      <c r="K807" s="1533"/>
      <c r="L807" s="11"/>
      <c r="M807" s="11"/>
      <c r="N807" s="11"/>
      <c r="O807" s="11"/>
      <c r="P807" s="11"/>
      <c r="Q807" s="11"/>
    </row>
    <row r="808" spans="10:17">
      <c r="J808" s="11"/>
      <c r="K808" s="1533"/>
      <c r="L808" s="11"/>
      <c r="M808" s="11"/>
      <c r="N808" s="11"/>
      <c r="O808" s="11"/>
      <c r="P808" s="11"/>
      <c r="Q808" s="11"/>
    </row>
    <row r="809" spans="10:17">
      <c r="J809" s="11"/>
      <c r="K809" s="1533"/>
      <c r="L809" s="11"/>
      <c r="M809" s="11"/>
      <c r="N809" s="11"/>
      <c r="O809" s="11"/>
      <c r="P809" s="11"/>
      <c r="Q809" s="11"/>
    </row>
    <row r="810" spans="10:17">
      <c r="J810" s="11"/>
      <c r="K810" s="1533"/>
      <c r="L810" s="11"/>
      <c r="M810" s="11"/>
      <c r="N810" s="11"/>
      <c r="O810" s="11"/>
      <c r="P810" s="11"/>
      <c r="Q810" s="11"/>
    </row>
    <row r="811" spans="10:17">
      <c r="J811" s="11"/>
      <c r="K811" s="1533"/>
      <c r="L811" s="11"/>
      <c r="M811" s="11"/>
      <c r="N811" s="11"/>
      <c r="O811" s="11"/>
      <c r="P811" s="11"/>
      <c r="Q811" s="11"/>
    </row>
    <row r="812" spans="10:17">
      <c r="J812" s="11"/>
      <c r="K812" s="1533"/>
      <c r="L812" s="11"/>
      <c r="M812" s="11"/>
      <c r="N812" s="11"/>
      <c r="O812" s="11"/>
      <c r="P812" s="11"/>
      <c r="Q812" s="11"/>
    </row>
    <row r="813" spans="10:17">
      <c r="J813" s="11"/>
      <c r="K813" s="1533"/>
      <c r="L813" s="11"/>
      <c r="M813" s="11"/>
      <c r="N813" s="11"/>
      <c r="O813" s="11"/>
      <c r="P813" s="11"/>
      <c r="Q813" s="11"/>
    </row>
    <row r="814" spans="10:17">
      <c r="J814" s="11"/>
      <c r="K814" s="1533"/>
      <c r="L814" s="11"/>
      <c r="M814" s="11"/>
      <c r="N814" s="11"/>
      <c r="O814" s="11"/>
      <c r="P814" s="11"/>
      <c r="Q814" s="11"/>
    </row>
    <row r="815" spans="10:17">
      <c r="J815" s="11"/>
      <c r="K815" s="1533"/>
      <c r="L815" s="11"/>
      <c r="M815" s="11"/>
      <c r="N815" s="11"/>
      <c r="O815" s="11"/>
      <c r="P815" s="11"/>
      <c r="Q815" s="11"/>
    </row>
    <row r="816" spans="10:17">
      <c r="J816" s="11"/>
      <c r="K816" s="1533"/>
      <c r="L816" s="11"/>
      <c r="M816" s="11"/>
      <c r="N816" s="11"/>
      <c r="O816" s="11"/>
      <c r="P816" s="11"/>
      <c r="Q816" s="11"/>
    </row>
    <row r="817" spans="10:17">
      <c r="J817" s="11"/>
      <c r="K817" s="1533"/>
      <c r="L817" s="11"/>
      <c r="M817" s="11"/>
      <c r="N817" s="11"/>
      <c r="O817" s="11"/>
      <c r="P817" s="11"/>
      <c r="Q817" s="11"/>
    </row>
    <row r="818" spans="10:17">
      <c r="J818" s="11"/>
      <c r="K818" s="1533"/>
      <c r="L818" s="11"/>
      <c r="M818" s="11"/>
      <c r="N818" s="11"/>
      <c r="O818" s="11"/>
      <c r="P818" s="11"/>
      <c r="Q818" s="11"/>
    </row>
    <row r="819" spans="10:17">
      <c r="J819" s="11"/>
      <c r="K819" s="1533"/>
      <c r="L819" s="11"/>
      <c r="M819" s="11"/>
      <c r="N819" s="11"/>
      <c r="O819" s="11"/>
      <c r="P819" s="11"/>
      <c r="Q819" s="11"/>
    </row>
    <row r="820" spans="10:17">
      <c r="J820" s="11"/>
      <c r="K820" s="1533"/>
      <c r="L820" s="11"/>
      <c r="M820" s="11"/>
      <c r="N820" s="11"/>
      <c r="O820" s="11"/>
      <c r="P820" s="11"/>
      <c r="Q820" s="11"/>
    </row>
    <row r="821" spans="10:17">
      <c r="J821" s="11"/>
      <c r="K821" s="1533"/>
      <c r="L821" s="11"/>
      <c r="M821" s="11"/>
      <c r="N821" s="11"/>
      <c r="O821" s="11"/>
      <c r="P821" s="11"/>
      <c r="Q821" s="11"/>
    </row>
    <row r="822" spans="10:17">
      <c r="J822" s="11"/>
      <c r="K822" s="1533"/>
      <c r="L822" s="11"/>
      <c r="M822" s="11"/>
      <c r="N822" s="11"/>
      <c r="O822" s="11"/>
      <c r="P822" s="11"/>
      <c r="Q822" s="11"/>
    </row>
    <row r="823" spans="10:17">
      <c r="J823" s="11"/>
      <c r="K823" s="1533"/>
      <c r="L823" s="11"/>
      <c r="M823" s="11"/>
      <c r="N823" s="11"/>
      <c r="O823" s="11"/>
      <c r="P823" s="11"/>
      <c r="Q823" s="11"/>
    </row>
    <row r="824" spans="10:17">
      <c r="J824" s="11"/>
      <c r="K824" s="1533"/>
      <c r="L824" s="11"/>
      <c r="M824" s="11"/>
      <c r="N824" s="11"/>
      <c r="O824" s="11"/>
      <c r="P824" s="11"/>
      <c r="Q824" s="11"/>
    </row>
    <row r="825" spans="10:17">
      <c r="J825" s="11"/>
      <c r="K825" s="1533"/>
      <c r="L825" s="11"/>
      <c r="M825" s="11"/>
      <c r="N825" s="11"/>
      <c r="O825" s="11"/>
      <c r="P825" s="11"/>
      <c r="Q825" s="11"/>
    </row>
    <row r="826" spans="10:17">
      <c r="J826" s="11"/>
      <c r="K826" s="1533"/>
      <c r="L826" s="11"/>
      <c r="M826" s="11"/>
      <c r="N826" s="11"/>
      <c r="O826" s="11"/>
      <c r="P826" s="11"/>
      <c r="Q826" s="11"/>
    </row>
    <row r="827" spans="10:17">
      <c r="J827" s="11"/>
      <c r="K827" s="1533"/>
      <c r="L827" s="11"/>
      <c r="M827" s="11"/>
      <c r="N827" s="11"/>
      <c r="O827" s="11"/>
      <c r="P827" s="11"/>
      <c r="Q827" s="11"/>
    </row>
    <row r="828" spans="10:17">
      <c r="J828" s="11"/>
      <c r="K828" s="1533"/>
      <c r="L828" s="11"/>
      <c r="M828" s="11"/>
      <c r="N828" s="11"/>
      <c r="O828" s="11"/>
      <c r="P828" s="11"/>
      <c r="Q828" s="11"/>
    </row>
    <row r="829" spans="10:17">
      <c r="J829" s="11"/>
      <c r="K829" s="1533"/>
      <c r="L829" s="11"/>
      <c r="M829" s="11"/>
      <c r="N829" s="11"/>
      <c r="O829" s="11"/>
      <c r="P829" s="11"/>
      <c r="Q829" s="11"/>
    </row>
    <row r="830" spans="10:17">
      <c r="J830" s="11"/>
      <c r="K830" s="1533"/>
      <c r="L830" s="11"/>
      <c r="M830" s="11"/>
      <c r="N830" s="11"/>
      <c r="O830" s="11"/>
      <c r="P830" s="11"/>
      <c r="Q830" s="11"/>
    </row>
    <row r="831" spans="10:17">
      <c r="J831" s="11"/>
      <c r="K831" s="1533"/>
      <c r="L831" s="11"/>
      <c r="M831" s="11"/>
      <c r="N831" s="11"/>
      <c r="O831" s="11"/>
      <c r="P831" s="11"/>
      <c r="Q831" s="11"/>
    </row>
    <row r="832" spans="10:17">
      <c r="J832" s="11"/>
      <c r="K832" s="1533"/>
      <c r="L832" s="11"/>
      <c r="M832" s="11"/>
      <c r="N832" s="11"/>
      <c r="O832" s="11"/>
      <c r="P832" s="11"/>
      <c r="Q832" s="11"/>
    </row>
    <row r="833" spans="10:17">
      <c r="J833" s="11"/>
      <c r="K833" s="1533"/>
      <c r="L833" s="11"/>
      <c r="M833" s="11"/>
      <c r="N833" s="11"/>
      <c r="O833" s="11"/>
      <c r="P833" s="11"/>
      <c r="Q833" s="11"/>
    </row>
    <row r="834" spans="10:17">
      <c r="J834" s="11"/>
      <c r="K834" s="1533"/>
      <c r="L834" s="11"/>
      <c r="M834" s="11"/>
      <c r="N834" s="11"/>
      <c r="O834" s="11"/>
      <c r="P834" s="11"/>
      <c r="Q834" s="11"/>
    </row>
    <row r="835" spans="10:17">
      <c r="J835" s="11"/>
      <c r="K835" s="1533"/>
      <c r="L835" s="11"/>
      <c r="M835" s="11"/>
      <c r="N835" s="11"/>
      <c r="O835" s="11"/>
      <c r="P835" s="11"/>
      <c r="Q835" s="11"/>
    </row>
    <row r="836" spans="10:17">
      <c r="J836" s="11"/>
      <c r="K836" s="1533"/>
      <c r="L836" s="11"/>
      <c r="M836" s="11"/>
      <c r="N836" s="11"/>
      <c r="O836" s="11"/>
      <c r="P836" s="11"/>
      <c r="Q836" s="11"/>
    </row>
    <row r="837" spans="10:17">
      <c r="J837" s="11"/>
      <c r="K837" s="1533"/>
      <c r="L837" s="11"/>
      <c r="M837" s="11"/>
      <c r="N837" s="11"/>
      <c r="O837" s="11"/>
      <c r="P837" s="11"/>
      <c r="Q837" s="11"/>
    </row>
    <row r="838" spans="10:17">
      <c r="J838" s="11"/>
      <c r="K838" s="1533"/>
      <c r="L838" s="11"/>
      <c r="M838" s="11"/>
      <c r="N838" s="11"/>
      <c r="O838" s="11"/>
      <c r="P838" s="11"/>
      <c r="Q838" s="11"/>
    </row>
    <row r="839" spans="10:17">
      <c r="J839" s="11"/>
      <c r="K839" s="1533"/>
      <c r="L839" s="11"/>
      <c r="M839" s="11"/>
      <c r="N839" s="11"/>
      <c r="O839" s="11"/>
      <c r="P839" s="11"/>
      <c r="Q839" s="11"/>
    </row>
    <row r="840" spans="10:17">
      <c r="J840" s="11"/>
      <c r="K840" s="1533"/>
      <c r="L840" s="11"/>
      <c r="M840" s="11"/>
      <c r="N840" s="11"/>
      <c r="O840" s="11"/>
      <c r="P840" s="11"/>
      <c r="Q840" s="11"/>
    </row>
    <row r="841" spans="10:17">
      <c r="J841" s="11"/>
      <c r="K841" s="1533"/>
      <c r="L841" s="11"/>
      <c r="M841" s="11"/>
      <c r="N841" s="11"/>
      <c r="O841" s="11"/>
      <c r="P841" s="11"/>
      <c r="Q841" s="11"/>
    </row>
    <row r="842" spans="10:17">
      <c r="J842" s="11"/>
      <c r="K842" s="1533"/>
      <c r="L842" s="11"/>
      <c r="M842" s="11"/>
      <c r="N842" s="11"/>
      <c r="O842" s="11"/>
      <c r="P842" s="11"/>
      <c r="Q842" s="11"/>
    </row>
    <row r="843" spans="10:17">
      <c r="J843" s="11"/>
      <c r="K843" s="1533"/>
      <c r="L843" s="11"/>
      <c r="M843" s="11"/>
      <c r="N843" s="11"/>
      <c r="O843" s="11"/>
      <c r="P843" s="11"/>
      <c r="Q843" s="11"/>
    </row>
    <row r="844" spans="10:17">
      <c r="J844" s="11"/>
      <c r="K844" s="1533"/>
      <c r="L844" s="11"/>
      <c r="M844" s="11"/>
      <c r="N844" s="11"/>
      <c r="O844" s="11"/>
      <c r="P844" s="11"/>
      <c r="Q844" s="11"/>
    </row>
    <row r="845" spans="10:17">
      <c r="J845" s="11"/>
      <c r="K845" s="1533"/>
      <c r="L845" s="11"/>
      <c r="M845" s="11"/>
      <c r="N845" s="11"/>
      <c r="O845" s="11"/>
      <c r="P845" s="11"/>
      <c r="Q845" s="11"/>
    </row>
    <row r="846" spans="10:17">
      <c r="J846" s="11"/>
      <c r="K846" s="1533"/>
      <c r="L846" s="11"/>
      <c r="M846" s="11"/>
      <c r="N846" s="11"/>
      <c r="O846" s="11"/>
      <c r="P846" s="11"/>
      <c r="Q846" s="11"/>
    </row>
    <row r="847" spans="10:17">
      <c r="J847" s="11"/>
      <c r="K847" s="1533"/>
      <c r="L847" s="11"/>
      <c r="M847" s="11"/>
      <c r="N847" s="11"/>
      <c r="O847" s="11"/>
      <c r="P847" s="11"/>
      <c r="Q847" s="11"/>
    </row>
    <row r="848" spans="10:17">
      <c r="J848" s="11"/>
      <c r="K848" s="1533"/>
      <c r="L848" s="11"/>
      <c r="M848" s="11"/>
      <c r="N848" s="11"/>
      <c r="O848" s="11"/>
      <c r="P848" s="11"/>
      <c r="Q848" s="11"/>
    </row>
    <row r="849" spans="10:17">
      <c r="J849" s="11"/>
      <c r="K849" s="1533"/>
      <c r="L849" s="11"/>
      <c r="M849" s="11"/>
      <c r="N849" s="11"/>
      <c r="O849" s="11"/>
      <c r="P849" s="11"/>
      <c r="Q849" s="11"/>
    </row>
    <row r="850" spans="10:17">
      <c r="J850" s="11"/>
      <c r="K850" s="1533"/>
      <c r="L850" s="11"/>
      <c r="M850" s="11"/>
      <c r="N850" s="11"/>
      <c r="O850" s="11"/>
      <c r="P850" s="11"/>
      <c r="Q850" s="11"/>
    </row>
    <row r="851" spans="10:17">
      <c r="J851" s="11"/>
      <c r="K851" s="1533"/>
      <c r="L851" s="11"/>
      <c r="M851" s="11"/>
      <c r="N851" s="11"/>
      <c r="O851" s="11"/>
      <c r="P851" s="11"/>
      <c r="Q851" s="11"/>
    </row>
    <row r="852" spans="10:17">
      <c r="J852" s="11"/>
      <c r="K852" s="1533"/>
      <c r="L852" s="11"/>
      <c r="M852" s="11"/>
      <c r="N852" s="11"/>
      <c r="O852" s="11"/>
      <c r="P852" s="11"/>
      <c r="Q852" s="11"/>
    </row>
    <row r="853" spans="10:17">
      <c r="J853" s="11"/>
      <c r="K853" s="1533"/>
      <c r="L853" s="11"/>
      <c r="M853" s="11"/>
      <c r="N853" s="11"/>
      <c r="O853" s="11"/>
      <c r="P853" s="11"/>
      <c r="Q853" s="11"/>
    </row>
    <row r="854" spans="10:17">
      <c r="J854" s="11"/>
      <c r="K854" s="1533"/>
      <c r="L854" s="11"/>
      <c r="M854" s="11"/>
      <c r="N854" s="11"/>
      <c r="O854" s="11"/>
      <c r="P854" s="11"/>
      <c r="Q854" s="11"/>
    </row>
    <row r="855" spans="10:17">
      <c r="J855" s="11"/>
      <c r="K855" s="1533"/>
      <c r="L855" s="11"/>
      <c r="M855" s="11"/>
      <c r="N855" s="11"/>
      <c r="O855" s="11"/>
      <c r="P855" s="11"/>
      <c r="Q855" s="11"/>
    </row>
    <row r="856" spans="10:17">
      <c r="J856" s="11"/>
      <c r="K856" s="1533"/>
      <c r="L856" s="11"/>
      <c r="M856" s="11"/>
      <c r="N856" s="11"/>
      <c r="O856" s="11"/>
      <c r="P856" s="11"/>
      <c r="Q856" s="11"/>
    </row>
    <row r="857" spans="10:17">
      <c r="J857" s="11"/>
      <c r="K857" s="1533"/>
      <c r="L857" s="11"/>
      <c r="M857" s="11"/>
      <c r="N857" s="11"/>
      <c r="O857" s="11"/>
      <c r="P857" s="11"/>
      <c r="Q857" s="11"/>
    </row>
    <row r="858" spans="10:17">
      <c r="J858" s="11"/>
      <c r="K858" s="1533"/>
      <c r="L858" s="11"/>
      <c r="M858" s="11"/>
      <c r="N858" s="11"/>
      <c r="O858" s="11"/>
      <c r="P858" s="11"/>
      <c r="Q858" s="11"/>
    </row>
    <row r="859" spans="10:17">
      <c r="J859" s="11"/>
      <c r="K859" s="1533"/>
      <c r="L859" s="11"/>
      <c r="M859" s="11"/>
      <c r="N859" s="11"/>
      <c r="O859" s="11"/>
      <c r="P859" s="11"/>
      <c r="Q859" s="11"/>
    </row>
    <row r="860" spans="10:17">
      <c r="J860" s="11"/>
      <c r="K860" s="1533"/>
      <c r="L860" s="11"/>
      <c r="M860" s="11"/>
      <c r="N860" s="11"/>
      <c r="O860" s="11"/>
      <c r="P860" s="11"/>
      <c r="Q860" s="11"/>
    </row>
    <row r="861" spans="10:17">
      <c r="J861" s="11"/>
      <c r="K861" s="1533"/>
      <c r="L861" s="11"/>
      <c r="M861" s="11"/>
      <c r="N861" s="11"/>
      <c r="O861" s="11"/>
      <c r="P861" s="11"/>
      <c r="Q861" s="11"/>
    </row>
    <row r="862" spans="10:17">
      <c r="J862" s="11"/>
      <c r="K862" s="1533"/>
      <c r="L862" s="11"/>
      <c r="M862" s="11"/>
      <c r="N862" s="11"/>
      <c r="O862" s="11"/>
      <c r="P862" s="11"/>
      <c r="Q862" s="11"/>
    </row>
    <row r="863" spans="10:17">
      <c r="J863" s="11"/>
      <c r="K863" s="1533"/>
      <c r="L863" s="11"/>
      <c r="M863" s="11"/>
      <c r="N863" s="11"/>
      <c r="O863" s="11"/>
      <c r="P863" s="11"/>
      <c r="Q863" s="11"/>
    </row>
    <row r="864" spans="10:17">
      <c r="J864" s="11"/>
      <c r="K864" s="1533"/>
      <c r="L864" s="11"/>
      <c r="M864" s="11"/>
      <c r="N864" s="11"/>
      <c r="O864" s="11"/>
      <c r="P864" s="11"/>
      <c r="Q864" s="11"/>
    </row>
    <row r="865" spans="10:17">
      <c r="J865" s="11"/>
      <c r="K865" s="1533"/>
      <c r="L865" s="11"/>
      <c r="M865" s="11"/>
      <c r="N865" s="11"/>
      <c r="O865" s="11"/>
      <c r="P865" s="11"/>
      <c r="Q865" s="11"/>
    </row>
    <row r="866" spans="10:17">
      <c r="J866" s="11"/>
      <c r="K866" s="1533"/>
      <c r="L866" s="11"/>
      <c r="M866" s="11"/>
      <c r="N866" s="11"/>
      <c r="O866" s="11"/>
      <c r="P866" s="11"/>
      <c r="Q866" s="11"/>
    </row>
    <row r="867" spans="10:17">
      <c r="J867" s="11"/>
      <c r="K867" s="1533"/>
      <c r="L867" s="11"/>
      <c r="M867" s="11"/>
      <c r="N867" s="11"/>
      <c r="O867" s="11"/>
      <c r="P867" s="11"/>
      <c r="Q867" s="11"/>
    </row>
    <row r="868" spans="10:17">
      <c r="J868" s="11"/>
      <c r="K868" s="1533"/>
      <c r="L868" s="11"/>
      <c r="M868" s="11"/>
      <c r="N868" s="11"/>
      <c r="O868" s="11"/>
      <c r="P868" s="11"/>
      <c r="Q868" s="11"/>
    </row>
    <row r="869" spans="10:17">
      <c r="J869" s="11"/>
      <c r="K869" s="1533"/>
      <c r="L869" s="11"/>
      <c r="M869" s="11"/>
      <c r="N869" s="11"/>
      <c r="O869" s="11"/>
      <c r="P869" s="11"/>
      <c r="Q869" s="11"/>
    </row>
    <row r="870" spans="10:17">
      <c r="J870" s="11"/>
      <c r="K870" s="1533"/>
      <c r="L870" s="11"/>
      <c r="M870" s="11"/>
      <c r="N870" s="11"/>
      <c r="O870" s="11"/>
      <c r="P870" s="11"/>
      <c r="Q870" s="11"/>
    </row>
    <row r="871" spans="10:17">
      <c r="J871" s="11"/>
      <c r="K871" s="1533"/>
      <c r="L871" s="11"/>
      <c r="M871" s="11"/>
      <c r="N871" s="11"/>
      <c r="O871" s="11"/>
      <c r="P871" s="11"/>
      <c r="Q871" s="11"/>
    </row>
    <row r="872" spans="10:17">
      <c r="J872" s="11"/>
      <c r="K872" s="1533"/>
      <c r="L872" s="11"/>
      <c r="M872" s="11"/>
      <c r="N872" s="11"/>
      <c r="O872" s="11"/>
      <c r="P872" s="11"/>
      <c r="Q872" s="11"/>
    </row>
    <row r="873" spans="10:17">
      <c r="J873" s="11"/>
      <c r="K873" s="1533"/>
      <c r="L873" s="11"/>
      <c r="M873" s="11"/>
      <c r="N873" s="11"/>
      <c r="O873" s="11"/>
      <c r="P873" s="11"/>
      <c r="Q873" s="11"/>
    </row>
    <row r="874" spans="10:17">
      <c r="J874" s="11"/>
      <c r="K874" s="1533"/>
      <c r="L874" s="11"/>
      <c r="M874" s="11"/>
      <c r="N874" s="11"/>
      <c r="O874" s="11"/>
      <c r="P874" s="11"/>
      <c r="Q874" s="11"/>
    </row>
    <row r="875" spans="10:17">
      <c r="J875" s="11"/>
      <c r="K875" s="1533"/>
      <c r="L875" s="11"/>
      <c r="M875" s="11"/>
      <c r="N875" s="11"/>
      <c r="O875" s="11"/>
      <c r="P875" s="11"/>
      <c r="Q875" s="11"/>
    </row>
    <row r="876" spans="10:17">
      <c r="J876" s="11"/>
      <c r="K876" s="1533"/>
      <c r="L876" s="11"/>
      <c r="M876" s="11"/>
      <c r="N876" s="11"/>
      <c r="O876" s="11"/>
      <c r="P876" s="11"/>
      <c r="Q876" s="11"/>
    </row>
    <row r="877" spans="10:17">
      <c r="J877" s="11"/>
      <c r="K877" s="1533"/>
      <c r="L877" s="11"/>
      <c r="M877" s="11"/>
      <c r="N877" s="11"/>
      <c r="O877" s="11"/>
      <c r="P877" s="11"/>
      <c r="Q877" s="11"/>
    </row>
    <row r="878" spans="10:17">
      <c r="J878" s="11"/>
      <c r="K878" s="1533"/>
      <c r="L878" s="11"/>
      <c r="M878" s="11"/>
      <c r="N878" s="11"/>
      <c r="O878" s="11"/>
      <c r="P878" s="11"/>
      <c r="Q878" s="11"/>
    </row>
    <row r="879" spans="10:17">
      <c r="J879" s="11"/>
      <c r="K879" s="1533"/>
      <c r="L879" s="11"/>
      <c r="M879" s="11"/>
      <c r="N879" s="11"/>
      <c r="O879" s="11"/>
      <c r="P879" s="11"/>
      <c r="Q879" s="11"/>
    </row>
    <row r="880" spans="10:17">
      <c r="J880" s="11"/>
      <c r="K880" s="1533"/>
      <c r="L880" s="11"/>
      <c r="M880" s="11"/>
      <c r="N880" s="11"/>
      <c r="O880" s="11"/>
      <c r="P880" s="11"/>
      <c r="Q880" s="11"/>
    </row>
    <row r="881" spans="10:17">
      <c r="J881" s="11"/>
      <c r="K881" s="1533"/>
      <c r="L881" s="11"/>
      <c r="M881" s="11"/>
      <c r="N881" s="11"/>
      <c r="O881" s="11"/>
      <c r="P881" s="11"/>
      <c r="Q881" s="11"/>
    </row>
    <row r="882" spans="10:17">
      <c r="J882" s="11"/>
      <c r="K882" s="1533"/>
      <c r="L882" s="11"/>
      <c r="M882" s="11"/>
      <c r="N882" s="11"/>
      <c r="O882" s="11"/>
      <c r="P882" s="11"/>
      <c r="Q882" s="11"/>
    </row>
    <row r="883" spans="10:17">
      <c r="J883" s="11"/>
      <c r="K883" s="1533"/>
      <c r="L883" s="11"/>
      <c r="M883" s="11"/>
      <c r="N883" s="11"/>
      <c r="O883" s="11"/>
      <c r="P883" s="11"/>
      <c r="Q883" s="11"/>
    </row>
    <row r="884" spans="10:17">
      <c r="J884" s="11"/>
      <c r="K884" s="1533"/>
      <c r="L884" s="11"/>
      <c r="M884" s="11"/>
      <c r="N884" s="11"/>
      <c r="O884" s="11"/>
      <c r="P884" s="11"/>
      <c r="Q884" s="11"/>
    </row>
    <row r="885" spans="10:17">
      <c r="J885" s="11"/>
      <c r="K885" s="1533"/>
      <c r="L885" s="11"/>
      <c r="M885" s="11"/>
      <c r="N885" s="11"/>
      <c r="O885" s="11"/>
      <c r="P885" s="11"/>
      <c r="Q885" s="11"/>
    </row>
    <row r="886" spans="10:17">
      <c r="J886" s="11"/>
      <c r="K886" s="1533"/>
      <c r="L886" s="11"/>
      <c r="M886" s="11"/>
      <c r="N886" s="11"/>
      <c r="O886" s="11"/>
      <c r="P886" s="11"/>
      <c r="Q886" s="11"/>
    </row>
    <row r="887" spans="10:17">
      <c r="J887" s="11"/>
      <c r="K887" s="1533"/>
      <c r="L887" s="11"/>
      <c r="M887" s="11"/>
      <c r="N887" s="11"/>
      <c r="O887" s="11"/>
      <c r="P887" s="11"/>
      <c r="Q887" s="11"/>
    </row>
    <row r="888" spans="10:17">
      <c r="J888" s="11"/>
      <c r="K888" s="1533"/>
      <c r="L888" s="11"/>
      <c r="M888" s="11"/>
      <c r="N888" s="11"/>
      <c r="O888" s="11"/>
      <c r="P888" s="11"/>
      <c r="Q888" s="11"/>
    </row>
    <row r="889" spans="10:17">
      <c r="J889" s="11"/>
      <c r="K889" s="1533"/>
      <c r="L889" s="11"/>
      <c r="M889" s="11"/>
      <c r="N889" s="11"/>
      <c r="O889" s="11"/>
      <c r="P889" s="11"/>
      <c r="Q889" s="11"/>
    </row>
    <row r="890" spans="10:17">
      <c r="J890" s="11"/>
      <c r="K890" s="1533"/>
      <c r="L890" s="11"/>
      <c r="M890" s="11"/>
      <c r="N890" s="11"/>
      <c r="O890" s="11"/>
      <c r="P890" s="11"/>
      <c r="Q890" s="11"/>
    </row>
    <row r="891" spans="10:17">
      <c r="J891" s="11"/>
      <c r="K891" s="1533"/>
      <c r="L891" s="11"/>
      <c r="M891" s="11"/>
      <c r="N891" s="11"/>
      <c r="O891" s="11"/>
      <c r="P891" s="11"/>
      <c r="Q891" s="11"/>
    </row>
    <row r="892" spans="10:17">
      <c r="J892" s="11"/>
      <c r="K892" s="1533"/>
      <c r="L892" s="11"/>
      <c r="M892" s="11"/>
      <c r="N892" s="11"/>
      <c r="O892" s="11"/>
      <c r="P892" s="11"/>
      <c r="Q892" s="11"/>
    </row>
    <row r="893" spans="10:17">
      <c r="J893" s="11"/>
      <c r="K893" s="1533"/>
      <c r="L893" s="11"/>
      <c r="M893" s="11"/>
      <c r="N893" s="11"/>
      <c r="O893" s="11"/>
      <c r="P893" s="11"/>
      <c r="Q893" s="11"/>
    </row>
    <row r="894" spans="10:17">
      <c r="J894" s="11"/>
      <c r="K894" s="1533"/>
      <c r="L894" s="11"/>
      <c r="M894" s="11"/>
      <c r="N894" s="11"/>
      <c r="O894" s="11"/>
      <c r="P894" s="11"/>
      <c r="Q894" s="11"/>
    </row>
    <row r="895" spans="10:17">
      <c r="J895" s="11"/>
      <c r="K895" s="1533"/>
      <c r="L895" s="11"/>
      <c r="M895" s="11"/>
      <c r="N895" s="11"/>
      <c r="O895" s="11"/>
      <c r="P895" s="11"/>
      <c r="Q895" s="11"/>
    </row>
    <row r="896" spans="10:17">
      <c r="J896" s="11"/>
      <c r="K896" s="1533"/>
      <c r="L896" s="11"/>
      <c r="M896" s="11"/>
      <c r="N896" s="11"/>
      <c r="O896" s="11"/>
      <c r="P896" s="11"/>
      <c r="Q896" s="11"/>
    </row>
    <row r="897" spans="10:17">
      <c r="J897" s="11"/>
      <c r="K897" s="1533"/>
      <c r="L897" s="11"/>
      <c r="M897" s="11"/>
      <c r="N897" s="11"/>
      <c r="O897" s="11"/>
      <c r="P897" s="11"/>
      <c r="Q897" s="11"/>
    </row>
    <row r="898" spans="10:17">
      <c r="J898" s="11"/>
      <c r="K898" s="1533"/>
      <c r="L898" s="11"/>
      <c r="M898" s="11"/>
      <c r="N898" s="11"/>
      <c r="O898" s="11"/>
      <c r="P898" s="11"/>
      <c r="Q898" s="11"/>
    </row>
    <row r="899" spans="10:17">
      <c r="J899" s="11"/>
      <c r="K899" s="1533"/>
      <c r="L899" s="11"/>
      <c r="M899" s="11"/>
      <c r="N899" s="11"/>
      <c r="O899" s="11"/>
      <c r="P899" s="11"/>
      <c r="Q899" s="11"/>
    </row>
    <row r="900" spans="10:17">
      <c r="J900" s="11"/>
      <c r="K900" s="1533"/>
      <c r="L900" s="11"/>
      <c r="M900" s="11"/>
      <c r="N900" s="11"/>
      <c r="O900" s="11"/>
      <c r="P900" s="11"/>
      <c r="Q900" s="11"/>
    </row>
    <row r="901" spans="10:17">
      <c r="J901" s="11"/>
      <c r="K901" s="1533"/>
      <c r="L901" s="11"/>
      <c r="M901" s="11"/>
      <c r="N901" s="11"/>
      <c r="O901" s="11"/>
      <c r="P901" s="11"/>
      <c r="Q901" s="11"/>
    </row>
    <row r="902" spans="10:17">
      <c r="J902" s="11"/>
      <c r="K902" s="1533"/>
      <c r="L902" s="11"/>
      <c r="M902" s="11"/>
      <c r="N902" s="11"/>
      <c r="O902" s="11"/>
      <c r="P902" s="11"/>
      <c r="Q902" s="11"/>
    </row>
    <row r="903" spans="10:17">
      <c r="J903" s="11"/>
      <c r="K903" s="1533"/>
      <c r="L903" s="11"/>
      <c r="M903" s="11"/>
      <c r="N903" s="11"/>
      <c r="O903" s="11"/>
      <c r="P903" s="11"/>
      <c r="Q903" s="11"/>
    </row>
    <row r="904" spans="10:17">
      <c r="J904" s="11"/>
      <c r="K904" s="1533"/>
      <c r="L904" s="11"/>
      <c r="M904" s="11"/>
      <c r="N904" s="11"/>
      <c r="O904" s="11"/>
      <c r="P904" s="11"/>
      <c r="Q904" s="11"/>
    </row>
    <row r="905" spans="10:17">
      <c r="J905" s="11"/>
      <c r="K905" s="1533"/>
      <c r="L905" s="11"/>
      <c r="M905" s="11"/>
      <c r="N905" s="11"/>
      <c r="O905" s="11"/>
      <c r="P905" s="11"/>
      <c r="Q905" s="11"/>
    </row>
    <row r="906" spans="10:17">
      <c r="J906" s="11"/>
      <c r="K906" s="1533"/>
      <c r="L906" s="11"/>
      <c r="M906" s="11"/>
      <c r="N906" s="11"/>
      <c r="O906" s="11"/>
      <c r="P906" s="11"/>
      <c r="Q906" s="11"/>
    </row>
    <row r="907" spans="10:17">
      <c r="J907" s="11"/>
      <c r="K907" s="1533"/>
      <c r="L907" s="11"/>
      <c r="M907" s="11"/>
      <c r="N907" s="11"/>
      <c r="O907" s="11"/>
      <c r="P907" s="11"/>
      <c r="Q907" s="11"/>
    </row>
    <row r="908" spans="10:17">
      <c r="J908" s="11"/>
      <c r="K908" s="1533"/>
      <c r="L908" s="11"/>
      <c r="M908" s="11"/>
      <c r="N908" s="11"/>
      <c r="O908" s="11"/>
      <c r="P908" s="11"/>
      <c r="Q908" s="11"/>
    </row>
    <row r="909" spans="10:17">
      <c r="J909" s="11"/>
      <c r="K909" s="1533"/>
      <c r="L909" s="11"/>
      <c r="M909" s="11"/>
      <c r="N909" s="11"/>
      <c r="O909" s="11"/>
      <c r="P909" s="11"/>
      <c r="Q909" s="11"/>
    </row>
    <row r="910" spans="10:17">
      <c r="J910" s="11"/>
      <c r="K910" s="1533"/>
      <c r="L910" s="11"/>
      <c r="M910" s="11"/>
      <c r="N910" s="11"/>
      <c r="O910" s="11"/>
      <c r="P910" s="11"/>
      <c r="Q910" s="11"/>
    </row>
    <row r="911" spans="10:17">
      <c r="J911" s="11"/>
      <c r="K911" s="1533"/>
      <c r="L911" s="11"/>
      <c r="M911" s="11"/>
      <c r="N911" s="11"/>
      <c r="O911" s="11"/>
      <c r="P911" s="11"/>
      <c r="Q911" s="11"/>
    </row>
    <row r="912" spans="10:17">
      <c r="J912" s="11"/>
      <c r="K912" s="1533"/>
      <c r="L912" s="11"/>
      <c r="M912" s="11"/>
      <c r="N912" s="11"/>
      <c r="O912" s="11"/>
      <c r="P912" s="11"/>
      <c r="Q912" s="11"/>
    </row>
    <row r="913" spans="10:17">
      <c r="J913" s="11"/>
      <c r="K913" s="1533"/>
      <c r="L913" s="11"/>
      <c r="M913" s="11"/>
      <c r="N913" s="11"/>
      <c r="O913" s="11"/>
      <c r="P913" s="11"/>
      <c r="Q913" s="11"/>
    </row>
    <row r="914" spans="10:17">
      <c r="J914" s="11"/>
      <c r="K914" s="1533"/>
      <c r="L914" s="11"/>
      <c r="M914" s="11"/>
      <c r="N914" s="11"/>
      <c r="O914" s="11"/>
      <c r="P914" s="11"/>
      <c r="Q914" s="11"/>
    </row>
    <row r="915" spans="10:17">
      <c r="J915" s="11"/>
      <c r="K915" s="1533"/>
      <c r="L915" s="11"/>
      <c r="M915" s="11"/>
      <c r="N915" s="11"/>
      <c r="O915" s="11"/>
      <c r="P915" s="11"/>
      <c r="Q915" s="11"/>
    </row>
    <row r="916" spans="10:17">
      <c r="J916" s="11"/>
      <c r="K916" s="1533"/>
      <c r="L916" s="11"/>
      <c r="M916" s="11"/>
      <c r="N916" s="11"/>
      <c r="O916" s="11"/>
      <c r="P916" s="11"/>
      <c r="Q916" s="11"/>
    </row>
    <row r="917" spans="10:17">
      <c r="J917" s="11"/>
      <c r="K917" s="1533"/>
      <c r="L917" s="11"/>
      <c r="M917" s="11"/>
      <c r="N917" s="11"/>
      <c r="O917" s="11"/>
      <c r="P917" s="11"/>
      <c r="Q917" s="11"/>
    </row>
    <row r="918" spans="10:17">
      <c r="J918" s="11"/>
      <c r="K918" s="1533"/>
      <c r="L918" s="11"/>
      <c r="M918" s="11"/>
      <c r="N918" s="11"/>
      <c r="O918" s="11"/>
      <c r="P918" s="11"/>
      <c r="Q918" s="11"/>
    </row>
    <row r="919" spans="10:17">
      <c r="J919" s="11"/>
      <c r="K919" s="1533"/>
      <c r="L919" s="11"/>
      <c r="M919" s="11"/>
      <c r="N919" s="11"/>
      <c r="O919" s="11"/>
      <c r="P919" s="11"/>
      <c r="Q919" s="11"/>
    </row>
    <row r="920" spans="10:17">
      <c r="J920" s="11"/>
      <c r="K920" s="1533"/>
      <c r="L920" s="11"/>
      <c r="M920" s="11"/>
      <c r="N920" s="11"/>
      <c r="O920" s="11"/>
      <c r="P920" s="11"/>
      <c r="Q920" s="11"/>
    </row>
    <row r="921" spans="10:17">
      <c r="J921" s="11"/>
      <c r="K921" s="1533"/>
      <c r="L921" s="11"/>
      <c r="M921" s="11"/>
      <c r="N921" s="11"/>
      <c r="O921" s="11"/>
      <c r="P921" s="11"/>
      <c r="Q921" s="11"/>
    </row>
    <row r="922" spans="10:17">
      <c r="J922" s="11"/>
      <c r="K922" s="1533"/>
      <c r="L922" s="11"/>
      <c r="M922" s="11"/>
      <c r="N922" s="11"/>
      <c r="O922" s="11"/>
      <c r="P922" s="11"/>
      <c r="Q922" s="11"/>
    </row>
    <row r="923" spans="10:17">
      <c r="J923" s="11"/>
      <c r="K923" s="1533"/>
      <c r="L923" s="11"/>
      <c r="M923" s="11"/>
      <c r="N923" s="11"/>
      <c r="O923" s="11"/>
      <c r="P923" s="11"/>
      <c r="Q923" s="11"/>
    </row>
    <row r="924" spans="10:17">
      <c r="J924" s="11"/>
      <c r="K924" s="1533"/>
      <c r="L924" s="11"/>
      <c r="M924" s="11"/>
      <c r="N924" s="11"/>
      <c r="O924" s="11"/>
      <c r="P924" s="11"/>
      <c r="Q924" s="11"/>
    </row>
    <row r="925" spans="10:17">
      <c r="J925" s="11"/>
      <c r="K925" s="1533"/>
      <c r="L925" s="11"/>
      <c r="M925" s="11"/>
      <c r="N925" s="11"/>
      <c r="O925" s="11"/>
      <c r="P925" s="11"/>
      <c r="Q925" s="11"/>
    </row>
    <row r="926" spans="10:17">
      <c r="J926" s="11"/>
      <c r="K926" s="1533"/>
      <c r="L926" s="11"/>
      <c r="M926" s="11"/>
      <c r="N926" s="11"/>
      <c r="O926" s="11"/>
      <c r="P926" s="11"/>
      <c r="Q926" s="11"/>
    </row>
    <row r="927" spans="10:17">
      <c r="J927" s="11"/>
      <c r="K927" s="1533"/>
      <c r="L927" s="11"/>
      <c r="M927" s="11"/>
      <c r="N927" s="11"/>
      <c r="O927" s="11"/>
      <c r="P927" s="11"/>
      <c r="Q927" s="11"/>
    </row>
    <row r="928" spans="10:17">
      <c r="J928" s="11"/>
      <c r="K928" s="1533"/>
      <c r="L928" s="11"/>
      <c r="M928" s="11"/>
      <c r="N928" s="11"/>
      <c r="O928" s="11"/>
      <c r="P928" s="11"/>
      <c r="Q928" s="11"/>
    </row>
    <row r="929" spans="10:17">
      <c r="J929" s="11"/>
      <c r="K929" s="1533"/>
      <c r="L929" s="11"/>
      <c r="M929" s="11"/>
      <c r="N929" s="11"/>
      <c r="O929" s="11"/>
      <c r="P929" s="11"/>
      <c r="Q929" s="11"/>
    </row>
    <row r="930" spans="10:17">
      <c r="J930" s="11"/>
      <c r="K930" s="1533"/>
      <c r="L930" s="11"/>
      <c r="M930" s="11"/>
      <c r="N930" s="11"/>
      <c r="O930" s="11"/>
      <c r="P930" s="11"/>
      <c r="Q930" s="11"/>
    </row>
    <row r="931" spans="10:17">
      <c r="J931" s="11"/>
      <c r="K931" s="1533"/>
      <c r="L931" s="11"/>
      <c r="M931" s="11"/>
      <c r="N931" s="11"/>
      <c r="O931" s="11"/>
      <c r="P931" s="11"/>
      <c r="Q931" s="11"/>
    </row>
    <row r="932" spans="10:17">
      <c r="J932" s="11"/>
      <c r="K932" s="1533"/>
      <c r="L932" s="11"/>
      <c r="M932" s="11"/>
      <c r="N932" s="11"/>
      <c r="O932" s="11"/>
      <c r="P932" s="11"/>
      <c r="Q932" s="11"/>
    </row>
    <row r="933" spans="10:17">
      <c r="J933" s="11"/>
      <c r="K933" s="1533"/>
      <c r="L933" s="11"/>
      <c r="M933" s="11"/>
      <c r="N933" s="11"/>
      <c r="O933" s="11"/>
      <c r="P933" s="11"/>
      <c r="Q933" s="11"/>
    </row>
    <row r="934" spans="10:17">
      <c r="J934" s="11"/>
      <c r="K934" s="1533"/>
      <c r="L934" s="11"/>
      <c r="M934" s="11"/>
      <c r="N934" s="11"/>
      <c r="O934" s="11"/>
      <c r="P934" s="11"/>
      <c r="Q934" s="11"/>
    </row>
    <row r="935" spans="10:17">
      <c r="J935" s="11"/>
      <c r="K935" s="1533"/>
      <c r="L935" s="11"/>
      <c r="M935" s="11"/>
      <c r="N935" s="11"/>
      <c r="O935" s="11"/>
      <c r="P935" s="11"/>
      <c r="Q935" s="11"/>
    </row>
    <row r="936" spans="10:17">
      <c r="J936" s="11"/>
      <c r="K936" s="1533"/>
      <c r="L936" s="11"/>
      <c r="M936" s="11"/>
      <c r="N936" s="11"/>
      <c r="O936" s="11"/>
      <c r="P936" s="11"/>
      <c r="Q936" s="11"/>
    </row>
    <row r="937" spans="10:17">
      <c r="J937" s="11"/>
      <c r="K937" s="1533"/>
      <c r="L937" s="11"/>
      <c r="M937" s="11"/>
      <c r="N937" s="11"/>
      <c r="O937" s="11"/>
      <c r="P937" s="11"/>
      <c r="Q937" s="11"/>
    </row>
    <row r="938" spans="10:17">
      <c r="J938" s="11"/>
      <c r="K938" s="1533"/>
      <c r="L938" s="11"/>
      <c r="M938" s="11"/>
      <c r="N938" s="11"/>
      <c r="O938" s="11"/>
      <c r="P938" s="11"/>
      <c r="Q938" s="11"/>
    </row>
    <row r="939" spans="10:17">
      <c r="J939" s="11"/>
      <c r="K939" s="1533"/>
      <c r="L939" s="11"/>
      <c r="M939" s="11"/>
      <c r="N939" s="11"/>
      <c r="O939" s="11"/>
      <c r="P939" s="11"/>
      <c r="Q939" s="11"/>
    </row>
    <row r="940" spans="10:17">
      <c r="J940" s="11"/>
      <c r="K940" s="1533"/>
      <c r="L940" s="11"/>
      <c r="M940" s="11"/>
      <c r="N940" s="11"/>
      <c r="O940" s="11"/>
      <c r="P940" s="11"/>
      <c r="Q940" s="11"/>
    </row>
    <row r="941" spans="10:17">
      <c r="J941" s="11"/>
      <c r="K941" s="1533"/>
      <c r="L941" s="11"/>
      <c r="M941" s="11"/>
      <c r="N941" s="11"/>
      <c r="O941" s="11"/>
      <c r="P941" s="11"/>
      <c r="Q941" s="11"/>
    </row>
    <row r="942" spans="10:17">
      <c r="J942" s="11"/>
      <c r="K942" s="1533"/>
      <c r="L942" s="11"/>
      <c r="M942" s="11"/>
      <c r="N942" s="11"/>
      <c r="O942" s="11"/>
      <c r="P942" s="11"/>
      <c r="Q942" s="11"/>
    </row>
    <row r="943" spans="10:17">
      <c r="J943" s="11"/>
      <c r="K943" s="1533"/>
      <c r="L943" s="11"/>
      <c r="M943" s="11"/>
      <c r="N943" s="11"/>
      <c r="O943" s="11"/>
      <c r="P943" s="11"/>
      <c r="Q943" s="11"/>
    </row>
    <row r="944" spans="10:17">
      <c r="J944" s="11"/>
      <c r="K944" s="1533"/>
      <c r="L944" s="11"/>
      <c r="M944" s="11"/>
      <c r="N944" s="11"/>
      <c r="O944" s="11"/>
      <c r="P944" s="11"/>
      <c r="Q944" s="11"/>
    </row>
    <row r="945" spans="10:17">
      <c r="J945" s="11"/>
      <c r="K945" s="1533"/>
      <c r="L945" s="11"/>
      <c r="M945" s="11"/>
      <c r="N945" s="11"/>
      <c r="O945" s="11"/>
      <c r="P945" s="11"/>
      <c r="Q945" s="11"/>
    </row>
    <row r="946" spans="10:17">
      <c r="J946" s="11"/>
      <c r="K946" s="1533"/>
      <c r="L946" s="11"/>
      <c r="M946" s="11"/>
      <c r="N946" s="11"/>
      <c r="O946" s="11"/>
      <c r="P946" s="11"/>
      <c r="Q946" s="11"/>
    </row>
    <row r="947" spans="10:17">
      <c r="J947" s="11"/>
      <c r="K947" s="1533"/>
      <c r="L947" s="11"/>
      <c r="M947" s="11"/>
      <c r="N947" s="11"/>
      <c r="O947" s="11"/>
      <c r="P947" s="11"/>
      <c r="Q947" s="11"/>
    </row>
    <row r="948" spans="10:17">
      <c r="J948" s="11"/>
      <c r="K948" s="1533"/>
      <c r="L948" s="11"/>
      <c r="M948" s="11"/>
      <c r="N948" s="11"/>
      <c r="O948" s="11"/>
      <c r="P948" s="11"/>
      <c r="Q948" s="11"/>
    </row>
    <row r="949" spans="10:17">
      <c r="J949" s="11"/>
      <c r="K949" s="1533"/>
      <c r="L949" s="11"/>
      <c r="M949" s="11"/>
      <c r="N949" s="11"/>
      <c r="O949" s="11"/>
      <c r="P949" s="11"/>
      <c r="Q949" s="11"/>
    </row>
    <row r="950" spans="10:17">
      <c r="J950" s="11"/>
      <c r="K950" s="1533"/>
      <c r="L950" s="11"/>
      <c r="M950" s="11"/>
      <c r="N950" s="11"/>
      <c r="O950" s="11"/>
      <c r="P950" s="11"/>
      <c r="Q950" s="11"/>
    </row>
    <row r="951" spans="10:17">
      <c r="J951" s="11"/>
      <c r="K951" s="1533"/>
      <c r="L951" s="11"/>
      <c r="M951" s="11"/>
      <c r="N951" s="11"/>
      <c r="O951" s="11"/>
      <c r="P951" s="11"/>
      <c r="Q951" s="11"/>
    </row>
    <row r="952" spans="10:17">
      <c r="J952" s="11"/>
      <c r="K952" s="1533"/>
      <c r="L952" s="11"/>
      <c r="M952" s="11"/>
      <c r="N952" s="11"/>
      <c r="O952" s="11"/>
      <c r="P952" s="11"/>
      <c r="Q952" s="11"/>
    </row>
    <row r="953" spans="10:17">
      <c r="J953" s="11"/>
      <c r="K953" s="1533"/>
      <c r="L953" s="11"/>
      <c r="M953" s="11"/>
      <c r="N953" s="11"/>
      <c r="O953" s="11"/>
      <c r="P953" s="11"/>
      <c r="Q953" s="11"/>
    </row>
    <row r="954" spans="10:17">
      <c r="J954" s="11"/>
      <c r="K954" s="1533"/>
      <c r="L954" s="11"/>
      <c r="M954" s="11"/>
      <c r="N954" s="11"/>
      <c r="O954" s="11"/>
      <c r="P954" s="11"/>
      <c r="Q954" s="11"/>
    </row>
    <row r="955" spans="10:17">
      <c r="J955" s="11"/>
      <c r="K955" s="1533"/>
      <c r="L955" s="11"/>
      <c r="M955" s="11"/>
      <c r="N955" s="11"/>
      <c r="O955" s="11"/>
      <c r="P955" s="11"/>
      <c r="Q955" s="11"/>
    </row>
    <row r="956" spans="10:17">
      <c r="J956" s="11"/>
      <c r="K956" s="1533"/>
      <c r="L956" s="11"/>
      <c r="M956" s="11"/>
      <c r="N956" s="11"/>
      <c r="O956" s="11"/>
      <c r="P956" s="11"/>
      <c r="Q956" s="11"/>
    </row>
    <row r="957" spans="10:17">
      <c r="J957" s="11"/>
      <c r="K957" s="1533"/>
      <c r="L957" s="11"/>
      <c r="M957" s="11"/>
      <c r="N957" s="11"/>
      <c r="O957" s="11"/>
      <c r="P957" s="11"/>
      <c r="Q957" s="11"/>
    </row>
    <row r="958" spans="10:17">
      <c r="J958" s="11"/>
      <c r="K958" s="1533"/>
      <c r="L958" s="11"/>
      <c r="M958" s="11"/>
      <c r="N958" s="11"/>
      <c r="O958" s="11"/>
      <c r="P958" s="11"/>
      <c r="Q958" s="11"/>
    </row>
    <row r="959" spans="10:17">
      <c r="J959" s="11"/>
      <c r="K959" s="1533"/>
      <c r="L959" s="11"/>
      <c r="M959" s="11"/>
      <c r="N959" s="11"/>
      <c r="O959" s="11"/>
      <c r="P959" s="11"/>
      <c r="Q959" s="11"/>
    </row>
    <row r="960" spans="10:17">
      <c r="J960" s="11"/>
      <c r="K960" s="1533"/>
      <c r="L960" s="11"/>
      <c r="M960" s="11"/>
      <c r="N960" s="11"/>
      <c r="O960" s="11"/>
      <c r="P960" s="11"/>
      <c r="Q960" s="11"/>
    </row>
    <row r="961" spans="10:17">
      <c r="J961" s="11"/>
      <c r="K961" s="1533"/>
      <c r="L961" s="11"/>
      <c r="M961" s="11"/>
      <c r="N961" s="11"/>
      <c r="O961" s="11"/>
      <c r="P961" s="11"/>
      <c r="Q961" s="11"/>
    </row>
    <row r="962" spans="10:17">
      <c r="J962" s="11"/>
      <c r="K962" s="1533"/>
      <c r="L962" s="11"/>
      <c r="M962" s="11"/>
      <c r="N962" s="11"/>
      <c r="O962" s="11"/>
      <c r="P962" s="11"/>
      <c r="Q962" s="11"/>
    </row>
    <row r="963" spans="10:17">
      <c r="J963" s="11"/>
      <c r="K963" s="1533"/>
      <c r="L963" s="11"/>
      <c r="M963" s="11"/>
      <c r="N963" s="11"/>
      <c r="O963" s="11"/>
      <c r="P963" s="11"/>
      <c r="Q963" s="11"/>
    </row>
    <row r="964" spans="10:17">
      <c r="J964" s="11"/>
      <c r="K964" s="1533"/>
      <c r="L964" s="11"/>
      <c r="M964" s="11"/>
      <c r="N964" s="11"/>
      <c r="O964" s="11"/>
      <c r="P964" s="11"/>
      <c r="Q964" s="11"/>
    </row>
    <row r="965" spans="10:17">
      <c r="J965" s="11"/>
      <c r="K965" s="1533"/>
      <c r="L965" s="11"/>
      <c r="M965" s="11"/>
      <c r="N965" s="11"/>
      <c r="O965" s="11"/>
      <c r="P965" s="11"/>
      <c r="Q965" s="11"/>
    </row>
    <row r="966" spans="10:17">
      <c r="J966" s="11"/>
      <c r="K966" s="1533"/>
      <c r="L966" s="11"/>
      <c r="M966" s="11"/>
      <c r="N966" s="11"/>
      <c r="O966" s="11"/>
      <c r="P966" s="11"/>
      <c r="Q966" s="11"/>
    </row>
    <row r="967" spans="10:17">
      <c r="J967" s="11"/>
      <c r="K967" s="1533"/>
      <c r="L967" s="11"/>
      <c r="M967" s="11"/>
      <c r="N967" s="11"/>
      <c r="O967" s="11"/>
      <c r="P967" s="11"/>
      <c r="Q967" s="11"/>
    </row>
    <row r="968" spans="10:17">
      <c r="J968" s="11"/>
      <c r="K968" s="1533"/>
      <c r="L968" s="11"/>
      <c r="M968" s="11"/>
      <c r="N968" s="11"/>
      <c r="O968" s="11"/>
      <c r="P968" s="11"/>
      <c r="Q968" s="11"/>
    </row>
    <row r="969" spans="10:17">
      <c r="J969" s="11"/>
      <c r="K969" s="1533"/>
      <c r="L969" s="11"/>
      <c r="M969" s="11"/>
      <c r="N969" s="11"/>
      <c r="O969" s="11"/>
      <c r="P969" s="11"/>
      <c r="Q969" s="11"/>
    </row>
    <row r="970" spans="10:17">
      <c r="J970" s="11"/>
      <c r="K970" s="1533"/>
      <c r="L970" s="11"/>
      <c r="M970" s="11"/>
      <c r="N970" s="11"/>
      <c r="O970" s="11"/>
      <c r="P970" s="11"/>
      <c r="Q970" s="11"/>
    </row>
    <row r="971" spans="10:17">
      <c r="J971" s="11"/>
      <c r="K971" s="1533"/>
      <c r="L971" s="11"/>
      <c r="M971" s="11"/>
      <c r="N971" s="11"/>
      <c r="O971" s="11"/>
      <c r="P971" s="11"/>
      <c r="Q971" s="11"/>
    </row>
    <row r="972" spans="10:17">
      <c r="J972" s="11"/>
      <c r="K972" s="1533"/>
      <c r="L972" s="11"/>
      <c r="M972" s="11"/>
      <c r="N972" s="11"/>
      <c r="O972" s="11"/>
      <c r="P972" s="11"/>
      <c r="Q972" s="11"/>
    </row>
    <row r="973" spans="10:17">
      <c r="J973" s="11"/>
      <c r="K973" s="1533"/>
      <c r="L973" s="11"/>
      <c r="M973" s="11"/>
      <c r="N973" s="11"/>
      <c r="O973" s="11"/>
      <c r="P973" s="11"/>
      <c r="Q973" s="11"/>
    </row>
    <row r="974" spans="10:17">
      <c r="J974" s="11"/>
      <c r="K974" s="1533"/>
      <c r="L974" s="11"/>
      <c r="M974" s="11"/>
      <c r="N974" s="11"/>
      <c r="O974" s="11"/>
      <c r="P974" s="11"/>
      <c r="Q974" s="11"/>
    </row>
    <row r="975" spans="10:17">
      <c r="J975" s="11"/>
      <c r="K975" s="1533"/>
      <c r="L975" s="11"/>
      <c r="M975" s="11"/>
      <c r="N975" s="11"/>
      <c r="O975" s="11"/>
      <c r="P975" s="11"/>
      <c r="Q975" s="11"/>
    </row>
    <row r="976" spans="10:17">
      <c r="J976" s="11"/>
      <c r="K976" s="1533"/>
      <c r="L976" s="11"/>
      <c r="M976" s="11"/>
      <c r="N976" s="11"/>
      <c r="O976" s="11"/>
      <c r="P976" s="11"/>
      <c r="Q976" s="11"/>
    </row>
    <row r="977" spans="10:17">
      <c r="J977" s="11"/>
      <c r="K977" s="1533"/>
      <c r="L977" s="11"/>
      <c r="M977" s="11"/>
      <c r="N977" s="11"/>
      <c r="O977" s="11"/>
      <c r="P977" s="11"/>
      <c r="Q977" s="11"/>
    </row>
    <row r="978" spans="10:17">
      <c r="J978" s="11"/>
      <c r="K978" s="1533"/>
      <c r="L978" s="11"/>
      <c r="M978" s="11"/>
      <c r="N978" s="11"/>
      <c r="O978" s="11"/>
      <c r="P978" s="11"/>
      <c r="Q978" s="11"/>
    </row>
    <row r="979" spans="10:17">
      <c r="J979" s="11"/>
      <c r="K979" s="1533"/>
      <c r="L979" s="11"/>
      <c r="M979" s="11"/>
      <c r="N979" s="11"/>
      <c r="O979" s="11"/>
      <c r="P979" s="11"/>
      <c r="Q979" s="11"/>
    </row>
    <row r="980" spans="10:17">
      <c r="J980" s="11"/>
      <c r="K980" s="1533"/>
      <c r="L980" s="11"/>
      <c r="M980" s="11"/>
      <c r="N980" s="11"/>
      <c r="O980" s="11"/>
      <c r="P980" s="11"/>
      <c r="Q980" s="11"/>
    </row>
    <row r="981" spans="10:17">
      <c r="J981" s="11"/>
      <c r="K981" s="1533"/>
      <c r="L981" s="11"/>
      <c r="M981" s="11"/>
      <c r="N981" s="11"/>
      <c r="O981" s="11"/>
      <c r="P981" s="11"/>
      <c r="Q981" s="11"/>
    </row>
    <row r="982" spans="10:17">
      <c r="J982" s="11"/>
      <c r="K982" s="1533"/>
      <c r="L982" s="11"/>
      <c r="M982" s="11"/>
      <c r="N982" s="11"/>
      <c r="O982" s="11"/>
      <c r="P982" s="11"/>
      <c r="Q982" s="11"/>
    </row>
    <row r="983" spans="10:17">
      <c r="J983" s="11"/>
      <c r="K983" s="1533"/>
      <c r="L983" s="11"/>
      <c r="M983" s="11"/>
      <c r="N983" s="11"/>
      <c r="O983" s="11"/>
      <c r="P983" s="11"/>
      <c r="Q983" s="11"/>
    </row>
    <row r="984" spans="10:17">
      <c r="J984" s="11"/>
      <c r="K984" s="1533"/>
      <c r="L984" s="11"/>
      <c r="M984" s="11"/>
      <c r="N984" s="11"/>
      <c r="O984" s="11"/>
      <c r="P984" s="11"/>
      <c r="Q984" s="11"/>
    </row>
    <row r="985" spans="10:17">
      <c r="J985" s="11"/>
      <c r="K985" s="1533"/>
      <c r="L985" s="11"/>
      <c r="M985" s="11"/>
      <c r="N985" s="11"/>
      <c r="O985" s="11"/>
      <c r="P985" s="11"/>
      <c r="Q985" s="11"/>
    </row>
    <row r="986" spans="10:17">
      <c r="J986" s="11"/>
      <c r="K986" s="1533"/>
      <c r="L986" s="11"/>
      <c r="M986" s="11"/>
      <c r="N986" s="11"/>
      <c r="O986" s="11"/>
      <c r="P986" s="11"/>
      <c r="Q986" s="11"/>
    </row>
    <row r="987" spans="10:17">
      <c r="J987" s="11"/>
      <c r="K987" s="1533"/>
      <c r="L987" s="11"/>
      <c r="M987" s="11"/>
      <c r="N987" s="11"/>
      <c r="O987" s="11"/>
      <c r="P987" s="11"/>
      <c r="Q987" s="11"/>
    </row>
    <row r="988" spans="10:17">
      <c r="J988" s="11"/>
      <c r="K988" s="1533"/>
      <c r="L988" s="11"/>
      <c r="M988" s="11"/>
      <c r="N988" s="11"/>
      <c r="O988" s="11"/>
      <c r="P988" s="11"/>
      <c r="Q988" s="11"/>
    </row>
    <row r="989" spans="10:17">
      <c r="J989" s="11"/>
      <c r="K989" s="1533"/>
      <c r="L989" s="11"/>
      <c r="M989" s="11"/>
      <c r="N989" s="11"/>
      <c r="O989" s="11"/>
      <c r="P989" s="11"/>
      <c r="Q989" s="11"/>
    </row>
    <row r="990" spans="10:17">
      <c r="J990" s="11"/>
      <c r="K990" s="1533"/>
      <c r="L990" s="11"/>
      <c r="M990" s="11"/>
      <c r="N990" s="11"/>
      <c r="O990" s="11"/>
      <c r="P990" s="11"/>
      <c r="Q990" s="11"/>
    </row>
    <row r="991" spans="10:17">
      <c r="J991" s="11"/>
      <c r="K991" s="1533"/>
      <c r="L991" s="11"/>
      <c r="M991" s="11"/>
      <c r="N991" s="11"/>
      <c r="O991" s="11"/>
      <c r="P991" s="11"/>
      <c r="Q991" s="11"/>
    </row>
    <row r="992" spans="10:17">
      <c r="J992" s="11"/>
      <c r="K992" s="1533"/>
      <c r="L992" s="11"/>
      <c r="M992" s="11"/>
      <c r="N992" s="11"/>
      <c r="O992" s="11"/>
      <c r="P992" s="11"/>
      <c r="Q992" s="11"/>
    </row>
    <row r="993" spans="10:17">
      <c r="J993" s="11"/>
      <c r="K993" s="1533"/>
      <c r="L993" s="11"/>
      <c r="M993" s="11"/>
      <c r="N993" s="11"/>
      <c r="O993" s="11"/>
      <c r="P993" s="11"/>
      <c r="Q993" s="11"/>
    </row>
    <row r="994" spans="10:17">
      <c r="J994" s="11"/>
      <c r="K994" s="1533"/>
      <c r="L994" s="11"/>
      <c r="M994" s="11"/>
      <c r="N994" s="11"/>
      <c r="O994" s="11"/>
      <c r="P994" s="11"/>
      <c r="Q994" s="11"/>
    </row>
    <row r="995" spans="10:17">
      <c r="J995" s="11"/>
      <c r="K995" s="1533"/>
      <c r="L995" s="11"/>
      <c r="M995" s="11"/>
      <c r="N995" s="11"/>
      <c r="O995" s="11"/>
      <c r="P995" s="11"/>
      <c r="Q995" s="11"/>
    </row>
    <row r="996" spans="10:17">
      <c r="J996" s="11"/>
      <c r="K996" s="1533"/>
      <c r="L996" s="11"/>
      <c r="M996" s="11"/>
      <c r="N996" s="11"/>
      <c r="O996" s="11"/>
      <c r="P996" s="11"/>
      <c r="Q996" s="11"/>
    </row>
    <row r="997" spans="10:17">
      <c r="J997" s="11"/>
      <c r="K997" s="1533"/>
      <c r="L997" s="11"/>
      <c r="M997" s="11"/>
      <c r="N997" s="11"/>
      <c r="O997" s="11"/>
      <c r="P997" s="11"/>
      <c r="Q997" s="11"/>
    </row>
    <row r="998" spans="10:17">
      <c r="J998" s="11"/>
      <c r="K998" s="1533"/>
      <c r="L998" s="11"/>
      <c r="M998" s="11"/>
      <c r="N998" s="11"/>
      <c r="O998" s="11"/>
      <c r="P998" s="11"/>
      <c r="Q998" s="11"/>
    </row>
    <row r="999" spans="10:17">
      <c r="J999" s="11"/>
      <c r="K999" s="1533"/>
      <c r="L999" s="11"/>
      <c r="M999" s="11"/>
      <c r="N999" s="11"/>
      <c r="O999" s="11"/>
      <c r="P999" s="11"/>
      <c r="Q999" s="11"/>
    </row>
    <row r="1000" spans="10:17">
      <c r="J1000" s="11"/>
      <c r="K1000" s="1533"/>
      <c r="L1000" s="11"/>
      <c r="M1000" s="11"/>
      <c r="N1000" s="11"/>
      <c r="O1000" s="11"/>
      <c r="P1000" s="11"/>
      <c r="Q1000" s="11"/>
    </row>
    <row r="1001" spans="10:17">
      <c r="J1001" s="11"/>
      <c r="K1001" s="1533"/>
      <c r="L1001" s="11"/>
      <c r="M1001" s="11"/>
      <c r="N1001" s="11"/>
      <c r="O1001" s="11"/>
      <c r="P1001" s="11"/>
      <c r="Q1001" s="11"/>
    </row>
    <row r="1002" spans="10:17">
      <c r="J1002" s="11"/>
      <c r="K1002" s="1533"/>
      <c r="L1002" s="11"/>
      <c r="M1002" s="11"/>
      <c r="N1002" s="11"/>
      <c r="O1002" s="11"/>
      <c r="P1002" s="11"/>
      <c r="Q1002" s="11"/>
    </row>
    <row r="1003" spans="10:17">
      <c r="J1003" s="11"/>
      <c r="K1003" s="1533"/>
      <c r="L1003" s="11"/>
      <c r="M1003" s="11"/>
      <c r="N1003" s="11"/>
      <c r="O1003" s="11"/>
      <c r="P1003" s="11"/>
      <c r="Q1003" s="11"/>
    </row>
    <row r="1004" spans="10:17">
      <c r="J1004" s="11"/>
      <c r="K1004" s="1533"/>
      <c r="L1004" s="11"/>
      <c r="M1004" s="11"/>
      <c r="N1004" s="11"/>
      <c r="O1004" s="11"/>
      <c r="P1004" s="11"/>
      <c r="Q1004" s="11"/>
    </row>
    <row r="1005" spans="10:17">
      <c r="J1005" s="11"/>
      <c r="K1005" s="1533"/>
      <c r="L1005" s="11"/>
      <c r="M1005" s="11"/>
      <c r="N1005" s="11"/>
      <c r="O1005" s="11"/>
      <c r="P1005" s="11"/>
      <c r="Q1005" s="11"/>
    </row>
    <row r="1006" spans="10:17">
      <c r="J1006" s="11"/>
      <c r="K1006" s="1533"/>
      <c r="L1006" s="11"/>
      <c r="M1006" s="11"/>
      <c r="N1006" s="11"/>
      <c r="O1006" s="11"/>
      <c r="P1006" s="11"/>
      <c r="Q1006" s="11"/>
    </row>
    <row r="1007" spans="10:17">
      <c r="J1007" s="11"/>
      <c r="K1007" s="1533"/>
      <c r="L1007" s="11"/>
      <c r="M1007" s="11"/>
      <c r="N1007" s="11"/>
      <c r="O1007" s="11"/>
      <c r="P1007" s="11"/>
      <c r="Q1007" s="11"/>
    </row>
    <row r="1008" spans="10:17">
      <c r="J1008" s="11"/>
      <c r="K1008" s="1533"/>
      <c r="L1008" s="11"/>
      <c r="M1008" s="11"/>
      <c r="N1008" s="11"/>
      <c r="O1008" s="11"/>
      <c r="P1008" s="11"/>
      <c r="Q1008" s="11"/>
    </row>
    <row r="1009" spans="10:17">
      <c r="J1009" s="11"/>
      <c r="K1009" s="1533"/>
      <c r="L1009" s="11"/>
      <c r="M1009" s="11"/>
      <c r="N1009" s="11"/>
      <c r="O1009" s="11"/>
      <c r="P1009" s="11"/>
      <c r="Q1009" s="11"/>
    </row>
    <row r="1010" spans="10:17">
      <c r="J1010" s="11"/>
      <c r="K1010" s="1533"/>
      <c r="L1010" s="11"/>
      <c r="M1010" s="11"/>
      <c r="N1010" s="11"/>
      <c r="O1010" s="11"/>
      <c r="P1010" s="11"/>
      <c r="Q1010" s="11"/>
    </row>
    <row r="1011" spans="10:17">
      <c r="J1011" s="11"/>
      <c r="K1011" s="1533"/>
      <c r="L1011" s="11"/>
      <c r="M1011" s="11"/>
      <c r="N1011" s="11"/>
      <c r="O1011" s="11"/>
      <c r="P1011" s="11"/>
      <c r="Q1011" s="11"/>
    </row>
    <row r="1012" spans="10:17">
      <c r="J1012" s="11"/>
      <c r="K1012" s="1533"/>
      <c r="L1012" s="11"/>
      <c r="M1012" s="11"/>
      <c r="N1012" s="11"/>
      <c r="O1012" s="11"/>
      <c r="P1012" s="11"/>
      <c r="Q1012" s="11"/>
    </row>
    <row r="1013" spans="10:17">
      <c r="J1013" s="11"/>
      <c r="K1013" s="1533"/>
      <c r="L1013" s="11"/>
      <c r="M1013" s="11"/>
      <c r="N1013" s="11"/>
      <c r="O1013" s="11"/>
      <c r="P1013" s="11"/>
      <c r="Q1013" s="11"/>
    </row>
    <row r="1014" spans="10:17">
      <c r="J1014" s="11"/>
      <c r="K1014" s="1533"/>
      <c r="L1014" s="11"/>
      <c r="M1014" s="11"/>
      <c r="N1014" s="11"/>
      <c r="O1014" s="11"/>
      <c r="P1014" s="11"/>
      <c r="Q1014" s="11"/>
    </row>
    <row r="1015" spans="10:17">
      <c r="J1015" s="11"/>
      <c r="K1015" s="1533"/>
      <c r="L1015" s="11"/>
      <c r="M1015" s="11"/>
      <c r="N1015" s="11"/>
      <c r="O1015" s="11"/>
      <c r="P1015" s="11"/>
      <c r="Q1015" s="11"/>
    </row>
    <row r="1016" spans="10:17">
      <c r="J1016" s="11"/>
      <c r="K1016" s="1533"/>
      <c r="L1016" s="11"/>
      <c r="M1016" s="11"/>
      <c r="N1016" s="11"/>
      <c r="O1016" s="11"/>
      <c r="P1016" s="11"/>
      <c r="Q1016" s="11"/>
    </row>
    <row r="1017" spans="10:17">
      <c r="J1017" s="11"/>
      <c r="K1017" s="1533"/>
      <c r="L1017" s="11"/>
      <c r="M1017" s="11"/>
      <c r="N1017" s="11"/>
      <c r="O1017" s="11"/>
      <c r="P1017" s="11"/>
      <c r="Q1017" s="11"/>
    </row>
    <row r="1018" spans="10:17">
      <c r="J1018" s="11"/>
      <c r="K1018" s="1533"/>
      <c r="L1018" s="11"/>
      <c r="M1018" s="11"/>
      <c r="N1018" s="11"/>
      <c r="O1018" s="11"/>
      <c r="P1018" s="11"/>
      <c r="Q1018" s="11"/>
    </row>
    <row r="1019" spans="10:17">
      <c r="J1019" s="11"/>
      <c r="K1019" s="1533"/>
      <c r="L1019" s="11"/>
      <c r="M1019" s="11"/>
      <c r="N1019" s="11"/>
      <c r="O1019" s="11"/>
      <c r="P1019" s="11"/>
      <c r="Q1019" s="11"/>
    </row>
    <row r="1020" spans="10:17">
      <c r="J1020" s="11"/>
      <c r="K1020" s="1533"/>
      <c r="L1020" s="11"/>
      <c r="M1020" s="11"/>
      <c r="N1020" s="11"/>
      <c r="O1020" s="11"/>
      <c r="P1020" s="11"/>
      <c r="Q1020" s="11"/>
    </row>
    <row r="1021" spans="10:17">
      <c r="J1021" s="11"/>
      <c r="K1021" s="1533"/>
      <c r="L1021" s="11"/>
      <c r="M1021" s="11"/>
      <c r="N1021" s="11"/>
      <c r="O1021" s="11"/>
      <c r="P1021" s="11"/>
      <c r="Q1021" s="11"/>
    </row>
    <row r="1022" spans="10:17">
      <c r="J1022" s="11"/>
      <c r="K1022" s="1533"/>
      <c r="L1022" s="11"/>
      <c r="M1022" s="11"/>
      <c r="N1022" s="11"/>
      <c r="O1022" s="11"/>
      <c r="P1022" s="11"/>
      <c r="Q1022" s="11"/>
    </row>
    <row r="1023" spans="10:17">
      <c r="J1023" s="11"/>
      <c r="K1023" s="1533"/>
      <c r="L1023" s="11"/>
      <c r="M1023" s="11"/>
      <c r="N1023" s="11"/>
      <c r="O1023" s="11"/>
      <c r="P1023" s="11"/>
      <c r="Q1023" s="11"/>
    </row>
    <row r="1024" spans="10:17">
      <c r="J1024" s="11"/>
      <c r="K1024" s="1533"/>
      <c r="L1024" s="11"/>
      <c r="M1024" s="11"/>
      <c r="N1024" s="11"/>
      <c r="O1024" s="11"/>
      <c r="P1024" s="11"/>
      <c r="Q1024" s="11"/>
    </row>
    <row r="1025" spans="10:17">
      <c r="J1025" s="11"/>
      <c r="K1025" s="1533"/>
      <c r="L1025" s="11"/>
      <c r="M1025" s="11"/>
      <c r="N1025" s="11"/>
      <c r="O1025" s="11"/>
      <c r="P1025" s="11"/>
      <c r="Q1025" s="11"/>
    </row>
    <row r="1026" spans="10:17">
      <c r="J1026" s="11"/>
      <c r="K1026" s="1533"/>
      <c r="L1026" s="11"/>
      <c r="M1026" s="11"/>
      <c r="N1026" s="11"/>
      <c r="O1026" s="11"/>
      <c r="P1026" s="11"/>
      <c r="Q1026" s="11"/>
    </row>
    <row r="1027" spans="10:17">
      <c r="J1027" s="11"/>
      <c r="K1027" s="1533"/>
      <c r="L1027" s="11"/>
      <c r="M1027" s="11"/>
      <c r="N1027" s="11"/>
      <c r="O1027" s="11"/>
      <c r="P1027" s="11"/>
      <c r="Q1027" s="11"/>
    </row>
    <row r="1028" spans="10:17">
      <c r="J1028" s="11"/>
      <c r="K1028" s="1533"/>
      <c r="L1028" s="11"/>
      <c r="M1028" s="11"/>
      <c r="N1028" s="11"/>
      <c r="O1028" s="11"/>
      <c r="P1028" s="11"/>
      <c r="Q1028" s="11"/>
    </row>
    <row r="1029" spans="10:17">
      <c r="J1029" s="11"/>
      <c r="K1029" s="1533"/>
      <c r="L1029" s="11"/>
      <c r="M1029" s="11"/>
      <c r="N1029" s="11"/>
      <c r="O1029" s="11"/>
      <c r="P1029" s="11"/>
      <c r="Q1029" s="11"/>
    </row>
    <row r="1030" spans="10:17">
      <c r="J1030" s="11"/>
      <c r="K1030" s="1533"/>
      <c r="L1030" s="11"/>
      <c r="M1030" s="11"/>
      <c r="N1030" s="11"/>
      <c r="O1030" s="11"/>
      <c r="P1030" s="11"/>
      <c r="Q1030" s="11"/>
    </row>
    <row r="1031" spans="10:17">
      <c r="J1031" s="11"/>
      <c r="K1031" s="1533"/>
      <c r="L1031" s="11"/>
      <c r="M1031" s="11"/>
      <c r="N1031" s="11"/>
      <c r="O1031" s="11"/>
      <c r="P1031" s="11"/>
      <c r="Q1031" s="11"/>
    </row>
    <row r="1032" spans="10:17">
      <c r="J1032" s="11"/>
      <c r="K1032" s="1533"/>
      <c r="L1032" s="11"/>
      <c r="M1032" s="11"/>
      <c r="N1032" s="11"/>
      <c r="O1032" s="11"/>
      <c r="P1032" s="11"/>
      <c r="Q1032" s="11"/>
    </row>
    <row r="1033" spans="10:17">
      <c r="J1033" s="11"/>
      <c r="K1033" s="1533"/>
      <c r="L1033" s="11"/>
      <c r="M1033" s="11"/>
      <c r="N1033" s="11"/>
      <c r="O1033" s="11"/>
      <c r="P1033" s="11"/>
      <c r="Q1033" s="11"/>
    </row>
    <row r="1034" spans="10:17">
      <c r="J1034" s="11"/>
      <c r="K1034" s="1533"/>
      <c r="L1034" s="11"/>
      <c r="M1034" s="11"/>
      <c r="N1034" s="11"/>
      <c r="O1034" s="11"/>
      <c r="P1034" s="11"/>
      <c r="Q1034" s="11"/>
    </row>
    <row r="1035" spans="10:17">
      <c r="J1035" s="11"/>
      <c r="K1035" s="1533"/>
      <c r="L1035" s="11"/>
      <c r="M1035" s="11"/>
      <c r="N1035" s="11"/>
      <c r="O1035" s="11"/>
      <c r="P1035" s="11"/>
      <c r="Q1035" s="11"/>
    </row>
    <row r="1036" spans="10:17">
      <c r="J1036" s="11"/>
      <c r="K1036" s="1533"/>
      <c r="L1036" s="11"/>
      <c r="M1036" s="11"/>
      <c r="N1036" s="11"/>
      <c r="O1036" s="11"/>
      <c r="P1036" s="11"/>
      <c r="Q1036" s="11"/>
    </row>
    <row r="1037" spans="10:17">
      <c r="J1037" s="11"/>
      <c r="K1037" s="1533"/>
      <c r="L1037" s="11"/>
      <c r="M1037" s="11"/>
      <c r="N1037" s="11"/>
      <c r="O1037" s="11"/>
      <c r="P1037" s="11"/>
      <c r="Q1037" s="11"/>
    </row>
    <row r="1038" spans="10:17">
      <c r="J1038" s="11"/>
      <c r="K1038" s="1533"/>
      <c r="L1038" s="11"/>
      <c r="M1038" s="11"/>
      <c r="N1038" s="11"/>
      <c r="O1038" s="11"/>
      <c r="P1038" s="11"/>
      <c r="Q1038" s="11"/>
    </row>
    <row r="1039" spans="10:17">
      <c r="J1039" s="11"/>
      <c r="K1039" s="1533"/>
      <c r="L1039" s="11"/>
      <c r="M1039" s="11"/>
      <c r="N1039" s="11"/>
      <c r="O1039" s="11"/>
      <c r="P1039" s="11"/>
      <c r="Q1039" s="11"/>
    </row>
    <row r="1040" spans="10:17">
      <c r="J1040" s="11"/>
      <c r="K1040" s="1533"/>
      <c r="L1040" s="11"/>
      <c r="M1040" s="11"/>
      <c r="N1040" s="11"/>
      <c r="O1040" s="11"/>
      <c r="P1040" s="11"/>
      <c r="Q1040" s="11"/>
    </row>
    <row r="1041" spans="10:17">
      <c r="J1041" s="11"/>
      <c r="K1041" s="1533"/>
      <c r="L1041" s="11"/>
      <c r="M1041" s="11"/>
      <c r="N1041" s="11"/>
      <c r="O1041" s="11"/>
      <c r="P1041" s="11"/>
      <c r="Q1041" s="11"/>
    </row>
    <row r="1042" spans="10:17">
      <c r="J1042" s="11"/>
      <c r="K1042" s="1533"/>
      <c r="L1042" s="11"/>
      <c r="M1042" s="11"/>
      <c r="N1042" s="11"/>
      <c r="O1042" s="11"/>
      <c r="P1042" s="11"/>
      <c r="Q1042" s="11"/>
    </row>
    <row r="1043" spans="10:17">
      <c r="J1043" s="11"/>
      <c r="K1043" s="1533"/>
      <c r="L1043" s="11"/>
      <c r="M1043" s="11"/>
      <c r="N1043" s="11"/>
      <c r="O1043" s="11"/>
      <c r="P1043" s="11"/>
      <c r="Q1043" s="11"/>
    </row>
    <row r="1044" spans="10:17">
      <c r="J1044" s="11"/>
      <c r="K1044" s="1533"/>
      <c r="L1044" s="11"/>
      <c r="M1044" s="11"/>
      <c r="N1044" s="11"/>
      <c r="O1044" s="11"/>
      <c r="P1044" s="11"/>
      <c r="Q1044" s="11"/>
    </row>
    <row r="1045" spans="10:17">
      <c r="J1045" s="11"/>
      <c r="K1045" s="1533"/>
      <c r="L1045" s="11"/>
      <c r="M1045" s="11"/>
      <c r="N1045" s="11"/>
      <c r="O1045" s="11"/>
      <c r="P1045" s="11"/>
      <c r="Q1045" s="11"/>
    </row>
    <row r="1046" spans="10:17">
      <c r="J1046" s="11"/>
      <c r="K1046" s="1533"/>
      <c r="L1046" s="11"/>
      <c r="M1046" s="11"/>
      <c r="N1046" s="11"/>
      <c r="O1046" s="11"/>
      <c r="P1046" s="11"/>
      <c r="Q1046" s="11"/>
    </row>
    <row r="1047" spans="10:17">
      <c r="J1047" s="11"/>
      <c r="K1047" s="1533"/>
      <c r="L1047" s="11"/>
      <c r="M1047" s="11"/>
      <c r="N1047" s="11"/>
      <c r="O1047" s="11"/>
      <c r="P1047" s="11"/>
      <c r="Q1047" s="11"/>
    </row>
    <row r="1048" spans="10:17">
      <c r="J1048" s="11"/>
      <c r="K1048" s="1533"/>
      <c r="L1048" s="11"/>
      <c r="M1048" s="11"/>
      <c r="N1048" s="11"/>
      <c r="O1048" s="11"/>
      <c r="P1048" s="11"/>
      <c r="Q1048" s="11"/>
    </row>
    <row r="1049" spans="10:17">
      <c r="J1049" s="11"/>
      <c r="K1049" s="1533"/>
      <c r="L1049" s="11"/>
      <c r="M1049" s="11"/>
      <c r="N1049" s="11"/>
      <c r="O1049" s="11"/>
      <c r="P1049" s="11"/>
      <c r="Q1049" s="11"/>
    </row>
    <row r="1050" spans="10:17">
      <c r="J1050" s="11"/>
      <c r="K1050" s="1533"/>
      <c r="L1050" s="11"/>
      <c r="M1050" s="11"/>
      <c r="N1050" s="11"/>
      <c r="O1050" s="11"/>
      <c r="P1050" s="11"/>
      <c r="Q1050" s="11"/>
    </row>
    <row r="1051" spans="10:17">
      <c r="J1051" s="11"/>
      <c r="K1051" s="1533"/>
      <c r="L1051" s="11"/>
      <c r="M1051" s="11"/>
      <c r="N1051" s="11"/>
      <c r="O1051" s="11"/>
      <c r="P1051" s="11"/>
      <c r="Q1051" s="11"/>
    </row>
    <row r="1052" spans="10:17">
      <c r="J1052" s="11"/>
      <c r="K1052" s="1533"/>
      <c r="L1052" s="11"/>
      <c r="M1052" s="11"/>
      <c r="N1052" s="11"/>
      <c r="O1052" s="11"/>
      <c r="P1052" s="11"/>
      <c r="Q1052" s="11"/>
    </row>
    <row r="1053" spans="10:17">
      <c r="J1053" s="11"/>
      <c r="K1053" s="1533"/>
      <c r="L1053" s="11"/>
      <c r="M1053" s="11"/>
      <c r="N1053" s="11"/>
      <c r="O1053" s="11"/>
      <c r="P1053" s="11"/>
      <c r="Q1053" s="11"/>
    </row>
    <row r="1054" spans="10:17">
      <c r="J1054" s="11"/>
      <c r="K1054" s="1533"/>
      <c r="L1054" s="11"/>
      <c r="M1054" s="11"/>
      <c r="N1054" s="11"/>
      <c r="O1054" s="11"/>
      <c r="P1054" s="11"/>
      <c r="Q1054" s="11"/>
    </row>
    <row r="1055" spans="10:17">
      <c r="J1055" s="11"/>
      <c r="K1055" s="1533"/>
      <c r="L1055" s="11"/>
      <c r="M1055" s="11"/>
      <c r="N1055" s="11"/>
      <c r="O1055" s="11"/>
      <c r="P1055" s="11"/>
      <c r="Q1055" s="11"/>
    </row>
    <row r="1056" spans="10:17">
      <c r="J1056" s="11"/>
      <c r="K1056" s="1533"/>
      <c r="L1056" s="11"/>
      <c r="M1056" s="11"/>
      <c r="N1056" s="11"/>
      <c r="O1056" s="11"/>
      <c r="P1056" s="11"/>
      <c r="Q1056" s="11"/>
    </row>
    <row r="1057" spans="10:17">
      <c r="J1057" s="11"/>
      <c r="K1057" s="1533"/>
      <c r="L1057" s="11"/>
      <c r="M1057" s="11"/>
      <c r="N1057" s="11"/>
      <c r="O1057" s="11"/>
      <c r="P1057" s="11"/>
      <c r="Q1057" s="11"/>
    </row>
    <row r="1058" spans="10:17">
      <c r="J1058" s="11"/>
      <c r="K1058" s="1533"/>
      <c r="L1058" s="11"/>
      <c r="M1058" s="11"/>
      <c r="N1058" s="11"/>
      <c r="O1058" s="11"/>
      <c r="P1058" s="11"/>
      <c r="Q1058" s="11"/>
    </row>
    <row r="1059" spans="10:17">
      <c r="J1059" s="11"/>
      <c r="K1059" s="1533"/>
      <c r="L1059" s="11"/>
      <c r="M1059" s="11"/>
      <c r="N1059" s="11"/>
      <c r="O1059" s="11"/>
      <c r="P1059" s="11"/>
      <c r="Q1059" s="11"/>
    </row>
    <row r="1060" spans="10:17">
      <c r="J1060" s="11"/>
      <c r="K1060" s="1533"/>
      <c r="L1060" s="11"/>
      <c r="M1060" s="11"/>
      <c r="N1060" s="11"/>
      <c r="O1060" s="11"/>
      <c r="P1060" s="11"/>
      <c r="Q1060" s="11"/>
    </row>
    <row r="1061" spans="10:17">
      <c r="J1061" s="11"/>
      <c r="K1061" s="1533"/>
      <c r="L1061" s="11"/>
      <c r="M1061" s="11"/>
      <c r="N1061" s="11"/>
      <c r="O1061" s="11"/>
      <c r="P1061" s="11"/>
      <c r="Q1061" s="11"/>
    </row>
    <row r="1062" spans="10:17">
      <c r="J1062" s="11"/>
      <c r="K1062" s="1533"/>
      <c r="L1062" s="11"/>
      <c r="M1062" s="11"/>
      <c r="N1062" s="11"/>
      <c r="O1062" s="11"/>
      <c r="P1062" s="11"/>
      <c r="Q1062" s="11"/>
    </row>
    <row r="1063" spans="10:17">
      <c r="J1063" s="11"/>
      <c r="K1063" s="1533"/>
      <c r="L1063" s="11"/>
      <c r="M1063" s="11"/>
      <c r="N1063" s="11"/>
      <c r="O1063" s="11"/>
      <c r="P1063" s="11"/>
      <c r="Q1063" s="11"/>
    </row>
    <row r="1064" spans="10:17">
      <c r="J1064" s="11"/>
      <c r="K1064" s="1533"/>
      <c r="L1064" s="11"/>
      <c r="M1064" s="11"/>
      <c r="N1064" s="11"/>
      <c r="O1064" s="11"/>
      <c r="P1064" s="11"/>
      <c r="Q1064" s="11"/>
    </row>
    <row r="1065" spans="10:17">
      <c r="J1065" s="11"/>
      <c r="K1065" s="1533"/>
      <c r="L1065" s="11"/>
      <c r="M1065" s="11"/>
      <c r="N1065" s="11"/>
      <c r="O1065" s="11"/>
      <c r="P1065" s="11"/>
      <c r="Q1065" s="11"/>
    </row>
    <row r="1066" spans="10:17">
      <c r="J1066" s="11"/>
      <c r="K1066" s="1533"/>
      <c r="L1066" s="11"/>
      <c r="M1066" s="11"/>
      <c r="N1066" s="11"/>
      <c r="O1066" s="11"/>
      <c r="P1066" s="11"/>
      <c r="Q1066" s="11"/>
    </row>
    <row r="1067" spans="10:17">
      <c r="J1067" s="11"/>
      <c r="K1067" s="1533"/>
      <c r="L1067" s="11"/>
      <c r="M1067" s="11"/>
      <c r="N1067" s="11"/>
      <c r="O1067" s="11"/>
      <c r="P1067" s="11"/>
      <c r="Q1067" s="11"/>
    </row>
    <row r="1068" spans="10:17">
      <c r="J1068" s="11"/>
      <c r="K1068" s="1533"/>
      <c r="L1068" s="11"/>
      <c r="M1068" s="11"/>
      <c r="N1068" s="11"/>
      <c r="O1068" s="11"/>
      <c r="P1068" s="11"/>
      <c r="Q1068" s="11"/>
    </row>
    <row r="1069" spans="10:17">
      <c r="J1069" s="11"/>
      <c r="K1069" s="1533"/>
      <c r="L1069" s="11"/>
      <c r="M1069" s="11"/>
      <c r="N1069" s="11"/>
      <c r="O1069" s="11"/>
      <c r="P1069" s="11"/>
      <c r="Q1069" s="11"/>
    </row>
    <row r="1070" spans="10:17">
      <c r="J1070" s="11"/>
      <c r="K1070" s="1533"/>
      <c r="L1070" s="11"/>
      <c r="M1070" s="11"/>
      <c r="N1070" s="11"/>
      <c r="O1070" s="11"/>
      <c r="P1070" s="11"/>
      <c r="Q1070" s="11"/>
    </row>
    <row r="1071" spans="10:17">
      <c r="J1071" s="11"/>
      <c r="K1071" s="1533"/>
      <c r="L1071" s="11"/>
      <c r="M1071" s="11"/>
      <c r="N1071" s="11"/>
      <c r="O1071" s="11"/>
      <c r="P1071" s="11"/>
      <c r="Q1071" s="11"/>
    </row>
    <row r="1072" spans="10:17">
      <c r="J1072" s="11"/>
      <c r="K1072" s="1533"/>
      <c r="L1072" s="11"/>
      <c r="M1072" s="11"/>
      <c r="N1072" s="11"/>
      <c r="O1072" s="11"/>
      <c r="P1072" s="11"/>
      <c r="Q1072" s="11"/>
    </row>
    <row r="1073" spans="10:17">
      <c r="J1073" s="11"/>
      <c r="K1073" s="1533"/>
      <c r="L1073" s="11"/>
      <c r="M1073" s="11"/>
      <c r="N1073" s="11"/>
      <c r="O1073" s="11"/>
      <c r="P1073" s="11"/>
      <c r="Q1073" s="11"/>
    </row>
    <row r="1074" spans="10:17">
      <c r="J1074" s="11"/>
      <c r="K1074" s="1533"/>
      <c r="L1074" s="11"/>
      <c r="M1074" s="11"/>
      <c r="N1074" s="11"/>
      <c r="O1074" s="11"/>
      <c r="P1074" s="11"/>
      <c r="Q1074" s="11"/>
    </row>
    <row r="1075" spans="10:17">
      <c r="J1075" s="11"/>
      <c r="K1075" s="1533"/>
      <c r="L1075" s="11"/>
      <c r="M1075" s="11"/>
      <c r="N1075" s="11"/>
      <c r="O1075" s="11"/>
      <c r="P1075" s="11"/>
      <c r="Q1075" s="11"/>
    </row>
    <row r="1076" spans="10:17">
      <c r="J1076" s="11"/>
      <c r="K1076" s="1533"/>
      <c r="L1076" s="11"/>
      <c r="M1076" s="11"/>
      <c r="N1076" s="11"/>
      <c r="O1076" s="11"/>
      <c r="P1076" s="11"/>
      <c r="Q1076" s="11"/>
    </row>
    <row r="1077" spans="10:17">
      <c r="J1077" s="11"/>
      <c r="K1077" s="1533"/>
      <c r="L1077" s="11"/>
      <c r="M1077" s="11"/>
      <c r="N1077" s="11"/>
      <c r="O1077" s="11"/>
      <c r="P1077" s="11"/>
      <c r="Q1077" s="11"/>
    </row>
    <row r="1078" spans="10:17">
      <c r="J1078" s="11"/>
      <c r="K1078" s="1533"/>
      <c r="L1078" s="11"/>
      <c r="M1078" s="11"/>
      <c r="N1078" s="11"/>
      <c r="O1078" s="11"/>
      <c r="P1078" s="11"/>
      <c r="Q1078" s="11"/>
    </row>
    <row r="1079" spans="10:17">
      <c r="J1079" s="11"/>
      <c r="K1079" s="1533"/>
      <c r="L1079" s="11"/>
      <c r="M1079" s="11"/>
      <c r="N1079" s="11"/>
      <c r="O1079" s="11"/>
      <c r="P1079" s="11"/>
      <c r="Q1079" s="11"/>
    </row>
    <row r="1080" spans="10:17">
      <c r="J1080" s="11"/>
      <c r="K1080" s="1533"/>
      <c r="L1080" s="11"/>
      <c r="M1080" s="11"/>
      <c r="N1080" s="11"/>
      <c r="O1080" s="11"/>
      <c r="P1080" s="11"/>
      <c r="Q1080" s="11"/>
    </row>
    <row r="1081" spans="10:17">
      <c r="J1081" s="11"/>
      <c r="K1081" s="1533"/>
      <c r="L1081" s="11"/>
      <c r="M1081" s="11"/>
      <c r="N1081" s="11"/>
      <c r="O1081" s="11"/>
      <c r="P1081" s="11"/>
      <c r="Q1081" s="11"/>
    </row>
    <row r="1082" spans="10:17">
      <c r="J1082" s="11"/>
      <c r="K1082" s="1533"/>
      <c r="L1082" s="11"/>
      <c r="M1082" s="11"/>
      <c r="N1082" s="11"/>
      <c r="O1082" s="11"/>
      <c r="P1082" s="11"/>
      <c r="Q1082" s="11"/>
    </row>
    <row r="1083" spans="10:17">
      <c r="J1083" s="11"/>
      <c r="K1083" s="1533"/>
      <c r="L1083" s="11"/>
      <c r="M1083" s="11"/>
      <c r="N1083" s="11"/>
      <c r="O1083" s="11"/>
      <c r="P1083" s="11"/>
      <c r="Q1083" s="11"/>
    </row>
    <row r="1084" spans="10:17">
      <c r="J1084" s="11"/>
      <c r="K1084" s="1533"/>
      <c r="L1084" s="11"/>
      <c r="M1084" s="11"/>
      <c r="N1084" s="11"/>
      <c r="O1084" s="11"/>
      <c r="P1084" s="11"/>
      <c r="Q1084" s="11"/>
    </row>
    <row r="1085" spans="10:17">
      <c r="J1085" s="11"/>
      <c r="K1085" s="1533"/>
      <c r="L1085" s="11"/>
      <c r="M1085" s="11"/>
      <c r="N1085" s="11"/>
      <c r="O1085" s="11"/>
      <c r="P1085" s="11"/>
      <c r="Q1085" s="11"/>
    </row>
    <row r="1086" spans="10:17">
      <c r="J1086" s="11"/>
      <c r="K1086" s="1533"/>
      <c r="L1086" s="11"/>
      <c r="M1086" s="11"/>
      <c r="N1086" s="11"/>
      <c r="O1086" s="11"/>
      <c r="P1086" s="11"/>
      <c r="Q1086" s="11"/>
    </row>
    <row r="1087" spans="10:17">
      <c r="J1087" s="11"/>
      <c r="K1087" s="1533"/>
      <c r="L1087" s="11"/>
      <c r="M1087" s="11"/>
      <c r="N1087" s="11"/>
      <c r="O1087" s="11"/>
      <c r="P1087" s="11"/>
      <c r="Q1087" s="11"/>
    </row>
    <row r="1088" spans="10:17">
      <c r="J1088" s="11"/>
      <c r="K1088" s="1533"/>
      <c r="L1088" s="11"/>
      <c r="M1088" s="11"/>
      <c r="N1088" s="11"/>
      <c r="O1088" s="11"/>
      <c r="P1088" s="11"/>
      <c r="Q1088" s="11"/>
    </row>
    <row r="1089" spans="10:17">
      <c r="J1089" s="11"/>
      <c r="K1089" s="1533"/>
      <c r="L1089" s="11"/>
      <c r="M1089" s="11"/>
      <c r="N1089" s="11"/>
      <c r="O1089" s="11"/>
      <c r="P1089" s="11"/>
      <c r="Q1089" s="11"/>
    </row>
    <row r="1090" spans="10:17">
      <c r="J1090" s="11"/>
      <c r="K1090" s="1533"/>
      <c r="L1090" s="11"/>
      <c r="M1090" s="11"/>
      <c r="N1090" s="11"/>
      <c r="O1090" s="11"/>
      <c r="P1090" s="11"/>
      <c r="Q1090" s="11"/>
    </row>
    <row r="1091" spans="10:17">
      <c r="J1091" s="11"/>
      <c r="K1091" s="1533"/>
      <c r="L1091" s="11"/>
      <c r="M1091" s="11"/>
      <c r="N1091" s="11"/>
      <c r="O1091" s="11"/>
      <c r="P1091" s="11"/>
      <c r="Q1091" s="11"/>
    </row>
    <row r="1092" spans="10:17">
      <c r="J1092" s="11"/>
      <c r="K1092" s="1533"/>
      <c r="L1092" s="11"/>
      <c r="M1092" s="11"/>
      <c r="N1092" s="11"/>
      <c r="O1092" s="11"/>
      <c r="P1092" s="11"/>
      <c r="Q1092" s="11"/>
    </row>
    <row r="1093" spans="10:17">
      <c r="J1093" s="11"/>
      <c r="K1093" s="1533"/>
      <c r="L1093" s="11"/>
      <c r="M1093" s="11"/>
      <c r="N1093" s="11"/>
      <c r="O1093" s="11"/>
      <c r="P1093" s="11"/>
      <c r="Q1093" s="11"/>
    </row>
    <row r="1094" spans="10:17">
      <c r="J1094" s="11"/>
      <c r="K1094" s="1533"/>
      <c r="L1094" s="11"/>
      <c r="M1094" s="11"/>
      <c r="N1094" s="11"/>
      <c r="O1094" s="11"/>
      <c r="P1094" s="11"/>
      <c r="Q1094" s="11"/>
    </row>
    <row r="1095" spans="10:17">
      <c r="J1095" s="11"/>
      <c r="K1095" s="1533"/>
      <c r="L1095" s="11"/>
      <c r="M1095" s="11"/>
      <c r="N1095" s="11"/>
      <c r="O1095" s="11"/>
      <c r="P1095" s="11"/>
      <c r="Q1095" s="11"/>
    </row>
    <row r="1096" spans="10:17">
      <c r="J1096" s="11"/>
      <c r="K1096" s="1533"/>
      <c r="L1096" s="11"/>
      <c r="M1096" s="11"/>
      <c r="N1096" s="11"/>
      <c r="O1096" s="11"/>
      <c r="P1096" s="11"/>
      <c r="Q1096" s="11"/>
    </row>
    <row r="1097" spans="10:17">
      <c r="J1097" s="11"/>
      <c r="K1097" s="1533"/>
      <c r="L1097" s="11"/>
      <c r="M1097" s="11"/>
      <c r="N1097" s="11"/>
      <c r="O1097" s="11"/>
      <c r="P1097" s="11"/>
      <c r="Q1097" s="11"/>
    </row>
    <row r="1098" spans="10:17">
      <c r="J1098" s="11"/>
      <c r="K1098" s="1533"/>
      <c r="L1098" s="11"/>
      <c r="M1098" s="11"/>
      <c r="N1098" s="11"/>
      <c r="O1098" s="11"/>
      <c r="P1098" s="11"/>
      <c r="Q1098" s="11"/>
    </row>
    <row r="1099" spans="10:17">
      <c r="J1099" s="11"/>
      <c r="K1099" s="1533"/>
      <c r="L1099" s="11"/>
      <c r="M1099" s="11"/>
      <c r="N1099" s="11"/>
      <c r="O1099" s="11"/>
      <c r="P1099" s="11"/>
      <c r="Q1099" s="11"/>
    </row>
    <row r="1100" spans="10:17">
      <c r="J1100" s="11"/>
      <c r="K1100" s="1533"/>
      <c r="L1100" s="11"/>
      <c r="M1100" s="11"/>
      <c r="N1100" s="11"/>
      <c r="O1100" s="11"/>
      <c r="P1100" s="11"/>
      <c r="Q1100" s="11"/>
    </row>
    <row r="1101" spans="10:17">
      <c r="J1101" s="11"/>
      <c r="K1101" s="1533"/>
      <c r="L1101" s="11"/>
      <c r="M1101" s="11"/>
      <c r="N1101" s="11"/>
      <c r="O1101" s="11"/>
      <c r="P1101" s="11"/>
      <c r="Q1101" s="11"/>
    </row>
    <row r="1102" spans="10:17">
      <c r="J1102" s="11"/>
      <c r="K1102" s="1533"/>
      <c r="L1102" s="11"/>
      <c r="M1102" s="11"/>
      <c r="N1102" s="11"/>
      <c r="O1102" s="11"/>
      <c r="P1102" s="11"/>
      <c r="Q1102" s="11"/>
    </row>
    <row r="1103" spans="10:17">
      <c r="J1103" s="11"/>
      <c r="K1103" s="1533"/>
      <c r="L1103" s="11"/>
      <c r="M1103" s="11"/>
      <c r="N1103" s="11"/>
      <c r="O1103" s="11"/>
      <c r="P1103" s="11"/>
      <c r="Q1103" s="11"/>
    </row>
    <row r="1104" spans="10:17">
      <c r="J1104" s="11"/>
      <c r="K1104" s="1533"/>
      <c r="L1104" s="11"/>
      <c r="M1104" s="11"/>
      <c r="N1104" s="11"/>
      <c r="O1104" s="11"/>
      <c r="P1104" s="11"/>
      <c r="Q1104" s="11"/>
    </row>
    <row r="1105" spans="10:17">
      <c r="J1105" s="11"/>
      <c r="K1105" s="1533"/>
      <c r="L1105" s="11"/>
      <c r="M1105" s="11"/>
      <c r="N1105" s="11"/>
      <c r="O1105" s="11"/>
      <c r="P1105" s="11"/>
      <c r="Q1105" s="11"/>
    </row>
    <row r="1106" spans="10:17">
      <c r="J1106" s="11"/>
      <c r="K1106" s="1533"/>
      <c r="L1106" s="11"/>
      <c r="M1106" s="11"/>
      <c r="N1106" s="11"/>
      <c r="O1106" s="11"/>
      <c r="P1106" s="11"/>
      <c r="Q1106" s="11"/>
    </row>
    <row r="1107" spans="10:17">
      <c r="J1107" s="11"/>
      <c r="K1107" s="1533"/>
      <c r="L1107" s="11"/>
      <c r="M1107" s="11"/>
      <c r="N1107" s="11"/>
      <c r="O1107" s="11"/>
      <c r="P1107" s="11"/>
      <c r="Q1107" s="11"/>
    </row>
    <row r="1108" spans="10:17">
      <c r="J1108" s="11"/>
      <c r="K1108" s="1533"/>
      <c r="L1108" s="11"/>
      <c r="M1108" s="11"/>
      <c r="N1108" s="11"/>
      <c r="O1108" s="11"/>
      <c r="P1108" s="11"/>
      <c r="Q1108" s="11"/>
    </row>
    <row r="1109" spans="10:17">
      <c r="J1109" s="11"/>
      <c r="K1109" s="1533"/>
      <c r="L1109" s="11"/>
      <c r="M1109" s="11"/>
      <c r="N1109" s="11"/>
      <c r="O1109" s="11"/>
      <c r="P1109" s="11"/>
      <c r="Q1109" s="11"/>
    </row>
    <row r="1110" spans="10:17">
      <c r="J1110" s="11"/>
      <c r="K1110" s="1533"/>
      <c r="L1110" s="11"/>
      <c r="M1110" s="11"/>
      <c r="N1110" s="11"/>
      <c r="O1110" s="11"/>
      <c r="P1110" s="11"/>
      <c r="Q1110" s="11"/>
    </row>
    <row r="1111" spans="10:17">
      <c r="J1111" s="11"/>
      <c r="K1111" s="1533"/>
      <c r="L1111" s="11"/>
      <c r="M1111" s="11"/>
      <c r="N1111" s="11"/>
      <c r="O1111" s="11"/>
      <c r="P1111" s="11"/>
      <c r="Q1111" s="11"/>
    </row>
    <row r="1112" spans="10:17">
      <c r="J1112" s="11"/>
      <c r="K1112" s="1533"/>
      <c r="L1112" s="11"/>
      <c r="M1112" s="11"/>
      <c r="N1112" s="11"/>
      <c r="O1112" s="11"/>
      <c r="P1112" s="11"/>
      <c r="Q1112" s="11"/>
    </row>
    <row r="1113" spans="10:17">
      <c r="J1113" s="11"/>
      <c r="K1113" s="1533"/>
      <c r="L1113" s="11"/>
      <c r="M1113" s="11"/>
      <c r="N1113" s="11"/>
      <c r="O1113" s="11"/>
      <c r="P1113" s="11"/>
      <c r="Q1113" s="11"/>
    </row>
    <row r="1114" spans="10:17">
      <c r="J1114" s="11"/>
      <c r="K1114" s="1533"/>
      <c r="L1114" s="11"/>
      <c r="M1114" s="11"/>
      <c r="N1114" s="11"/>
      <c r="O1114" s="11"/>
      <c r="P1114" s="11"/>
      <c r="Q1114" s="11"/>
    </row>
    <row r="1115" spans="10:17">
      <c r="J1115" s="11"/>
      <c r="K1115" s="1533"/>
      <c r="L1115" s="11"/>
      <c r="M1115" s="11"/>
      <c r="N1115" s="11"/>
      <c r="O1115" s="11"/>
      <c r="P1115" s="11"/>
      <c r="Q1115" s="11"/>
    </row>
    <row r="1116" spans="10:17">
      <c r="J1116" s="11"/>
      <c r="K1116" s="1533"/>
      <c r="L1116" s="11"/>
      <c r="M1116" s="11"/>
      <c r="N1116" s="11"/>
      <c r="O1116" s="11"/>
      <c r="P1116" s="11"/>
      <c r="Q1116" s="11"/>
    </row>
    <row r="1117" spans="10:17">
      <c r="J1117" s="11"/>
      <c r="K1117" s="1533"/>
      <c r="L1117" s="11"/>
      <c r="M1117" s="11"/>
      <c r="N1117" s="11"/>
      <c r="O1117" s="11"/>
      <c r="P1117" s="11"/>
      <c r="Q1117" s="11"/>
    </row>
    <row r="1118" spans="10:17">
      <c r="J1118" s="11"/>
      <c r="K1118" s="1533"/>
      <c r="L1118" s="11"/>
      <c r="M1118" s="11"/>
      <c r="N1118" s="11"/>
      <c r="O1118" s="11"/>
      <c r="P1118" s="11"/>
      <c r="Q1118" s="11"/>
    </row>
    <row r="1119" spans="10:17">
      <c r="J1119" s="11"/>
      <c r="K1119" s="1533"/>
      <c r="L1119" s="11"/>
      <c r="M1119" s="11"/>
      <c r="N1119" s="11"/>
      <c r="O1119" s="11"/>
      <c r="P1119" s="11"/>
      <c r="Q1119" s="11"/>
    </row>
    <row r="1120" spans="10:17">
      <c r="J1120" s="11"/>
      <c r="K1120" s="1533"/>
      <c r="L1120" s="11"/>
      <c r="M1120" s="11"/>
      <c r="N1120" s="11"/>
      <c r="O1120" s="11"/>
      <c r="P1120" s="11"/>
      <c r="Q1120" s="11"/>
    </row>
    <row r="1121" spans="10:17">
      <c r="J1121" s="11"/>
      <c r="K1121" s="1533"/>
      <c r="L1121" s="11"/>
      <c r="M1121" s="11"/>
      <c r="N1121" s="11"/>
      <c r="O1121" s="11"/>
      <c r="P1121" s="11"/>
      <c r="Q1121" s="11"/>
    </row>
    <row r="1122" spans="10:17">
      <c r="J1122" s="11"/>
      <c r="K1122" s="1533"/>
      <c r="L1122" s="11"/>
      <c r="M1122" s="11"/>
      <c r="N1122" s="11"/>
      <c r="O1122" s="11"/>
      <c r="P1122" s="11"/>
      <c r="Q1122" s="11"/>
    </row>
    <row r="1123" spans="10:17">
      <c r="J1123" s="11"/>
      <c r="K1123" s="1533"/>
      <c r="L1123" s="11"/>
      <c r="M1123" s="11"/>
      <c r="N1123" s="11"/>
      <c r="O1123" s="11"/>
      <c r="P1123" s="11"/>
      <c r="Q1123" s="11"/>
    </row>
    <row r="1124" spans="10:17">
      <c r="J1124" s="11"/>
      <c r="K1124" s="1533"/>
      <c r="L1124" s="11"/>
      <c r="M1124" s="11"/>
      <c r="N1124" s="11"/>
      <c r="O1124" s="11"/>
      <c r="P1124" s="11"/>
      <c r="Q1124" s="11"/>
    </row>
    <row r="1125" spans="10:17">
      <c r="J1125" s="11"/>
      <c r="K1125" s="1533"/>
      <c r="L1125" s="11"/>
      <c r="M1125" s="11"/>
      <c r="N1125" s="11"/>
      <c r="O1125" s="11"/>
      <c r="P1125" s="11"/>
      <c r="Q1125" s="11"/>
    </row>
    <row r="1126" spans="10:17">
      <c r="J1126" s="11"/>
      <c r="K1126" s="1533"/>
      <c r="L1126" s="11"/>
      <c r="M1126" s="11"/>
      <c r="N1126" s="11"/>
      <c r="O1126" s="11"/>
      <c r="P1126" s="11"/>
      <c r="Q1126" s="11"/>
    </row>
    <row r="1127" spans="10:17">
      <c r="J1127" s="11"/>
      <c r="K1127" s="1533"/>
      <c r="L1127" s="11"/>
      <c r="M1127" s="11"/>
      <c r="N1127" s="11"/>
      <c r="O1127" s="11"/>
      <c r="P1127" s="11"/>
      <c r="Q1127" s="11"/>
    </row>
    <row r="1128" spans="10:17">
      <c r="J1128" s="11"/>
      <c r="K1128" s="1533"/>
      <c r="L1128" s="11"/>
      <c r="M1128" s="11"/>
      <c r="N1128" s="11"/>
      <c r="O1128" s="11"/>
      <c r="P1128" s="11"/>
      <c r="Q1128" s="11"/>
    </row>
    <row r="1129" spans="10:17">
      <c r="J1129" s="11"/>
      <c r="K1129" s="1533"/>
      <c r="L1129" s="11"/>
      <c r="M1129" s="11"/>
      <c r="N1129" s="11"/>
      <c r="O1129" s="11"/>
      <c r="P1129" s="11"/>
      <c r="Q1129" s="11"/>
    </row>
    <row r="1130" spans="10:17">
      <c r="J1130" s="11"/>
      <c r="K1130" s="1533"/>
      <c r="L1130" s="11"/>
      <c r="M1130" s="11"/>
      <c r="N1130" s="11"/>
      <c r="O1130" s="11"/>
      <c r="P1130" s="11"/>
      <c r="Q1130" s="11"/>
    </row>
    <row r="1131" spans="10:17">
      <c r="J1131" s="11"/>
      <c r="K1131" s="1533"/>
      <c r="L1131" s="11"/>
      <c r="M1131" s="11"/>
      <c r="N1131" s="11"/>
      <c r="O1131" s="11"/>
      <c r="P1131" s="11"/>
      <c r="Q1131" s="11"/>
    </row>
    <row r="1132" spans="10:17">
      <c r="J1132" s="11"/>
      <c r="K1132" s="1533"/>
      <c r="L1132" s="11"/>
      <c r="M1132" s="11"/>
      <c r="N1132" s="11"/>
      <c r="O1132" s="11"/>
      <c r="P1132" s="11"/>
      <c r="Q1132" s="11"/>
    </row>
    <row r="1133" spans="10:17">
      <c r="J1133" s="11"/>
      <c r="K1133" s="1533"/>
      <c r="L1133" s="11"/>
      <c r="M1133" s="11"/>
      <c r="N1133" s="11"/>
      <c r="O1133" s="11"/>
      <c r="P1133" s="11"/>
      <c r="Q1133" s="11"/>
    </row>
    <row r="1134" spans="10:17">
      <c r="J1134" s="11"/>
      <c r="K1134" s="1533"/>
      <c r="L1134" s="11"/>
      <c r="M1134" s="11"/>
      <c r="N1134" s="11"/>
      <c r="O1134" s="11"/>
      <c r="P1134" s="11"/>
      <c r="Q1134" s="11"/>
    </row>
    <row r="1135" spans="10:17">
      <c r="J1135" s="11"/>
      <c r="K1135" s="1533"/>
      <c r="L1135" s="11"/>
      <c r="M1135" s="11"/>
      <c r="N1135" s="11"/>
      <c r="O1135" s="11"/>
      <c r="P1135" s="11"/>
      <c r="Q1135" s="11"/>
    </row>
    <row r="1136" spans="10:17">
      <c r="J1136" s="11"/>
      <c r="K1136" s="1533"/>
      <c r="L1136" s="11"/>
      <c r="M1136" s="11"/>
      <c r="N1136" s="11"/>
      <c r="O1136" s="11"/>
      <c r="P1136" s="11"/>
      <c r="Q1136" s="11"/>
    </row>
    <row r="1137" spans="10:17">
      <c r="J1137" s="11"/>
      <c r="K1137" s="1533"/>
      <c r="L1137" s="11"/>
      <c r="M1137" s="11"/>
      <c r="N1137" s="11"/>
      <c r="O1137" s="11"/>
      <c r="P1137" s="11"/>
      <c r="Q1137" s="11"/>
    </row>
    <row r="1138" spans="10:17">
      <c r="J1138" s="11"/>
      <c r="K1138" s="1533"/>
      <c r="L1138" s="11"/>
      <c r="M1138" s="11"/>
      <c r="N1138" s="11"/>
      <c r="O1138" s="11"/>
      <c r="P1138" s="11"/>
      <c r="Q1138" s="11"/>
    </row>
    <row r="1139" spans="10:17">
      <c r="J1139" s="11"/>
      <c r="K1139" s="1533"/>
      <c r="L1139" s="11"/>
      <c r="M1139" s="11"/>
      <c r="N1139" s="11"/>
      <c r="O1139" s="11"/>
      <c r="P1139" s="11"/>
      <c r="Q1139" s="11"/>
    </row>
    <row r="1140" spans="10:17">
      <c r="J1140" s="11"/>
      <c r="K1140" s="1533"/>
      <c r="L1140" s="11"/>
      <c r="M1140" s="11"/>
      <c r="N1140" s="11"/>
      <c r="O1140" s="11"/>
      <c r="P1140" s="11"/>
      <c r="Q1140" s="11"/>
    </row>
    <row r="1141" spans="10:17">
      <c r="J1141" s="11"/>
      <c r="K1141" s="1533"/>
      <c r="L1141" s="11"/>
      <c r="M1141" s="11"/>
      <c r="N1141" s="11"/>
      <c r="O1141" s="11"/>
      <c r="P1141" s="11"/>
      <c r="Q1141" s="11"/>
    </row>
    <row r="1142" spans="10:17">
      <c r="J1142" s="11"/>
      <c r="K1142" s="1533"/>
      <c r="L1142" s="11"/>
      <c r="M1142" s="11"/>
      <c r="N1142" s="11"/>
      <c r="O1142" s="11"/>
      <c r="P1142" s="11"/>
      <c r="Q1142" s="11"/>
    </row>
    <row r="1143" spans="10:17">
      <c r="J1143" s="11"/>
      <c r="K1143" s="1533"/>
      <c r="L1143" s="11"/>
      <c r="M1143" s="11"/>
      <c r="N1143" s="11"/>
      <c r="O1143" s="11"/>
      <c r="P1143" s="11"/>
      <c r="Q1143" s="11"/>
    </row>
    <row r="1144" spans="10:17">
      <c r="J1144" s="11"/>
      <c r="K1144" s="1533"/>
      <c r="L1144" s="11"/>
      <c r="M1144" s="11"/>
      <c r="N1144" s="11"/>
      <c r="O1144" s="11"/>
      <c r="P1144" s="11"/>
      <c r="Q1144" s="11"/>
    </row>
    <row r="1145" spans="10:17">
      <c r="J1145" s="11"/>
      <c r="K1145" s="1533"/>
      <c r="L1145" s="11"/>
      <c r="M1145" s="11"/>
      <c r="N1145" s="11"/>
      <c r="O1145" s="11"/>
      <c r="P1145" s="11"/>
      <c r="Q1145" s="11"/>
    </row>
    <row r="1146" spans="10:17">
      <c r="J1146" s="11"/>
      <c r="K1146" s="1533"/>
      <c r="L1146" s="11"/>
      <c r="M1146" s="11"/>
      <c r="N1146" s="11"/>
      <c r="O1146" s="11"/>
      <c r="P1146" s="11"/>
      <c r="Q1146" s="11"/>
    </row>
    <row r="1147" spans="10:17">
      <c r="J1147" s="11"/>
      <c r="K1147" s="1533"/>
      <c r="L1147" s="11"/>
      <c r="M1147" s="11"/>
      <c r="N1147" s="11"/>
      <c r="O1147" s="11"/>
      <c r="P1147" s="11"/>
      <c r="Q1147" s="11"/>
    </row>
    <row r="1148" spans="10:17">
      <c r="J1148" s="11"/>
      <c r="K1148" s="1533"/>
      <c r="L1148" s="11"/>
      <c r="M1148" s="11"/>
      <c r="N1148" s="11"/>
      <c r="O1148" s="11"/>
      <c r="P1148" s="11"/>
      <c r="Q1148" s="11"/>
    </row>
    <row r="1149" spans="10:17">
      <c r="J1149" s="11"/>
      <c r="K1149" s="1533"/>
      <c r="L1149" s="11"/>
      <c r="M1149" s="11"/>
      <c r="N1149" s="11"/>
      <c r="O1149" s="11"/>
      <c r="P1149" s="11"/>
      <c r="Q1149" s="11"/>
    </row>
    <row r="1150" spans="10:17">
      <c r="J1150" s="11"/>
      <c r="K1150" s="1533"/>
      <c r="L1150" s="11"/>
      <c r="M1150" s="11"/>
      <c r="N1150" s="11"/>
      <c r="O1150" s="11"/>
      <c r="P1150" s="11"/>
      <c r="Q1150" s="11"/>
    </row>
    <row r="1151" spans="10:17">
      <c r="J1151" s="11"/>
      <c r="K1151" s="1533"/>
      <c r="L1151" s="11"/>
      <c r="M1151" s="11"/>
      <c r="N1151" s="11"/>
      <c r="O1151" s="11"/>
      <c r="P1151" s="11"/>
      <c r="Q1151" s="11"/>
    </row>
    <row r="1152" spans="10:17">
      <c r="J1152" s="11"/>
      <c r="K1152" s="1533"/>
      <c r="L1152" s="11"/>
      <c r="M1152" s="11"/>
      <c r="N1152" s="11"/>
      <c r="O1152" s="11"/>
      <c r="P1152" s="11"/>
      <c r="Q1152" s="11"/>
    </row>
    <row r="1153" spans="10:17">
      <c r="J1153" s="11"/>
      <c r="K1153" s="1533"/>
      <c r="L1153" s="11"/>
      <c r="M1153" s="11"/>
      <c r="N1153" s="11"/>
      <c r="O1153" s="11"/>
      <c r="P1153" s="11"/>
      <c r="Q1153" s="11"/>
    </row>
    <row r="1154" spans="10:17">
      <c r="J1154" s="11"/>
      <c r="K1154" s="1533"/>
      <c r="L1154" s="11"/>
      <c r="M1154" s="11"/>
      <c r="N1154" s="11"/>
      <c r="O1154" s="11"/>
      <c r="P1154" s="11"/>
      <c r="Q1154" s="11"/>
    </row>
    <row r="1155" spans="10:17">
      <c r="J1155" s="11"/>
      <c r="K1155" s="1533"/>
      <c r="L1155" s="11"/>
      <c r="M1155" s="11"/>
      <c r="N1155" s="11"/>
      <c r="O1155" s="11"/>
      <c r="P1155" s="11"/>
      <c r="Q1155" s="11"/>
    </row>
    <row r="1156" spans="10:17">
      <c r="J1156" s="11"/>
      <c r="K1156" s="1533"/>
      <c r="L1156" s="11"/>
      <c r="M1156" s="11"/>
      <c r="N1156" s="11"/>
      <c r="O1156" s="11"/>
      <c r="P1156" s="11"/>
      <c r="Q1156" s="11"/>
    </row>
    <row r="1157" spans="10:17">
      <c r="J1157" s="11"/>
      <c r="K1157" s="1533"/>
      <c r="L1157" s="11"/>
      <c r="M1157" s="11"/>
      <c r="N1157" s="11"/>
      <c r="O1157" s="11"/>
      <c r="P1157" s="11"/>
      <c r="Q1157" s="11"/>
    </row>
    <row r="1158" spans="10:17">
      <c r="J1158" s="11"/>
      <c r="K1158" s="1533"/>
      <c r="L1158" s="11"/>
      <c r="M1158" s="11"/>
      <c r="N1158" s="11"/>
      <c r="O1158" s="11"/>
      <c r="P1158" s="11"/>
      <c r="Q1158" s="11"/>
    </row>
    <row r="1159" spans="10:17">
      <c r="J1159" s="11"/>
      <c r="K1159" s="1533"/>
      <c r="L1159" s="11"/>
      <c r="M1159" s="11"/>
      <c r="N1159" s="11"/>
      <c r="O1159" s="11"/>
      <c r="P1159" s="11"/>
      <c r="Q1159" s="11"/>
    </row>
    <row r="1160" spans="10:17">
      <c r="J1160" s="11"/>
      <c r="K1160" s="1533"/>
      <c r="L1160" s="11"/>
      <c r="M1160" s="11"/>
      <c r="N1160" s="11"/>
      <c r="O1160" s="11"/>
      <c r="P1160" s="11"/>
      <c r="Q1160" s="11"/>
    </row>
    <row r="1161" spans="10:17">
      <c r="J1161" s="11"/>
      <c r="K1161" s="1533"/>
      <c r="L1161" s="11"/>
      <c r="M1161" s="11"/>
      <c r="N1161" s="11"/>
      <c r="O1161" s="11"/>
      <c r="P1161" s="11"/>
      <c r="Q1161" s="11"/>
    </row>
    <row r="1162" spans="10:17">
      <c r="J1162" s="11"/>
      <c r="K1162" s="1533"/>
      <c r="L1162" s="11"/>
      <c r="M1162" s="11"/>
      <c r="N1162" s="11"/>
      <c r="O1162" s="11"/>
      <c r="P1162" s="11"/>
      <c r="Q1162" s="11"/>
    </row>
    <row r="1163" spans="10:17">
      <c r="J1163" s="11"/>
      <c r="K1163" s="1533"/>
      <c r="L1163" s="11"/>
      <c r="M1163" s="11"/>
      <c r="N1163" s="11"/>
      <c r="O1163" s="11"/>
      <c r="P1163" s="11"/>
      <c r="Q1163" s="11"/>
    </row>
    <row r="1164" spans="10:17">
      <c r="J1164" s="11"/>
      <c r="K1164" s="1533"/>
      <c r="L1164" s="11"/>
      <c r="M1164" s="11"/>
      <c r="N1164" s="11"/>
      <c r="O1164" s="11"/>
      <c r="P1164" s="11"/>
      <c r="Q1164" s="11"/>
    </row>
    <row r="1165" spans="10:17">
      <c r="J1165" s="11"/>
      <c r="K1165" s="1533"/>
      <c r="L1165" s="11"/>
      <c r="M1165" s="11"/>
      <c r="N1165" s="11"/>
      <c r="O1165" s="11"/>
      <c r="P1165" s="11"/>
      <c r="Q1165" s="11"/>
    </row>
    <row r="1166" spans="10:17">
      <c r="J1166" s="11"/>
      <c r="K1166" s="1533"/>
      <c r="L1166" s="11"/>
      <c r="M1166" s="11"/>
      <c r="N1166" s="11"/>
      <c r="O1166" s="11"/>
      <c r="P1166" s="11"/>
      <c r="Q1166" s="11"/>
    </row>
    <row r="1167" spans="10:17">
      <c r="J1167" s="11"/>
      <c r="K1167" s="1533"/>
      <c r="L1167" s="11"/>
      <c r="M1167" s="11"/>
      <c r="N1167" s="11"/>
      <c r="O1167" s="11"/>
      <c r="P1167" s="11"/>
      <c r="Q1167" s="11"/>
    </row>
    <row r="1168" spans="10:17">
      <c r="J1168" s="11"/>
      <c r="K1168" s="1533"/>
      <c r="L1168" s="11"/>
      <c r="M1168" s="11"/>
      <c r="N1168" s="11"/>
      <c r="O1168" s="11"/>
      <c r="P1168" s="11"/>
      <c r="Q1168" s="11"/>
    </row>
    <row r="1169" spans="10:17">
      <c r="J1169" s="11"/>
      <c r="K1169" s="1533"/>
      <c r="L1169" s="11"/>
      <c r="M1169" s="11"/>
      <c r="N1169" s="11"/>
      <c r="O1169" s="11"/>
      <c r="P1169" s="11"/>
      <c r="Q1169" s="11"/>
    </row>
    <row r="1170" spans="10:17">
      <c r="J1170" s="11"/>
      <c r="K1170" s="1533"/>
      <c r="L1170" s="11"/>
      <c r="M1170" s="11"/>
      <c r="N1170" s="11"/>
      <c r="O1170" s="11"/>
      <c r="P1170" s="11"/>
      <c r="Q1170" s="11"/>
    </row>
    <row r="1171" spans="10:17">
      <c r="J1171" s="11"/>
      <c r="K1171" s="1533"/>
      <c r="L1171" s="11"/>
      <c r="M1171" s="11"/>
      <c r="N1171" s="11"/>
      <c r="O1171" s="11"/>
      <c r="P1171" s="11"/>
      <c r="Q1171" s="11"/>
    </row>
    <row r="1172" spans="10:17">
      <c r="J1172" s="11"/>
      <c r="K1172" s="1533"/>
      <c r="L1172" s="11"/>
      <c r="M1172" s="11"/>
      <c r="N1172" s="11"/>
      <c r="O1172" s="11"/>
      <c r="P1172" s="11"/>
      <c r="Q1172" s="11"/>
    </row>
    <row r="1173" spans="10:17">
      <c r="J1173" s="11"/>
      <c r="K1173" s="1533"/>
      <c r="L1173" s="11"/>
      <c r="M1173" s="11"/>
      <c r="N1173" s="11"/>
      <c r="O1173" s="11"/>
      <c r="P1173" s="11"/>
      <c r="Q1173" s="11"/>
    </row>
    <row r="1174" spans="10:17">
      <c r="J1174" s="11"/>
      <c r="K1174" s="1533"/>
      <c r="L1174" s="11"/>
      <c r="M1174" s="11"/>
      <c r="N1174" s="11"/>
      <c r="O1174" s="11"/>
      <c r="P1174" s="11"/>
      <c r="Q1174" s="11"/>
    </row>
    <row r="1175" spans="10:17">
      <c r="J1175" s="11"/>
      <c r="K1175" s="1533"/>
      <c r="L1175" s="11"/>
      <c r="M1175" s="11"/>
      <c r="N1175" s="11"/>
      <c r="O1175" s="11"/>
      <c r="P1175" s="11"/>
      <c r="Q1175" s="11"/>
    </row>
    <row r="1176" spans="10:17">
      <c r="J1176" s="11"/>
      <c r="K1176" s="1533"/>
      <c r="L1176" s="11"/>
      <c r="M1176" s="11"/>
      <c r="N1176" s="11"/>
      <c r="O1176" s="11"/>
      <c r="P1176" s="11"/>
      <c r="Q1176" s="11"/>
    </row>
    <row r="1177" spans="10:17">
      <c r="J1177" s="11"/>
      <c r="K1177" s="1533"/>
      <c r="L1177" s="11"/>
      <c r="M1177" s="11"/>
      <c r="N1177" s="11"/>
      <c r="O1177" s="11"/>
      <c r="P1177" s="11"/>
      <c r="Q1177" s="11"/>
    </row>
    <row r="1178" spans="10:17">
      <c r="J1178" s="11"/>
      <c r="K1178" s="1533"/>
      <c r="L1178" s="11"/>
      <c r="M1178" s="11"/>
      <c r="N1178" s="11"/>
      <c r="O1178" s="11"/>
      <c r="P1178" s="11"/>
      <c r="Q1178" s="11"/>
    </row>
    <row r="1179" spans="10:17">
      <c r="J1179" s="11"/>
      <c r="K1179" s="1533"/>
      <c r="L1179" s="11"/>
      <c r="M1179" s="11"/>
      <c r="N1179" s="11"/>
      <c r="O1179" s="11"/>
      <c r="P1179" s="11"/>
      <c r="Q1179" s="11"/>
    </row>
    <row r="1180" spans="10:17">
      <c r="J1180" s="11"/>
      <c r="K1180" s="1533"/>
      <c r="L1180" s="11"/>
      <c r="M1180" s="11"/>
      <c r="N1180" s="11"/>
      <c r="O1180" s="11"/>
      <c r="P1180" s="11"/>
      <c r="Q1180" s="11"/>
    </row>
    <row r="1181" spans="10:17">
      <c r="J1181" s="11"/>
      <c r="K1181" s="1533"/>
      <c r="L1181" s="11"/>
      <c r="M1181" s="11"/>
      <c r="N1181" s="11"/>
      <c r="O1181" s="11"/>
      <c r="P1181" s="11"/>
      <c r="Q1181" s="11"/>
    </row>
    <row r="1182" spans="10:17">
      <c r="J1182" s="11"/>
      <c r="K1182" s="1533"/>
      <c r="L1182" s="11"/>
      <c r="M1182" s="11"/>
      <c r="N1182" s="11"/>
      <c r="O1182" s="11"/>
      <c r="P1182" s="11"/>
      <c r="Q1182" s="11"/>
    </row>
    <row r="1183" spans="10:17">
      <c r="J1183" s="11"/>
      <c r="K1183" s="1533"/>
      <c r="L1183" s="11"/>
      <c r="M1183" s="11"/>
      <c r="N1183" s="11"/>
      <c r="O1183" s="11"/>
      <c r="P1183" s="11"/>
      <c r="Q1183" s="11"/>
    </row>
    <row r="1184" spans="10:17">
      <c r="J1184" s="11"/>
      <c r="K1184" s="1533"/>
      <c r="L1184" s="11"/>
      <c r="M1184" s="11"/>
      <c r="N1184" s="11"/>
      <c r="O1184" s="11"/>
      <c r="P1184" s="11"/>
      <c r="Q1184" s="11"/>
    </row>
    <row r="1185" spans="10:17">
      <c r="J1185" s="11"/>
      <c r="K1185" s="1533"/>
      <c r="L1185" s="11"/>
      <c r="M1185" s="11"/>
      <c r="N1185" s="11"/>
      <c r="O1185" s="11"/>
      <c r="P1185" s="11"/>
      <c r="Q1185" s="11"/>
    </row>
    <row r="1186" spans="10:17">
      <c r="J1186" s="11"/>
      <c r="K1186" s="1533"/>
      <c r="L1186" s="11"/>
      <c r="M1186" s="11"/>
      <c r="N1186" s="11"/>
      <c r="O1186" s="11"/>
      <c r="P1186" s="11"/>
      <c r="Q1186" s="11"/>
    </row>
    <row r="1187" spans="10:17">
      <c r="J1187" s="11"/>
      <c r="K1187" s="1533"/>
      <c r="L1187" s="11"/>
      <c r="M1187" s="11"/>
      <c r="N1187" s="11"/>
      <c r="O1187" s="11"/>
      <c r="P1187" s="11"/>
      <c r="Q1187" s="11"/>
    </row>
    <row r="1188" spans="10:17">
      <c r="J1188" s="11"/>
      <c r="K1188" s="1533"/>
      <c r="L1188" s="11"/>
      <c r="M1188" s="11"/>
      <c r="N1188" s="11"/>
      <c r="O1188" s="11"/>
      <c r="P1188" s="11"/>
      <c r="Q1188" s="11"/>
    </row>
    <row r="1189" spans="10:17">
      <c r="J1189" s="11"/>
      <c r="K1189" s="1533"/>
      <c r="L1189" s="11"/>
      <c r="M1189" s="11"/>
      <c r="N1189" s="11"/>
      <c r="O1189" s="11"/>
      <c r="P1189" s="11"/>
      <c r="Q1189" s="11"/>
    </row>
    <row r="1190" spans="10:17">
      <c r="J1190" s="11"/>
      <c r="K1190" s="1533"/>
      <c r="L1190" s="11"/>
      <c r="M1190" s="11"/>
      <c r="N1190" s="11"/>
      <c r="O1190" s="11"/>
      <c r="P1190" s="11"/>
      <c r="Q1190" s="11"/>
    </row>
    <row r="1191" spans="10:17">
      <c r="J1191" s="11"/>
      <c r="K1191" s="1533"/>
      <c r="L1191" s="11"/>
      <c r="M1191" s="11"/>
      <c r="N1191" s="11"/>
      <c r="O1191" s="11"/>
      <c r="P1191" s="11"/>
      <c r="Q1191" s="11"/>
    </row>
    <row r="1192" spans="10:17">
      <c r="J1192" s="11"/>
      <c r="K1192" s="1533"/>
      <c r="L1192" s="11"/>
      <c r="M1192" s="11"/>
      <c r="N1192" s="11"/>
      <c r="O1192" s="11"/>
      <c r="P1192" s="11"/>
      <c r="Q1192" s="11"/>
    </row>
    <row r="1193" spans="10:17">
      <c r="J1193" s="11"/>
      <c r="K1193" s="1533"/>
      <c r="L1193" s="11"/>
      <c r="M1193" s="11"/>
      <c r="N1193" s="11"/>
      <c r="O1193" s="11"/>
      <c r="P1193" s="11"/>
      <c r="Q1193" s="11"/>
    </row>
    <row r="1194" spans="10:17">
      <c r="J1194" s="11"/>
      <c r="K1194" s="1533"/>
      <c r="L1194" s="11"/>
      <c r="M1194" s="11"/>
      <c r="N1194" s="11"/>
      <c r="O1194" s="11"/>
      <c r="P1194" s="11"/>
      <c r="Q1194" s="11"/>
    </row>
    <row r="1195" spans="10:17">
      <c r="J1195" s="11"/>
      <c r="K1195" s="1533"/>
      <c r="L1195" s="11"/>
      <c r="M1195" s="11"/>
      <c r="N1195" s="11"/>
      <c r="O1195" s="11"/>
      <c r="P1195" s="11"/>
      <c r="Q1195" s="11"/>
    </row>
    <row r="1196" spans="10:17">
      <c r="J1196" s="11"/>
      <c r="K1196" s="1533"/>
      <c r="L1196" s="11"/>
      <c r="M1196" s="11"/>
      <c r="N1196" s="11"/>
      <c r="O1196" s="11"/>
      <c r="P1196" s="11"/>
      <c r="Q1196" s="11"/>
    </row>
    <row r="1197" spans="10:17">
      <c r="J1197" s="11"/>
      <c r="K1197" s="1533"/>
      <c r="L1197" s="11"/>
      <c r="M1197" s="11"/>
      <c r="N1197" s="11"/>
      <c r="O1197" s="11"/>
      <c r="P1197" s="11"/>
      <c r="Q1197" s="11"/>
    </row>
    <row r="1198" spans="10:17">
      <c r="J1198" s="11"/>
      <c r="K1198" s="1533"/>
      <c r="L1198" s="11"/>
      <c r="M1198" s="11"/>
      <c r="N1198" s="11"/>
      <c r="O1198" s="11"/>
      <c r="P1198" s="11"/>
      <c r="Q1198" s="11"/>
    </row>
    <row r="1199" spans="10:17">
      <c r="J1199" s="11"/>
      <c r="K1199" s="1533"/>
      <c r="L1199" s="11"/>
      <c r="M1199" s="11"/>
      <c r="N1199" s="11"/>
      <c r="O1199" s="11"/>
      <c r="P1199" s="11"/>
      <c r="Q1199" s="11"/>
    </row>
    <row r="1200" spans="10:17">
      <c r="J1200" s="11"/>
      <c r="K1200" s="1533"/>
      <c r="L1200" s="11"/>
      <c r="M1200" s="11"/>
      <c r="N1200" s="11"/>
      <c r="O1200" s="11"/>
      <c r="P1200" s="11"/>
      <c r="Q1200" s="11"/>
    </row>
    <row r="1201" spans="10:17">
      <c r="J1201" s="11"/>
      <c r="K1201" s="1533"/>
      <c r="L1201" s="11"/>
      <c r="M1201" s="11"/>
      <c r="N1201" s="11"/>
      <c r="O1201" s="11"/>
      <c r="P1201" s="11"/>
      <c r="Q1201" s="11"/>
    </row>
    <row r="1202" spans="10:17">
      <c r="J1202" s="11"/>
      <c r="K1202" s="1533"/>
      <c r="L1202" s="11"/>
      <c r="M1202" s="11"/>
      <c r="N1202" s="11"/>
      <c r="O1202" s="11"/>
      <c r="P1202" s="11"/>
      <c r="Q1202" s="11"/>
    </row>
    <row r="1203" spans="10:17">
      <c r="J1203" s="11"/>
      <c r="K1203" s="1533"/>
      <c r="L1203" s="11"/>
      <c r="M1203" s="11"/>
      <c r="N1203" s="11"/>
      <c r="O1203" s="11"/>
      <c r="P1203" s="11"/>
      <c r="Q1203" s="11"/>
    </row>
    <row r="1204" spans="10:17">
      <c r="J1204" s="11"/>
      <c r="K1204" s="1533"/>
      <c r="L1204" s="11"/>
      <c r="M1204" s="11"/>
      <c r="N1204" s="11"/>
      <c r="O1204" s="11"/>
      <c r="P1204" s="11"/>
      <c r="Q1204" s="11"/>
    </row>
    <row r="1205" spans="10:17">
      <c r="J1205" s="11"/>
      <c r="K1205" s="1533"/>
      <c r="L1205" s="11"/>
      <c r="M1205" s="11"/>
      <c r="N1205" s="11"/>
      <c r="O1205" s="11"/>
      <c r="P1205" s="11"/>
      <c r="Q1205" s="11"/>
    </row>
    <row r="1206" spans="10:17">
      <c r="J1206" s="11"/>
      <c r="K1206" s="1533"/>
      <c r="L1206" s="11"/>
      <c r="M1206" s="11"/>
      <c r="N1206" s="11"/>
      <c r="O1206" s="11"/>
      <c r="P1206" s="11"/>
      <c r="Q1206" s="11"/>
    </row>
    <row r="1207" spans="10:17">
      <c r="J1207" s="11"/>
      <c r="K1207" s="1533"/>
      <c r="L1207" s="11"/>
      <c r="M1207" s="11"/>
      <c r="N1207" s="11"/>
      <c r="O1207" s="11"/>
      <c r="P1207" s="11"/>
      <c r="Q1207" s="11"/>
    </row>
    <row r="1208" spans="10:17">
      <c r="J1208" s="11"/>
      <c r="K1208" s="1533"/>
      <c r="L1208" s="11"/>
      <c r="M1208" s="11"/>
      <c r="N1208" s="11"/>
      <c r="O1208" s="11"/>
      <c r="P1208" s="11"/>
      <c r="Q1208" s="11"/>
    </row>
    <row r="1209" spans="10:17">
      <c r="J1209" s="11"/>
      <c r="K1209" s="1533"/>
      <c r="L1209" s="11"/>
      <c r="M1209" s="11"/>
      <c r="N1209" s="11"/>
      <c r="O1209" s="11"/>
      <c r="P1209" s="11"/>
      <c r="Q1209" s="11"/>
    </row>
    <row r="1210" spans="10:17">
      <c r="J1210" s="11"/>
      <c r="K1210" s="1533"/>
      <c r="L1210" s="11"/>
      <c r="M1210" s="11"/>
      <c r="N1210" s="11"/>
      <c r="O1210" s="11"/>
      <c r="P1210" s="11"/>
      <c r="Q1210" s="11"/>
    </row>
    <row r="1211" spans="10:17">
      <c r="J1211" s="11"/>
      <c r="K1211" s="1533"/>
      <c r="L1211" s="11"/>
      <c r="M1211" s="11"/>
      <c r="N1211" s="11"/>
      <c r="O1211" s="11"/>
      <c r="P1211" s="11"/>
      <c r="Q1211" s="11"/>
    </row>
    <row r="1212" spans="10:17">
      <c r="J1212" s="11"/>
      <c r="K1212" s="1533"/>
      <c r="L1212" s="11"/>
      <c r="M1212" s="11"/>
      <c r="N1212" s="11"/>
      <c r="O1212" s="11"/>
      <c r="P1212" s="11"/>
      <c r="Q1212" s="11"/>
    </row>
    <row r="1213" spans="10:17">
      <c r="J1213" s="11"/>
      <c r="K1213" s="1533"/>
      <c r="L1213" s="11"/>
      <c r="M1213" s="11"/>
      <c r="N1213" s="11"/>
      <c r="O1213" s="11"/>
      <c r="P1213" s="11"/>
      <c r="Q1213" s="11"/>
    </row>
    <row r="1214" spans="10:17">
      <c r="J1214" s="11"/>
      <c r="K1214" s="1533"/>
      <c r="L1214" s="11"/>
      <c r="M1214" s="11"/>
      <c r="N1214" s="11"/>
      <c r="O1214" s="11"/>
      <c r="P1214" s="11"/>
      <c r="Q1214" s="11"/>
    </row>
    <row r="1215" spans="10:17">
      <c r="J1215" s="11"/>
      <c r="K1215" s="1533"/>
      <c r="L1215" s="11"/>
      <c r="M1215" s="11"/>
      <c r="N1215" s="11"/>
      <c r="O1215" s="11"/>
      <c r="P1215" s="11"/>
      <c r="Q1215" s="11"/>
    </row>
    <row r="1216" spans="10:17">
      <c r="J1216" s="11"/>
      <c r="K1216" s="1533"/>
      <c r="L1216" s="11"/>
      <c r="M1216" s="11"/>
      <c r="N1216" s="11"/>
      <c r="O1216" s="11"/>
      <c r="P1216" s="11"/>
      <c r="Q1216" s="11"/>
    </row>
    <row r="1217" spans="10:17">
      <c r="J1217" s="11"/>
      <c r="K1217" s="1533"/>
      <c r="L1217" s="11"/>
      <c r="M1217" s="11"/>
      <c r="N1217" s="11"/>
      <c r="O1217" s="11"/>
      <c r="P1217" s="11"/>
      <c r="Q1217" s="11"/>
    </row>
    <row r="1218" spans="10:17">
      <c r="J1218" s="11"/>
      <c r="K1218" s="1533"/>
      <c r="L1218" s="11"/>
      <c r="M1218" s="11"/>
      <c r="N1218" s="11"/>
      <c r="O1218" s="11"/>
      <c r="P1218" s="11"/>
      <c r="Q1218" s="11"/>
    </row>
    <row r="1219" spans="10:17">
      <c r="J1219" s="11"/>
      <c r="K1219" s="1533"/>
      <c r="L1219" s="11"/>
      <c r="M1219" s="11"/>
      <c r="N1219" s="11"/>
      <c r="O1219" s="11"/>
      <c r="P1219" s="11"/>
      <c r="Q1219" s="11"/>
    </row>
    <row r="1220" spans="10:17">
      <c r="J1220" s="11"/>
      <c r="K1220" s="1533"/>
      <c r="L1220" s="11"/>
      <c r="M1220" s="11"/>
      <c r="N1220" s="11"/>
      <c r="O1220" s="11"/>
      <c r="P1220" s="11"/>
      <c r="Q1220" s="11"/>
    </row>
    <row r="1221" spans="10:17">
      <c r="J1221" s="11"/>
      <c r="K1221" s="1533"/>
      <c r="L1221" s="11"/>
      <c r="M1221" s="11"/>
      <c r="N1221" s="11"/>
      <c r="O1221" s="11"/>
      <c r="P1221" s="11"/>
      <c r="Q1221" s="11"/>
    </row>
    <row r="1222" spans="10:17">
      <c r="J1222" s="11"/>
      <c r="K1222" s="1533"/>
      <c r="L1222" s="11"/>
      <c r="M1222" s="11"/>
      <c r="N1222" s="11"/>
      <c r="O1222" s="11"/>
      <c r="P1222" s="11"/>
      <c r="Q1222" s="11"/>
    </row>
    <row r="1223" spans="10:17">
      <c r="J1223" s="11"/>
      <c r="K1223" s="1533"/>
      <c r="L1223" s="11"/>
      <c r="M1223" s="11"/>
      <c r="N1223" s="11"/>
      <c r="O1223" s="11"/>
      <c r="P1223" s="11"/>
      <c r="Q1223" s="11"/>
    </row>
    <row r="1224" spans="10:17">
      <c r="J1224" s="11"/>
      <c r="K1224" s="1533"/>
      <c r="L1224" s="11"/>
      <c r="M1224" s="11"/>
      <c r="N1224" s="11"/>
      <c r="O1224" s="11"/>
      <c r="P1224" s="11"/>
      <c r="Q1224" s="11"/>
    </row>
    <row r="1225" spans="10:17">
      <c r="J1225" s="11"/>
      <c r="K1225" s="1533"/>
      <c r="L1225" s="11"/>
      <c r="M1225" s="11"/>
      <c r="N1225" s="11"/>
      <c r="O1225" s="11"/>
      <c r="P1225" s="11"/>
      <c r="Q1225" s="11"/>
    </row>
    <row r="1226" spans="10:17">
      <c r="J1226" s="11"/>
      <c r="K1226" s="1533"/>
      <c r="L1226" s="11"/>
      <c r="M1226" s="11"/>
      <c r="N1226" s="11"/>
      <c r="O1226" s="11"/>
      <c r="P1226" s="11"/>
      <c r="Q1226" s="11"/>
    </row>
    <row r="1227" spans="10:17">
      <c r="J1227" s="11"/>
      <c r="K1227" s="1533"/>
      <c r="L1227" s="11"/>
      <c r="M1227" s="11"/>
      <c r="N1227" s="11"/>
      <c r="O1227" s="11"/>
      <c r="P1227" s="11"/>
      <c r="Q1227" s="11"/>
    </row>
    <row r="1228" spans="10:17">
      <c r="J1228" s="11"/>
      <c r="K1228" s="1533"/>
      <c r="L1228" s="11"/>
      <c r="M1228" s="11"/>
      <c r="N1228" s="11"/>
      <c r="O1228" s="11"/>
      <c r="P1228" s="11"/>
      <c r="Q1228" s="11"/>
    </row>
    <row r="1229" spans="10:17">
      <c r="J1229" s="11"/>
      <c r="K1229" s="1533"/>
      <c r="L1229" s="11"/>
      <c r="M1229" s="11"/>
      <c r="N1229" s="11"/>
      <c r="O1229" s="11"/>
      <c r="P1229" s="11"/>
      <c r="Q1229" s="11"/>
    </row>
    <row r="1230" spans="10:17">
      <c r="J1230" s="11"/>
      <c r="K1230" s="1533"/>
      <c r="L1230" s="11"/>
      <c r="M1230" s="11"/>
      <c r="N1230" s="11"/>
      <c r="O1230" s="11"/>
      <c r="P1230" s="11"/>
      <c r="Q1230" s="11"/>
    </row>
    <row r="1231" spans="10:17">
      <c r="J1231" s="11"/>
      <c r="K1231" s="1533"/>
      <c r="L1231" s="11"/>
      <c r="M1231" s="11"/>
      <c r="N1231" s="11"/>
      <c r="O1231" s="11"/>
      <c r="P1231" s="11"/>
      <c r="Q1231" s="11"/>
    </row>
    <row r="1232" spans="10:17">
      <c r="J1232" s="11"/>
      <c r="K1232" s="1533"/>
      <c r="L1232" s="11"/>
      <c r="M1232" s="11"/>
      <c r="N1232" s="11"/>
      <c r="O1232" s="11"/>
      <c r="P1232" s="11"/>
      <c r="Q1232" s="11"/>
    </row>
    <row r="1233" spans="10:17">
      <c r="J1233" s="11"/>
      <c r="K1233" s="1533"/>
      <c r="L1233" s="11"/>
      <c r="M1233" s="11"/>
      <c r="N1233" s="11"/>
      <c r="O1233" s="11"/>
      <c r="P1233" s="11"/>
      <c r="Q1233" s="11"/>
    </row>
    <row r="1234" spans="10:17">
      <c r="J1234" s="11"/>
      <c r="K1234" s="1533"/>
      <c r="L1234" s="11"/>
      <c r="M1234" s="11"/>
      <c r="N1234" s="11"/>
      <c r="O1234" s="11"/>
      <c r="P1234" s="11"/>
      <c r="Q1234" s="11"/>
    </row>
    <row r="1235" spans="10:17">
      <c r="J1235" s="11"/>
      <c r="K1235" s="1533"/>
      <c r="L1235" s="11"/>
      <c r="M1235" s="11"/>
      <c r="N1235" s="11"/>
      <c r="O1235" s="11"/>
      <c r="P1235" s="11"/>
      <c r="Q1235" s="11"/>
    </row>
    <row r="1236" spans="10:17">
      <c r="J1236" s="11"/>
      <c r="K1236" s="1533"/>
      <c r="L1236" s="11"/>
      <c r="M1236" s="11"/>
      <c r="N1236" s="11"/>
      <c r="O1236" s="11"/>
      <c r="P1236" s="11"/>
      <c r="Q1236" s="11"/>
    </row>
    <row r="1237" spans="10:17">
      <c r="J1237" s="11"/>
      <c r="K1237" s="1533"/>
      <c r="L1237" s="11"/>
      <c r="M1237" s="11"/>
      <c r="N1237" s="11"/>
      <c r="O1237" s="11"/>
      <c r="P1237" s="11"/>
      <c r="Q1237" s="11"/>
    </row>
    <row r="1238" spans="10:17">
      <c r="J1238" s="11"/>
      <c r="K1238" s="1533"/>
      <c r="L1238" s="11"/>
      <c r="M1238" s="11"/>
      <c r="N1238" s="11"/>
      <c r="O1238" s="11"/>
      <c r="P1238" s="11"/>
      <c r="Q1238" s="11"/>
    </row>
    <row r="1239" spans="10:17">
      <c r="J1239" s="11"/>
      <c r="K1239" s="1533"/>
      <c r="L1239" s="11"/>
      <c r="M1239" s="11"/>
      <c r="N1239" s="11"/>
      <c r="O1239" s="11"/>
      <c r="P1239" s="11"/>
      <c r="Q1239" s="11"/>
    </row>
    <row r="1240" spans="10:17">
      <c r="J1240" s="11"/>
      <c r="K1240" s="1533"/>
      <c r="L1240" s="11"/>
      <c r="M1240" s="11"/>
      <c r="N1240" s="11"/>
      <c r="O1240" s="11"/>
      <c r="P1240" s="11"/>
      <c r="Q1240" s="11"/>
    </row>
    <row r="1241" spans="10:17">
      <c r="J1241" s="11"/>
      <c r="K1241" s="1533"/>
      <c r="L1241" s="11"/>
      <c r="M1241" s="11"/>
      <c r="N1241" s="11"/>
      <c r="O1241" s="11"/>
      <c r="P1241" s="11"/>
      <c r="Q1241" s="11"/>
    </row>
    <row r="1242" spans="10:17">
      <c r="J1242" s="11"/>
      <c r="K1242" s="1533"/>
      <c r="L1242" s="11"/>
      <c r="M1242" s="11"/>
      <c r="N1242" s="11"/>
      <c r="O1242" s="11"/>
      <c r="P1242" s="11"/>
      <c r="Q1242" s="11"/>
    </row>
    <row r="1243" spans="10:17">
      <c r="J1243" s="11"/>
      <c r="K1243" s="1533"/>
      <c r="L1243" s="11"/>
      <c r="M1243" s="11"/>
      <c r="N1243" s="11"/>
      <c r="O1243" s="11"/>
      <c r="P1243" s="11"/>
      <c r="Q1243" s="11"/>
    </row>
    <row r="1244" spans="10:17">
      <c r="J1244" s="11"/>
      <c r="K1244" s="1533"/>
      <c r="L1244" s="11"/>
      <c r="M1244" s="11"/>
      <c r="N1244" s="11"/>
      <c r="O1244" s="11"/>
      <c r="P1244" s="11"/>
      <c r="Q1244" s="11"/>
    </row>
    <row r="1245" spans="10:17">
      <c r="J1245" s="11"/>
      <c r="K1245" s="1533"/>
      <c r="L1245" s="11"/>
      <c r="M1245" s="11"/>
      <c r="N1245" s="11"/>
      <c r="O1245" s="11"/>
      <c r="P1245" s="11"/>
      <c r="Q1245" s="11"/>
    </row>
    <row r="1246" spans="10:17">
      <c r="J1246" s="11"/>
      <c r="K1246" s="1533"/>
      <c r="L1246" s="11"/>
      <c r="M1246" s="11"/>
      <c r="N1246" s="11"/>
      <c r="O1246" s="11"/>
      <c r="P1246" s="11"/>
      <c r="Q1246" s="11"/>
    </row>
    <row r="1247" spans="10:17">
      <c r="J1247" s="11"/>
      <c r="K1247" s="1533"/>
      <c r="L1247" s="11"/>
      <c r="M1247" s="11"/>
      <c r="N1247" s="11"/>
      <c r="O1247" s="11"/>
      <c r="P1247" s="11"/>
      <c r="Q1247" s="11"/>
    </row>
    <row r="1248" spans="10:17">
      <c r="J1248" s="11"/>
      <c r="K1248" s="1533"/>
      <c r="L1248" s="11"/>
      <c r="M1248" s="11"/>
      <c r="N1248" s="11"/>
      <c r="O1248" s="11"/>
      <c r="P1248" s="11"/>
      <c r="Q1248" s="11"/>
    </row>
    <row r="1249" spans="10:17">
      <c r="J1249" s="11"/>
      <c r="K1249" s="1533"/>
      <c r="L1249" s="11"/>
      <c r="M1249" s="11"/>
      <c r="N1249" s="11"/>
      <c r="O1249" s="11"/>
      <c r="P1249" s="11"/>
      <c r="Q1249" s="11"/>
    </row>
    <row r="1250" spans="10:17">
      <c r="J1250" s="11"/>
      <c r="K1250" s="1533"/>
      <c r="L1250" s="11"/>
      <c r="M1250" s="11"/>
      <c r="N1250" s="11"/>
      <c r="O1250" s="11"/>
      <c r="P1250" s="11"/>
      <c r="Q1250" s="11"/>
    </row>
    <row r="1251" spans="10:17">
      <c r="J1251" s="11"/>
      <c r="K1251" s="1533"/>
      <c r="L1251" s="11"/>
      <c r="M1251" s="11"/>
      <c r="N1251" s="11"/>
      <c r="O1251" s="11"/>
      <c r="P1251" s="11"/>
      <c r="Q1251" s="11"/>
    </row>
    <row r="1252" spans="10:17">
      <c r="J1252" s="11"/>
      <c r="K1252" s="1533"/>
      <c r="L1252" s="11"/>
      <c r="M1252" s="11"/>
      <c r="N1252" s="11"/>
      <c r="O1252" s="11"/>
      <c r="P1252" s="11"/>
      <c r="Q1252" s="11"/>
    </row>
    <row r="1253" spans="10:17">
      <c r="J1253" s="11"/>
      <c r="K1253" s="1533"/>
      <c r="L1253" s="11"/>
      <c r="M1253" s="11"/>
      <c r="N1253" s="11"/>
      <c r="O1253" s="11"/>
      <c r="P1253" s="11"/>
      <c r="Q1253" s="11"/>
    </row>
    <row r="1254" spans="10:17">
      <c r="J1254" s="11"/>
      <c r="K1254" s="1533"/>
      <c r="L1254" s="11"/>
      <c r="M1254" s="11"/>
      <c r="N1254" s="11"/>
      <c r="O1254" s="11"/>
      <c r="P1254" s="11"/>
      <c r="Q1254" s="11"/>
    </row>
    <row r="1255" spans="10:17">
      <c r="J1255" s="11"/>
      <c r="K1255" s="1533"/>
      <c r="L1255" s="11"/>
      <c r="M1255" s="11"/>
      <c r="N1255" s="11"/>
      <c r="O1255" s="11"/>
      <c r="P1255" s="11"/>
      <c r="Q1255" s="11"/>
    </row>
    <row r="1256" spans="10:17">
      <c r="J1256" s="11"/>
      <c r="K1256" s="1533"/>
      <c r="L1256" s="11"/>
      <c r="M1256" s="11"/>
      <c r="N1256" s="11"/>
      <c r="O1256" s="11"/>
      <c r="P1256" s="11"/>
      <c r="Q1256" s="11"/>
    </row>
    <row r="1257" spans="10:17">
      <c r="J1257" s="11"/>
      <c r="K1257" s="1533"/>
      <c r="L1257" s="11"/>
      <c r="M1257" s="11"/>
      <c r="N1257" s="11"/>
      <c r="O1257" s="11"/>
      <c r="P1257" s="11"/>
      <c r="Q1257" s="11"/>
    </row>
    <row r="1258" spans="10:17">
      <c r="J1258" s="11"/>
      <c r="K1258" s="1533"/>
      <c r="L1258" s="11"/>
      <c r="M1258" s="11"/>
      <c r="N1258" s="11"/>
      <c r="O1258" s="11"/>
      <c r="P1258" s="11"/>
      <c r="Q1258" s="11"/>
    </row>
    <row r="1259" spans="10:17">
      <c r="J1259" s="11"/>
      <c r="K1259" s="1533"/>
      <c r="L1259" s="11"/>
      <c r="M1259" s="11"/>
      <c r="N1259" s="11"/>
      <c r="O1259" s="11"/>
      <c r="P1259" s="11"/>
      <c r="Q1259" s="11"/>
    </row>
    <row r="1260" spans="10:17">
      <c r="J1260" s="11"/>
      <c r="K1260" s="1533"/>
      <c r="L1260" s="11"/>
      <c r="M1260" s="11"/>
      <c r="N1260" s="11"/>
      <c r="O1260" s="11"/>
      <c r="P1260" s="11"/>
      <c r="Q1260" s="11"/>
    </row>
    <row r="1261" spans="10:17">
      <c r="J1261" s="11"/>
      <c r="K1261" s="1533"/>
      <c r="L1261" s="11"/>
      <c r="M1261" s="11"/>
      <c r="N1261" s="11"/>
      <c r="O1261" s="11"/>
      <c r="P1261" s="11"/>
      <c r="Q1261" s="11"/>
    </row>
    <row r="1262" spans="10:17">
      <c r="J1262" s="11"/>
      <c r="K1262" s="1533"/>
      <c r="L1262" s="11"/>
      <c r="M1262" s="11"/>
      <c r="N1262" s="11"/>
      <c r="O1262" s="11"/>
      <c r="P1262" s="11"/>
      <c r="Q1262" s="11"/>
    </row>
    <row r="1263" spans="10:17">
      <c r="J1263" s="11"/>
      <c r="K1263" s="1533"/>
      <c r="L1263" s="11"/>
      <c r="M1263" s="11"/>
      <c r="N1263" s="11"/>
      <c r="O1263" s="11"/>
      <c r="P1263" s="11"/>
      <c r="Q1263" s="11"/>
    </row>
    <row r="1264" spans="10:17">
      <c r="J1264" s="11"/>
      <c r="K1264" s="1533"/>
      <c r="L1264" s="11"/>
      <c r="M1264" s="11"/>
      <c r="N1264" s="11"/>
      <c r="O1264" s="11"/>
      <c r="P1264" s="11"/>
      <c r="Q1264" s="11"/>
    </row>
    <row r="1265" spans="10:17">
      <c r="J1265" s="11"/>
      <c r="K1265" s="1533"/>
      <c r="L1265" s="11"/>
      <c r="M1265" s="11"/>
      <c r="N1265" s="11"/>
      <c r="O1265" s="11"/>
      <c r="P1265" s="11"/>
      <c r="Q1265" s="11"/>
    </row>
    <row r="1266" spans="10:17">
      <c r="J1266" s="11"/>
      <c r="K1266" s="1533"/>
      <c r="L1266" s="11"/>
      <c r="M1266" s="11"/>
      <c r="N1266" s="11"/>
      <c r="O1266" s="11"/>
      <c r="P1266" s="11"/>
      <c r="Q1266" s="11"/>
    </row>
    <row r="1267" spans="10:17">
      <c r="J1267" s="11"/>
      <c r="K1267" s="1533"/>
      <c r="L1267" s="11"/>
      <c r="M1267" s="11"/>
      <c r="N1267" s="11"/>
      <c r="O1267" s="11"/>
      <c r="P1267" s="11"/>
      <c r="Q1267" s="11"/>
    </row>
    <row r="1268" spans="10:17">
      <c r="J1268" s="11"/>
      <c r="K1268" s="1533"/>
      <c r="L1268" s="11"/>
      <c r="M1268" s="11"/>
      <c r="N1268" s="11"/>
      <c r="O1268" s="11"/>
      <c r="P1268" s="11"/>
      <c r="Q1268" s="11"/>
    </row>
    <row r="1269" spans="10:17">
      <c r="J1269" s="11"/>
      <c r="K1269" s="1533"/>
      <c r="L1269" s="11"/>
      <c r="M1269" s="11"/>
      <c r="N1269" s="11"/>
      <c r="O1269" s="11"/>
      <c r="P1269" s="11"/>
      <c r="Q1269" s="11"/>
    </row>
    <row r="1270" spans="10:17">
      <c r="J1270" s="11"/>
      <c r="K1270" s="1533"/>
      <c r="L1270" s="11"/>
      <c r="M1270" s="11"/>
      <c r="N1270" s="11"/>
      <c r="O1270" s="11"/>
      <c r="P1270" s="11"/>
      <c r="Q1270" s="11"/>
    </row>
    <row r="1271" spans="10:17">
      <c r="J1271" s="11"/>
      <c r="K1271" s="1533"/>
      <c r="L1271" s="11"/>
      <c r="M1271" s="11"/>
      <c r="N1271" s="11"/>
      <c r="O1271" s="11"/>
      <c r="P1271" s="11"/>
      <c r="Q1271" s="11"/>
    </row>
    <row r="1272" spans="10:17">
      <c r="J1272" s="11"/>
      <c r="K1272" s="1533"/>
      <c r="L1272" s="11"/>
      <c r="M1272" s="11"/>
      <c r="N1272" s="11"/>
      <c r="O1272" s="11"/>
      <c r="P1272" s="11"/>
      <c r="Q1272" s="11"/>
    </row>
    <row r="1273" spans="10:17">
      <c r="J1273" s="11"/>
      <c r="K1273" s="1533"/>
      <c r="L1273" s="11"/>
      <c r="M1273" s="11"/>
      <c r="N1273" s="11"/>
      <c r="O1273" s="11"/>
      <c r="P1273" s="11"/>
      <c r="Q1273" s="11"/>
    </row>
    <row r="1274" spans="10:17">
      <c r="J1274" s="11"/>
      <c r="K1274" s="1533"/>
      <c r="L1274" s="11"/>
      <c r="M1274" s="11"/>
      <c r="N1274" s="11"/>
      <c r="O1274" s="11"/>
      <c r="P1274" s="11"/>
      <c r="Q1274" s="11"/>
    </row>
    <row r="1275" spans="10:17">
      <c r="J1275" s="11"/>
      <c r="K1275" s="1533"/>
      <c r="L1275" s="11"/>
      <c r="M1275" s="11"/>
      <c r="N1275" s="11"/>
      <c r="O1275" s="11"/>
      <c r="P1275" s="11"/>
      <c r="Q1275" s="11"/>
    </row>
    <row r="1276" spans="10:17">
      <c r="J1276" s="11"/>
      <c r="K1276" s="1533"/>
      <c r="L1276" s="11"/>
      <c r="M1276" s="11"/>
      <c r="N1276" s="11"/>
      <c r="O1276" s="11"/>
      <c r="P1276" s="11"/>
      <c r="Q1276" s="11"/>
    </row>
    <row r="1277" spans="10:17">
      <c r="J1277" s="11"/>
      <c r="K1277" s="1533"/>
      <c r="L1277" s="11"/>
      <c r="M1277" s="11"/>
      <c r="N1277" s="11"/>
      <c r="O1277" s="11"/>
      <c r="P1277" s="11"/>
      <c r="Q1277" s="11"/>
    </row>
    <row r="1278" spans="10:17">
      <c r="J1278" s="11"/>
      <c r="K1278" s="1533"/>
      <c r="L1278" s="11"/>
      <c r="M1278" s="11"/>
      <c r="N1278" s="11"/>
      <c r="O1278" s="11"/>
      <c r="P1278" s="11"/>
      <c r="Q1278" s="11"/>
    </row>
    <row r="1279" spans="10:17">
      <c r="J1279" s="11"/>
      <c r="K1279" s="1533"/>
      <c r="L1279" s="11"/>
      <c r="M1279" s="11"/>
      <c r="N1279" s="11"/>
      <c r="O1279" s="11"/>
      <c r="P1279" s="11"/>
      <c r="Q1279" s="11"/>
    </row>
    <row r="1280" spans="10:17">
      <c r="J1280" s="11"/>
      <c r="K1280" s="1533"/>
      <c r="L1280" s="11"/>
      <c r="M1280" s="11"/>
      <c r="N1280" s="11"/>
      <c r="O1280" s="11"/>
      <c r="P1280" s="11"/>
      <c r="Q1280" s="11"/>
    </row>
    <row r="1281" spans="10:17">
      <c r="J1281" s="11"/>
      <c r="K1281" s="1533"/>
      <c r="L1281" s="11"/>
      <c r="M1281" s="11"/>
      <c r="N1281" s="11"/>
      <c r="O1281" s="11"/>
      <c r="P1281" s="11"/>
      <c r="Q1281" s="11"/>
    </row>
    <row r="1282" spans="10:17">
      <c r="J1282" s="11"/>
      <c r="K1282" s="1533"/>
      <c r="L1282" s="11"/>
      <c r="M1282" s="11"/>
      <c r="N1282" s="11"/>
      <c r="O1282" s="11"/>
      <c r="P1282" s="11"/>
      <c r="Q1282" s="11"/>
    </row>
    <row r="1283" spans="10:17">
      <c r="J1283" s="11"/>
      <c r="K1283" s="1533"/>
      <c r="L1283" s="11"/>
      <c r="M1283" s="11"/>
      <c r="N1283" s="11"/>
      <c r="O1283" s="11"/>
      <c r="P1283" s="11"/>
      <c r="Q1283" s="11"/>
    </row>
    <row r="1284" spans="10:17">
      <c r="J1284" s="11"/>
      <c r="K1284" s="1533"/>
      <c r="L1284" s="11"/>
      <c r="M1284" s="11"/>
      <c r="N1284" s="11"/>
      <c r="O1284" s="11"/>
      <c r="P1284" s="11"/>
      <c r="Q1284" s="11"/>
    </row>
    <row r="1285" spans="10:17">
      <c r="J1285" s="11"/>
      <c r="K1285" s="1533"/>
      <c r="L1285" s="11"/>
      <c r="M1285" s="11"/>
      <c r="N1285" s="11"/>
      <c r="O1285" s="11"/>
      <c r="P1285" s="11"/>
      <c r="Q1285" s="11"/>
    </row>
    <row r="1286" spans="10:17">
      <c r="J1286" s="11"/>
      <c r="K1286" s="1533"/>
      <c r="L1286" s="11"/>
      <c r="M1286" s="11"/>
      <c r="N1286" s="11"/>
      <c r="O1286" s="11"/>
      <c r="P1286" s="11"/>
      <c r="Q1286" s="11"/>
    </row>
    <row r="1287" spans="10:17">
      <c r="J1287" s="11"/>
      <c r="K1287" s="1533"/>
      <c r="L1287" s="11"/>
      <c r="M1287" s="11"/>
      <c r="N1287" s="11"/>
      <c r="O1287" s="11"/>
      <c r="P1287" s="11"/>
      <c r="Q1287" s="11"/>
    </row>
    <row r="1288" spans="10:17">
      <c r="J1288" s="11"/>
      <c r="K1288" s="1533"/>
      <c r="L1288" s="11"/>
      <c r="M1288" s="11"/>
      <c r="N1288" s="11"/>
      <c r="O1288" s="11"/>
      <c r="P1288" s="11"/>
      <c r="Q1288" s="11"/>
    </row>
    <row r="1289" spans="10:17">
      <c r="J1289" s="11"/>
      <c r="K1289" s="1533"/>
      <c r="L1289" s="11"/>
      <c r="M1289" s="11"/>
      <c r="N1289" s="11"/>
      <c r="O1289" s="11"/>
      <c r="P1289" s="11"/>
      <c r="Q1289" s="11"/>
    </row>
    <row r="1290" spans="10:17">
      <c r="J1290" s="11"/>
      <c r="K1290" s="1533"/>
      <c r="L1290" s="11"/>
      <c r="M1290" s="11"/>
      <c r="N1290" s="11"/>
      <c r="O1290" s="11"/>
      <c r="P1290" s="11"/>
      <c r="Q1290" s="11"/>
    </row>
    <row r="1291" spans="10:17">
      <c r="J1291" s="11"/>
      <c r="K1291" s="1533"/>
      <c r="L1291" s="11"/>
      <c r="M1291" s="11"/>
      <c r="N1291" s="11"/>
      <c r="O1291" s="11"/>
      <c r="P1291" s="11"/>
      <c r="Q1291" s="11"/>
    </row>
    <row r="1292" spans="10:17">
      <c r="J1292" s="11"/>
      <c r="K1292" s="1533"/>
      <c r="L1292" s="11"/>
      <c r="M1292" s="11"/>
      <c r="N1292" s="11"/>
      <c r="O1292" s="11"/>
      <c r="P1292" s="11"/>
      <c r="Q1292" s="11"/>
    </row>
    <row r="1293" spans="10:17">
      <c r="J1293" s="11"/>
      <c r="K1293" s="1533"/>
      <c r="L1293" s="11"/>
      <c r="M1293" s="11"/>
      <c r="N1293" s="11"/>
      <c r="O1293" s="11"/>
      <c r="P1293" s="11"/>
      <c r="Q1293" s="11"/>
    </row>
    <row r="1294" spans="10:17">
      <c r="J1294" s="11"/>
      <c r="K1294" s="1533"/>
      <c r="L1294" s="11"/>
      <c r="M1294" s="11"/>
      <c r="N1294" s="11"/>
      <c r="O1294" s="11"/>
      <c r="P1294" s="11"/>
      <c r="Q1294" s="11"/>
    </row>
    <row r="1295" spans="10:17">
      <c r="J1295" s="11"/>
      <c r="K1295" s="1533"/>
      <c r="L1295" s="11"/>
      <c r="M1295" s="11"/>
      <c r="N1295" s="11"/>
      <c r="O1295" s="11"/>
      <c r="P1295" s="11"/>
      <c r="Q1295" s="11"/>
    </row>
    <row r="1296" spans="10:17">
      <c r="J1296" s="11"/>
      <c r="K1296" s="1533"/>
      <c r="L1296" s="11"/>
      <c r="M1296" s="11"/>
      <c r="N1296" s="11"/>
      <c r="O1296" s="11"/>
      <c r="P1296" s="11"/>
      <c r="Q1296" s="11"/>
    </row>
    <row r="1297" spans="10:17">
      <c r="J1297" s="11"/>
      <c r="K1297" s="1533"/>
      <c r="L1297" s="11"/>
      <c r="M1297" s="11"/>
      <c r="N1297" s="11"/>
      <c r="O1297" s="11"/>
      <c r="P1297" s="11"/>
      <c r="Q1297" s="11"/>
    </row>
    <row r="1298" spans="10:17">
      <c r="J1298" s="11"/>
      <c r="K1298" s="1533"/>
      <c r="L1298" s="11"/>
      <c r="M1298" s="11"/>
      <c r="N1298" s="11"/>
      <c r="O1298" s="11"/>
      <c r="P1298" s="11"/>
      <c r="Q1298" s="11"/>
    </row>
    <row r="1299" spans="10:17">
      <c r="J1299" s="11"/>
      <c r="K1299" s="1533"/>
      <c r="L1299" s="11"/>
      <c r="M1299" s="11"/>
      <c r="N1299" s="11"/>
      <c r="O1299" s="11"/>
      <c r="P1299" s="11"/>
      <c r="Q1299" s="11"/>
    </row>
    <row r="1300" spans="10:17">
      <c r="J1300" s="11"/>
      <c r="K1300" s="1533"/>
      <c r="L1300" s="11"/>
      <c r="M1300" s="11"/>
      <c r="N1300" s="11"/>
      <c r="O1300" s="11"/>
      <c r="P1300" s="11"/>
      <c r="Q1300" s="11"/>
    </row>
    <row r="1301" spans="10:17">
      <c r="J1301" s="11"/>
      <c r="K1301" s="1533"/>
      <c r="L1301" s="11"/>
      <c r="M1301" s="11"/>
      <c r="N1301" s="11"/>
      <c r="O1301" s="11"/>
      <c r="P1301" s="11"/>
      <c r="Q1301" s="11"/>
    </row>
    <row r="1302" spans="10:17">
      <c r="J1302" s="11"/>
      <c r="K1302" s="1533"/>
      <c r="L1302" s="11"/>
      <c r="M1302" s="11"/>
      <c r="N1302" s="11"/>
      <c r="O1302" s="11"/>
      <c r="P1302" s="11"/>
      <c r="Q1302" s="11"/>
    </row>
    <row r="1303" spans="10:17">
      <c r="J1303" s="11"/>
      <c r="K1303" s="1533"/>
      <c r="L1303" s="11"/>
      <c r="M1303" s="11"/>
      <c r="N1303" s="11"/>
      <c r="O1303" s="11"/>
      <c r="P1303" s="11"/>
      <c r="Q1303" s="11"/>
    </row>
    <row r="1304" spans="10:17">
      <c r="J1304" s="11"/>
      <c r="K1304" s="1533"/>
      <c r="L1304" s="11"/>
      <c r="M1304" s="11"/>
      <c r="N1304" s="11"/>
      <c r="O1304" s="11"/>
      <c r="P1304" s="11"/>
      <c r="Q1304" s="11"/>
    </row>
    <row r="1305" spans="10:17">
      <c r="J1305" s="11"/>
      <c r="K1305" s="1533"/>
      <c r="L1305" s="11"/>
      <c r="M1305" s="11"/>
      <c r="N1305" s="11"/>
      <c r="O1305" s="11"/>
      <c r="P1305" s="11"/>
      <c r="Q1305" s="11"/>
    </row>
    <row r="1306" spans="10:17">
      <c r="J1306" s="11"/>
      <c r="K1306" s="1533"/>
      <c r="L1306" s="11"/>
      <c r="M1306" s="11"/>
      <c r="N1306" s="11"/>
      <c r="O1306" s="11"/>
      <c r="P1306" s="11"/>
      <c r="Q1306" s="11"/>
    </row>
    <row r="1307" spans="10:17">
      <c r="J1307" s="11"/>
      <c r="K1307" s="1533"/>
      <c r="L1307" s="11"/>
      <c r="M1307" s="11"/>
      <c r="N1307" s="11"/>
      <c r="O1307" s="11"/>
      <c r="P1307" s="11"/>
      <c r="Q1307" s="11"/>
    </row>
    <row r="1308" spans="10:17">
      <c r="J1308" s="11"/>
      <c r="K1308" s="1533"/>
      <c r="L1308" s="11"/>
      <c r="M1308" s="11"/>
      <c r="N1308" s="11"/>
      <c r="O1308" s="11"/>
      <c r="P1308" s="11"/>
      <c r="Q1308" s="11"/>
    </row>
    <row r="1309" spans="10:17">
      <c r="J1309" s="11"/>
      <c r="K1309" s="1533"/>
      <c r="L1309" s="11"/>
      <c r="M1309" s="11"/>
      <c r="N1309" s="11"/>
      <c r="O1309" s="11"/>
      <c r="P1309" s="11"/>
      <c r="Q1309" s="11"/>
    </row>
    <row r="1310" spans="10:17">
      <c r="J1310" s="11"/>
      <c r="K1310" s="1533"/>
      <c r="L1310" s="11"/>
      <c r="M1310" s="11"/>
      <c r="N1310" s="11"/>
      <c r="O1310" s="11"/>
      <c r="P1310" s="11"/>
      <c r="Q1310" s="11"/>
    </row>
    <row r="1311" spans="10:17">
      <c r="J1311" s="11"/>
      <c r="K1311" s="1533"/>
      <c r="L1311" s="11"/>
      <c r="M1311" s="11"/>
      <c r="N1311" s="11"/>
      <c r="O1311" s="11"/>
      <c r="P1311" s="11"/>
      <c r="Q1311" s="11"/>
    </row>
    <row r="1312" spans="10:17">
      <c r="J1312" s="11"/>
      <c r="K1312" s="1533"/>
      <c r="L1312" s="11"/>
      <c r="M1312" s="11"/>
      <c r="N1312" s="11"/>
      <c r="O1312" s="11"/>
      <c r="P1312" s="11"/>
      <c r="Q1312" s="11"/>
    </row>
    <row r="1313" spans="10:17">
      <c r="J1313" s="11"/>
      <c r="K1313" s="1533"/>
      <c r="L1313" s="11"/>
      <c r="M1313" s="11"/>
      <c r="N1313" s="11"/>
      <c r="O1313" s="11"/>
      <c r="P1313" s="11"/>
      <c r="Q1313" s="11"/>
    </row>
    <row r="1314" spans="10:17">
      <c r="J1314" s="11"/>
      <c r="K1314" s="1533"/>
      <c r="L1314" s="11"/>
      <c r="M1314" s="11"/>
      <c r="N1314" s="11"/>
      <c r="O1314" s="11"/>
      <c r="P1314" s="11"/>
      <c r="Q1314" s="11"/>
    </row>
    <row r="1315" spans="10:17">
      <c r="J1315" s="11"/>
      <c r="K1315" s="1533"/>
      <c r="L1315" s="11"/>
      <c r="M1315" s="11"/>
      <c r="N1315" s="11"/>
      <c r="O1315" s="11"/>
      <c r="P1315" s="11"/>
      <c r="Q1315" s="11"/>
    </row>
    <row r="1316" spans="10:17">
      <c r="J1316" s="11"/>
      <c r="K1316" s="1533"/>
      <c r="L1316" s="11"/>
      <c r="M1316" s="11"/>
      <c r="N1316" s="11"/>
      <c r="O1316" s="11"/>
      <c r="P1316" s="11"/>
      <c r="Q1316" s="11"/>
    </row>
    <row r="1317" spans="10:17">
      <c r="J1317" s="11"/>
      <c r="K1317" s="1533"/>
      <c r="L1317" s="11"/>
      <c r="M1317" s="11"/>
      <c r="N1317" s="11"/>
      <c r="O1317" s="11"/>
      <c r="P1317" s="11"/>
      <c r="Q1317" s="11"/>
    </row>
    <row r="1318" spans="10:17">
      <c r="J1318" s="11"/>
      <c r="K1318" s="1533"/>
      <c r="L1318" s="11"/>
      <c r="M1318" s="11"/>
      <c r="N1318" s="11"/>
      <c r="O1318" s="11"/>
      <c r="P1318" s="11"/>
      <c r="Q1318" s="11"/>
    </row>
    <row r="1319" spans="10:17">
      <c r="J1319" s="11"/>
      <c r="K1319" s="1533"/>
      <c r="L1319" s="11"/>
      <c r="M1319" s="11"/>
      <c r="N1319" s="11"/>
      <c r="O1319" s="11"/>
      <c r="P1319" s="11"/>
      <c r="Q1319" s="11"/>
    </row>
    <row r="1320" spans="10:17">
      <c r="J1320" s="11"/>
      <c r="K1320" s="1533"/>
      <c r="L1320" s="11"/>
      <c r="M1320" s="11"/>
      <c r="N1320" s="11"/>
      <c r="O1320" s="11"/>
      <c r="P1320" s="11"/>
      <c r="Q1320" s="11"/>
    </row>
    <row r="1321" spans="10:17">
      <c r="J1321" s="11"/>
      <c r="K1321" s="1533"/>
      <c r="L1321" s="11"/>
      <c r="M1321" s="11"/>
      <c r="N1321" s="11"/>
      <c r="O1321" s="11"/>
      <c r="P1321" s="11"/>
      <c r="Q1321" s="11"/>
    </row>
    <row r="1322" spans="10:17">
      <c r="J1322" s="11"/>
      <c r="K1322" s="1533"/>
      <c r="L1322" s="11"/>
      <c r="M1322" s="11"/>
      <c r="N1322" s="11"/>
      <c r="O1322" s="11"/>
      <c r="P1322" s="11"/>
      <c r="Q1322" s="11"/>
    </row>
    <row r="1323" spans="10:17">
      <c r="J1323" s="11"/>
      <c r="K1323" s="1533"/>
      <c r="L1323" s="11"/>
      <c r="M1323" s="11"/>
      <c r="N1323" s="11"/>
      <c r="O1323" s="11"/>
      <c r="P1323" s="11"/>
      <c r="Q1323" s="11"/>
    </row>
    <row r="1324" spans="10:17">
      <c r="J1324" s="11"/>
      <c r="K1324" s="1533"/>
      <c r="L1324" s="11"/>
      <c r="M1324" s="11"/>
      <c r="N1324" s="11"/>
      <c r="O1324" s="11"/>
      <c r="P1324" s="11"/>
      <c r="Q1324" s="11"/>
    </row>
    <row r="1325" spans="10:17">
      <c r="J1325" s="11"/>
      <c r="K1325" s="1533"/>
      <c r="L1325" s="11"/>
      <c r="M1325" s="11"/>
      <c r="N1325" s="11"/>
      <c r="O1325" s="11"/>
      <c r="P1325" s="11"/>
      <c r="Q1325" s="11"/>
    </row>
    <row r="1326" spans="10:17">
      <c r="J1326" s="11"/>
      <c r="K1326" s="1533"/>
      <c r="L1326" s="11"/>
      <c r="M1326" s="11"/>
      <c r="N1326" s="11"/>
      <c r="O1326" s="11"/>
      <c r="P1326" s="11"/>
      <c r="Q1326" s="11"/>
    </row>
    <row r="1327" spans="10:17">
      <c r="J1327" s="11"/>
      <c r="K1327" s="1533"/>
      <c r="L1327" s="11"/>
      <c r="M1327" s="11"/>
      <c r="N1327" s="11"/>
      <c r="O1327" s="11"/>
      <c r="P1327" s="11"/>
      <c r="Q1327" s="11"/>
    </row>
    <row r="1328" spans="10:17">
      <c r="J1328" s="11"/>
      <c r="K1328" s="1533"/>
      <c r="L1328" s="11"/>
      <c r="M1328" s="11"/>
      <c r="N1328" s="11"/>
      <c r="O1328" s="11"/>
      <c r="P1328" s="11"/>
      <c r="Q1328" s="11"/>
    </row>
    <row r="1329" spans="10:17">
      <c r="J1329" s="11"/>
      <c r="K1329" s="1533"/>
      <c r="L1329" s="11"/>
      <c r="M1329" s="11"/>
      <c r="N1329" s="11"/>
      <c r="O1329" s="11"/>
      <c r="P1329" s="11"/>
      <c r="Q1329" s="11"/>
    </row>
    <row r="1330" spans="10:17">
      <c r="J1330" s="11"/>
      <c r="K1330" s="1533"/>
      <c r="L1330" s="11"/>
      <c r="M1330" s="11"/>
      <c r="N1330" s="11"/>
      <c r="O1330" s="11"/>
      <c r="P1330" s="11"/>
      <c r="Q1330" s="11"/>
    </row>
    <row r="1331" spans="10:17">
      <c r="J1331" s="11"/>
      <c r="K1331" s="1533"/>
      <c r="L1331" s="11"/>
      <c r="M1331" s="11"/>
      <c r="N1331" s="11"/>
      <c r="O1331" s="11"/>
      <c r="P1331" s="11"/>
      <c r="Q1331" s="11"/>
    </row>
    <row r="1332" spans="10:17">
      <c r="J1332" s="11"/>
      <c r="K1332" s="1533"/>
      <c r="L1332" s="11"/>
      <c r="M1332" s="11"/>
      <c r="N1332" s="11"/>
      <c r="O1332" s="11"/>
      <c r="P1332" s="11"/>
      <c r="Q1332" s="11"/>
    </row>
    <row r="1333" spans="10:17">
      <c r="J1333" s="11"/>
      <c r="K1333" s="1533"/>
      <c r="L1333" s="11"/>
      <c r="M1333" s="11"/>
      <c r="N1333" s="11"/>
      <c r="O1333" s="11"/>
      <c r="P1333" s="11"/>
      <c r="Q1333" s="11"/>
    </row>
    <row r="1334" spans="10:17">
      <c r="J1334" s="11"/>
      <c r="K1334" s="1533"/>
      <c r="L1334" s="11"/>
      <c r="M1334" s="11"/>
      <c r="N1334" s="11"/>
      <c r="O1334" s="11"/>
      <c r="P1334" s="11"/>
      <c r="Q1334" s="11"/>
    </row>
    <row r="1335" spans="10:17">
      <c r="J1335" s="11"/>
      <c r="K1335" s="1533"/>
      <c r="L1335" s="11"/>
      <c r="M1335" s="11"/>
      <c r="N1335" s="11"/>
      <c r="O1335" s="11"/>
      <c r="P1335" s="11"/>
      <c r="Q1335" s="11"/>
    </row>
    <row r="1336" spans="10:17">
      <c r="J1336" s="11"/>
      <c r="K1336" s="1533"/>
      <c r="L1336" s="11"/>
      <c r="M1336" s="11"/>
      <c r="N1336" s="11"/>
      <c r="O1336" s="11"/>
      <c r="P1336" s="11"/>
      <c r="Q1336" s="11"/>
    </row>
    <row r="1337" spans="10:17">
      <c r="J1337" s="11"/>
      <c r="K1337" s="1533"/>
      <c r="L1337" s="11"/>
      <c r="M1337" s="11"/>
      <c r="N1337" s="11"/>
      <c r="O1337" s="11"/>
      <c r="P1337" s="11"/>
      <c r="Q1337" s="11"/>
    </row>
    <row r="1338" spans="10:17">
      <c r="J1338" s="11"/>
      <c r="K1338" s="1533"/>
      <c r="L1338" s="11"/>
      <c r="M1338" s="11"/>
      <c r="N1338" s="11"/>
      <c r="O1338" s="11"/>
      <c r="P1338" s="11"/>
      <c r="Q1338" s="11"/>
    </row>
    <row r="1339" spans="10:17">
      <c r="J1339" s="11"/>
      <c r="K1339" s="1533"/>
      <c r="L1339" s="11"/>
      <c r="M1339" s="11"/>
      <c r="N1339" s="11"/>
      <c r="O1339" s="11"/>
      <c r="P1339" s="11"/>
      <c r="Q1339" s="11"/>
    </row>
    <row r="1340" spans="10:17">
      <c r="J1340" s="11"/>
      <c r="K1340" s="1533"/>
      <c r="L1340" s="11"/>
      <c r="M1340" s="11"/>
      <c r="N1340" s="11"/>
      <c r="O1340" s="11"/>
      <c r="P1340" s="11"/>
      <c r="Q1340" s="11"/>
    </row>
    <row r="1341" spans="10:17">
      <c r="J1341" s="11"/>
      <c r="K1341" s="1533"/>
      <c r="L1341" s="11"/>
      <c r="M1341" s="11"/>
      <c r="N1341" s="11"/>
      <c r="O1341" s="11"/>
      <c r="P1341" s="11"/>
      <c r="Q1341" s="11"/>
    </row>
    <row r="1342" spans="10:17">
      <c r="J1342" s="11"/>
      <c r="K1342" s="1533"/>
      <c r="L1342" s="11"/>
      <c r="M1342" s="11"/>
      <c r="N1342" s="11"/>
      <c r="O1342" s="11"/>
      <c r="P1342" s="11"/>
      <c r="Q1342" s="11"/>
    </row>
    <row r="1343" spans="10:17">
      <c r="J1343" s="11"/>
      <c r="K1343" s="1533"/>
      <c r="L1343" s="11"/>
      <c r="M1343" s="11"/>
      <c r="N1343" s="11"/>
      <c r="O1343" s="11"/>
      <c r="P1343" s="11"/>
      <c r="Q1343" s="11"/>
    </row>
    <row r="1344" spans="10:17">
      <c r="J1344" s="11"/>
      <c r="K1344" s="1533"/>
      <c r="L1344" s="11"/>
      <c r="M1344" s="11"/>
      <c r="N1344" s="11"/>
      <c r="O1344" s="11"/>
      <c r="P1344" s="11"/>
      <c r="Q1344" s="11"/>
    </row>
    <row r="1345" spans="10:17">
      <c r="J1345" s="11"/>
      <c r="K1345" s="1533"/>
      <c r="L1345" s="11"/>
      <c r="M1345" s="11"/>
      <c r="N1345" s="11"/>
      <c r="O1345" s="11"/>
      <c r="P1345" s="11"/>
      <c r="Q1345" s="11"/>
    </row>
    <row r="1346" spans="10:17">
      <c r="J1346" s="11"/>
      <c r="K1346" s="1533"/>
      <c r="L1346" s="11"/>
      <c r="M1346" s="11"/>
      <c r="N1346" s="11"/>
      <c r="O1346" s="11"/>
      <c r="P1346" s="11"/>
      <c r="Q1346" s="11"/>
    </row>
    <row r="1347" spans="10:17">
      <c r="J1347" s="11"/>
      <c r="K1347" s="1533"/>
      <c r="L1347" s="11"/>
      <c r="M1347" s="11"/>
      <c r="N1347" s="11"/>
      <c r="O1347" s="11"/>
      <c r="P1347" s="11"/>
      <c r="Q1347" s="11"/>
    </row>
    <row r="1348" spans="10:17">
      <c r="J1348" s="11"/>
      <c r="K1348" s="1533"/>
      <c r="L1348" s="11"/>
      <c r="M1348" s="11"/>
      <c r="N1348" s="11"/>
      <c r="O1348" s="11"/>
      <c r="P1348" s="11"/>
      <c r="Q1348" s="11"/>
    </row>
    <row r="1349" spans="10:17">
      <c r="J1349" s="11"/>
      <c r="K1349" s="1533"/>
      <c r="L1349" s="11"/>
      <c r="M1349" s="11"/>
      <c r="N1349" s="11"/>
      <c r="O1349" s="11"/>
      <c r="P1349" s="11"/>
      <c r="Q1349" s="11"/>
    </row>
    <row r="1350" spans="10:17">
      <c r="J1350" s="11"/>
      <c r="K1350" s="1533"/>
      <c r="L1350" s="11"/>
      <c r="M1350" s="11"/>
      <c r="N1350" s="11"/>
      <c r="O1350" s="11"/>
      <c r="P1350" s="11"/>
      <c r="Q1350" s="11"/>
    </row>
    <row r="1351" spans="10:17">
      <c r="J1351" s="11"/>
      <c r="K1351" s="1533"/>
      <c r="L1351" s="11"/>
      <c r="M1351" s="11"/>
      <c r="N1351" s="11"/>
      <c r="O1351" s="11"/>
      <c r="P1351" s="11"/>
      <c r="Q1351" s="11"/>
    </row>
    <row r="1352" spans="10:17">
      <c r="J1352" s="11"/>
      <c r="K1352" s="1533"/>
      <c r="L1352" s="11"/>
      <c r="M1352" s="11"/>
      <c r="N1352" s="11"/>
      <c r="O1352" s="11"/>
      <c r="P1352" s="11"/>
      <c r="Q1352" s="11"/>
    </row>
    <row r="1353" spans="10:17">
      <c r="J1353" s="11"/>
      <c r="K1353" s="1533"/>
      <c r="L1353" s="11"/>
      <c r="M1353" s="11"/>
      <c r="N1353" s="11"/>
      <c r="O1353" s="11"/>
      <c r="P1353" s="11"/>
      <c r="Q1353" s="11"/>
    </row>
    <row r="1354" spans="10:17">
      <c r="J1354" s="11"/>
      <c r="K1354" s="1533"/>
      <c r="L1354" s="11"/>
      <c r="M1354" s="11"/>
      <c r="N1354" s="11"/>
      <c r="O1354" s="11"/>
      <c r="P1354" s="11"/>
      <c r="Q1354" s="11"/>
    </row>
    <row r="1355" spans="10:17">
      <c r="J1355" s="11"/>
      <c r="K1355" s="1533"/>
      <c r="L1355" s="11"/>
      <c r="M1355" s="11"/>
      <c r="N1355" s="11"/>
      <c r="O1355" s="11"/>
      <c r="P1355" s="11"/>
      <c r="Q1355" s="11"/>
    </row>
    <row r="1356" spans="10:17">
      <c r="J1356" s="11"/>
      <c r="K1356" s="1533"/>
      <c r="L1356" s="11"/>
      <c r="M1356" s="11"/>
      <c r="N1356" s="11"/>
      <c r="O1356" s="11"/>
      <c r="P1356" s="11"/>
      <c r="Q1356" s="11"/>
    </row>
    <row r="1357" spans="10:17">
      <c r="J1357" s="11"/>
      <c r="K1357" s="1533"/>
      <c r="L1357" s="11"/>
      <c r="M1357" s="11"/>
      <c r="N1357" s="11"/>
      <c r="O1357" s="11"/>
      <c r="P1357" s="11"/>
      <c r="Q1357" s="11"/>
    </row>
    <row r="1358" spans="10:17">
      <c r="J1358" s="11"/>
      <c r="K1358" s="1533"/>
      <c r="L1358" s="11"/>
      <c r="M1358" s="11"/>
      <c r="N1358" s="11"/>
      <c r="O1358" s="11"/>
      <c r="P1358" s="11"/>
      <c r="Q1358" s="11"/>
    </row>
    <row r="1359" spans="10:17">
      <c r="J1359" s="11"/>
      <c r="K1359" s="1533"/>
      <c r="L1359" s="11"/>
      <c r="M1359" s="11"/>
      <c r="N1359" s="11"/>
      <c r="O1359" s="11"/>
      <c r="P1359" s="11"/>
      <c r="Q1359" s="11"/>
    </row>
    <row r="1360" spans="10:17">
      <c r="J1360" s="11"/>
      <c r="K1360" s="1533"/>
      <c r="L1360" s="11"/>
      <c r="M1360" s="11"/>
      <c r="N1360" s="11"/>
      <c r="O1360" s="11"/>
      <c r="P1360" s="11"/>
      <c r="Q1360" s="11"/>
    </row>
    <row r="1361" spans="10:17">
      <c r="J1361" s="11"/>
      <c r="K1361" s="1533"/>
      <c r="L1361" s="11"/>
      <c r="M1361" s="11"/>
      <c r="N1361" s="11"/>
      <c r="O1361" s="11"/>
      <c r="P1361" s="11"/>
      <c r="Q1361" s="11"/>
    </row>
    <row r="1362" spans="10:17">
      <c r="J1362" s="11"/>
      <c r="K1362" s="1533"/>
      <c r="L1362" s="11"/>
      <c r="M1362" s="11"/>
      <c r="N1362" s="11"/>
      <c r="O1362" s="11"/>
      <c r="P1362" s="11"/>
      <c r="Q1362" s="11"/>
    </row>
    <row r="1363" spans="10:17">
      <c r="J1363" s="11"/>
      <c r="K1363" s="1533"/>
      <c r="L1363" s="11"/>
      <c r="M1363" s="11"/>
      <c r="N1363" s="11"/>
      <c r="O1363" s="11"/>
      <c r="P1363" s="11"/>
      <c r="Q1363" s="11"/>
    </row>
    <row r="1364" spans="10:17">
      <c r="J1364" s="11"/>
      <c r="K1364" s="1533"/>
      <c r="L1364" s="11"/>
      <c r="M1364" s="11"/>
      <c r="N1364" s="11"/>
      <c r="O1364" s="11"/>
      <c r="P1364" s="11"/>
      <c r="Q1364" s="11"/>
    </row>
    <row r="1365" spans="10:17">
      <c r="J1365" s="11"/>
      <c r="K1365" s="1533"/>
      <c r="L1365" s="11"/>
      <c r="M1365" s="11"/>
      <c r="N1365" s="11"/>
      <c r="O1365" s="11"/>
      <c r="P1365" s="11"/>
      <c r="Q1365" s="11"/>
    </row>
    <row r="1366" spans="10:17">
      <c r="J1366" s="11"/>
      <c r="K1366" s="1533"/>
      <c r="L1366" s="11"/>
      <c r="M1366" s="11"/>
      <c r="N1366" s="11"/>
      <c r="O1366" s="11"/>
      <c r="P1366" s="11"/>
      <c r="Q1366" s="11"/>
    </row>
    <row r="1367" spans="10:17">
      <c r="J1367" s="11"/>
      <c r="K1367" s="1533"/>
      <c r="L1367" s="11"/>
      <c r="M1367" s="11"/>
      <c r="N1367" s="11"/>
      <c r="O1367" s="11"/>
      <c r="P1367" s="11"/>
      <c r="Q1367" s="11"/>
    </row>
    <row r="1368" spans="10:17">
      <c r="J1368" s="11"/>
      <c r="K1368" s="1533"/>
      <c r="L1368" s="11"/>
      <c r="M1368" s="11"/>
      <c r="N1368" s="11"/>
      <c r="O1368" s="11"/>
      <c r="P1368" s="11"/>
      <c r="Q1368" s="11"/>
    </row>
    <row r="1369" spans="10:17">
      <c r="J1369" s="11"/>
      <c r="K1369" s="1533"/>
      <c r="L1369" s="11"/>
      <c r="M1369" s="11"/>
      <c r="N1369" s="11"/>
      <c r="O1369" s="11"/>
      <c r="P1369" s="11"/>
      <c r="Q1369" s="11"/>
    </row>
    <row r="1370" spans="10:17">
      <c r="J1370" s="11"/>
      <c r="K1370" s="1533"/>
      <c r="L1370" s="11"/>
      <c r="M1370" s="11"/>
      <c r="N1370" s="11"/>
      <c r="O1370" s="11"/>
      <c r="P1370" s="11"/>
      <c r="Q1370" s="11"/>
    </row>
    <row r="1371" spans="10:17">
      <c r="J1371" s="11"/>
      <c r="K1371" s="1533"/>
      <c r="L1371" s="11"/>
      <c r="M1371" s="11"/>
      <c r="N1371" s="11"/>
      <c r="O1371" s="11"/>
      <c r="P1371" s="11"/>
      <c r="Q1371" s="11"/>
    </row>
    <row r="1372" spans="10:17">
      <c r="J1372" s="11"/>
      <c r="K1372" s="1533"/>
      <c r="L1372" s="11"/>
      <c r="M1372" s="11"/>
      <c r="N1372" s="11"/>
      <c r="O1372" s="11"/>
      <c r="P1372" s="11"/>
      <c r="Q1372" s="11"/>
    </row>
    <row r="1373" spans="10:17">
      <c r="J1373" s="11"/>
      <c r="K1373" s="1533"/>
      <c r="L1373" s="11"/>
      <c r="M1373" s="11"/>
      <c r="N1373" s="11"/>
      <c r="O1373" s="11"/>
      <c r="P1373" s="11"/>
      <c r="Q1373" s="11"/>
    </row>
    <row r="1374" spans="10:17">
      <c r="J1374" s="11"/>
      <c r="K1374" s="1533"/>
      <c r="L1374" s="11"/>
      <c r="M1374" s="11"/>
      <c r="N1374" s="11"/>
      <c r="O1374" s="11"/>
      <c r="P1374" s="11"/>
      <c r="Q1374" s="11"/>
    </row>
    <row r="1375" spans="10:17">
      <c r="J1375" s="11"/>
      <c r="K1375" s="1533"/>
      <c r="L1375" s="11"/>
      <c r="M1375" s="11"/>
      <c r="N1375" s="11"/>
      <c r="O1375" s="11"/>
      <c r="P1375" s="11"/>
      <c r="Q1375" s="11"/>
    </row>
    <row r="1376" spans="10:17">
      <c r="J1376" s="11"/>
      <c r="K1376" s="1533"/>
      <c r="L1376" s="11"/>
      <c r="M1376" s="11"/>
      <c r="N1376" s="11"/>
      <c r="O1376" s="11"/>
      <c r="P1376" s="11"/>
      <c r="Q1376" s="11"/>
    </row>
    <row r="1377" spans="10:17">
      <c r="J1377" s="11"/>
      <c r="K1377" s="1533"/>
      <c r="L1377" s="11"/>
      <c r="M1377" s="11"/>
      <c r="N1377" s="11"/>
      <c r="O1377" s="11"/>
      <c r="P1377" s="11"/>
      <c r="Q1377" s="11"/>
    </row>
    <row r="1378" spans="10:17">
      <c r="J1378" s="11"/>
      <c r="K1378" s="1533"/>
      <c r="L1378" s="11"/>
      <c r="M1378" s="11"/>
      <c r="N1378" s="11"/>
      <c r="O1378" s="11"/>
      <c r="P1378" s="11"/>
      <c r="Q1378" s="11"/>
    </row>
    <row r="1379" spans="10:17">
      <c r="J1379" s="11"/>
      <c r="K1379" s="1533"/>
      <c r="L1379" s="11"/>
      <c r="M1379" s="11"/>
      <c r="N1379" s="11"/>
      <c r="O1379" s="11"/>
      <c r="P1379" s="11"/>
      <c r="Q1379" s="11"/>
    </row>
    <row r="1380" spans="10:17">
      <c r="J1380" s="11"/>
      <c r="K1380" s="1533"/>
      <c r="L1380" s="11"/>
      <c r="M1380" s="11"/>
      <c r="N1380" s="11"/>
      <c r="O1380" s="11"/>
      <c r="P1380" s="11"/>
      <c r="Q1380" s="11"/>
    </row>
    <row r="1381" spans="10:17">
      <c r="J1381" s="11"/>
      <c r="K1381" s="1533"/>
      <c r="L1381" s="11"/>
      <c r="M1381" s="11"/>
      <c r="N1381" s="11"/>
      <c r="O1381" s="11"/>
      <c r="P1381" s="11"/>
      <c r="Q1381" s="11"/>
    </row>
    <row r="1382" spans="10:17">
      <c r="J1382" s="11"/>
      <c r="K1382" s="1533"/>
      <c r="L1382" s="11"/>
      <c r="M1382" s="11"/>
      <c r="N1382" s="11"/>
      <c r="O1382" s="11"/>
      <c r="P1382" s="11"/>
      <c r="Q1382" s="11"/>
    </row>
    <row r="1383" spans="10:17">
      <c r="J1383" s="11"/>
      <c r="K1383" s="1533"/>
      <c r="L1383" s="11"/>
      <c r="M1383" s="11"/>
      <c r="N1383" s="11"/>
      <c r="O1383" s="11"/>
      <c r="P1383" s="11"/>
      <c r="Q1383" s="11"/>
    </row>
    <row r="1384" spans="10:17">
      <c r="J1384" s="11"/>
      <c r="K1384" s="1533"/>
      <c r="L1384" s="11"/>
      <c r="M1384" s="11"/>
      <c r="N1384" s="11"/>
      <c r="O1384" s="11"/>
      <c r="P1384" s="11"/>
      <c r="Q1384" s="11"/>
    </row>
    <row r="1385" spans="10:17">
      <c r="J1385" s="11"/>
      <c r="K1385" s="1533"/>
      <c r="L1385" s="11"/>
      <c r="M1385" s="11"/>
      <c r="N1385" s="11"/>
      <c r="O1385" s="11"/>
      <c r="P1385" s="11"/>
      <c r="Q1385" s="11"/>
    </row>
    <row r="1386" spans="10:17">
      <c r="J1386" s="11"/>
      <c r="K1386" s="1533"/>
      <c r="L1386" s="11"/>
      <c r="M1386" s="11"/>
      <c r="N1386" s="11"/>
      <c r="O1386" s="11"/>
      <c r="P1386" s="11"/>
      <c r="Q1386" s="11"/>
    </row>
    <row r="1387" spans="10:17">
      <c r="J1387" s="11"/>
      <c r="K1387" s="1533"/>
      <c r="L1387" s="11"/>
      <c r="M1387" s="11"/>
      <c r="N1387" s="11"/>
      <c r="O1387" s="11"/>
      <c r="P1387" s="11"/>
      <c r="Q1387" s="11"/>
    </row>
    <row r="1388" spans="10:17">
      <c r="J1388" s="11"/>
      <c r="K1388" s="1533"/>
      <c r="L1388" s="11"/>
      <c r="M1388" s="11"/>
      <c r="N1388" s="11"/>
      <c r="O1388" s="11"/>
      <c r="P1388" s="11"/>
      <c r="Q1388" s="11"/>
    </row>
    <row r="1389" spans="10:17">
      <c r="J1389" s="11"/>
      <c r="K1389" s="1533"/>
      <c r="L1389" s="11"/>
      <c r="M1389" s="11"/>
      <c r="N1389" s="11"/>
      <c r="O1389" s="11"/>
      <c r="P1389" s="11"/>
      <c r="Q1389" s="11"/>
    </row>
    <row r="1390" spans="10:17">
      <c r="J1390" s="11"/>
      <c r="K1390" s="1533"/>
      <c r="L1390" s="11"/>
      <c r="M1390" s="11"/>
      <c r="N1390" s="11"/>
      <c r="O1390" s="11"/>
      <c r="P1390" s="11"/>
      <c r="Q1390" s="11"/>
    </row>
    <row r="1391" spans="10:17">
      <c r="J1391" s="11"/>
      <c r="K1391" s="1533"/>
      <c r="L1391" s="11"/>
      <c r="M1391" s="11"/>
      <c r="N1391" s="11"/>
      <c r="O1391" s="11"/>
      <c r="P1391" s="11"/>
      <c r="Q1391" s="11"/>
    </row>
    <row r="1392" spans="10:17">
      <c r="J1392" s="11"/>
      <c r="K1392" s="1533"/>
      <c r="L1392" s="11"/>
      <c r="M1392" s="11"/>
      <c r="N1392" s="11"/>
      <c r="O1392" s="11"/>
      <c r="P1392" s="11"/>
      <c r="Q1392" s="11"/>
    </row>
    <row r="1393" spans="10:17">
      <c r="J1393" s="11"/>
      <c r="K1393" s="1533"/>
      <c r="L1393" s="11"/>
      <c r="M1393" s="11"/>
      <c r="N1393" s="11"/>
      <c r="O1393" s="11"/>
      <c r="P1393" s="11"/>
      <c r="Q1393" s="11"/>
    </row>
    <row r="1394" spans="10:17">
      <c r="J1394" s="11"/>
      <c r="K1394" s="1533"/>
      <c r="L1394" s="11"/>
      <c r="M1394" s="11"/>
      <c r="N1394" s="11"/>
      <c r="O1394" s="11"/>
      <c r="P1394" s="11"/>
      <c r="Q1394" s="11"/>
    </row>
    <row r="1395" spans="10:17">
      <c r="J1395" s="11"/>
      <c r="K1395" s="1533"/>
      <c r="L1395" s="11"/>
      <c r="M1395" s="11"/>
      <c r="N1395" s="11"/>
      <c r="O1395" s="11"/>
      <c r="P1395" s="11"/>
      <c r="Q1395" s="11"/>
    </row>
    <row r="1396" spans="10:17">
      <c r="J1396" s="11"/>
      <c r="K1396" s="1533"/>
      <c r="L1396" s="11"/>
      <c r="M1396" s="11"/>
      <c r="N1396" s="11"/>
      <c r="O1396" s="11"/>
      <c r="P1396" s="11"/>
      <c r="Q1396" s="11"/>
    </row>
    <row r="1397" spans="10:17">
      <c r="J1397" s="11"/>
      <c r="K1397" s="1533"/>
      <c r="L1397" s="11"/>
      <c r="M1397" s="11"/>
      <c r="N1397" s="11"/>
      <c r="O1397" s="11"/>
      <c r="P1397" s="11"/>
      <c r="Q1397" s="11"/>
    </row>
    <row r="1398" spans="10:17">
      <c r="J1398" s="11"/>
      <c r="K1398" s="1533"/>
      <c r="L1398" s="11"/>
      <c r="M1398" s="11"/>
      <c r="N1398" s="11"/>
      <c r="O1398" s="11"/>
      <c r="P1398" s="11"/>
      <c r="Q1398" s="11"/>
    </row>
    <row r="1399" spans="10:17">
      <c r="J1399" s="11"/>
      <c r="K1399" s="1533"/>
      <c r="L1399" s="11"/>
      <c r="M1399" s="11"/>
      <c r="N1399" s="11"/>
      <c r="O1399" s="11"/>
      <c r="P1399" s="11"/>
      <c r="Q1399" s="11"/>
    </row>
    <row r="1400" spans="10:17">
      <c r="J1400" s="11"/>
      <c r="K1400" s="1533"/>
      <c r="L1400" s="11"/>
      <c r="M1400" s="11"/>
      <c r="N1400" s="11"/>
      <c r="O1400" s="11"/>
      <c r="P1400" s="11"/>
      <c r="Q1400" s="11"/>
    </row>
    <row r="1401" spans="10:17">
      <c r="J1401" s="11"/>
      <c r="K1401" s="1533"/>
      <c r="L1401" s="11"/>
      <c r="M1401" s="11"/>
      <c r="N1401" s="11"/>
      <c r="O1401" s="11"/>
      <c r="P1401" s="11"/>
      <c r="Q1401" s="11"/>
    </row>
    <row r="1402" spans="10:17">
      <c r="J1402" s="11"/>
      <c r="K1402" s="1533"/>
      <c r="L1402" s="11"/>
      <c r="M1402" s="11"/>
      <c r="N1402" s="11"/>
      <c r="O1402" s="11"/>
      <c r="P1402" s="11"/>
      <c r="Q1402" s="11"/>
    </row>
    <row r="1403" spans="10:17">
      <c r="J1403" s="11"/>
      <c r="K1403" s="1533"/>
      <c r="L1403" s="11"/>
      <c r="M1403" s="11"/>
      <c r="N1403" s="11"/>
      <c r="O1403" s="11"/>
      <c r="P1403" s="11"/>
      <c r="Q1403" s="11"/>
    </row>
    <row r="1404" spans="10:17">
      <c r="J1404" s="11"/>
      <c r="K1404" s="1533"/>
      <c r="L1404" s="11"/>
      <c r="M1404" s="11"/>
      <c r="N1404" s="11"/>
      <c r="O1404" s="11"/>
      <c r="P1404" s="11"/>
      <c r="Q1404" s="11"/>
    </row>
    <row r="1405" spans="10:17">
      <c r="J1405" s="11"/>
      <c r="K1405" s="1533"/>
      <c r="L1405" s="11"/>
      <c r="M1405" s="11"/>
      <c r="N1405" s="11"/>
      <c r="O1405" s="11"/>
      <c r="P1405" s="11"/>
      <c r="Q1405" s="11"/>
    </row>
    <row r="1406" spans="10:17">
      <c r="J1406" s="11"/>
      <c r="K1406" s="1533"/>
      <c r="L1406" s="11"/>
      <c r="M1406" s="11"/>
      <c r="N1406" s="11"/>
      <c r="O1406" s="11"/>
      <c r="P1406" s="11"/>
      <c r="Q1406" s="11"/>
    </row>
    <row r="1407" spans="10:17">
      <c r="J1407" s="11"/>
      <c r="K1407" s="1533"/>
      <c r="L1407" s="11"/>
      <c r="M1407" s="11"/>
      <c r="N1407" s="11"/>
      <c r="O1407" s="11"/>
      <c r="P1407" s="11"/>
      <c r="Q1407" s="11"/>
    </row>
    <row r="1408" spans="10:17">
      <c r="J1408" s="11"/>
      <c r="K1408" s="1533"/>
      <c r="L1408" s="11"/>
      <c r="M1408" s="11"/>
      <c r="N1408" s="11"/>
      <c r="O1408" s="11"/>
      <c r="P1408" s="11"/>
      <c r="Q1408" s="11"/>
    </row>
    <row r="1409" spans="10:17">
      <c r="J1409" s="11"/>
      <c r="K1409" s="1533"/>
      <c r="L1409" s="11"/>
      <c r="M1409" s="11"/>
      <c r="N1409" s="11"/>
      <c r="O1409" s="11"/>
      <c r="P1409" s="11"/>
      <c r="Q1409" s="11"/>
    </row>
    <row r="1410" spans="10:17">
      <c r="J1410" s="11"/>
      <c r="K1410" s="1533"/>
      <c r="L1410" s="11"/>
      <c r="M1410" s="11"/>
      <c r="N1410" s="11"/>
      <c r="O1410" s="11"/>
      <c r="P1410" s="11"/>
      <c r="Q1410" s="11"/>
    </row>
    <row r="1411" spans="10:17">
      <c r="J1411" s="11"/>
      <c r="K1411" s="1533"/>
      <c r="L1411" s="11"/>
      <c r="M1411" s="11"/>
      <c r="N1411" s="11"/>
      <c r="O1411" s="11"/>
      <c r="P1411" s="11"/>
      <c r="Q1411" s="11"/>
    </row>
    <row r="1412" spans="10:17">
      <c r="J1412" s="11"/>
      <c r="K1412" s="1533"/>
      <c r="L1412" s="11"/>
      <c r="M1412" s="11"/>
      <c r="N1412" s="11"/>
      <c r="O1412" s="11"/>
      <c r="P1412" s="11"/>
      <c r="Q1412" s="11"/>
    </row>
    <row r="1413" spans="10:17">
      <c r="J1413" s="11"/>
      <c r="K1413" s="1533"/>
      <c r="L1413" s="11"/>
      <c r="M1413" s="11"/>
      <c r="N1413" s="11"/>
      <c r="O1413" s="11"/>
      <c r="P1413" s="11"/>
      <c r="Q1413" s="11"/>
    </row>
    <row r="1414" spans="10:17">
      <c r="J1414" s="11"/>
      <c r="K1414" s="1533"/>
      <c r="L1414" s="11"/>
      <c r="M1414" s="11"/>
      <c r="N1414" s="11"/>
      <c r="O1414" s="11"/>
      <c r="P1414" s="11"/>
      <c r="Q1414" s="11"/>
    </row>
    <row r="1415" spans="10:17">
      <c r="J1415" s="11"/>
      <c r="K1415" s="1533"/>
      <c r="L1415" s="11"/>
      <c r="M1415" s="11"/>
      <c r="N1415" s="11"/>
      <c r="O1415" s="11"/>
      <c r="P1415" s="11"/>
      <c r="Q1415" s="11"/>
    </row>
    <row r="1416" spans="10:17">
      <c r="J1416" s="11"/>
      <c r="K1416" s="1533"/>
      <c r="L1416" s="11"/>
      <c r="M1416" s="11"/>
      <c r="N1416" s="11"/>
      <c r="O1416" s="11"/>
      <c r="P1416" s="11"/>
      <c r="Q1416" s="11"/>
    </row>
    <row r="1417" spans="10:17">
      <c r="J1417" s="11"/>
      <c r="K1417" s="1533"/>
      <c r="L1417" s="11"/>
      <c r="M1417" s="11"/>
      <c r="N1417" s="11"/>
      <c r="O1417" s="11"/>
      <c r="P1417" s="11"/>
      <c r="Q1417" s="11"/>
    </row>
    <row r="1418" spans="10:17">
      <c r="J1418" s="11"/>
      <c r="K1418" s="1533"/>
      <c r="L1418" s="11"/>
      <c r="M1418" s="11"/>
      <c r="N1418" s="11"/>
      <c r="O1418" s="11"/>
      <c r="P1418" s="11"/>
      <c r="Q1418" s="11"/>
    </row>
    <row r="1419" spans="10:17">
      <c r="J1419" s="11"/>
      <c r="K1419" s="1533"/>
      <c r="L1419" s="11"/>
      <c r="M1419" s="11"/>
      <c r="N1419" s="11"/>
      <c r="O1419" s="11"/>
      <c r="P1419" s="11"/>
      <c r="Q1419" s="11"/>
    </row>
    <row r="1420" spans="10:17">
      <c r="J1420" s="11"/>
      <c r="K1420" s="1533"/>
      <c r="L1420" s="11"/>
      <c r="M1420" s="11"/>
      <c r="N1420" s="11"/>
      <c r="O1420" s="11"/>
      <c r="P1420" s="11"/>
      <c r="Q1420" s="11"/>
    </row>
    <row r="1421" spans="10:17">
      <c r="J1421" s="11"/>
      <c r="K1421" s="1533"/>
      <c r="L1421" s="11"/>
      <c r="M1421" s="11"/>
      <c r="N1421" s="11"/>
      <c r="O1421" s="11"/>
      <c r="P1421" s="11"/>
      <c r="Q1421" s="11"/>
    </row>
    <row r="1422" spans="10:17">
      <c r="J1422" s="11"/>
      <c r="K1422" s="1533"/>
      <c r="L1422" s="11"/>
      <c r="M1422" s="11"/>
      <c r="N1422" s="11"/>
      <c r="O1422" s="11"/>
      <c r="P1422" s="11"/>
      <c r="Q1422" s="11"/>
    </row>
    <row r="1423" spans="10:17">
      <c r="J1423" s="11"/>
      <c r="K1423" s="1533"/>
      <c r="L1423" s="11"/>
      <c r="M1423" s="11"/>
      <c r="N1423" s="11"/>
      <c r="O1423" s="11"/>
      <c r="P1423" s="11"/>
      <c r="Q1423" s="11"/>
    </row>
    <row r="1424" spans="10:17">
      <c r="J1424" s="11"/>
      <c r="K1424" s="1533"/>
      <c r="L1424" s="11"/>
      <c r="M1424" s="11"/>
      <c r="N1424" s="11"/>
      <c r="O1424" s="11"/>
      <c r="P1424" s="11"/>
      <c r="Q1424" s="11"/>
    </row>
    <row r="1425" spans="10:17">
      <c r="J1425" s="11"/>
      <c r="K1425" s="1533"/>
      <c r="L1425" s="11"/>
      <c r="M1425" s="11"/>
      <c r="N1425" s="11"/>
      <c r="O1425" s="11"/>
      <c r="P1425" s="11"/>
      <c r="Q1425" s="11"/>
    </row>
    <row r="1426" spans="10:17">
      <c r="J1426" s="11"/>
      <c r="K1426" s="1533"/>
      <c r="L1426" s="11"/>
      <c r="M1426" s="11"/>
      <c r="N1426" s="11"/>
      <c r="O1426" s="11"/>
      <c r="P1426" s="11"/>
      <c r="Q1426" s="11"/>
    </row>
    <row r="1427" spans="10:17">
      <c r="J1427" s="11"/>
      <c r="K1427" s="1533"/>
      <c r="L1427" s="11"/>
      <c r="M1427" s="11"/>
      <c r="N1427" s="11"/>
      <c r="O1427" s="11"/>
      <c r="P1427" s="11"/>
      <c r="Q1427" s="11"/>
    </row>
    <row r="1428" spans="10:17">
      <c r="J1428" s="11"/>
      <c r="K1428" s="1533"/>
      <c r="L1428" s="11"/>
      <c r="M1428" s="11"/>
      <c r="N1428" s="11"/>
      <c r="O1428" s="11"/>
      <c r="P1428" s="11"/>
      <c r="Q1428" s="11"/>
    </row>
    <row r="1429" spans="10:17">
      <c r="J1429" s="11"/>
      <c r="K1429" s="1533"/>
      <c r="L1429" s="11"/>
      <c r="M1429" s="11"/>
      <c r="N1429" s="11"/>
      <c r="O1429" s="11"/>
      <c r="P1429" s="11"/>
      <c r="Q1429" s="11"/>
    </row>
    <row r="1430" spans="10:17">
      <c r="J1430" s="11"/>
      <c r="K1430" s="1533"/>
      <c r="L1430" s="11"/>
      <c r="M1430" s="11"/>
      <c r="N1430" s="11"/>
      <c r="O1430" s="11"/>
      <c r="P1430" s="11"/>
      <c r="Q1430" s="11"/>
    </row>
    <row r="1431" spans="10:17">
      <c r="J1431" s="11"/>
      <c r="K1431" s="1533"/>
      <c r="L1431" s="11"/>
      <c r="M1431" s="11"/>
      <c r="N1431" s="11"/>
      <c r="O1431" s="11"/>
      <c r="P1431" s="11"/>
      <c r="Q1431" s="11"/>
    </row>
    <row r="1432" spans="10:17">
      <c r="J1432" s="11"/>
      <c r="K1432" s="1533"/>
      <c r="L1432" s="11"/>
      <c r="M1432" s="11"/>
      <c r="N1432" s="11"/>
      <c r="O1432" s="11"/>
      <c r="P1432" s="11"/>
      <c r="Q1432" s="11"/>
    </row>
    <row r="1433" spans="10:17">
      <c r="J1433" s="11"/>
      <c r="K1433" s="1533"/>
      <c r="L1433" s="11"/>
      <c r="M1433" s="11"/>
      <c r="N1433" s="11"/>
      <c r="O1433" s="11"/>
      <c r="P1433" s="11"/>
      <c r="Q1433" s="11"/>
    </row>
    <row r="1434" spans="10:17">
      <c r="J1434" s="11"/>
      <c r="K1434" s="1533"/>
      <c r="L1434" s="11"/>
      <c r="M1434" s="11"/>
      <c r="N1434" s="11"/>
      <c r="O1434" s="11"/>
      <c r="P1434" s="11"/>
      <c r="Q1434" s="11"/>
    </row>
    <row r="1435" spans="10:17">
      <c r="J1435" s="11"/>
      <c r="K1435" s="1533"/>
      <c r="L1435" s="11"/>
      <c r="M1435" s="11"/>
      <c r="N1435" s="11"/>
      <c r="O1435" s="11"/>
      <c r="P1435" s="11"/>
      <c r="Q1435" s="11"/>
    </row>
    <row r="1436" spans="10:17">
      <c r="J1436" s="11"/>
      <c r="K1436" s="1533"/>
      <c r="L1436" s="11"/>
      <c r="M1436" s="11"/>
      <c r="N1436" s="11"/>
      <c r="O1436" s="11"/>
      <c r="P1436" s="11"/>
      <c r="Q1436" s="11"/>
    </row>
    <row r="1437" spans="10:17">
      <c r="J1437" s="11"/>
      <c r="K1437" s="1533"/>
      <c r="L1437" s="11"/>
      <c r="M1437" s="11"/>
      <c r="N1437" s="11"/>
      <c r="O1437" s="11"/>
      <c r="P1437" s="11"/>
      <c r="Q1437" s="11"/>
    </row>
    <row r="1438" spans="10:17">
      <c r="J1438" s="11"/>
      <c r="K1438" s="1533"/>
      <c r="L1438" s="11"/>
      <c r="M1438" s="11"/>
      <c r="N1438" s="11"/>
      <c r="O1438" s="11"/>
      <c r="P1438" s="11"/>
      <c r="Q1438" s="11"/>
    </row>
    <row r="1439" spans="10:17">
      <c r="J1439" s="11"/>
      <c r="K1439" s="1533"/>
      <c r="L1439" s="11"/>
      <c r="M1439" s="11"/>
      <c r="N1439" s="11"/>
      <c r="O1439" s="11"/>
      <c r="P1439" s="11"/>
      <c r="Q1439" s="11"/>
    </row>
    <row r="1440" spans="10:17">
      <c r="J1440" s="11"/>
      <c r="K1440" s="1533"/>
      <c r="L1440" s="11"/>
      <c r="M1440" s="11"/>
      <c r="N1440" s="11"/>
      <c r="O1440" s="11"/>
      <c r="P1440" s="11"/>
      <c r="Q1440" s="11"/>
    </row>
    <row r="1441" spans="10:17">
      <c r="J1441" s="11"/>
      <c r="K1441" s="1533"/>
      <c r="L1441" s="11"/>
      <c r="M1441" s="11"/>
      <c r="N1441" s="11"/>
      <c r="O1441" s="11"/>
      <c r="P1441" s="11"/>
      <c r="Q1441" s="11"/>
    </row>
    <row r="1442" spans="10:17">
      <c r="J1442" s="11"/>
      <c r="K1442" s="1533"/>
      <c r="L1442" s="11"/>
      <c r="M1442" s="11"/>
      <c r="N1442" s="11"/>
      <c r="O1442" s="11"/>
      <c r="P1442" s="11"/>
      <c r="Q1442" s="11"/>
    </row>
    <row r="1443" spans="10:17">
      <c r="J1443" s="11"/>
      <c r="K1443" s="1533"/>
      <c r="L1443" s="11"/>
      <c r="M1443" s="11"/>
      <c r="N1443" s="11"/>
      <c r="O1443" s="11"/>
      <c r="P1443" s="11"/>
      <c r="Q1443" s="11"/>
    </row>
    <row r="1444" spans="10:17">
      <c r="J1444" s="11"/>
      <c r="K1444" s="1533"/>
      <c r="L1444" s="11"/>
      <c r="M1444" s="11"/>
      <c r="N1444" s="11"/>
      <c r="O1444" s="11"/>
      <c r="P1444" s="11"/>
      <c r="Q1444" s="11"/>
    </row>
    <row r="1445" spans="10:17">
      <c r="J1445" s="11"/>
      <c r="K1445" s="1533"/>
      <c r="L1445" s="11"/>
      <c r="M1445" s="11"/>
      <c r="N1445" s="11"/>
      <c r="O1445" s="11"/>
      <c r="P1445" s="11"/>
      <c r="Q1445" s="11"/>
    </row>
    <row r="1446" spans="10:17">
      <c r="J1446" s="11"/>
      <c r="K1446" s="1533"/>
      <c r="L1446" s="11"/>
      <c r="M1446" s="11"/>
      <c r="N1446" s="11"/>
      <c r="O1446" s="11"/>
      <c r="P1446" s="11"/>
      <c r="Q1446" s="11"/>
    </row>
    <row r="1447" spans="10:17">
      <c r="J1447" s="11"/>
      <c r="K1447" s="1533"/>
      <c r="L1447" s="11"/>
      <c r="M1447" s="11"/>
      <c r="N1447" s="11"/>
      <c r="O1447" s="11"/>
      <c r="P1447" s="11"/>
      <c r="Q1447" s="11"/>
    </row>
    <row r="1448" spans="10:17">
      <c r="J1448" s="11"/>
      <c r="K1448" s="1533"/>
      <c r="L1448" s="11"/>
      <c r="M1448" s="11"/>
      <c r="N1448" s="11"/>
      <c r="O1448" s="11"/>
      <c r="P1448" s="11"/>
      <c r="Q1448" s="11"/>
    </row>
    <row r="1449" spans="10:17">
      <c r="J1449" s="11"/>
      <c r="K1449" s="1533"/>
      <c r="L1449" s="11"/>
      <c r="M1449" s="11"/>
      <c r="N1449" s="11"/>
      <c r="O1449" s="11"/>
      <c r="P1449" s="11"/>
      <c r="Q1449" s="11"/>
    </row>
    <row r="1450" spans="10:17">
      <c r="J1450" s="11"/>
      <c r="K1450" s="1533"/>
      <c r="L1450" s="11"/>
      <c r="M1450" s="11"/>
      <c r="N1450" s="11"/>
      <c r="O1450" s="11"/>
      <c r="P1450" s="11"/>
      <c r="Q1450" s="11"/>
    </row>
    <row r="1451" spans="10:17">
      <c r="J1451" s="11"/>
      <c r="K1451" s="1533"/>
      <c r="L1451" s="11"/>
      <c r="M1451" s="11"/>
      <c r="N1451" s="11"/>
      <c r="O1451" s="11"/>
      <c r="P1451" s="11"/>
      <c r="Q1451" s="11"/>
    </row>
    <row r="1452" spans="10:17">
      <c r="J1452" s="11"/>
      <c r="K1452" s="1533"/>
      <c r="L1452" s="11"/>
      <c r="M1452" s="11"/>
      <c r="N1452" s="11"/>
      <c r="O1452" s="11"/>
      <c r="P1452" s="11"/>
      <c r="Q1452" s="11"/>
    </row>
    <row r="1453" spans="10:17">
      <c r="J1453" s="11"/>
      <c r="K1453" s="1533"/>
      <c r="L1453" s="11"/>
      <c r="M1453" s="11"/>
      <c r="N1453" s="11"/>
      <c r="O1453" s="11"/>
      <c r="P1453" s="11"/>
      <c r="Q1453" s="11"/>
    </row>
    <row r="1454" spans="10:17">
      <c r="J1454" s="11"/>
      <c r="K1454" s="1533"/>
      <c r="L1454" s="11"/>
      <c r="M1454" s="11"/>
      <c r="N1454" s="11"/>
      <c r="O1454" s="11"/>
      <c r="P1454" s="11"/>
      <c r="Q1454" s="11"/>
    </row>
    <row r="1455" spans="10:17">
      <c r="J1455" s="11"/>
      <c r="K1455" s="1533"/>
      <c r="L1455" s="11"/>
      <c r="M1455" s="11"/>
      <c r="N1455" s="11"/>
      <c r="O1455" s="11"/>
      <c r="P1455" s="11"/>
      <c r="Q1455" s="11"/>
    </row>
    <row r="1456" spans="10:17">
      <c r="J1456" s="11"/>
      <c r="K1456" s="1533"/>
      <c r="L1456" s="11"/>
      <c r="M1456" s="11"/>
      <c r="N1456" s="11"/>
      <c r="O1456" s="11"/>
      <c r="P1456" s="11"/>
      <c r="Q1456" s="11"/>
    </row>
    <row r="1457" spans="10:17">
      <c r="J1457" s="11"/>
      <c r="K1457" s="1533"/>
      <c r="L1457" s="11"/>
      <c r="M1457" s="11"/>
      <c r="N1457" s="11"/>
      <c r="O1457" s="11"/>
      <c r="P1457" s="11"/>
      <c r="Q1457" s="11"/>
    </row>
    <row r="1458" spans="10:17">
      <c r="J1458" s="11"/>
      <c r="K1458" s="1533"/>
      <c r="L1458" s="11"/>
      <c r="M1458" s="11"/>
      <c r="N1458" s="11"/>
      <c r="O1458" s="11"/>
      <c r="P1458" s="11"/>
      <c r="Q1458" s="11"/>
    </row>
    <row r="1459" spans="10:17">
      <c r="J1459" s="11"/>
      <c r="K1459" s="1533"/>
      <c r="L1459" s="11"/>
      <c r="M1459" s="11"/>
      <c r="N1459" s="11"/>
      <c r="O1459" s="11"/>
      <c r="P1459" s="11"/>
      <c r="Q1459" s="11"/>
    </row>
    <row r="1460" spans="10:17">
      <c r="J1460" s="11"/>
      <c r="K1460" s="1533"/>
      <c r="L1460" s="11"/>
      <c r="M1460" s="11"/>
      <c r="N1460" s="11"/>
      <c r="O1460" s="11"/>
      <c r="P1460" s="11"/>
      <c r="Q1460" s="11"/>
    </row>
    <row r="1461" spans="10:17">
      <c r="J1461" s="11"/>
      <c r="K1461" s="1533"/>
      <c r="L1461" s="11"/>
      <c r="M1461" s="11"/>
      <c r="N1461" s="11"/>
      <c r="O1461" s="11"/>
      <c r="P1461" s="11"/>
      <c r="Q1461" s="11"/>
    </row>
    <row r="1462" spans="10:17">
      <c r="J1462" s="11"/>
      <c r="K1462" s="1533"/>
      <c r="L1462" s="11"/>
      <c r="M1462" s="11"/>
      <c r="N1462" s="11"/>
      <c r="O1462" s="11"/>
      <c r="P1462" s="11"/>
      <c r="Q1462" s="11"/>
    </row>
    <row r="1463" spans="10:17">
      <c r="J1463" s="11"/>
      <c r="K1463" s="1533"/>
      <c r="L1463" s="11"/>
      <c r="M1463" s="11"/>
      <c r="N1463" s="11"/>
      <c r="O1463" s="11"/>
      <c r="P1463" s="11"/>
      <c r="Q1463" s="11"/>
    </row>
    <row r="1464" spans="10:17">
      <c r="J1464" s="11"/>
      <c r="K1464" s="1533"/>
      <c r="L1464" s="11"/>
      <c r="M1464" s="11"/>
      <c r="N1464" s="11"/>
      <c r="O1464" s="11"/>
      <c r="P1464" s="11"/>
      <c r="Q1464" s="11"/>
    </row>
    <row r="1465" spans="10:17">
      <c r="J1465" s="11"/>
      <c r="K1465" s="1533"/>
      <c r="L1465" s="11"/>
      <c r="M1465" s="11"/>
      <c r="N1465" s="11"/>
      <c r="O1465" s="11"/>
      <c r="P1465" s="11"/>
      <c r="Q1465" s="11"/>
    </row>
    <row r="1466" spans="10:17">
      <c r="J1466" s="11"/>
      <c r="K1466" s="1533"/>
      <c r="L1466" s="11"/>
      <c r="M1466" s="11"/>
      <c r="N1466" s="11"/>
      <c r="O1466" s="11"/>
      <c r="P1466" s="11"/>
      <c r="Q1466" s="11"/>
    </row>
    <row r="1467" spans="10:17">
      <c r="J1467" s="11"/>
      <c r="K1467" s="1533"/>
      <c r="L1467" s="11"/>
      <c r="M1467" s="11"/>
      <c r="N1467" s="11"/>
      <c r="O1467" s="11"/>
      <c r="P1467" s="11"/>
      <c r="Q1467" s="11"/>
    </row>
    <row r="1468" spans="10:17">
      <c r="J1468" s="11"/>
      <c r="K1468" s="1533"/>
      <c r="L1468" s="11"/>
      <c r="M1468" s="11"/>
      <c r="N1468" s="11"/>
      <c r="O1468" s="11"/>
      <c r="P1468" s="11"/>
      <c r="Q1468" s="11"/>
    </row>
    <row r="1469" spans="10:17">
      <c r="J1469" s="11"/>
      <c r="K1469" s="1533"/>
      <c r="L1469" s="11"/>
      <c r="M1469" s="11"/>
      <c r="N1469" s="11"/>
      <c r="O1469" s="11"/>
      <c r="P1469" s="11"/>
      <c r="Q1469" s="11"/>
    </row>
    <row r="1470" spans="10:17">
      <c r="J1470" s="11"/>
      <c r="K1470" s="1533"/>
      <c r="L1470" s="11"/>
      <c r="M1470" s="11"/>
      <c r="N1470" s="11"/>
      <c r="O1470" s="11"/>
      <c r="P1470" s="11"/>
      <c r="Q1470" s="11"/>
    </row>
    <row r="1471" spans="10:17">
      <c r="J1471" s="11"/>
      <c r="K1471" s="1533"/>
      <c r="L1471" s="11"/>
      <c r="M1471" s="11"/>
      <c r="N1471" s="11"/>
      <c r="O1471" s="11"/>
      <c r="P1471" s="11"/>
      <c r="Q1471" s="11"/>
    </row>
    <row r="1472" spans="10:17">
      <c r="J1472" s="11"/>
      <c r="K1472" s="1533"/>
      <c r="L1472" s="11"/>
      <c r="M1472" s="11"/>
      <c r="N1472" s="11"/>
      <c r="O1472" s="11"/>
      <c r="P1472" s="11"/>
      <c r="Q1472" s="11"/>
    </row>
    <row r="1473" spans="10:17">
      <c r="J1473" s="11"/>
      <c r="K1473" s="1533"/>
      <c r="L1473" s="11"/>
      <c r="M1473" s="11"/>
      <c r="N1473" s="11"/>
      <c r="O1473" s="11"/>
      <c r="P1473" s="11"/>
      <c r="Q1473" s="11"/>
    </row>
    <row r="1474" spans="10:17">
      <c r="J1474" s="11"/>
      <c r="K1474" s="1533"/>
      <c r="L1474" s="11"/>
      <c r="M1474" s="11"/>
      <c r="N1474" s="11"/>
      <c r="O1474" s="11"/>
      <c r="P1474" s="11"/>
      <c r="Q1474" s="11"/>
    </row>
    <row r="1475" spans="10:17">
      <c r="J1475" s="11"/>
      <c r="K1475" s="1533"/>
      <c r="L1475" s="11"/>
      <c r="M1475" s="11"/>
      <c r="N1475" s="11"/>
      <c r="O1475" s="11"/>
      <c r="P1475" s="11"/>
      <c r="Q1475" s="11"/>
    </row>
    <row r="1476" spans="10:17">
      <c r="J1476" s="11"/>
      <c r="K1476" s="1533"/>
      <c r="L1476" s="11"/>
      <c r="M1476" s="11"/>
      <c r="N1476" s="11"/>
      <c r="O1476" s="11"/>
      <c r="P1476" s="11"/>
      <c r="Q1476" s="11"/>
    </row>
    <row r="1477" spans="10:17">
      <c r="J1477" s="11"/>
      <c r="K1477" s="1533"/>
      <c r="L1477" s="11"/>
      <c r="M1477" s="11"/>
      <c r="N1477" s="11"/>
      <c r="O1477" s="11"/>
      <c r="P1477" s="11"/>
      <c r="Q1477" s="11"/>
    </row>
    <row r="1478" spans="10:17">
      <c r="J1478" s="11"/>
      <c r="K1478" s="1533"/>
      <c r="L1478" s="11"/>
      <c r="M1478" s="11"/>
      <c r="N1478" s="11"/>
      <c r="O1478" s="11"/>
      <c r="P1478" s="11"/>
      <c r="Q1478" s="11"/>
    </row>
    <row r="1479" spans="10:17">
      <c r="J1479" s="11"/>
      <c r="K1479" s="1533"/>
      <c r="L1479" s="11"/>
      <c r="M1479" s="11"/>
      <c r="N1479" s="11"/>
      <c r="O1479" s="11"/>
      <c r="P1479" s="11"/>
      <c r="Q1479" s="11"/>
    </row>
    <row r="1480" spans="10:17">
      <c r="J1480" s="11"/>
      <c r="K1480" s="1533"/>
      <c r="L1480" s="11"/>
      <c r="M1480" s="11"/>
      <c r="N1480" s="11"/>
      <c r="O1480" s="11"/>
      <c r="P1480" s="11"/>
      <c r="Q1480" s="11"/>
    </row>
    <row r="1481" spans="10:17">
      <c r="J1481" s="11"/>
      <c r="K1481" s="1533"/>
      <c r="L1481" s="11"/>
      <c r="M1481" s="11"/>
      <c r="N1481" s="11"/>
      <c r="O1481" s="11"/>
      <c r="P1481" s="11"/>
      <c r="Q1481" s="11"/>
    </row>
    <row r="1482" spans="10:17">
      <c r="J1482" s="11"/>
      <c r="K1482" s="1533"/>
      <c r="L1482" s="11"/>
      <c r="M1482" s="11"/>
      <c r="N1482" s="11"/>
      <c r="O1482" s="11"/>
      <c r="P1482" s="11"/>
      <c r="Q1482" s="11"/>
    </row>
    <row r="1483" spans="10:17">
      <c r="J1483" s="11"/>
      <c r="K1483" s="1533"/>
      <c r="L1483" s="11"/>
      <c r="M1483" s="11"/>
      <c r="N1483" s="11"/>
      <c r="O1483" s="11"/>
      <c r="P1483" s="11"/>
      <c r="Q1483" s="11"/>
    </row>
    <row r="1484" spans="10:17">
      <c r="J1484" s="11"/>
      <c r="K1484" s="1533"/>
      <c r="L1484" s="11"/>
      <c r="M1484" s="11"/>
      <c r="N1484" s="11"/>
      <c r="O1484" s="11"/>
      <c r="P1484" s="11"/>
      <c r="Q1484" s="11"/>
    </row>
    <row r="1485" spans="10:17">
      <c r="J1485" s="11"/>
      <c r="K1485" s="1533"/>
      <c r="L1485" s="11"/>
      <c r="M1485" s="11"/>
      <c r="N1485" s="11"/>
      <c r="O1485" s="11"/>
      <c r="P1485" s="11"/>
      <c r="Q1485" s="11"/>
    </row>
    <row r="1486" spans="10:17">
      <c r="J1486" s="11"/>
      <c r="K1486" s="1533"/>
      <c r="L1486" s="11"/>
      <c r="M1486" s="11"/>
      <c r="N1486" s="11"/>
      <c r="O1486" s="11"/>
      <c r="P1486" s="11"/>
      <c r="Q1486" s="11"/>
    </row>
    <row r="1487" spans="10:17">
      <c r="J1487" s="11"/>
      <c r="K1487" s="1533"/>
      <c r="L1487" s="11"/>
      <c r="M1487" s="11"/>
      <c r="N1487" s="11"/>
      <c r="O1487" s="11"/>
      <c r="P1487" s="11"/>
      <c r="Q1487" s="11"/>
    </row>
    <row r="1488" spans="10:17">
      <c r="J1488" s="11"/>
      <c r="K1488" s="1533"/>
      <c r="L1488" s="11"/>
      <c r="M1488" s="11"/>
      <c r="N1488" s="11"/>
      <c r="O1488" s="11"/>
      <c r="P1488" s="11"/>
      <c r="Q1488" s="11"/>
    </row>
    <row r="1489" spans="10:17">
      <c r="J1489" s="11"/>
      <c r="K1489" s="1533"/>
      <c r="L1489" s="11"/>
      <c r="M1489" s="11"/>
      <c r="N1489" s="11"/>
      <c r="O1489" s="11"/>
      <c r="P1489" s="11"/>
      <c r="Q1489" s="11"/>
    </row>
    <row r="1490" spans="10:17">
      <c r="J1490" s="11"/>
      <c r="K1490" s="1533"/>
      <c r="L1490" s="11"/>
      <c r="M1490" s="11"/>
      <c r="N1490" s="11"/>
      <c r="O1490" s="11"/>
      <c r="P1490" s="11"/>
      <c r="Q1490" s="11"/>
    </row>
    <row r="1491" spans="10:17">
      <c r="J1491" s="11"/>
      <c r="K1491" s="1533"/>
      <c r="L1491" s="11"/>
      <c r="M1491" s="11"/>
      <c r="N1491" s="11"/>
      <c r="O1491" s="11"/>
      <c r="P1491" s="11"/>
      <c r="Q1491" s="11"/>
    </row>
    <row r="1492" spans="10:17">
      <c r="J1492" s="11"/>
      <c r="K1492" s="1533"/>
      <c r="L1492" s="11"/>
      <c r="M1492" s="11"/>
      <c r="N1492" s="11"/>
      <c r="O1492" s="11"/>
      <c r="P1492" s="11"/>
      <c r="Q1492" s="11"/>
    </row>
    <row r="1493" spans="10:17">
      <c r="J1493" s="11"/>
      <c r="K1493" s="1533"/>
      <c r="L1493" s="11"/>
      <c r="M1493" s="11"/>
      <c r="N1493" s="11"/>
      <c r="O1493" s="11"/>
      <c r="P1493" s="11"/>
      <c r="Q1493" s="11"/>
    </row>
    <row r="1494" spans="10:17">
      <c r="J1494" s="11"/>
      <c r="K1494" s="1533"/>
      <c r="L1494" s="11"/>
      <c r="M1494" s="11"/>
      <c r="N1494" s="11"/>
      <c r="O1494" s="11"/>
      <c r="P1494" s="11"/>
      <c r="Q1494" s="11"/>
    </row>
    <row r="1495" spans="10:17">
      <c r="J1495" s="11"/>
      <c r="K1495" s="1533"/>
      <c r="L1495" s="11"/>
      <c r="M1495" s="11"/>
      <c r="N1495" s="11"/>
      <c r="O1495" s="11"/>
      <c r="P1495" s="11"/>
      <c r="Q1495" s="11"/>
    </row>
    <row r="1496" spans="10:17">
      <c r="J1496" s="11"/>
      <c r="K1496" s="1533"/>
      <c r="L1496" s="11"/>
      <c r="M1496" s="11"/>
      <c r="N1496" s="11"/>
      <c r="O1496" s="11"/>
      <c r="P1496" s="11"/>
      <c r="Q1496" s="11"/>
    </row>
    <row r="1497" spans="10:17">
      <c r="J1497" s="11"/>
      <c r="K1497" s="1533"/>
      <c r="L1497" s="11"/>
      <c r="M1497" s="11"/>
      <c r="N1497" s="11"/>
      <c r="O1497" s="11"/>
      <c r="P1497" s="11"/>
      <c r="Q1497" s="11"/>
    </row>
    <row r="1498" spans="10:17">
      <c r="J1498" s="11"/>
      <c r="K1498" s="1533"/>
      <c r="L1498" s="11"/>
      <c r="M1498" s="11"/>
      <c r="N1498" s="11"/>
      <c r="O1498" s="11"/>
      <c r="P1498" s="11"/>
      <c r="Q1498" s="11"/>
    </row>
    <row r="1499" spans="10:17">
      <c r="J1499" s="11"/>
      <c r="K1499" s="1533"/>
      <c r="L1499" s="11"/>
      <c r="M1499" s="11"/>
      <c r="N1499" s="11"/>
      <c r="O1499" s="11"/>
      <c r="P1499" s="11"/>
      <c r="Q1499" s="11"/>
    </row>
    <row r="1500" spans="10:17">
      <c r="J1500" s="11"/>
      <c r="K1500" s="1533"/>
      <c r="L1500" s="11"/>
      <c r="M1500" s="11"/>
      <c r="N1500" s="11"/>
      <c r="O1500" s="11"/>
      <c r="P1500" s="11"/>
      <c r="Q1500" s="11"/>
    </row>
    <row r="1501" spans="10:17">
      <c r="J1501" s="11"/>
      <c r="K1501" s="1533"/>
      <c r="L1501" s="11"/>
      <c r="M1501" s="11"/>
      <c r="N1501" s="11"/>
      <c r="O1501" s="11"/>
      <c r="P1501" s="11"/>
      <c r="Q1501" s="11"/>
    </row>
    <row r="1502" spans="10:17">
      <c r="J1502" s="11"/>
      <c r="K1502" s="1533"/>
      <c r="L1502" s="11"/>
      <c r="M1502" s="11"/>
      <c r="N1502" s="11"/>
      <c r="O1502" s="11"/>
      <c r="P1502" s="11"/>
      <c r="Q1502" s="11"/>
    </row>
    <row r="1503" spans="10:17">
      <c r="J1503" s="11"/>
      <c r="K1503" s="1533"/>
      <c r="L1503" s="11"/>
      <c r="M1503" s="11"/>
      <c r="N1503" s="11"/>
      <c r="O1503" s="11"/>
      <c r="P1503" s="11"/>
      <c r="Q1503" s="11"/>
    </row>
    <row r="1504" spans="10:17">
      <c r="J1504" s="11"/>
      <c r="K1504" s="1533"/>
      <c r="L1504" s="11"/>
      <c r="M1504" s="11"/>
      <c r="N1504" s="11"/>
      <c r="O1504" s="11"/>
      <c r="P1504" s="11"/>
      <c r="Q1504" s="11"/>
    </row>
    <row r="1505" spans="10:17">
      <c r="J1505" s="11"/>
      <c r="K1505" s="1533"/>
      <c r="L1505" s="11"/>
      <c r="M1505" s="11"/>
      <c r="N1505" s="11"/>
      <c r="O1505" s="11"/>
      <c r="P1505" s="11"/>
      <c r="Q1505" s="11"/>
    </row>
    <row r="1506" spans="10:17">
      <c r="J1506" s="11"/>
      <c r="K1506" s="1533"/>
      <c r="L1506" s="11"/>
      <c r="M1506" s="11"/>
      <c r="N1506" s="11"/>
      <c r="O1506" s="11"/>
      <c r="P1506" s="11"/>
      <c r="Q1506" s="11"/>
    </row>
    <row r="1507" spans="10:17">
      <c r="J1507" s="11"/>
      <c r="K1507" s="1533"/>
      <c r="L1507" s="11"/>
      <c r="M1507" s="11"/>
      <c r="N1507" s="11"/>
      <c r="O1507" s="11"/>
      <c r="P1507" s="11"/>
      <c r="Q1507" s="11"/>
    </row>
    <row r="1508" spans="10:17">
      <c r="J1508" s="11"/>
      <c r="K1508" s="1533"/>
      <c r="L1508" s="11"/>
      <c r="M1508" s="11"/>
      <c r="N1508" s="11"/>
      <c r="O1508" s="11"/>
      <c r="P1508" s="11"/>
      <c r="Q1508" s="11"/>
    </row>
    <row r="1509" spans="10:17">
      <c r="J1509" s="11"/>
      <c r="K1509" s="1533"/>
      <c r="L1509" s="11"/>
      <c r="M1509" s="11"/>
      <c r="N1509" s="11"/>
      <c r="O1509" s="11"/>
      <c r="P1509" s="11"/>
      <c r="Q1509" s="11"/>
    </row>
    <row r="1510" spans="10:17">
      <c r="J1510" s="11"/>
      <c r="K1510" s="1533"/>
      <c r="L1510" s="11"/>
      <c r="M1510" s="11"/>
      <c r="N1510" s="11"/>
      <c r="O1510" s="11"/>
      <c r="P1510" s="11"/>
      <c r="Q1510" s="11"/>
    </row>
    <row r="1511" spans="10:17">
      <c r="J1511" s="11"/>
      <c r="K1511" s="1533"/>
      <c r="L1511" s="11"/>
      <c r="M1511" s="11"/>
      <c r="N1511" s="11"/>
      <c r="O1511" s="11"/>
      <c r="P1511" s="11"/>
      <c r="Q1511" s="11"/>
    </row>
    <row r="1512" spans="10:17">
      <c r="J1512" s="11"/>
      <c r="K1512" s="1533"/>
      <c r="L1512" s="11"/>
      <c r="M1512" s="11"/>
      <c r="N1512" s="11"/>
      <c r="O1512" s="11"/>
      <c r="P1512" s="11"/>
      <c r="Q1512" s="11"/>
    </row>
    <row r="1513" spans="10:17">
      <c r="J1513" s="11"/>
      <c r="K1513" s="1533"/>
      <c r="L1513" s="11"/>
      <c r="M1513" s="11"/>
      <c r="N1513" s="11"/>
      <c r="O1513" s="11"/>
      <c r="P1513" s="11"/>
      <c r="Q1513" s="11"/>
    </row>
    <row r="1514" spans="10:17">
      <c r="J1514" s="11"/>
      <c r="K1514" s="1533"/>
      <c r="L1514" s="11"/>
      <c r="M1514" s="11"/>
      <c r="N1514" s="11"/>
      <c r="O1514" s="11"/>
      <c r="P1514" s="11"/>
      <c r="Q1514" s="11"/>
    </row>
    <row r="1515" spans="10:17">
      <c r="J1515" s="11"/>
      <c r="K1515" s="1533"/>
      <c r="L1515" s="11"/>
      <c r="M1515" s="11"/>
      <c r="N1515" s="11"/>
      <c r="O1515" s="11"/>
      <c r="P1515" s="11"/>
      <c r="Q1515" s="11"/>
    </row>
    <row r="1516" spans="10:17">
      <c r="J1516" s="11"/>
      <c r="K1516" s="1533"/>
      <c r="L1516" s="11"/>
      <c r="M1516" s="11"/>
      <c r="N1516" s="11"/>
      <c r="O1516" s="11"/>
      <c r="P1516" s="11"/>
      <c r="Q1516" s="11"/>
    </row>
    <row r="1517" spans="10:17">
      <c r="J1517" s="11"/>
      <c r="K1517" s="1533"/>
      <c r="L1517" s="11"/>
      <c r="M1517" s="11"/>
      <c r="N1517" s="11"/>
      <c r="O1517" s="11"/>
      <c r="P1517" s="11"/>
      <c r="Q1517" s="11"/>
    </row>
    <row r="1518" spans="10:17">
      <c r="J1518" s="11"/>
      <c r="K1518" s="1533"/>
      <c r="L1518" s="11"/>
      <c r="M1518" s="11"/>
      <c r="N1518" s="11"/>
      <c r="O1518" s="11"/>
      <c r="P1518" s="11"/>
      <c r="Q1518" s="11"/>
    </row>
    <row r="1519" spans="10:17">
      <c r="J1519" s="11"/>
      <c r="K1519" s="1533"/>
      <c r="L1519" s="11"/>
      <c r="M1519" s="11"/>
      <c r="N1519" s="11"/>
      <c r="O1519" s="11"/>
      <c r="P1519" s="11"/>
      <c r="Q1519" s="11"/>
    </row>
    <row r="1520" spans="10:17">
      <c r="J1520" s="11"/>
      <c r="K1520" s="1533"/>
      <c r="L1520" s="11"/>
      <c r="M1520" s="11"/>
      <c r="N1520" s="11"/>
      <c r="O1520" s="11"/>
      <c r="P1520" s="11"/>
      <c r="Q1520" s="11"/>
    </row>
    <row r="1521" spans="10:17">
      <c r="J1521" s="11"/>
      <c r="K1521" s="1533"/>
      <c r="L1521" s="11"/>
      <c r="M1521" s="11"/>
      <c r="N1521" s="11"/>
      <c r="O1521" s="11"/>
      <c r="P1521" s="11"/>
      <c r="Q1521" s="11"/>
    </row>
    <row r="1522" spans="10:17">
      <c r="J1522" s="11"/>
      <c r="K1522" s="1533"/>
      <c r="L1522" s="11"/>
      <c r="M1522" s="11"/>
      <c r="N1522" s="11"/>
      <c r="O1522" s="11"/>
      <c r="P1522" s="11"/>
      <c r="Q1522" s="11"/>
    </row>
    <row r="1523" spans="10:17">
      <c r="J1523" s="11"/>
      <c r="K1523" s="1533"/>
      <c r="L1523" s="11"/>
      <c r="M1523" s="11"/>
      <c r="N1523" s="11"/>
      <c r="O1523" s="11"/>
      <c r="P1523" s="11"/>
      <c r="Q1523" s="11"/>
    </row>
    <row r="1524" spans="10:17">
      <c r="J1524" s="11"/>
      <c r="K1524" s="1533"/>
      <c r="L1524" s="11"/>
      <c r="M1524" s="11"/>
      <c r="N1524" s="11"/>
      <c r="O1524" s="11"/>
      <c r="P1524" s="11"/>
      <c r="Q1524" s="11"/>
    </row>
    <row r="1525" spans="10:17">
      <c r="J1525" s="11"/>
      <c r="K1525" s="1533"/>
      <c r="L1525" s="11"/>
      <c r="M1525" s="11"/>
      <c r="N1525" s="11"/>
      <c r="O1525" s="11"/>
      <c r="P1525" s="11"/>
      <c r="Q1525" s="11"/>
    </row>
    <row r="1526" spans="10:17">
      <c r="J1526" s="11"/>
      <c r="K1526" s="1533"/>
      <c r="L1526" s="11"/>
      <c r="M1526" s="11"/>
      <c r="N1526" s="11"/>
      <c r="O1526" s="11"/>
      <c r="P1526" s="11"/>
      <c r="Q1526" s="11"/>
    </row>
    <row r="1527" spans="10:17">
      <c r="J1527" s="11"/>
      <c r="K1527" s="1533"/>
      <c r="L1527" s="11"/>
      <c r="M1527" s="11"/>
      <c r="N1527" s="11"/>
      <c r="O1527" s="11"/>
      <c r="P1527" s="11"/>
      <c r="Q1527" s="11"/>
    </row>
    <row r="1528" spans="10:17">
      <c r="J1528" s="11"/>
      <c r="K1528" s="1533"/>
      <c r="L1528" s="11"/>
      <c r="M1528" s="11"/>
      <c r="N1528" s="11"/>
      <c r="O1528" s="11"/>
      <c r="P1528" s="11"/>
      <c r="Q1528" s="11"/>
    </row>
    <row r="1529" spans="10:17">
      <c r="J1529" s="11"/>
      <c r="K1529" s="1533"/>
      <c r="L1529" s="11"/>
      <c r="M1529" s="11"/>
      <c r="N1529" s="11"/>
      <c r="O1529" s="11"/>
      <c r="P1529" s="11"/>
      <c r="Q1529" s="11"/>
    </row>
    <row r="1530" spans="10:17">
      <c r="J1530" s="11"/>
      <c r="K1530" s="1533"/>
      <c r="L1530" s="11"/>
      <c r="M1530" s="11"/>
      <c r="N1530" s="11"/>
      <c r="O1530" s="11"/>
      <c r="P1530" s="11"/>
      <c r="Q1530" s="11"/>
    </row>
    <row r="1531" spans="10:17">
      <c r="J1531" s="11"/>
      <c r="K1531" s="1533"/>
      <c r="L1531" s="11"/>
      <c r="M1531" s="11"/>
      <c r="N1531" s="11"/>
      <c r="O1531" s="11"/>
      <c r="P1531" s="11"/>
      <c r="Q1531" s="11"/>
    </row>
    <row r="1532" spans="10:17">
      <c r="J1532" s="11"/>
      <c r="K1532" s="1533"/>
      <c r="L1532" s="11"/>
      <c r="M1532" s="11"/>
      <c r="N1532" s="11"/>
      <c r="O1532" s="11"/>
      <c r="P1532" s="11"/>
      <c r="Q1532" s="11"/>
    </row>
    <row r="1533" spans="10:17">
      <c r="J1533" s="11"/>
      <c r="K1533" s="1533"/>
      <c r="L1533" s="11"/>
      <c r="M1533" s="11"/>
      <c r="N1533" s="11"/>
      <c r="O1533" s="11"/>
      <c r="P1533" s="11"/>
      <c r="Q1533" s="11"/>
    </row>
    <row r="1534" spans="10:17">
      <c r="J1534" s="11"/>
      <c r="K1534" s="1533"/>
      <c r="L1534" s="11"/>
      <c r="M1534" s="11"/>
      <c r="N1534" s="11"/>
      <c r="O1534" s="11"/>
      <c r="P1534" s="11"/>
      <c r="Q1534" s="11"/>
    </row>
    <row r="1535" spans="10:17">
      <c r="J1535" s="11"/>
      <c r="K1535" s="1533"/>
      <c r="L1535" s="11"/>
      <c r="M1535" s="11"/>
      <c r="N1535" s="11"/>
      <c r="O1535" s="11"/>
      <c r="P1535" s="11"/>
      <c r="Q1535" s="11"/>
    </row>
    <row r="1536" spans="10:17">
      <c r="J1536" s="11"/>
      <c r="K1536" s="1533"/>
      <c r="L1536" s="11"/>
      <c r="M1536" s="11"/>
      <c r="N1536" s="11"/>
      <c r="O1536" s="11"/>
      <c r="P1536" s="11"/>
      <c r="Q1536" s="11"/>
    </row>
    <row r="1537" spans="10:17">
      <c r="J1537" s="11"/>
      <c r="K1537" s="1533"/>
      <c r="L1537" s="11"/>
      <c r="M1537" s="11"/>
      <c r="N1537" s="11"/>
      <c r="O1537" s="11"/>
      <c r="P1537" s="11"/>
      <c r="Q1537" s="11"/>
    </row>
    <row r="1538" spans="10:17">
      <c r="J1538" s="11"/>
      <c r="K1538" s="1533"/>
      <c r="L1538" s="11"/>
      <c r="M1538" s="11"/>
      <c r="N1538" s="11"/>
      <c r="O1538" s="11"/>
      <c r="P1538" s="11"/>
      <c r="Q1538" s="11"/>
    </row>
    <row r="1539" spans="10:17">
      <c r="J1539" s="11"/>
      <c r="K1539" s="1533"/>
      <c r="L1539" s="11"/>
      <c r="M1539" s="11"/>
      <c r="N1539" s="11"/>
      <c r="O1539" s="11"/>
      <c r="P1539" s="11"/>
      <c r="Q1539" s="11"/>
    </row>
    <row r="1540" spans="10:17">
      <c r="J1540" s="11"/>
      <c r="K1540" s="1533"/>
      <c r="L1540" s="11"/>
      <c r="M1540" s="11"/>
      <c r="N1540" s="11"/>
      <c r="O1540" s="11"/>
      <c r="P1540" s="11"/>
      <c r="Q1540" s="11"/>
    </row>
    <row r="1541" spans="10:17">
      <c r="J1541" s="11"/>
      <c r="K1541" s="1533"/>
      <c r="L1541" s="11"/>
      <c r="M1541" s="11"/>
      <c r="N1541" s="11"/>
      <c r="O1541" s="11"/>
      <c r="P1541" s="11"/>
      <c r="Q1541" s="11"/>
    </row>
    <row r="1542" spans="10:17">
      <c r="J1542" s="11"/>
      <c r="K1542" s="1533"/>
      <c r="L1542" s="11"/>
      <c r="M1542" s="11"/>
      <c r="N1542" s="11"/>
      <c r="O1542" s="11"/>
      <c r="P1542" s="11"/>
      <c r="Q1542" s="11"/>
    </row>
    <row r="1543" spans="10:17">
      <c r="J1543" s="11"/>
      <c r="K1543" s="1533"/>
      <c r="L1543" s="11"/>
      <c r="M1543" s="11"/>
      <c r="N1543" s="11"/>
      <c r="O1543" s="11"/>
      <c r="P1543" s="11"/>
      <c r="Q1543" s="11"/>
    </row>
    <row r="1544" spans="10:17">
      <c r="J1544" s="11"/>
      <c r="K1544" s="1533"/>
      <c r="L1544" s="11"/>
      <c r="M1544" s="11"/>
      <c r="N1544" s="11"/>
      <c r="O1544" s="11"/>
      <c r="P1544" s="11"/>
      <c r="Q1544" s="11"/>
    </row>
    <row r="1545" spans="10:17">
      <c r="J1545" s="11"/>
      <c r="K1545" s="1533"/>
      <c r="L1545" s="11"/>
      <c r="M1545" s="11"/>
      <c r="N1545" s="11"/>
      <c r="O1545" s="11"/>
      <c r="P1545" s="11"/>
      <c r="Q1545" s="11"/>
    </row>
    <row r="1546" spans="10:17">
      <c r="J1546" s="11"/>
      <c r="K1546" s="1533"/>
      <c r="L1546" s="11"/>
      <c r="M1546" s="11"/>
      <c r="N1546" s="11"/>
      <c r="O1546" s="11"/>
      <c r="P1546" s="11"/>
      <c r="Q1546" s="11"/>
    </row>
    <row r="1547" spans="10:17">
      <c r="J1547" s="11"/>
      <c r="K1547" s="1533"/>
      <c r="L1547" s="11"/>
      <c r="M1547" s="11"/>
      <c r="N1547" s="11"/>
      <c r="O1547" s="11"/>
      <c r="P1547" s="11"/>
      <c r="Q1547" s="11"/>
    </row>
    <row r="1548" spans="10:17">
      <c r="J1548" s="11"/>
      <c r="K1548" s="1533"/>
      <c r="L1548" s="11"/>
      <c r="M1548" s="11"/>
      <c r="N1548" s="11"/>
      <c r="O1548" s="11"/>
      <c r="P1548" s="11"/>
      <c r="Q1548" s="11"/>
    </row>
    <row r="1549" spans="10:17">
      <c r="J1549" s="11"/>
      <c r="K1549" s="1533"/>
      <c r="L1549" s="11"/>
      <c r="M1549" s="11"/>
      <c r="N1549" s="11"/>
      <c r="O1549" s="11"/>
      <c r="P1549" s="11"/>
      <c r="Q1549" s="11"/>
    </row>
    <row r="1550" spans="10:17">
      <c r="J1550" s="11"/>
      <c r="K1550" s="1533"/>
      <c r="L1550" s="11"/>
      <c r="M1550" s="11"/>
      <c r="N1550" s="11"/>
      <c r="O1550" s="11"/>
      <c r="P1550" s="11"/>
      <c r="Q1550" s="11"/>
    </row>
    <row r="1551" spans="10:17">
      <c r="J1551" s="11"/>
      <c r="K1551" s="1533"/>
      <c r="L1551" s="11"/>
      <c r="M1551" s="11"/>
      <c r="N1551" s="11"/>
      <c r="O1551" s="11"/>
      <c r="P1551" s="11"/>
      <c r="Q1551" s="11"/>
    </row>
    <row r="1552" spans="10:17">
      <c r="J1552" s="11"/>
      <c r="K1552" s="1533"/>
      <c r="L1552" s="11"/>
      <c r="M1552" s="11"/>
      <c r="N1552" s="11"/>
      <c r="O1552" s="11"/>
      <c r="P1552" s="11"/>
      <c r="Q1552" s="11"/>
    </row>
    <row r="1553" spans="10:17">
      <c r="J1553" s="11"/>
      <c r="K1553" s="1533"/>
      <c r="L1553" s="11"/>
      <c r="M1553" s="11"/>
      <c r="N1553" s="11"/>
      <c r="O1553" s="11"/>
      <c r="P1553" s="11"/>
      <c r="Q1553" s="11"/>
    </row>
    <row r="1554" spans="10:17">
      <c r="J1554" s="11"/>
      <c r="K1554" s="1533"/>
      <c r="L1554" s="11"/>
      <c r="M1554" s="11"/>
      <c r="N1554" s="11"/>
      <c r="O1554" s="11"/>
      <c r="P1554" s="11"/>
      <c r="Q1554" s="11"/>
    </row>
    <row r="1555" spans="10:17">
      <c r="J1555" s="11"/>
      <c r="K1555" s="1533"/>
      <c r="L1555" s="11"/>
      <c r="M1555" s="11"/>
      <c r="N1555" s="11"/>
      <c r="O1555" s="11"/>
      <c r="P1555" s="11"/>
      <c r="Q1555" s="11"/>
    </row>
    <row r="1556" spans="10:17">
      <c r="J1556" s="11"/>
      <c r="K1556" s="1533"/>
      <c r="L1556" s="11"/>
      <c r="M1556" s="11"/>
      <c r="N1556" s="11"/>
      <c r="O1556" s="11"/>
      <c r="P1556" s="11"/>
      <c r="Q1556" s="11"/>
    </row>
    <row r="1557" spans="10:17">
      <c r="J1557" s="11"/>
      <c r="K1557" s="1533"/>
      <c r="L1557" s="11"/>
      <c r="M1557" s="11"/>
      <c r="N1557" s="11"/>
      <c r="O1557" s="11"/>
      <c r="P1557" s="11"/>
      <c r="Q1557" s="11"/>
    </row>
    <row r="1558" spans="10:17">
      <c r="J1558" s="11"/>
      <c r="K1558" s="1533"/>
      <c r="L1558" s="11"/>
      <c r="M1558" s="11"/>
      <c r="N1558" s="11"/>
      <c r="O1558" s="11"/>
      <c r="P1558" s="11"/>
      <c r="Q1558" s="11"/>
    </row>
    <row r="1559" spans="10:17">
      <c r="J1559" s="11"/>
      <c r="K1559" s="1533"/>
      <c r="L1559" s="11"/>
      <c r="M1559" s="11"/>
      <c r="N1559" s="11"/>
      <c r="O1559" s="11"/>
      <c r="P1559" s="11"/>
      <c r="Q1559" s="11"/>
    </row>
    <row r="1560" spans="10:17">
      <c r="J1560" s="11"/>
      <c r="K1560" s="1533"/>
      <c r="L1560" s="11"/>
      <c r="M1560" s="11"/>
      <c r="N1560" s="11"/>
      <c r="O1560" s="11"/>
      <c r="P1560" s="11"/>
      <c r="Q1560" s="11"/>
    </row>
    <row r="1561" spans="10:17">
      <c r="J1561" s="11"/>
      <c r="K1561" s="1533"/>
      <c r="L1561" s="11"/>
      <c r="M1561" s="11"/>
      <c r="N1561" s="11"/>
      <c r="O1561" s="11"/>
      <c r="P1561" s="11"/>
      <c r="Q1561" s="11"/>
    </row>
    <row r="1562" spans="10:17">
      <c r="J1562" s="11"/>
      <c r="K1562" s="1533"/>
      <c r="L1562" s="11"/>
      <c r="M1562" s="11"/>
      <c r="N1562" s="11"/>
      <c r="O1562" s="11"/>
      <c r="P1562" s="11"/>
      <c r="Q1562" s="11"/>
    </row>
    <row r="1563" spans="10:17">
      <c r="J1563" s="11"/>
      <c r="K1563" s="1533"/>
      <c r="L1563" s="11"/>
      <c r="M1563" s="11"/>
      <c r="N1563" s="11"/>
      <c r="O1563" s="11"/>
      <c r="P1563" s="11"/>
      <c r="Q1563" s="11"/>
    </row>
    <row r="1564" spans="10:17">
      <c r="J1564" s="11"/>
      <c r="K1564" s="1533"/>
      <c r="L1564" s="11"/>
      <c r="M1564" s="11"/>
      <c r="N1564" s="11"/>
      <c r="O1564" s="11"/>
      <c r="P1564" s="11"/>
      <c r="Q1564" s="11"/>
    </row>
    <row r="1565" spans="10:17">
      <c r="J1565" s="11"/>
      <c r="K1565" s="1533"/>
      <c r="L1565" s="11"/>
      <c r="M1565" s="11"/>
      <c r="N1565" s="11"/>
      <c r="O1565" s="11"/>
      <c r="P1565" s="11"/>
      <c r="Q1565" s="11"/>
    </row>
    <row r="1566" spans="10:17">
      <c r="J1566" s="11"/>
      <c r="K1566" s="1533"/>
      <c r="L1566" s="11"/>
      <c r="M1566" s="11"/>
      <c r="N1566" s="11"/>
      <c r="O1566" s="11"/>
      <c r="P1566" s="11"/>
      <c r="Q1566" s="11"/>
    </row>
    <row r="1567" spans="10:17">
      <c r="J1567" s="11"/>
      <c r="K1567" s="1533"/>
      <c r="L1567" s="11"/>
      <c r="M1567" s="11"/>
      <c r="N1567" s="11"/>
      <c r="O1567" s="11"/>
      <c r="P1567" s="11"/>
      <c r="Q1567" s="11"/>
    </row>
    <row r="1568" spans="10:17">
      <c r="J1568" s="11"/>
      <c r="K1568" s="1533"/>
      <c r="L1568" s="11"/>
      <c r="M1568" s="11"/>
      <c r="N1568" s="11"/>
      <c r="O1568" s="11"/>
      <c r="P1568" s="11"/>
      <c r="Q1568" s="11"/>
    </row>
    <row r="1569" spans="10:17">
      <c r="J1569" s="11"/>
      <c r="K1569" s="1533"/>
      <c r="L1569" s="11"/>
      <c r="M1569" s="11"/>
      <c r="N1569" s="11"/>
      <c r="O1569" s="11"/>
      <c r="P1569" s="11"/>
      <c r="Q1569" s="11"/>
    </row>
    <row r="1570" spans="10:17">
      <c r="J1570" s="11"/>
      <c r="K1570" s="1533"/>
      <c r="L1570" s="11"/>
      <c r="M1570" s="11"/>
      <c r="N1570" s="11"/>
      <c r="O1570" s="11"/>
      <c r="P1570" s="11"/>
      <c r="Q1570" s="11"/>
    </row>
    <row r="1571" spans="10:17">
      <c r="J1571" s="11"/>
      <c r="K1571" s="1533"/>
      <c r="L1571" s="11"/>
      <c r="M1571" s="11"/>
      <c r="N1571" s="11"/>
      <c r="O1571" s="11"/>
      <c r="P1571" s="11"/>
      <c r="Q1571" s="11"/>
    </row>
    <row r="1572" spans="10:17">
      <c r="J1572" s="11"/>
      <c r="K1572" s="1533"/>
      <c r="L1572" s="11"/>
      <c r="M1572" s="11"/>
      <c r="N1572" s="11"/>
      <c r="O1572" s="11"/>
      <c r="P1572" s="11"/>
      <c r="Q1572" s="11"/>
    </row>
    <row r="1573" spans="10:17">
      <c r="J1573" s="11"/>
      <c r="K1573" s="1533"/>
      <c r="L1573" s="11"/>
      <c r="M1573" s="11"/>
      <c r="N1573" s="11"/>
      <c r="O1573" s="11"/>
      <c r="P1573" s="11"/>
      <c r="Q1573" s="11"/>
    </row>
    <row r="1574" spans="10:17">
      <c r="J1574" s="11"/>
      <c r="K1574" s="1533"/>
      <c r="L1574" s="11"/>
      <c r="M1574" s="11"/>
      <c r="N1574" s="11"/>
      <c r="O1574" s="11"/>
      <c r="P1574" s="11"/>
      <c r="Q1574" s="11"/>
    </row>
    <row r="1575" spans="10:17">
      <c r="J1575" s="11"/>
      <c r="K1575" s="1533"/>
      <c r="L1575" s="11"/>
      <c r="M1575" s="11"/>
      <c r="N1575" s="11"/>
      <c r="O1575" s="11"/>
      <c r="P1575" s="11"/>
      <c r="Q1575" s="11"/>
    </row>
    <row r="1576" spans="10:17">
      <c r="J1576" s="11"/>
      <c r="K1576" s="1533"/>
      <c r="L1576" s="11"/>
      <c r="M1576" s="11"/>
      <c r="N1576" s="11"/>
      <c r="O1576" s="11"/>
      <c r="P1576" s="11"/>
      <c r="Q1576" s="11"/>
    </row>
    <row r="1577" spans="10:17">
      <c r="J1577" s="11"/>
      <c r="K1577" s="1533"/>
      <c r="L1577" s="11"/>
      <c r="M1577" s="11"/>
      <c r="N1577" s="11"/>
      <c r="O1577" s="11"/>
      <c r="P1577" s="11"/>
      <c r="Q1577" s="11"/>
    </row>
    <row r="1578" spans="10:17">
      <c r="J1578" s="11"/>
      <c r="K1578" s="1533"/>
      <c r="L1578" s="11"/>
      <c r="M1578" s="11"/>
      <c r="N1578" s="11"/>
      <c r="O1578" s="11"/>
      <c r="P1578" s="11"/>
      <c r="Q1578" s="11"/>
    </row>
    <row r="1579" spans="10:17">
      <c r="J1579" s="11"/>
      <c r="K1579" s="1533"/>
      <c r="L1579" s="11"/>
      <c r="M1579" s="11"/>
      <c r="N1579" s="11"/>
      <c r="O1579" s="11"/>
      <c r="P1579" s="11"/>
      <c r="Q1579" s="11"/>
    </row>
    <row r="1580" spans="10:17">
      <c r="J1580" s="11"/>
      <c r="K1580" s="1533"/>
      <c r="L1580" s="11"/>
      <c r="M1580" s="11"/>
      <c r="N1580" s="11"/>
      <c r="O1580" s="11"/>
      <c r="P1580" s="11"/>
      <c r="Q1580" s="11"/>
    </row>
    <row r="1581" spans="10:17">
      <c r="J1581" s="11"/>
      <c r="K1581" s="1533"/>
      <c r="L1581" s="11"/>
      <c r="M1581" s="11"/>
      <c r="N1581" s="11"/>
      <c r="O1581" s="11"/>
      <c r="P1581" s="11"/>
      <c r="Q1581" s="11"/>
    </row>
    <row r="1582" spans="10:17">
      <c r="J1582" s="11"/>
      <c r="K1582" s="1533"/>
      <c r="L1582" s="11"/>
      <c r="M1582" s="11"/>
      <c r="N1582" s="11"/>
      <c r="O1582" s="11"/>
      <c r="P1582" s="11"/>
      <c r="Q1582" s="11"/>
    </row>
    <row r="1583" spans="10:17">
      <c r="J1583" s="11"/>
      <c r="K1583" s="1533"/>
      <c r="L1583" s="11"/>
      <c r="M1583" s="11"/>
      <c r="N1583" s="11"/>
      <c r="O1583" s="11"/>
      <c r="P1583" s="11"/>
      <c r="Q1583" s="11"/>
    </row>
    <row r="1584" spans="10:17">
      <c r="J1584" s="11"/>
      <c r="K1584" s="1533"/>
      <c r="L1584" s="11"/>
      <c r="M1584" s="11"/>
      <c r="N1584" s="11"/>
      <c r="O1584" s="11"/>
      <c r="P1584" s="11"/>
      <c r="Q1584" s="11"/>
    </row>
    <row r="1585" spans="10:17">
      <c r="J1585" s="11"/>
      <c r="K1585" s="1533"/>
      <c r="L1585" s="11"/>
      <c r="M1585" s="11"/>
      <c r="N1585" s="11"/>
      <c r="O1585" s="11"/>
      <c r="P1585" s="11"/>
      <c r="Q1585" s="11"/>
    </row>
    <row r="1586" spans="10:17">
      <c r="J1586" s="11"/>
      <c r="K1586" s="1533"/>
      <c r="L1586" s="11"/>
      <c r="M1586" s="11"/>
      <c r="N1586" s="11"/>
      <c r="O1586" s="11"/>
      <c r="P1586" s="11"/>
      <c r="Q1586" s="11"/>
    </row>
    <row r="1587" spans="10:17">
      <c r="J1587" s="11"/>
      <c r="K1587" s="1533"/>
      <c r="L1587" s="11"/>
      <c r="M1587" s="11"/>
      <c r="N1587" s="11"/>
      <c r="O1587" s="11"/>
      <c r="P1587" s="11"/>
      <c r="Q1587" s="11"/>
    </row>
    <row r="1588" spans="10:17">
      <c r="J1588" s="11"/>
      <c r="K1588" s="1533"/>
      <c r="L1588" s="11"/>
      <c r="M1588" s="11"/>
      <c r="N1588" s="11"/>
      <c r="O1588" s="11"/>
      <c r="P1588" s="11"/>
      <c r="Q1588" s="11"/>
    </row>
    <row r="1589" spans="10:17">
      <c r="J1589" s="11"/>
      <c r="K1589" s="1533"/>
      <c r="L1589" s="11"/>
      <c r="M1589" s="11"/>
      <c r="N1589" s="11"/>
      <c r="O1589" s="11"/>
      <c r="P1589" s="11"/>
      <c r="Q1589" s="11"/>
    </row>
    <row r="1590" spans="10:17">
      <c r="J1590" s="11"/>
      <c r="K1590" s="1533"/>
      <c r="L1590" s="11"/>
      <c r="M1590" s="11"/>
      <c r="N1590" s="11"/>
      <c r="O1590" s="11"/>
      <c r="P1590" s="11"/>
      <c r="Q1590" s="11"/>
    </row>
    <row r="1591" spans="10:17">
      <c r="J1591" s="11"/>
      <c r="K1591" s="1533"/>
      <c r="L1591" s="11"/>
      <c r="M1591" s="11"/>
      <c r="N1591" s="11"/>
      <c r="O1591" s="11"/>
      <c r="P1591" s="11"/>
      <c r="Q1591" s="11"/>
    </row>
    <row r="1592" spans="10:17">
      <c r="J1592" s="11"/>
      <c r="K1592" s="1533"/>
      <c r="L1592" s="11"/>
      <c r="M1592" s="11"/>
      <c r="N1592" s="11"/>
      <c r="O1592" s="11"/>
      <c r="P1592" s="11"/>
      <c r="Q1592" s="11"/>
    </row>
    <row r="1593" spans="10:17">
      <c r="J1593" s="11"/>
      <c r="K1593" s="1533"/>
      <c r="L1593" s="11"/>
      <c r="M1593" s="11"/>
      <c r="N1593" s="11"/>
      <c r="O1593" s="11"/>
      <c r="P1593" s="11"/>
      <c r="Q1593" s="11"/>
    </row>
    <row r="1594" spans="10:17">
      <c r="J1594" s="11"/>
      <c r="K1594" s="1533"/>
      <c r="L1594" s="11"/>
      <c r="M1594" s="11"/>
      <c r="N1594" s="11"/>
      <c r="O1594" s="11"/>
      <c r="P1594" s="11"/>
      <c r="Q1594" s="11"/>
    </row>
    <row r="1595" spans="10:17">
      <c r="J1595" s="11"/>
      <c r="K1595" s="1533"/>
      <c r="L1595" s="11"/>
      <c r="M1595" s="11"/>
      <c r="N1595" s="11"/>
      <c r="O1595" s="11"/>
      <c r="P1595" s="11"/>
      <c r="Q1595" s="11"/>
    </row>
    <row r="1596" spans="10:17">
      <c r="J1596" s="11"/>
      <c r="K1596" s="1533"/>
      <c r="L1596" s="11"/>
      <c r="M1596" s="11"/>
      <c r="N1596" s="11"/>
      <c r="O1596" s="11"/>
      <c r="P1596" s="11"/>
      <c r="Q1596" s="11"/>
    </row>
    <row r="1597" spans="10:17">
      <c r="J1597" s="11"/>
      <c r="K1597" s="1533"/>
      <c r="L1597" s="11"/>
      <c r="M1597" s="11"/>
      <c r="N1597" s="11"/>
      <c r="O1597" s="11"/>
      <c r="P1597" s="11"/>
      <c r="Q1597" s="11"/>
    </row>
    <row r="1598" spans="10:17">
      <c r="J1598" s="11"/>
      <c r="K1598" s="1533"/>
      <c r="L1598" s="11"/>
      <c r="M1598" s="11"/>
      <c r="N1598" s="11"/>
      <c r="O1598" s="11"/>
      <c r="P1598" s="11"/>
      <c r="Q1598" s="11"/>
    </row>
    <row r="1599" spans="10:17">
      <c r="J1599" s="11"/>
      <c r="K1599" s="1533"/>
      <c r="L1599" s="11"/>
      <c r="M1599" s="11"/>
      <c r="N1599" s="11"/>
      <c r="O1599" s="11"/>
      <c r="P1599" s="11"/>
      <c r="Q1599" s="11"/>
    </row>
    <row r="1600" spans="10:17">
      <c r="J1600" s="11"/>
      <c r="K1600" s="1533"/>
      <c r="L1600" s="11"/>
      <c r="M1600" s="11"/>
      <c r="N1600" s="11"/>
      <c r="O1600" s="11"/>
      <c r="P1600" s="11"/>
      <c r="Q1600" s="11"/>
    </row>
    <row r="1601" spans="10:17">
      <c r="J1601" s="11"/>
      <c r="K1601" s="1533"/>
      <c r="L1601" s="11"/>
      <c r="M1601" s="11"/>
      <c r="N1601" s="11"/>
      <c r="O1601" s="11"/>
      <c r="P1601" s="11"/>
      <c r="Q1601" s="11"/>
    </row>
    <row r="1602" spans="10:17">
      <c r="J1602" s="11"/>
      <c r="K1602" s="1533"/>
      <c r="L1602" s="11"/>
      <c r="M1602" s="11"/>
      <c r="N1602" s="11"/>
      <c r="O1602" s="11"/>
      <c r="P1602" s="11"/>
      <c r="Q1602" s="11"/>
    </row>
    <row r="1603" spans="10:17">
      <c r="J1603" s="11"/>
      <c r="K1603" s="1533"/>
      <c r="L1603" s="11"/>
      <c r="M1603" s="11"/>
      <c r="N1603" s="11"/>
      <c r="O1603" s="11"/>
      <c r="P1603" s="11"/>
      <c r="Q1603" s="11"/>
    </row>
    <row r="1604" spans="10:17">
      <c r="J1604" s="11"/>
      <c r="K1604" s="1533"/>
      <c r="L1604" s="11"/>
      <c r="M1604" s="11"/>
      <c r="N1604" s="11"/>
      <c r="O1604" s="11"/>
      <c r="P1604" s="11"/>
      <c r="Q1604" s="11"/>
    </row>
    <row r="1605" spans="10:17">
      <c r="J1605" s="11"/>
      <c r="K1605" s="1533"/>
      <c r="L1605" s="11"/>
      <c r="M1605" s="11"/>
      <c r="N1605" s="11"/>
      <c r="O1605" s="11"/>
      <c r="P1605" s="11"/>
      <c r="Q1605" s="11"/>
    </row>
    <row r="1606" spans="10:17">
      <c r="J1606" s="11"/>
      <c r="K1606" s="1533"/>
      <c r="L1606" s="11"/>
      <c r="M1606" s="11"/>
      <c r="N1606" s="11"/>
      <c r="O1606" s="11"/>
      <c r="P1606" s="11"/>
      <c r="Q1606" s="11"/>
    </row>
    <row r="1607" spans="10:17">
      <c r="J1607" s="11"/>
      <c r="K1607" s="1533"/>
      <c r="L1607" s="11"/>
      <c r="M1607" s="11"/>
      <c r="N1607" s="11"/>
      <c r="O1607" s="11"/>
      <c r="P1607" s="11"/>
      <c r="Q1607" s="11"/>
    </row>
    <row r="1608" spans="10:17">
      <c r="J1608" s="11"/>
      <c r="K1608" s="1533"/>
      <c r="L1608" s="11"/>
      <c r="M1608" s="11"/>
      <c r="N1608" s="11"/>
      <c r="O1608" s="11"/>
      <c r="P1608" s="11"/>
      <c r="Q1608" s="11"/>
    </row>
    <row r="1609" spans="10:17">
      <c r="J1609" s="11"/>
      <c r="K1609" s="1533"/>
      <c r="L1609" s="11"/>
      <c r="M1609" s="11"/>
      <c r="N1609" s="11"/>
      <c r="O1609" s="11"/>
      <c r="P1609" s="11"/>
      <c r="Q1609" s="11"/>
    </row>
    <row r="1610" spans="10:17">
      <c r="J1610" s="11"/>
      <c r="K1610" s="1533"/>
      <c r="L1610" s="11"/>
      <c r="M1610" s="11"/>
      <c r="N1610" s="11"/>
      <c r="O1610" s="11"/>
      <c r="P1610" s="11"/>
      <c r="Q1610" s="11"/>
    </row>
    <row r="1611" spans="10:17">
      <c r="J1611" s="11"/>
      <c r="K1611" s="1533"/>
      <c r="L1611" s="11"/>
      <c r="M1611" s="11"/>
      <c r="N1611" s="11"/>
      <c r="O1611" s="11"/>
      <c r="P1611" s="11"/>
      <c r="Q1611" s="11"/>
    </row>
    <row r="1612" spans="10:17">
      <c r="J1612" s="11"/>
      <c r="K1612" s="1533"/>
      <c r="L1612" s="11"/>
      <c r="M1612" s="11"/>
      <c r="N1612" s="11"/>
      <c r="O1612" s="11"/>
      <c r="P1612" s="11"/>
      <c r="Q1612" s="11"/>
    </row>
    <row r="1613" spans="10:17">
      <c r="J1613" s="11"/>
      <c r="K1613" s="1533"/>
      <c r="L1613" s="11"/>
      <c r="M1613" s="11"/>
      <c r="N1613" s="11"/>
      <c r="O1613" s="11"/>
      <c r="P1613" s="11"/>
      <c r="Q1613" s="11"/>
    </row>
    <row r="1614" spans="10:17">
      <c r="J1614" s="11"/>
      <c r="K1614" s="1533"/>
      <c r="L1614" s="11"/>
      <c r="M1614" s="11"/>
      <c r="N1614" s="11"/>
      <c r="O1614" s="11"/>
      <c r="P1614" s="11"/>
      <c r="Q1614" s="11"/>
    </row>
    <row r="1615" spans="10:17">
      <c r="J1615" s="11"/>
      <c r="K1615" s="1533"/>
      <c r="L1615" s="11"/>
      <c r="M1615" s="11"/>
      <c r="N1615" s="11"/>
      <c r="O1615" s="11"/>
      <c r="P1615" s="11"/>
      <c r="Q1615" s="11"/>
    </row>
    <row r="1616" spans="10:17">
      <c r="J1616" s="11"/>
      <c r="K1616" s="1533"/>
      <c r="L1616" s="11"/>
      <c r="M1616" s="11"/>
      <c r="N1616" s="11"/>
      <c r="O1616" s="11"/>
      <c r="P1616" s="11"/>
      <c r="Q1616" s="11"/>
    </row>
    <row r="1617" spans="10:17">
      <c r="J1617" s="11"/>
      <c r="K1617" s="1533"/>
      <c r="L1617" s="11"/>
      <c r="M1617" s="11"/>
      <c r="N1617" s="11"/>
      <c r="O1617" s="11"/>
      <c r="P1617" s="11"/>
      <c r="Q1617" s="11"/>
    </row>
    <row r="1618" spans="10:17">
      <c r="J1618" s="11"/>
      <c r="K1618" s="1533"/>
      <c r="L1618" s="11"/>
      <c r="M1618" s="11"/>
      <c r="N1618" s="11"/>
      <c r="O1618" s="11"/>
      <c r="P1618" s="11"/>
      <c r="Q1618" s="11"/>
    </row>
    <row r="1619" spans="10:17">
      <c r="J1619" s="11"/>
      <c r="K1619" s="1533"/>
      <c r="L1619" s="11"/>
      <c r="M1619" s="11"/>
      <c r="N1619" s="11"/>
      <c r="O1619" s="11"/>
      <c r="P1619" s="11"/>
      <c r="Q1619" s="11"/>
    </row>
    <row r="1620" spans="10:17">
      <c r="J1620" s="11"/>
      <c r="K1620" s="1533"/>
      <c r="L1620" s="11"/>
      <c r="M1620" s="11"/>
      <c r="N1620" s="11"/>
      <c r="O1620" s="11"/>
      <c r="P1620" s="11"/>
      <c r="Q1620" s="11"/>
    </row>
    <row r="1621" spans="10:17">
      <c r="J1621" s="11"/>
      <c r="K1621" s="1533"/>
      <c r="L1621" s="11"/>
      <c r="M1621" s="11"/>
      <c r="N1621" s="11"/>
      <c r="O1621" s="11"/>
      <c r="P1621" s="11"/>
      <c r="Q1621" s="11"/>
    </row>
    <row r="1622" spans="10:17">
      <c r="J1622" s="11"/>
      <c r="K1622" s="1533"/>
      <c r="L1622" s="11"/>
      <c r="M1622" s="11"/>
      <c r="N1622" s="11"/>
      <c r="O1622" s="11"/>
      <c r="P1622" s="11"/>
      <c r="Q1622" s="11"/>
    </row>
    <row r="1623" spans="10:17">
      <c r="J1623" s="11"/>
      <c r="K1623" s="1533"/>
      <c r="L1623" s="11"/>
      <c r="M1623" s="11"/>
      <c r="N1623" s="11"/>
      <c r="O1623" s="11"/>
      <c r="P1623" s="11"/>
      <c r="Q1623" s="11"/>
    </row>
    <row r="1624" spans="10:17">
      <c r="J1624" s="11"/>
      <c r="K1624" s="1533"/>
      <c r="L1624" s="11"/>
      <c r="M1624" s="11"/>
      <c r="N1624" s="11"/>
      <c r="O1624" s="11"/>
      <c r="P1624" s="11"/>
      <c r="Q1624" s="11"/>
    </row>
    <row r="1625" spans="10:17">
      <c r="J1625" s="11"/>
      <c r="K1625" s="1533"/>
      <c r="L1625" s="11"/>
      <c r="M1625" s="11"/>
      <c r="N1625" s="11"/>
      <c r="O1625" s="11"/>
      <c r="P1625" s="11"/>
      <c r="Q1625" s="11"/>
    </row>
    <row r="1626" spans="10:17">
      <c r="J1626" s="11"/>
      <c r="K1626" s="1533"/>
      <c r="L1626" s="11"/>
      <c r="M1626" s="11"/>
      <c r="N1626" s="11"/>
      <c r="O1626" s="11"/>
      <c r="P1626" s="11"/>
      <c r="Q1626" s="11"/>
    </row>
    <row r="1627" spans="10:17">
      <c r="J1627" s="11"/>
      <c r="K1627" s="1533"/>
      <c r="L1627" s="11"/>
      <c r="M1627" s="11"/>
      <c r="N1627" s="11"/>
      <c r="O1627" s="11"/>
      <c r="P1627" s="11"/>
      <c r="Q1627" s="11"/>
    </row>
    <row r="1628" spans="10:17">
      <c r="J1628" s="11"/>
      <c r="K1628" s="1533"/>
      <c r="L1628" s="11"/>
      <c r="M1628" s="11"/>
      <c r="N1628" s="11"/>
      <c r="O1628" s="11"/>
      <c r="P1628" s="11"/>
      <c r="Q1628" s="11"/>
    </row>
    <row r="1629" spans="10:17">
      <c r="J1629" s="11"/>
      <c r="K1629" s="1533"/>
      <c r="L1629" s="11"/>
      <c r="M1629" s="11"/>
      <c r="N1629" s="11"/>
      <c r="O1629" s="11"/>
      <c r="P1629" s="11"/>
      <c r="Q1629" s="11"/>
    </row>
    <row r="1630" spans="10:17">
      <c r="J1630" s="11"/>
      <c r="K1630" s="1533"/>
      <c r="L1630" s="11"/>
      <c r="M1630" s="11"/>
      <c r="N1630" s="11"/>
      <c r="O1630" s="11"/>
      <c r="P1630" s="11"/>
      <c r="Q1630" s="11"/>
    </row>
    <row r="1631" spans="10:17">
      <c r="J1631" s="11"/>
      <c r="K1631" s="1533"/>
      <c r="L1631" s="11"/>
      <c r="M1631" s="11"/>
      <c r="N1631" s="11"/>
      <c r="O1631" s="11"/>
      <c r="P1631" s="11"/>
      <c r="Q1631" s="11"/>
    </row>
    <row r="1632" spans="10:17">
      <c r="J1632" s="11"/>
      <c r="K1632" s="1533"/>
      <c r="L1632" s="11"/>
      <c r="M1632" s="11"/>
      <c r="N1632" s="11"/>
      <c r="O1632" s="11"/>
      <c r="P1632" s="11"/>
      <c r="Q1632" s="11"/>
    </row>
    <row r="1633" spans="10:17">
      <c r="J1633" s="11"/>
      <c r="K1633" s="1533"/>
      <c r="L1633" s="11"/>
      <c r="M1633" s="11"/>
      <c r="N1633" s="11"/>
      <c r="O1633" s="11"/>
      <c r="P1633" s="11"/>
      <c r="Q1633" s="11"/>
    </row>
    <row r="1634" spans="10:17">
      <c r="J1634" s="11"/>
      <c r="K1634" s="1533"/>
      <c r="L1634" s="11"/>
      <c r="M1634" s="11"/>
      <c r="N1634" s="11"/>
      <c r="O1634" s="11"/>
      <c r="P1634" s="11"/>
      <c r="Q1634" s="11"/>
    </row>
    <row r="1635" spans="10:17">
      <c r="J1635" s="11"/>
      <c r="K1635" s="1533"/>
      <c r="L1635" s="11"/>
      <c r="M1635" s="11"/>
      <c r="N1635" s="11"/>
      <c r="O1635" s="11"/>
      <c r="P1635" s="11"/>
      <c r="Q1635" s="11"/>
    </row>
    <row r="1636" spans="10:17">
      <c r="J1636" s="11"/>
      <c r="K1636" s="1533"/>
      <c r="L1636" s="11"/>
      <c r="M1636" s="11"/>
      <c r="N1636" s="11"/>
      <c r="O1636" s="11"/>
      <c r="P1636" s="11"/>
      <c r="Q1636" s="11"/>
    </row>
    <row r="1637" spans="10:17">
      <c r="J1637" s="11"/>
      <c r="K1637" s="1533"/>
      <c r="L1637" s="11"/>
      <c r="M1637" s="11"/>
      <c r="N1637" s="11"/>
      <c r="O1637" s="11"/>
      <c r="P1637" s="11"/>
      <c r="Q1637" s="11"/>
    </row>
    <row r="1638" spans="10:17">
      <c r="J1638" s="11"/>
      <c r="K1638" s="1533"/>
      <c r="L1638" s="11"/>
      <c r="M1638" s="11"/>
      <c r="N1638" s="11"/>
      <c r="O1638" s="11"/>
      <c r="P1638" s="11"/>
      <c r="Q1638" s="11"/>
    </row>
    <row r="1639" spans="10:17">
      <c r="J1639" s="11"/>
      <c r="K1639" s="1533"/>
      <c r="L1639" s="11"/>
      <c r="M1639" s="11"/>
      <c r="N1639" s="11"/>
      <c r="O1639" s="11"/>
      <c r="P1639" s="11"/>
      <c r="Q1639" s="11"/>
    </row>
    <row r="1640" spans="10:17">
      <c r="J1640" s="11"/>
      <c r="K1640" s="1533"/>
      <c r="L1640" s="11"/>
      <c r="M1640" s="11"/>
      <c r="N1640" s="11"/>
      <c r="O1640" s="11"/>
      <c r="P1640" s="11"/>
      <c r="Q1640" s="11"/>
    </row>
    <row r="1641" spans="10:17">
      <c r="J1641" s="11"/>
      <c r="K1641" s="1533"/>
      <c r="L1641" s="11"/>
      <c r="M1641" s="11"/>
      <c r="N1641" s="11"/>
      <c r="O1641" s="11"/>
      <c r="P1641" s="11"/>
      <c r="Q1641" s="11"/>
    </row>
    <row r="1642" spans="10:17">
      <c r="J1642" s="11"/>
      <c r="K1642" s="1533"/>
      <c r="L1642" s="11"/>
      <c r="M1642" s="11"/>
      <c r="N1642" s="11"/>
      <c r="O1642" s="11"/>
      <c r="P1642" s="11"/>
      <c r="Q1642" s="11"/>
    </row>
    <row r="1643" spans="10:17">
      <c r="J1643" s="11"/>
      <c r="K1643" s="1533"/>
      <c r="L1643" s="11"/>
      <c r="M1643" s="11"/>
      <c r="N1643" s="11"/>
      <c r="O1643" s="11"/>
      <c r="P1643" s="11"/>
      <c r="Q1643" s="11"/>
    </row>
    <row r="1644" spans="10:17">
      <c r="J1644" s="11"/>
      <c r="K1644" s="1533"/>
      <c r="L1644" s="11"/>
      <c r="M1644" s="11"/>
      <c r="N1644" s="11"/>
      <c r="O1644" s="11"/>
      <c r="P1644" s="11"/>
      <c r="Q1644" s="11"/>
    </row>
    <row r="1645" spans="10:17">
      <c r="J1645" s="11"/>
      <c r="K1645" s="1533"/>
      <c r="L1645" s="11"/>
      <c r="M1645" s="11"/>
      <c r="N1645" s="11"/>
      <c r="O1645" s="11"/>
      <c r="P1645" s="11"/>
      <c r="Q1645" s="11"/>
    </row>
    <row r="1646" spans="10:17">
      <c r="J1646" s="11"/>
      <c r="K1646" s="1533"/>
      <c r="L1646" s="11"/>
      <c r="M1646" s="11"/>
      <c r="N1646" s="11"/>
      <c r="O1646" s="11"/>
      <c r="P1646" s="11"/>
      <c r="Q1646" s="11"/>
    </row>
    <row r="1647" spans="10:17">
      <c r="J1647" s="11"/>
      <c r="K1647" s="1533"/>
      <c r="L1647" s="11"/>
      <c r="M1647" s="11"/>
      <c r="N1647" s="11"/>
      <c r="O1647" s="11"/>
      <c r="P1647" s="11"/>
      <c r="Q1647" s="11"/>
    </row>
    <row r="1648" spans="10:17">
      <c r="J1648" s="11"/>
      <c r="K1648" s="1533"/>
      <c r="L1648" s="11"/>
      <c r="M1648" s="11"/>
      <c r="N1648" s="11"/>
      <c r="O1648" s="11"/>
      <c r="P1648" s="11"/>
      <c r="Q1648" s="11"/>
    </row>
    <row r="1649" spans="10:17">
      <c r="J1649" s="11"/>
      <c r="K1649" s="1533"/>
      <c r="L1649" s="11"/>
      <c r="M1649" s="11"/>
      <c r="N1649" s="11"/>
      <c r="O1649" s="11"/>
      <c r="P1649" s="11"/>
      <c r="Q1649" s="11"/>
    </row>
    <row r="1650" spans="10:17">
      <c r="J1650" s="11"/>
      <c r="K1650" s="1533"/>
      <c r="L1650" s="11"/>
      <c r="M1650" s="11"/>
      <c r="N1650" s="11"/>
      <c r="O1650" s="11"/>
      <c r="P1650" s="11"/>
      <c r="Q1650" s="11"/>
    </row>
    <row r="1651" spans="10:17">
      <c r="J1651" s="11"/>
      <c r="K1651" s="1533"/>
      <c r="L1651" s="11"/>
      <c r="M1651" s="11"/>
      <c r="N1651" s="11"/>
      <c r="O1651" s="11"/>
      <c r="P1651" s="11"/>
      <c r="Q1651" s="11"/>
    </row>
    <row r="1652" spans="10:17">
      <c r="J1652" s="11"/>
      <c r="K1652" s="1533"/>
      <c r="L1652" s="11"/>
      <c r="M1652" s="11"/>
      <c r="N1652" s="11"/>
      <c r="O1652" s="11"/>
      <c r="P1652" s="11"/>
      <c r="Q1652" s="11"/>
    </row>
    <row r="1653" spans="10:17">
      <c r="J1653" s="11"/>
      <c r="K1653" s="1533"/>
      <c r="L1653" s="11"/>
      <c r="M1653" s="11"/>
      <c r="N1653" s="11"/>
      <c r="O1653" s="11"/>
      <c r="P1653" s="11"/>
      <c r="Q1653" s="11"/>
    </row>
    <row r="1654" spans="10:17">
      <c r="J1654" s="11"/>
      <c r="K1654" s="1533"/>
      <c r="L1654" s="11"/>
      <c r="M1654" s="11"/>
      <c r="N1654" s="11"/>
      <c r="O1654" s="11"/>
      <c r="P1654" s="11"/>
      <c r="Q1654" s="11"/>
    </row>
    <row r="1655" spans="10:17">
      <c r="J1655" s="11"/>
      <c r="K1655" s="1533"/>
      <c r="L1655" s="11"/>
      <c r="M1655" s="11"/>
      <c r="N1655" s="11"/>
      <c r="O1655" s="11"/>
      <c r="P1655" s="11"/>
      <c r="Q1655" s="11"/>
    </row>
    <row r="1656" spans="10:17">
      <c r="J1656" s="11"/>
      <c r="K1656" s="1533"/>
      <c r="L1656" s="11"/>
      <c r="M1656" s="11"/>
      <c r="N1656" s="11"/>
      <c r="O1656" s="11"/>
      <c r="P1656" s="11"/>
      <c r="Q1656" s="11"/>
    </row>
    <row r="1657" spans="10:17">
      <c r="J1657" s="11"/>
      <c r="K1657" s="1533"/>
      <c r="L1657" s="11"/>
      <c r="M1657" s="11"/>
      <c r="N1657" s="11"/>
      <c r="O1657" s="11"/>
      <c r="P1657" s="11"/>
      <c r="Q1657" s="11"/>
    </row>
    <row r="1658" spans="10:17">
      <c r="J1658" s="11"/>
      <c r="K1658" s="1533"/>
      <c r="L1658" s="11"/>
      <c r="M1658" s="11"/>
      <c r="N1658" s="11"/>
      <c r="O1658" s="11"/>
      <c r="P1658" s="11"/>
      <c r="Q1658" s="11"/>
    </row>
    <row r="1659" spans="10:17">
      <c r="J1659" s="11"/>
      <c r="K1659" s="1533"/>
      <c r="L1659" s="11"/>
      <c r="M1659" s="11"/>
      <c r="N1659" s="11"/>
      <c r="O1659" s="11"/>
      <c r="P1659" s="11"/>
      <c r="Q1659" s="11"/>
    </row>
    <row r="1660" spans="10:17">
      <c r="J1660" s="11"/>
      <c r="K1660" s="1533"/>
      <c r="L1660" s="11"/>
      <c r="M1660" s="11"/>
      <c r="N1660" s="11"/>
      <c r="O1660" s="11"/>
      <c r="P1660" s="11"/>
      <c r="Q1660" s="11"/>
    </row>
    <row r="1661" spans="10:17">
      <c r="J1661" s="11"/>
      <c r="K1661" s="1533"/>
      <c r="L1661" s="11"/>
      <c r="M1661" s="11"/>
      <c r="N1661" s="11"/>
      <c r="O1661" s="11"/>
      <c r="P1661" s="11"/>
      <c r="Q1661" s="11"/>
    </row>
    <row r="1662" spans="10:17">
      <c r="J1662" s="11"/>
      <c r="K1662" s="1533"/>
      <c r="L1662" s="11"/>
      <c r="M1662" s="11"/>
      <c r="N1662" s="11"/>
      <c r="O1662" s="11"/>
      <c r="P1662" s="11"/>
      <c r="Q1662" s="11"/>
    </row>
    <row r="1663" spans="10:17">
      <c r="J1663" s="11"/>
      <c r="K1663" s="1533"/>
      <c r="L1663" s="11"/>
      <c r="M1663" s="11"/>
      <c r="N1663" s="11"/>
      <c r="O1663" s="11"/>
      <c r="P1663" s="11"/>
      <c r="Q1663" s="11"/>
    </row>
    <row r="1664" spans="10:17">
      <c r="J1664" s="11"/>
      <c r="K1664" s="1533"/>
      <c r="L1664" s="11"/>
      <c r="M1664" s="11"/>
      <c r="N1664" s="11"/>
      <c r="O1664" s="11"/>
      <c r="P1664" s="11"/>
      <c r="Q1664" s="11"/>
    </row>
    <row r="1665" spans="10:17">
      <c r="J1665" s="11"/>
      <c r="K1665" s="1533"/>
      <c r="L1665" s="11"/>
      <c r="M1665" s="11"/>
      <c r="N1665" s="11"/>
      <c r="O1665" s="11"/>
      <c r="P1665" s="11"/>
      <c r="Q1665" s="11"/>
    </row>
    <row r="1666" spans="10:17">
      <c r="J1666" s="11"/>
      <c r="K1666" s="1533"/>
      <c r="L1666" s="11"/>
      <c r="M1666" s="11"/>
      <c r="N1666" s="11"/>
      <c r="O1666" s="11"/>
      <c r="P1666" s="11"/>
      <c r="Q1666" s="11"/>
    </row>
    <row r="1667" spans="10:17">
      <c r="J1667" s="11"/>
      <c r="K1667" s="1533"/>
      <c r="L1667" s="11"/>
      <c r="M1667" s="11"/>
      <c r="N1667" s="11"/>
      <c r="O1667" s="11"/>
      <c r="P1667" s="11"/>
      <c r="Q1667" s="11"/>
    </row>
    <row r="1668" spans="10:17">
      <c r="J1668" s="11"/>
      <c r="K1668" s="1533"/>
      <c r="L1668" s="11"/>
      <c r="M1668" s="11"/>
      <c r="N1668" s="11"/>
      <c r="O1668" s="11"/>
      <c r="P1668" s="11"/>
      <c r="Q1668" s="11"/>
    </row>
    <row r="1669" spans="10:17">
      <c r="J1669" s="11"/>
      <c r="K1669" s="1533"/>
      <c r="L1669" s="11"/>
      <c r="M1669" s="11"/>
      <c r="N1669" s="11"/>
      <c r="O1669" s="11"/>
      <c r="P1669" s="11"/>
      <c r="Q1669" s="11"/>
    </row>
    <row r="1670" spans="10:17">
      <c r="J1670" s="11"/>
      <c r="K1670" s="1533"/>
      <c r="L1670" s="11"/>
      <c r="M1670" s="11"/>
      <c r="N1670" s="11"/>
      <c r="O1670" s="11"/>
      <c r="P1670" s="11"/>
      <c r="Q1670" s="11"/>
    </row>
    <row r="1671" spans="10:17">
      <c r="J1671" s="11"/>
      <c r="K1671" s="1533"/>
      <c r="L1671" s="11"/>
      <c r="M1671" s="11"/>
      <c r="N1671" s="11"/>
      <c r="O1671" s="11"/>
      <c r="P1671" s="11"/>
      <c r="Q1671" s="11"/>
    </row>
    <row r="1672" spans="10:17">
      <c r="J1672" s="11"/>
      <c r="K1672" s="1533"/>
      <c r="L1672" s="11"/>
      <c r="M1672" s="11"/>
      <c r="N1672" s="11"/>
      <c r="O1672" s="11"/>
      <c r="P1672" s="11"/>
      <c r="Q1672" s="11"/>
    </row>
    <row r="1673" spans="10:17">
      <c r="J1673" s="11"/>
      <c r="K1673" s="1533"/>
      <c r="L1673" s="11"/>
      <c r="M1673" s="11"/>
      <c r="N1673" s="11"/>
      <c r="O1673" s="11"/>
      <c r="P1673" s="11"/>
      <c r="Q1673" s="11"/>
    </row>
    <row r="1674" spans="10:17">
      <c r="J1674" s="11"/>
      <c r="K1674" s="1533"/>
      <c r="L1674" s="11"/>
      <c r="M1674" s="11"/>
      <c r="N1674" s="11"/>
      <c r="O1674" s="11"/>
      <c r="P1674" s="11"/>
      <c r="Q1674" s="11"/>
    </row>
    <row r="1675" spans="10:17">
      <c r="J1675" s="11"/>
      <c r="K1675" s="1533"/>
      <c r="L1675" s="11"/>
      <c r="M1675" s="11"/>
      <c r="N1675" s="11"/>
      <c r="O1675" s="11"/>
      <c r="P1675" s="11"/>
      <c r="Q1675" s="11"/>
    </row>
    <row r="1676" spans="10:17">
      <c r="J1676" s="11"/>
      <c r="K1676" s="1533"/>
      <c r="L1676" s="11"/>
      <c r="M1676" s="11"/>
      <c r="N1676" s="11"/>
      <c r="O1676" s="11"/>
      <c r="P1676" s="11"/>
      <c r="Q1676" s="11"/>
    </row>
    <row r="1677" spans="10:17">
      <c r="J1677" s="11"/>
      <c r="K1677" s="1533"/>
      <c r="L1677" s="11"/>
      <c r="M1677" s="11"/>
      <c r="N1677" s="11"/>
      <c r="O1677" s="11"/>
      <c r="P1677" s="11"/>
      <c r="Q1677" s="11"/>
    </row>
    <row r="1678" spans="10:17">
      <c r="J1678" s="11"/>
      <c r="K1678" s="1533"/>
      <c r="L1678" s="11"/>
      <c r="M1678" s="11"/>
      <c r="N1678" s="11"/>
      <c r="O1678" s="11"/>
      <c r="P1678" s="11"/>
      <c r="Q1678" s="11"/>
    </row>
    <row r="1679" spans="10:17">
      <c r="J1679" s="11"/>
      <c r="K1679" s="1533"/>
      <c r="L1679" s="11"/>
      <c r="M1679" s="11"/>
      <c r="N1679" s="11"/>
      <c r="O1679" s="11"/>
      <c r="P1679" s="11"/>
      <c r="Q1679" s="11"/>
    </row>
    <row r="1680" spans="10:17">
      <c r="J1680" s="11"/>
      <c r="K1680" s="1533"/>
      <c r="L1680" s="11"/>
      <c r="M1680" s="11"/>
      <c r="N1680" s="11"/>
      <c r="O1680" s="11"/>
      <c r="P1680" s="11"/>
      <c r="Q1680" s="11"/>
    </row>
    <row r="1681" spans="10:17">
      <c r="J1681" s="11"/>
      <c r="K1681" s="1533"/>
      <c r="L1681" s="11"/>
      <c r="M1681" s="11"/>
      <c r="N1681" s="11"/>
      <c r="O1681" s="11"/>
      <c r="P1681" s="11"/>
      <c r="Q1681" s="11"/>
    </row>
    <row r="1682" spans="10:17">
      <c r="J1682" s="11"/>
      <c r="K1682" s="1533"/>
      <c r="L1682" s="11"/>
      <c r="M1682" s="11"/>
      <c r="N1682" s="11"/>
      <c r="O1682" s="11"/>
      <c r="P1682" s="11"/>
      <c r="Q1682" s="11"/>
    </row>
    <row r="1683" spans="10:17">
      <c r="J1683" s="11"/>
      <c r="K1683" s="1533"/>
      <c r="L1683" s="11"/>
      <c r="M1683" s="11"/>
      <c r="N1683" s="11"/>
      <c r="O1683" s="11"/>
      <c r="P1683" s="11"/>
      <c r="Q1683" s="11"/>
    </row>
    <row r="1684" spans="10:17">
      <c r="J1684" s="11"/>
      <c r="K1684" s="1533"/>
      <c r="L1684" s="11"/>
      <c r="M1684" s="11"/>
      <c r="N1684" s="11"/>
      <c r="O1684" s="11"/>
      <c r="P1684" s="11"/>
      <c r="Q1684" s="11"/>
    </row>
    <row r="1685" spans="10:17">
      <c r="J1685" s="11"/>
      <c r="K1685" s="1533"/>
      <c r="L1685" s="11"/>
      <c r="M1685" s="11"/>
      <c r="N1685" s="11"/>
      <c r="O1685" s="11"/>
      <c r="P1685" s="11"/>
      <c r="Q1685" s="11"/>
    </row>
    <row r="1686" spans="10:17">
      <c r="J1686" s="11"/>
      <c r="K1686" s="1533"/>
      <c r="L1686" s="11"/>
      <c r="M1686" s="11"/>
      <c r="N1686" s="11"/>
      <c r="O1686" s="11"/>
      <c r="P1686" s="11"/>
      <c r="Q1686" s="11"/>
    </row>
    <row r="1687" spans="10:17">
      <c r="J1687" s="11"/>
      <c r="K1687" s="1533"/>
      <c r="L1687" s="11"/>
      <c r="M1687" s="11"/>
      <c r="N1687" s="11"/>
      <c r="O1687" s="11"/>
      <c r="P1687" s="11"/>
      <c r="Q1687" s="11"/>
    </row>
    <row r="1688" spans="10:17">
      <c r="J1688" s="11"/>
      <c r="K1688" s="1533"/>
      <c r="L1688" s="11"/>
      <c r="M1688" s="11"/>
      <c r="N1688" s="11"/>
      <c r="O1688" s="11"/>
      <c r="P1688" s="11"/>
      <c r="Q1688" s="11"/>
    </row>
    <row r="1689" spans="10:17">
      <c r="J1689" s="11"/>
      <c r="K1689" s="1533"/>
      <c r="L1689" s="11"/>
      <c r="M1689" s="11"/>
      <c r="N1689" s="11"/>
      <c r="O1689" s="11"/>
      <c r="P1689" s="11"/>
      <c r="Q1689" s="11"/>
    </row>
    <row r="1690" spans="10:17">
      <c r="J1690" s="11"/>
      <c r="K1690" s="1533"/>
      <c r="L1690" s="11"/>
      <c r="M1690" s="11"/>
      <c r="N1690" s="11"/>
      <c r="O1690" s="11"/>
      <c r="P1690" s="11"/>
      <c r="Q1690" s="11"/>
    </row>
    <row r="1691" spans="10:17">
      <c r="J1691" s="11"/>
      <c r="K1691" s="1533"/>
      <c r="L1691" s="11"/>
      <c r="M1691" s="11"/>
      <c r="N1691" s="11"/>
      <c r="O1691" s="11"/>
      <c r="P1691" s="11"/>
      <c r="Q1691" s="11"/>
    </row>
    <row r="1692" spans="10:17">
      <c r="J1692" s="11"/>
      <c r="K1692" s="1533"/>
      <c r="L1692" s="11"/>
      <c r="M1692" s="11"/>
      <c r="N1692" s="11"/>
      <c r="O1692" s="11"/>
      <c r="P1692" s="11"/>
      <c r="Q1692" s="11"/>
    </row>
    <row r="1693" spans="10:17">
      <c r="J1693" s="11"/>
      <c r="K1693" s="1533"/>
      <c r="L1693" s="11"/>
      <c r="M1693" s="11"/>
      <c r="N1693" s="11"/>
      <c r="O1693" s="11"/>
      <c r="P1693" s="11"/>
      <c r="Q1693" s="11"/>
    </row>
    <row r="1694" spans="10:17">
      <c r="J1694" s="11"/>
      <c r="K1694" s="1533"/>
      <c r="L1694" s="11"/>
      <c r="M1694" s="11"/>
      <c r="N1694" s="11"/>
      <c r="O1694" s="11"/>
      <c r="P1694" s="11"/>
      <c r="Q1694" s="11"/>
    </row>
    <row r="1695" spans="10:17">
      <c r="J1695" s="11"/>
      <c r="K1695" s="1533"/>
      <c r="L1695" s="11"/>
      <c r="M1695" s="11"/>
      <c r="N1695" s="11"/>
      <c r="O1695" s="11"/>
      <c r="P1695" s="11"/>
      <c r="Q1695" s="11"/>
    </row>
    <row r="1696" spans="10:17">
      <c r="J1696" s="11"/>
      <c r="K1696" s="1533"/>
      <c r="L1696" s="11"/>
      <c r="M1696" s="11"/>
      <c r="N1696" s="11"/>
      <c r="O1696" s="11"/>
      <c r="P1696" s="11"/>
      <c r="Q1696" s="11"/>
    </row>
    <row r="1697" spans="10:17">
      <c r="J1697" s="11"/>
      <c r="K1697" s="1533"/>
      <c r="L1697" s="11"/>
      <c r="M1697" s="11"/>
      <c r="N1697" s="11"/>
      <c r="O1697" s="11"/>
      <c r="P1697" s="11"/>
      <c r="Q1697" s="11"/>
    </row>
    <row r="1698" spans="10:17">
      <c r="J1698" s="11"/>
      <c r="K1698" s="1533"/>
      <c r="L1698" s="11"/>
      <c r="M1698" s="11"/>
      <c r="N1698" s="11"/>
      <c r="O1698" s="11"/>
      <c r="P1698" s="11"/>
      <c r="Q1698" s="11"/>
    </row>
    <row r="1699" spans="10:17">
      <c r="J1699" s="11"/>
      <c r="K1699" s="1533"/>
      <c r="L1699" s="11"/>
      <c r="M1699" s="11"/>
      <c r="N1699" s="11"/>
      <c r="O1699" s="11"/>
      <c r="P1699" s="11"/>
      <c r="Q1699" s="11"/>
    </row>
    <row r="1700" spans="10:17">
      <c r="J1700" s="11"/>
      <c r="K1700" s="1533"/>
      <c r="L1700" s="11"/>
      <c r="M1700" s="11"/>
      <c r="N1700" s="11"/>
      <c r="O1700" s="11"/>
      <c r="P1700" s="11"/>
      <c r="Q1700" s="11"/>
    </row>
    <row r="1701" spans="10:17">
      <c r="J1701" s="11"/>
      <c r="K1701" s="1533"/>
      <c r="L1701" s="11"/>
      <c r="M1701" s="11"/>
      <c r="N1701" s="11"/>
      <c r="O1701" s="11"/>
      <c r="P1701" s="11"/>
      <c r="Q1701" s="11"/>
    </row>
    <row r="1702" spans="10:17">
      <c r="J1702" s="11"/>
      <c r="K1702" s="1533"/>
      <c r="L1702" s="11"/>
      <c r="M1702" s="11"/>
      <c r="N1702" s="11"/>
      <c r="O1702" s="11"/>
      <c r="P1702" s="11"/>
      <c r="Q1702" s="11"/>
    </row>
    <row r="1703" spans="10:17">
      <c r="J1703" s="11"/>
      <c r="K1703" s="1533"/>
      <c r="L1703" s="11"/>
      <c r="M1703" s="11"/>
      <c r="N1703" s="11"/>
      <c r="O1703" s="11"/>
      <c r="P1703" s="11"/>
      <c r="Q1703" s="11"/>
    </row>
    <row r="1704" spans="10:17">
      <c r="J1704" s="11"/>
      <c r="K1704" s="1533"/>
      <c r="L1704" s="11"/>
      <c r="M1704" s="11"/>
      <c r="N1704" s="11"/>
      <c r="O1704" s="11"/>
      <c r="P1704" s="11"/>
      <c r="Q1704" s="11"/>
    </row>
    <row r="1705" spans="10:17">
      <c r="J1705" s="11"/>
      <c r="K1705" s="1533"/>
      <c r="L1705" s="11"/>
      <c r="M1705" s="11"/>
      <c r="N1705" s="11"/>
      <c r="O1705" s="11"/>
      <c r="P1705" s="11"/>
      <c r="Q1705" s="11"/>
    </row>
    <row r="1706" spans="10:17">
      <c r="J1706" s="11"/>
      <c r="K1706" s="1533"/>
      <c r="L1706" s="11"/>
      <c r="M1706" s="11"/>
      <c r="N1706" s="11"/>
      <c r="O1706" s="11"/>
      <c r="P1706" s="11"/>
      <c r="Q1706" s="11"/>
    </row>
    <row r="1707" spans="10:17">
      <c r="J1707" s="11"/>
      <c r="K1707" s="1533"/>
      <c r="L1707" s="11"/>
      <c r="M1707" s="11"/>
      <c r="N1707" s="11"/>
      <c r="O1707" s="11"/>
      <c r="P1707" s="11"/>
      <c r="Q1707" s="11"/>
    </row>
    <row r="1708" spans="10:17">
      <c r="J1708" s="11"/>
      <c r="K1708" s="1533"/>
      <c r="L1708" s="11"/>
      <c r="M1708" s="11"/>
      <c r="N1708" s="11"/>
      <c r="O1708" s="11"/>
      <c r="P1708" s="11"/>
      <c r="Q1708" s="11"/>
    </row>
    <row r="1709" spans="10:17">
      <c r="J1709" s="11"/>
      <c r="K1709" s="1533"/>
      <c r="L1709" s="11"/>
      <c r="M1709" s="11"/>
      <c r="N1709" s="11"/>
      <c r="O1709" s="11"/>
      <c r="P1709" s="11"/>
      <c r="Q1709" s="11"/>
    </row>
    <row r="1710" spans="10:17">
      <c r="J1710" s="11"/>
      <c r="K1710" s="1533"/>
      <c r="L1710" s="11"/>
      <c r="M1710" s="11"/>
      <c r="N1710" s="11"/>
      <c r="O1710" s="11"/>
      <c r="P1710" s="11"/>
      <c r="Q1710" s="11"/>
    </row>
    <row r="1711" spans="10:17">
      <c r="J1711" s="11"/>
      <c r="K1711" s="1533"/>
      <c r="L1711" s="11"/>
      <c r="M1711" s="11"/>
      <c r="N1711" s="11"/>
      <c r="O1711" s="11"/>
      <c r="P1711" s="11"/>
      <c r="Q1711" s="11"/>
    </row>
    <row r="1712" spans="10:17">
      <c r="J1712" s="11"/>
      <c r="K1712" s="1533"/>
      <c r="L1712" s="11"/>
      <c r="M1712" s="11"/>
      <c r="N1712" s="11"/>
      <c r="O1712" s="11"/>
      <c r="P1712" s="11"/>
      <c r="Q1712" s="11"/>
    </row>
    <row r="1713" spans="10:17">
      <c r="J1713" s="11"/>
      <c r="K1713" s="1533"/>
      <c r="L1713" s="11"/>
      <c r="M1713" s="11"/>
      <c r="N1713" s="11"/>
      <c r="O1713" s="11"/>
      <c r="P1713" s="11"/>
      <c r="Q1713" s="11"/>
    </row>
    <row r="1714" spans="10:17">
      <c r="J1714" s="11"/>
      <c r="K1714" s="1533"/>
      <c r="L1714" s="11"/>
      <c r="M1714" s="11"/>
      <c r="N1714" s="11"/>
      <c r="O1714" s="11"/>
      <c r="P1714" s="11"/>
      <c r="Q1714" s="11"/>
    </row>
    <row r="1715" spans="10:17">
      <c r="J1715" s="11"/>
      <c r="K1715" s="1533"/>
      <c r="L1715" s="11"/>
      <c r="M1715" s="11"/>
      <c r="N1715" s="11"/>
      <c r="O1715" s="11"/>
      <c r="P1715" s="11"/>
      <c r="Q1715" s="11"/>
    </row>
    <row r="1716" spans="10:17">
      <c r="J1716" s="11"/>
      <c r="K1716" s="1533"/>
      <c r="L1716" s="11"/>
      <c r="M1716" s="11"/>
      <c r="N1716" s="11"/>
      <c r="O1716" s="11"/>
      <c r="P1716" s="11"/>
      <c r="Q1716" s="11"/>
    </row>
    <row r="1717" spans="10:17">
      <c r="J1717" s="11"/>
      <c r="K1717" s="1533"/>
      <c r="L1717" s="11"/>
      <c r="M1717" s="11"/>
      <c r="N1717" s="11"/>
      <c r="O1717" s="11"/>
      <c r="P1717" s="11"/>
      <c r="Q1717" s="11"/>
    </row>
    <row r="1718" spans="10:17">
      <c r="J1718" s="11"/>
      <c r="K1718" s="1533"/>
      <c r="L1718" s="11"/>
      <c r="M1718" s="11"/>
      <c r="N1718" s="11"/>
      <c r="O1718" s="11"/>
      <c r="P1718" s="11"/>
      <c r="Q1718" s="11"/>
    </row>
    <row r="1719" spans="10:17">
      <c r="J1719" s="11"/>
      <c r="K1719" s="1533"/>
      <c r="L1719" s="11"/>
      <c r="M1719" s="11"/>
      <c r="N1719" s="11"/>
      <c r="O1719" s="11"/>
      <c r="P1719" s="11"/>
      <c r="Q1719" s="11"/>
    </row>
    <row r="1720" spans="10:17">
      <c r="J1720" s="11"/>
      <c r="K1720" s="1533"/>
      <c r="L1720" s="11"/>
      <c r="M1720" s="11"/>
      <c r="N1720" s="11"/>
      <c r="O1720" s="11"/>
      <c r="P1720" s="11"/>
      <c r="Q1720" s="11"/>
    </row>
    <row r="1721" spans="10:17">
      <c r="J1721" s="11"/>
      <c r="K1721" s="1533"/>
      <c r="L1721" s="11"/>
      <c r="M1721" s="11"/>
      <c r="N1721" s="11"/>
      <c r="O1721" s="11"/>
      <c r="P1721" s="11"/>
      <c r="Q1721" s="11"/>
    </row>
    <row r="1722" spans="10:17">
      <c r="J1722" s="11"/>
      <c r="K1722" s="1533"/>
      <c r="L1722" s="11"/>
      <c r="M1722" s="11"/>
      <c r="N1722" s="11"/>
      <c r="O1722" s="11"/>
      <c r="P1722" s="11"/>
      <c r="Q1722" s="11"/>
    </row>
    <row r="1723" spans="10:17">
      <c r="J1723" s="11"/>
      <c r="K1723" s="1533"/>
      <c r="L1723" s="11"/>
      <c r="M1723" s="11"/>
      <c r="N1723" s="11"/>
      <c r="O1723" s="11"/>
      <c r="P1723" s="11"/>
      <c r="Q1723" s="11"/>
    </row>
    <row r="1724" spans="10:17">
      <c r="J1724" s="11"/>
      <c r="K1724" s="1533"/>
      <c r="L1724" s="11"/>
      <c r="M1724" s="11"/>
      <c r="N1724" s="11"/>
      <c r="O1724" s="11"/>
      <c r="P1724" s="11"/>
      <c r="Q1724" s="11"/>
    </row>
    <row r="1725" spans="10:17">
      <c r="J1725" s="11"/>
      <c r="K1725" s="1533"/>
      <c r="L1725" s="11"/>
      <c r="M1725" s="11"/>
      <c r="N1725" s="11"/>
      <c r="O1725" s="11"/>
      <c r="P1725" s="11"/>
      <c r="Q1725" s="11"/>
    </row>
    <row r="1726" spans="10:17">
      <c r="J1726" s="11"/>
      <c r="K1726" s="1533"/>
      <c r="L1726" s="11"/>
      <c r="M1726" s="11"/>
      <c r="N1726" s="11"/>
      <c r="O1726" s="11"/>
      <c r="P1726" s="11"/>
      <c r="Q1726" s="11"/>
    </row>
    <row r="1727" spans="10:17">
      <c r="J1727" s="11"/>
      <c r="K1727" s="1533"/>
      <c r="L1727" s="11"/>
      <c r="M1727" s="11"/>
      <c r="N1727" s="11"/>
      <c r="O1727" s="11"/>
      <c r="P1727" s="11"/>
      <c r="Q1727" s="11"/>
    </row>
    <row r="1728" spans="10:17">
      <c r="J1728" s="11"/>
      <c r="K1728" s="1533"/>
      <c r="L1728" s="11"/>
      <c r="M1728" s="11"/>
      <c r="N1728" s="11"/>
      <c r="O1728" s="11"/>
      <c r="P1728" s="11"/>
      <c r="Q1728" s="11"/>
    </row>
    <row r="1729" spans="10:17">
      <c r="J1729" s="11"/>
      <c r="K1729" s="1533"/>
      <c r="L1729" s="11"/>
      <c r="M1729" s="11"/>
      <c r="N1729" s="11"/>
      <c r="O1729" s="11"/>
      <c r="P1729" s="11"/>
      <c r="Q1729" s="11"/>
    </row>
    <row r="1730" spans="10:17">
      <c r="J1730" s="11"/>
      <c r="K1730" s="1533"/>
      <c r="L1730" s="11"/>
      <c r="M1730" s="11"/>
      <c r="N1730" s="11"/>
      <c r="O1730" s="11"/>
      <c r="P1730" s="11"/>
      <c r="Q1730" s="11"/>
    </row>
    <row r="1731" spans="10:17">
      <c r="J1731" s="11"/>
      <c r="K1731" s="1533"/>
      <c r="L1731" s="11"/>
      <c r="M1731" s="11"/>
      <c r="N1731" s="11"/>
      <c r="O1731" s="11"/>
      <c r="P1731" s="11"/>
      <c r="Q1731" s="11"/>
    </row>
    <row r="1732" spans="10:17">
      <c r="J1732" s="11"/>
      <c r="K1732" s="1533"/>
      <c r="L1732" s="11"/>
      <c r="M1732" s="11"/>
      <c r="N1732" s="11"/>
      <c r="O1732" s="11"/>
      <c r="P1732" s="11"/>
      <c r="Q1732" s="11"/>
    </row>
    <row r="1733" spans="10:17">
      <c r="J1733" s="11"/>
      <c r="K1733" s="1533"/>
      <c r="L1733" s="11"/>
      <c r="M1733" s="11"/>
      <c r="N1733" s="11"/>
      <c r="O1733" s="11"/>
      <c r="P1733" s="11"/>
      <c r="Q1733" s="11"/>
    </row>
    <row r="1734" spans="10:17">
      <c r="J1734" s="11"/>
      <c r="K1734" s="1533"/>
      <c r="L1734" s="11"/>
      <c r="M1734" s="11"/>
      <c r="N1734" s="11"/>
      <c r="O1734" s="11"/>
      <c r="P1734" s="11"/>
      <c r="Q1734" s="11"/>
    </row>
    <row r="1735" spans="10:17">
      <c r="J1735" s="11"/>
      <c r="K1735" s="1533"/>
      <c r="L1735" s="11"/>
      <c r="M1735" s="11"/>
      <c r="N1735" s="11"/>
      <c r="O1735" s="11"/>
      <c r="P1735" s="11"/>
      <c r="Q1735" s="11"/>
    </row>
    <row r="1736" spans="10:17">
      <c r="J1736" s="11"/>
      <c r="K1736" s="1533"/>
      <c r="L1736" s="11"/>
      <c r="M1736" s="11"/>
      <c r="N1736" s="11"/>
      <c r="O1736" s="11"/>
      <c r="P1736" s="11"/>
      <c r="Q1736" s="11"/>
    </row>
    <row r="1737" spans="10:17">
      <c r="J1737" s="11"/>
      <c r="K1737" s="1533"/>
      <c r="L1737" s="11"/>
      <c r="M1737" s="11"/>
      <c r="N1737" s="11"/>
      <c r="O1737" s="11"/>
      <c r="P1737" s="11"/>
      <c r="Q1737" s="11"/>
    </row>
    <row r="1738" spans="10:17">
      <c r="J1738" s="11"/>
      <c r="K1738" s="1533"/>
      <c r="L1738" s="11"/>
      <c r="M1738" s="11"/>
      <c r="N1738" s="11"/>
      <c r="O1738" s="11"/>
      <c r="P1738" s="11"/>
      <c r="Q1738" s="11"/>
    </row>
    <row r="1739" spans="10:17">
      <c r="J1739" s="11"/>
      <c r="K1739" s="1533"/>
      <c r="L1739" s="11"/>
      <c r="M1739" s="11"/>
      <c r="N1739" s="11"/>
      <c r="O1739" s="11"/>
      <c r="P1739" s="11"/>
      <c r="Q1739" s="11"/>
    </row>
    <row r="1740" spans="10:17">
      <c r="J1740" s="11"/>
      <c r="K1740" s="1533"/>
      <c r="L1740" s="11"/>
      <c r="M1740" s="11"/>
      <c r="N1740" s="11"/>
      <c r="O1740" s="11"/>
      <c r="P1740" s="11"/>
      <c r="Q1740" s="11"/>
    </row>
    <row r="1741" spans="10:17">
      <c r="J1741" s="11"/>
      <c r="K1741" s="1533"/>
      <c r="L1741" s="11"/>
      <c r="M1741" s="11"/>
      <c r="N1741" s="11"/>
      <c r="O1741" s="11"/>
      <c r="P1741" s="11"/>
      <c r="Q1741" s="11"/>
    </row>
    <row r="1742" spans="10:17">
      <c r="J1742" s="11"/>
      <c r="K1742" s="1533"/>
      <c r="L1742" s="11"/>
      <c r="M1742" s="11"/>
      <c r="N1742" s="11"/>
      <c r="O1742" s="11"/>
      <c r="P1742" s="11"/>
      <c r="Q1742" s="11"/>
    </row>
    <row r="1743" spans="10:17">
      <c r="J1743" s="11"/>
      <c r="K1743" s="1533"/>
      <c r="L1743" s="11"/>
      <c r="M1743" s="11"/>
      <c r="N1743" s="11"/>
      <c r="O1743" s="11"/>
      <c r="P1743" s="11"/>
      <c r="Q1743" s="11"/>
    </row>
    <row r="1744" spans="10:17">
      <c r="J1744" s="11"/>
      <c r="K1744" s="1533"/>
      <c r="L1744" s="11"/>
      <c r="M1744" s="11"/>
      <c r="N1744" s="11"/>
      <c r="O1744" s="11"/>
      <c r="P1744" s="11"/>
      <c r="Q1744" s="11"/>
    </row>
    <row r="1745" spans="10:17">
      <c r="J1745" s="11"/>
      <c r="K1745" s="1533"/>
      <c r="L1745" s="11"/>
      <c r="M1745" s="11"/>
      <c r="N1745" s="11"/>
      <c r="O1745" s="11"/>
      <c r="P1745" s="11"/>
      <c r="Q1745" s="11"/>
    </row>
    <row r="1746" spans="10:17">
      <c r="J1746" s="11"/>
      <c r="K1746" s="1533"/>
      <c r="L1746" s="11"/>
      <c r="M1746" s="11"/>
      <c r="N1746" s="11"/>
      <c r="O1746" s="11"/>
      <c r="P1746" s="11"/>
      <c r="Q1746" s="11"/>
    </row>
    <row r="1747" spans="10:17">
      <c r="J1747" s="11"/>
      <c r="K1747" s="1533"/>
      <c r="L1747" s="11"/>
      <c r="M1747" s="11"/>
      <c r="N1747" s="11"/>
      <c r="O1747" s="11"/>
      <c r="P1747" s="11"/>
      <c r="Q1747" s="11"/>
    </row>
    <row r="1748" spans="10:17">
      <c r="J1748" s="11"/>
      <c r="K1748" s="1533"/>
      <c r="L1748" s="11"/>
      <c r="M1748" s="11"/>
      <c r="N1748" s="11"/>
      <c r="O1748" s="11"/>
      <c r="P1748" s="11"/>
      <c r="Q1748" s="11"/>
    </row>
    <row r="1749" spans="10:17">
      <c r="J1749" s="11"/>
      <c r="K1749" s="1533"/>
      <c r="L1749" s="11"/>
      <c r="M1749" s="11"/>
      <c r="N1749" s="11"/>
      <c r="O1749" s="11"/>
      <c r="P1749" s="11"/>
      <c r="Q1749" s="11"/>
    </row>
    <row r="1750" spans="10:17">
      <c r="J1750" s="11"/>
      <c r="K1750" s="1533"/>
      <c r="L1750" s="11"/>
      <c r="M1750" s="11"/>
      <c r="N1750" s="11"/>
      <c r="O1750" s="11"/>
      <c r="P1750" s="11"/>
      <c r="Q1750" s="11"/>
    </row>
    <row r="1751" spans="10:17">
      <c r="J1751" s="11"/>
      <c r="K1751" s="1533"/>
      <c r="L1751" s="11"/>
      <c r="M1751" s="11"/>
      <c r="N1751" s="11"/>
      <c r="O1751" s="11"/>
      <c r="P1751" s="11"/>
      <c r="Q1751" s="11"/>
    </row>
    <row r="1752" spans="10:17">
      <c r="J1752" s="11"/>
      <c r="K1752" s="1533"/>
      <c r="L1752" s="11"/>
      <c r="M1752" s="11"/>
      <c r="N1752" s="11"/>
      <c r="O1752" s="11"/>
      <c r="P1752" s="11"/>
      <c r="Q1752" s="11"/>
    </row>
    <row r="1753" spans="10:17">
      <c r="J1753" s="11"/>
      <c r="K1753" s="1533"/>
      <c r="L1753" s="11"/>
      <c r="M1753" s="11"/>
      <c r="N1753" s="11"/>
      <c r="O1753" s="11"/>
      <c r="P1753" s="11"/>
      <c r="Q1753" s="11"/>
    </row>
    <row r="1754" spans="10:17">
      <c r="J1754" s="11"/>
      <c r="K1754" s="1533"/>
      <c r="L1754" s="11"/>
      <c r="M1754" s="11"/>
      <c r="N1754" s="11"/>
      <c r="O1754" s="11"/>
      <c r="P1754" s="11"/>
      <c r="Q1754" s="11"/>
    </row>
    <row r="1755" spans="10:17">
      <c r="J1755" s="11"/>
      <c r="K1755" s="1533"/>
      <c r="L1755" s="11"/>
      <c r="M1755" s="11"/>
      <c r="N1755" s="11"/>
      <c r="O1755" s="11"/>
      <c r="P1755" s="11"/>
      <c r="Q1755" s="11"/>
    </row>
    <row r="1756" spans="10:17">
      <c r="J1756" s="11"/>
      <c r="K1756" s="1533"/>
      <c r="L1756" s="11"/>
      <c r="M1756" s="11"/>
      <c r="N1756" s="11"/>
      <c r="O1756" s="11"/>
      <c r="P1756" s="11"/>
      <c r="Q1756" s="11"/>
    </row>
    <row r="1757" spans="10:17">
      <c r="J1757" s="11"/>
      <c r="K1757" s="1533"/>
      <c r="L1757" s="11"/>
      <c r="M1757" s="11"/>
      <c r="N1757" s="11"/>
      <c r="O1757" s="11"/>
      <c r="P1757" s="11"/>
      <c r="Q1757" s="11"/>
    </row>
    <row r="1758" spans="10:17">
      <c r="J1758" s="11"/>
      <c r="K1758" s="1533"/>
      <c r="L1758" s="11"/>
      <c r="M1758" s="11"/>
      <c r="N1758" s="11"/>
      <c r="O1758" s="11"/>
      <c r="P1758" s="11"/>
      <c r="Q1758" s="11"/>
    </row>
    <row r="1759" spans="10:17">
      <c r="J1759" s="11"/>
      <c r="K1759" s="1533"/>
      <c r="L1759" s="11"/>
      <c r="M1759" s="11"/>
      <c r="N1759" s="11"/>
      <c r="O1759" s="11"/>
      <c r="P1759" s="11"/>
      <c r="Q1759" s="11"/>
    </row>
    <row r="1760" spans="10:17">
      <c r="J1760" s="11"/>
      <c r="K1760" s="1533"/>
      <c r="L1760" s="11"/>
      <c r="M1760" s="11"/>
      <c r="N1760" s="11"/>
      <c r="O1760" s="11"/>
      <c r="P1760" s="11"/>
      <c r="Q1760" s="11"/>
    </row>
    <row r="1761" spans="10:17">
      <c r="J1761" s="11"/>
      <c r="K1761" s="1533"/>
      <c r="L1761" s="11"/>
      <c r="M1761" s="11"/>
      <c r="N1761" s="11"/>
      <c r="O1761" s="11"/>
      <c r="P1761" s="11"/>
      <c r="Q1761" s="11"/>
    </row>
    <row r="1762" spans="10:17">
      <c r="J1762" s="11"/>
      <c r="K1762" s="1533"/>
      <c r="L1762" s="11"/>
      <c r="M1762" s="11"/>
      <c r="N1762" s="11"/>
      <c r="O1762" s="11"/>
      <c r="P1762" s="11"/>
      <c r="Q1762" s="11"/>
    </row>
    <row r="1763" spans="10:17">
      <c r="J1763" s="11"/>
      <c r="K1763" s="1533"/>
      <c r="L1763" s="11"/>
      <c r="M1763" s="11"/>
      <c r="N1763" s="11"/>
      <c r="O1763" s="11"/>
      <c r="P1763" s="11"/>
      <c r="Q1763" s="11"/>
    </row>
    <row r="1764" spans="10:17">
      <c r="J1764" s="11"/>
      <c r="K1764" s="1533"/>
      <c r="L1764" s="11"/>
      <c r="M1764" s="11"/>
      <c r="N1764" s="11"/>
      <c r="O1764" s="11"/>
      <c r="P1764" s="11"/>
      <c r="Q1764" s="11"/>
    </row>
    <row r="1765" spans="10:17">
      <c r="J1765" s="11"/>
      <c r="K1765" s="1533"/>
      <c r="L1765" s="11"/>
      <c r="M1765" s="11"/>
      <c r="N1765" s="11"/>
      <c r="O1765" s="11"/>
      <c r="P1765" s="11"/>
      <c r="Q1765" s="11"/>
    </row>
    <row r="1766" spans="10:17">
      <c r="J1766" s="11"/>
      <c r="K1766" s="1533"/>
      <c r="L1766" s="11"/>
      <c r="M1766" s="11"/>
      <c r="N1766" s="11"/>
      <c r="O1766" s="11"/>
      <c r="P1766" s="11"/>
      <c r="Q1766" s="11"/>
    </row>
    <row r="1767" spans="10:17">
      <c r="J1767" s="11"/>
      <c r="K1767" s="1533"/>
      <c r="L1767" s="11"/>
      <c r="M1767" s="11"/>
      <c r="N1767" s="11"/>
      <c r="O1767" s="11"/>
      <c r="P1767" s="11"/>
      <c r="Q1767" s="11"/>
    </row>
    <row r="1768" spans="10:17">
      <c r="J1768" s="11"/>
      <c r="K1768" s="1533"/>
      <c r="L1768" s="11"/>
      <c r="M1768" s="11"/>
      <c r="N1768" s="11"/>
      <c r="O1768" s="11"/>
      <c r="P1768" s="11"/>
      <c r="Q1768" s="11"/>
    </row>
    <row r="1769" spans="10:17">
      <c r="J1769" s="11"/>
      <c r="K1769" s="1533"/>
      <c r="L1769" s="11"/>
      <c r="M1769" s="11"/>
      <c r="N1769" s="11"/>
      <c r="O1769" s="11"/>
      <c r="P1769" s="11"/>
      <c r="Q1769" s="11"/>
    </row>
    <row r="1770" spans="10:17">
      <c r="J1770" s="11"/>
      <c r="K1770" s="1533"/>
      <c r="L1770" s="11"/>
      <c r="M1770" s="11"/>
      <c r="N1770" s="11"/>
      <c r="O1770" s="11"/>
      <c r="P1770" s="11"/>
      <c r="Q1770" s="11"/>
    </row>
    <row r="1771" spans="10:17">
      <c r="J1771" s="11"/>
      <c r="K1771" s="1533"/>
      <c r="L1771" s="11"/>
      <c r="M1771" s="11"/>
      <c r="N1771" s="11"/>
      <c r="O1771" s="11"/>
      <c r="P1771" s="11"/>
      <c r="Q1771" s="11"/>
    </row>
    <row r="1772" spans="10:17">
      <c r="J1772" s="11"/>
      <c r="K1772" s="1533"/>
      <c r="L1772" s="11"/>
      <c r="M1772" s="11"/>
      <c r="N1772" s="11"/>
      <c r="O1772" s="11"/>
      <c r="P1772" s="11"/>
      <c r="Q1772" s="11"/>
    </row>
    <row r="1773" spans="10:17">
      <c r="J1773" s="11"/>
      <c r="K1773" s="1533"/>
      <c r="L1773" s="11"/>
      <c r="M1773" s="11"/>
      <c r="N1773" s="11"/>
      <c r="O1773" s="11"/>
      <c r="P1773" s="11"/>
      <c r="Q1773" s="11"/>
    </row>
    <row r="1774" spans="10:17">
      <c r="J1774" s="11"/>
      <c r="K1774" s="1533"/>
      <c r="L1774" s="11"/>
      <c r="M1774" s="11"/>
      <c r="N1774" s="11"/>
      <c r="O1774" s="11"/>
      <c r="P1774" s="11"/>
      <c r="Q1774" s="11"/>
    </row>
    <row r="1775" spans="10:17">
      <c r="J1775" s="11"/>
      <c r="K1775" s="1533"/>
      <c r="L1775" s="11"/>
      <c r="M1775" s="11"/>
      <c r="N1775" s="11"/>
      <c r="O1775" s="11"/>
      <c r="P1775" s="11"/>
      <c r="Q1775" s="11"/>
    </row>
    <row r="1776" spans="10:17">
      <c r="J1776" s="11"/>
      <c r="K1776" s="1533"/>
      <c r="L1776" s="11"/>
      <c r="M1776" s="11"/>
      <c r="N1776" s="11"/>
      <c r="O1776" s="11"/>
      <c r="P1776" s="11"/>
      <c r="Q1776" s="11"/>
    </row>
    <row r="1777" spans="10:17">
      <c r="J1777" s="11"/>
      <c r="K1777" s="1533"/>
      <c r="L1777" s="11"/>
      <c r="M1777" s="11"/>
      <c r="N1777" s="11"/>
      <c r="O1777" s="11"/>
      <c r="P1777" s="11"/>
      <c r="Q1777" s="11"/>
    </row>
    <row r="1778" spans="10:17">
      <c r="J1778" s="11"/>
      <c r="K1778" s="1533"/>
      <c r="L1778" s="11"/>
      <c r="M1778" s="11"/>
      <c r="N1778" s="11"/>
      <c r="O1778" s="11"/>
      <c r="P1778" s="11"/>
      <c r="Q1778" s="11"/>
    </row>
    <row r="1779" spans="10:17">
      <c r="J1779" s="11"/>
      <c r="K1779" s="1533"/>
      <c r="L1779" s="11"/>
      <c r="M1779" s="11"/>
      <c r="N1779" s="11"/>
      <c r="O1779" s="11"/>
      <c r="P1779" s="11"/>
      <c r="Q1779" s="11"/>
    </row>
    <row r="1780" spans="10:17">
      <c r="J1780" s="11"/>
      <c r="K1780" s="1533"/>
      <c r="L1780" s="11"/>
      <c r="M1780" s="11"/>
      <c r="N1780" s="11"/>
      <c r="O1780" s="11"/>
      <c r="P1780" s="11"/>
      <c r="Q1780" s="11"/>
    </row>
    <row r="1781" spans="10:17">
      <c r="J1781" s="11"/>
      <c r="K1781" s="1533"/>
      <c r="L1781" s="11"/>
      <c r="M1781" s="11"/>
      <c r="N1781" s="11"/>
      <c r="O1781" s="11"/>
      <c r="P1781" s="11"/>
      <c r="Q1781" s="11"/>
    </row>
    <row r="1782" spans="10:17">
      <c r="J1782" s="11"/>
      <c r="K1782" s="1533"/>
      <c r="L1782" s="11"/>
      <c r="M1782" s="11"/>
      <c r="N1782" s="11"/>
      <c r="O1782" s="11"/>
      <c r="P1782" s="11"/>
      <c r="Q1782" s="11"/>
    </row>
    <row r="1783" spans="10:17">
      <c r="J1783" s="11"/>
      <c r="K1783" s="1533"/>
      <c r="L1783" s="11"/>
      <c r="M1783" s="11"/>
      <c r="N1783" s="11"/>
      <c r="O1783" s="11"/>
      <c r="P1783" s="11"/>
      <c r="Q1783" s="11"/>
    </row>
    <row r="1784" spans="10:17">
      <c r="J1784" s="11"/>
      <c r="K1784" s="1533"/>
      <c r="L1784" s="11"/>
      <c r="M1784" s="11"/>
      <c r="N1784" s="11"/>
      <c r="O1784" s="11"/>
      <c r="P1784" s="11"/>
      <c r="Q1784" s="11"/>
    </row>
    <row r="1785" spans="10:17">
      <c r="J1785" s="11"/>
      <c r="K1785" s="1533"/>
      <c r="L1785" s="11"/>
      <c r="M1785" s="11"/>
      <c r="N1785" s="11"/>
      <c r="O1785" s="11"/>
      <c r="P1785" s="11"/>
      <c r="Q1785" s="11"/>
    </row>
    <row r="1786" spans="10:17">
      <c r="J1786" s="11"/>
      <c r="K1786" s="1533"/>
      <c r="L1786" s="11"/>
      <c r="M1786" s="11"/>
      <c r="N1786" s="11"/>
      <c r="O1786" s="11"/>
      <c r="P1786" s="11"/>
      <c r="Q1786" s="11"/>
    </row>
    <row r="1787" spans="10:17">
      <c r="J1787" s="11"/>
      <c r="K1787" s="1533"/>
      <c r="L1787" s="11"/>
      <c r="M1787" s="11"/>
      <c r="N1787" s="11"/>
      <c r="O1787" s="11"/>
      <c r="P1787" s="11"/>
      <c r="Q1787" s="11"/>
    </row>
    <row r="1788" spans="10:17">
      <c r="J1788" s="11"/>
      <c r="K1788" s="1533"/>
      <c r="L1788" s="11"/>
      <c r="M1788" s="11"/>
      <c r="N1788" s="11"/>
      <c r="O1788" s="11"/>
      <c r="P1788" s="11"/>
      <c r="Q1788" s="11"/>
    </row>
    <row r="1789" spans="10:17">
      <c r="J1789" s="11"/>
      <c r="K1789" s="1533"/>
      <c r="L1789" s="11"/>
      <c r="M1789" s="11"/>
      <c r="N1789" s="11"/>
      <c r="O1789" s="11"/>
      <c r="P1789" s="11"/>
      <c r="Q1789" s="11"/>
    </row>
    <row r="1790" spans="10:17">
      <c r="J1790" s="11"/>
      <c r="K1790" s="1533"/>
      <c r="L1790" s="11"/>
      <c r="M1790" s="11"/>
      <c r="N1790" s="11"/>
      <c r="O1790" s="11"/>
      <c r="P1790" s="11"/>
      <c r="Q1790" s="11"/>
    </row>
    <row r="1791" spans="10:17">
      <c r="J1791" s="11"/>
      <c r="K1791" s="1533"/>
      <c r="L1791" s="11"/>
      <c r="M1791" s="11"/>
      <c r="N1791" s="11"/>
      <c r="O1791" s="11"/>
      <c r="P1791" s="11"/>
      <c r="Q1791" s="11"/>
    </row>
    <row r="1792" spans="10:17">
      <c r="J1792" s="11"/>
      <c r="K1792" s="1533"/>
      <c r="L1792" s="11"/>
      <c r="M1792" s="11"/>
      <c r="N1792" s="11"/>
      <c r="O1792" s="11"/>
      <c r="P1792" s="11"/>
      <c r="Q1792" s="11"/>
    </row>
    <row r="1793" spans="10:17">
      <c r="J1793" s="11"/>
      <c r="K1793" s="1533"/>
      <c r="L1793" s="11"/>
      <c r="M1793" s="11"/>
      <c r="N1793" s="11"/>
      <c r="O1793" s="11"/>
      <c r="P1793" s="11"/>
      <c r="Q1793" s="11"/>
    </row>
    <row r="1794" spans="10:17">
      <c r="J1794" s="11"/>
      <c r="K1794" s="1533"/>
      <c r="L1794" s="11"/>
      <c r="M1794" s="11"/>
      <c r="N1794" s="11"/>
      <c r="O1794" s="11"/>
      <c r="P1794" s="11"/>
      <c r="Q1794" s="11"/>
    </row>
    <row r="1795" spans="10:17">
      <c r="J1795" s="11"/>
      <c r="K1795" s="1533"/>
      <c r="L1795" s="11"/>
      <c r="M1795" s="11"/>
      <c r="N1795" s="11"/>
      <c r="O1795" s="11"/>
      <c r="P1795" s="11"/>
      <c r="Q1795" s="11"/>
    </row>
    <row r="1796" spans="10:17">
      <c r="J1796" s="11"/>
      <c r="K1796" s="1533"/>
      <c r="L1796" s="11"/>
      <c r="M1796" s="11"/>
      <c r="N1796" s="11"/>
      <c r="O1796" s="11"/>
      <c r="P1796" s="11"/>
      <c r="Q1796" s="11"/>
    </row>
    <row r="1797" spans="10:17">
      <c r="J1797" s="11"/>
      <c r="K1797" s="1533"/>
      <c r="L1797" s="11"/>
      <c r="M1797" s="11"/>
      <c r="N1797" s="11"/>
      <c r="O1797" s="11"/>
      <c r="P1797" s="11"/>
      <c r="Q1797" s="11"/>
    </row>
    <row r="1798" spans="10:17">
      <c r="J1798" s="11"/>
      <c r="K1798" s="1533"/>
      <c r="L1798" s="11"/>
      <c r="M1798" s="11"/>
      <c r="N1798" s="11"/>
      <c r="O1798" s="11"/>
      <c r="P1798" s="11"/>
      <c r="Q1798" s="11"/>
    </row>
    <row r="1799" spans="10:17">
      <c r="J1799" s="11"/>
      <c r="K1799" s="1533"/>
      <c r="L1799" s="11"/>
      <c r="M1799" s="11"/>
      <c r="N1799" s="11"/>
      <c r="O1799" s="11"/>
      <c r="P1799" s="11"/>
      <c r="Q1799" s="11"/>
    </row>
    <row r="1800" spans="10:17">
      <c r="J1800" s="11"/>
      <c r="K1800" s="1533"/>
      <c r="L1800" s="11"/>
      <c r="M1800" s="11"/>
      <c r="N1800" s="11"/>
      <c r="O1800" s="11"/>
      <c r="P1800" s="11"/>
      <c r="Q1800" s="11"/>
    </row>
    <row r="1801" spans="10:17">
      <c r="J1801" s="11"/>
      <c r="K1801" s="1533"/>
      <c r="L1801" s="11"/>
      <c r="M1801" s="11"/>
      <c r="N1801" s="11"/>
      <c r="O1801" s="11"/>
      <c r="P1801" s="11"/>
      <c r="Q1801" s="11"/>
    </row>
    <row r="1802" spans="10:17">
      <c r="J1802" s="11"/>
      <c r="K1802" s="1533"/>
      <c r="L1802" s="11"/>
      <c r="M1802" s="11"/>
      <c r="N1802" s="11"/>
      <c r="O1802" s="11"/>
      <c r="P1802" s="11"/>
      <c r="Q1802" s="11"/>
    </row>
    <row r="1803" spans="10:17">
      <c r="J1803" s="11"/>
      <c r="K1803" s="1533"/>
      <c r="L1803" s="11"/>
      <c r="M1803" s="11"/>
      <c r="N1803" s="11"/>
      <c r="O1803" s="11"/>
      <c r="P1803" s="11"/>
      <c r="Q1803" s="11"/>
    </row>
    <row r="1804" spans="10:17">
      <c r="J1804" s="11"/>
      <c r="K1804" s="1533"/>
      <c r="L1804" s="11"/>
      <c r="M1804" s="11"/>
      <c r="N1804" s="11"/>
      <c r="O1804" s="11"/>
      <c r="P1804" s="11"/>
      <c r="Q1804" s="11"/>
    </row>
    <row r="1805" spans="10:17">
      <c r="J1805" s="11"/>
      <c r="K1805" s="1533"/>
      <c r="L1805" s="11"/>
      <c r="M1805" s="11"/>
      <c r="N1805" s="11"/>
      <c r="O1805" s="11"/>
      <c r="P1805" s="11"/>
      <c r="Q1805" s="11"/>
    </row>
    <row r="1806" spans="10:17">
      <c r="J1806" s="11"/>
      <c r="K1806" s="1533"/>
      <c r="L1806" s="11"/>
      <c r="M1806" s="11"/>
      <c r="N1806" s="11"/>
      <c r="O1806" s="11"/>
      <c r="P1806" s="11"/>
      <c r="Q1806" s="11"/>
    </row>
    <row r="1807" spans="10:17">
      <c r="J1807" s="11"/>
      <c r="K1807" s="1533"/>
      <c r="L1807" s="11"/>
      <c r="M1807" s="11"/>
      <c r="N1807" s="11"/>
      <c r="O1807" s="11"/>
      <c r="P1807" s="11"/>
      <c r="Q1807" s="11"/>
    </row>
    <row r="1808" spans="10:17">
      <c r="J1808" s="11"/>
      <c r="K1808" s="1533"/>
      <c r="L1808" s="11"/>
      <c r="M1808" s="11"/>
      <c r="N1808" s="11"/>
      <c r="O1808" s="11"/>
      <c r="P1808" s="11"/>
      <c r="Q1808" s="11"/>
    </row>
    <row r="1809" spans="10:17">
      <c r="J1809" s="11"/>
      <c r="K1809" s="1533"/>
      <c r="L1809" s="11"/>
      <c r="M1809" s="11"/>
      <c r="N1809" s="11"/>
      <c r="O1809" s="11"/>
      <c r="P1809" s="11"/>
      <c r="Q1809" s="11"/>
    </row>
    <row r="1810" spans="10:17">
      <c r="J1810" s="11"/>
      <c r="K1810" s="1533"/>
      <c r="L1810" s="11"/>
      <c r="M1810" s="11"/>
      <c r="N1810" s="11"/>
      <c r="O1810" s="11"/>
      <c r="P1810" s="11"/>
      <c r="Q1810" s="11"/>
    </row>
    <row r="1811" spans="10:17">
      <c r="J1811" s="11"/>
      <c r="K1811" s="1533"/>
      <c r="L1811" s="11"/>
      <c r="M1811" s="11"/>
      <c r="N1811" s="11"/>
      <c r="O1811" s="11"/>
      <c r="P1811" s="11"/>
      <c r="Q1811" s="11"/>
    </row>
    <row r="1812" spans="10:17">
      <c r="J1812" s="11"/>
      <c r="K1812" s="1533"/>
      <c r="L1812" s="11"/>
      <c r="M1812" s="11"/>
      <c r="N1812" s="11"/>
      <c r="O1812" s="11"/>
      <c r="P1812" s="11"/>
      <c r="Q1812" s="11"/>
    </row>
    <row r="1813" spans="10:17">
      <c r="J1813" s="11"/>
      <c r="K1813" s="1533"/>
      <c r="L1813" s="11"/>
      <c r="M1813" s="11"/>
      <c r="N1813" s="11"/>
      <c r="O1813" s="11"/>
      <c r="P1813" s="11"/>
      <c r="Q1813" s="11"/>
    </row>
    <row r="1814" spans="10:17">
      <c r="J1814" s="11"/>
      <c r="K1814" s="1533"/>
      <c r="L1814" s="11"/>
      <c r="M1814" s="11"/>
      <c r="N1814" s="11"/>
      <c r="O1814" s="11"/>
      <c r="P1814" s="11"/>
      <c r="Q1814" s="11"/>
    </row>
    <row r="1815" spans="10:17">
      <c r="J1815" s="11"/>
      <c r="K1815" s="1533"/>
      <c r="L1815" s="11"/>
      <c r="M1815" s="11"/>
      <c r="N1815" s="11"/>
      <c r="O1815" s="11"/>
      <c r="P1815" s="11"/>
      <c r="Q1815" s="11"/>
    </row>
    <row r="1816" spans="10:17">
      <c r="J1816" s="11"/>
      <c r="K1816" s="1533"/>
      <c r="L1816" s="11"/>
      <c r="M1816" s="11"/>
      <c r="N1816" s="11"/>
      <c r="O1816" s="11"/>
      <c r="P1816" s="11"/>
      <c r="Q1816" s="11"/>
    </row>
    <row r="1817" spans="10:17">
      <c r="J1817" s="11"/>
      <c r="K1817" s="1533"/>
      <c r="L1817" s="11"/>
      <c r="M1817" s="11"/>
      <c r="N1817" s="11"/>
      <c r="O1817" s="11"/>
      <c r="P1817" s="11"/>
      <c r="Q1817" s="11"/>
    </row>
    <row r="1818" spans="10:17">
      <c r="J1818" s="11"/>
      <c r="K1818" s="1533"/>
      <c r="L1818" s="11"/>
      <c r="M1818" s="11"/>
      <c r="N1818" s="11"/>
      <c r="O1818" s="11"/>
      <c r="P1818" s="11"/>
      <c r="Q1818" s="11"/>
    </row>
    <row r="1819" spans="10:17">
      <c r="J1819" s="11"/>
      <c r="K1819" s="1533"/>
      <c r="L1819" s="11"/>
      <c r="M1819" s="11"/>
      <c r="N1819" s="11"/>
      <c r="O1819" s="11"/>
      <c r="P1819" s="11"/>
      <c r="Q1819" s="11"/>
    </row>
    <row r="1820" spans="10:17">
      <c r="J1820" s="11"/>
      <c r="K1820" s="1533"/>
      <c r="L1820" s="11"/>
      <c r="M1820" s="11"/>
      <c r="N1820" s="11"/>
      <c r="O1820" s="11"/>
      <c r="P1820" s="11"/>
      <c r="Q1820" s="11"/>
    </row>
    <row r="1821" spans="10:17">
      <c r="J1821" s="11"/>
      <c r="K1821" s="1533"/>
      <c r="L1821" s="11"/>
      <c r="M1821" s="11"/>
      <c r="N1821" s="11"/>
      <c r="O1821" s="11"/>
      <c r="P1821" s="11"/>
      <c r="Q1821" s="11"/>
    </row>
    <row r="1822" spans="10:17">
      <c r="J1822" s="11"/>
      <c r="K1822" s="1533"/>
      <c r="L1822" s="11"/>
      <c r="M1822" s="11"/>
      <c r="N1822" s="11"/>
      <c r="O1822" s="11"/>
      <c r="P1822" s="11"/>
      <c r="Q1822" s="11"/>
    </row>
    <row r="1823" spans="10:17">
      <c r="J1823" s="11"/>
      <c r="K1823" s="1533"/>
      <c r="L1823" s="11"/>
      <c r="M1823" s="11"/>
      <c r="N1823" s="11"/>
      <c r="O1823" s="11"/>
      <c r="P1823" s="11"/>
      <c r="Q1823" s="11"/>
    </row>
    <row r="1824" spans="10:17">
      <c r="J1824" s="11"/>
      <c r="K1824" s="1533"/>
      <c r="L1824" s="11"/>
      <c r="M1824" s="11"/>
      <c r="N1824" s="11"/>
      <c r="O1824" s="11"/>
      <c r="P1824" s="11"/>
      <c r="Q1824" s="11"/>
    </row>
    <row r="1825" spans="10:17">
      <c r="J1825" s="11"/>
      <c r="K1825" s="1533"/>
      <c r="L1825" s="11"/>
      <c r="M1825" s="11"/>
      <c r="N1825" s="11"/>
      <c r="O1825" s="11"/>
      <c r="P1825" s="11"/>
      <c r="Q1825" s="11"/>
    </row>
    <row r="1826" spans="10:17">
      <c r="J1826" s="11"/>
      <c r="K1826" s="1533"/>
      <c r="L1826" s="11"/>
      <c r="M1826" s="11"/>
      <c r="N1826" s="11"/>
      <c r="O1826" s="11"/>
      <c r="P1826" s="11"/>
      <c r="Q1826" s="11"/>
    </row>
    <row r="1827" spans="10:17">
      <c r="J1827" s="11"/>
      <c r="K1827" s="1533"/>
      <c r="L1827" s="11"/>
      <c r="M1827" s="11"/>
      <c r="N1827" s="11"/>
      <c r="O1827" s="11"/>
      <c r="P1827" s="11"/>
      <c r="Q1827" s="11"/>
    </row>
    <row r="1828" spans="10:17">
      <c r="J1828" s="11"/>
      <c r="K1828" s="1533"/>
      <c r="L1828" s="11"/>
      <c r="M1828" s="11"/>
      <c r="N1828" s="11"/>
      <c r="O1828" s="11"/>
      <c r="P1828" s="11"/>
      <c r="Q1828" s="11"/>
    </row>
    <row r="1829" spans="10:17">
      <c r="J1829" s="11"/>
      <c r="K1829" s="1533"/>
      <c r="L1829" s="11"/>
      <c r="M1829" s="11"/>
      <c r="N1829" s="11"/>
      <c r="O1829" s="11"/>
      <c r="P1829" s="11"/>
      <c r="Q1829" s="11"/>
    </row>
    <row r="1830" spans="10:17">
      <c r="J1830" s="11"/>
      <c r="K1830" s="1533"/>
      <c r="L1830" s="11"/>
      <c r="M1830" s="11"/>
      <c r="N1830" s="11"/>
      <c r="O1830" s="11"/>
      <c r="P1830" s="11"/>
      <c r="Q1830" s="11"/>
    </row>
    <row r="1831" spans="10:17">
      <c r="J1831" s="11"/>
      <c r="K1831" s="1533"/>
      <c r="L1831" s="11"/>
      <c r="M1831" s="11"/>
      <c r="N1831" s="11"/>
      <c r="O1831" s="11"/>
      <c r="P1831" s="11"/>
      <c r="Q1831" s="11"/>
    </row>
    <row r="1832" spans="10:17">
      <c r="J1832" s="11"/>
      <c r="K1832" s="1533"/>
      <c r="L1832" s="11"/>
      <c r="M1832" s="11"/>
      <c r="N1832" s="11"/>
      <c r="O1832" s="11"/>
      <c r="P1832" s="11"/>
      <c r="Q1832" s="11"/>
    </row>
    <row r="1833" spans="10:17">
      <c r="J1833" s="11"/>
      <c r="K1833" s="1533"/>
      <c r="L1833" s="11"/>
      <c r="M1833" s="11"/>
      <c r="N1833" s="11"/>
      <c r="O1833" s="11"/>
      <c r="P1833" s="11"/>
      <c r="Q1833" s="11"/>
    </row>
    <row r="1834" spans="10:17">
      <c r="J1834" s="11"/>
      <c r="K1834" s="1533"/>
      <c r="L1834" s="11"/>
      <c r="M1834" s="11"/>
      <c r="N1834" s="11"/>
      <c r="O1834" s="11"/>
      <c r="P1834" s="11"/>
      <c r="Q1834" s="11"/>
    </row>
    <row r="1835" spans="10:17">
      <c r="J1835" s="11"/>
      <c r="K1835" s="1533"/>
      <c r="L1835" s="11"/>
      <c r="M1835" s="11"/>
      <c r="N1835" s="11"/>
      <c r="O1835" s="11"/>
      <c r="P1835" s="11"/>
      <c r="Q1835" s="11"/>
    </row>
    <row r="1836" spans="10:17">
      <c r="J1836" s="11"/>
      <c r="K1836" s="1533"/>
      <c r="L1836" s="11"/>
      <c r="M1836" s="11"/>
      <c r="N1836" s="11"/>
      <c r="O1836" s="11"/>
      <c r="P1836" s="11"/>
      <c r="Q1836" s="11"/>
    </row>
    <row r="1837" spans="10:17">
      <c r="J1837" s="11"/>
      <c r="K1837" s="1533"/>
      <c r="L1837" s="11"/>
      <c r="M1837" s="11"/>
      <c r="N1837" s="11"/>
      <c r="O1837" s="11"/>
      <c r="P1837" s="11"/>
      <c r="Q1837" s="11"/>
    </row>
    <row r="1838" spans="10:17">
      <c r="J1838" s="11"/>
      <c r="K1838" s="1533"/>
      <c r="L1838" s="11"/>
      <c r="M1838" s="11"/>
      <c r="N1838" s="11"/>
      <c r="O1838" s="11"/>
      <c r="P1838" s="11"/>
      <c r="Q1838" s="11"/>
    </row>
    <row r="1839" spans="10:17">
      <c r="J1839" s="11"/>
      <c r="K1839" s="1533"/>
      <c r="L1839" s="11"/>
      <c r="M1839" s="11"/>
      <c r="N1839" s="11"/>
      <c r="O1839" s="11"/>
      <c r="P1839" s="11"/>
      <c r="Q1839" s="11"/>
    </row>
    <row r="1840" spans="10:17">
      <c r="J1840" s="11"/>
      <c r="K1840" s="1533"/>
      <c r="L1840" s="11"/>
      <c r="M1840" s="11"/>
      <c r="N1840" s="11"/>
      <c r="O1840" s="11"/>
      <c r="P1840" s="11"/>
      <c r="Q1840" s="11"/>
    </row>
    <row r="1841" spans="10:17">
      <c r="J1841" s="11"/>
      <c r="K1841" s="1533"/>
      <c r="L1841" s="11"/>
      <c r="M1841" s="11"/>
      <c r="N1841" s="11"/>
      <c r="O1841" s="11"/>
      <c r="P1841" s="11"/>
      <c r="Q1841" s="11"/>
    </row>
    <row r="1842" spans="10:17">
      <c r="J1842" s="11"/>
      <c r="K1842" s="1533"/>
      <c r="L1842" s="11"/>
      <c r="M1842" s="11"/>
      <c r="N1842" s="11"/>
      <c r="O1842" s="11"/>
      <c r="P1842" s="11"/>
      <c r="Q1842" s="11"/>
    </row>
    <row r="1843" spans="10:17">
      <c r="J1843" s="11"/>
      <c r="K1843" s="1533"/>
      <c r="L1843" s="11"/>
      <c r="M1843" s="11"/>
      <c r="N1843" s="11"/>
      <c r="O1843" s="11"/>
      <c r="P1843" s="11"/>
      <c r="Q1843" s="11"/>
    </row>
    <row r="1844" spans="10:17">
      <c r="J1844" s="11"/>
      <c r="K1844" s="1533"/>
      <c r="L1844" s="11"/>
      <c r="M1844" s="11"/>
      <c r="N1844" s="11"/>
      <c r="O1844" s="11"/>
      <c r="P1844" s="11"/>
      <c r="Q1844" s="11"/>
    </row>
    <row r="1845" spans="10:17">
      <c r="J1845" s="11"/>
      <c r="K1845" s="1533"/>
      <c r="L1845" s="11"/>
      <c r="M1845" s="11"/>
      <c r="N1845" s="11"/>
      <c r="O1845" s="11"/>
      <c r="P1845" s="11"/>
      <c r="Q1845" s="11"/>
    </row>
    <row r="1846" spans="10:17">
      <c r="J1846" s="11"/>
      <c r="K1846" s="1533"/>
      <c r="L1846" s="11"/>
      <c r="M1846" s="11"/>
      <c r="N1846" s="11"/>
      <c r="O1846" s="11"/>
      <c r="P1846" s="11"/>
      <c r="Q1846" s="11"/>
    </row>
    <row r="1847" spans="10:17">
      <c r="J1847" s="11"/>
      <c r="K1847" s="1533"/>
      <c r="L1847" s="11"/>
      <c r="M1847" s="11"/>
      <c r="N1847" s="11"/>
      <c r="O1847" s="11"/>
      <c r="P1847" s="11"/>
      <c r="Q1847" s="11"/>
    </row>
    <row r="1848" spans="10:17">
      <c r="J1848" s="11"/>
      <c r="K1848" s="1533"/>
      <c r="L1848" s="11"/>
      <c r="M1848" s="11"/>
      <c r="N1848" s="11"/>
      <c r="O1848" s="11"/>
      <c r="P1848" s="11"/>
      <c r="Q1848" s="11"/>
    </row>
    <row r="1849" spans="10:17">
      <c r="J1849" s="11"/>
      <c r="K1849" s="1533"/>
      <c r="L1849" s="11"/>
      <c r="M1849" s="11"/>
      <c r="N1849" s="11"/>
      <c r="O1849" s="11"/>
      <c r="P1849" s="11"/>
      <c r="Q1849" s="11"/>
    </row>
    <row r="1850" spans="10:17">
      <c r="J1850" s="11"/>
      <c r="K1850" s="1533"/>
      <c r="L1850" s="11"/>
      <c r="M1850" s="11"/>
      <c r="N1850" s="11"/>
      <c r="O1850" s="11"/>
      <c r="P1850" s="11"/>
      <c r="Q1850" s="11"/>
    </row>
    <row r="1851" spans="10:17">
      <c r="J1851" s="11"/>
      <c r="K1851" s="1533"/>
      <c r="L1851" s="11"/>
      <c r="M1851" s="11"/>
      <c r="N1851" s="11"/>
      <c r="O1851" s="11"/>
      <c r="P1851" s="11"/>
      <c r="Q1851" s="11"/>
    </row>
    <row r="1852" spans="10:17">
      <c r="J1852" s="11"/>
      <c r="K1852" s="1533"/>
      <c r="L1852" s="11"/>
      <c r="M1852" s="11"/>
      <c r="N1852" s="11"/>
      <c r="O1852" s="11"/>
      <c r="P1852" s="11"/>
      <c r="Q1852" s="11"/>
    </row>
    <row r="1853" spans="10:17">
      <c r="J1853" s="11"/>
      <c r="K1853" s="1533"/>
      <c r="L1853" s="11"/>
      <c r="M1853" s="11"/>
      <c r="N1853" s="11"/>
      <c r="O1853" s="11"/>
      <c r="P1853" s="11"/>
      <c r="Q1853" s="11"/>
    </row>
    <row r="1854" spans="10:17">
      <c r="J1854" s="11"/>
      <c r="K1854" s="1533"/>
      <c r="L1854" s="11"/>
      <c r="M1854" s="11"/>
      <c r="N1854" s="11"/>
      <c r="O1854" s="11"/>
      <c r="P1854" s="11"/>
      <c r="Q1854" s="11"/>
    </row>
    <row r="1855" spans="10:17">
      <c r="J1855" s="11"/>
      <c r="K1855" s="1533"/>
      <c r="L1855" s="11"/>
      <c r="M1855" s="11"/>
      <c r="N1855" s="11"/>
      <c r="O1855" s="11"/>
      <c r="P1855" s="11"/>
      <c r="Q1855" s="11"/>
    </row>
    <row r="1856" spans="10:17">
      <c r="J1856" s="11"/>
      <c r="K1856" s="1533"/>
      <c r="L1856" s="11"/>
      <c r="M1856" s="11"/>
      <c r="N1856" s="11"/>
      <c r="O1856" s="11"/>
      <c r="P1856" s="11"/>
      <c r="Q1856" s="11"/>
    </row>
    <row r="1857" spans="10:17">
      <c r="J1857" s="11"/>
      <c r="K1857" s="1533"/>
      <c r="L1857" s="11"/>
      <c r="M1857" s="11"/>
      <c r="N1857" s="11"/>
      <c r="O1857" s="11"/>
      <c r="P1857" s="11"/>
      <c r="Q1857" s="11"/>
    </row>
    <row r="1858" spans="10:17">
      <c r="J1858" s="11"/>
      <c r="K1858" s="1533"/>
      <c r="L1858" s="11"/>
      <c r="M1858" s="11"/>
      <c r="N1858" s="11"/>
      <c r="O1858" s="11"/>
      <c r="P1858" s="11"/>
      <c r="Q1858" s="11"/>
    </row>
    <row r="1859" spans="10:17">
      <c r="J1859" s="11"/>
      <c r="K1859" s="1533"/>
      <c r="L1859" s="11"/>
      <c r="M1859" s="11"/>
      <c r="N1859" s="11"/>
      <c r="O1859" s="11"/>
      <c r="P1859" s="11"/>
      <c r="Q1859" s="11"/>
    </row>
    <row r="1860" spans="10:17">
      <c r="J1860" s="11"/>
      <c r="K1860" s="1533"/>
      <c r="L1860" s="11"/>
      <c r="M1860" s="11"/>
      <c r="N1860" s="11"/>
      <c r="O1860" s="11"/>
      <c r="P1860" s="11"/>
      <c r="Q1860" s="11"/>
    </row>
    <row r="1861" spans="10:17">
      <c r="J1861" s="11"/>
      <c r="K1861" s="1533"/>
      <c r="L1861" s="11"/>
      <c r="M1861" s="11"/>
      <c r="N1861" s="11"/>
      <c r="O1861" s="11"/>
      <c r="P1861" s="11"/>
      <c r="Q1861" s="11"/>
    </row>
    <row r="1862" spans="10:17">
      <c r="J1862" s="11"/>
      <c r="K1862" s="1533"/>
      <c r="L1862" s="11"/>
      <c r="M1862" s="11"/>
      <c r="N1862" s="11"/>
      <c r="O1862" s="11"/>
      <c r="P1862" s="11"/>
      <c r="Q1862" s="11"/>
    </row>
    <row r="1863" spans="10:17">
      <c r="J1863" s="11"/>
      <c r="K1863" s="1533"/>
      <c r="L1863" s="11"/>
      <c r="M1863" s="11"/>
      <c r="N1863" s="11"/>
      <c r="O1863" s="11"/>
      <c r="P1863" s="11"/>
      <c r="Q1863" s="11"/>
    </row>
    <row r="1864" spans="10:17">
      <c r="J1864" s="11"/>
      <c r="K1864" s="1533"/>
      <c r="L1864" s="11"/>
      <c r="M1864" s="11"/>
      <c r="N1864" s="11"/>
      <c r="O1864" s="11"/>
      <c r="P1864" s="11"/>
      <c r="Q1864" s="11"/>
    </row>
    <row r="1865" spans="10:17">
      <c r="J1865" s="11"/>
      <c r="K1865" s="1533"/>
      <c r="L1865" s="11"/>
      <c r="M1865" s="11"/>
      <c r="N1865" s="11"/>
      <c r="O1865" s="11"/>
      <c r="P1865" s="11"/>
      <c r="Q1865" s="11"/>
    </row>
    <row r="1866" spans="10:17">
      <c r="J1866" s="11"/>
      <c r="K1866" s="1533"/>
      <c r="L1866" s="11"/>
      <c r="M1866" s="11"/>
      <c r="N1866" s="11"/>
      <c r="O1866" s="11"/>
      <c r="P1866" s="11"/>
      <c r="Q1866" s="11"/>
    </row>
    <row r="1867" spans="10:17">
      <c r="J1867" s="11"/>
      <c r="K1867" s="1533"/>
      <c r="L1867" s="11"/>
      <c r="M1867" s="11"/>
      <c r="N1867" s="11"/>
      <c r="O1867" s="11"/>
      <c r="P1867" s="11"/>
      <c r="Q1867" s="11"/>
    </row>
    <row r="1868" spans="10:17">
      <c r="J1868" s="11"/>
      <c r="K1868" s="1533"/>
      <c r="L1868" s="11"/>
      <c r="M1868" s="11"/>
      <c r="N1868" s="11"/>
      <c r="O1868" s="11"/>
      <c r="P1868" s="11"/>
      <c r="Q1868" s="11"/>
    </row>
    <row r="1869" spans="10:17">
      <c r="J1869" s="11"/>
      <c r="K1869" s="1533"/>
      <c r="L1869" s="11"/>
      <c r="M1869" s="11"/>
      <c r="N1869" s="11"/>
      <c r="O1869" s="11"/>
      <c r="P1869" s="11"/>
      <c r="Q1869" s="11"/>
    </row>
    <row r="1870" spans="10:17">
      <c r="J1870" s="11"/>
      <c r="K1870" s="1533"/>
      <c r="L1870" s="11"/>
      <c r="M1870" s="11"/>
      <c r="N1870" s="11"/>
      <c r="O1870" s="11"/>
      <c r="P1870" s="11"/>
      <c r="Q1870" s="11"/>
    </row>
    <row r="1871" spans="10:17">
      <c r="J1871" s="11"/>
      <c r="K1871" s="1533"/>
      <c r="L1871" s="11"/>
      <c r="M1871" s="11"/>
      <c r="N1871" s="11"/>
      <c r="O1871" s="11"/>
      <c r="P1871" s="11"/>
      <c r="Q1871" s="11"/>
    </row>
    <row r="1872" spans="10:17">
      <c r="J1872" s="11"/>
      <c r="K1872" s="1533"/>
      <c r="L1872" s="11"/>
      <c r="M1872" s="11"/>
      <c r="N1872" s="11"/>
      <c r="O1872" s="11"/>
      <c r="P1872" s="11"/>
      <c r="Q1872" s="11"/>
    </row>
    <row r="1873" spans="10:17">
      <c r="J1873" s="11"/>
      <c r="K1873" s="1533"/>
      <c r="L1873" s="11"/>
      <c r="M1873" s="11"/>
      <c r="N1873" s="11"/>
      <c r="O1873" s="11"/>
      <c r="P1873" s="11"/>
      <c r="Q1873" s="11"/>
    </row>
    <row r="1874" spans="10:17">
      <c r="J1874" s="11"/>
      <c r="K1874" s="1533"/>
      <c r="L1874" s="11"/>
      <c r="M1874" s="11"/>
      <c r="N1874" s="11"/>
      <c r="O1874" s="11"/>
      <c r="P1874" s="11"/>
      <c r="Q1874" s="11"/>
    </row>
    <row r="1875" spans="10:17">
      <c r="J1875" s="11"/>
      <c r="K1875" s="1533"/>
      <c r="L1875" s="11"/>
      <c r="M1875" s="11"/>
      <c r="N1875" s="11"/>
      <c r="O1875" s="11"/>
      <c r="P1875" s="11"/>
      <c r="Q1875" s="11"/>
    </row>
    <row r="1876" spans="10:17">
      <c r="J1876" s="11"/>
      <c r="K1876" s="1533"/>
      <c r="L1876" s="11"/>
      <c r="M1876" s="11"/>
      <c r="N1876" s="11"/>
      <c r="O1876" s="11"/>
      <c r="P1876" s="11"/>
      <c r="Q1876" s="11"/>
    </row>
    <row r="1877" spans="10:17">
      <c r="J1877" s="11"/>
      <c r="K1877" s="1533"/>
      <c r="L1877" s="11"/>
      <c r="M1877" s="11"/>
      <c r="N1877" s="11"/>
      <c r="O1877" s="11"/>
      <c r="P1877" s="11"/>
      <c r="Q1877" s="11"/>
    </row>
    <row r="1878" spans="10:17">
      <c r="J1878" s="11"/>
      <c r="K1878" s="1533"/>
      <c r="L1878" s="11"/>
      <c r="M1878" s="11"/>
      <c r="N1878" s="11"/>
      <c r="O1878" s="11"/>
      <c r="P1878" s="11"/>
      <c r="Q1878" s="11"/>
    </row>
    <row r="1879" spans="10:17">
      <c r="J1879" s="11"/>
      <c r="K1879" s="1533"/>
      <c r="L1879" s="11"/>
      <c r="M1879" s="11"/>
      <c r="N1879" s="11"/>
      <c r="O1879" s="11"/>
      <c r="P1879" s="11"/>
      <c r="Q1879" s="11"/>
    </row>
    <row r="1880" spans="10:17">
      <c r="J1880" s="11"/>
      <c r="K1880" s="1533"/>
      <c r="L1880" s="11"/>
      <c r="M1880" s="11"/>
      <c r="N1880" s="11"/>
      <c r="O1880" s="11"/>
      <c r="P1880" s="11"/>
      <c r="Q1880" s="11"/>
    </row>
    <row r="1881" spans="10:17">
      <c r="J1881" s="11"/>
      <c r="K1881" s="1533"/>
      <c r="L1881" s="11"/>
      <c r="M1881" s="11"/>
      <c r="N1881" s="11"/>
      <c r="O1881" s="11"/>
      <c r="P1881" s="11"/>
      <c r="Q1881" s="11"/>
    </row>
    <row r="1882" spans="10:17">
      <c r="J1882" s="11"/>
      <c r="K1882" s="1533"/>
      <c r="L1882" s="11"/>
      <c r="M1882" s="11"/>
      <c r="N1882" s="11"/>
      <c r="O1882" s="11"/>
      <c r="P1882" s="11"/>
      <c r="Q1882" s="11"/>
    </row>
    <row r="1883" spans="10:17">
      <c r="J1883" s="11"/>
      <c r="K1883" s="1533"/>
      <c r="L1883" s="11"/>
      <c r="M1883" s="11"/>
      <c r="N1883" s="11"/>
      <c r="O1883" s="11"/>
      <c r="P1883" s="11"/>
      <c r="Q1883" s="11"/>
    </row>
    <row r="1884" spans="10:17">
      <c r="J1884" s="11"/>
      <c r="K1884" s="1533"/>
      <c r="L1884" s="11"/>
      <c r="M1884" s="11"/>
      <c r="N1884" s="11"/>
      <c r="O1884" s="11"/>
      <c r="P1884" s="11"/>
      <c r="Q1884" s="11"/>
    </row>
    <row r="1885" spans="10:17">
      <c r="J1885" s="11"/>
      <c r="K1885" s="1533"/>
      <c r="L1885" s="11"/>
      <c r="M1885" s="11"/>
      <c r="N1885" s="11"/>
      <c r="O1885" s="11"/>
      <c r="P1885" s="11"/>
      <c r="Q1885" s="11"/>
    </row>
    <row r="1886" spans="10:17">
      <c r="J1886" s="11"/>
      <c r="K1886" s="1533"/>
      <c r="L1886" s="11"/>
      <c r="M1886" s="11"/>
      <c r="N1886" s="11"/>
      <c r="O1886" s="11"/>
      <c r="P1886" s="11"/>
      <c r="Q1886" s="11"/>
    </row>
    <row r="1887" spans="10:17">
      <c r="J1887" s="11"/>
      <c r="K1887" s="1533"/>
      <c r="L1887" s="11"/>
      <c r="M1887" s="11"/>
      <c r="N1887" s="11"/>
      <c r="O1887" s="11"/>
      <c r="P1887" s="11"/>
      <c r="Q1887" s="11"/>
    </row>
    <row r="1888" spans="10:17">
      <c r="J1888" s="11"/>
      <c r="K1888" s="1533"/>
      <c r="L1888" s="11"/>
      <c r="M1888" s="11"/>
      <c r="N1888" s="11"/>
      <c r="O1888" s="11"/>
      <c r="P1888" s="11"/>
      <c r="Q1888" s="11"/>
    </row>
    <row r="1889" spans="10:17">
      <c r="J1889" s="11"/>
      <c r="K1889" s="1533"/>
      <c r="L1889" s="11"/>
      <c r="M1889" s="11"/>
      <c r="N1889" s="11"/>
      <c r="O1889" s="11"/>
      <c r="P1889" s="11"/>
      <c r="Q1889" s="11"/>
    </row>
    <row r="1890" spans="10:17">
      <c r="J1890" s="11"/>
      <c r="K1890" s="1533"/>
      <c r="L1890" s="11"/>
      <c r="M1890" s="11"/>
      <c r="N1890" s="11"/>
      <c r="O1890" s="11"/>
      <c r="P1890" s="11"/>
      <c r="Q1890" s="11"/>
    </row>
    <row r="1891" spans="10:17">
      <c r="J1891" s="11"/>
      <c r="K1891" s="1533"/>
      <c r="L1891" s="11"/>
      <c r="M1891" s="11"/>
      <c r="N1891" s="11"/>
      <c r="O1891" s="11"/>
      <c r="P1891" s="11"/>
      <c r="Q1891" s="11"/>
    </row>
    <row r="1892" spans="10:17">
      <c r="J1892" s="11"/>
      <c r="K1892" s="1533"/>
      <c r="L1892" s="11"/>
      <c r="M1892" s="11"/>
      <c r="N1892" s="11"/>
      <c r="O1892" s="11"/>
      <c r="P1892" s="11"/>
      <c r="Q1892" s="11"/>
    </row>
    <row r="1893" spans="10:17">
      <c r="J1893" s="11"/>
      <c r="K1893" s="1533"/>
      <c r="L1893" s="11"/>
      <c r="M1893" s="11"/>
      <c r="N1893" s="11"/>
      <c r="O1893" s="11"/>
      <c r="P1893" s="11"/>
      <c r="Q1893" s="11"/>
    </row>
    <row r="1894" spans="10:17">
      <c r="J1894" s="11"/>
      <c r="K1894" s="1533"/>
      <c r="L1894" s="11"/>
      <c r="M1894" s="11"/>
      <c r="N1894" s="11"/>
      <c r="O1894" s="11"/>
      <c r="P1894" s="11"/>
      <c r="Q1894" s="11"/>
    </row>
    <row r="1895" spans="10:17">
      <c r="J1895" s="11"/>
      <c r="K1895" s="1533"/>
      <c r="L1895" s="11"/>
      <c r="M1895" s="11"/>
      <c r="N1895" s="11"/>
      <c r="O1895" s="11"/>
      <c r="P1895" s="11"/>
      <c r="Q1895" s="11"/>
    </row>
    <row r="1896" spans="10:17">
      <c r="J1896" s="11"/>
      <c r="K1896" s="1533"/>
      <c r="L1896" s="11"/>
      <c r="M1896" s="11"/>
      <c r="N1896" s="11"/>
      <c r="O1896" s="11"/>
      <c r="P1896" s="11"/>
      <c r="Q1896" s="11"/>
    </row>
    <row r="1897" spans="10:17">
      <c r="J1897" s="11"/>
      <c r="K1897" s="1533"/>
      <c r="L1897" s="11"/>
      <c r="M1897" s="11"/>
      <c r="N1897" s="11"/>
      <c r="O1897" s="11"/>
      <c r="P1897" s="11"/>
      <c r="Q1897" s="11"/>
    </row>
    <row r="1898" spans="10:17">
      <c r="J1898" s="11"/>
      <c r="K1898" s="1533"/>
      <c r="L1898" s="11"/>
      <c r="M1898" s="11"/>
      <c r="N1898" s="11"/>
      <c r="O1898" s="11"/>
      <c r="P1898" s="11"/>
      <c r="Q1898" s="11"/>
    </row>
    <row r="1899" spans="10:17">
      <c r="J1899" s="11"/>
      <c r="K1899" s="1533"/>
      <c r="L1899" s="11"/>
      <c r="M1899" s="11"/>
      <c r="N1899" s="11"/>
      <c r="O1899" s="11"/>
      <c r="P1899" s="11"/>
      <c r="Q1899" s="11"/>
    </row>
    <row r="1900" spans="10:17">
      <c r="J1900" s="11"/>
      <c r="K1900" s="1533"/>
      <c r="L1900" s="11"/>
      <c r="M1900" s="11"/>
      <c r="N1900" s="11"/>
      <c r="O1900" s="11"/>
      <c r="P1900" s="11"/>
      <c r="Q1900" s="11"/>
    </row>
    <row r="1901" spans="10:17">
      <c r="J1901" s="11"/>
      <c r="K1901" s="1533"/>
      <c r="L1901" s="11"/>
      <c r="M1901" s="11"/>
      <c r="N1901" s="11"/>
      <c r="O1901" s="11"/>
      <c r="P1901" s="11"/>
      <c r="Q1901" s="11"/>
    </row>
    <row r="1902" spans="10:17">
      <c r="J1902" s="11"/>
      <c r="K1902" s="1533"/>
      <c r="L1902" s="11"/>
      <c r="M1902" s="11"/>
      <c r="N1902" s="11"/>
      <c r="O1902" s="11"/>
      <c r="P1902" s="11"/>
      <c r="Q1902" s="11"/>
    </row>
    <row r="1903" spans="10:17">
      <c r="J1903" s="11"/>
      <c r="K1903" s="1533"/>
      <c r="L1903" s="11"/>
      <c r="M1903" s="11"/>
      <c r="N1903" s="11"/>
      <c r="O1903" s="11"/>
      <c r="P1903" s="11"/>
      <c r="Q1903" s="11"/>
    </row>
    <row r="1904" spans="10:17">
      <c r="J1904" s="11"/>
      <c r="K1904" s="1533"/>
      <c r="L1904" s="11"/>
      <c r="M1904" s="11"/>
      <c r="N1904" s="11"/>
      <c r="O1904" s="11"/>
      <c r="P1904" s="11"/>
      <c r="Q1904" s="11"/>
    </row>
    <row r="1905" spans="10:17">
      <c r="J1905" s="11"/>
      <c r="K1905" s="1533"/>
      <c r="L1905" s="11"/>
      <c r="M1905" s="11"/>
      <c r="N1905" s="11"/>
      <c r="O1905" s="11"/>
      <c r="P1905" s="11"/>
      <c r="Q1905" s="11"/>
    </row>
    <row r="1906" spans="10:17">
      <c r="J1906" s="11"/>
      <c r="K1906" s="1533"/>
      <c r="L1906" s="11"/>
      <c r="M1906" s="11"/>
      <c r="N1906" s="11"/>
      <c r="O1906" s="11"/>
      <c r="P1906" s="11"/>
      <c r="Q1906" s="11"/>
    </row>
    <row r="1907" spans="10:17">
      <c r="J1907" s="11"/>
      <c r="K1907" s="1533"/>
      <c r="L1907" s="11"/>
      <c r="M1907" s="11"/>
      <c r="N1907" s="11"/>
      <c r="O1907" s="11"/>
      <c r="P1907" s="11"/>
      <c r="Q1907" s="11"/>
    </row>
    <row r="1908" spans="10:17">
      <c r="J1908" s="11"/>
      <c r="K1908" s="1533"/>
      <c r="L1908" s="11"/>
      <c r="M1908" s="11"/>
      <c r="N1908" s="11"/>
      <c r="O1908" s="11"/>
      <c r="P1908" s="11"/>
      <c r="Q1908" s="11"/>
    </row>
    <row r="1909" spans="10:17">
      <c r="J1909" s="11"/>
      <c r="K1909" s="1533"/>
      <c r="L1909" s="11"/>
      <c r="M1909" s="11"/>
      <c r="N1909" s="11"/>
      <c r="O1909" s="11"/>
      <c r="P1909" s="11"/>
      <c r="Q1909" s="11"/>
    </row>
    <row r="1910" spans="10:17">
      <c r="J1910" s="11"/>
      <c r="K1910" s="1533"/>
      <c r="L1910" s="11"/>
      <c r="M1910" s="11"/>
      <c r="N1910" s="11"/>
      <c r="O1910" s="11"/>
      <c r="P1910" s="11"/>
      <c r="Q1910" s="11"/>
    </row>
    <row r="1911" spans="10:17">
      <c r="J1911" s="11"/>
      <c r="K1911" s="1533"/>
      <c r="L1911" s="11"/>
      <c r="M1911" s="11"/>
      <c r="N1911" s="11"/>
      <c r="O1911" s="11"/>
      <c r="P1911" s="11"/>
      <c r="Q1911" s="11"/>
    </row>
    <row r="1912" spans="10:17">
      <c r="J1912" s="11"/>
      <c r="K1912" s="1533"/>
      <c r="L1912" s="11"/>
      <c r="M1912" s="11"/>
      <c r="N1912" s="11"/>
      <c r="O1912" s="11"/>
      <c r="P1912" s="11"/>
      <c r="Q1912" s="11"/>
    </row>
    <row r="1913" spans="10:17">
      <c r="J1913" s="11"/>
      <c r="K1913" s="1533"/>
      <c r="L1913" s="11"/>
      <c r="M1913" s="11"/>
      <c r="N1913" s="11"/>
      <c r="O1913" s="11"/>
      <c r="P1913" s="11"/>
      <c r="Q1913" s="11"/>
    </row>
    <row r="1914" spans="10:17">
      <c r="J1914" s="11"/>
      <c r="K1914" s="1533"/>
      <c r="L1914" s="11"/>
      <c r="M1914" s="11"/>
      <c r="N1914" s="11"/>
      <c r="O1914" s="11"/>
      <c r="P1914" s="11"/>
      <c r="Q1914" s="11"/>
    </row>
    <row r="1915" spans="10:17">
      <c r="J1915" s="11"/>
      <c r="K1915" s="1533"/>
      <c r="L1915" s="11"/>
      <c r="M1915" s="11"/>
      <c r="N1915" s="11"/>
      <c r="O1915" s="11"/>
      <c r="P1915" s="11"/>
      <c r="Q1915" s="11"/>
    </row>
    <row r="1916" spans="10:17">
      <c r="J1916" s="11"/>
      <c r="K1916" s="1533"/>
      <c r="L1916" s="11"/>
      <c r="M1916" s="11"/>
      <c r="N1916" s="11"/>
      <c r="O1916" s="11"/>
      <c r="P1916" s="11"/>
      <c r="Q1916" s="11"/>
    </row>
    <row r="1917" spans="10:17">
      <c r="J1917" s="11"/>
      <c r="K1917" s="1533"/>
      <c r="L1917" s="11"/>
      <c r="M1917" s="11"/>
      <c r="N1917" s="11"/>
      <c r="O1917" s="11"/>
      <c r="P1917" s="11"/>
      <c r="Q1917" s="11"/>
    </row>
    <row r="1918" spans="10:17">
      <c r="J1918" s="11"/>
      <c r="K1918" s="1533"/>
      <c r="L1918" s="11"/>
      <c r="M1918" s="11"/>
      <c r="N1918" s="11"/>
      <c r="O1918" s="11"/>
      <c r="P1918" s="11"/>
      <c r="Q1918" s="11"/>
    </row>
    <row r="1919" spans="10:17">
      <c r="J1919" s="11"/>
      <c r="K1919" s="1533"/>
      <c r="L1919" s="11"/>
      <c r="M1919" s="11"/>
      <c r="N1919" s="11"/>
      <c r="O1919" s="11"/>
      <c r="P1919" s="11"/>
      <c r="Q1919" s="11"/>
    </row>
    <row r="1920" spans="10:17">
      <c r="J1920" s="11"/>
      <c r="K1920" s="1533"/>
      <c r="L1920" s="11"/>
      <c r="M1920" s="11"/>
      <c r="N1920" s="11"/>
      <c r="O1920" s="11"/>
      <c r="P1920" s="11"/>
      <c r="Q1920" s="11"/>
    </row>
    <row r="1921" spans="10:17">
      <c r="J1921" s="11"/>
      <c r="K1921" s="1533"/>
      <c r="L1921" s="11"/>
      <c r="M1921" s="11"/>
      <c r="N1921" s="11"/>
      <c r="O1921" s="11"/>
      <c r="P1921" s="11"/>
      <c r="Q1921" s="11"/>
    </row>
    <row r="1922" spans="10:17">
      <c r="J1922" s="11"/>
      <c r="K1922" s="1533"/>
      <c r="L1922" s="11"/>
      <c r="M1922" s="11"/>
      <c r="N1922" s="11"/>
      <c r="O1922" s="11"/>
      <c r="P1922" s="11"/>
      <c r="Q1922" s="11"/>
    </row>
    <row r="1923" spans="10:17">
      <c r="J1923" s="11"/>
      <c r="K1923" s="1533"/>
      <c r="L1923" s="11"/>
      <c r="M1923" s="11"/>
      <c r="N1923" s="11"/>
      <c r="O1923" s="11"/>
      <c r="P1923" s="11"/>
      <c r="Q1923" s="11"/>
    </row>
    <row r="1924" spans="10:17">
      <c r="J1924" s="11"/>
      <c r="K1924" s="1533"/>
      <c r="L1924" s="11"/>
      <c r="M1924" s="11"/>
      <c r="N1924" s="11"/>
      <c r="O1924" s="11"/>
      <c r="P1924" s="11"/>
      <c r="Q1924" s="11"/>
    </row>
    <row r="1925" spans="10:17">
      <c r="J1925" s="11"/>
      <c r="K1925" s="1533"/>
      <c r="L1925" s="11"/>
      <c r="M1925" s="11"/>
      <c r="N1925" s="11"/>
      <c r="O1925" s="11"/>
      <c r="P1925" s="11"/>
      <c r="Q1925" s="11"/>
    </row>
    <row r="1926" spans="10:17">
      <c r="J1926" s="11"/>
      <c r="K1926" s="1533"/>
      <c r="L1926" s="11"/>
      <c r="M1926" s="11"/>
      <c r="N1926" s="11"/>
      <c r="O1926" s="11"/>
      <c r="P1926" s="11"/>
      <c r="Q1926" s="11"/>
    </row>
    <row r="1927" spans="10:17">
      <c r="J1927" s="11"/>
      <c r="K1927" s="1533"/>
      <c r="L1927" s="11"/>
      <c r="M1927" s="11"/>
      <c r="N1927" s="11"/>
      <c r="O1927" s="11"/>
      <c r="P1927" s="11"/>
      <c r="Q1927" s="11"/>
    </row>
    <row r="1928" spans="10:17">
      <c r="J1928" s="11"/>
      <c r="K1928" s="1533"/>
      <c r="L1928" s="11"/>
      <c r="M1928" s="11"/>
      <c r="N1928" s="11"/>
      <c r="O1928" s="11"/>
      <c r="P1928" s="11"/>
      <c r="Q1928" s="11"/>
    </row>
    <row r="1929" spans="10:17">
      <c r="J1929" s="11"/>
      <c r="K1929" s="1533"/>
      <c r="L1929" s="11"/>
      <c r="M1929" s="11"/>
      <c r="N1929" s="11"/>
      <c r="O1929" s="11"/>
      <c r="P1929" s="11"/>
      <c r="Q1929" s="11"/>
    </row>
    <row r="1930" spans="10:17">
      <c r="J1930" s="11"/>
      <c r="K1930" s="1533"/>
      <c r="L1930" s="11"/>
      <c r="M1930" s="11"/>
      <c r="N1930" s="11"/>
      <c r="O1930" s="11"/>
      <c r="P1930" s="11"/>
      <c r="Q1930" s="11"/>
    </row>
    <row r="1931" spans="10:17">
      <c r="J1931" s="11"/>
      <c r="K1931" s="1533"/>
      <c r="L1931" s="11"/>
      <c r="M1931" s="11"/>
      <c r="N1931" s="11"/>
      <c r="O1931" s="11"/>
      <c r="P1931" s="11"/>
      <c r="Q1931" s="11"/>
    </row>
    <row r="1932" spans="10:17">
      <c r="J1932" s="11"/>
      <c r="K1932" s="1533"/>
      <c r="L1932" s="11"/>
      <c r="M1932" s="11"/>
      <c r="N1932" s="11"/>
      <c r="O1932" s="11"/>
      <c r="P1932" s="11"/>
      <c r="Q1932" s="11"/>
    </row>
    <row r="1933" spans="10:17">
      <c r="J1933" s="11"/>
      <c r="K1933" s="1533"/>
      <c r="L1933" s="11"/>
      <c r="M1933" s="11"/>
      <c r="N1933" s="11"/>
      <c r="O1933" s="11"/>
      <c r="P1933" s="11"/>
      <c r="Q1933" s="11"/>
    </row>
    <row r="1934" spans="10:17">
      <c r="J1934" s="11"/>
      <c r="K1934" s="1533"/>
      <c r="L1934" s="11"/>
      <c r="M1934" s="11"/>
      <c r="N1934" s="11"/>
      <c r="O1934" s="11"/>
      <c r="P1934" s="11"/>
      <c r="Q1934" s="11"/>
    </row>
    <row r="1935" spans="10:17">
      <c r="J1935" s="11"/>
      <c r="K1935" s="1533"/>
      <c r="L1935" s="11"/>
      <c r="M1935" s="11"/>
      <c r="N1935" s="11"/>
      <c r="O1935" s="11"/>
      <c r="P1935" s="11"/>
      <c r="Q1935" s="11"/>
    </row>
    <row r="1936" spans="10:17">
      <c r="J1936" s="11"/>
      <c r="K1936" s="1533"/>
      <c r="L1936" s="11"/>
      <c r="M1936" s="11"/>
      <c r="N1936" s="11"/>
      <c r="O1936" s="11"/>
      <c r="P1936" s="11"/>
      <c r="Q1936" s="11"/>
    </row>
    <row r="1937" spans="10:17">
      <c r="J1937" s="11"/>
      <c r="K1937" s="1533"/>
      <c r="L1937" s="11"/>
      <c r="M1937" s="11"/>
      <c r="N1937" s="11"/>
      <c r="O1937" s="11"/>
      <c r="P1937" s="11"/>
      <c r="Q1937" s="11"/>
    </row>
    <row r="1938" spans="10:17">
      <c r="J1938" s="11"/>
      <c r="K1938" s="1533"/>
      <c r="L1938" s="11"/>
      <c r="M1938" s="11"/>
      <c r="N1938" s="11"/>
      <c r="O1938" s="11"/>
      <c r="P1938" s="11"/>
      <c r="Q1938" s="11"/>
    </row>
    <row r="1939" spans="10:17">
      <c r="J1939" s="11"/>
      <c r="K1939" s="1533"/>
      <c r="L1939" s="11"/>
      <c r="M1939" s="11"/>
      <c r="N1939" s="11"/>
      <c r="O1939" s="11"/>
      <c r="P1939" s="11"/>
      <c r="Q1939" s="11"/>
    </row>
    <row r="1940" spans="10:17">
      <c r="J1940" s="11"/>
      <c r="K1940" s="1533"/>
      <c r="L1940" s="11"/>
      <c r="M1940" s="11"/>
      <c r="N1940" s="11"/>
      <c r="O1940" s="11"/>
      <c r="P1940" s="11"/>
      <c r="Q1940" s="11"/>
    </row>
    <row r="1941" spans="10:17">
      <c r="J1941" s="11"/>
      <c r="K1941" s="1533"/>
      <c r="L1941" s="11"/>
      <c r="M1941" s="11"/>
      <c r="N1941" s="11"/>
      <c r="O1941" s="11"/>
      <c r="P1941" s="11"/>
      <c r="Q1941" s="11"/>
    </row>
    <row r="1942" spans="10:17">
      <c r="J1942" s="11"/>
      <c r="K1942" s="1533"/>
      <c r="L1942" s="11"/>
      <c r="M1942" s="11"/>
      <c r="N1942" s="11"/>
      <c r="O1942" s="11"/>
      <c r="P1942" s="11"/>
      <c r="Q1942" s="11"/>
    </row>
    <row r="1943" spans="10:17">
      <c r="J1943" s="11"/>
      <c r="K1943" s="1533"/>
      <c r="L1943" s="11"/>
      <c r="M1943" s="11"/>
      <c r="N1943" s="11"/>
      <c r="O1943" s="11"/>
      <c r="P1943" s="11"/>
      <c r="Q1943" s="11"/>
    </row>
    <row r="1944" spans="10:17">
      <c r="J1944" s="11"/>
      <c r="K1944" s="1533"/>
      <c r="L1944" s="11"/>
      <c r="M1944" s="11"/>
      <c r="N1944" s="11"/>
      <c r="O1944" s="11"/>
      <c r="P1944" s="11"/>
      <c r="Q1944" s="11"/>
    </row>
    <row r="1945" spans="10:17">
      <c r="J1945" s="11"/>
      <c r="K1945" s="1533"/>
      <c r="L1945" s="11"/>
      <c r="M1945" s="11"/>
      <c r="N1945" s="11"/>
      <c r="O1945" s="11"/>
      <c r="P1945" s="11"/>
      <c r="Q1945" s="11"/>
    </row>
    <row r="1946" spans="10:17">
      <c r="J1946" s="11"/>
      <c r="K1946" s="1533"/>
      <c r="L1946" s="11"/>
      <c r="M1946" s="11"/>
      <c r="N1946" s="11"/>
      <c r="O1946" s="11"/>
      <c r="P1946" s="11"/>
      <c r="Q1946" s="11"/>
    </row>
    <row r="1947" spans="10:17">
      <c r="J1947" s="11"/>
      <c r="K1947" s="1533"/>
      <c r="L1947" s="11"/>
      <c r="M1947" s="11"/>
      <c r="N1947" s="11"/>
      <c r="O1947" s="11"/>
      <c r="P1947" s="11"/>
      <c r="Q1947" s="11"/>
    </row>
    <row r="1948" spans="10:17">
      <c r="J1948" s="11"/>
      <c r="K1948" s="1533"/>
      <c r="L1948" s="11"/>
      <c r="M1948" s="11"/>
      <c r="N1948" s="11"/>
      <c r="O1948" s="11"/>
      <c r="P1948" s="11"/>
      <c r="Q1948" s="11"/>
    </row>
    <row r="1949" spans="10:17">
      <c r="J1949" s="11"/>
      <c r="K1949" s="1533"/>
      <c r="L1949" s="11"/>
      <c r="M1949" s="11"/>
      <c r="N1949" s="11"/>
      <c r="O1949" s="11"/>
      <c r="P1949" s="11"/>
      <c r="Q1949" s="11"/>
    </row>
    <row r="1950" spans="10:17">
      <c r="J1950" s="11"/>
      <c r="K1950" s="1533"/>
      <c r="L1950" s="11"/>
      <c r="M1950" s="11"/>
      <c r="N1950" s="11"/>
      <c r="O1950" s="11"/>
      <c r="P1950" s="11"/>
      <c r="Q1950" s="11"/>
    </row>
    <row r="1951" spans="10:17">
      <c r="J1951" s="11"/>
      <c r="K1951" s="1533"/>
      <c r="L1951" s="11"/>
      <c r="M1951" s="11"/>
      <c r="N1951" s="11"/>
      <c r="O1951" s="11"/>
      <c r="P1951" s="11"/>
      <c r="Q1951" s="11"/>
    </row>
    <row r="1952" spans="10:17">
      <c r="J1952" s="11"/>
      <c r="K1952" s="1533"/>
      <c r="L1952" s="11"/>
      <c r="M1952" s="11"/>
      <c r="N1952" s="11"/>
      <c r="O1952" s="11"/>
      <c r="P1952" s="11"/>
      <c r="Q1952" s="11"/>
    </row>
    <row r="1953" spans="10:17">
      <c r="J1953" s="11"/>
      <c r="K1953" s="1533"/>
      <c r="L1953" s="11"/>
      <c r="M1953" s="11"/>
      <c r="N1953" s="11"/>
      <c r="O1953" s="11"/>
      <c r="P1953" s="11"/>
      <c r="Q1953" s="11"/>
    </row>
    <row r="1954" spans="10:17">
      <c r="J1954" s="11"/>
      <c r="K1954" s="1533"/>
      <c r="L1954" s="11"/>
      <c r="M1954" s="11"/>
      <c r="N1954" s="11"/>
      <c r="O1954" s="11"/>
      <c r="P1954" s="11"/>
      <c r="Q1954" s="11"/>
    </row>
    <row r="1955" spans="10:17">
      <c r="J1955" s="11"/>
      <c r="K1955" s="1533"/>
      <c r="L1955" s="11"/>
      <c r="M1955" s="11"/>
      <c r="N1955" s="11"/>
      <c r="O1955" s="11"/>
      <c r="P1955" s="11"/>
      <c r="Q1955" s="11"/>
    </row>
    <row r="1956" spans="10:17">
      <c r="J1956" s="11"/>
      <c r="K1956" s="1533"/>
      <c r="L1956" s="11"/>
      <c r="M1956" s="11"/>
      <c r="N1956" s="11"/>
      <c r="O1956" s="11"/>
      <c r="P1956" s="11"/>
      <c r="Q1956" s="11"/>
    </row>
    <row r="1957" spans="10:17">
      <c r="J1957" s="11"/>
      <c r="K1957" s="1533"/>
      <c r="L1957" s="11"/>
      <c r="M1957" s="11"/>
      <c r="N1957" s="11"/>
      <c r="O1957" s="11"/>
      <c r="P1957" s="11"/>
      <c r="Q1957" s="11"/>
    </row>
    <row r="1958" spans="10:17">
      <c r="J1958" s="11"/>
      <c r="K1958" s="1533"/>
      <c r="L1958" s="11"/>
      <c r="M1958" s="11"/>
      <c r="N1958" s="11"/>
      <c r="O1958" s="11"/>
      <c r="P1958" s="11"/>
      <c r="Q1958" s="11"/>
    </row>
    <row r="1959" spans="10:17">
      <c r="J1959" s="11"/>
      <c r="K1959" s="1533"/>
      <c r="L1959" s="11"/>
      <c r="M1959" s="11"/>
      <c r="N1959" s="11"/>
      <c r="O1959" s="11"/>
      <c r="P1959" s="11"/>
      <c r="Q1959" s="11"/>
    </row>
    <row r="1960" spans="10:17">
      <c r="J1960" s="11"/>
      <c r="K1960" s="1533"/>
      <c r="L1960" s="11"/>
      <c r="M1960" s="11"/>
      <c r="N1960" s="11"/>
      <c r="O1960" s="11"/>
      <c r="P1960" s="11"/>
      <c r="Q1960" s="11"/>
    </row>
    <row r="1961" spans="10:17">
      <c r="J1961" s="11"/>
      <c r="K1961" s="1533"/>
      <c r="L1961" s="11"/>
      <c r="M1961" s="11"/>
      <c r="N1961" s="11"/>
      <c r="O1961" s="11"/>
      <c r="P1961" s="11"/>
      <c r="Q1961" s="11"/>
    </row>
    <row r="1962" spans="10:17">
      <c r="J1962" s="11"/>
      <c r="K1962" s="1533"/>
      <c r="L1962" s="11"/>
      <c r="M1962" s="11"/>
      <c r="N1962" s="11"/>
      <c r="O1962" s="11"/>
      <c r="P1962" s="11"/>
      <c r="Q1962" s="11"/>
    </row>
    <row r="1963" spans="10:17">
      <c r="J1963" s="11"/>
      <c r="K1963" s="1533"/>
      <c r="L1963" s="11"/>
      <c r="M1963" s="11"/>
      <c r="N1963" s="11"/>
      <c r="O1963" s="11"/>
      <c r="P1963" s="11"/>
      <c r="Q1963" s="11"/>
    </row>
    <row r="1964" spans="10:17">
      <c r="J1964" s="11"/>
      <c r="K1964" s="1533"/>
      <c r="L1964" s="11"/>
      <c r="M1964" s="11"/>
      <c r="N1964" s="11"/>
      <c r="O1964" s="11"/>
      <c r="P1964" s="11"/>
      <c r="Q1964" s="11"/>
    </row>
    <row r="1965" spans="10:17">
      <c r="J1965" s="11"/>
      <c r="K1965" s="1533"/>
      <c r="L1965" s="11"/>
      <c r="M1965" s="11"/>
      <c r="N1965" s="11"/>
      <c r="O1965" s="11"/>
      <c r="P1965" s="11"/>
      <c r="Q1965" s="11"/>
    </row>
    <row r="1966" spans="10:17">
      <c r="J1966" s="11"/>
      <c r="K1966" s="1533"/>
      <c r="L1966" s="11"/>
      <c r="M1966" s="11"/>
      <c r="N1966" s="11"/>
      <c r="O1966" s="11"/>
      <c r="P1966" s="11"/>
      <c r="Q1966" s="11"/>
    </row>
    <row r="1967" spans="10:17">
      <c r="J1967" s="11"/>
      <c r="K1967" s="1533"/>
      <c r="L1967" s="11"/>
      <c r="M1967" s="11"/>
      <c r="N1967" s="11"/>
      <c r="O1967" s="11"/>
      <c r="P1967" s="11"/>
      <c r="Q1967" s="11"/>
    </row>
    <row r="1968" spans="10:17">
      <c r="J1968" s="11"/>
      <c r="K1968" s="1533"/>
      <c r="L1968" s="11"/>
      <c r="M1968" s="11"/>
      <c r="N1968" s="11"/>
      <c r="O1968" s="11"/>
      <c r="P1968" s="11"/>
      <c r="Q1968" s="11"/>
    </row>
    <row r="1969" spans="10:17">
      <c r="J1969" s="11"/>
      <c r="K1969" s="1533"/>
      <c r="L1969" s="11"/>
      <c r="M1969" s="11"/>
      <c r="N1969" s="11"/>
      <c r="O1969" s="11"/>
      <c r="P1969" s="11"/>
      <c r="Q1969" s="11"/>
    </row>
    <row r="1970" spans="10:17">
      <c r="J1970" s="11"/>
      <c r="K1970" s="1533"/>
      <c r="L1970" s="11"/>
      <c r="M1970" s="11"/>
      <c r="N1970" s="11"/>
      <c r="O1970" s="11"/>
      <c r="P1970" s="11"/>
      <c r="Q1970" s="11"/>
    </row>
    <row r="1971" spans="10:17">
      <c r="J1971" s="11"/>
      <c r="K1971" s="1533"/>
      <c r="L1971" s="11"/>
      <c r="M1971" s="11"/>
      <c r="N1971" s="11"/>
      <c r="O1971" s="11"/>
      <c r="P1971" s="11"/>
      <c r="Q1971" s="11"/>
    </row>
    <row r="1972" spans="10:17">
      <c r="J1972" s="11"/>
      <c r="K1972" s="1533"/>
      <c r="L1972" s="11"/>
      <c r="M1972" s="11"/>
      <c r="N1972" s="11"/>
      <c r="O1972" s="11"/>
      <c r="P1972" s="11"/>
      <c r="Q1972" s="11"/>
    </row>
    <row r="1973" spans="10:17">
      <c r="J1973" s="11"/>
      <c r="K1973" s="1533"/>
      <c r="L1973" s="11"/>
      <c r="M1973" s="11"/>
      <c r="N1973" s="11"/>
      <c r="O1973" s="11"/>
      <c r="P1973" s="11"/>
      <c r="Q1973" s="11"/>
    </row>
    <row r="1974" spans="10:17">
      <c r="J1974" s="11"/>
      <c r="K1974" s="1533"/>
      <c r="L1974" s="11"/>
      <c r="M1974" s="11"/>
      <c r="N1974" s="11"/>
      <c r="O1974" s="11"/>
      <c r="P1974" s="11"/>
      <c r="Q1974" s="11"/>
    </row>
    <row r="1975" spans="10:17">
      <c r="J1975" s="11"/>
      <c r="K1975" s="1533"/>
      <c r="L1975" s="11"/>
      <c r="M1975" s="11"/>
      <c r="N1975" s="11"/>
      <c r="O1975" s="11"/>
      <c r="P1975" s="11"/>
      <c r="Q1975" s="11"/>
    </row>
    <row r="1976" spans="10:17">
      <c r="J1976" s="11"/>
      <c r="K1976" s="1533"/>
      <c r="L1976" s="11"/>
      <c r="M1976" s="11"/>
      <c r="N1976" s="11"/>
      <c r="O1976" s="11"/>
      <c r="P1976" s="11"/>
      <c r="Q1976" s="11"/>
    </row>
    <row r="1977" spans="10:17">
      <c r="J1977" s="11"/>
      <c r="K1977" s="1533"/>
      <c r="L1977" s="11"/>
      <c r="M1977" s="11"/>
      <c r="N1977" s="11"/>
      <c r="O1977" s="11"/>
      <c r="P1977" s="11"/>
      <c r="Q1977" s="11"/>
    </row>
    <row r="1978" spans="10:17">
      <c r="J1978" s="11"/>
      <c r="K1978" s="1533"/>
      <c r="L1978" s="11"/>
      <c r="M1978" s="11"/>
      <c r="N1978" s="11"/>
      <c r="O1978" s="11"/>
      <c r="P1978" s="11"/>
      <c r="Q1978" s="11"/>
    </row>
    <row r="1979" spans="10:17">
      <c r="J1979" s="11"/>
      <c r="K1979" s="1533"/>
      <c r="L1979" s="11"/>
      <c r="M1979" s="11"/>
      <c r="N1979" s="11"/>
      <c r="O1979" s="11"/>
      <c r="P1979" s="11"/>
      <c r="Q1979" s="11"/>
    </row>
    <row r="1980" spans="10:17">
      <c r="J1980" s="11"/>
      <c r="K1980" s="1533"/>
      <c r="L1980" s="11"/>
      <c r="M1980" s="11"/>
      <c r="N1980" s="11"/>
      <c r="O1980" s="11"/>
      <c r="P1980" s="11"/>
      <c r="Q1980" s="11"/>
    </row>
    <row r="1981" spans="10:17">
      <c r="J1981" s="11"/>
      <c r="K1981" s="1533"/>
      <c r="L1981" s="11"/>
      <c r="M1981" s="11"/>
      <c r="N1981" s="11"/>
      <c r="O1981" s="11"/>
      <c r="P1981" s="11"/>
      <c r="Q1981" s="11"/>
    </row>
    <row r="1982" spans="10:17">
      <c r="J1982" s="11"/>
      <c r="K1982" s="1533"/>
      <c r="L1982" s="11"/>
      <c r="M1982" s="11"/>
      <c r="N1982" s="11"/>
      <c r="O1982" s="11"/>
      <c r="P1982" s="11"/>
      <c r="Q1982" s="11"/>
    </row>
    <row r="1983" spans="10:17">
      <c r="J1983" s="11"/>
      <c r="K1983" s="1533"/>
      <c r="L1983" s="11"/>
      <c r="M1983" s="11"/>
      <c r="N1983" s="11"/>
      <c r="O1983" s="11"/>
      <c r="P1983" s="11"/>
      <c r="Q1983" s="11"/>
    </row>
    <row r="1984" spans="10:17">
      <c r="J1984" s="11"/>
      <c r="K1984" s="1533"/>
      <c r="L1984" s="11"/>
      <c r="M1984" s="11"/>
      <c r="N1984" s="11"/>
      <c r="O1984" s="11"/>
      <c r="P1984" s="11"/>
      <c r="Q1984" s="11"/>
    </row>
    <row r="1985" spans="10:17">
      <c r="J1985" s="11"/>
      <c r="K1985" s="1533"/>
      <c r="L1985" s="11"/>
      <c r="M1985" s="11"/>
      <c r="N1985" s="11"/>
      <c r="O1985" s="11"/>
      <c r="P1985" s="11"/>
      <c r="Q1985" s="11"/>
    </row>
    <row r="1986" spans="10:17">
      <c r="J1986" s="11"/>
      <c r="K1986" s="1533"/>
      <c r="L1986" s="11"/>
      <c r="M1986" s="11"/>
      <c r="N1986" s="11"/>
      <c r="O1986" s="11"/>
      <c r="P1986" s="11"/>
      <c r="Q1986" s="11"/>
    </row>
    <row r="1987" spans="10:17">
      <c r="J1987" s="11"/>
      <c r="K1987" s="1533"/>
      <c r="L1987" s="11"/>
      <c r="M1987" s="11"/>
      <c r="N1987" s="11"/>
      <c r="O1987" s="11"/>
      <c r="P1987" s="11"/>
      <c r="Q1987" s="11"/>
    </row>
    <row r="1988" spans="10:17">
      <c r="J1988" s="11"/>
      <c r="K1988" s="1533"/>
      <c r="L1988" s="11"/>
      <c r="M1988" s="11"/>
      <c r="N1988" s="11"/>
      <c r="O1988" s="11"/>
      <c r="P1988" s="11"/>
      <c r="Q1988" s="11"/>
    </row>
    <row r="1989" spans="10:17">
      <c r="J1989" s="11"/>
      <c r="K1989" s="1533"/>
      <c r="L1989" s="11"/>
      <c r="M1989" s="11"/>
      <c r="N1989" s="11"/>
      <c r="O1989" s="11"/>
      <c r="P1989" s="11"/>
      <c r="Q1989" s="11"/>
    </row>
    <row r="1990" spans="10:17">
      <c r="J1990" s="11"/>
      <c r="K1990" s="1533"/>
      <c r="L1990" s="11"/>
      <c r="M1990" s="11"/>
      <c r="N1990" s="11"/>
      <c r="O1990" s="11"/>
      <c r="P1990" s="11"/>
      <c r="Q1990" s="11"/>
    </row>
    <row r="1991" spans="10:17">
      <c r="J1991" s="11"/>
      <c r="K1991" s="1533"/>
      <c r="L1991" s="11"/>
      <c r="M1991" s="11"/>
      <c r="N1991" s="11"/>
      <c r="O1991" s="11"/>
      <c r="P1991" s="11"/>
      <c r="Q1991" s="11"/>
    </row>
    <row r="1992" spans="10:17">
      <c r="J1992" s="11"/>
      <c r="K1992" s="1533"/>
      <c r="L1992" s="11"/>
      <c r="M1992" s="11"/>
      <c r="N1992" s="11"/>
      <c r="O1992" s="11"/>
      <c r="P1992" s="11"/>
      <c r="Q1992" s="11"/>
    </row>
    <row r="1993" spans="10:17">
      <c r="J1993" s="11"/>
      <c r="K1993" s="1533"/>
      <c r="L1993" s="11"/>
      <c r="M1993" s="11"/>
      <c r="N1993" s="11"/>
      <c r="O1993" s="11"/>
      <c r="P1993" s="11"/>
      <c r="Q1993" s="11"/>
    </row>
    <row r="1994" spans="10:17">
      <c r="J1994" s="11"/>
      <c r="K1994" s="1533"/>
      <c r="L1994" s="11"/>
      <c r="M1994" s="11"/>
      <c r="N1994" s="11"/>
      <c r="O1994" s="11"/>
      <c r="P1994" s="11"/>
      <c r="Q1994" s="11"/>
    </row>
    <row r="1995" spans="10:17">
      <c r="J1995" s="11"/>
      <c r="K1995" s="1533"/>
      <c r="L1995" s="11"/>
      <c r="M1995" s="11"/>
      <c r="N1995" s="11"/>
      <c r="O1995" s="11"/>
      <c r="P1995" s="11"/>
      <c r="Q1995" s="11"/>
    </row>
    <row r="1996" spans="10:17">
      <c r="J1996" s="11"/>
      <c r="K1996" s="1533"/>
      <c r="L1996" s="11"/>
      <c r="M1996" s="11"/>
      <c r="N1996" s="11"/>
      <c r="O1996" s="11"/>
      <c r="P1996" s="11"/>
      <c r="Q1996" s="11"/>
    </row>
    <row r="1997" spans="10:17">
      <c r="J1997" s="11"/>
      <c r="K1997" s="1533"/>
      <c r="L1997" s="11"/>
      <c r="M1997" s="11"/>
      <c r="N1997" s="11"/>
      <c r="O1997" s="11"/>
      <c r="P1997" s="11"/>
      <c r="Q1997" s="11"/>
    </row>
    <row r="1998" spans="10:17">
      <c r="J1998" s="11"/>
      <c r="K1998" s="1533"/>
      <c r="L1998" s="11"/>
      <c r="M1998" s="11"/>
      <c r="N1998" s="11"/>
      <c r="O1998" s="11"/>
      <c r="P1998" s="11"/>
      <c r="Q1998" s="11"/>
    </row>
    <row r="1999" spans="10:17">
      <c r="J1999" s="11"/>
      <c r="K1999" s="1533"/>
      <c r="L1999" s="11"/>
      <c r="M1999" s="11"/>
      <c r="N1999" s="11"/>
      <c r="O1999" s="11"/>
      <c r="P1999" s="11"/>
      <c r="Q1999" s="11"/>
    </row>
    <row r="2000" spans="10:17">
      <c r="J2000" s="11"/>
      <c r="K2000" s="1533"/>
      <c r="L2000" s="11"/>
      <c r="M2000" s="11"/>
      <c r="N2000" s="11"/>
      <c r="O2000" s="11"/>
      <c r="P2000" s="11"/>
      <c r="Q2000" s="11"/>
    </row>
    <row r="2001" spans="10:17">
      <c r="J2001" s="11"/>
      <c r="K2001" s="1533"/>
      <c r="L2001" s="11"/>
      <c r="M2001" s="11"/>
      <c r="N2001" s="11"/>
      <c r="O2001" s="11"/>
      <c r="P2001" s="11"/>
      <c r="Q2001" s="11"/>
    </row>
    <row r="2002" spans="10:17">
      <c r="J2002" s="11"/>
      <c r="K2002" s="1533"/>
      <c r="L2002" s="11"/>
      <c r="M2002" s="11"/>
      <c r="N2002" s="11"/>
      <c r="O2002" s="11"/>
      <c r="P2002" s="11"/>
      <c r="Q2002" s="11"/>
    </row>
    <row r="2003" spans="10:17">
      <c r="J2003" s="11"/>
      <c r="K2003" s="1533"/>
      <c r="L2003" s="11"/>
      <c r="M2003" s="11"/>
      <c r="N2003" s="11"/>
      <c r="O2003" s="11"/>
      <c r="P2003" s="11"/>
      <c r="Q2003" s="11"/>
    </row>
    <row r="2004" spans="10:17">
      <c r="J2004" s="11"/>
      <c r="K2004" s="1533"/>
      <c r="L2004" s="11"/>
      <c r="M2004" s="11"/>
      <c r="N2004" s="11"/>
      <c r="O2004" s="11"/>
      <c r="P2004" s="11"/>
      <c r="Q2004" s="11"/>
    </row>
    <row r="2005" spans="10:17">
      <c r="J2005" s="11"/>
      <c r="K2005" s="1533"/>
      <c r="L2005" s="11"/>
      <c r="M2005" s="11"/>
      <c r="N2005" s="11"/>
      <c r="O2005" s="11"/>
      <c r="P2005" s="11"/>
      <c r="Q2005" s="11"/>
    </row>
    <row r="2006" spans="10:17">
      <c r="J2006" s="11"/>
      <c r="K2006" s="1533"/>
      <c r="L2006" s="11"/>
      <c r="M2006" s="11"/>
      <c r="N2006" s="11"/>
      <c r="O2006" s="11"/>
      <c r="P2006" s="11"/>
      <c r="Q2006" s="11"/>
    </row>
    <row r="2007" spans="10:17">
      <c r="J2007" s="11"/>
      <c r="K2007" s="1533"/>
      <c r="L2007" s="11"/>
      <c r="M2007" s="11"/>
      <c r="N2007" s="11"/>
      <c r="O2007" s="11"/>
      <c r="P2007" s="11"/>
      <c r="Q2007" s="11"/>
    </row>
    <row r="2008" spans="10:17">
      <c r="J2008" s="11"/>
      <c r="K2008" s="1533"/>
      <c r="L2008" s="11"/>
      <c r="M2008" s="11"/>
      <c r="N2008" s="11"/>
      <c r="O2008" s="11"/>
      <c r="P2008" s="11"/>
      <c r="Q2008" s="11"/>
    </row>
    <row r="2009" spans="10:17">
      <c r="J2009" s="11"/>
      <c r="K2009" s="1533"/>
      <c r="L2009" s="11"/>
      <c r="M2009" s="11"/>
      <c r="N2009" s="11"/>
      <c r="O2009" s="11"/>
      <c r="P2009" s="11"/>
      <c r="Q2009" s="11"/>
    </row>
    <row r="2010" spans="10:17">
      <c r="J2010" s="11"/>
      <c r="K2010" s="1533"/>
      <c r="L2010" s="11"/>
      <c r="M2010" s="11"/>
      <c r="N2010" s="11"/>
      <c r="O2010" s="11"/>
      <c r="P2010" s="11"/>
      <c r="Q2010" s="11"/>
    </row>
    <row r="2011" spans="10:17">
      <c r="J2011" s="11"/>
      <c r="K2011" s="1533"/>
      <c r="L2011" s="11"/>
      <c r="M2011" s="11"/>
      <c r="N2011" s="11"/>
      <c r="O2011" s="11"/>
      <c r="P2011" s="11"/>
      <c r="Q2011" s="11"/>
    </row>
    <row r="2012" spans="10:17">
      <c r="J2012" s="11"/>
      <c r="K2012" s="1533"/>
      <c r="L2012" s="11"/>
      <c r="M2012" s="11"/>
      <c r="N2012" s="11"/>
      <c r="O2012" s="11"/>
      <c r="P2012" s="11"/>
      <c r="Q2012" s="11"/>
    </row>
    <row r="2013" spans="10:17">
      <c r="J2013" s="11"/>
      <c r="K2013" s="1533"/>
      <c r="L2013" s="11"/>
      <c r="M2013" s="11"/>
      <c r="N2013" s="11"/>
      <c r="O2013" s="11"/>
      <c r="P2013" s="11"/>
      <c r="Q2013" s="11"/>
    </row>
    <row r="2014" spans="10:17">
      <c r="J2014" s="11"/>
      <c r="K2014" s="1533"/>
      <c r="L2014" s="11"/>
      <c r="M2014" s="11"/>
      <c r="N2014" s="11"/>
      <c r="O2014" s="11"/>
      <c r="P2014" s="11"/>
      <c r="Q2014" s="11"/>
    </row>
    <row r="2015" spans="10:17">
      <c r="J2015" s="11"/>
      <c r="K2015" s="1533"/>
      <c r="L2015" s="11"/>
      <c r="M2015" s="11"/>
      <c r="N2015" s="11"/>
      <c r="O2015" s="11"/>
      <c r="P2015" s="11"/>
      <c r="Q2015" s="11"/>
    </row>
    <row r="2016" spans="10:17">
      <c r="J2016" s="11"/>
      <c r="K2016" s="1533"/>
      <c r="L2016" s="11"/>
      <c r="M2016" s="11"/>
      <c r="N2016" s="11"/>
      <c r="O2016" s="11"/>
      <c r="P2016" s="11"/>
      <c r="Q2016" s="11"/>
    </row>
    <row r="2017" spans="10:17">
      <c r="J2017" s="11"/>
      <c r="K2017" s="1533"/>
      <c r="L2017" s="11"/>
      <c r="M2017" s="11"/>
      <c r="N2017" s="11"/>
      <c r="O2017" s="11"/>
      <c r="P2017" s="11"/>
      <c r="Q2017" s="11"/>
    </row>
    <row r="2018" spans="10:17">
      <c r="J2018" s="11"/>
      <c r="K2018" s="1533"/>
      <c r="L2018" s="11"/>
      <c r="M2018" s="11"/>
      <c r="N2018" s="11"/>
      <c r="O2018" s="11"/>
      <c r="P2018" s="11"/>
      <c r="Q2018" s="11"/>
    </row>
    <row r="2019" spans="10:17">
      <c r="J2019" s="11"/>
      <c r="K2019" s="1533"/>
      <c r="L2019" s="11"/>
      <c r="M2019" s="11"/>
      <c r="N2019" s="11"/>
      <c r="O2019" s="11"/>
      <c r="P2019" s="11"/>
      <c r="Q2019" s="11"/>
    </row>
    <row r="2020" spans="10:17">
      <c r="J2020" s="11"/>
      <c r="K2020" s="1533"/>
      <c r="L2020" s="11"/>
      <c r="M2020" s="11"/>
      <c r="N2020" s="11"/>
      <c r="O2020" s="11"/>
      <c r="P2020" s="11"/>
      <c r="Q2020" s="11"/>
    </row>
    <row r="2021" spans="10:17">
      <c r="J2021" s="11"/>
      <c r="K2021" s="1533"/>
      <c r="L2021" s="11"/>
      <c r="M2021" s="11"/>
      <c r="N2021" s="11"/>
      <c r="O2021" s="11"/>
      <c r="P2021" s="11"/>
      <c r="Q2021" s="11"/>
    </row>
    <row r="2022" spans="10:17">
      <c r="J2022" s="11"/>
      <c r="K2022" s="1533"/>
      <c r="L2022" s="11"/>
      <c r="M2022" s="11"/>
      <c r="N2022" s="11"/>
      <c r="O2022" s="11"/>
      <c r="P2022" s="11"/>
      <c r="Q2022" s="11"/>
    </row>
    <row r="2023" spans="10:17">
      <c r="J2023" s="11"/>
      <c r="K2023" s="1533"/>
      <c r="L2023" s="11"/>
      <c r="M2023" s="11"/>
      <c r="N2023" s="11"/>
      <c r="O2023" s="11"/>
      <c r="P2023" s="11"/>
      <c r="Q2023" s="11"/>
    </row>
    <row r="2024" spans="10:17">
      <c r="J2024" s="11"/>
      <c r="K2024" s="1533"/>
      <c r="L2024" s="11"/>
      <c r="M2024" s="11"/>
      <c r="N2024" s="11"/>
      <c r="O2024" s="11"/>
      <c r="P2024" s="11"/>
      <c r="Q2024" s="11"/>
    </row>
    <row r="2025" spans="10:17">
      <c r="J2025" s="11"/>
      <c r="K2025" s="1533"/>
      <c r="L2025" s="11"/>
      <c r="M2025" s="11"/>
      <c r="N2025" s="11"/>
      <c r="O2025" s="11"/>
      <c r="P2025" s="11"/>
      <c r="Q2025" s="11"/>
    </row>
    <row r="2026" spans="10:17">
      <c r="J2026" s="11"/>
      <c r="K2026" s="1533"/>
      <c r="L2026" s="11"/>
      <c r="M2026" s="11"/>
      <c r="N2026" s="11"/>
      <c r="O2026" s="11"/>
      <c r="P2026" s="11"/>
      <c r="Q2026" s="11"/>
    </row>
    <row r="2027" spans="10:17">
      <c r="J2027" s="11"/>
      <c r="K2027" s="1533"/>
      <c r="L2027" s="11"/>
      <c r="M2027" s="11"/>
      <c r="N2027" s="11"/>
      <c r="O2027" s="11"/>
      <c r="P2027" s="11"/>
      <c r="Q2027" s="11"/>
    </row>
    <row r="2028" spans="10:17">
      <c r="J2028" s="11"/>
      <c r="K2028" s="1533"/>
      <c r="L2028" s="11"/>
      <c r="M2028" s="11"/>
      <c r="N2028" s="11"/>
      <c r="O2028" s="11"/>
      <c r="P2028" s="11"/>
      <c r="Q2028" s="11"/>
    </row>
    <row r="2029" spans="10:17">
      <c r="J2029" s="11"/>
      <c r="K2029" s="1533"/>
      <c r="L2029" s="11"/>
      <c r="M2029" s="11"/>
      <c r="N2029" s="11"/>
      <c r="O2029" s="11"/>
      <c r="P2029" s="11"/>
      <c r="Q2029" s="11"/>
    </row>
    <row r="2030" spans="10:17">
      <c r="J2030" s="11"/>
      <c r="K2030" s="1533"/>
      <c r="L2030" s="11"/>
      <c r="M2030" s="11"/>
      <c r="N2030" s="11"/>
      <c r="O2030" s="11"/>
      <c r="P2030" s="11"/>
      <c r="Q2030" s="11"/>
    </row>
    <row r="2031" spans="10:17">
      <c r="J2031" s="11"/>
      <c r="K2031" s="1533"/>
      <c r="L2031" s="11"/>
      <c r="M2031" s="11"/>
      <c r="N2031" s="11"/>
      <c r="O2031" s="11"/>
      <c r="P2031" s="11"/>
      <c r="Q2031" s="11"/>
    </row>
    <row r="2032" spans="10:17">
      <c r="J2032" s="11"/>
      <c r="K2032" s="1533"/>
      <c r="L2032" s="11"/>
      <c r="M2032" s="11"/>
      <c r="N2032" s="11"/>
      <c r="O2032" s="11"/>
      <c r="P2032" s="11"/>
      <c r="Q2032" s="11"/>
    </row>
    <row r="2033" spans="10:17">
      <c r="J2033" s="11"/>
      <c r="K2033" s="1533"/>
      <c r="L2033" s="11"/>
      <c r="M2033" s="11"/>
      <c r="N2033" s="11"/>
      <c r="O2033" s="11"/>
      <c r="P2033" s="11"/>
      <c r="Q2033" s="11"/>
    </row>
    <row r="2034" spans="10:17">
      <c r="J2034" s="11"/>
      <c r="K2034" s="1533"/>
      <c r="L2034" s="11"/>
      <c r="M2034" s="11"/>
      <c r="N2034" s="11"/>
      <c r="O2034" s="11"/>
      <c r="P2034" s="11"/>
      <c r="Q2034" s="11"/>
    </row>
    <row r="2035" spans="10:17">
      <c r="J2035" s="11"/>
      <c r="K2035" s="1533"/>
      <c r="L2035" s="11"/>
      <c r="M2035" s="11"/>
      <c r="N2035" s="11"/>
      <c r="O2035" s="11"/>
      <c r="P2035" s="11"/>
      <c r="Q2035" s="11"/>
    </row>
    <row r="2036" spans="10:17">
      <c r="J2036" s="11"/>
      <c r="K2036" s="1533"/>
      <c r="L2036" s="11"/>
      <c r="M2036" s="11"/>
      <c r="N2036" s="11"/>
      <c r="O2036" s="11"/>
      <c r="P2036" s="11"/>
      <c r="Q2036" s="11"/>
    </row>
    <row r="2037" spans="10:17">
      <c r="J2037" s="11"/>
      <c r="K2037" s="1533"/>
      <c r="L2037" s="11"/>
      <c r="M2037" s="11"/>
      <c r="N2037" s="11"/>
      <c r="O2037" s="11"/>
      <c r="P2037" s="11"/>
      <c r="Q2037" s="11"/>
    </row>
    <row r="2038" spans="10:17">
      <c r="J2038" s="11"/>
      <c r="K2038" s="1533"/>
      <c r="L2038" s="11"/>
      <c r="M2038" s="11"/>
      <c r="N2038" s="11"/>
      <c r="O2038" s="11"/>
      <c r="P2038" s="11"/>
      <c r="Q2038" s="11"/>
    </row>
    <row r="2039" spans="10:17">
      <c r="J2039" s="11"/>
      <c r="K2039" s="1533"/>
      <c r="L2039" s="11"/>
      <c r="M2039" s="11"/>
      <c r="N2039" s="11"/>
      <c r="O2039" s="11"/>
      <c r="P2039" s="11"/>
      <c r="Q2039" s="11"/>
    </row>
    <row r="2040" spans="10:17">
      <c r="J2040" s="11"/>
      <c r="K2040" s="1533"/>
      <c r="L2040" s="11"/>
      <c r="M2040" s="11"/>
      <c r="N2040" s="11"/>
      <c r="O2040" s="11"/>
      <c r="P2040" s="11"/>
      <c r="Q2040" s="11"/>
    </row>
    <row r="2041" spans="10:17">
      <c r="J2041" s="11"/>
      <c r="K2041" s="1533"/>
      <c r="L2041" s="11"/>
      <c r="M2041" s="11"/>
      <c r="N2041" s="11"/>
      <c r="O2041" s="11"/>
      <c r="P2041" s="11"/>
      <c r="Q2041" s="11"/>
    </row>
    <row r="2042" spans="10:17">
      <c r="J2042" s="11"/>
      <c r="K2042" s="1533"/>
      <c r="L2042" s="11"/>
      <c r="M2042" s="11"/>
      <c r="N2042" s="11"/>
      <c r="O2042" s="11"/>
      <c r="P2042" s="11"/>
      <c r="Q2042" s="11"/>
    </row>
    <row r="2043" spans="10:17">
      <c r="J2043" s="11"/>
      <c r="K2043" s="1533"/>
      <c r="L2043" s="11"/>
      <c r="M2043" s="11"/>
      <c r="N2043" s="11"/>
      <c r="O2043" s="11"/>
      <c r="P2043" s="11"/>
      <c r="Q2043" s="11"/>
    </row>
    <row r="2044" spans="10:17">
      <c r="J2044" s="11"/>
      <c r="K2044" s="1533"/>
      <c r="L2044" s="11"/>
      <c r="M2044" s="11"/>
      <c r="N2044" s="11"/>
      <c r="O2044" s="11"/>
      <c r="P2044" s="11"/>
      <c r="Q2044" s="11"/>
    </row>
    <row r="2045" spans="10:17">
      <c r="J2045" s="11"/>
      <c r="K2045" s="1533"/>
      <c r="L2045" s="11"/>
      <c r="M2045" s="11"/>
      <c r="N2045" s="11"/>
      <c r="O2045" s="11"/>
      <c r="P2045" s="11"/>
      <c r="Q2045" s="11"/>
    </row>
    <row r="2046" spans="10:17">
      <c r="J2046" s="11"/>
      <c r="K2046" s="1533"/>
      <c r="L2046" s="11"/>
      <c r="M2046" s="11"/>
      <c r="N2046" s="11"/>
      <c r="O2046" s="11"/>
      <c r="P2046" s="11"/>
      <c r="Q2046" s="11"/>
    </row>
    <row r="2047" spans="10:17">
      <c r="J2047" s="11"/>
      <c r="K2047" s="1533"/>
      <c r="L2047" s="11"/>
      <c r="M2047" s="11"/>
      <c r="N2047" s="11"/>
      <c r="O2047" s="11"/>
      <c r="P2047" s="11"/>
      <c r="Q2047" s="11"/>
    </row>
    <row r="2048" spans="10:17">
      <c r="J2048" s="11"/>
      <c r="K2048" s="1533"/>
      <c r="L2048" s="11"/>
      <c r="M2048" s="11"/>
      <c r="N2048" s="11"/>
      <c r="O2048" s="11"/>
      <c r="P2048" s="11"/>
      <c r="Q2048" s="11"/>
    </row>
    <row r="2049" spans="10:17">
      <c r="J2049" s="11"/>
      <c r="K2049" s="1533"/>
      <c r="L2049" s="11"/>
      <c r="M2049" s="11"/>
      <c r="N2049" s="11"/>
      <c r="O2049" s="11"/>
      <c r="P2049" s="11"/>
      <c r="Q2049" s="11"/>
    </row>
    <row r="2050" spans="10:17">
      <c r="J2050" s="11"/>
      <c r="K2050" s="1533"/>
      <c r="L2050" s="11"/>
      <c r="M2050" s="11"/>
      <c r="N2050" s="11"/>
      <c r="O2050" s="11"/>
      <c r="P2050" s="11"/>
      <c r="Q2050" s="11"/>
    </row>
    <row r="2051" spans="10:17">
      <c r="J2051" s="11"/>
      <c r="K2051" s="1533"/>
      <c r="L2051" s="11"/>
      <c r="M2051" s="11"/>
      <c r="N2051" s="11"/>
      <c r="O2051" s="11"/>
      <c r="P2051" s="11"/>
      <c r="Q2051" s="11"/>
    </row>
    <row r="2052" spans="10:17">
      <c r="J2052" s="11"/>
      <c r="K2052" s="1533"/>
      <c r="L2052" s="11"/>
      <c r="M2052" s="11"/>
      <c r="N2052" s="11"/>
      <c r="O2052" s="11"/>
      <c r="P2052" s="11"/>
      <c r="Q2052" s="11"/>
    </row>
    <row r="2053" spans="10:17">
      <c r="J2053" s="11"/>
      <c r="K2053" s="1533"/>
      <c r="L2053" s="11"/>
      <c r="M2053" s="11"/>
      <c r="N2053" s="11"/>
      <c r="O2053" s="11"/>
      <c r="P2053" s="11"/>
      <c r="Q2053" s="11"/>
    </row>
    <row r="2054" spans="10:17">
      <c r="J2054" s="11"/>
      <c r="K2054" s="1533"/>
      <c r="L2054" s="11"/>
      <c r="M2054" s="11"/>
      <c r="N2054" s="11"/>
      <c r="O2054" s="11"/>
      <c r="P2054" s="11"/>
      <c r="Q2054" s="11"/>
    </row>
    <row r="2055" spans="10:17">
      <c r="J2055" s="11"/>
      <c r="K2055" s="1533"/>
      <c r="L2055" s="11"/>
      <c r="M2055" s="11"/>
      <c r="N2055" s="11"/>
      <c r="O2055" s="11"/>
      <c r="P2055" s="11"/>
      <c r="Q2055" s="11"/>
    </row>
    <row r="2056" spans="10:17">
      <c r="J2056" s="11"/>
      <c r="K2056" s="1533"/>
      <c r="L2056" s="11"/>
      <c r="M2056" s="11"/>
      <c r="N2056" s="11"/>
      <c r="O2056" s="11"/>
      <c r="P2056" s="11"/>
      <c r="Q2056" s="11"/>
    </row>
    <row r="2057" spans="10:17">
      <c r="J2057" s="11"/>
      <c r="K2057" s="1533"/>
      <c r="L2057" s="11"/>
      <c r="M2057" s="11"/>
      <c r="N2057" s="11"/>
      <c r="O2057" s="11"/>
      <c r="P2057" s="11"/>
      <c r="Q2057" s="11"/>
    </row>
    <row r="2058" spans="10:17">
      <c r="J2058" s="11"/>
      <c r="K2058" s="1533"/>
      <c r="L2058" s="11"/>
      <c r="M2058" s="11"/>
      <c r="N2058" s="11"/>
      <c r="O2058" s="11"/>
      <c r="P2058" s="11"/>
      <c r="Q2058" s="11"/>
    </row>
    <row r="2059" spans="10:17">
      <c r="J2059" s="11"/>
      <c r="K2059" s="1533"/>
      <c r="L2059" s="11"/>
      <c r="M2059" s="11"/>
      <c r="N2059" s="11"/>
      <c r="O2059" s="11"/>
      <c r="P2059" s="11"/>
      <c r="Q2059" s="11"/>
    </row>
    <row r="2060" spans="10:17">
      <c r="J2060" s="11"/>
      <c r="K2060" s="1533"/>
      <c r="L2060" s="11"/>
      <c r="M2060" s="11"/>
      <c r="N2060" s="11"/>
      <c r="O2060" s="11"/>
      <c r="P2060" s="11"/>
      <c r="Q2060" s="11"/>
    </row>
    <row r="2061" spans="10:17">
      <c r="J2061" s="11"/>
      <c r="K2061" s="1533"/>
      <c r="L2061" s="11"/>
      <c r="M2061" s="11"/>
      <c r="N2061" s="11"/>
      <c r="O2061" s="11"/>
      <c r="P2061" s="11"/>
      <c r="Q2061" s="11"/>
    </row>
    <row r="2062" spans="10:17">
      <c r="J2062" s="11"/>
      <c r="K2062" s="1533"/>
      <c r="L2062" s="11"/>
      <c r="M2062" s="11"/>
      <c r="N2062" s="11"/>
      <c r="O2062" s="11"/>
      <c r="P2062" s="11"/>
      <c r="Q2062" s="11"/>
    </row>
    <row r="2063" spans="10:17">
      <c r="J2063" s="11"/>
      <c r="K2063" s="1533"/>
      <c r="L2063" s="11"/>
      <c r="M2063" s="11"/>
      <c r="N2063" s="11"/>
      <c r="O2063" s="11"/>
      <c r="P2063" s="11"/>
      <c r="Q2063" s="11"/>
    </row>
    <row r="2064" spans="10:17">
      <c r="J2064" s="11"/>
      <c r="K2064" s="1533"/>
      <c r="L2064" s="11"/>
      <c r="M2064" s="11"/>
      <c r="N2064" s="11"/>
      <c r="O2064" s="11"/>
      <c r="P2064" s="11"/>
      <c r="Q2064" s="11"/>
    </row>
    <row r="2065" spans="10:17">
      <c r="J2065" s="11"/>
      <c r="K2065" s="1533"/>
      <c r="L2065" s="11"/>
      <c r="M2065" s="11"/>
      <c r="N2065" s="11"/>
      <c r="O2065" s="11"/>
      <c r="P2065" s="11"/>
      <c r="Q2065" s="11"/>
    </row>
    <row r="2066" spans="10:17">
      <c r="J2066" s="11"/>
      <c r="K2066" s="1533"/>
      <c r="L2066" s="11"/>
      <c r="M2066" s="11"/>
      <c r="N2066" s="11"/>
      <c r="O2066" s="11"/>
      <c r="P2066" s="11"/>
      <c r="Q2066" s="11"/>
    </row>
    <row r="2067" spans="10:17">
      <c r="J2067" s="11"/>
      <c r="K2067" s="1533"/>
      <c r="L2067" s="11"/>
      <c r="M2067" s="11"/>
      <c r="N2067" s="11"/>
      <c r="O2067" s="11"/>
      <c r="P2067" s="11"/>
      <c r="Q2067" s="11"/>
    </row>
    <row r="2068" spans="10:17">
      <c r="J2068" s="11"/>
      <c r="K2068" s="1533"/>
      <c r="L2068" s="11"/>
      <c r="M2068" s="11"/>
      <c r="N2068" s="11"/>
      <c r="O2068" s="11"/>
      <c r="P2068" s="11"/>
      <c r="Q2068" s="11"/>
    </row>
    <row r="2069" spans="10:17">
      <c r="J2069" s="11"/>
      <c r="K2069" s="1533"/>
      <c r="L2069" s="11"/>
      <c r="M2069" s="11"/>
      <c r="N2069" s="11"/>
      <c r="O2069" s="11"/>
      <c r="P2069" s="11"/>
      <c r="Q2069" s="11"/>
    </row>
    <row r="2070" spans="10:17">
      <c r="J2070" s="11"/>
      <c r="K2070" s="1533"/>
      <c r="L2070" s="11"/>
      <c r="M2070" s="11"/>
      <c r="N2070" s="11"/>
      <c r="O2070" s="11"/>
      <c r="P2070" s="11"/>
      <c r="Q2070" s="11"/>
    </row>
    <row r="2071" spans="10:17">
      <c r="J2071" s="11"/>
      <c r="K2071" s="1533"/>
      <c r="L2071" s="11"/>
      <c r="M2071" s="11"/>
      <c r="N2071" s="11"/>
      <c r="O2071" s="11"/>
      <c r="P2071" s="11"/>
      <c r="Q2071" s="11"/>
    </row>
    <row r="2072" spans="10:17">
      <c r="J2072" s="11"/>
      <c r="K2072" s="1533"/>
      <c r="L2072" s="11"/>
      <c r="M2072" s="11"/>
      <c r="N2072" s="11"/>
      <c r="O2072" s="11"/>
      <c r="P2072" s="11"/>
      <c r="Q2072" s="11"/>
    </row>
    <row r="2073" spans="10:17">
      <c r="J2073" s="11"/>
      <c r="K2073" s="1533"/>
      <c r="L2073" s="11"/>
      <c r="M2073" s="11"/>
      <c r="N2073" s="11"/>
      <c r="O2073" s="11"/>
      <c r="P2073" s="11"/>
      <c r="Q2073" s="11"/>
    </row>
    <row r="2074" spans="10:17">
      <c r="J2074" s="11"/>
      <c r="K2074" s="1533"/>
      <c r="L2074" s="11"/>
      <c r="M2074" s="11"/>
      <c r="N2074" s="11"/>
      <c r="O2074" s="11"/>
      <c r="P2074" s="11"/>
      <c r="Q2074" s="11"/>
    </row>
    <row r="2075" spans="10:17">
      <c r="J2075" s="11"/>
      <c r="K2075" s="1533"/>
      <c r="L2075" s="11"/>
      <c r="M2075" s="11"/>
      <c r="N2075" s="11"/>
      <c r="O2075" s="11"/>
      <c r="P2075" s="11"/>
      <c r="Q2075" s="11"/>
    </row>
    <row r="2076" spans="10:17">
      <c r="J2076" s="11"/>
      <c r="K2076" s="1533"/>
      <c r="L2076" s="11"/>
      <c r="M2076" s="11"/>
      <c r="N2076" s="11"/>
      <c r="O2076" s="11"/>
      <c r="P2076" s="11"/>
      <c r="Q2076" s="11"/>
    </row>
    <row r="2077" spans="10:17">
      <c r="J2077" s="11"/>
      <c r="K2077" s="1533"/>
      <c r="L2077" s="11"/>
      <c r="M2077" s="11"/>
      <c r="N2077" s="11"/>
      <c r="O2077" s="11"/>
      <c r="P2077" s="11"/>
      <c r="Q2077" s="11"/>
    </row>
    <row r="2078" spans="10:17">
      <c r="J2078" s="11"/>
      <c r="K2078" s="1533"/>
      <c r="L2078" s="11"/>
      <c r="M2078" s="11"/>
      <c r="N2078" s="11"/>
      <c r="O2078" s="11"/>
      <c r="P2078" s="11"/>
      <c r="Q2078" s="11"/>
    </row>
    <row r="2079" spans="10:17">
      <c r="J2079" s="11"/>
      <c r="K2079" s="1533"/>
      <c r="L2079" s="11"/>
      <c r="M2079" s="11"/>
      <c r="N2079" s="11"/>
      <c r="O2079" s="11"/>
      <c r="P2079" s="11"/>
      <c r="Q2079" s="11"/>
    </row>
    <row r="2080" spans="10:17">
      <c r="J2080" s="11"/>
      <c r="K2080" s="1533"/>
      <c r="L2080" s="11"/>
      <c r="M2080" s="11"/>
      <c r="N2080" s="11"/>
      <c r="O2080" s="11"/>
      <c r="P2080" s="11"/>
      <c r="Q2080" s="11"/>
    </row>
    <row r="2081" spans="10:17">
      <c r="J2081" s="11"/>
      <c r="K2081" s="1533"/>
      <c r="L2081" s="11"/>
      <c r="M2081" s="11"/>
      <c r="N2081" s="11"/>
      <c r="O2081" s="11"/>
      <c r="P2081" s="11"/>
      <c r="Q2081" s="11"/>
    </row>
    <row r="2082" spans="10:17">
      <c r="J2082" s="11"/>
      <c r="K2082" s="1533"/>
      <c r="L2082" s="11"/>
      <c r="M2082" s="11"/>
      <c r="N2082" s="11"/>
      <c r="O2082" s="11"/>
      <c r="P2082" s="11"/>
      <c r="Q2082" s="11"/>
    </row>
    <row r="2083" spans="10:17">
      <c r="J2083" s="11"/>
      <c r="K2083" s="1533"/>
      <c r="L2083" s="11"/>
      <c r="M2083" s="11"/>
      <c r="N2083" s="11"/>
      <c r="O2083" s="11"/>
      <c r="P2083" s="11"/>
      <c r="Q2083" s="11"/>
    </row>
    <row r="2084" spans="10:17">
      <c r="J2084" s="11"/>
      <c r="K2084" s="1533"/>
      <c r="L2084" s="11"/>
      <c r="M2084" s="11"/>
      <c r="N2084" s="11"/>
      <c r="O2084" s="11"/>
      <c r="P2084" s="11"/>
      <c r="Q2084" s="11"/>
    </row>
    <row r="2085" spans="10:17">
      <c r="J2085" s="11"/>
      <c r="K2085" s="1533"/>
      <c r="L2085" s="11"/>
      <c r="M2085" s="11"/>
      <c r="N2085" s="11"/>
      <c r="O2085" s="11"/>
      <c r="P2085" s="11"/>
      <c r="Q2085" s="11"/>
    </row>
    <row r="2086" spans="10:17">
      <c r="J2086" s="11"/>
      <c r="K2086" s="1533"/>
      <c r="L2086" s="11"/>
      <c r="M2086" s="11"/>
      <c r="N2086" s="11"/>
      <c r="O2086" s="11"/>
      <c r="P2086" s="11"/>
      <c r="Q2086" s="11"/>
    </row>
    <row r="2087" spans="10:17">
      <c r="J2087" s="11"/>
      <c r="K2087" s="1533"/>
      <c r="L2087" s="11"/>
      <c r="M2087" s="11"/>
      <c r="N2087" s="11"/>
      <c r="O2087" s="11"/>
      <c r="P2087" s="11"/>
      <c r="Q2087" s="11"/>
    </row>
    <row r="2088" spans="10:17">
      <c r="J2088" s="11"/>
      <c r="K2088" s="1533"/>
      <c r="L2088" s="11"/>
      <c r="M2088" s="11"/>
      <c r="N2088" s="11"/>
      <c r="O2088" s="11"/>
      <c r="P2088" s="11"/>
      <c r="Q2088" s="11"/>
    </row>
    <row r="2089" spans="10:17">
      <c r="J2089" s="11"/>
      <c r="K2089" s="1533"/>
      <c r="L2089" s="11"/>
      <c r="M2089" s="11"/>
      <c r="N2089" s="11"/>
      <c r="O2089" s="11"/>
      <c r="P2089" s="11"/>
      <c r="Q2089" s="11"/>
    </row>
    <row r="2090" spans="10:17">
      <c r="J2090" s="11"/>
      <c r="K2090" s="1533"/>
      <c r="L2090" s="11"/>
      <c r="M2090" s="11"/>
      <c r="N2090" s="11"/>
      <c r="O2090" s="11"/>
      <c r="P2090" s="11"/>
      <c r="Q2090" s="11"/>
    </row>
    <row r="2091" spans="10:17">
      <c r="J2091" s="11"/>
      <c r="K2091" s="1533"/>
      <c r="L2091" s="11"/>
      <c r="M2091" s="11"/>
      <c r="N2091" s="11"/>
      <c r="O2091" s="11"/>
      <c r="P2091" s="11"/>
      <c r="Q2091" s="11"/>
    </row>
    <row r="2092" spans="10:17">
      <c r="J2092" s="11"/>
      <c r="K2092" s="1533"/>
      <c r="L2092" s="11"/>
      <c r="M2092" s="11"/>
      <c r="N2092" s="11"/>
      <c r="O2092" s="11"/>
      <c r="P2092" s="11"/>
      <c r="Q2092" s="11"/>
    </row>
    <row r="2093" spans="10:17">
      <c r="J2093" s="11"/>
      <c r="K2093" s="1533"/>
      <c r="L2093" s="11"/>
      <c r="M2093" s="11"/>
      <c r="N2093" s="11"/>
      <c r="O2093" s="11"/>
      <c r="P2093" s="11"/>
      <c r="Q2093" s="11"/>
    </row>
    <row r="2094" spans="10:17">
      <c r="J2094" s="11"/>
      <c r="K2094" s="1533"/>
      <c r="L2094" s="11"/>
      <c r="M2094" s="11"/>
      <c r="N2094" s="11"/>
      <c r="O2094" s="11"/>
      <c r="P2094" s="11"/>
      <c r="Q2094" s="11"/>
    </row>
    <row r="2095" spans="10:17">
      <c r="J2095" s="11"/>
      <c r="K2095" s="1533"/>
      <c r="L2095" s="11"/>
      <c r="M2095" s="11"/>
      <c r="N2095" s="11"/>
      <c r="O2095" s="11"/>
      <c r="P2095" s="11"/>
      <c r="Q2095" s="11"/>
    </row>
    <row r="2096" spans="10:17">
      <c r="J2096" s="11"/>
      <c r="K2096" s="1533"/>
      <c r="L2096" s="11"/>
      <c r="M2096" s="11"/>
      <c r="N2096" s="11"/>
      <c r="O2096" s="11"/>
      <c r="P2096" s="11"/>
      <c r="Q2096" s="11"/>
    </row>
    <row r="2097" spans="10:17">
      <c r="J2097" s="11"/>
      <c r="K2097" s="1533"/>
      <c r="L2097" s="11"/>
      <c r="M2097" s="11"/>
      <c r="N2097" s="11"/>
      <c r="O2097" s="11"/>
      <c r="P2097" s="11"/>
      <c r="Q2097" s="11"/>
    </row>
    <row r="2098" spans="10:17">
      <c r="J2098" s="11"/>
      <c r="K2098" s="1533"/>
      <c r="L2098" s="11"/>
      <c r="M2098" s="11"/>
      <c r="N2098" s="11"/>
      <c r="O2098" s="11"/>
      <c r="P2098" s="11"/>
      <c r="Q2098" s="11"/>
    </row>
    <row r="2099" spans="10:17">
      <c r="J2099" s="11"/>
      <c r="K2099" s="1533"/>
      <c r="L2099" s="11"/>
      <c r="M2099" s="11"/>
      <c r="N2099" s="11"/>
      <c r="O2099" s="11"/>
      <c r="P2099" s="11"/>
      <c r="Q2099" s="11"/>
    </row>
    <row r="2100" spans="10:17">
      <c r="J2100" s="11"/>
      <c r="K2100" s="1533"/>
      <c r="L2100" s="11"/>
      <c r="M2100" s="11"/>
      <c r="N2100" s="11"/>
      <c r="O2100" s="11"/>
      <c r="P2100" s="11"/>
      <c r="Q2100" s="11"/>
    </row>
    <row r="2101" spans="10:17">
      <c r="J2101" s="11"/>
      <c r="K2101" s="1533"/>
      <c r="L2101" s="11"/>
      <c r="M2101" s="11"/>
      <c r="N2101" s="11"/>
      <c r="O2101" s="11"/>
      <c r="P2101" s="11"/>
      <c r="Q2101" s="11"/>
    </row>
    <row r="2102" spans="10:17">
      <c r="J2102" s="11"/>
      <c r="K2102" s="1533"/>
      <c r="L2102" s="11"/>
      <c r="M2102" s="11"/>
      <c r="N2102" s="11"/>
      <c r="O2102" s="11"/>
      <c r="P2102" s="11"/>
      <c r="Q2102" s="11"/>
    </row>
    <row r="2103" spans="10:17">
      <c r="J2103" s="11"/>
      <c r="K2103" s="1533"/>
      <c r="L2103" s="11"/>
      <c r="M2103" s="11"/>
      <c r="N2103" s="11"/>
      <c r="O2103" s="11"/>
      <c r="P2103" s="11"/>
      <c r="Q2103" s="11"/>
    </row>
    <row r="2104" spans="10:17">
      <c r="J2104" s="11"/>
      <c r="K2104" s="1533"/>
      <c r="L2104" s="11"/>
      <c r="M2104" s="11"/>
      <c r="N2104" s="11"/>
      <c r="O2104" s="11"/>
      <c r="P2104" s="11"/>
      <c r="Q2104" s="11"/>
    </row>
    <row r="2105" spans="10:17">
      <c r="J2105" s="11"/>
      <c r="K2105" s="1533"/>
      <c r="L2105" s="11"/>
      <c r="M2105" s="11"/>
      <c r="N2105" s="11"/>
      <c r="O2105" s="11"/>
      <c r="P2105" s="11"/>
      <c r="Q2105" s="11"/>
    </row>
    <row r="2106" spans="10:17">
      <c r="J2106" s="11"/>
      <c r="K2106" s="1533"/>
      <c r="L2106" s="11"/>
      <c r="M2106" s="11"/>
      <c r="N2106" s="11"/>
      <c r="O2106" s="11"/>
      <c r="P2106" s="11"/>
      <c r="Q2106" s="11"/>
    </row>
    <row r="2107" spans="10:17">
      <c r="J2107" s="11"/>
      <c r="K2107" s="1533"/>
      <c r="L2107" s="11"/>
      <c r="M2107" s="11"/>
      <c r="N2107" s="11"/>
      <c r="O2107" s="11"/>
      <c r="P2107" s="11"/>
      <c r="Q2107" s="11"/>
    </row>
    <row r="2108" spans="10:17">
      <c r="J2108" s="11"/>
      <c r="K2108" s="1533"/>
      <c r="L2108" s="11"/>
      <c r="M2108" s="11"/>
      <c r="N2108" s="11"/>
      <c r="O2108" s="11"/>
      <c r="P2108" s="11"/>
      <c r="Q2108" s="11"/>
    </row>
    <row r="2109" spans="10:17">
      <c r="J2109" s="11"/>
      <c r="K2109" s="1533"/>
      <c r="L2109" s="11"/>
      <c r="M2109" s="11"/>
      <c r="N2109" s="11"/>
      <c r="O2109" s="11"/>
      <c r="P2109" s="11"/>
      <c r="Q2109" s="11"/>
    </row>
    <row r="2110" spans="10:17">
      <c r="J2110" s="11"/>
      <c r="K2110" s="1533"/>
      <c r="L2110" s="11"/>
      <c r="M2110" s="11"/>
      <c r="N2110" s="11"/>
      <c r="O2110" s="11"/>
      <c r="P2110" s="11"/>
      <c r="Q2110" s="11"/>
    </row>
    <row r="2111" spans="10:17">
      <c r="J2111" s="11"/>
      <c r="K2111" s="1533"/>
      <c r="L2111" s="11"/>
      <c r="M2111" s="11"/>
      <c r="N2111" s="11"/>
      <c r="O2111" s="11"/>
      <c r="P2111" s="11"/>
      <c r="Q2111" s="11"/>
    </row>
    <row r="2112" spans="10:17">
      <c r="J2112" s="11"/>
      <c r="K2112" s="1533"/>
      <c r="L2112" s="11"/>
      <c r="M2112" s="11"/>
      <c r="N2112" s="11"/>
      <c r="O2112" s="11"/>
      <c r="P2112" s="11"/>
      <c r="Q2112" s="11"/>
    </row>
    <row r="2113" spans="10:17">
      <c r="J2113" s="11"/>
      <c r="K2113" s="1533"/>
      <c r="L2113" s="11"/>
      <c r="M2113" s="11"/>
      <c r="N2113" s="11"/>
      <c r="O2113" s="11"/>
      <c r="P2113" s="11"/>
      <c r="Q2113" s="11"/>
    </row>
    <row r="2114" spans="10:17">
      <c r="J2114" s="11"/>
      <c r="K2114" s="1533"/>
      <c r="L2114" s="11"/>
      <c r="M2114" s="11"/>
      <c r="N2114" s="11"/>
      <c r="O2114" s="11"/>
      <c r="P2114" s="11"/>
      <c r="Q2114" s="11"/>
    </row>
    <row r="2115" spans="10:17">
      <c r="J2115" s="11"/>
      <c r="K2115" s="1533"/>
      <c r="L2115" s="11"/>
      <c r="M2115" s="11"/>
      <c r="N2115" s="11"/>
      <c r="O2115" s="11"/>
      <c r="P2115" s="11"/>
      <c r="Q2115" s="11"/>
    </row>
    <row r="2116" spans="10:17">
      <c r="J2116" s="11"/>
      <c r="K2116" s="1533"/>
      <c r="L2116" s="11"/>
      <c r="M2116" s="11"/>
      <c r="N2116" s="11"/>
      <c r="O2116" s="11"/>
      <c r="P2116" s="11"/>
      <c r="Q2116" s="11"/>
    </row>
    <row r="2117" spans="10:17">
      <c r="J2117" s="11"/>
      <c r="K2117" s="1533"/>
      <c r="L2117" s="11"/>
      <c r="M2117" s="11"/>
      <c r="N2117" s="11"/>
      <c r="O2117" s="11"/>
      <c r="P2117" s="11"/>
      <c r="Q2117" s="11"/>
    </row>
    <row r="2118" spans="10:17">
      <c r="J2118" s="11"/>
      <c r="K2118" s="1533"/>
      <c r="L2118" s="11"/>
      <c r="M2118" s="11"/>
      <c r="N2118" s="11"/>
      <c r="O2118" s="11"/>
      <c r="P2118" s="11"/>
      <c r="Q2118" s="11"/>
    </row>
    <row r="2119" spans="10:17">
      <c r="J2119" s="11"/>
      <c r="K2119" s="1533"/>
      <c r="L2119" s="11"/>
      <c r="M2119" s="11"/>
      <c r="N2119" s="11"/>
      <c r="O2119" s="11"/>
      <c r="P2119" s="11"/>
      <c r="Q2119" s="11"/>
    </row>
    <row r="2120" spans="10:17">
      <c r="J2120" s="11"/>
      <c r="K2120" s="1533"/>
      <c r="L2120" s="11"/>
      <c r="M2120" s="11"/>
      <c r="N2120" s="11"/>
      <c r="O2120" s="11"/>
      <c r="P2120" s="11"/>
      <c r="Q2120" s="11"/>
    </row>
    <row r="2121" spans="10:17">
      <c r="J2121" s="11"/>
      <c r="K2121" s="1533"/>
      <c r="L2121" s="11"/>
      <c r="M2121" s="11"/>
      <c r="N2121" s="11"/>
      <c r="O2121" s="11"/>
      <c r="P2121" s="11"/>
      <c r="Q2121" s="11"/>
    </row>
    <row r="2122" spans="10:17">
      <c r="J2122" s="11"/>
      <c r="K2122" s="1533"/>
      <c r="L2122" s="11"/>
      <c r="M2122" s="11"/>
      <c r="N2122" s="11"/>
      <c r="O2122" s="11"/>
      <c r="P2122" s="11"/>
      <c r="Q2122" s="11"/>
    </row>
    <row r="2123" spans="10:17">
      <c r="J2123" s="11"/>
      <c r="K2123" s="1533"/>
      <c r="L2123" s="11"/>
      <c r="M2123" s="11"/>
      <c r="N2123" s="11"/>
      <c r="O2123" s="11"/>
      <c r="P2123" s="11"/>
      <c r="Q2123" s="11"/>
    </row>
    <row r="2124" spans="10:17">
      <c r="J2124" s="11"/>
      <c r="K2124" s="1533"/>
      <c r="L2124" s="11"/>
      <c r="M2124" s="11"/>
      <c r="N2124" s="11"/>
      <c r="O2124" s="11"/>
      <c r="P2124" s="11"/>
      <c r="Q2124" s="11"/>
    </row>
    <row r="2125" spans="10:17">
      <c r="J2125" s="11"/>
      <c r="K2125" s="1533"/>
      <c r="L2125" s="11"/>
      <c r="M2125" s="11"/>
      <c r="N2125" s="11"/>
      <c r="O2125" s="11"/>
      <c r="P2125" s="11"/>
      <c r="Q2125" s="11"/>
    </row>
    <row r="2126" spans="10:17">
      <c r="J2126" s="11"/>
      <c r="K2126" s="1533"/>
      <c r="L2126" s="11"/>
      <c r="M2126" s="11"/>
      <c r="N2126" s="11"/>
      <c r="O2126" s="11"/>
      <c r="P2126" s="11"/>
      <c r="Q2126" s="11"/>
    </row>
    <row r="2127" spans="10:17">
      <c r="J2127" s="11"/>
      <c r="K2127" s="1533"/>
      <c r="L2127" s="11"/>
      <c r="M2127" s="11"/>
      <c r="N2127" s="11"/>
      <c r="O2127" s="11"/>
      <c r="P2127" s="11"/>
      <c r="Q2127" s="11"/>
    </row>
    <row r="2128" spans="10:17">
      <c r="J2128" s="11"/>
      <c r="K2128" s="1533"/>
      <c r="L2128" s="11"/>
      <c r="M2128" s="11"/>
      <c r="N2128" s="11"/>
      <c r="O2128" s="11"/>
      <c r="P2128" s="11"/>
      <c r="Q2128" s="11"/>
    </row>
    <row r="2129" spans="10:17">
      <c r="J2129" s="11"/>
      <c r="K2129" s="1533"/>
      <c r="L2129" s="11"/>
      <c r="M2129" s="11"/>
      <c r="N2129" s="11"/>
      <c r="O2129" s="11"/>
      <c r="P2129" s="11"/>
      <c r="Q2129" s="11"/>
    </row>
    <row r="2130" spans="10:17">
      <c r="J2130" s="11"/>
      <c r="K2130" s="1533"/>
      <c r="L2130" s="11"/>
      <c r="M2130" s="11"/>
      <c r="N2130" s="11"/>
      <c r="O2130" s="11"/>
      <c r="P2130" s="11"/>
      <c r="Q2130" s="11"/>
    </row>
    <row r="2131" spans="10:17">
      <c r="J2131" s="11"/>
      <c r="K2131" s="1533"/>
      <c r="L2131" s="11"/>
      <c r="M2131" s="11"/>
      <c r="N2131" s="11"/>
      <c r="O2131" s="11"/>
      <c r="P2131" s="11"/>
      <c r="Q2131" s="11"/>
    </row>
    <row r="2132" spans="10:17">
      <c r="J2132" s="11"/>
      <c r="K2132" s="1533"/>
      <c r="L2132" s="11"/>
      <c r="M2132" s="11"/>
      <c r="N2132" s="11"/>
      <c r="O2132" s="11"/>
      <c r="P2132" s="11"/>
      <c r="Q2132" s="11"/>
    </row>
    <row r="2133" spans="10:17">
      <c r="J2133" s="11"/>
      <c r="K2133" s="1533"/>
      <c r="L2133" s="11"/>
      <c r="M2133" s="11"/>
      <c r="N2133" s="11"/>
      <c r="O2133" s="11"/>
      <c r="P2133" s="11"/>
      <c r="Q2133" s="11"/>
    </row>
    <row r="2134" spans="10:17">
      <c r="J2134" s="11"/>
      <c r="K2134" s="1533"/>
      <c r="L2134" s="11"/>
      <c r="M2134" s="11"/>
      <c r="N2134" s="11"/>
      <c r="O2134" s="11"/>
      <c r="P2134" s="11"/>
      <c r="Q2134" s="11"/>
    </row>
    <row r="2135" spans="10:17">
      <c r="J2135" s="11"/>
      <c r="K2135" s="1533"/>
      <c r="L2135" s="11"/>
      <c r="M2135" s="11"/>
      <c r="N2135" s="11"/>
      <c r="O2135" s="11"/>
      <c r="P2135" s="11"/>
      <c r="Q2135" s="11"/>
    </row>
    <row r="2136" spans="10:17">
      <c r="J2136" s="11"/>
      <c r="K2136" s="1533"/>
      <c r="L2136" s="11"/>
      <c r="M2136" s="11"/>
      <c r="N2136" s="11"/>
      <c r="O2136" s="11"/>
      <c r="P2136" s="11"/>
      <c r="Q2136" s="11"/>
    </row>
    <row r="2137" spans="10:17">
      <c r="J2137" s="11"/>
      <c r="K2137" s="1533"/>
      <c r="L2137" s="11"/>
      <c r="M2137" s="11"/>
      <c r="N2137" s="11"/>
      <c r="O2137" s="11"/>
      <c r="P2137" s="11"/>
      <c r="Q2137" s="11"/>
    </row>
    <row r="2138" spans="10:17">
      <c r="J2138" s="11"/>
      <c r="K2138" s="1533"/>
      <c r="L2138" s="11"/>
      <c r="M2138" s="11"/>
      <c r="N2138" s="11"/>
      <c r="O2138" s="11"/>
      <c r="P2138" s="11"/>
      <c r="Q2138" s="11"/>
    </row>
    <row r="2139" spans="10:17">
      <c r="J2139" s="11"/>
      <c r="K2139" s="1533"/>
      <c r="L2139" s="11"/>
      <c r="M2139" s="11"/>
      <c r="N2139" s="11"/>
      <c r="O2139" s="11"/>
      <c r="P2139" s="11"/>
      <c r="Q2139" s="11"/>
    </row>
    <row r="2140" spans="10:17">
      <c r="J2140" s="11"/>
      <c r="K2140" s="1533"/>
      <c r="L2140" s="11"/>
      <c r="M2140" s="11"/>
      <c r="N2140" s="11"/>
      <c r="O2140" s="11"/>
      <c r="P2140" s="11"/>
      <c r="Q2140" s="11"/>
    </row>
    <row r="2141" spans="10:17">
      <c r="J2141" s="11"/>
      <c r="K2141" s="1533"/>
      <c r="L2141" s="11"/>
      <c r="M2141" s="11"/>
      <c r="N2141" s="11"/>
      <c r="O2141" s="11"/>
      <c r="P2141" s="11"/>
      <c r="Q2141" s="11"/>
    </row>
    <row r="2142" spans="10:17">
      <c r="J2142" s="11"/>
      <c r="K2142" s="1533"/>
      <c r="L2142" s="11"/>
      <c r="M2142" s="11"/>
      <c r="N2142" s="11"/>
      <c r="O2142" s="11"/>
      <c r="P2142" s="11"/>
      <c r="Q2142" s="11"/>
    </row>
    <row r="2143" spans="10:17">
      <c r="J2143" s="11"/>
      <c r="K2143" s="1533"/>
      <c r="L2143" s="11"/>
      <c r="M2143" s="11"/>
      <c r="N2143" s="11"/>
      <c r="O2143" s="11"/>
      <c r="P2143" s="11"/>
      <c r="Q2143" s="11"/>
    </row>
    <row r="2144" spans="10:17">
      <c r="J2144" s="11"/>
      <c r="K2144" s="1533"/>
      <c r="L2144" s="11"/>
      <c r="M2144" s="11"/>
      <c r="N2144" s="11"/>
      <c r="O2144" s="11"/>
      <c r="P2144" s="11"/>
      <c r="Q2144" s="11"/>
    </row>
    <row r="2145" spans="10:17">
      <c r="J2145" s="11"/>
      <c r="K2145" s="1533"/>
      <c r="L2145" s="11"/>
      <c r="M2145" s="11"/>
      <c r="N2145" s="11"/>
      <c r="O2145" s="11"/>
      <c r="P2145" s="11"/>
      <c r="Q2145" s="11"/>
    </row>
    <row r="2146" spans="10:17">
      <c r="J2146" s="11"/>
      <c r="K2146" s="1533"/>
      <c r="L2146" s="11"/>
      <c r="M2146" s="11"/>
      <c r="N2146" s="11"/>
      <c r="O2146" s="11"/>
      <c r="P2146" s="11"/>
      <c r="Q2146" s="11"/>
    </row>
    <row r="2147" spans="10:17">
      <c r="J2147" s="11"/>
      <c r="K2147" s="1533"/>
      <c r="L2147" s="11"/>
      <c r="M2147" s="11"/>
      <c r="N2147" s="11"/>
      <c r="O2147" s="11"/>
      <c r="P2147" s="11"/>
      <c r="Q2147" s="11"/>
    </row>
    <row r="2148" spans="10:17">
      <c r="J2148" s="11"/>
      <c r="K2148" s="1533"/>
      <c r="L2148" s="11"/>
      <c r="M2148" s="11"/>
      <c r="N2148" s="11"/>
      <c r="O2148" s="11"/>
      <c r="P2148" s="11"/>
      <c r="Q2148" s="11"/>
    </row>
    <row r="2149" spans="10:17">
      <c r="J2149" s="11"/>
      <c r="K2149" s="1533"/>
      <c r="L2149" s="11"/>
      <c r="M2149" s="11"/>
      <c r="N2149" s="11"/>
      <c r="O2149" s="11"/>
      <c r="P2149" s="11"/>
      <c r="Q2149" s="11"/>
    </row>
    <row r="2150" spans="10:17">
      <c r="J2150" s="11"/>
      <c r="K2150" s="1533"/>
      <c r="L2150" s="11"/>
      <c r="M2150" s="11"/>
      <c r="N2150" s="11"/>
      <c r="O2150" s="11"/>
      <c r="P2150" s="11"/>
      <c r="Q2150" s="11"/>
    </row>
    <row r="2151" spans="10:17">
      <c r="J2151" s="11"/>
      <c r="K2151" s="1533"/>
      <c r="L2151" s="11"/>
      <c r="M2151" s="11"/>
      <c r="N2151" s="11"/>
      <c r="O2151" s="11"/>
      <c r="P2151" s="11"/>
      <c r="Q2151" s="11"/>
    </row>
    <row r="2152" spans="10:17">
      <c r="J2152" s="11"/>
      <c r="K2152" s="1533"/>
      <c r="L2152" s="11"/>
      <c r="M2152" s="11"/>
      <c r="N2152" s="11"/>
      <c r="O2152" s="11"/>
      <c r="P2152" s="11"/>
      <c r="Q2152" s="11"/>
    </row>
    <row r="2153" spans="10:17">
      <c r="J2153" s="11"/>
      <c r="K2153" s="1533"/>
      <c r="L2153" s="11"/>
      <c r="M2153" s="11"/>
      <c r="N2153" s="11"/>
      <c r="O2153" s="11"/>
      <c r="P2153" s="11"/>
      <c r="Q2153" s="11"/>
    </row>
    <row r="2154" spans="10:17">
      <c r="J2154" s="11"/>
      <c r="K2154" s="1533"/>
      <c r="L2154" s="11"/>
      <c r="M2154" s="11"/>
      <c r="N2154" s="11"/>
      <c r="O2154" s="11"/>
      <c r="P2154" s="11"/>
      <c r="Q2154" s="11"/>
    </row>
    <row r="2155" spans="10:17">
      <c r="J2155" s="11"/>
      <c r="K2155" s="1533"/>
      <c r="L2155" s="11"/>
      <c r="M2155" s="11"/>
      <c r="N2155" s="11"/>
      <c r="O2155" s="11"/>
      <c r="P2155" s="11"/>
      <c r="Q2155" s="11"/>
    </row>
    <row r="2156" spans="10:17">
      <c r="J2156" s="11"/>
      <c r="K2156" s="1533"/>
      <c r="L2156" s="11"/>
      <c r="M2156" s="11"/>
      <c r="N2156" s="11"/>
      <c r="O2156" s="11"/>
      <c r="P2156" s="11"/>
      <c r="Q2156" s="11"/>
    </row>
    <row r="2157" spans="10:17">
      <c r="J2157" s="11"/>
      <c r="K2157" s="1533"/>
      <c r="L2157" s="11"/>
      <c r="M2157" s="11"/>
      <c r="N2157" s="11"/>
      <c r="O2157" s="11"/>
      <c r="P2157" s="11"/>
      <c r="Q2157" s="11"/>
    </row>
    <row r="2158" spans="10:17">
      <c r="J2158" s="11"/>
      <c r="K2158" s="1533"/>
      <c r="L2158" s="11"/>
      <c r="M2158" s="11"/>
      <c r="N2158" s="11"/>
      <c r="O2158" s="11"/>
      <c r="P2158" s="11"/>
      <c r="Q2158" s="11"/>
    </row>
    <row r="2159" spans="10:17">
      <c r="J2159" s="11"/>
      <c r="K2159" s="1533"/>
      <c r="L2159" s="11"/>
      <c r="M2159" s="11"/>
      <c r="N2159" s="11"/>
      <c r="O2159" s="11"/>
      <c r="P2159" s="11"/>
      <c r="Q2159" s="11"/>
    </row>
    <row r="2160" spans="10:17">
      <c r="J2160" s="11"/>
      <c r="K2160" s="1533"/>
      <c r="L2160" s="11"/>
      <c r="M2160" s="11"/>
      <c r="N2160" s="11"/>
      <c r="O2160" s="11"/>
      <c r="P2160" s="11"/>
      <c r="Q2160" s="11"/>
    </row>
    <row r="2161" spans="10:17">
      <c r="J2161" s="11"/>
      <c r="K2161" s="1533"/>
      <c r="L2161" s="11"/>
      <c r="M2161" s="11"/>
      <c r="N2161" s="11"/>
      <c r="O2161" s="11"/>
      <c r="P2161" s="11"/>
      <c r="Q2161" s="11"/>
    </row>
    <row r="2162" spans="10:17">
      <c r="J2162" s="11"/>
      <c r="K2162" s="1533"/>
      <c r="L2162" s="11"/>
      <c r="M2162" s="11"/>
      <c r="N2162" s="11"/>
      <c r="O2162" s="11"/>
      <c r="P2162" s="11"/>
      <c r="Q2162" s="11"/>
    </row>
    <row r="2163" spans="10:17">
      <c r="J2163" s="11"/>
      <c r="K2163" s="1533"/>
      <c r="L2163" s="11"/>
      <c r="M2163" s="11"/>
      <c r="N2163" s="11"/>
      <c r="O2163" s="11"/>
      <c r="P2163" s="11"/>
      <c r="Q2163" s="11"/>
    </row>
    <row r="2164" spans="10:17">
      <c r="J2164" s="11"/>
      <c r="K2164" s="1533"/>
      <c r="L2164" s="11"/>
      <c r="M2164" s="11"/>
      <c r="N2164" s="11"/>
      <c r="O2164" s="11"/>
      <c r="P2164" s="11"/>
      <c r="Q2164" s="11"/>
    </row>
    <row r="2165" spans="10:17">
      <c r="J2165" s="11"/>
      <c r="K2165" s="1533"/>
      <c r="L2165" s="11"/>
      <c r="M2165" s="11"/>
      <c r="N2165" s="11"/>
      <c r="O2165" s="11"/>
      <c r="P2165" s="11"/>
      <c r="Q2165" s="11"/>
    </row>
    <row r="2166" spans="10:17">
      <c r="J2166" s="11"/>
      <c r="K2166" s="1533"/>
      <c r="L2166" s="11"/>
      <c r="M2166" s="11"/>
      <c r="N2166" s="11"/>
      <c r="O2166" s="11"/>
      <c r="P2166" s="11"/>
      <c r="Q2166" s="11"/>
    </row>
    <row r="2167" spans="10:17">
      <c r="J2167" s="11"/>
      <c r="K2167" s="1533"/>
      <c r="L2167" s="11"/>
      <c r="M2167" s="11"/>
      <c r="N2167" s="11"/>
      <c r="O2167" s="11"/>
      <c r="P2167" s="11"/>
      <c r="Q2167" s="11"/>
    </row>
    <row r="2168" spans="10:17">
      <c r="J2168" s="11"/>
      <c r="K2168" s="1533"/>
      <c r="L2168" s="11"/>
      <c r="M2168" s="11"/>
      <c r="N2168" s="11"/>
      <c r="O2168" s="11"/>
      <c r="P2168" s="11"/>
      <c r="Q2168" s="11"/>
    </row>
    <row r="2169" spans="10:17">
      <c r="J2169" s="11"/>
      <c r="K2169" s="1533"/>
      <c r="L2169" s="11"/>
      <c r="M2169" s="11"/>
      <c r="N2169" s="11"/>
      <c r="O2169" s="11"/>
      <c r="P2169" s="11"/>
      <c r="Q2169" s="11"/>
    </row>
    <row r="2170" spans="10:17">
      <c r="J2170" s="11"/>
      <c r="K2170" s="1533"/>
      <c r="L2170" s="11"/>
      <c r="M2170" s="11"/>
      <c r="N2170" s="11"/>
      <c r="O2170" s="11"/>
      <c r="P2170" s="11"/>
      <c r="Q2170" s="11"/>
    </row>
    <row r="2171" spans="10:17">
      <c r="J2171" s="11"/>
      <c r="K2171" s="1533"/>
      <c r="L2171" s="11"/>
      <c r="M2171" s="11"/>
      <c r="N2171" s="11"/>
      <c r="O2171" s="11"/>
      <c r="P2171" s="11"/>
      <c r="Q2171" s="11"/>
    </row>
    <row r="2172" spans="10:17">
      <c r="J2172" s="11"/>
      <c r="K2172" s="1533"/>
      <c r="L2172" s="11"/>
      <c r="M2172" s="11"/>
      <c r="N2172" s="11"/>
      <c r="O2172" s="11"/>
      <c r="P2172" s="11"/>
      <c r="Q2172" s="11"/>
    </row>
    <row r="2173" spans="10:17">
      <c r="J2173" s="11"/>
      <c r="K2173" s="1533"/>
      <c r="L2173" s="11"/>
      <c r="M2173" s="11"/>
      <c r="N2173" s="11"/>
      <c r="O2173" s="11"/>
      <c r="P2173" s="11"/>
      <c r="Q2173" s="11"/>
    </row>
    <row r="2174" spans="10:17">
      <c r="J2174" s="11"/>
      <c r="K2174" s="1533"/>
      <c r="L2174" s="11"/>
      <c r="M2174" s="11"/>
      <c r="N2174" s="11"/>
      <c r="O2174" s="11"/>
      <c r="P2174" s="11"/>
      <c r="Q2174" s="11"/>
    </row>
    <row r="2175" spans="10:17">
      <c r="J2175" s="11"/>
      <c r="K2175" s="1533"/>
      <c r="L2175" s="11"/>
      <c r="M2175" s="11"/>
      <c r="N2175" s="11"/>
      <c r="O2175" s="11"/>
      <c r="P2175" s="11"/>
      <c r="Q2175" s="11"/>
    </row>
    <row r="2176" spans="10:17">
      <c r="J2176" s="11"/>
      <c r="K2176" s="1533"/>
      <c r="L2176" s="11"/>
      <c r="M2176" s="11"/>
      <c r="N2176" s="11"/>
      <c r="O2176" s="11"/>
      <c r="P2176" s="11"/>
      <c r="Q2176" s="11"/>
    </row>
    <row r="2177" spans="10:17">
      <c r="J2177" s="11"/>
      <c r="K2177" s="1533"/>
      <c r="L2177" s="11"/>
      <c r="M2177" s="11"/>
      <c r="N2177" s="11"/>
      <c r="O2177" s="11"/>
      <c r="P2177" s="11"/>
      <c r="Q2177" s="11"/>
    </row>
    <row r="2178" spans="10:17">
      <c r="J2178" s="11"/>
      <c r="K2178" s="1533"/>
      <c r="L2178" s="11"/>
      <c r="M2178" s="11"/>
      <c r="N2178" s="11"/>
      <c r="O2178" s="11"/>
      <c r="P2178" s="11"/>
      <c r="Q2178" s="11"/>
    </row>
    <row r="2179" spans="10:17">
      <c r="J2179" s="11"/>
      <c r="K2179" s="1533"/>
      <c r="L2179" s="11"/>
      <c r="M2179" s="11"/>
      <c r="N2179" s="11"/>
      <c r="O2179" s="11"/>
      <c r="P2179" s="11"/>
      <c r="Q2179" s="11"/>
    </row>
    <row r="2180" spans="10:17">
      <c r="J2180" s="11"/>
      <c r="K2180" s="1533"/>
      <c r="L2180" s="11"/>
      <c r="M2180" s="11"/>
      <c r="N2180" s="11"/>
      <c r="O2180" s="11"/>
      <c r="P2180" s="11"/>
      <c r="Q2180" s="11"/>
    </row>
    <row r="2181" spans="10:17">
      <c r="J2181" s="11"/>
      <c r="K2181" s="1533"/>
      <c r="L2181" s="11"/>
      <c r="M2181" s="11"/>
      <c r="N2181" s="11"/>
      <c r="O2181" s="11"/>
      <c r="P2181" s="11"/>
      <c r="Q2181" s="11"/>
    </row>
    <row r="2182" spans="10:17">
      <c r="J2182" s="11"/>
      <c r="K2182" s="1533"/>
      <c r="L2182" s="11"/>
      <c r="M2182" s="11"/>
      <c r="N2182" s="11"/>
      <c r="O2182" s="11"/>
      <c r="P2182" s="11"/>
      <c r="Q2182" s="11"/>
    </row>
    <row r="2183" spans="10:17">
      <c r="J2183" s="11"/>
      <c r="K2183" s="1533"/>
      <c r="L2183" s="11"/>
      <c r="M2183" s="11"/>
      <c r="N2183" s="11"/>
      <c r="O2183" s="11"/>
      <c r="P2183" s="11"/>
      <c r="Q2183" s="11"/>
    </row>
    <row r="2184" spans="10:17">
      <c r="J2184" s="11"/>
      <c r="K2184" s="1533"/>
      <c r="L2184" s="11"/>
      <c r="M2184" s="11"/>
      <c r="N2184" s="11"/>
      <c r="O2184" s="11"/>
      <c r="P2184" s="11"/>
      <c r="Q2184" s="11"/>
    </row>
    <row r="2185" spans="10:17">
      <c r="J2185" s="11"/>
      <c r="K2185" s="1533"/>
      <c r="L2185" s="11"/>
      <c r="M2185" s="11"/>
      <c r="N2185" s="11"/>
      <c r="O2185" s="11"/>
      <c r="P2185" s="11"/>
      <c r="Q2185" s="11"/>
    </row>
    <row r="2186" spans="10:17">
      <c r="J2186" s="11"/>
      <c r="K2186" s="1533"/>
      <c r="L2186" s="11"/>
      <c r="M2186" s="11"/>
      <c r="N2186" s="11"/>
      <c r="O2186" s="11"/>
      <c r="P2186" s="11"/>
      <c r="Q2186" s="11"/>
    </row>
    <row r="2187" spans="10:17">
      <c r="J2187" s="11"/>
      <c r="K2187" s="1533"/>
      <c r="L2187" s="11"/>
      <c r="M2187" s="11"/>
      <c r="N2187" s="11"/>
      <c r="O2187" s="11"/>
      <c r="P2187" s="11"/>
      <c r="Q2187" s="11"/>
    </row>
    <row r="2188" spans="10:17">
      <c r="J2188" s="11"/>
      <c r="K2188" s="1533"/>
      <c r="L2188" s="11"/>
      <c r="M2188" s="11"/>
      <c r="N2188" s="11"/>
      <c r="O2188" s="11"/>
      <c r="P2188" s="11"/>
      <c r="Q2188" s="11"/>
    </row>
    <row r="2189" spans="10:17">
      <c r="J2189" s="11"/>
      <c r="K2189" s="1533"/>
      <c r="L2189" s="11"/>
      <c r="M2189" s="11"/>
      <c r="N2189" s="11"/>
      <c r="O2189" s="11"/>
      <c r="P2189" s="11"/>
      <c r="Q2189" s="11"/>
    </row>
    <row r="2190" spans="10:17">
      <c r="J2190" s="11"/>
      <c r="K2190" s="1533"/>
      <c r="L2190" s="11"/>
      <c r="M2190" s="11"/>
      <c r="N2190" s="11"/>
      <c r="O2190" s="11"/>
      <c r="P2190" s="11"/>
      <c r="Q2190" s="11"/>
    </row>
    <row r="2191" spans="10:17">
      <c r="J2191" s="11"/>
      <c r="K2191" s="1533"/>
      <c r="L2191" s="11"/>
      <c r="M2191" s="11"/>
      <c r="N2191" s="11"/>
      <c r="O2191" s="11"/>
      <c r="P2191" s="11"/>
      <c r="Q2191" s="11"/>
    </row>
    <row r="2192" spans="10:17">
      <c r="J2192" s="11"/>
      <c r="K2192" s="1533"/>
      <c r="L2192" s="11"/>
      <c r="M2192" s="11"/>
      <c r="N2192" s="11"/>
      <c r="O2192" s="11"/>
      <c r="P2192" s="11"/>
      <c r="Q2192" s="11"/>
    </row>
    <row r="2193" spans="10:17">
      <c r="J2193" s="11"/>
      <c r="K2193" s="1533"/>
      <c r="L2193" s="11"/>
      <c r="M2193" s="11"/>
      <c r="N2193" s="11"/>
      <c r="O2193" s="11"/>
      <c r="P2193" s="11"/>
      <c r="Q2193" s="11"/>
    </row>
    <row r="2194" spans="10:17">
      <c r="J2194" s="11"/>
      <c r="K2194" s="1533"/>
      <c r="L2194" s="11"/>
      <c r="M2194" s="11"/>
      <c r="N2194" s="11"/>
      <c r="O2194" s="11"/>
      <c r="P2194" s="11"/>
      <c r="Q2194" s="11"/>
    </row>
    <row r="2195" spans="10:17">
      <c r="J2195" s="11"/>
      <c r="K2195" s="1533"/>
      <c r="L2195" s="11"/>
      <c r="M2195" s="11"/>
      <c r="N2195" s="11"/>
      <c r="O2195" s="11"/>
      <c r="P2195" s="11"/>
      <c r="Q2195" s="11"/>
    </row>
    <row r="2196" spans="10:17">
      <c r="J2196" s="11"/>
      <c r="K2196" s="1533"/>
      <c r="L2196" s="11"/>
      <c r="M2196" s="11"/>
      <c r="N2196" s="11"/>
      <c r="O2196" s="11"/>
      <c r="P2196" s="11"/>
      <c r="Q2196" s="11"/>
    </row>
    <row r="2197" spans="10:17">
      <c r="J2197" s="11"/>
      <c r="K2197" s="1533"/>
      <c r="L2197" s="11"/>
      <c r="M2197" s="11"/>
      <c r="N2197" s="11"/>
      <c r="O2197" s="11"/>
      <c r="P2197" s="11"/>
      <c r="Q2197" s="11"/>
    </row>
    <row r="2198" spans="10:17">
      <c r="J2198" s="11"/>
      <c r="K2198" s="1533"/>
      <c r="L2198" s="11"/>
      <c r="M2198" s="11"/>
      <c r="N2198" s="11"/>
      <c r="O2198" s="11"/>
      <c r="P2198" s="11"/>
      <c r="Q2198" s="11"/>
    </row>
    <row r="2199" spans="10:17">
      <c r="J2199" s="11"/>
      <c r="K2199" s="1533"/>
      <c r="L2199" s="11"/>
      <c r="M2199" s="11"/>
      <c r="N2199" s="11"/>
      <c r="O2199" s="11"/>
      <c r="P2199" s="11"/>
      <c r="Q2199" s="11"/>
    </row>
    <row r="2200" spans="10:17">
      <c r="J2200" s="11"/>
      <c r="K2200" s="1533"/>
      <c r="L2200" s="11"/>
      <c r="M2200" s="11"/>
      <c r="N2200" s="11"/>
      <c r="O2200" s="11"/>
      <c r="P2200" s="11"/>
      <c r="Q2200" s="11"/>
    </row>
    <row r="2201" spans="10:17">
      <c r="J2201" s="11"/>
      <c r="K2201" s="1533"/>
      <c r="L2201" s="11"/>
      <c r="M2201" s="11"/>
      <c r="N2201" s="11"/>
      <c r="O2201" s="11"/>
      <c r="P2201" s="11"/>
      <c r="Q2201" s="11"/>
    </row>
    <row r="2202" spans="10:17">
      <c r="J2202" s="11"/>
      <c r="K2202" s="1533"/>
      <c r="L2202" s="11"/>
      <c r="M2202" s="11"/>
      <c r="N2202" s="11"/>
      <c r="O2202" s="11"/>
      <c r="P2202" s="11"/>
      <c r="Q2202" s="11"/>
    </row>
    <row r="2203" spans="10:17">
      <c r="J2203" s="11"/>
      <c r="K2203" s="1533"/>
      <c r="L2203" s="11"/>
      <c r="M2203" s="11"/>
      <c r="N2203" s="11"/>
      <c r="O2203" s="11"/>
      <c r="P2203" s="11"/>
      <c r="Q2203" s="11"/>
    </row>
    <row r="2204" spans="10:17">
      <c r="J2204" s="11"/>
      <c r="K2204" s="1533"/>
      <c r="L2204" s="11"/>
      <c r="M2204" s="11"/>
      <c r="N2204" s="11"/>
      <c r="O2204" s="11"/>
      <c r="P2204" s="11"/>
      <c r="Q2204" s="11"/>
    </row>
    <row r="2205" spans="10:17">
      <c r="J2205" s="11"/>
      <c r="K2205" s="1533"/>
      <c r="L2205" s="11"/>
      <c r="M2205" s="11"/>
      <c r="N2205" s="11"/>
      <c r="O2205" s="11"/>
      <c r="P2205" s="11"/>
      <c r="Q2205" s="11"/>
    </row>
    <row r="2206" spans="10:17">
      <c r="J2206" s="11"/>
      <c r="K2206" s="1533"/>
      <c r="L2206" s="11"/>
      <c r="M2206" s="11"/>
      <c r="N2206" s="11"/>
      <c r="O2206" s="11"/>
      <c r="P2206" s="11"/>
      <c r="Q2206" s="11"/>
    </row>
    <row r="2207" spans="10:17">
      <c r="J2207" s="11"/>
      <c r="K2207" s="1533"/>
      <c r="L2207" s="11"/>
      <c r="M2207" s="11"/>
      <c r="N2207" s="11"/>
      <c r="O2207" s="11"/>
      <c r="P2207" s="11"/>
      <c r="Q2207" s="11"/>
    </row>
    <row r="2208" spans="10:17">
      <c r="J2208" s="11"/>
      <c r="K2208" s="1533"/>
      <c r="L2208" s="11"/>
      <c r="M2208" s="11"/>
      <c r="N2208" s="11"/>
      <c r="O2208" s="11"/>
      <c r="P2208" s="11"/>
      <c r="Q2208" s="11"/>
    </row>
    <row r="2209" spans="10:17">
      <c r="J2209" s="11"/>
      <c r="K2209" s="1533"/>
      <c r="L2209" s="11"/>
      <c r="M2209" s="11"/>
      <c r="N2209" s="11"/>
      <c r="O2209" s="11"/>
      <c r="P2209" s="11"/>
      <c r="Q2209" s="11"/>
    </row>
    <row r="2210" spans="10:17">
      <c r="J2210" s="11"/>
      <c r="K2210" s="1533"/>
      <c r="L2210" s="11"/>
      <c r="M2210" s="11"/>
      <c r="N2210" s="11"/>
      <c r="O2210" s="11"/>
      <c r="P2210" s="11"/>
      <c r="Q2210" s="11"/>
    </row>
    <row r="2211" spans="10:17">
      <c r="J2211" s="11"/>
      <c r="K2211" s="1533"/>
      <c r="L2211" s="11"/>
      <c r="M2211" s="11"/>
      <c r="N2211" s="11"/>
      <c r="O2211" s="11"/>
      <c r="P2211" s="11"/>
      <c r="Q2211" s="11"/>
    </row>
    <row r="2212" spans="10:17">
      <c r="J2212" s="11"/>
      <c r="K2212" s="1533"/>
      <c r="L2212" s="11"/>
      <c r="M2212" s="11"/>
      <c r="N2212" s="11"/>
      <c r="O2212" s="11"/>
      <c r="P2212" s="11"/>
      <c r="Q2212" s="11"/>
    </row>
    <row r="2213" spans="10:17">
      <c r="J2213" s="11"/>
      <c r="K2213" s="1533"/>
      <c r="L2213" s="11"/>
      <c r="M2213" s="11"/>
      <c r="N2213" s="11"/>
      <c r="O2213" s="11"/>
      <c r="P2213" s="11"/>
      <c r="Q2213" s="11"/>
    </row>
    <row r="2214" spans="10:17">
      <c r="J2214" s="11"/>
      <c r="K2214" s="1533"/>
      <c r="L2214" s="11"/>
      <c r="M2214" s="11"/>
      <c r="N2214" s="11"/>
      <c r="O2214" s="11"/>
      <c r="P2214" s="11"/>
      <c r="Q2214" s="11"/>
    </row>
    <row r="2215" spans="10:17">
      <c r="J2215" s="11"/>
      <c r="K2215" s="1533"/>
      <c r="L2215" s="11"/>
      <c r="M2215" s="11"/>
      <c r="N2215" s="11"/>
      <c r="O2215" s="11"/>
      <c r="P2215" s="11"/>
      <c r="Q2215" s="11"/>
    </row>
    <row r="2216" spans="10:17">
      <c r="J2216" s="11"/>
      <c r="K2216" s="1533"/>
      <c r="L2216" s="11"/>
      <c r="M2216" s="11"/>
      <c r="N2216" s="11"/>
      <c r="O2216" s="11"/>
      <c r="P2216" s="11"/>
      <c r="Q2216" s="11"/>
    </row>
    <row r="2217" spans="10:17">
      <c r="J2217" s="11"/>
      <c r="K2217" s="1533"/>
      <c r="L2217" s="11"/>
      <c r="M2217" s="11"/>
      <c r="N2217" s="11"/>
      <c r="O2217" s="11"/>
      <c r="P2217" s="11"/>
      <c r="Q2217" s="11"/>
    </row>
    <row r="2218" spans="10:17">
      <c r="J2218" s="11"/>
      <c r="K2218" s="1533"/>
      <c r="L2218" s="11"/>
      <c r="M2218" s="11"/>
      <c r="N2218" s="11"/>
      <c r="O2218" s="11"/>
      <c r="P2218" s="11"/>
      <c r="Q2218" s="11"/>
    </row>
    <row r="2219" spans="10:17">
      <c r="J2219" s="11"/>
      <c r="K2219" s="1533"/>
      <c r="L2219" s="11"/>
      <c r="M2219" s="11"/>
      <c r="N2219" s="11"/>
      <c r="O2219" s="11"/>
      <c r="P2219" s="11"/>
      <c r="Q2219" s="11"/>
    </row>
    <row r="2220" spans="10:17">
      <c r="J2220" s="11"/>
      <c r="K2220" s="1533"/>
      <c r="L2220" s="11"/>
      <c r="M2220" s="11"/>
      <c r="N2220" s="11"/>
      <c r="O2220" s="11"/>
      <c r="P2220" s="11"/>
      <c r="Q2220" s="11"/>
    </row>
    <row r="2221" spans="10:17">
      <c r="J2221" s="11"/>
      <c r="K2221" s="1533"/>
      <c r="L2221" s="11"/>
      <c r="M2221" s="11"/>
      <c r="N2221" s="11"/>
      <c r="O2221" s="11"/>
      <c r="P2221" s="11"/>
      <c r="Q2221" s="11"/>
    </row>
    <row r="2222" spans="10:17">
      <c r="J2222" s="11"/>
      <c r="K2222" s="1533"/>
      <c r="L2222" s="11"/>
      <c r="M2222" s="11"/>
      <c r="N2222" s="11"/>
      <c r="O2222" s="11"/>
      <c r="P2222" s="11"/>
      <c r="Q2222" s="11"/>
    </row>
    <row r="2223" spans="10:17">
      <c r="J2223" s="11"/>
      <c r="K2223" s="1533"/>
      <c r="L2223" s="11"/>
      <c r="M2223" s="11"/>
      <c r="N2223" s="11"/>
      <c r="O2223" s="11"/>
      <c r="P2223" s="11"/>
      <c r="Q2223" s="11"/>
    </row>
    <row r="2224" spans="10:17">
      <c r="J2224" s="11"/>
      <c r="K2224" s="1533"/>
      <c r="L2224" s="11"/>
      <c r="M2224" s="11"/>
      <c r="N2224" s="11"/>
      <c r="O2224" s="11"/>
      <c r="P2224" s="11"/>
      <c r="Q2224" s="11"/>
    </row>
    <row r="2225" spans="10:17">
      <c r="J2225" s="11"/>
      <c r="K2225" s="1533"/>
      <c r="L2225" s="11"/>
      <c r="M2225" s="11"/>
      <c r="N2225" s="11"/>
      <c r="O2225" s="11"/>
      <c r="P2225" s="11"/>
      <c r="Q2225" s="11"/>
    </row>
    <row r="2226" spans="10:17">
      <c r="J2226" s="11"/>
      <c r="K2226" s="1533"/>
      <c r="L2226" s="11"/>
      <c r="M2226" s="11"/>
      <c r="N2226" s="11"/>
      <c r="O2226" s="11"/>
      <c r="P2226" s="11"/>
      <c r="Q2226" s="11"/>
    </row>
    <row r="2227" spans="10:17">
      <c r="J2227" s="11"/>
      <c r="K2227" s="1533"/>
      <c r="L2227" s="11"/>
      <c r="M2227" s="11"/>
      <c r="N2227" s="11"/>
      <c r="O2227" s="11"/>
      <c r="P2227" s="11"/>
      <c r="Q2227" s="11"/>
    </row>
    <row r="2228" spans="10:17">
      <c r="J2228" s="11"/>
      <c r="K2228" s="1533"/>
      <c r="L2228" s="11"/>
      <c r="M2228" s="11"/>
      <c r="N2228" s="11"/>
      <c r="O2228" s="11"/>
      <c r="P2228" s="11"/>
      <c r="Q2228" s="11"/>
    </row>
    <row r="2229" spans="10:17">
      <c r="J2229" s="11"/>
      <c r="K2229" s="1533"/>
      <c r="L2229" s="11"/>
      <c r="M2229" s="11"/>
      <c r="N2229" s="11"/>
      <c r="O2229" s="11"/>
      <c r="P2229" s="11"/>
      <c r="Q2229" s="11"/>
    </row>
    <row r="2230" spans="10:17">
      <c r="J2230" s="11"/>
      <c r="K2230" s="1533"/>
      <c r="L2230" s="11"/>
      <c r="M2230" s="11"/>
      <c r="N2230" s="11"/>
      <c r="O2230" s="11"/>
      <c r="P2230" s="11"/>
      <c r="Q2230" s="11"/>
    </row>
    <row r="2231" spans="10:17">
      <c r="J2231" s="11"/>
      <c r="K2231" s="1533"/>
      <c r="L2231" s="11"/>
      <c r="M2231" s="11"/>
      <c r="N2231" s="11"/>
      <c r="O2231" s="11"/>
      <c r="P2231" s="11"/>
      <c r="Q2231" s="11"/>
    </row>
    <row r="2232" spans="10:17">
      <c r="J2232" s="11"/>
      <c r="K2232" s="1533"/>
      <c r="L2232" s="11"/>
      <c r="M2232" s="11"/>
      <c r="N2232" s="11"/>
      <c r="O2232" s="11"/>
      <c r="P2232" s="11"/>
      <c r="Q2232" s="11"/>
    </row>
    <row r="2233" spans="10:17">
      <c r="J2233" s="11"/>
      <c r="K2233" s="1533"/>
      <c r="L2233" s="11"/>
      <c r="M2233" s="11"/>
      <c r="N2233" s="11"/>
      <c r="O2233" s="11"/>
      <c r="P2233" s="11"/>
      <c r="Q2233" s="11"/>
    </row>
    <row r="2234" spans="10:17">
      <c r="J2234" s="11"/>
      <c r="K2234" s="1533"/>
      <c r="L2234" s="11"/>
      <c r="M2234" s="11"/>
      <c r="N2234" s="11"/>
      <c r="O2234" s="11"/>
      <c r="P2234" s="11"/>
      <c r="Q2234" s="11"/>
    </row>
    <row r="2235" spans="10:17">
      <c r="J2235" s="11"/>
      <c r="K2235" s="1533"/>
      <c r="L2235" s="11"/>
      <c r="M2235" s="11"/>
      <c r="N2235" s="11"/>
      <c r="O2235" s="11"/>
      <c r="P2235" s="11"/>
      <c r="Q2235" s="11"/>
    </row>
    <row r="2236" spans="10:17">
      <c r="J2236" s="11"/>
      <c r="K2236" s="1533"/>
      <c r="L2236" s="11"/>
      <c r="M2236" s="11"/>
      <c r="N2236" s="11"/>
      <c r="O2236" s="11"/>
      <c r="P2236" s="11"/>
      <c r="Q2236" s="11"/>
    </row>
    <row r="2237" spans="10:17">
      <c r="J2237" s="11"/>
      <c r="K2237" s="1533"/>
      <c r="L2237" s="11"/>
      <c r="M2237" s="11"/>
      <c r="N2237" s="11"/>
      <c r="O2237" s="11"/>
      <c r="P2237" s="11"/>
      <c r="Q2237" s="11"/>
    </row>
    <row r="2238" spans="10:17">
      <c r="J2238" s="11"/>
      <c r="K2238" s="1533"/>
      <c r="L2238" s="11"/>
      <c r="M2238" s="11"/>
      <c r="N2238" s="11"/>
      <c r="O2238" s="11"/>
      <c r="P2238" s="11"/>
      <c r="Q2238" s="11"/>
    </row>
    <row r="2239" spans="10:17">
      <c r="J2239" s="11"/>
      <c r="K2239" s="1533"/>
      <c r="L2239" s="11"/>
      <c r="M2239" s="11"/>
      <c r="N2239" s="11"/>
      <c r="O2239" s="11"/>
      <c r="P2239" s="11"/>
      <c r="Q2239" s="11"/>
    </row>
    <row r="2240" spans="10:17">
      <c r="J2240" s="11"/>
      <c r="K2240" s="1533"/>
      <c r="L2240" s="11"/>
      <c r="M2240" s="11"/>
      <c r="N2240" s="11"/>
      <c r="O2240" s="11"/>
      <c r="P2240" s="11"/>
      <c r="Q2240" s="11"/>
    </row>
    <row r="2241" spans="10:17">
      <c r="J2241" s="11"/>
      <c r="K2241" s="1533"/>
      <c r="L2241" s="11"/>
      <c r="M2241" s="11"/>
      <c r="N2241" s="11"/>
      <c r="O2241" s="11"/>
      <c r="P2241" s="11"/>
      <c r="Q2241" s="11"/>
    </row>
    <row r="2242" spans="10:17">
      <c r="J2242" s="11"/>
      <c r="K2242" s="1533"/>
      <c r="L2242" s="11"/>
      <c r="M2242" s="11"/>
      <c r="N2242" s="11"/>
      <c r="O2242" s="11"/>
      <c r="P2242" s="11"/>
      <c r="Q2242" s="11"/>
    </row>
    <row r="2243" spans="10:17">
      <c r="J2243" s="11"/>
      <c r="K2243" s="1533"/>
      <c r="L2243" s="11"/>
      <c r="M2243" s="11"/>
      <c r="N2243" s="11"/>
      <c r="O2243" s="11"/>
      <c r="P2243" s="11"/>
      <c r="Q2243" s="11"/>
    </row>
    <row r="2244" spans="10:17">
      <c r="J2244" s="11"/>
      <c r="K2244" s="1533"/>
      <c r="L2244" s="11"/>
      <c r="M2244" s="11"/>
      <c r="N2244" s="11"/>
      <c r="O2244" s="11"/>
      <c r="P2244" s="11"/>
      <c r="Q2244" s="11"/>
    </row>
    <row r="2245" spans="10:17">
      <c r="J2245" s="11"/>
      <c r="K2245" s="1533"/>
      <c r="L2245" s="11"/>
      <c r="M2245" s="11"/>
      <c r="N2245" s="11"/>
      <c r="O2245" s="11"/>
      <c r="P2245" s="11"/>
      <c r="Q2245" s="11"/>
    </row>
    <row r="2246" spans="10:17">
      <c r="J2246" s="11"/>
      <c r="K2246" s="1533"/>
      <c r="L2246" s="11"/>
      <c r="M2246" s="11"/>
      <c r="N2246" s="11"/>
      <c r="O2246" s="11"/>
      <c r="P2246" s="11"/>
      <c r="Q2246" s="11"/>
    </row>
    <row r="2247" spans="10:17">
      <c r="J2247" s="11"/>
      <c r="K2247" s="1533"/>
      <c r="L2247" s="11"/>
      <c r="M2247" s="11"/>
      <c r="N2247" s="11"/>
      <c r="O2247" s="11"/>
      <c r="P2247" s="11"/>
      <c r="Q2247" s="11"/>
    </row>
    <row r="2248" spans="10:17">
      <c r="J2248" s="11"/>
      <c r="K2248" s="1533"/>
      <c r="L2248" s="11"/>
      <c r="M2248" s="11"/>
      <c r="N2248" s="11"/>
      <c r="O2248" s="11"/>
      <c r="P2248" s="11"/>
      <c r="Q2248" s="11"/>
    </row>
    <row r="2249" spans="10:17">
      <c r="J2249" s="11"/>
      <c r="K2249" s="1533"/>
      <c r="L2249" s="11"/>
      <c r="M2249" s="11"/>
      <c r="N2249" s="11"/>
      <c r="O2249" s="11"/>
      <c r="P2249" s="11"/>
      <c r="Q2249" s="11"/>
    </row>
    <row r="2250" spans="10:17">
      <c r="J2250" s="11"/>
      <c r="K2250" s="1533"/>
      <c r="L2250" s="11"/>
      <c r="M2250" s="11"/>
      <c r="N2250" s="11"/>
      <c r="O2250" s="11"/>
      <c r="P2250" s="11"/>
      <c r="Q2250" s="11"/>
    </row>
    <row r="2251" spans="10:17">
      <c r="J2251" s="11"/>
      <c r="K2251" s="1533"/>
      <c r="L2251" s="11"/>
      <c r="M2251" s="11"/>
      <c r="N2251" s="11"/>
      <c r="O2251" s="11"/>
      <c r="P2251" s="11"/>
      <c r="Q2251" s="11"/>
    </row>
    <row r="2252" spans="10:17">
      <c r="J2252" s="11"/>
      <c r="K2252" s="1533"/>
      <c r="L2252" s="11"/>
      <c r="M2252" s="11"/>
      <c r="N2252" s="11"/>
      <c r="O2252" s="11"/>
      <c r="P2252" s="11"/>
      <c r="Q2252" s="11"/>
    </row>
    <row r="2253" spans="10:17">
      <c r="J2253" s="11"/>
      <c r="K2253" s="1533"/>
      <c r="L2253" s="11"/>
      <c r="M2253" s="11"/>
      <c r="N2253" s="11"/>
      <c r="O2253" s="11"/>
      <c r="P2253" s="11"/>
      <c r="Q2253" s="11"/>
    </row>
    <row r="2254" spans="10:17">
      <c r="J2254" s="11"/>
      <c r="K2254" s="1533"/>
      <c r="L2254" s="11"/>
      <c r="M2254" s="11"/>
      <c r="N2254" s="11"/>
      <c r="O2254" s="11"/>
      <c r="P2254" s="11"/>
      <c r="Q2254" s="11"/>
    </row>
    <row r="2255" spans="10:17">
      <c r="J2255" s="11"/>
      <c r="K2255" s="1533"/>
      <c r="L2255" s="11"/>
      <c r="M2255" s="11"/>
      <c r="N2255" s="11"/>
      <c r="O2255" s="11"/>
      <c r="P2255" s="11"/>
      <c r="Q2255" s="11"/>
    </row>
    <row r="2256" spans="10:17">
      <c r="J2256" s="11"/>
      <c r="K2256" s="1533"/>
      <c r="L2256" s="11"/>
      <c r="M2256" s="11"/>
      <c r="N2256" s="11"/>
      <c r="O2256" s="11"/>
      <c r="P2256" s="11"/>
      <c r="Q2256" s="11"/>
    </row>
    <row r="2257" spans="10:17">
      <c r="J2257" s="11"/>
      <c r="K2257" s="1533"/>
      <c r="L2257" s="11"/>
      <c r="M2257" s="11"/>
      <c r="N2257" s="11"/>
      <c r="O2257" s="11"/>
      <c r="P2257" s="11"/>
      <c r="Q2257" s="11"/>
    </row>
    <row r="2258" spans="10:17">
      <c r="J2258" s="11"/>
      <c r="K2258" s="1533"/>
      <c r="L2258" s="11"/>
      <c r="M2258" s="11"/>
      <c r="N2258" s="11"/>
      <c r="O2258" s="11"/>
      <c r="P2258" s="11"/>
      <c r="Q2258" s="11"/>
    </row>
    <row r="2259" spans="10:17">
      <c r="J2259" s="11"/>
      <c r="K2259" s="1533"/>
      <c r="L2259" s="11"/>
      <c r="M2259" s="11"/>
      <c r="N2259" s="11"/>
      <c r="O2259" s="11"/>
      <c r="P2259" s="11"/>
      <c r="Q2259" s="11"/>
    </row>
    <row r="2260" spans="10:17">
      <c r="J2260" s="11"/>
      <c r="K2260" s="1533"/>
      <c r="L2260" s="11"/>
      <c r="M2260" s="11"/>
      <c r="N2260" s="11"/>
      <c r="O2260" s="11"/>
      <c r="P2260" s="11"/>
      <c r="Q2260" s="11"/>
    </row>
    <row r="2261" spans="10:17">
      <c r="J2261" s="11"/>
      <c r="K2261" s="1533"/>
      <c r="L2261" s="11"/>
      <c r="M2261" s="11"/>
      <c r="N2261" s="11"/>
      <c r="O2261" s="11"/>
      <c r="P2261" s="11"/>
      <c r="Q2261" s="11"/>
    </row>
    <row r="2262" spans="10:17">
      <c r="J2262" s="11"/>
      <c r="K2262" s="1533"/>
      <c r="L2262" s="11"/>
      <c r="M2262" s="11"/>
      <c r="N2262" s="11"/>
      <c r="O2262" s="11"/>
      <c r="P2262" s="11"/>
      <c r="Q2262" s="11"/>
    </row>
    <row r="2263" spans="10:17">
      <c r="J2263" s="11"/>
      <c r="K2263" s="1533"/>
      <c r="L2263" s="11"/>
      <c r="M2263" s="11"/>
      <c r="N2263" s="11"/>
      <c r="O2263" s="11"/>
      <c r="P2263" s="11"/>
      <c r="Q2263" s="11"/>
    </row>
    <row r="2264" spans="10:17">
      <c r="J2264" s="11"/>
      <c r="K2264" s="1533"/>
      <c r="L2264" s="11"/>
      <c r="M2264" s="11"/>
      <c r="N2264" s="11"/>
      <c r="O2264" s="11"/>
      <c r="P2264" s="11"/>
      <c r="Q2264" s="11"/>
    </row>
    <row r="2265" spans="10:17">
      <c r="J2265" s="11"/>
      <c r="K2265" s="1533"/>
      <c r="L2265" s="11"/>
      <c r="M2265" s="11"/>
      <c r="N2265" s="11"/>
      <c r="O2265" s="11"/>
      <c r="P2265" s="11"/>
      <c r="Q2265" s="11"/>
    </row>
    <row r="2266" spans="10:17">
      <c r="J2266" s="11"/>
      <c r="K2266" s="1533"/>
      <c r="L2266" s="11"/>
      <c r="M2266" s="11"/>
      <c r="N2266" s="11"/>
      <c r="O2266" s="11"/>
      <c r="P2266" s="11"/>
      <c r="Q2266" s="11"/>
    </row>
    <row r="2267" spans="10:17">
      <c r="J2267" s="11"/>
      <c r="K2267" s="1533"/>
      <c r="L2267" s="11"/>
      <c r="M2267" s="11"/>
      <c r="N2267" s="11"/>
      <c r="O2267" s="11"/>
      <c r="P2267" s="11"/>
      <c r="Q2267" s="11"/>
    </row>
    <row r="2268" spans="10:17">
      <c r="J2268" s="11"/>
      <c r="K2268" s="1533"/>
      <c r="L2268" s="11"/>
      <c r="M2268" s="11"/>
      <c r="N2268" s="11"/>
      <c r="O2268" s="11"/>
      <c r="P2268" s="11"/>
      <c r="Q2268" s="11"/>
    </row>
    <row r="2269" spans="10:17">
      <c r="J2269" s="11"/>
      <c r="K2269" s="1533"/>
      <c r="L2269" s="11"/>
      <c r="M2269" s="11"/>
      <c r="N2269" s="11"/>
      <c r="O2269" s="11"/>
      <c r="P2269" s="11"/>
      <c r="Q2269" s="11"/>
    </row>
    <row r="2270" spans="10:17">
      <c r="J2270" s="11"/>
      <c r="K2270" s="1533"/>
      <c r="L2270" s="11"/>
      <c r="M2270" s="11"/>
      <c r="N2270" s="11"/>
      <c r="O2270" s="11"/>
      <c r="P2270" s="11"/>
      <c r="Q2270" s="11"/>
    </row>
    <row r="2271" spans="10:17">
      <c r="J2271" s="11"/>
      <c r="K2271" s="1533"/>
      <c r="L2271" s="11"/>
      <c r="M2271" s="11"/>
      <c r="N2271" s="11"/>
      <c r="O2271" s="11"/>
      <c r="P2271" s="11"/>
      <c r="Q2271" s="11"/>
    </row>
    <row r="2272" spans="10:17">
      <c r="J2272" s="11"/>
      <c r="K2272" s="1533"/>
      <c r="L2272" s="11"/>
      <c r="M2272" s="11"/>
      <c r="N2272" s="11"/>
      <c r="O2272" s="11"/>
      <c r="P2272" s="11"/>
      <c r="Q2272" s="11"/>
    </row>
    <row r="2273" spans="10:17">
      <c r="J2273" s="11"/>
      <c r="K2273" s="1533"/>
      <c r="L2273" s="11"/>
      <c r="M2273" s="11"/>
      <c r="N2273" s="11"/>
      <c r="O2273" s="11"/>
      <c r="P2273" s="11"/>
      <c r="Q2273" s="11"/>
    </row>
    <row r="2274" spans="10:17">
      <c r="J2274" s="11"/>
      <c r="K2274" s="1533"/>
      <c r="L2274" s="11"/>
      <c r="M2274" s="11"/>
      <c r="N2274" s="11"/>
      <c r="O2274" s="11"/>
      <c r="P2274" s="11"/>
      <c r="Q2274" s="11"/>
    </row>
    <row r="2275" spans="10:17">
      <c r="J2275" s="11"/>
      <c r="K2275" s="1533"/>
      <c r="L2275" s="11"/>
      <c r="M2275" s="11"/>
      <c r="N2275" s="11"/>
      <c r="O2275" s="11"/>
      <c r="P2275" s="11"/>
      <c r="Q2275" s="11"/>
    </row>
    <row r="2276" spans="10:17">
      <c r="J2276" s="11"/>
      <c r="K2276" s="1533"/>
      <c r="L2276" s="11"/>
      <c r="M2276" s="11"/>
      <c r="N2276" s="11"/>
      <c r="O2276" s="11"/>
      <c r="P2276" s="11"/>
      <c r="Q2276" s="11"/>
    </row>
    <row r="2277" spans="10:17">
      <c r="J2277" s="11"/>
      <c r="K2277" s="1533"/>
      <c r="L2277" s="11"/>
      <c r="M2277" s="11"/>
      <c r="N2277" s="11"/>
      <c r="O2277" s="11"/>
      <c r="P2277" s="11"/>
      <c r="Q2277" s="11"/>
    </row>
    <row r="2278" spans="10:17">
      <c r="J2278" s="11"/>
      <c r="K2278" s="1533"/>
      <c r="L2278" s="11"/>
      <c r="M2278" s="11"/>
      <c r="N2278" s="11"/>
      <c r="O2278" s="11"/>
      <c r="P2278" s="11"/>
      <c r="Q2278" s="11"/>
    </row>
    <row r="2279" spans="10:17">
      <c r="J2279" s="11"/>
      <c r="K2279" s="1533"/>
      <c r="L2279" s="11"/>
      <c r="M2279" s="11"/>
      <c r="N2279" s="11"/>
      <c r="O2279" s="11"/>
      <c r="P2279" s="11"/>
      <c r="Q2279" s="11"/>
    </row>
    <row r="2280" spans="10:17">
      <c r="J2280" s="11"/>
      <c r="K2280" s="1533"/>
      <c r="L2280" s="11"/>
      <c r="M2280" s="11"/>
      <c r="N2280" s="11"/>
      <c r="O2280" s="11"/>
      <c r="P2280" s="11"/>
      <c r="Q2280" s="11"/>
    </row>
    <row r="2281" spans="10:17">
      <c r="J2281" s="11"/>
      <c r="K2281" s="1533"/>
      <c r="L2281" s="11"/>
      <c r="M2281" s="11"/>
      <c r="N2281" s="11"/>
      <c r="O2281" s="11"/>
      <c r="P2281" s="11"/>
      <c r="Q2281" s="11"/>
    </row>
    <row r="2282" spans="10:17">
      <c r="J2282" s="11"/>
      <c r="K2282" s="1533"/>
      <c r="L2282" s="11"/>
      <c r="M2282" s="11"/>
      <c r="N2282" s="11"/>
      <c r="O2282" s="11"/>
      <c r="P2282" s="11"/>
      <c r="Q2282" s="11"/>
    </row>
    <row r="2283" spans="10:17">
      <c r="J2283" s="11"/>
      <c r="K2283" s="1533"/>
      <c r="L2283" s="11"/>
      <c r="M2283" s="11"/>
      <c r="N2283" s="11"/>
      <c r="O2283" s="11"/>
      <c r="P2283" s="11"/>
      <c r="Q2283" s="11"/>
    </row>
    <row r="2284" spans="10:17">
      <c r="J2284" s="11"/>
      <c r="K2284" s="1533"/>
      <c r="L2284" s="11"/>
      <c r="M2284" s="11"/>
      <c r="N2284" s="11"/>
      <c r="O2284" s="11"/>
      <c r="P2284" s="11"/>
      <c r="Q2284" s="11"/>
    </row>
    <row r="2285" spans="10:17">
      <c r="J2285" s="11"/>
      <c r="K2285" s="1533"/>
      <c r="L2285" s="11"/>
      <c r="M2285" s="11"/>
      <c r="N2285" s="11"/>
      <c r="O2285" s="11"/>
      <c r="P2285" s="11"/>
      <c r="Q2285" s="11"/>
    </row>
    <row r="2286" spans="10:17">
      <c r="J2286" s="11"/>
      <c r="K2286" s="1533"/>
      <c r="L2286" s="11"/>
      <c r="M2286" s="11"/>
      <c r="N2286" s="11"/>
      <c r="O2286" s="11"/>
      <c r="P2286" s="11"/>
      <c r="Q2286" s="11"/>
    </row>
    <row r="2287" spans="10:17">
      <c r="J2287" s="11"/>
      <c r="K2287" s="1533"/>
      <c r="L2287" s="11"/>
      <c r="M2287" s="11"/>
      <c r="N2287" s="11"/>
      <c r="O2287" s="11"/>
      <c r="P2287" s="11"/>
      <c r="Q2287" s="11"/>
    </row>
    <row r="2288" spans="10:17">
      <c r="J2288" s="11"/>
      <c r="K2288" s="1533"/>
      <c r="L2288" s="11"/>
      <c r="M2288" s="11"/>
      <c r="N2288" s="11"/>
      <c r="O2288" s="11"/>
      <c r="P2288" s="11"/>
      <c r="Q2288" s="11"/>
    </row>
    <row r="2289" spans="10:17">
      <c r="J2289" s="11"/>
      <c r="K2289" s="1533"/>
      <c r="L2289" s="11"/>
      <c r="M2289" s="11"/>
      <c r="N2289" s="11"/>
      <c r="O2289" s="11"/>
      <c r="P2289" s="11"/>
      <c r="Q2289" s="11"/>
    </row>
    <row r="2290" spans="10:17">
      <c r="J2290" s="11"/>
      <c r="K2290" s="1533"/>
      <c r="L2290" s="11"/>
      <c r="M2290" s="11"/>
      <c r="N2290" s="11"/>
      <c r="O2290" s="11"/>
      <c r="P2290" s="11"/>
      <c r="Q2290" s="11"/>
    </row>
    <row r="2291" spans="10:17">
      <c r="J2291" s="11"/>
      <c r="K2291" s="1533"/>
      <c r="L2291" s="11"/>
      <c r="M2291" s="11"/>
      <c r="N2291" s="11"/>
      <c r="O2291" s="11"/>
      <c r="P2291" s="11"/>
      <c r="Q2291" s="11"/>
    </row>
    <row r="2292" spans="10:17">
      <c r="J2292" s="11"/>
      <c r="K2292" s="1533"/>
      <c r="L2292" s="11"/>
      <c r="M2292" s="11"/>
      <c r="N2292" s="11"/>
      <c r="O2292" s="11"/>
      <c r="P2292" s="11"/>
      <c r="Q2292" s="11"/>
    </row>
    <row r="2293" spans="10:17">
      <c r="J2293" s="11"/>
      <c r="K2293" s="1533"/>
      <c r="L2293" s="11"/>
      <c r="M2293" s="11"/>
      <c r="N2293" s="11"/>
      <c r="O2293" s="11"/>
      <c r="P2293" s="11"/>
      <c r="Q2293" s="11"/>
    </row>
    <row r="2294" spans="10:17">
      <c r="J2294" s="11"/>
      <c r="K2294" s="1533"/>
      <c r="L2294" s="11"/>
      <c r="M2294" s="11"/>
      <c r="N2294" s="11"/>
      <c r="O2294" s="11"/>
      <c r="P2294" s="11"/>
      <c r="Q2294" s="11"/>
    </row>
    <row r="2295" spans="10:17">
      <c r="J2295" s="11"/>
      <c r="K2295" s="1533"/>
      <c r="L2295" s="11"/>
      <c r="M2295" s="11"/>
      <c r="N2295" s="11"/>
      <c r="O2295" s="11"/>
      <c r="P2295" s="11"/>
      <c r="Q2295" s="11"/>
    </row>
    <row r="2296" spans="10:17">
      <c r="J2296" s="11"/>
      <c r="K2296" s="1533"/>
      <c r="L2296" s="11"/>
      <c r="M2296" s="11"/>
      <c r="N2296" s="11"/>
      <c r="O2296" s="11"/>
      <c r="P2296" s="11"/>
      <c r="Q2296" s="11"/>
    </row>
    <row r="2297" spans="10:17">
      <c r="J2297" s="11"/>
      <c r="K2297" s="1533"/>
      <c r="L2297" s="11"/>
      <c r="M2297" s="11"/>
      <c r="N2297" s="11"/>
      <c r="O2297" s="11"/>
      <c r="P2297" s="11"/>
      <c r="Q2297" s="11"/>
    </row>
    <row r="2298" spans="10:17">
      <c r="J2298" s="11"/>
      <c r="K2298" s="1533"/>
      <c r="L2298" s="11"/>
      <c r="M2298" s="11"/>
      <c r="N2298" s="11"/>
      <c r="O2298" s="11"/>
      <c r="P2298" s="11"/>
      <c r="Q2298" s="11"/>
    </row>
    <row r="2299" spans="10:17">
      <c r="J2299" s="11"/>
      <c r="K2299" s="1533"/>
      <c r="L2299" s="11"/>
      <c r="M2299" s="11"/>
      <c r="N2299" s="11"/>
      <c r="O2299" s="11"/>
      <c r="P2299" s="11"/>
      <c r="Q2299" s="11"/>
    </row>
    <row r="2300" spans="10:17">
      <c r="J2300" s="11"/>
      <c r="K2300" s="1533"/>
      <c r="L2300" s="11"/>
      <c r="M2300" s="11"/>
      <c r="N2300" s="11"/>
      <c r="O2300" s="11"/>
      <c r="P2300" s="11"/>
      <c r="Q2300" s="11"/>
    </row>
    <row r="2301" spans="10:17">
      <c r="J2301" s="11"/>
      <c r="K2301" s="1533"/>
      <c r="L2301" s="11"/>
      <c r="M2301" s="11"/>
      <c r="N2301" s="11"/>
      <c r="O2301" s="11"/>
      <c r="P2301" s="11"/>
      <c r="Q2301" s="11"/>
    </row>
    <row r="2302" spans="10:17">
      <c r="J2302" s="11"/>
      <c r="K2302" s="1533"/>
      <c r="L2302" s="11"/>
      <c r="M2302" s="11"/>
      <c r="N2302" s="11"/>
      <c r="O2302" s="11"/>
      <c r="P2302" s="11"/>
      <c r="Q2302" s="11"/>
    </row>
    <row r="2303" spans="10:17">
      <c r="J2303" s="11"/>
      <c r="K2303" s="1533"/>
      <c r="L2303" s="11"/>
      <c r="M2303" s="11"/>
      <c r="N2303" s="11"/>
      <c r="O2303" s="11"/>
      <c r="P2303" s="11"/>
      <c r="Q2303" s="11"/>
    </row>
    <row r="2304" spans="10:17">
      <c r="J2304" s="11"/>
      <c r="K2304" s="1533"/>
      <c r="L2304" s="11"/>
      <c r="M2304" s="11"/>
      <c r="N2304" s="11"/>
      <c r="O2304" s="11"/>
      <c r="P2304" s="11"/>
      <c r="Q2304" s="11"/>
    </row>
    <row r="2305" spans="10:17">
      <c r="J2305" s="11"/>
      <c r="K2305" s="1533"/>
      <c r="L2305" s="11"/>
      <c r="M2305" s="11"/>
      <c r="N2305" s="11"/>
      <c r="O2305" s="11"/>
      <c r="P2305" s="11"/>
      <c r="Q2305" s="11"/>
    </row>
    <row r="2306" spans="10:17">
      <c r="J2306" s="11"/>
      <c r="K2306" s="1533"/>
      <c r="L2306" s="11"/>
      <c r="M2306" s="11"/>
      <c r="N2306" s="11"/>
      <c r="O2306" s="11"/>
      <c r="P2306" s="11"/>
      <c r="Q2306" s="11"/>
    </row>
    <row r="2307" spans="10:17">
      <c r="J2307" s="11"/>
      <c r="K2307" s="1533"/>
      <c r="L2307" s="11"/>
      <c r="M2307" s="11"/>
      <c r="N2307" s="11"/>
      <c r="O2307" s="11"/>
      <c r="P2307" s="11"/>
      <c r="Q2307" s="11"/>
    </row>
    <row r="2308" spans="10:17">
      <c r="J2308" s="11"/>
      <c r="K2308" s="1533"/>
      <c r="L2308" s="11"/>
      <c r="M2308" s="11"/>
      <c r="N2308" s="11"/>
      <c r="O2308" s="11"/>
      <c r="P2308" s="11"/>
      <c r="Q2308" s="11"/>
    </row>
    <row r="2309" spans="10:17">
      <c r="J2309" s="11"/>
      <c r="K2309" s="1533"/>
      <c r="L2309" s="11"/>
      <c r="M2309" s="11"/>
      <c r="N2309" s="11"/>
      <c r="O2309" s="11"/>
      <c r="P2309" s="11"/>
      <c r="Q2309" s="11"/>
    </row>
    <row r="2310" spans="10:17">
      <c r="J2310" s="11"/>
      <c r="K2310" s="1533"/>
      <c r="L2310" s="11"/>
      <c r="M2310" s="11"/>
      <c r="N2310" s="11"/>
      <c r="O2310" s="11"/>
      <c r="P2310" s="11"/>
      <c r="Q2310" s="11"/>
    </row>
    <row r="2311" spans="10:17">
      <c r="J2311" s="11"/>
      <c r="K2311" s="1533"/>
      <c r="L2311" s="11"/>
      <c r="M2311" s="11"/>
      <c r="N2311" s="11"/>
      <c r="O2311" s="11"/>
      <c r="P2311" s="11"/>
      <c r="Q2311" s="11"/>
    </row>
    <row r="2312" spans="10:17">
      <c r="J2312" s="11"/>
      <c r="K2312" s="1533"/>
      <c r="L2312" s="11"/>
      <c r="M2312" s="11"/>
      <c r="N2312" s="11"/>
      <c r="O2312" s="11"/>
      <c r="P2312" s="11"/>
      <c r="Q2312" s="11"/>
    </row>
    <row r="2313" spans="10:17">
      <c r="J2313" s="11"/>
      <c r="K2313" s="1533"/>
      <c r="L2313" s="11"/>
      <c r="M2313" s="11"/>
      <c r="N2313" s="11"/>
      <c r="O2313" s="11"/>
      <c r="P2313" s="11"/>
      <c r="Q2313" s="11"/>
    </row>
    <row r="2314" spans="10:17">
      <c r="J2314" s="11"/>
      <c r="K2314" s="1533"/>
      <c r="L2314" s="11"/>
      <c r="M2314" s="11"/>
      <c r="N2314" s="11"/>
      <c r="O2314" s="11"/>
      <c r="P2314" s="11"/>
      <c r="Q2314" s="11"/>
    </row>
    <row r="2315" spans="10:17">
      <c r="J2315" s="11"/>
      <c r="K2315" s="1533"/>
      <c r="L2315" s="11"/>
      <c r="M2315" s="11"/>
      <c r="N2315" s="11"/>
      <c r="O2315" s="11"/>
      <c r="P2315" s="11"/>
      <c r="Q2315" s="11"/>
    </row>
    <row r="2316" spans="10:17">
      <c r="J2316" s="11"/>
      <c r="K2316" s="1533"/>
      <c r="L2316" s="11"/>
      <c r="M2316" s="11"/>
      <c r="N2316" s="11"/>
      <c r="O2316" s="11"/>
      <c r="P2316" s="11"/>
      <c r="Q2316" s="11"/>
    </row>
    <row r="2317" spans="10:17">
      <c r="J2317" s="11"/>
      <c r="K2317" s="1533"/>
      <c r="L2317" s="11"/>
      <c r="M2317" s="11"/>
      <c r="N2317" s="11"/>
      <c r="O2317" s="11"/>
      <c r="P2317" s="11"/>
      <c r="Q2317" s="11"/>
    </row>
    <row r="2318" spans="10:17">
      <c r="J2318" s="11"/>
      <c r="K2318" s="1533"/>
      <c r="L2318" s="11"/>
      <c r="M2318" s="11"/>
      <c r="N2318" s="11"/>
      <c r="O2318" s="11"/>
      <c r="P2318" s="11"/>
      <c r="Q2318" s="11"/>
    </row>
    <row r="2319" spans="10:17">
      <c r="J2319" s="11"/>
      <c r="K2319" s="1533"/>
      <c r="L2319" s="11"/>
      <c r="M2319" s="11"/>
      <c r="N2319" s="11"/>
      <c r="O2319" s="11"/>
      <c r="P2319" s="11"/>
      <c r="Q2319" s="11"/>
    </row>
    <row r="2320" spans="10:17">
      <c r="J2320" s="11"/>
      <c r="K2320" s="1533"/>
      <c r="L2320" s="11"/>
      <c r="M2320" s="11"/>
      <c r="N2320" s="11"/>
      <c r="O2320" s="11"/>
      <c r="P2320" s="11"/>
      <c r="Q2320" s="11"/>
    </row>
    <row r="2321" spans="10:17">
      <c r="J2321" s="11"/>
      <c r="K2321" s="1533"/>
      <c r="L2321" s="11"/>
      <c r="M2321" s="11"/>
      <c r="N2321" s="11"/>
      <c r="O2321" s="11"/>
      <c r="P2321" s="11"/>
      <c r="Q2321" s="11"/>
    </row>
    <row r="2322" spans="10:17">
      <c r="J2322" s="11"/>
      <c r="K2322" s="1533"/>
      <c r="L2322" s="11"/>
      <c r="M2322" s="11"/>
      <c r="N2322" s="11"/>
      <c r="O2322" s="11"/>
      <c r="P2322" s="11"/>
      <c r="Q2322" s="11"/>
    </row>
    <row r="2323" spans="10:17">
      <c r="J2323" s="11"/>
      <c r="K2323" s="1533"/>
      <c r="L2323" s="11"/>
      <c r="M2323" s="11"/>
      <c r="N2323" s="11"/>
      <c r="O2323" s="11"/>
      <c r="P2323" s="11"/>
      <c r="Q2323" s="11"/>
    </row>
    <row r="2324" spans="10:17">
      <c r="J2324" s="11"/>
      <c r="K2324" s="1533"/>
      <c r="L2324" s="11"/>
      <c r="M2324" s="11"/>
      <c r="N2324" s="11"/>
      <c r="O2324" s="11"/>
      <c r="P2324" s="11"/>
      <c r="Q2324" s="11"/>
    </row>
    <row r="2325" spans="10:17">
      <c r="J2325" s="11"/>
      <c r="K2325" s="1533"/>
      <c r="L2325" s="11"/>
      <c r="M2325" s="11"/>
      <c r="N2325" s="11"/>
      <c r="O2325" s="11"/>
      <c r="P2325" s="11"/>
      <c r="Q2325" s="11"/>
    </row>
    <row r="2326" spans="10:17">
      <c r="J2326" s="11"/>
      <c r="K2326" s="1533"/>
      <c r="L2326" s="11"/>
      <c r="M2326" s="11"/>
      <c r="N2326" s="11"/>
      <c r="O2326" s="11"/>
      <c r="P2326" s="11"/>
      <c r="Q2326" s="11"/>
    </row>
    <row r="2327" spans="10:17">
      <c r="J2327" s="11"/>
      <c r="K2327" s="1533"/>
      <c r="L2327" s="11"/>
      <c r="M2327" s="11"/>
      <c r="N2327" s="11"/>
      <c r="O2327" s="11"/>
      <c r="P2327" s="11"/>
      <c r="Q2327" s="11"/>
    </row>
    <row r="2328" spans="10:17">
      <c r="J2328" s="11"/>
      <c r="K2328" s="1533"/>
      <c r="L2328" s="11"/>
      <c r="M2328" s="11"/>
      <c r="N2328" s="11"/>
      <c r="O2328" s="11"/>
      <c r="P2328" s="11"/>
      <c r="Q2328" s="11"/>
    </row>
    <row r="2329" spans="10:17">
      <c r="J2329" s="11"/>
      <c r="K2329" s="1533"/>
      <c r="L2329" s="11"/>
      <c r="M2329" s="11"/>
      <c r="N2329" s="11"/>
      <c r="O2329" s="11"/>
      <c r="P2329" s="11"/>
      <c r="Q2329" s="11"/>
    </row>
    <row r="2330" spans="10:17">
      <c r="J2330" s="11"/>
      <c r="K2330" s="1533"/>
      <c r="L2330" s="11"/>
      <c r="M2330" s="11"/>
      <c r="N2330" s="11"/>
      <c r="O2330" s="11"/>
      <c r="P2330" s="11"/>
      <c r="Q2330" s="11"/>
    </row>
    <row r="2331" spans="10:17">
      <c r="J2331" s="11"/>
      <c r="K2331" s="1533"/>
      <c r="L2331" s="11"/>
      <c r="M2331" s="11"/>
      <c r="N2331" s="11"/>
      <c r="O2331" s="11"/>
      <c r="P2331" s="11"/>
      <c r="Q2331" s="11"/>
    </row>
    <row r="2332" spans="10:17">
      <c r="J2332" s="11"/>
      <c r="K2332" s="1533"/>
      <c r="L2332" s="11"/>
      <c r="M2332" s="11"/>
      <c r="N2332" s="11"/>
      <c r="O2332" s="11"/>
      <c r="P2332" s="11"/>
      <c r="Q2332" s="11"/>
    </row>
    <row r="2333" spans="10:17">
      <c r="J2333" s="11"/>
      <c r="K2333" s="1533"/>
      <c r="L2333" s="11"/>
      <c r="M2333" s="11"/>
      <c r="N2333" s="11"/>
      <c r="O2333" s="11"/>
      <c r="P2333" s="11"/>
      <c r="Q2333" s="11"/>
    </row>
    <row r="2334" spans="10:17">
      <c r="J2334" s="11"/>
      <c r="K2334" s="1533"/>
      <c r="L2334" s="11"/>
      <c r="M2334" s="11"/>
      <c r="N2334" s="11"/>
      <c r="O2334" s="11"/>
      <c r="P2334" s="11"/>
      <c r="Q2334" s="11"/>
    </row>
    <row r="2335" spans="10:17">
      <c r="J2335" s="11"/>
      <c r="K2335" s="1533"/>
      <c r="L2335" s="11"/>
      <c r="M2335" s="11"/>
      <c r="N2335" s="11"/>
      <c r="O2335" s="11"/>
      <c r="P2335" s="11"/>
      <c r="Q2335" s="11"/>
    </row>
    <row r="2336" spans="10:17">
      <c r="J2336" s="11"/>
      <c r="K2336" s="1533"/>
      <c r="L2336" s="11"/>
      <c r="M2336" s="11"/>
      <c r="N2336" s="11"/>
      <c r="O2336" s="11"/>
      <c r="P2336" s="11"/>
      <c r="Q2336" s="11"/>
    </row>
    <row r="2337" spans="10:17">
      <c r="J2337" s="11"/>
      <c r="K2337" s="1533"/>
      <c r="L2337" s="11"/>
      <c r="M2337" s="11"/>
      <c r="N2337" s="11"/>
      <c r="O2337" s="11"/>
      <c r="P2337" s="11"/>
      <c r="Q2337" s="11"/>
    </row>
    <row r="2338" spans="10:17">
      <c r="J2338" s="11"/>
      <c r="K2338" s="1533"/>
      <c r="L2338" s="11"/>
      <c r="M2338" s="11"/>
      <c r="N2338" s="11"/>
      <c r="O2338" s="11"/>
      <c r="P2338" s="11"/>
      <c r="Q2338" s="11"/>
    </row>
    <row r="2339" spans="10:17">
      <c r="J2339" s="11"/>
      <c r="K2339" s="1533"/>
      <c r="L2339" s="11"/>
      <c r="M2339" s="11"/>
      <c r="N2339" s="11"/>
      <c r="O2339" s="11"/>
      <c r="P2339" s="11"/>
      <c r="Q2339" s="11"/>
    </row>
    <row r="2340" spans="10:17">
      <c r="J2340" s="11"/>
      <c r="K2340" s="1533"/>
      <c r="L2340" s="11"/>
      <c r="M2340" s="11"/>
      <c r="N2340" s="11"/>
      <c r="O2340" s="11"/>
      <c r="P2340" s="11"/>
      <c r="Q2340" s="11"/>
    </row>
    <row r="2341" spans="10:17">
      <c r="J2341" s="11"/>
      <c r="K2341" s="1533"/>
      <c r="L2341" s="11"/>
      <c r="M2341" s="11"/>
      <c r="N2341" s="11"/>
      <c r="O2341" s="11"/>
      <c r="P2341" s="11"/>
      <c r="Q2341" s="11"/>
    </row>
    <row r="2342" spans="10:17">
      <c r="J2342" s="11"/>
      <c r="K2342" s="1533"/>
      <c r="L2342" s="11"/>
      <c r="M2342" s="11"/>
      <c r="N2342" s="11"/>
      <c r="O2342" s="11"/>
      <c r="P2342" s="11"/>
      <c r="Q2342" s="11"/>
    </row>
    <row r="2343" spans="10:17">
      <c r="J2343" s="11"/>
      <c r="K2343" s="1533"/>
      <c r="L2343" s="11"/>
      <c r="M2343" s="11"/>
      <c r="N2343" s="11"/>
      <c r="O2343" s="11"/>
      <c r="P2343" s="11"/>
      <c r="Q2343" s="11"/>
    </row>
    <row r="2344" spans="10:17">
      <c r="J2344" s="11"/>
      <c r="K2344" s="1533"/>
      <c r="L2344" s="11"/>
      <c r="M2344" s="11"/>
      <c r="N2344" s="11"/>
      <c r="O2344" s="11"/>
      <c r="P2344" s="11"/>
      <c r="Q2344" s="11"/>
    </row>
    <row r="2345" spans="10:17">
      <c r="J2345" s="11"/>
      <c r="K2345" s="1533"/>
      <c r="L2345" s="11"/>
      <c r="M2345" s="11"/>
      <c r="N2345" s="11"/>
      <c r="O2345" s="11"/>
      <c r="P2345" s="11"/>
      <c r="Q2345" s="11"/>
    </row>
    <row r="2346" spans="10:17">
      <c r="J2346" s="11"/>
      <c r="K2346" s="1533"/>
      <c r="L2346" s="11"/>
      <c r="M2346" s="11"/>
      <c r="N2346" s="11"/>
      <c r="O2346" s="11"/>
      <c r="P2346" s="11"/>
      <c r="Q2346" s="11"/>
    </row>
    <row r="2347" spans="10:17">
      <c r="J2347" s="11"/>
      <c r="K2347" s="1533"/>
      <c r="L2347" s="11"/>
      <c r="M2347" s="11"/>
      <c r="N2347" s="11"/>
      <c r="O2347" s="11"/>
      <c r="P2347" s="11"/>
      <c r="Q2347" s="11"/>
    </row>
    <row r="2348" spans="10:17">
      <c r="J2348" s="11"/>
      <c r="K2348" s="1533"/>
      <c r="L2348" s="11"/>
      <c r="M2348" s="11"/>
      <c r="N2348" s="11"/>
      <c r="O2348" s="11"/>
      <c r="P2348" s="11"/>
      <c r="Q2348" s="11"/>
    </row>
    <row r="2349" spans="10:17">
      <c r="J2349" s="11"/>
      <c r="K2349" s="1533"/>
      <c r="L2349" s="11"/>
      <c r="M2349" s="11"/>
      <c r="N2349" s="11"/>
      <c r="O2349" s="11"/>
      <c r="P2349" s="11"/>
      <c r="Q2349" s="11"/>
    </row>
    <row r="2350" spans="10:17">
      <c r="J2350" s="11"/>
      <c r="K2350" s="1533"/>
      <c r="L2350" s="11"/>
      <c r="M2350" s="11"/>
      <c r="N2350" s="11"/>
      <c r="O2350" s="11"/>
      <c r="P2350" s="11"/>
      <c r="Q2350" s="11"/>
    </row>
    <row r="2351" spans="10:17">
      <c r="J2351" s="11"/>
      <c r="K2351" s="1533"/>
      <c r="L2351" s="11"/>
      <c r="M2351" s="11"/>
      <c r="N2351" s="11"/>
      <c r="O2351" s="11"/>
      <c r="P2351" s="11"/>
      <c r="Q2351" s="11"/>
    </row>
    <row r="2352" spans="10:17">
      <c r="J2352" s="11"/>
      <c r="K2352" s="1533"/>
      <c r="L2352" s="11"/>
      <c r="M2352" s="11"/>
      <c r="N2352" s="11"/>
      <c r="O2352" s="11"/>
      <c r="P2352" s="11"/>
      <c r="Q2352" s="11"/>
    </row>
    <row r="2353" spans="10:17">
      <c r="J2353" s="11"/>
      <c r="K2353" s="1533"/>
      <c r="L2353" s="11"/>
      <c r="M2353" s="11"/>
      <c r="N2353" s="11"/>
      <c r="O2353" s="11"/>
      <c r="P2353" s="11"/>
      <c r="Q2353" s="11"/>
    </row>
    <row r="2354" spans="10:17">
      <c r="J2354" s="11"/>
      <c r="K2354" s="1533"/>
      <c r="L2354" s="11"/>
      <c r="M2354" s="11"/>
      <c r="N2354" s="11"/>
      <c r="O2354" s="11"/>
      <c r="P2354" s="11"/>
      <c r="Q2354" s="11"/>
    </row>
    <row r="2355" spans="10:17">
      <c r="J2355" s="11"/>
      <c r="K2355" s="1533"/>
      <c r="L2355" s="11"/>
      <c r="M2355" s="11"/>
      <c r="N2355" s="11"/>
      <c r="O2355" s="11"/>
      <c r="P2355" s="11"/>
      <c r="Q2355" s="11"/>
    </row>
    <row r="2356" spans="10:17">
      <c r="J2356" s="11"/>
      <c r="K2356" s="1533"/>
      <c r="L2356" s="11"/>
      <c r="M2356" s="11"/>
      <c r="N2356" s="11"/>
      <c r="O2356" s="11"/>
      <c r="P2356" s="11"/>
      <c r="Q2356" s="11"/>
    </row>
    <row r="2357" spans="10:17">
      <c r="J2357" s="11"/>
      <c r="K2357" s="1533"/>
      <c r="L2357" s="11"/>
      <c r="M2357" s="11"/>
      <c r="N2357" s="11"/>
      <c r="O2357" s="11"/>
      <c r="P2357" s="11"/>
      <c r="Q2357" s="11"/>
    </row>
    <row r="2358" spans="10:17">
      <c r="J2358" s="11"/>
      <c r="K2358" s="1533"/>
      <c r="L2358" s="11"/>
      <c r="M2358" s="11"/>
      <c r="N2358" s="11"/>
      <c r="O2358" s="11"/>
      <c r="P2358" s="11"/>
      <c r="Q2358" s="11"/>
    </row>
    <row r="2359" spans="10:17">
      <c r="J2359" s="11"/>
      <c r="K2359" s="1533"/>
      <c r="L2359" s="11"/>
      <c r="M2359" s="11"/>
      <c r="N2359" s="11"/>
      <c r="O2359" s="11"/>
      <c r="P2359" s="11"/>
      <c r="Q2359" s="11"/>
    </row>
    <row r="2360" spans="10:17">
      <c r="J2360" s="11"/>
      <c r="K2360" s="1533"/>
      <c r="L2360" s="11"/>
      <c r="M2360" s="11"/>
      <c r="N2360" s="11"/>
      <c r="O2360" s="11"/>
      <c r="P2360" s="11"/>
      <c r="Q2360" s="11"/>
    </row>
    <row r="2361" spans="10:17">
      <c r="J2361" s="11"/>
      <c r="K2361" s="1533"/>
      <c r="L2361" s="11"/>
      <c r="M2361" s="11"/>
      <c r="N2361" s="11"/>
      <c r="O2361" s="11"/>
      <c r="P2361" s="11"/>
      <c r="Q2361" s="11"/>
    </row>
    <row r="2362" spans="10:17">
      <c r="J2362" s="11"/>
      <c r="K2362" s="1533"/>
      <c r="L2362" s="11"/>
      <c r="M2362" s="11"/>
      <c r="N2362" s="11"/>
      <c r="O2362" s="11"/>
      <c r="P2362" s="11"/>
      <c r="Q2362" s="11"/>
    </row>
    <row r="2363" spans="10:17">
      <c r="J2363" s="11"/>
      <c r="K2363" s="1533"/>
      <c r="L2363" s="11"/>
      <c r="M2363" s="11"/>
      <c r="N2363" s="11"/>
      <c r="O2363" s="11"/>
      <c r="P2363" s="11"/>
      <c r="Q2363" s="11"/>
    </row>
    <row r="2364" spans="10:17">
      <c r="J2364" s="11"/>
      <c r="K2364" s="1533"/>
      <c r="L2364" s="11"/>
      <c r="M2364" s="11"/>
      <c r="N2364" s="11"/>
      <c r="O2364" s="11"/>
      <c r="P2364" s="11"/>
      <c r="Q2364" s="11"/>
    </row>
    <row r="2365" spans="10:17">
      <c r="J2365" s="11"/>
      <c r="K2365" s="1533"/>
      <c r="L2365" s="11"/>
      <c r="M2365" s="11"/>
      <c r="N2365" s="11"/>
      <c r="O2365" s="11"/>
      <c r="P2365" s="11"/>
      <c r="Q2365" s="11"/>
    </row>
    <row r="2366" spans="10:17">
      <c r="J2366" s="11"/>
      <c r="K2366" s="1533"/>
      <c r="L2366" s="11"/>
      <c r="M2366" s="11"/>
      <c r="N2366" s="11"/>
      <c r="O2366" s="11"/>
      <c r="P2366" s="11"/>
      <c r="Q2366" s="11"/>
    </row>
    <row r="2367" spans="10:17">
      <c r="J2367" s="11"/>
      <c r="K2367" s="1533"/>
      <c r="L2367" s="11"/>
      <c r="M2367" s="11"/>
      <c r="N2367" s="11"/>
      <c r="O2367" s="11"/>
      <c r="P2367" s="11"/>
      <c r="Q2367" s="11"/>
    </row>
    <row r="2368" spans="10:17">
      <c r="J2368" s="11"/>
      <c r="K2368" s="1533"/>
      <c r="L2368" s="11"/>
      <c r="M2368" s="11"/>
      <c r="N2368" s="11"/>
      <c r="O2368" s="11"/>
      <c r="P2368" s="11"/>
      <c r="Q2368" s="11"/>
    </row>
    <row r="2369" spans="10:17">
      <c r="J2369" s="11"/>
      <c r="K2369" s="1533"/>
      <c r="L2369" s="11"/>
      <c r="M2369" s="11"/>
      <c r="N2369" s="11"/>
      <c r="O2369" s="11"/>
      <c r="P2369" s="11"/>
      <c r="Q2369" s="11"/>
    </row>
    <row r="2370" spans="10:17">
      <c r="J2370" s="11"/>
      <c r="K2370" s="1533"/>
      <c r="L2370" s="11"/>
      <c r="M2370" s="11"/>
      <c r="N2370" s="11"/>
      <c r="O2370" s="11"/>
      <c r="P2370" s="11"/>
      <c r="Q2370" s="11"/>
    </row>
    <row r="2371" spans="10:17">
      <c r="J2371" s="11"/>
      <c r="K2371" s="1533"/>
      <c r="L2371" s="11"/>
      <c r="M2371" s="11"/>
      <c r="N2371" s="11"/>
      <c r="O2371" s="11"/>
      <c r="P2371" s="11"/>
      <c r="Q2371" s="11"/>
    </row>
    <row r="2372" spans="10:17">
      <c r="J2372" s="11"/>
      <c r="K2372" s="1533"/>
      <c r="L2372" s="11"/>
      <c r="M2372" s="11"/>
      <c r="N2372" s="11"/>
      <c r="O2372" s="11"/>
      <c r="P2372" s="11"/>
      <c r="Q2372" s="11"/>
    </row>
    <row r="2373" spans="10:17">
      <c r="J2373" s="11"/>
      <c r="K2373" s="1533"/>
      <c r="L2373" s="11"/>
      <c r="M2373" s="11"/>
      <c r="N2373" s="11"/>
      <c r="O2373" s="11"/>
      <c r="P2373" s="11"/>
      <c r="Q2373" s="11"/>
    </row>
    <row r="2374" spans="10:17">
      <c r="J2374" s="11"/>
      <c r="K2374" s="1533"/>
      <c r="L2374" s="11"/>
      <c r="M2374" s="11"/>
      <c r="N2374" s="11"/>
      <c r="O2374" s="11"/>
      <c r="P2374" s="11"/>
      <c r="Q2374" s="11"/>
    </row>
    <row r="2375" spans="10:17">
      <c r="J2375" s="11"/>
      <c r="K2375" s="1533"/>
      <c r="L2375" s="11"/>
      <c r="M2375" s="11"/>
      <c r="N2375" s="11"/>
      <c r="O2375" s="11"/>
      <c r="P2375" s="11"/>
      <c r="Q2375" s="11"/>
    </row>
    <row r="2376" spans="10:17">
      <c r="J2376" s="11"/>
      <c r="K2376" s="1533"/>
      <c r="L2376" s="11"/>
      <c r="M2376" s="11"/>
      <c r="N2376" s="11"/>
      <c r="O2376" s="11"/>
      <c r="P2376" s="11"/>
      <c r="Q2376" s="11"/>
    </row>
    <row r="2377" spans="10:17">
      <c r="J2377" s="11"/>
      <c r="K2377" s="1533"/>
      <c r="L2377" s="11"/>
      <c r="M2377" s="11"/>
      <c r="N2377" s="11"/>
      <c r="O2377" s="11"/>
      <c r="P2377" s="11"/>
      <c r="Q2377" s="11"/>
    </row>
    <row r="2378" spans="10:17">
      <c r="J2378" s="11"/>
      <c r="K2378" s="1533"/>
      <c r="L2378" s="11"/>
      <c r="M2378" s="11"/>
      <c r="N2378" s="11"/>
      <c r="O2378" s="11"/>
      <c r="P2378" s="11"/>
      <c r="Q2378" s="11"/>
    </row>
    <row r="2379" spans="10:17">
      <c r="J2379" s="11"/>
      <c r="K2379" s="1533"/>
      <c r="L2379" s="11"/>
      <c r="M2379" s="11"/>
      <c r="N2379" s="11"/>
      <c r="O2379" s="11"/>
      <c r="P2379" s="11"/>
      <c r="Q2379" s="11"/>
    </row>
    <row r="2380" spans="10:17">
      <c r="J2380" s="11"/>
      <c r="K2380" s="1533"/>
      <c r="L2380" s="11"/>
      <c r="M2380" s="11"/>
      <c r="N2380" s="11"/>
      <c r="O2380" s="11"/>
      <c r="P2380" s="11"/>
      <c r="Q2380" s="11"/>
    </row>
    <row r="2381" spans="10:17">
      <c r="J2381" s="11"/>
      <c r="K2381" s="1533"/>
      <c r="L2381" s="11"/>
      <c r="M2381" s="11"/>
      <c r="N2381" s="11"/>
      <c r="O2381" s="11"/>
      <c r="P2381" s="11"/>
      <c r="Q2381" s="11"/>
    </row>
    <row r="2382" spans="10:17">
      <c r="J2382" s="11"/>
      <c r="K2382" s="1533"/>
      <c r="L2382" s="11"/>
      <c r="M2382" s="11"/>
      <c r="N2382" s="11"/>
      <c r="O2382" s="11"/>
      <c r="P2382" s="11"/>
      <c r="Q2382" s="11"/>
    </row>
    <row r="2383" spans="10:17">
      <c r="J2383" s="11"/>
      <c r="K2383" s="1533"/>
      <c r="L2383" s="11"/>
      <c r="M2383" s="11"/>
      <c r="N2383" s="11"/>
      <c r="O2383" s="11"/>
      <c r="P2383" s="11"/>
      <c r="Q2383" s="11"/>
    </row>
    <row r="2384" spans="10:17">
      <c r="J2384" s="11"/>
      <c r="K2384" s="1533"/>
      <c r="L2384" s="11"/>
      <c r="M2384" s="11"/>
      <c r="N2384" s="11"/>
      <c r="O2384" s="11"/>
      <c r="P2384" s="11"/>
      <c r="Q2384" s="11"/>
    </row>
    <row r="2385" spans="10:17">
      <c r="J2385" s="11"/>
      <c r="K2385" s="1533"/>
      <c r="L2385" s="11"/>
      <c r="M2385" s="11"/>
      <c r="N2385" s="11"/>
      <c r="O2385" s="11"/>
      <c r="P2385" s="11"/>
      <c r="Q2385" s="11"/>
    </row>
    <row r="2386" spans="10:17">
      <c r="J2386" s="11"/>
      <c r="K2386" s="1533"/>
      <c r="L2386" s="11"/>
      <c r="M2386" s="11"/>
      <c r="N2386" s="11"/>
      <c r="O2386" s="11"/>
      <c r="P2386" s="11"/>
      <c r="Q2386" s="11"/>
    </row>
    <row r="2387" spans="10:17">
      <c r="J2387" s="11"/>
      <c r="K2387" s="1533"/>
      <c r="L2387" s="11"/>
      <c r="M2387" s="11"/>
      <c r="N2387" s="11"/>
      <c r="O2387" s="11"/>
      <c r="P2387" s="11"/>
      <c r="Q2387" s="11"/>
    </row>
    <row r="2388" spans="10:17">
      <c r="J2388" s="11"/>
      <c r="K2388" s="1533"/>
      <c r="L2388" s="11"/>
      <c r="M2388" s="11"/>
      <c r="N2388" s="11"/>
      <c r="O2388" s="11"/>
      <c r="P2388" s="11"/>
      <c r="Q2388" s="11"/>
    </row>
    <row r="2389" spans="10:17">
      <c r="J2389" s="11"/>
      <c r="K2389" s="1533"/>
      <c r="L2389" s="11"/>
      <c r="M2389" s="11"/>
      <c r="N2389" s="11"/>
      <c r="O2389" s="11"/>
      <c r="P2389" s="11"/>
      <c r="Q2389" s="11"/>
    </row>
    <row r="2390" spans="10:17">
      <c r="J2390" s="11"/>
      <c r="K2390" s="1533"/>
      <c r="L2390" s="11"/>
      <c r="M2390" s="11"/>
      <c r="N2390" s="11"/>
      <c r="O2390" s="11"/>
      <c r="P2390" s="11"/>
      <c r="Q2390" s="11"/>
    </row>
    <row r="2391" spans="10:17">
      <c r="J2391" s="11"/>
      <c r="K2391" s="1533"/>
      <c r="L2391" s="11"/>
      <c r="M2391" s="11"/>
      <c r="N2391" s="11"/>
      <c r="O2391" s="11"/>
      <c r="P2391" s="11"/>
      <c r="Q2391" s="11"/>
    </row>
    <row r="2392" spans="10:17">
      <c r="J2392" s="11"/>
      <c r="K2392" s="1533"/>
      <c r="L2392" s="11"/>
      <c r="M2392" s="11"/>
      <c r="N2392" s="11"/>
      <c r="O2392" s="11"/>
      <c r="P2392" s="11"/>
      <c r="Q2392" s="11"/>
    </row>
    <row r="2393" spans="10:17">
      <c r="J2393" s="11"/>
      <c r="K2393" s="1533"/>
      <c r="L2393" s="11"/>
      <c r="M2393" s="11"/>
      <c r="N2393" s="11"/>
      <c r="O2393" s="11"/>
      <c r="P2393" s="11"/>
      <c r="Q2393" s="11"/>
    </row>
    <row r="2394" spans="10:17">
      <c r="J2394" s="11"/>
      <c r="K2394" s="1533"/>
      <c r="L2394" s="11"/>
      <c r="M2394" s="11"/>
      <c r="N2394" s="11"/>
      <c r="O2394" s="11"/>
      <c r="P2394" s="11"/>
      <c r="Q2394" s="11"/>
    </row>
    <row r="2395" spans="10:17">
      <c r="J2395" s="11"/>
      <c r="K2395" s="1533"/>
      <c r="L2395" s="11"/>
      <c r="M2395" s="11"/>
      <c r="N2395" s="11"/>
      <c r="O2395" s="11"/>
      <c r="P2395" s="11"/>
      <c r="Q2395" s="11"/>
    </row>
    <row r="2396" spans="10:17">
      <c r="J2396" s="11"/>
      <c r="K2396" s="1533"/>
      <c r="L2396" s="11"/>
      <c r="M2396" s="11"/>
      <c r="N2396" s="11"/>
      <c r="O2396" s="11"/>
      <c r="P2396" s="11"/>
      <c r="Q2396" s="11"/>
    </row>
    <row r="2397" spans="10:17">
      <c r="J2397" s="11"/>
      <c r="K2397" s="1533"/>
      <c r="L2397" s="11"/>
      <c r="M2397" s="11"/>
      <c r="N2397" s="11"/>
      <c r="O2397" s="11"/>
      <c r="P2397" s="11"/>
      <c r="Q2397" s="11"/>
    </row>
    <row r="2398" spans="10:17">
      <c r="J2398" s="11"/>
      <c r="K2398" s="1533"/>
      <c r="L2398" s="11"/>
      <c r="M2398" s="11"/>
      <c r="N2398" s="11"/>
      <c r="O2398" s="11"/>
      <c r="P2398" s="11"/>
      <c r="Q2398" s="11"/>
    </row>
    <row r="2399" spans="10:17">
      <c r="J2399" s="11"/>
      <c r="K2399" s="1533"/>
      <c r="L2399" s="11"/>
      <c r="M2399" s="11"/>
      <c r="N2399" s="11"/>
      <c r="O2399" s="11"/>
      <c r="P2399" s="11"/>
      <c r="Q2399" s="11"/>
    </row>
    <row r="2400" spans="10:17">
      <c r="J2400" s="11"/>
      <c r="K2400" s="1533"/>
      <c r="L2400" s="11"/>
      <c r="M2400" s="11"/>
      <c r="N2400" s="11"/>
      <c r="O2400" s="11"/>
      <c r="P2400" s="11"/>
      <c r="Q2400" s="11"/>
    </row>
    <row r="2401" spans="10:17">
      <c r="J2401" s="11"/>
      <c r="K2401" s="1533"/>
      <c r="L2401" s="11"/>
      <c r="M2401" s="11"/>
      <c r="N2401" s="11"/>
      <c r="O2401" s="11"/>
      <c r="P2401" s="11"/>
      <c r="Q2401" s="11"/>
    </row>
    <row r="2402" spans="10:17">
      <c r="J2402" s="11"/>
      <c r="K2402" s="1533"/>
      <c r="L2402" s="11"/>
      <c r="M2402" s="11"/>
      <c r="N2402" s="11"/>
      <c r="O2402" s="11"/>
      <c r="P2402" s="11"/>
      <c r="Q2402" s="11"/>
    </row>
    <row r="2403" spans="10:17">
      <c r="J2403" s="11"/>
      <c r="K2403" s="1533"/>
      <c r="L2403" s="11"/>
      <c r="M2403" s="11"/>
      <c r="N2403" s="11"/>
      <c r="O2403" s="11"/>
      <c r="P2403" s="11"/>
      <c r="Q2403" s="11"/>
    </row>
    <row r="2404" spans="10:17">
      <c r="J2404" s="11"/>
      <c r="K2404" s="1533"/>
      <c r="L2404" s="11"/>
      <c r="M2404" s="11"/>
      <c r="N2404" s="11"/>
      <c r="O2404" s="11"/>
      <c r="P2404" s="11"/>
      <c r="Q2404" s="11"/>
    </row>
    <row r="2405" spans="10:17">
      <c r="J2405" s="11"/>
      <c r="K2405" s="1533"/>
      <c r="L2405" s="11"/>
      <c r="M2405" s="11"/>
      <c r="N2405" s="11"/>
      <c r="O2405" s="11"/>
      <c r="P2405" s="11"/>
      <c r="Q2405" s="11"/>
    </row>
    <row r="2406" spans="10:17">
      <c r="J2406" s="11"/>
      <c r="K2406" s="1533"/>
      <c r="L2406" s="11"/>
      <c r="M2406" s="11"/>
      <c r="N2406" s="11"/>
      <c r="O2406" s="11"/>
      <c r="P2406" s="11"/>
      <c r="Q2406" s="11"/>
    </row>
    <row r="2407" spans="10:17">
      <c r="J2407" s="11"/>
      <c r="K2407" s="1533"/>
      <c r="L2407" s="11"/>
      <c r="M2407" s="11"/>
      <c r="N2407" s="11"/>
      <c r="O2407" s="11"/>
      <c r="P2407" s="11"/>
      <c r="Q2407" s="11"/>
    </row>
    <row r="2408" spans="10:17">
      <c r="J2408" s="11"/>
      <c r="K2408" s="1533"/>
      <c r="L2408" s="11"/>
      <c r="M2408" s="11"/>
      <c r="N2408" s="11"/>
      <c r="O2408" s="11"/>
      <c r="P2408" s="11"/>
      <c r="Q2408" s="11"/>
    </row>
    <row r="2409" spans="10:17">
      <c r="J2409" s="11"/>
      <c r="K2409" s="1533"/>
      <c r="L2409" s="11"/>
      <c r="M2409" s="11"/>
      <c r="N2409" s="11"/>
      <c r="O2409" s="11"/>
      <c r="P2409" s="11"/>
      <c r="Q2409" s="11"/>
    </row>
    <row r="2410" spans="10:17">
      <c r="J2410" s="11"/>
      <c r="K2410" s="1533"/>
      <c r="L2410" s="11"/>
      <c r="M2410" s="11"/>
      <c r="N2410" s="11"/>
      <c r="O2410" s="11"/>
      <c r="P2410" s="11"/>
      <c r="Q2410" s="11"/>
    </row>
    <row r="2411" spans="10:17">
      <c r="J2411" s="11"/>
      <c r="K2411" s="1533"/>
      <c r="L2411" s="11"/>
      <c r="M2411" s="11"/>
      <c r="N2411" s="11"/>
      <c r="O2411" s="11"/>
      <c r="P2411" s="11"/>
      <c r="Q2411" s="11"/>
    </row>
    <row r="2412" spans="10:17">
      <c r="J2412" s="11"/>
      <c r="K2412" s="1533"/>
      <c r="L2412" s="11"/>
      <c r="M2412" s="11"/>
      <c r="N2412" s="11"/>
      <c r="O2412" s="11"/>
      <c r="P2412" s="11"/>
      <c r="Q2412" s="11"/>
    </row>
    <row r="2413" spans="10:17">
      <c r="J2413" s="11"/>
      <c r="K2413" s="1533"/>
      <c r="L2413" s="11"/>
      <c r="M2413" s="11"/>
      <c r="N2413" s="11"/>
      <c r="O2413" s="11"/>
      <c r="P2413" s="11"/>
      <c r="Q2413" s="11"/>
    </row>
    <row r="2414" spans="10:17">
      <c r="J2414" s="11"/>
      <c r="K2414" s="1533"/>
      <c r="L2414" s="11"/>
      <c r="M2414" s="11"/>
      <c r="N2414" s="11"/>
      <c r="O2414" s="11"/>
      <c r="P2414" s="11"/>
      <c r="Q2414" s="11"/>
    </row>
    <row r="2415" spans="10:17">
      <c r="J2415" s="11"/>
      <c r="K2415" s="1533"/>
      <c r="L2415" s="11"/>
      <c r="M2415" s="11"/>
      <c r="N2415" s="11"/>
      <c r="O2415" s="11"/>
      <c r="P2415" s="11"/>
      <c r="Q2415" s="11"/>
    </row>
    <row r="2416" spans="10:17">
      <c r="J2416" s="11"/>
      <c r="K2416" s="1533"/>
      <c r="L2416" s="11"/>
      <c r="M2416" s="11"/>
      <c r="N2416" s="11"/>
      <c r="O2416" s="11"/>
      <c r="P2416" s="11"/>
      <c r="Q2416" s="11"/>
    </row>
    <row r="2417" spans="10:17">
      <c r="J2417" s="11"/>
      <c r="K2417" s="1533"/>
      <c r="L2417" s="11"/>
      <c r="M2417" s="11"/>
      <c r="N2417" s="11"/>
      <c r="O2417" s="11"/>
      <c r="P2417" s="11"/>
      <c r="Q2417" s="11"/>
    </row>
    <row r="2418" spans="10:17">
      <c r="J2418" s="11"/>
      <c r="K2418" s="1533"/>
      <c r="L2418" s="11"/>
      <c r="M2418" s="11"/>
      <c r="N2418" s="11"/>
      <c r="O2418" s="11"/>
      <c r="P2418" s="11"/>
      <c r="Q2418" s="11"/>
    </row>
    <row r="2419" spans="10:17">
      <c r="J2419" s="11"/>
      <c r="K2419" s="1533"/>
      <c r="L2419" s="11"/>
      <c r="M2419" s="11"/>
      <c r="N2419" s="11"/>
      <c r="O2419" s="11"/>
      <c r="P2419" s="11"/>
      <c r="Q2419" s="11"/>
    </row>
    <row r="2420" spans="10:17">
      <c r="J2420" s="11"/>
      <c r="K2420" s="1533"/>
      <c r="L2420" s="11"/>
      <c r="M2420" s="11"/>
      <c r="N2420" s="11"/>
      <c r="O2420" s="11"/>
      <c r="P2420" s="11"/>
      <c r="Q2420" s="11"/>
    </row>
    <row r="2421" spans="10:17">
      <c r="J2421" s="11"/>
      <c r="K2421" s="1533"/>
      <c r="L2421" s="11"/>
      <c r="M2421" s="11"/>
      <c r="N2421" s="11"/>
      <c r="O2421" s="11"/>
      <c r="P2421" s="11"/>
      <c r="Q2421" s="11"/>
    </row>
    <row r="2422" spans="10:17">
      <c r="J2422" s="11"/>
      <c r="K2422" s="1533"/>
      <c r="L2422" s="11"/>
      <c r="M2422" s="11"/>
      <c r="N2422" s="11"/>
      <c r="O2422" s="11"/>
      <c r="P2422" s="11"/>
      <c r="Q2422" s="11"/>
    </row>
    <row r="2423" spans="10:17">
      <c r="J2423" s="11"/>
      <c r="K2423" s="1533"/>
      <c r="L2423" s="11"/>
      <c r="M2423" s="11"/>
      <c r="N2423" s="11"/>
      <c r="O2423" s="11"/>
      <c r="P2423" s="11"/>
      <c r="Q2423" s="11"/>
    </row>
    <row r="2424" spans="10:17">
      <c r="J2424" s="11"/>
      <c r="K2424" s="1533"/>
      <c r="L2424" s="11"/>
      <c r="M2424" s="11"/>
      <c r="N2424" s="11"/>
      <c r="O2424" s="11"/>
      <c r="P2424" s="11"/>
      <c r="Q2424" s="11"/>
    </row>
    <row r="2425" spans="10:17">
      <c r="J2425" s="11"/>
      <c r="K2425" s="1533"/>
      <c r="L2425" s="11"/>
      <c r="M2425" s="11"/>
      <c r="N2425" s="11"/>
      <c r="O2425" s="11"/>
      <c r="P2425" s="11"/>
      <c r="Q2425" s="11"/>
    </row>
    <row r="2426" spans="10:17">
      <c r="J2426" s="11"/>
      <c r="K2426" s="1533"/>
      <c r="L2426" s="11"/>
      <c r="M2426" s="11"/>
      <c r="N2426" s="11"/>
      <c r="O2426" s="11"/>
      <c r="P2426" s="11"/>
      <c r="Q2426" s="11"/>
    </row>
    <row r="2427" spans="10:17">
      <c r="J2427" s="11"/>
      <c r="K2427" s="1533"/>
      <c r="L2427" s="11"/>
      <c r="M2427" s="11"/>
      <c r="N2427" s="11"/>
      <c r="O2427" s="11"/>
      <c r="P2427" s="11"/>
      <c r="Q2427" s="11"/>
    </row>
    <row r="2428" spans="10:17">
      <c r="J2428" s="11"/>
      <c r="K2428" s="1533"/>
      <c r="L2428" s="11"/>
      <c r="M2428" s="11"/>
      <c r="N2428" s="11"/>
      <c r="O2428" s="11"/>
      <c r="P2428" s="11"/>
      <c r="Q2428" s="11"/>
    </row>
    <row r="2429" spans="10:17">
      <c r="J2429" s="11"/>
      <c r="K2429" s="1533"/>
      <c r="L2429" s="11"/>
      <c r="M2429" s="11"/>
      <c r="N2429" s="11"/>
      <c r="O2429" s="11"/>
      <c r="P2429" s="11"/>
      <c r="Q2429" s="11"/>
    </row>
    <row r="2430" spans="10:17">
      <c r="J2430" s="11"/>
      <c r="K2430" s="1533"/>
      <c r="L2430" s="11"/>
      <c r="M2430" s="11"/>
      <c r="N2430" s="11"/>
      <c r="O2430" s="11"/>
      <c r="P2430" s="11"/>
      <c r="Q2430" s="11"/>
    </row>
    <row r="2431" spans="10:17">
      <c r="J2431" s="11"/>
      <c r="K2431" s="1533"/>
      <c r="L2431" s="11"/>
      <c r="M2431" s="11"/>
      <c r="N2431" s="11"/>
      <c r="O2431" s="11"/>
      <c r="P2431" s="11"/>
      <c r="Q2431" s="11"/>
    </row>
    <row r="2432" spans="10:17">
      <c r="J2432" s="11"/>
      <c r="K2432" s="1533"/>
      <c r="L2432" s="11"/>
      <c r="M2432" s="11"/>
      <c r="N2432" s="11"/>
      <c r="O2432" s="11"/>
      <c r="P2432" s="11"/>
      <c r="Q2432" s="11"/>
    </row>
    <row r="2433" spans="10:17">
      <c r="J2433" s="11"/>
      <c r="K2433" s="1533"/>
      <c r="L2433" s="11"/>
      <c r="M2433" s="11"/>
      <c r="N2433" s="11"/>
      <c r="O2433" s="11"/>
      <c r="P2433" s="11"/>
      <c r="Q2433" s="11"/>
    </row>
    <row r="2434" spans="10:17">
      <c r="J2434" s="11"/>
      <c r="K2434" s="1533"/>
      <c r="L2434" s="11"/>
      <c r="M2434" s="11"/>
      <c r="N2434" s="11"/>
      <c r="O2434" s="11"/>
      <c r="P2434" s="11"/>
      <c r="Q2434" s="11"/>
    </row>
    <row r="2435" spans="10:17">
      <c r="J2435" s="11"/>
      <c r="K2435" s="1533"/>
      <c r="L2435" s="11"/>
      <c r="M2435" s="11"/>
      <c r="N2435" s="11"/>
      <c r="O2435" s="11"/>
      <c r="P2435" s="11"/>
      <c r="Q2435" s="11"/>
    </row>
    <row r="2436" spans="10:17">
      <c r="J2436" s="11"/>
      <c r="K2436" s="1533"/>
      <c r="L2436" s="11"/>
      <c r="M2436" s="11"/>
      <c r="N2436" s="11"/>
      <c r="O2436" s="11"/>
      <c r="P2436" s="11"/>
      <c r="Q2436" s="11"/>
    </row>
    <row r="2437" spans="10:17">
      <c r="J2437" s="11"/>
      <c r="K2437" s="1533"/>
      <c r="L2437" s="11"/>
      <c r="M2437" s="11"/>
      <c r="N2437" s="11"/>
      <c r="O2437" s="11"/>
      <c r="P2437" s="11"/>
      <c r="Q2437" s="11"/>
    </row>
    <row r="2438" spans="10:17">
      <c r="J2438" s="11"/>
      <c r="K2438" s="1533"/>
      <c r="L2438" s="11"/>
      <c r="M2438" s="11"/>
      <c r="N2438" s="11"/>
      <c r="O2438" s="11"/>
      <c r="P2438" s="11"/>
      <c r="Q2438" s="11"/>
    </row>
    <row r="2439" spans="10:17">
      <c r="J2439" s="11"/>
      <c r="K2439" s="1533"/>
      <c r="L2439" s="11"/>
      <c r="M2439" s="11"/>
      <c r="N2439" s="11"/>
      <c r="O2439" s="11"/>
      <c r="P2439" s="11"/>
      <c r="Q2439" s="11"/>
    </row>
    <row r="2440" spans="10:17">
      <c r="J2440" s="11"/>
      <c r="K2440" s="1533"/>
      <c r="L2440" s="11"/>
      <c r="M2440" s="11"/>
      <c r="N2440" s="11"/>
      <c r="O2440" s="11"/>
      <c r="P2440" s="11"/>
      <c r="Q2440" s="11"/>
    </row>
    <row r="2441" spans="10:17">
      <c r="J2441" s="11"/>
      <c r="K2441" s="1533"/>
      <c r="L2441" s="11"/>
      <c r="M2441" s="11"/>
      <c r="N2441" s="11"/>
      <c r="O2441" s="11"/>
      <c r="P2441" s="11"/>
      <c r="Q2441" s="11"/>
    </row>
    <row r="2442" spans="10:17">
      <c r="J2442" s="11"/>
      <c r="K2442" s="1533"/>
      <c r="L2442" s="11"/>
      <c r="M2442" s="11"/>
      <c r="N2442" s="11"/>
      <c r="O2442" s="11"/>
      <c r="P2442" s="11"/>
      <c r="Q2442" s="11"/>
    </row>
    <row r="2443" spans="10:17">
      <c r="J2443" s="11"/>
      <c r="K2443" s="1533"/>
      <c r="L2443" s="11"/>
      <c r="M2443" s="11"/>
      <c r="N2443" s="11"/>
      <c r="O2443" s="11"/>
      <c r="P2443" s="11"/>
      <c r="Q2443" s="11"/>
    </row>
    <row r="2444" spans="10:17">
      <c r="J2444" s="11"/>
      <c r="K2444" s="1533"/>
      <c r="L2444" s="11"/>
      <c r="M2444" s="11"/>
      <c r="N2444" s="11"/>
      <c r="O2444" s="11"/>
      <c r="P2444" s="11"/>
      <c r="Q2444" s="11"/>
    </row>
    <row r="2445" spans="10:17">
      <c r="J2445" s="11"/>
      <c r="K2445" s="1533"/>
      <c r="L2445" s="11"/>
      <c r="M2445" s="11"/>
      <c r="N2445" s="11"/>
      <c r="O2445" s="11"/>
      <c r="P2445" s="11"/>
      <c r="Q2445" s="11"/>
    </row>
    <row r="2446" spans="10:17">
      <c r="J2446" s="11"/>
      <c r="K2446" s="1533"/>
      <c r="L2446" s="11"/>
      <c r="M2446" s="11"/>
      <c r="N2446" s="11"/>
      <c r="O2446" s="11"/>
      <c r="P2446" s="11"/>
      <c r="Q2446" s="11"/>
    </row>
    <row r="2447" spans="10:17">
      <c r="J2447" s="11"/>
      <c r="K2447" s="1533"/>
      <c r="L2447" s="11"/>
      <c r="M2447" s="11"/>
      <c r="N2447" s="11"/>
      <c r="O2447" s="11"/>
      <c r="P2447" s="11"/>
      <c r="Q2447" s="11"/>
    </row>
    <row r="2448" spans="10:17">
      <c r="J2448" s="11"/>
      <c r="K2448" s="1533"/>
      <c r="L2448" s="11"/>
      <c r="M2448" s="11"/>
      <c r="N2448" s="11"/>
      <c r="O2448" s="11"/>
      <c r="P2448" s="11"/>
      <c r="Q2448" s="11"/>
    </row>
    <row r="2449" spans="10:17">
      <c r="J2449" s="11"/>
      <c r="K2449" s="1533"/>
      <c r="L2449" s="11"/>
      <c r="M2449" s="11"/>
      <c r="N2449" s="11"/>
      <c r="O2449" s="11"/>
      <c r="P2449" s="11"/>
      <c r="Q2449" s="11"/>
    </row>
    <row r="2450" spans="10:17">
      <c r="J2450" s="11"/>
      <c r="K2450" s="1533"/>
      <c r="L2450" s="11"/>
      <c r="M2450" s="11"/>
      <c r="N2450" s="11"/>
      <c r="O2450" s="11"/>
      <c r="P2450" s="11"/>
      <c r="Q2450" s="11"/>
    </row>
    <row r="2451" spans="10:17">
      <c r="J2451" s="11"/>
      <c r="K2451" s="1533"/>
      <c r="L2451" s="11"/>
      <c r="M2451" s="11"/>
      <c r="N2451" s="11"/>
      <c r="O2451" s="11"/>
      <c r="P2451" s="11"/>
      <c r="Q2451" s="11"/>
    </row>
    <row r="2452" spans="10:17">
      <c r="J2452" s="11"/>
      <c r="K2452" s="1533"/>
      <c r="L2452" s="11"/>
      <c r="M2452" s="11"/>
      <c r="N2452" s="11"/>
      <c r="O2452" s="11"/>
      <c r="P2452" s="11"/>
      <c r="Q2452" s="11"/>
    </row>
    <row r="2453" spans="10:17">
      <c r="J2453" s="11"/>
      <c r="K2453" s="1533"/>
      <c r="L2453" s="11"/>
      <c r="M2453" s="11"/>
      <c r="N2453" s="11"/>
      <c r="O2453" s="11"/>
      <c r="P2453" s="11"/>
      <c r="Q2453" s="11"/>
    </row>
    <row r="2454" spans="10:17">
      <c r="J2454" s="11"/>
      <c r="K2454" s="1533"/>
      <c r="L2454" s="11"/>
      <c r="M2454" s="11"/>
      <c r="N2454" s="11"/>
      <c r="O2454" s="11"/>
      <c r="P2454" s="11"/>
      <c r="Q2454" s="11"/>
    </row>
    <row r="2455" spans="10:17">
      <c r="J2455" s="11"/>
      <c r="K2455" s="1533"/>
      <c r="L2455" s="11"/>
      <c r="M2455" s="11"/>
      <c r="N2455" s="11"/>
      <c r="O2455" s="11"/>
      <c r="P2455" s="11"/>
      <c r="Q2455" s="11"/>
    </row>
    <row r="2456" spans="10:17">
      <c r="J2456" s="11"/>
      <c r="K2456" s="1533"/>
      <c r="L2456" s="11"/>
      <c r="M2456" s="11"/>
      <c r="N2456" s="11"/>
      <c r="O2456" s="11"/>
      <c r="P2456" s="11"/>
      <c r="Q2456" s="11"/>
    </row>
    <row r="2457" spans="10:17">
      <c r="J2457" s="11"/>
      <c r="K2457" s="1533"/>
      <c r="L2457" s="11"/>
      <c r="M2457" s="11"/>
      <c r="N2457" s="11"/>
      <c r="O2457" s="11"/>
      <c r="P2457" s="11"/>
      <c r="Q2457" s="11"/>
    </row>
    <row r="2458" spans="10:17">
      <c r="J2458" s="11"/>
      <c r="K2458" s="1533"/>
      <c r="L2458" s="11"/>
      <c r="M2458" s="11"/>
      <c r="N2458" s="11"/>
      <c r="O2458" s="11"/>
      <c r="P2458" s="11"/>
      <c r="Q2458" s="11"/>
    </row>
    <row r="2459" spans="10:17">
      <c r="J2459" s="11"/>
      <c r="K2459" s="1533"/>
      <c r="L2459" s="11"/>
      <c r="M2459" s="11"/>
      <c r="N2459" s="11"/>
      <c r="O2459" s="11"/>
      <c r="P2459" s="11"/>
      <c r="Q2459" s="11"/>
    </row>
    <row r="2460" spans="10:17">
      <c r="J2460" s="11"/>
      <c r="K2460" s="1533"/>
      <c r="L2460" s="11"/>
      <c r="M2460" s="11"/>
      <c r="N2460" s="11"/>
      <c r="O2460" s="11"/>
      <c r="P2460" s="11"/>
      <c r="Q2460" s="11"/>
    </row>
    <row r="2461" spans="10:17">
      <c r="J2461" s="11"/>
      <c r="K2461" s="1533"/>
      <c r="L2461" s="11"/>
      <c r="M2461" s="11"/>
      <c r="N2461" s="11"/>
      <c r="O2461" s="11"/>
      <c r="P2461" s="11"/>
      <c r="Q2461" s="11"/>
    </row>
    <row r="2462" spans="10:17">
      <c r="J2462" s="11"/>
      <c r="K2462" s="1533"/>
      <c r="L2462" s="11"/>
      <c r="M2462" s="11"/>
      <c r="N2462" s="11"/>
      <c r="O2462" s="11"/>
      <c r="P2462" s="11"/>
      <c r="Q2462" s="11"/>
    </row>
    <row r="2463" spans="10:17">
      <c r="J2463" s="11"/>
      <c r="K2463" s="1533"/>
      <c r="L2463" s="11"/>
      <c r="M2463" s="11"/>
      <c r="N2463" s="11"/>
      <c r="O2463" s="11"/>
      <c r="P2463" s="11"/>
      <c r="Q2463" s="11"/>
    </row>
    <row r="2464" spans="10:17">
      <c r="J2464" s="11"/>
      <c r="K2464" s="1533"/>
      <c r="L2464" s="11"/>
      <c r="M2464" s="11"/>
      <c r="N2464" s="11"/>
      <c r="O2464" s="11"/>
      <c r="P2464" s="11"/>
      <c r="Q2464" s="11"/>
    </row>
    <row r="2465" spans="10:17">
      <c r="J2465" s="11"/>
      <c r="K2465" s="1533"/>
      <c r="L2465" s="11"/>
      <c r="M2465" s="11"/>
      <c r="N2465" s="11"/>
      <c r="O2465" s="11"/>
      <c r="P2465" s="11"/>
      <c r="Q2465" s="11"/>
    </row>
    <row r="2466" spans="10:17">
      <c r="J2466" s="11"/>
      <c r="K2466" s="1533"/>
      <c r="L2466" s="11"/>
      <c r="M2466" s="11"/>
      <c r="N2466" s="11"/>
      <c r="O2466" s="11"/>
      <c r="P2466" s="11"/>
      <c r="Q2466" s="11"/>
    </row>
    <row r="2467" spans="10:17">
      <c r="J2467" s="11"/>
      <c r="K2467" s="1533"/>
      <c r="L2467" s="11"/>
      <c r="M2467" s="11"/>
      <c r="N2467" s="11"/>
      <c r="O2467" s="11"/>
      <c r="P2467" s="11"/>
      <c r="Q2467" s="11"/>
    </row>
    <row r="2468" spans="10:17">
      <c r="J2468" s="11"/>
      <c r="K2468" s="1533"/>
      <c r="L2468" s="11"/>
      <c r="M2468" s="11"/>
      <c r="N2468" s="11"/>
      <c r="O2468" s="11"/>
      <c r="P2468" s="11"/>
      <c r="Q2468" s="11"/>
    </row>
    <row r="2469" spans="10:17">
      <c r="J2469" s="11"/>
      <c r="K2469" s="1533"/>
      <c r="L2469" s="11"/>
      <c r="M2469" s="11"/>
      <c r="N2469" s="11"/>
      <c r="O2469" s="11"/>
      <c r="P2469" s="11"/>
      <c r="Q2469" s="11"/>
    </row>
    <row r="2470" spans="10:17">
      <c r="J2470" s="11"/>
      <c r="K2470" s="1533"/>
      <c r="L2470" s="11"/>
      <c r="M2470" s="11"/>
      <c r="N2470" s="11"/>
      <c r="O2470" s="11"/>
      <c r="P2470" s="11"/>
      <c r="Q2470" s="11"/>
    </row>
    <row r="2471" spans="10:17">
      <c r="J2471" s="11"/>
      <c r="K2471" s="1533"/>
      <c r="L2471" s="11"/>
      <c r="M2471" s="11"/>
      <c r="N2471" s="11"/>
      <c r="O2471" s="11"/>
      <c r="P2471" s="11"/>
      <c r="Q2471" s="11"/>
    </row>
    <row r="2472" spans="10:17">
      <c r="J2472" s="11"/>
      <c r="K2472" s="1533"/>
      <c r="L2472" s="11"/>
      <c r="M2472" s="11"/>
      <c r="N2472" s="11"/>
      <c r="O2472" s="11"/>
      <c r="P2472" s="11"/>
      <c r="Q2472" s="11"/>
    </row>
    <row r="2473" spans="10:17">
      <c r="J2473" s="11"/>
      <c r="K2473" s="1533"/>
      <c r="L2473" s="11"/>
      <c r="M2473" s="11"/>
      <c r="N2473" s="11"/>
      <c r="O2473" s="11"/>
      <c r="P2473" s="11"/>
      <c r="Q2473" s="11"/>
    </row>
    <row r="2474" spans="10:17">
      <c r="J2474" s="11"/>
      <c r="K2474" s="1533"/>
      <c r="L2474" s="11"/>
      <c r="M2474" s="11"/>
      <c r="N2474" s="11"/>
      <c r="O2474" s="11"/>
      <c r="P2474" s="11"/>
      <c r="Q2474" s="11"/>
    </row>
    <row r="2475" spans="10:17">
      <c r="J2475" s="11"/>
      <c r="K2475" s="1533"/>
      <c r="L2475" s="11"/>
      <c r="M2475" s="11"/>
      <c r="N2475" s="11"/>
      <c r="O2475" s="11"/>
      <c r="P2475" s="11"/>
      <c r="Q2475" s="11"/>
    </row>
    <row r="2476" spans="10:17">
      <c r="J2476" s="11"/>
      <c r="K2476" s="1533"/>
      <c r="L2476" s="11"/>
      <c r="M2476" s="11"/>
      <c r="N2476" s="11"/>
      <c r="O2476" s="11"/>
      <c r="P2476" s="11"/>
      <c r="Q2476" s="11"/>
    </row>
    <row r="2477" spans="10:17">
      <c r="J2477" s="11"/>
      <c r="K2477" s="1533"/>
      <c r="L2477" s="11"/>
      <c r="M2477" s="11"/>
      <c r="N2477" s="11"/>
      <c r="O2477" s="11"/>
      <c r="P2477" s="11"/>
      <c r="Q2477" s="11"/>
    </row>
    <row r="2478" spans="10:17">
      <c r="J2478" s="11"/>
      <c r="K2478" s="1533"/>
      <c r="L2478" s="11"/>
      <c r="M2478" s="11"/>
      <c r="N2478" s="11"/>
      <c r="O2478" s="11"/>
      <c r="P2478" s="11"/>
      <c r="Q2478" s="11"/>
    </row>
    <row r="2479" spans="10:17">
      <c r="J2479" s="11"/>
      <c r="K2479" s="1533"/>
      <c r="L2479" s="11"/>
      <c r="M2479" s="11"/>
      <c r="N2479" s="11"/>
      <c r="O2479" s="11"/>
      <c r="P2479" s="11"/>
      <c r="Q2479" s="11"/>
    </row>
    <row r="2480" spans="10:17">
      <c r="J2480" s="11"/>
      <c r="K2480" s="1533"/>
      <c r="L2480" s="11"/>
      <c r="M2480" s="11"/>
      <c r="N2480" s="11"/>
      <c r="O2480" s="11"/>
      <c r="P2480" s="11"/>
      <c r="Q2480" s="11"/>
    </row>
    <row r="2481" spans="10:17">
      <c r="J2481" s="11"/>
      <c r="K2481" s="1533"/>
      <c r="L2481" s="11"/>
      <c r="M2481" s="11"/>
      <c r="N2481" s="11"/>
      <c r="O2481" s="11"/>
      <c r="P2481" s="11"/>
      <c r="Q2481" s="11"/>
    </row>
    <row r="2482" spans="10:17">
      <c r="J2482" s="11"/>
      <c r="K2482" s="1533"/>
      <c r="L2482" s="11"/>
      <c r="M2482" s="11"/>
      <c r="N2482" s="11"/>
      <c r="O2482" s="11"/>
      <c r="P2482" s="11"/>
      <c r="Q2482" s="11"/>
    </row>
    <row r="2483" spans="10:17">
      <c r="J2483" s="11"/>
      <c r="K2483" s="1533"/>
      <c r="L2483" s="11"/>
      <c r="M2483" s="11"/>
      <c r="N2483" s="11"/>
      <c r="O2483" s="11"/>
      <c r="P2483" s="11"/>
      <c r="Q2483" s="11"/>
    </row>
    <row r="2484" spans="10:17">
      <c r="J2484" s="11"/>
      <c r="K2484" s="1533"/>
      <c r="L2484" s="11"/>
      <c r="M2484" s="11"/>
      <c r="N2484" s="11"/>
      <c r="O2484" s="11"/>
      <c r="P2484" s="11"/>
      <c r="Q2484" s="11"/>
    </row>
    <row r="2485" spans="10:17">
      <c r="J2485" s="11"/>
      <c r="K2485" s="1533"/>
      <c r="L2485" s="11"/>
      <c r="M2485" s="11"/>
      <c r="N2485" s="11"/>
      <c r="O2485" s="11"/>
      <c r="P2485" s="11"/>
      <c r="Q2485" s="11"/>
    </row>
    <row r="2486" spans="10:17">
      <c r="J2486" s="11"/>
      <c r="K2486" s="1533"/>
      <c r="L2486" s="11"/>
      <c r="M2486" s="11"/>
      <c r="N2486" s="11"/>
      <c r="O2486" s="11"/>
      <c r="P2486" s="11"/>
      <c r="Q2486" s="11"/>
    </row>
    <row r="2487" spans="10:17">
      <c r="J2487" s="11"/>
      <c r="K2487" s="1533"/>
      <c r="L2487" s="11"/>
      <c r="M2487" s="11"/>
      <c r="N2487" s="11"/>
      <c r="O2487" s="11"/>
      <c r="P2487" s="11"/>
      <c r="Q2487" s="11"/>
    </row>
    <row r="2488" spans="10:17">
      <c r="J2488" s="11"/>
      <c r="K2488" s="1533"/>
      <c r="L2488" s="11"/>
      <c r="M2488" s="11"/>
      <c r="N2488" s="11"/>
      <c r="O2488" s="11"/>
      <c r="P2488" s="11"/>
      <c r="Q2488" s="11"/>
    </row>
    <row r="2489" spans="10:17">
      <c r="J2489" s="11"/>
      <c r="K2489" s="1533"/>
      <c r="L2489" s="11"/>
      <c r="M2489" s="11"/>
      <c r="N2489" s="11"/>
      <c r="O2489" s="11"/>
      <c r="P2489" s="11"/>
      <c r="Q2489" s="11"/>
    </row>
    <row r="2490" spans="10:17">
      <c r="J2490" s="11"/>
      <c r="K2490" s="1533"/>
      <c r="L2490" s="11"/>
      <c r="M2490" s="11"/>
      <c r="N2490" s="11"/>
      <c r="O2490" s="11"/>
      <c r="P2490" s="11"/>
      <c r="Q2490" s="11"/>
    </row>
    <row r="2491" spans="10:17">
      <c r="J2491" s="11"/>
      <c r="K2491" s="1533"/>
      <c r="L2491" s="11"/>
      <c r="M2491" s="11"/>
      <c r="N2491" s="11"/>
      <c r="O2491" s="11"/>
      <c r="P2491" s="11"/>
      <c r="Q2491" s="11"/>
    </row>
    <row r="2492" spans="10:17">
      <c r="J2492" s="11"/>
      <c r="K2492" s="1533"/>
      <c r="L2492" s="11"/>
      <c r="M2492" s="11"/>
      <c r="N2492" s="11"/>
      <c r="O2492" s="11"/>
      <c r="P2492" s="11"/>
      <c r="Q2492" s="11"/>
    </row>
    <row r="2493" spans="10:17">
      <c r="J2493" s="11"/>
      <c r="K2493" s="1533"/>
      <c r="L2493" s="11"/>
      <c r="M2493" s="11"/>
      <c r="N2493" s="11"/>
      <c r="O2493" s="11"/>
      <c r="P2493" s="11"/>
      <c r="Q2493" s="11"/>
    </row>
    <row r="2494" spans="10:17">
      <c r="J2494" s="11"/>
      <c r="K2494" s="1533"/>
      <c r="L2494" s="11"/>
      <c r="M2494" s="11"/>
      <c r="N2494" s="11"/>
      <c r="O2494" s="11"/>
      <c r="P2494" s="11"/>
      <c r="Q2494" s="11"/>
    </row>
    <row r="2495" spans="10:17">
      <c r="J2495" s="11"/>
      <c r="K2495" s="1533"/>
      <c r="L2495" s="11"/>
      <c r="M2495" s="11"/>
      <c r="N2495" s="11"/>
      <c r="O2495" s="11"/>
      <c r="P2495" s="11"/>
      <c r="Q2495" s="11"/>
    </row>
    <row r="2496" spans="10:17">
      <c r="J2496" s="11"/>
      <c r="K2496" s="1533"/>
      <c r="L2496" s="11"/>
      <c r="M2496" s="11"/>
      <c r="N2496" s="11"/>
      <c r="O2496" s="11"/>
      <c r="P2496" s="11"/>
      <c r="Q2496" s="11"/>
    </row>
    <row r="2497" spans="10:17">
      <c r="J2497" s="11"/>
      <c r="K2497" s="1533"/>
      <c r="L2497" s="11"/>
      <c r="M2497" s="11"/>
      <c r="N2497" s="11"/>
      <c r="O2497" s="11"/>
      <c r="P2497" s="11"/>
      <c r="Q2497" s="11"/>
    </row>
    <row r="2498" spans="10:17">
      <c r="J2498" s="11"/>
      <c r="K2498" s="1533"/>
      <c r="L2498" s="11"/>
      <c r="M2498" s="11"/>
      <c r="N2498" s="11"/>
      <c r="O2498" s="11"/>
      <c r="P2498" s="11"/>
      <c r="Q2498" s="11"/>
    </row>
    <row r="2499" spans="10:17">
      <c r="J2499" s="11"/>
      <c r="K2499" s="1533"/>
      <c r="L2499" s="11"/>
      <c r="M2499" s="11"/>
      <c r="N2499" s="11"/>
      <c r="O2499" s="11"/>
      <c r="P2499" s="11"/>
      <c r="Q2499" s="11"/>
    </row>
    <row r="2500" spans="10:17">
      <c r="J2500" s="11"/>
      <c r="K2500" s="1533"/>
      <c r="L2500" s="11"/>
      <c r="M2500" s="11"/>
      <c r="N2500" s="11"/>
      <c r="O2500" s="11"/>
      <c r="P2500" s="11"/>
      <c r="Q2500" s="11"/>
    </row>
    <row r="2501" spans="10:17">
      <c r="J2501" s="11"/>
      <c r="K2501" s="1533"/>
      <c r="L2501" s="11"/>
      <c r="M2501" s="11"/>
      <c r="N2501" s="11"/>
      <c r="O2501" s="11"/>
      <c r="P2501" s="11"/>
      <c r="Q2501" s="11"/>
    </row>
    <row r="2502" spans="10:17">
      <c r="J2502" s="11"/>
      <c r="K2502" s="1533"/>
      <c r="L2502" s="11"/>
      <c r="M2502" s="11"/>
      <c r="N2502" s="11"/>
      <c r="O2502" s="11"/>
      <c r="P2502" s="11"/>
      <c r="Q2502" s="11"/>
    </row>
    <row r="2503" spans="10:17">
      <c r="J2503" s="11"/>
      <c r="K2503" s="1533"/>
      <c r="L2503" s="11"/>
      <c r="M2503" s="11"/>
      <c r="N2503" s="11"/>
      <c r="O2503" s="11"/>
      <c r="P2503" s="11"/>
      <c r="Q2503" s="11"/>
    </row>
    <row r="2504" spans="10:17">
      <c r="J2504" s="11"/>
      <c r="K2504" s="1533"/>
      <c r="L2504" s="11"/>
      <c r="M2504" s="11"/>
      <c r="N2504" s="11"/>
      <c r="O2504" s="11"/>
      <c r="P2504" s="11"/>
      <c r="Q2504" s="11"/>
    </row>
    <row r="2505" spans="10:17">
      <c r="J2505" s="11"/>
      <c r="K2505" s="1533"/>
      <c r="L2505" s="11"/>
      <c r="M2505" s="11"/>
      <c r="N2505" s="11"/>
      <c r="O2505" s="11"/>
      <c r="P2505" s="11"/>
      <c r="Q2505" s="11"/>
    </row>
    <row r="2506" spans="10:17">
      <c r="J2506" s="11"/>
      <c r="K2506" s="1533"/>
      <c r="L2506" s="11"/>
      <c r="M2506" s="11"/>
      <c r="N2506" s="11"/>
      <c r="O2506" s="11"/>
      <c r="P2506" s="11"/>
      <c r="Q2506" s="11"/>
    </row>
    <row r="2507" spans="10:17">
      <c r="J2507" s="11"/>
      <c r="K2507" s="1533"/>
      <c r="L2507" s="11"/>
      <c r="M2507" s="11"/>
      <c r="N2507" s="11"/>
      <c r="O2507" s="11"/>
      <c r="P2507" s="11"/>
      <c r="Q2507" s="11"/>
    </row>
    <row r="2508" spans="10:17">
      <c r="J2508" s="11"/>
      <c r="K2508" s="1533"/>
      <c r="L2508" s="11"/>
      <c r="M2508" s="11"/>
      <c r="N2508" s="11"/>
      <c r="O2508" s="11"/>
      <c r="P2508" s="11"/>
      <c r="Q2508" s="11"/>
    </row>
    <row r="2509" spans="10:17">
      <c r="J2509" s="11"/>
      <c r="K2509" s="1533"/>
      <c r="L2509" s="11"/>
      <c r="M2509" s="11"/>
      <c r="N2509" s="11"/>
      <c r="O2509" s="11"/>
      <c r="P2509" s="11"/>
      <c r="Q2509" s="11"/>
    </row>
    <row r="2510" spans="10:17">
      <c r="J2510" s="11"/>
      <c r="K2510" s="1533"/>
      <c r="L2510" s="11"/>
      <c r="M2510" s="11"/>
      <c r="N2510" s="11"/>
      <c r="O2510" s="11"/>
      <c r="P2510" s="11"/>
      <c r="Q2510" s="11"/>
    </row>
    <row r="2511" spans="10:17">
      <c r="J2511" s="11"/>
      <c r="K2511" s="1533"/>
      <c r="L2511" s="11"/>
      <c r="M2511" s="11"/>
      <c r="N2511" s="11"/>
      <c r="O2511" s="11"/>
      <c r="P2511" s="11"/>
      <c r="Q2511" s="11"/>
    </row>
    <row r="2512" spans="10:17">
      <c r="J2512" s="11"/>
      <c r="K2512" s="1533"/>
      <c r="L2512" s="11"/>
      <c r="M2512" s="11"/>
      <c r="N2512" s="11"/>
      <c r="O2512" s="11"/>
      <c r="P2512" s="11"/>
      <c r="Q2512" s="11"/>
    </row>
    <row r="2513" spans="10:17">
      <c r="J2513" s="11"/>
      <c r="K2513" s="1533"/>
      <c r="L2513" s="11"/>
      <c r="M2513" s="11"/>
      <c r="N2513" s="11"/>
      <c r="O2513" s="11"/>
      <c r="P2513" s="11"/>
      <c r="Q2513" s="11"/>
    </row>
    <row r="2514" spans="10:17">
      <c r="J2514" s="11"/>
      <c r="K2514" s="1533"/>
      <c r="L2514" s="11"/>
      <c r="M2514" s="11"/>
      <c r="N2514" s="11"/>
      <c r="O2514" s="11"/>
      <c r="P2514" s="11"/>
      <c r="Q2514" s="11"/>
    </row>
    <row r="2515" spans="10:17">
      <c r="J2515" s="11"/>
      <c r="K2515" s="1533"/>
      <c r="L2515" s="11"/>
      <c r="M2515" s="11"/>
      <c r="N2515" s="11"/>
      <c r="O2515" s="11"/>
      <c r="P2515" s="11"/>
      <c r="Q2515" s="11"/>
    </row>
    <row r="2516" spans="10:17">
      <c r="J2516" s="11"/>
      <c r="K2516" s="1533"/>
      <c r="L2516" s="11"/>
      <c r="M2516" s="11"/>
      <c r="N2516" s="11"/>
      <c r="O2516" s="11"/>
      <c r="P2516" s="11"/>
      <c r="Q2516" s="11"/>
    </row>
    <row r="2517" spans="10:17">
      <c r="J2517" s="11"/>
      <c r="K2517" s="1533"/>
      <c r="L2517" s="11"/>
      <c r="M2517" s="11"/>
      <c r="N2517" s="11"/>
      <c r="O2517" s="11"/>
      <c r="P2517" s="11"/>
      <c r="Q2517" s="11"/>
    </row>
    <row r="2518" spans="10:17">
      <c r="J2518" s="11"/>
      <c r="K2518" s="1533"/>
      <c r="L2518" s="11"/>
      <c r="M2518" s="11"/>
      <c r="N2518" s="11"/>
      <c r="O2518" s="11"/>
      <c r="P2518" s="11"/>
      <c r="Q2518" s="11"/>
    </row>
    <row r="2519" spans="10:17">
      <c r="J2519" s="11"/>
      <c r="K2519" s="1533"/>
      <c r="L2519" s="11"/>
      <c r="M2519" s="11"/>
      <c r="N2519" s="11"/>
      <c r="O2519" s="11"/>
      <c r="P2519" s="11"/>
      <c r="Q2519" s="11"/>
    </row>
    <row r="2520" spans="10:17">
      <c r="J2520" s="11"/>
      <c r="K2520" s="1533"/>
      <c r="L2520" s="11"/>
      <c r="M2520" s="11"/>
      <c r="N2520" s="11"/>
      <c r="O2520" s="11"/>
      <c r="P2520" s="11"/>
      <c r="Q2520" s="11"/>
    </row>
    <row r="2521" spans="10:17">
      <c r="J2521" s="11"/>
      <c r="K2521" s="1533"/>
      <c r="L2521" s="11"/>
      <c r="M2521" s="11"/>
      <c r="N2521" s="11"/>
      <c r="O2521" s="11"/>
      <c r="P2521" s="11"/>
      <c r="Q2521" s="11"/>
    </row>
    <row r="2522" spans="10:17">
      <c r="J2522" s="11"/>
      <c r="K2522" s="1533"/>
      <c r="L2522" s="11"/>
      <c r="M2522" s="11"/>
      <c r="N2522" s="11"/>
      <c r="O2522" s="11"/>
      <c r="P2522" s="11"/>
      <c r="Q2522" s="11"/>
    </row>
    <row r="2523" spans="10:17">
      <c r="J2523" s="11"/>
      <c r="K2523" s="1533"/>
      <c r="L2523" s="11"/>
      <c r="M2523" s="11"/>
      <c r="N2523" s="11"/>
      <c r="O2523" s="11"/>
      <c r="P2523" s="11"/>
      <c r="Q2523" s="11"/>
    </row>
    <row r="2524" spans="10:17">
      <c r="J2524" s="11"/>
      <c r="K2524" s="1533"/>
      <c r="L2524" s="11"/>
      <c r="M2524" s="11"/>
      <c r="N2524" s="11"/>
      <c r="O2524" s="11"/>
      <c r="P2524" s="11"/>
      <c r="Q2524" s="11"/>
    </row>
    <row r="2525" spans="10:17">
      <c r="J2525" s="11"/>
      <c r="K2525" s="1533"/>
      <c r="L2525" s="11"/>
      <c r="M2525" s="11"/>
      <c r="N2525" s="11"/>
      <c r="O2525" s="11"/>
      <c r="P2525" s="11"/>
      <c r="Q2525" s="11"/>
    </row>
    <row r="2526" spans="10:17">
      <c r="J2526" s="11"/>
      <c r="K2526" s="1533"/>
      <c r="L2526" s="11"/>
      <c r="M2526" s="11"/>
      <c r="N2526" s="11"/>
      <c r="O2526" s="11"/>
      <c r="P2526" s="11"/>
      <c r="Q2526" s="11"/>
    </row>
    <row r="2527" spans="10:17">
      <c r="J2527" s="11"/>
      <c r="K2527" s="1533"/>
      <c r="L2527" s="11"/>
      <c r="M2527" s="11"/>
      <c r="N2527" s="11"/>
      <c r="O2527" s="11"/>
      <c r="P2527" s="11"/>
      <c r="Q2527" s="11"/>
    </row>
    <row r="2528" spans="10:17">
      <c r="J2528" s="11"/>
      <c r="K2528" s="1533"/>
      <c r="L2528" s="11"/>
      <c r="M2528" s="11"/>
      <c r="N2528" s="11"/>
      <c r="O2528" s="11"/>
      <c r="P2528" s="11"/>
      <c r="Q2528" s="11"/>
    </row>
    <row r="2529" spans="10:17">
      <c r="J2529" s="11"/>
      <c r="K2529" s="1533"/>
      <c r="L2529" s="11"/>
      <c r="M2529" s="11"/>
      <c r="N2529" s="11"/>
      <c r="O2529" s="11"/>
      <c r="P2529" s="11"/>
      <c r="Q2529" s="11"/>
    </row>
    <row r="2530" spans="10:17">
      <c r="J2530" s="11"/>
      <c r="K2530" s="1533"/>
      <c r="L2530" s="11"/>
      <c r="M2530" s="11"/>
      <c r="N2530" s="11"/>
      <c r="O2530" s="11"/>
      <c r="P2530" s="11"/>
      <c r="Q2530" s="11"/>
    </row>
    <row r="2531" spans="10:17">
      <c r="J2531" s="11"/>
      <c r="K2531" s="1533"/>
      <c r="L2531" s="11"/>
      <c r="M2531" s="11"/>
      <c r="N2531" s="11"/>
      <c r="O2531" s="11"/>
      <c r="P2531" s="11"/>
      <c r="Q2531" s="11"/>
    </row>
    <row r="2532" spans="10:17">
      <c r="J2532" s="11"/>
      <c r="K2532" s="1533"/>
      <c r="L2532" s="11"/>
      <c r="M2532" s="11"/>
      <c r="N2532" s="11"/>
      <c r="O2532" s="11"/>
      <c r="P2532" s="11"/>
      <c r="Q2532" s="11"/>
    </row>
    <row r="2533" spans="10:17">
      <c r="J2533" s="11"/>
      <c r="K2533" s="1533"/>
      <c r="L2533" s="11"/>
      <c r="M2533" s="11"/>
      <c r="N2533" s="11"/>
      <c r="O2533" s="11"/>
      <c r="P2533" s="11"/>
      <c r="Q2533" s="11"/>
    </row>
    <row r="2534" spans="10:17">
      <c r="J2534" s="11"/>
      <c r="K2534" s="1533"/>
      <c r="L2534" s="11"/>
      <c r="M2534" s="11"/>
      <c r="N2534" s="11"/>
      <c r="O2534" s="11"/>
      <c r="P2534" s="11"/>
      <c r="Q2534" s="11"/>
    </row>
    <row r="2535" spans="10:17">
      <c r="J2535" s="11"/>
      <c r="K2535" s="1533"/>
      <c r="L2535" s="11"/>
      <c r="M2535" s="11"/>
      <c r="N2535" s="11"/>
      <c r="O2535" s="11"/>
      <c r="P2535" s="11"/>
      <c r="Q2535" s="11"/>
    </row>
    <row r="2536" spans="10:17">
      <c r="J2536" s="11"/>
      <c r="K2536" s="1533"/>
      <c r="L2536" s="11"/>
      <c r="M2536" s="11"/>
      <c r="N2536" s="11"/>
      <c r="O2536" s="11"/>
      <c r="P2536" s="11"/>
      <c r="Q2536" s="11"/>
    </row>
    <row r="2537" spans="10:17">
      <c r="J2537" s="11"/>
      <c r="K2537" s="1533"/>
      <c r="L2537" s="11"/>
      <c r="M2537" s="11"/>
      <c r="N2537" s="11"/>
      <c r="O2537" s="11"/>
      <c r="P2537" s="11"/>
      <c r="Q2537" s="11"/>
    </row>
    <row r="2538" spans="10:17">
      <c r="J2538" s="11"/>
      <c r="K2538" s="1533"/>
      <c r="L2538" s="11"/>
      <c r="M2538" s="11"/>
      <c r="N2538" s="11"/>
      <c r="O2538" s="11"/>
      <c r="P2538" s="11"/>
      <c r="Q2538" s="11"/>
    </row>
    <row r="2539" spans="10:17">
      <c r="J2539" s="11"/>
      <c r="K2539" s="1533"/>
      <c r="L2539" s="11"/>
      <c r="M2539" s="11"/>
      <c r="N2539" s="11"/>
      <c r="O2539" s="11"/>
      <c r="P2539" s="11"/>
      <c r="Q2539" s="11"/>
    </row>
    <row r="2540" spans="10:17">
      <c r="J2540" s="11"/>
      <c r="K2540" s="1533"/>
      <c r="L2540" s="11"/>
      <c r="M2540" s="11"/>
      <c r="N2540" s="11"/>
      <c r="O2540" s="11"/>
      <c r="P2540" s="11"/>
      <c r="Q2540" s="11"/>
    </row>
    <row r="2541" spans="10:17">
      <c r="J2541" s="11"/>
      <c r="K2541" s="1533"/>
      <c r="L2541" s="11"/>
      <c r="M2541" s="11"/>
      <c r="N2541" s="11"/>
      <c r="O2541" s="11"/>
      <c r="P2541" s="11"/>
      <c r="Q2541" s="11"/>
    </row>
    <row r="2542" spans="10:17">
      <c r="J2542" s="11"/>
      <c r="K2542" s="1533"/>
      <c r="L2542" s="11"/>
      <c r="M2542" s="11"/>
      <c r="N2542" s="11"/>
      <c r="O2542" s="11"/>
      <c r="P2542" s="11"/>
      <c r="Q2542" s="11"/>
    </row>
    <row r="2543" spans="10:17">
      <c r="J2543" s="11"/>
      <c r="K2543" s="1533"/>
      <c r="L2543" s="11"/>
      <c r="M2543" s="11"/>
      <c r="N2543" s="11"/>
      <c r="O2543" s="11"/>
      <c r="P2543" s="11"/>
      <c r="Q2543" s="11"/>
    </row>
    <row r="2544" spans="10:17">
      <c r="J2544" s="11"/>
      <c r="K2544" s="1533"/>
      <c r="L2544" s="11"/>
      <c r="M2544" s="11"/>
      <c r="N2544" s="11"/>
      <c r="O2544" s="11"/>
      <c r="P2544" s="11"/>
      <c r="Q2544" s="11"/>
    </row>
    <row r="2545" spans="10:17">
      <c r="J2545" s="11"/>
      <c r="K2545" s="1533"/>
      <c r="L2545" s="11"/>
      <c r="M2545" s="11"/>
      <c r="N2545" s="11"/>
      <c r="O2545" s="11"/>
      <c r="P2545" s="11"/>
      <c r="Q2545" s="11"/>
    </row>
    <row r="2546" spans="10:17">
      <c r="J2546" s="11"/>
      <c r="K2546" s="1533"/>
      <c r="L2546" s="11"/>
      <c r="M2546" s="11"/>
      <c r="N2546" s="11"/>
      <c r="O2546" s="11"/>
      <c r="P2546" s="11"/>
      <c r="Q2546" s="11"/>
    </row>
    <row r="2547" spans="10:17">
      <c r="J2547" s="11"/>
      <c r="K2547" s="1533"/>
      <c r="L2547" s="11"/>
      <c r="M2547" s="11"/>
      <c r="N2547" s="11"/>
      <c r="O2547" s="11"/>
      <c r="P2547" s="11"/>
      <c r="Q2547" s="11"/>
    </row>
    <row r="2548" spans="10:17">
      <c r="J2548" s="11"/>
      <c r="K2548" s="1533"/>
      <c r="L2548" s="11"/>
      <c r="M2548" s="11"/>
      <c r="N2548" s="11"/>
      <c r="O2548" s="11"/>
      <c r="P2548" s="11"/>
      <c r="Q2548" s="11"/>
    </row>
    <row r="2549" spans="10:17">
      <c r="J2549" s="11"/>
      <c r="K2549" s="1533"/>
      <c r="L2549" s="11"/>
      <c r="M2549" s="11"/>
      <c r="N2549" s="11"/>
      <c r="O2549" s="11"/>
      <c r="P2549" s="11"/>
      <c r="Q2549" s="11"/>
    </row>
    <row r="2550" spans="10:17">
      <c r="J2550" s="11"/>
      <c r="K2550" s="1533"/>
      <c r="L2550" s="11"/>
      <c r="M2550" s="11"/>
      <c r="N2550" s="11"/>
      <c r="O2550" s="11"/>
      <c r="P2550" s="11"/>
      <c r="Q2550" s="11"/>
    </row>
    <row r="2551" spans="10:17">
      <c r="J2551" s="11"/>
      <c r="K2551" s="1533"/>
      <c r="L2551" s="11"/>
      <c r="M2551" s="11"/>
      <c r="N2551" s="11"/>
      <c r="O2551" s="11"/>
      <c r="P2551" s="11"/>
      <c r="Q2551" s="11"/>
    </row>
    <row r="2552" spans="10:17">
      <c r="J2552" s="11"/>
      <c r="K2552" s="1533"/>
      <c r="L2552" s="11"/>
      <c r="M2552" s="11"/>
      <c r="N2552" s="11"/>
      <c r="O2552" s="11"/>
      <c r="P2552" s="11"/>
      <c r="Q2552" s="11"/>
    </row>
    <row r="2553" spans="10:17">
      <c r="J2553" s="11"/>
      <c r="K2553" s="1533"/>
      <c r="L2553" s="11"/>
      <c r="M2553" s="11"/>
      <c r="N2553" s="11"/>
      <c r="O2553" s="11"/>
      <c r="P2553" s="11"/>
      <c r="Q2553" s="11"/>
    </row>
    <row r="2554" spans="10:17">
      <c r="J2554" s="11"/>
      <c r="K2554" s="1533"/>
      <c r="L2554" s="11"/>
      <c r="M2554" s="11"/>
      <c r="N2554" s="11"/>
      <c r="O2554" s="11"/>
      <c r="P2554" s="11"/>
      <c r="Q2554" s="11"/>
    </row>
    <row r="2555" spans="10:17">
      <c r="J2555" s="11"/>
      <c r="K2555" s="1533"/>
      <c r="L2555" s="11"/>
      <c r="M2555" s="11"/>
      <c r="N2555" s="11"/>
      <c r="O2555" s="11"/>
      <c r="P2555" s="11"/>
      <c r="Q2555" s="11"/>
    </row>
    <row r="2556" spans="10:17">
      <c r="J2556" s="11"/>
      <c r="K2556" s="1533"/>
      <c r="L2556" s="11"/>
      <c r="M2556" s="11"/>
      <c r="N2556" s="11"/>
      <c r="O2556" s="11"/>
      <c r="P2556" s="11"/>
      <c r="Q2556" s="11"/>
    </row>
    <row r="2557" spans="10:17">
      <c r="J2557" s="11"/>
      <c r="K2557" s="1533"/>
      <c r="L2557" s="11"/>
      <c r="M2557" s="11"/>
      <c r="N2557" s="11"/>
      <c r="O2557" s="11"/>
      <c r="P2557" s="11"/>
      <c r="Q2557" s="11"/>
    </row>
    <row r="2558" spans="10:17">
      <c r="J2558" s="11"/>
      <c r="K2558" s="1533"/>
      <c r="L2558" s="11"/>
      <c r="M2558" s="11"/>
      <c r="N2558" s="11"/>
      <c r="O2558" s="11"/>
      <c r="P2558" s="11"/>
      <c r="Q2558" s="11"/>
    </row>
    <row r="2559" spans="10:17">
      <c r="J2559" s="11"/>
      <c r="K2559" s="1533"/>
      <c r="L2559" s="11"/>
      <c r="M2559" s="11"/>
      <c r="N2559" s="11"/>
      <c r="O2559" s="11"/>
      <c r="P2559" s="11"/>
      <c r="Q2559" s="11"/>
    </row>
    <row r="2560" spans="10:17">
      <c r="J2560" s="11"/>
      <c r="K2560" s="1533"/>
      <c r="L2560" s="11"/>
      <c r="M2560" s="11"/>
      <c r="N2560" s="11"/>
      <c r="O2560" s="11"/>
      <c r="P2560" s="11"/>
      <c r="Q2560" s="11"/>
    </row>
    <row r="2561" spans="10:17">
      <c r="J2561" s="11"/>
      <c r="K2561" s="1533"/>
      <c r="L2561" s="11"/>
      <c r="M2561" s="11"/>
      <c r="N2561" s="11"/>
      <c r="O2561" s="11"/>
      <c r="P2561" s="11"/>
      <c r="Q2561" s="11"/>
    </row>
    <row r="2562" spans="10:17">
      <c r="J2562" s="11"/>
      <c r="K2562" s="1533"/>
      <c r="L2562" s="11"/>
      <c r="M2562" s="11"/>
      <c r="N2562" s="11"/>
      <c r="O2562" s="11"/>
      <c r="P2562" s="11"/>
      <c r="Q2562" s="11"/>
    </row>
    <row r="2563" spans="10:17">
      <c r="J2563" s="11"/>
      <c r="K2563" s="1533"/>
      <c r="L2563" s="11"/>
      <c r="M2563" s="11"/>
      <c r="N2563" s="11"/>
      <c r="O2563" s="11"/>
      <c r="P2563" s="11"/>
      <c r="Q2563" s="11"/>
    </row>
    <row r="2564" spans="10:17">
      <c r="J2564" s="11"/>
      <c r="K2564" s="1533"/>
      <c r="L2564" s="11"/>
      <c r="M2564" s="11"/>
      <c r="N2564" s="11"/>
      <c r="O2564" s="11"/>
      <c r="P2564" s="11"/>
      <c r="Q2564" s="11"/>
    </row>
    <row r="2565" spans="10:17">
      <c r="J2565" s="11"/>
      <c r="K2565" s="1533"/>
      <c r="L2565" s="11"/>
      <c r="M2565" s="11"/>
      <c r="N2565" s="11"/>
      <c r="O2565" s="11"/>
      <c r="P2565" s="11"/>
      <c r="Q2565" s="11"/>
    </row>
    <row r="2566" spans="10:17">
      <c r="J2566" s="11"/>
      <c r="K2566" s="1533"/>
      <c r="L2566" s="11"/>
      <c r="M2566" s="11"/>
      <c r="N2566" s="11"/>
      <c r="O2566" s="11"/>
      <c r="P2566" s="11"/>
      <c r="Q2566" s="11"/>
    </row>
    <row r="2567" spans="10:17">
      <c r="J2567" s="11"/>
      <c r="K2567" s="1533"/>
      <c r="L2567" s="11"/>
      <c r="M2567" s="11"/>
      <c r="N2567" s="11"/>
      <c r="O2567" s="11"/>
      <c r="P2567" s="11"/>
      <c r="Q2567" s="11"/>
    </row>
    <row r="2568" spans="10:17">
      <c r="J2568" s="11"/>
      <c r="K2568" s="1533"/>
      <c r="L2568" s="11"/>
      <c r="M2568" s="11"/>
      <c r="N2568" s="11"/>
      <c r="O2568" s="11"/>
      <c r="P2568" s="11"/>
      <c r="Q2568" s="11"/>
    </row>
    <row r="2569" spans="10:17">
      <c r="J2569" s="11"/>
      <c r="K2569" s="1533"/>
      <c r="L2569" s="11"/>
      <c r="M2569" s="11"/>
      <c r="N2569" s="11"/>
      <c r="O2569" s="11"/>
      <c r="P2569" s="11"/>
      <c r="Q2569" s="11"/>
    </row>
    <row r="2570" spans="10:17">
      <c r="J2570" s="11"/>
      <c r="K2570" s="1533"/>
      <c r="L2570" s="11"/>
      <c r="M2570" s="11"/>
      <c r="N2570" s="11"/>
      <c r="O2570" s="11"/>
      <c r="P2570" s="11"/>
      <c r="Q2570" s="11"/>
    </row>
    <row r="2571" spans="10:17">
      <c r="J2571" s="11"/>
      <c r="K2571" s="1533"/>
      <c r="L2571" s="11"/>
      <c r="M2571" s="11"/>
      <c r="N2571" s="11"/>
      <c r="O2571" s="11"/>
      <c r="P2571" s="11"/>
      <c r="Q2571" s="11"/>
    </row>
    <row r="2572" spans="10:17">
      <c r="J2572" s="11"/>
      <c r="K2572" s="1533"/>
      <c r="L2572" s="11"/>
      <c r="M2572" s="11"/>
      <c r="N2572" s="11"/>
      <c r="O2572" s="11"/>
      <c r="P2572" s="11"/>
      <c r="Q2572" s="11"/>
    </row>
    <row r="2573" spans="10:17">
      <c r="J2573" s="11"/>
      <c r="K2573" s="1533"/>
      <c r="L2573" s="11"/>
      <c r="M2573" s="11"/>
      <c r="N2573" s="11"/>
      <c r="O2573" s="11"/>
      <c r="P2573" s="11"/>
      <c r="Q2573" s="11"/>
    </row>
    <row r="2574" spans="10:17">
      <c r="J2574" s="11"/>
      <c r="K2574" s="1533"/>
      <c r="L2574" s="11"/>
      <c r="M2574" s="11"/>
      <c r="N2574" s="11"/>
      <c r="O2574" s="11"/>
      <c r="P2574" s="11"/>
      <c r="Q2574" s="11"/>
    </row>
    <row r="2575" spans="10:17">
      <c r="J2575" s="11"/>
      <c r="K2575" s="1533"/>
      <c r="L2575" s="11"/>
      <c r="M2575" s="11"/>
      <c r="N2575" s="11"/>
      <c r="O2575" s="11"/>
      <c r="P2575" s="11"/>
      <c r="Q2575" s="11"/>
    </row>
    <row r="2576" spans="10:17">
      <c r="J2576" s="11"/>
      <c r="K2576" s="1533"/>
      <c r="L2576" s="11"/>
      <c r="M2576" s="11"/>
      <c r="N2576" s="11"/>
      <c r="O2576" s="11"/>
      <c r="P2576" s="11"/>
      <c r="Q2576" s="11"/>
    </row>
    <row r="2577" spans="10:17">
      <c r="J2577" s="11"/>
      <c r="K2577" s="1533"/>
      <c r="L2577" s="11"/>
      <c r="M2577" s="11"/>
      <c r="N2577" s="11"/>
      <c r="O2577" s="11"/>
      <c r="P2577" s="11"/>
      <c r="Q2577" s="11"/>
    </row>
    <row r="2578" spans="10:17">
      <c r="J2578" s="11"/>
      <c r="K2578" s="1533"/>
      <c r="L2578" s="11"/>
      <c r="M2578" s="11"/>
      <c r="N2578" s="11"/>
      <c r="O2578" s="11"/>
      <c r="P2578" s="11"/>
      <c r="Q2578" s="11"/>
    </row>
    <row r="2579" spans="10:17">
      <c r="J2579" s="11"/>
      <c r="K2579" s="1533"/>
      <c r="L2579" s="11"/>
      <c r="M2579" s="11"/>
      <c r="N2579" s="11"/>
      <c r="O2579" s="11"/>
      <c r="P2579" s="11"/>
      <c r="Q2579" s="11"/>
    </row>
    <row r="2580" spans="10:17">
      <c r="J2580" s="11"/>
      <c r="K2580" s="1533"/>
      <c r="L2580" s="11"/>
      <c r="M2580" s="11"/>
      <c r="N2580" s="11"/>
      <c r="O2580" s="11"/>
      <c r="P2580" s="11"/>
      <c r="Q2580" s="11"/>
    </row>
    <row r="2581" spans="10:17">
      <c r="J2581" s="11"/>
      <c r="K2581" s="1533"/>
      <c r="L2581" s="11"/>
      <c r="M2581" s="11"/>
      <c r="N2581" s="11"/>
      <c r="O2581" s="11"/>
      <c r="P2581" s="11"/>
      <c r="Q2581" s="11"/>
    </row>
    <row r="2582" spans="10:17">
      <c r="J2582" s="11"/>
      <c r="K2582" s="1533"/>
      <c r="L2582" s="11"/>
      <c r="M2582" s="11"/>
      <c r="N2582" s="11"/>
      <c r="O2582" s="11"/>
      <c r="P2582" s="11"/>
      <c r="Q2582" s="11"/>
    </row>
    <row r="2583" spans="10:17">
      <c r="J2583" s="11"/>
      <c r="K2583" s="1533"/>
      <c r="L2583" s="11"/>
      <c r="M2583" s="11"/>
      <c r="N2583" s="11"/>
      <c r="O2583" s="11"/>
      <c r="P2583" s="11"/>
      <c r="Q2583" s="11"/>
    </row>
    <row r="2584" spans="10:17">
      <c r="J2584" s="11"/>
      <c r="K2584" s="1533"/>
      <c r="L2584" s="11"/>
      <c r="M2584" s="11"/>
      <c r="N2584" s="11"/>
      <c r="O2584" s="11"/>
      <c r="P2584" s="11"/>
      <c r="Q2584" s="11"/>
    </row>
    <row r="2585" spans="10:17">
      <c r="J2585" s="11"/>
      <c r="K2585" s="1533"/>
      <c r="L2585" s="11"/>
      <c r="M2585" s="11"/>
      <c r="N2585" s="11"/>
      <c r="O2585" s="11"/>
      <c r="P2585" s="11"/>
      <c r="Q2585" s="11"/>
    </row>
    <row r="2586" spans="10:17">
      <c r="J2586" s="11"/>
      <c r="K2586" s="1533"/>
      <c r="L2586" s="11"/>
      <c r="M2586" s="11"/>
      <c r="N2586" s="11"/>
      <c r="O2586" s="11"/>
      <c r="P2586" s="11"/>
      <c r="Q2586" s="11"/>
    </row>
    <row r="2587" spans="10:17">
      <c r="J2587" s="11"/>
      <c r="K2587" s="1533"/>
      <c r="L2587" s="11"/>
      <c r="M2587" s="11"/>
      <c r="N2587" s="11"/>
      <c r="O2587" s="11"/>
      <c r="P2587" s="11"/>
      <c r="Q2587" s="11"/>
    </row>
    <row r="2588" spans="10:17">
      <c r="J2588" s="11"/>
      <c r="K2588" s="1533"/>
      <c r="L2588" s="11"/>
      <c r="M2588" s="11"/>
      <c r="N2588" s="11"/>
      <c r="O2588" s="11"/>
      <c r="P2588" s="11"/>
      <c r="Q2588" s="11"/>
    </row>
    <row r="2589" spans="10:17">
      <c r="J2589" s="11"/>
      <c r="K2589" s="1533"/>
      <c r="L2589" s="11"/>
      <c r="M2589" s="11"/>
      <c r="N2589" s="11"/>
      <c r="O2589" s="11"/>
      <c r="P2589" s="11"/>
      <c r="Q2589" s="11"/>
    </row>
    <row r="2590" spans="10:17">
      <c r="J2590" s="11"/>
      <c r="K2590" s="1533"/>
      <c r="L2590" s="11"/>
      <c r="M2590" s="11"/>
      <c r="N2590" s="11"/>
      <c r="O2590" s="11"/>
      <c r="P2590" s="11"/>
      <c r="Q2590" s="11"/>
    </row>
    <row r="2591" spans="10:17">
      <c r="J2591" s="11"/>
      <c r="K2591" s="1533"/>
      <c r="L2591" s="11"/>
      <c r="M2591" s="11"/>
      <c r="N2591" s="11"/>
      <c r="O2591" s="11"/>
      <c r="P2591" s="11"/>
      <c r="Q2591" s="11"/>
    </row>
    <row r="2592" spans="10:17">
      <c r="J2592" s="11"/>
      <c r="K2592" s="1533"/>
      <c r="L2592" s="11"/>
      <c r="M2592" s="11"/>
      <c r="N2592" s="11"/>
      <c r="O2592" s="11"/>
      <c r="P2592" s="11"/>
      <c r="Q2592" s="11"/>
    </row>
    <row r="2593" spans="10:17">
      <c r="J2593" s="11"/>
      <c r="K2593" s="1533"/>
      <c r="L2593" s="11"/>
      <c r="M2593" s="11"/>
      <c r="N2593" s="11"/>
      <c r="O2593" s="11"/>
      <c r="P2593" s="11"/>
      <c r="Q2593" s="11"/>
    </row>
    <row r="2594" spans="10:17">
      <c r="J2594" s="11"/>
      <c r="K2594" s="1533"/>
      <c r="L2594" s="11"/>
      <c r="M2594" s="11"/>
      <c r="N2594" s="11"/>
      <c r="O2594" s="11"/>
      <c r="P2594" s="11"/>
      <c r="Q2594" s="11"/>
    </row>
    <row r="2595" spans="10:17">
      <c r="J2595" s="11"/>
      <c r="K2595" s="1533"/>
      <c r="L2595" s="11"/>
      <c r="M2595" s="11"/>
      <c r="N2595" s="11"/>
      <c r="O2595" s="11"/>
      <c r="P2595" s="11"/>
      <c r="Q2595" s="11"/>
    </row>
    <row r="2596" spans="10:17">
      <c r="J2596" s="11"/>
      <c r="K2596" s="1533"/>
      <c r="L2596" s="11"/>
      <c r="M2596" s="11"/>
      <c r="N2596" s="11"/>
      <c r="O2596" s="11"/>
      <c r="P2596" s="11"/>
      <c r="Q2596" s="11"/>
    </row>
    <row r="2597" spans="10:17">
      <c r="J2597" s="11"/>
      <c r="K2597" s="1533"/>
      <c r="L2597" s="11"/>
      <c r="M2597" s="11"/>
      <c r="N2597" s="11"/>
      <c r="O2597" s="11"/>
      <c r="P2597" s="11"/>
      <c r="Q2597" s="11"/>
    </row>
    <row r="2598" spans="10:17">
      <c r="J2598" s="11"/>
      <c r="K2598" s="1533"/>
      <c r="L2598" s="11"/>
      <c r="M2598" s="11"/>
      <c r="N2598" s="11"/>
      <c r="O2598" s="11"/>
      <c r="P2598" s="11"/>
      <c r="Q2598" s="11"/>
    </row>
    <row r="2599" spans="10:17">
      <c r="J2599" s="11"/>
      <c r="K2599" s="1533"/>
      <c r="L2599" s="11"/>
      <c r="M2599" s="11"/>
      <c r="N2599" s="11"/>
      <c r="O2599" s="11"/>
      <c r="P2599" s="11"/>
      <c r="Q2599" s="11"/>
    </row>
    <row r="2600" spans="10:17">
      <c r="J2600" s="11"/>
      <c r="K2600" s="1533"/>
      <c r="L2600" s="11"/>
      <c r="M2600" s="11"/>
      <c r="N2600" s="11"/>
      <c r="O2600" s="11"/>
      <c r="P2600" s="11"/>
      <c r="Q2600" s="11"/>
    </row>
    <row r="2601" spans="10:17">
      <c r="J2601" s="11"/>
      <c r="K2601" s="1533"/>
      <c r="L2601" s="11"/>
      <c r="M2601" s="11"/>
      <c r="N2601" s="11"/>
      <c r="O2601" s="11"/>
      <c r="P2601" s="11"/>
      <c r="Q2601" s="11"/>
    </row>
    <row r="2602" spans="10:17">
      <c r="J2602" s="11"/>
      <c r="K2602" s="1533"/>
      <c r="L2602" s="11"/>
      <c r="M2602" s="11"/>
      <c r="N2602" s="11"/>
      <c r="O2602" s="11"/>
      <c r="P2602" s="11"/>
      <c r="Q2602" s="11"/>
    </row>
    <row r="2603" spans="10:17">
      <c r="J2603" s="11"/>
      <c r="K2603" s="1533"/>
      <c r="L2603" s="11"/>
      <c r="M2603" s="11"/>
      <c r="N2603" s="11"/>
      <c r="O2603" s="11"/>
      <c r="P2603" s="11"/>
      <c r="Q2603" s="11"/>
    </row>
    <row r="2604" spans="10:17">
      <c r="J2604" s="11"/>
      <c r="K2604" s="1533"/>
      <c r="L2604" s="11"/>
      <c r="M2604" s="11"/>
      <c r="N2604" s="11"/>
      <c r="O2604" s="11"/>
      <c r="P2604" s="11"/>
      <c r="Q2604" s="11"/>
    </row>
    <row r="2605" spans="10:17">
      <c r="J2605" s="11"/>
      <c r="K2605" s="1533"/>
      <c r="L2605" s="11"/>
      <c r="M2605" s="11"/>
      <c r="N2605" s="11"/>
      <c r="O2605" s="11"/>
      <c r="P2605" s="11"/>
      <c r="Q2605" s="11"/>
    </row>
    <row r="2606" spans="10:17">
      <c r="J2606" s="11"/>
      <c r="K2606" s="1533"/>
      <c r="L2606" s="11"/>
      <c r="M2606" s="11"/>
      <c r="N2606" s="11"/>
      <c r="O2606" s="11"/>
      <c r="P2606" s="11"/>
      <c r="Q2606" s="11"/>
    </row>
    <row r="2607" spans="10:17">
      <c r="J2607" s="11"/>
      <c r="K2607" s="1533"/>
      <c r="L2607" s="11"/>
      <c r="M2607" s="11"/>
      <c r="N2607" s="11"/>
      <c r="O2607" s="11"/>
      <c r="P2607" s="11"/>
      <c r="Q2607" s="11"/>
    </row>
    <row r="2608" spans="10:17">
      <c r="J2608" s="11"/>
      <c r="K2608" s="1533"/>
      <c r="L2608" s="11"/>
      <c r="M2608" s="11"/>
      <c r="N2608" s="11"/>
      <c r="O2608" s="11"/>
      <c r="P2608" s="11"/>
      <c r="Q2608" s="11"/>
    </row>
    <row r="2609" spans="10:17">
      <c r="J2609" s="11"/>
      <c r="K2609" s="1533"/>
      <c r="L2609" s="11"/>
      <c r="M2609" s="11"/>
      <c r="N2609" s="11"/>
      <c r="O2609" s="11"/>
      <c r="P2609" s="11"/>
      <c r="Q2609" s="11"/>
    </row>
    <row r="2610" spans="10:17">
      <c r="J2610" s="11"/>
      <c r="K2610" s="1533"/>
      <c r="L2610" s="11"/>
      <c r="M2610" s="11"/>
      <c r="N2610" s="11"/>
      <c r="O2610" s="11"/>
      <c r="P2610" s="11"/>
      <c r="Q2610" s="11"/>
    </row>
    <row r="2611" spans="10:17">
      <c r="J2611" s="11"/>
      <c r="K2611" s="1533"/>
      <c r="L2611" s="11"/>
      <c r="M2611" s="11"/>
      <c r="N2611" s="11"/>
      <c r="O2611" s="11"/>
      <c r="P2611" s="11"/>
      <c r="Q2611" s="11"/>
    </row>
    <row r="2612" spans="10:17">
      <c r="J2612" s="11"/>
      <c r="K2612" s="1533"/>
      <c r="L2612" s="11"/>
      <c r="M2612" s="11"/>
      <c r="N2612" s="11"/>
      <c r="O2612" s="11"/>
      <c r="P2612" s="11"/>
      <c r="Q2612" s="11"/>
    </row>
    <row r="2613" spans="10:17">
      <c r="J2613" s="11"/>
      <c r="K2613" s="1533"/>
      <c r="L2613" s="11"/>
      <c r="M2613" s="11"/>
      <c r="N2613" s="11"/>
      <c r="O2613" s="11"/>
      <c r="P2613" s="11"/>
      <c r="Q2613" s="11"/>
    </row>
    <row r="2614" spans="10:17">
      <c r="J2614" s="11"/>
      <c r="K2614" s="1533"/>
      <c r="L2614" s="11"/>
      <c r="M2614" s="11"/>
      <c r="N2614" s="11"/>
      <c r="O2614" s="11"/>
      <c r="P2614" s="11"/>
      <c r="Q2614" s="11"/>
    </row>
    <row r="2615" spans="10:17">
      <c r="J2615" s="11"/>
      <c r="K2615" s="1533"/>
      <c r="L2615" s="11"/>
      <c r="M2615" s="11"/>
      <c r="N2615" s="11"/>
      <c r="O2615" s="11"/>
      <c r="P2615" s="11"/>
      <c r="Q2615" s="11"/>
    </row>
    <row r="2616" spans="10:17">
      <c r="J2616" s="11"/>
      <c r="K2616" s="1533"/>
      <c r="L2616" s="11"/>
      <c r="M2616" s="11"/>
      <c r="N2616" s="11"/>
      <c r="O2616" s="11"/>
      <c r="P2616" s="11"/>
      <c r="Q2616" s="11"/>
    </row>
    <row r="2617" spans="10:17">
      <c r="J2617" s="11"/>
      <c r="K2617" s="1533"/>
      <c r="L2617" s="11"/>
      <c r="M2617" s="11"/>
      <c r="N2617" s="11"/>
      <c r="O2617" s="11"/>
      <c r="P2617" s="11"/>
      <c r="Q2617" s="11"/>
    </row>
    <row r="2618" spans="10:17">
      <c r="J2618" s="11"/>
      <c r="K2618" s="1533"/>
      <c r="L2618" s="11"/>
      <c r="M2618" s="11"/>
      <c r="N2618" s="11"/>
      <c r="O2618" s="11"/>
      <c r="P2618" s="11"/>
      <c r="Q2618" s="11"/>
    </row>
    <row r="2619" spans="10:17">
      <c r="J2619" s="11"/>
      <c r="K2619" s="1533"/>
      <c r="L2619" s="11"/>
      <c r="M2619" s="11"/>
      <c r="N2619" s="11"/>
      <c r="O2619" s="11"/>
      <c r="P2619" s="11"/>
      <c r="Q2619" s="11"/>
    </row>
    <row r="2620" spans="10:17">
      <c r="J2620" s="11"/>
      <c r="K2620" s="1533"/>
      <c r="L2620" s="11"/>
      <c r="M2620" s="11"/>
      <c r="N2620" s="11"/>
      <c r="O2620" s="11"/>
      <c r="P2620" s="11"/>
      <c r="Q2620" s="11"/>
    </row>
    <row r="2621" spans="10:17">
      <c r="J2621" s="11"/>
      <c r="K2621" s="1533"/>
      <c r="L2621" s="11"/>
      <c r="M2621" s="11"/>
      <c r="N2621" s="11"/>
      <c r="O2621" s="11"/>
      <c r="P2621" s="11"/>
      <c r="Q2621" s="11"/>
    </row>
    <row r="2622" spans="10:17">
      <c r="J2622" s="11"/>
      <c r="K2622" s="1533"/>
      <c r="L2622" s="11"/>
      <c r="M2622" s="11"/>
      <c r="N2622" s="11"/>
      <c r="O2622" s="11"/>
      <c r="P2622" s="11"/>
      <c r="Q2622" s="11"/>
    </row>
    <row r="2623" spans="10:17">
      <c r="J2623" s="11"/>
      <c r="K2623" s="1533"/>
      <c r="L2623" s="11"/>
      <c r="M2623" s="11"/>
      <c r="N2623" s="11"/>
      <c r="O2623" s="11"/>
      <c r="P2623" s="11"/>
      <c r="Q2623" s="11"/>
    </row>
    <row r="2624" spans="10:17">
      <c r="J2624" s="11"/>
      <c r="K2624" s="1533"/>
      <c r="L2624" s="11"/>
      <c r="M2624" s="11"/>
      <c r="N2624" s="11"/>
      <c r="O2624" s="11"/>
      <c r="P2624" s="11"/>
      <c r="Q2624" s="11"/>
    </row>
    <row r="2625" spans="10:17">
      <c r="J2625" s="11"/>
      <c r="K2625" s="1533"/>
      <c r="L2625" s="11"/>
      <c r="M2625" s="11"/>
      <c r="N2625" s="11"/>
      <c r="O2625" s="11"/>
      <c r="P2625" s="11"/>
      <c r="Q2625" s="11"/>
    </row>
    <row r="2626" spans="10:17">
      <c r="J2626" s="11"/>
      <c r="K2626" s="1533"/>
      <c r="L2626" s="11"/>
      <c r="M2626" s="11"/>
      <c r="N2626" s="11"/>
      <c r="O2626" s="11"/>
      <c r="P2626" s="11"/>
      <c r="Q2626" s="11"/>
    </row>
    <row r="2627" spans="10:17">
      <c r="J2627" s="11"/>
      <c r="K2627" s="1533"/>
      <c r="L2627" s="11"/>
      <c r="M2627" s="11"/>
      <c r="N2627" s="11"/>
      <c r="O2627" s="11"/>
      <c r="P2627" s="11"/>
      <c r="Q2627" s="11"/>
    </row>
    <row r="2628" spans="10:17">
      <c r="J2628" s="11"/>
      <c r="K2628" s="1533"/>
      <c r="L2628" s="11"/>
      <c r="M2628" s="11"/>
      <c r="N2628" s="11"/>
      <c r="O2628" s="11"/>
      <c r="P2628" s="11"/>
      <c r="Q2628" s="11"/>
    </row>
    <row r="2629" spans="10:17">
      <c r="J2629" s="11"/>
      <c r="K2629" s="1533"/>
      <c r="L2629" s="11"/>
      <c r="M2629" s="11"/>
      <c r="N2629" s="11"/>
      <c r="O2629" s="11"/>
      <c r="P2629" s="11"/>
      <c r="Q2629" s="11"/>
    </row>
    <row r="2630" spans="10:17">
      <c r="J2630" s="11"/>
      <c r="K2630" s="1533"/>
      <c r="L2630" s="11"/>
      <c r="M2630" s="11"/>
      <c r="N2630" s="11"/>
      <c r="O2630" s="11"/>
      <c r="P2630" s="11"/>
      <c r="Q2630" s="11"/>
    </row>
    <row r="2631" spans="10:17">
      <c r="J2631" s="11"/>
      <c r="K2631" s="1533"/>
      <c r="L2631" s="11"/>
      <c r="M2631" s="11"/>
      <c r="N2631" s="11"/>
      <c r="O2631" s="11"/>
      <c r="P2631" s="11"/>
      <c r="Q2631" s="11"/>
    </row>
    <row r="2632" spans="10:17">
      <c r="J2632" s="11"/>
      <c r="K2632" s="1533"/>
      <c r="L2632" s="11"/>
      <c r="M2632" s="11"/>
      <c r="N2632" s="11"/>
      <c r="O2632" s="11"/>
      <c r="P2632" s="11"/>
      <c r="Q2632" s="11"/>
    </row>
    <row r="2633" spans="10:17">
      <c r="J2633" s="11"/>
      <c r="K2633" s="1533"/>
      <c r="L2633" s="11"/>
      <c r="M2633" s="11"/>
      <c r="N2633" s="11"/>
      <c r="O2633" s="11"/>
      <c r="P2633" s="11"/>
      <c r="Q2633" s="11"/>
    </row>
    <row r="2634" spans="10:17">
      <c r="J2634" s="11"/>
      <c r="K2634" s="1533"/>
      <c r="L2634" s="11"/>
      <c r="M2634" s="11"/>
      <c r="N2634" s="11"/>
      <c r="O2634" s="11"/>
      <c r="P2634" s="11"/>
      <c r="Q2634" s="11"/>
    </row>
    <row r="2635" spans="10:17">
      <c r="J2635" s="11"/>
      <c r="K2635" s="1533"/>
      <c r="L2635" s="11"/>
      <c r="M2635" s="11"/>
      <c r="N2635" s="11"/>
      <c r="O2635" s="11"/>
      <c r="P2635" s="11"/>
      <c r="Q2635" s="11"/>
    </row>
    <row r="2636" spans="10:17">
      <c r="J2636" s="11"/>
      <c r="K2636" s="1533"/>
      <c r="L2636" s="11"/>
      <c r="M2636" s="11"/>
      <c r="N2636" s="11"/>
      <c r="O2636" s="11"/>
      <c r="P2636" s="11"/>
      <c r="Q2636" s="11"/>
    </row>
    <row r="2637" spans="10:17">
      <c r="J2637" s="11"/>
      <c r="K2637" s="1533"/>
      <c r="L2637" s="11"/>
      <c r="M2637" s="11"/>
      <c r="N2637" s="11"/>
      <c r="O2637" s="11"/>
      <c r="P2637" s="11"/>
      <c r="Q2637" s="11"/>
    </row>
    <row r="2638" spans="10:17">
      <c r="J2638" s="11"/>
      <c r="K2638" s="1533"/>
      <c r="L2638" s="11"/>
      <c r="M2638" s="11"/>
      <c r="N2638" s="11"/>
      <c r="O2638" s="11"/>
      <c r="P2638" s="11"/>
      <c r="Q2638" s="11"/>
    </row>
    <row r="2639" spans="10:17">
      <c r="J2639" s="11"/>
      <c r="K2639" s="1533"/>
      <c r="L2639" s="11"/>
      <c r="M2639" s="11"/>
      <c r="N2639" s="11"/>
      <c r="O2639" s="11"/>
      <c r="P2639" s="11"/>
      <c r="Q2639" s="11"/>
    </row>
    <row r="2640" spans="10:17">
      <c r="J2640" s="11"/>
      <c r="K2640" s="1533"/>
      <c r="L2640" s="11"/>
      <c r="M2640" s="11"/>
      <c r="N2640" s="11"/>
      <c r="O2640" s="11"/>
      <c r="P2640" s="11"/>
      <c r="Q2640" s="11"/>
    </row>
    <row r="2641" spans="10:17">
      <c r="J2641" s="11"/>
      <c r="K2641" s="1533"/>
      <c r="L2641" s="11"/>
      <c r="M2641" s="11"/>
      <c r="N2641" s="11"/>
      <c r="O2641" s="11"/>
      <c r="P2641" s="11"/>
      <c r="Q2641" s="11"/>
    </row>
    <row r="2642" spans="10:17">
      <c r="J2642" s="11"/>
      <c r="K2642" s="1533"/>
      <c r="L2642" s="11"/>
      <c r="M2642" s="11"/>
      <c r="N2642" s="11"/>
      <c r="O2642" s="11"/>
      <c r="P2642" s="11"/>
      <c r="Q2642" s="11"/>
    </row>
    <row r="2643" spans="10:17">
      <c r="J2643" s="11"/>
      <c r="K2643" s="1533"/>
      <c r="L2643" s="11"/>
      <c r="M2643" s="11"/>
      <c r="N2643" s="11"/>
      <c r="O2643" s="11"/>
      <c r="P2643" s="11"/>
      <c r="Q2643" s="11"/>
    </row>
    <row r="2644" spans="10:17">
      <c r="J2644" s="11"/>
      <c r="K2644" s="1533"/>
      <c r="L2644" s="11"/>
      <c r="M2644" s="11"/>
      <c r="N2644" s="11"/>
      <c r="O2644" s="11"/>
      <c r="P2644" s="11"/>
      <c r="Q2644" s="11"/>
    </row>
    <row r="2645" spans="10:17">
      <c r="J2645" s="11"/>
      <c r="K2645" s="1533"/>
      <c r="L2645" s="11"/>
      <c r="M2645" s="11"/>
      <c r="N2645" s="11"/>
      <c r="O2645" s="11"/>
      <c r="P2645" s="11"/>
      <c r="Q2645" s="11"/>
    </row>
    <row r="2646" spans="10:17">
      <c r="J2646" s="11"/>
      <c r="K2646" s="1533"/>
      <c r="L2646" s="11"/>
      <c r="M2646" s="11"/>
      <c r="N2646" s="11"/>
      <c r="O2646" s="11"/>
      <c r="P2646" s="11"/>
      <c r="Q2646" s="11"/>
    </row>
    <row r="2647" spans="10:17">
      <c r="J2647" s="11"/>
      <c r="K2647" s="1533"/>
      <c r="L2647" s="11"/>
      <c r="M2647" s="11"/>
      <c r="N2647" s="11"/>
      <c r="O2647" s="11"/>
      <c r="P2647" s="11"/>
      <c r="Q2647" s="11"/>
    </row>
    <row r="2648" spans="10:17">
      <c r="J2648" s="11"/>
      <c r="K2648" s="1533"/>
      <c r="L2648" s="11"/>
      <c r="M2648" s="11"/>
      <c r="N2648" s="11"/>
      <c r="O2648" s="11"/>
      <c r="P2648" s="11"/>
      <c r="Q2648" s="11"/>
    </row>
    <row r="2649" spans="10:17">
      <c r="J2649" s="11"/>
      <c r="K2649" s="1533"/>
      <c r="L2649" s="11"/>
      <c r="M2649" s="11"/>
      <c r="N2649" s="11"/>
      <c r="O2649" s="11"/>
      <c r="P2649" s="11"/>
      <c r="Q2649" s="11"/>
    </row>
    <row r="2650" spans="10:17">
      <c r="J2650" s="11"/>
      <c r="K2650" s="1533"/>
      <c r="L2650" s="11"/>
      <c r="M2650" s="11"/>
      <c r="N2650" s="11"/>
      <c r="O2650" s="11"/>
      <c r="P2650" s="11"/>
      <c r="Q2650" s="11"/>
    </row>
    <row r="2651" spans="10:17">
      <c r="J2651" s="11"/>
      <c r="K2651" s="1533"/>
      <c r="L2651" s="11"/>
      <c r="M2651" s="11"/>
      <c r="N2651" s="11"/>
      <c r="O2651" s="11"/>
      <c r="P2651" s="11"/>
      <c r="Q2651" s="11"/>
    </row>
    <row r="2652" spans="10:17">
      <c r="J2652" s="11"/>
      <c r="K2652" s="1533"/>
      <c r="L2652" s="11"/>
      <c r="M2652" s="11"/>
      <c r="N2652" s="11"/>
      <c r="O2652" s="11"/>
      <c r="P2652" s="11"/>
      <c r="Q2652" s="11"/>
    </row>
    <row r="2653" spans="10:17">
      <c r="J2653" s="11"/>
      <c r="K2653" s="1533"/>
      <c r="L2653" s="11"/>
      <c r="M2653" s="11"/>
      <c r="N2653" s="11"/>
      <c r="O2653" s="11"/>
      <c r="P2653" s="11"/>
      <c r="Q2653" s="11"/>
    </row>
    <row r="2654" spans="10:17">
      <c r="J2654" s="11"/>
      <c r="K2654" s="1533"/>
      <c r="L2654" s="11"/>
      <c r="M2654" s="11"/>
      <c r="N2654" s="11"/>
      <c r="O2654" s="11"/>
      <c r="P2654" s="11"/>
      <c r="Q2654" s="11"/>
    </row>
    <row r="2655" spans="10:17">
      <c r="J2655" s="11"/>
      <c r="K2655" s="1533"/>
      <c r="L2655" s="11"/>
      <c r="M2655" s="11"/>
      <c r="N2655" s="11"/>
      <c r="O2655" s="11"/>
      <c r="P2655" s="11"/>
      <c r="Q2655" s="11"/>
    </row>
    <row r="2656" spans="10:17">
      <c r="J2656" s="11"/>
      <c r="K2656" s="1533"/>
      <c r="L2656" s="11"/>
      <c r="M2656" s="11"/>
      <c r="N2656" s="11"/>
      <c r="O2656" s="11"/>
      <c r="P2656" s="11"/>
      <c r="Q2656" s="11"/>
    </row>
    <row r="2657" spans="10:17">
      <c r="J2657" s="11"/>
      <c r="K2657" s="1533"/>
      <c r="L2657" s="11"/>
      <c r="M2657" s="11"/>
      <c r="N2657" s="11"/>
      <c r="O2657" s="11"/>
      <c r="P2657" s="11"/>
      <c r="Q2657" s="11"/>
    </row>
    <row r="2658" spans="10:17">
      <c r="J2658" s="11"/>
      <c r="K2658" s="1533"/>
      <c r="L2658" s="11"/>
      <c r="M2658" s="11"/>
      <c r="N2658" s="11"/>
      <c r="O2658" s="11"/>
      <c r="P2658" s="11"/>
      <c r="Q2658" s="11"/>
    </row>
    <row r="2659" spans="10:17">
      <c r="J2659" s="11"/>
      <c r="K2659" s="1533"/>
      <c r="L2659" s="11"/>
      <c r="M2659" s="11"/>
      <c r="N2659" s="11"/>
      <c r="O2659" s="11"/>
      <c r="P2659" s="11"/>
      <c r="Q2659" s="11"/>
    </row>
    <row r="2660" spans="10:17">
      <c r="J2660" s="11"/>
      <c r="K2660" s="1533"/>
      <c r="L2660" s="11"/>
      <c r="M2660" s="11"/>
      <c r="N2660" s="11"/>
      <c r="O2660" s="11"/>
      <c r="P2660" s="11"/>
      <c r="Q2660" s="11"/>
    </row>
    <row r="2661" spans="10:17">
      <c r="J2661" s="11"/>
      <c r="K2661" s="1533"/>
      <c r="L2661" s="11"/>
      <c r="M2661" s="11"/>
      <c r="N2661" s="11"/>
      <c r="O2661" s="11"/>
      <c r="P2661" s="11"/>
      <c r="Q2661" s="11"/>
    </row>
    <row r="2662" spans="10:17">
      <c r="J2662" s="11"/>
      <c r="K2662" s="1533"/>
      <c r="L2662" s="11"/>
      <c r="M2662" s="11"/>
      <c r="N2662" s="11"/>
      <c r="O2662" s="11"/>
      <c r="P2662" s="11"/>
      <c r="Q2662" s="11"/>
    </row>
    <row r="2663" spans="10:17">
      <c r="J2663" s="11"/>
      <c r="K2663" s="1533"/>
      <c r="L2663" s="11"/>
      <c r="M2663" s="11"/>
      <c r="N2663" s="11"/>
      <c r="O2663" s="11"/>
      <c r="P2663" s="11"/>
      <c r="Q2663" s="11"/>
    </row>
    <row r="2664" spans="10:17">
      <c r="J2664" s="11"/>
      <c r="K2664" s="1533"/>
      <c r="L2664" s="11"/>
      <c r="M2664" s="11"/>
      <c r="N2664" s="11"/>
      <c r="O2664" s="11"/>
      <c r="P2664" s="11"/>
      <c r="Q2664" s="11"/>
    </row>
    <row r="2665" spans="10:17">
      <c r="J2665" s="11"/>
      <c r="K2665" s="1533"/>
      <c r="L2665" s="11"/>
      <c r="M2665" s="11"/>
      <c r="N2665" s="11"/>
      <c r="O2665" s="11"/>
      <c r="P2665" s="11"/>
      <c r="Q2665" s="11"/>
    </row>
    <row r="2666" spans="10:17">
      <c r="J2666" s="11"/>
      <c r="K2666" s="1533"/>
      <c r="L2666" s="11"/>
      <c r="M2666" s="11"/>
      <c r="N2666" s="11"/>
      <c r="O2666" s="11"/>
      <c r="P2666" s="11"/>
      <c r="Q2666" s="11"/>
    </row>
    <row r="2667" spans="10:17">
      <c r="J2667" s="11"/>
      <c r="K2667" s="1533"/>
      <c r="L2667" s="11"/>
      <c r="M2667" s="11"/>
      <c r="N2667" s="11"/>
      <c r="O2667" s="11"/>
      <c r="P2667" s="11"/>
      <c r="Q2667" s="11"/>
    </row>
    <row r="2668" spans="10:17">
      <c r="J2668" s="11"/>
      <c r="K2668" s="1533"/>
      <c r="L2668" s="11"/>
      <c r="M2668" s="11"/>
      <c r="N2668" s="11"/>
      <c r="O2668" s="11"/>
      <c r="P2668" s="11"/>
      <c r="Q2668" s="11"/>
    </row>
    <row r="2669" spans="10:17">
      <c r="J2669" s="11"/>
      <c r="K2669" s="1533"/>
      <c r="L2669" s="11"/>
      <c r="M2669" s="11"/>
      <c r="N2669" s="11"/>
      <c r="O2669" s="11"/>
      <c r="P2669" s="11"/>
      <c r="Q2669" s="11"/>
    </row>
    <row r="2670" spans="10:17">
      <c r="J2670" s="11"/>
      <c r="K2670" s="1533"/>
      <c r="L2670" s="11"/>
      <c r="M2670" s="11"/>
      <c r="N2670" s="11"/>
      <c r="O2670" s="11"/>
      <c r="P2670" s="11"/>
      <c r="Q2670" s="11"/>
    </row>
    <row r="2671" spans="10:17">
      <c r="J2671" s="11"/>
      <c r="K2671" s="1533"/>
      <c r="L2671" s="11"/>
      <c r="M2671" s="11"/>
      <c r="N2671" s="11"/>
      <c r="O2671" s="11"/>
      <c r="P2671" s="11"/>
      <c r="Q2671" s="11"/>
    </row>
    <row r="2672" spans="10:17">
      <c r="J2672" s="11"/>
      <c r="K2672" s="1533"/>
      <c r="L2672" s="11"/>
      <c r="M2672" s="11"/>
      <c r="N2672" s="11"/>
      <c r="O2672" s="11"/>
      <c r="P2672" s="11"/>
      <c r="Q2672" s="11"/>
    </row>
    <row r="2673" spans="10:17">
      <c r="J2673" s="11"/>
      <c r="K2673" s="1533"/>
      <c r="L2673" s="11"/>
      <c r="M2673" s="11"/>
      <c r="N2673" s="11"/>
      <c r="O2673" s="11"/>
      <c r="P2673" s="11"/>
      <c r="Q2673" s="11"/>
    </row>
    <row r="2674" spans="10:17">
      <c r="J2674" s="11"/>
      <c r="K2674" s="1533"/>
      <c r="L2674" s="11"/>
      <c r="M2674" s="11"/>
      <c r="N2674" s="11"/>
      <c r="O2674" s="11"/>
      <c r="P2674" s="11"/>
      <c r="Q2674" s="11"/>
    </row>
    <row r="2675" spans="10:17">
      <c r="J2675" s="11"/>
      <c r="K2675" s="1533"/>
      <c r="L2675" s="11"/>
      <c r="M2675" s="11"/>
      <c r="N2675" s="11"/>
      <c r="O2675" s="11"/>
      <c r="P2675" s="11"/>
      <c r="Q2675" s="11"/>
    </row>
    <row r="2676" spans="10:17">
      <c r="J2676" s="11"/>
      <c r="K2676" s="1533"/>
      <c r="L2676" s="11"/>
      <c r="M2676" s="11"/>
      <c r="N2676" s="11"/>
      <c r="O2676" s="11"/>
      <c r="P2676" s="11"/>
      <c r="Q2676" s="11"/>
    </row>
    <row r="2677" spans="10:17">
      <c r="J2677" s="11"/>
      <c r="K2677" s="1533"/>
      <c r="L2677" s="11"/>
      <c r="M2677" s="11"/>
      <c r="N2677" s="11"/>
      <c r="O2677" s="11"/>
      <c r="P2677" s="11"/>
      <c r="Q2677" s="11"/>
    </row>
    <row r="2678" spans="10:17">
      <c r="J2678" s="11"/>
      <c r="K2678" s="1533"/>
      <c r="L2678" s="11"/>
      <c r="M2678" s="11"/>
      <c r="N2678" s="11"/>
      <c r="O2678" s="11"/>
      <c r="P2678" s="11"/>
      <c r="Q2678" s="11"/>
    </row>
    <row r="2679" spans="10:17">
      <c r="J2679" s="11"/>
      <c r="K2679" s="1533"/>
      <c r="L2679" s="11"/>
      <c r="M2679" s="11"/>
      <c r="N2679" s="11"/>
      <c r="O2679" s="11"/>
      <c r="P2679" s="11"/>
      <c r="Q2679" s="11"/>
    </row>
    <row r="2680" spans="10:17">
      <c r="J2680" s="11"/>
      <c r="K2680" s="1533"/>
      <c r="L2680" s="11"/>
      <c r="M2680" s="11"/>
      <c r="N2680" s="11"/>
      <c r="O2680" s="11"/>
      <c r="P2680" s="11"/>
      <c r="Q2680" s="11"/>
    </row>
    <row r="2681" spans="10:17">
      <c r="J2681" s="11"/>
      <c r="K2681" s="1533"/>
      <c r="L2681" s="11"/>
      <c r="M2681" s="11"/>
      <c r="N2681" s="11"/>
      <c r="O2681" s="11"/>
      <c r="P2681" s="11"/>
      <c r="Q2681" s="11"/>
    </row>
    <row r="2682" spans="10:17">
      <c r="J2682" s="11"/>
      <c r="K2682" s="1533"/>
      <c r="L2682" s="11"/>
      <c r="M2682" s="11"/>
      <c r="N2682" s="11"/>
      <c r="O2682" s="11"/>
      <c r="P2682" s="11"/>
      <c r="Q2682" s="11"/>
    </row>
    <row r="2683" spans="10:17">
      <c r="J2683" s="11"/>
      <c r="K2683" s="1533"/>
      <c r="L2683" s="11"/>
      <c r="M2683" s="11"/>
      <c r="N2683" s="11"/>
      <c r="O2683" s="11"/>
      <c r="P2683" s="11"/>
      <c r="Q2683" s="11"/>
    </row>
    <row r="2684" spans="10:17">
      <c r="J2684" s="11"/>
      <c r="K2684" s="1533"/>
      <c r="L2684" s="11"/>
      <c r="M2684" s="11"/>
      <c r="N2684" s="11"/>
      <c r="O2684" s="11"/>
      <c r="P2684" s="11"/>
      <c r="Q2684" s="11"/>
    </row>
    <row r="2685" spans="10:17">
      <c r="J2685" s="11"/>
      <c r="K2685" s="1533"/>
      <c r="L2685" s="11"/>
      <c r="M2685" s="11"/>
      <c r="N2685" s="11"/>
      <c r="O2685" s="11"/>
      <c r="P2685" s="11"/>
      <c r="Q2685" s="11"/>
    </row>
    <row r="2686" spans="10:17">
      <c r="J2686" s="11"/>
      <c r="K2686" s="1533"/>
      <c r="L2686" s="11"/>
      <c r="M2686" s="11"/>
      <c r="N2686" s="11"/>
      <c r="O2686" s="11"/>
      <c r="P2686" s="11"/>
      <c r="Q2686" s="11"/>
    </row>
    <row r="2687" spans="10:17">
      <c r="J2687" s="11"/>
      <c r="K2687" s="1533"/>
      <c r="L2687" s="11"/>
      <c r="M2687" s="11"/>
      <c r="N2687" s="11"/>
      <c r="O2687" s="11"/>
      <c r="P2687" s="11"/>
      <c r="Q2687" s="11"/>
    </row>
    <row r="2688" spans="10:17">
      <c r="J2688" s="11"/>
      <c r="K2688" s="1533"/>
      <c r="L2688" s="11"/>
      <c r="M2688" s="11"/>
      <c r="N2688" s="11"/>
      <c r="O2688" s="11"/>
      <c r="P2688" s="11"/>
      <c r="Q2688" s="11"/>
    </row>
    <row r="2689" spans="10:17">
      <c r="J2689" s="11"/>
      <c r="K2689" s="1533"/>
      <c r="L2689" s="11"/>
      <c r="M2689" s="11"/>
      <c r="N2689" s="11"/>
      <c r="O2689" s="11"/>
      <c r="P2689" s="11"/>
      <c r="Q2689" s="11"/>
    </row>
    <row r="2690" spans="10:17">
      <c r="J2690" s="11"/>
      <c r="K2690" s="1533"/>
      <c r="L2690" s="11"/>
      <c r="M2690" s="11"/>
      <c r="N2690" s="11"/>
      <c r="O2690" s="11"/>
      <c r="P2690" s="11"/>
      <c r="Q2690" s="11"/>
    </row>
    <row r="2691" spans="10:17">
      <c r="J2691" s="11"/>
      <c r="K2691" s="1533"/>
      <c r="L2691" s="11"/>
      <c r="M2691" s="11"/>
      <c r="N2691" s="11"/>
      <c r="O2691" s="11"/>
      <c r="P2691" s="11"/>
      <c r="Q2691" s="11"/>
    </row>
    <row r="2692" spans="10:17">
      <c r="J2692" s="11"/>
      <c r="K2692" s="1533"/>
      <c r="L2692" s="11"/>
      <c r="M2692" s="11"/>
      <c r="N2692" s="11"/>
      <c r="O2692" s="11"/>
      <c r="P2692" s="11"/>
      <c r="Q2692" s="11"/>
    </row>
    <row r="2693" spans="10:17">
      <c r="J2693" s="11"/>
      <c r="K2693" s="1533"/>
      <c r="L2693" s="11"/>
      <c r="M2693" s="11"/>
      <c r="N2693" s="11"/>
      <c r="O2693" s="11"/>
      <c r="P2693" s="11"/>
      <c r="Q2693" s="11"/>
    </row>
    <row r="2694" spans="10:17">
      <c r="J2694" s="11"/>
      <c r="K2694" s="1533"/>
      <c r="L2694" s="11"/>
      <c r="M2694" s="11"/>
      <c r="N2694" s="11"/>
      <c r="O2694" s="11"/>
      <c r="P2694" s="11"/>
      <c r="Q2694" s="11"/>
    </row>
    <row r="2695" spans="10:17">
      <c r="J2695" s="11"/>
      <c r="K2695" s="1533"/>
      <c r="L2695" s="11"/>
      <c r="M2695" s="11"/>
      <c r="N2695" s="11"/>
      <c r="O2695" s="11"/>
      <c r="P2695" s="11"/>
      <c r="Q2695" s="11"/>
    </row>
    <row r="2696" spans="10:17">
      <c r="J2696" s="11"/>
      <c r="K2696" s="1533"/>
      <c r="L2696" s="11"/>
      <c r="M2696" s="11"/>
      <c r="N2696" s="11"/>
      <c r="O2696" s="11"/>
      <c r="P2696" s="11"/>
      <c r="Q2696" s="11"/>
    </row>
    <row r="2697" spans="10:17">
      <c r="J2697" s="11"/>
      <c r="K2697" s="1533"/>
      <c r="L2697" s="11"/>
      <c r="M2697" s="11"/>
      <c r="N2697" s="11"/>
      <c r="O2697" s="11"/>
      <c r="P2697" s="11"/>
      <c r="Q2697" s="11"/>
    </row>
    <row r="2698" spans="10:17">
      <c r="J2698" s="11"/>
      <c r="K2698" s="1533"/>
      <c r="L2698" s="11"/>
      <c r="M2698" s="11"/>
      <c r="N2698" s="11"/>
      <c r="O2698" s="11"/>
      <c r="P2698" s="11"/>
      <c r="Q2698" s="11"/>
    </row>
    <row r="2699" spans="10:17">
      <c r="J2699" s="11"/>
      <c r="K2699" s="1533"/>
      <c r="L2699" s="11"/>
      <c r="M2699" s="11"/>
      <c r="N2699" s="11"/>
      <c r="O2699" s="11"/>
      <c r="P2699" s="11"/>
      <c r="Q2699" s="11"/>
    </row>
    <row r="2700" spans="10:17">
      <c r="J2700" s="11"/>
      <c r="K2700" s="1533"/>
      <c r="L2700" s="11"/>
      <c r="M2700" s="11"/>
      <c r="N2700" s="11"/>
      <c r="O2700" s="11"/>
      <c r="P2700" s="11"/>
      <c r="Q2700" s="11"/>
    </row>
    <row r="2701" spans="10:17">
      <c r="J2701" s="11"/>
      <c r="K2701" s="1533"/>
      <c r="L2701" s="11"/>
      <c r="M2701" s="11"/>
      <c r="N2701" s="11"/>
      <c r="O2701" s="11"/>
      <c r="P2701" s="11"/>
      <c r="Q2701" s="11"/>
    </row>
    <row r="2702" spans="10:17">
      <c r="J2702" s="11"/>
      <c r="K2702" s="1533"/>
      <c r="L2702" s="11"/>
      <c r="M2702" s="11"/>
      <c r="N2702" s="11"/>
      <c r="O2702" s="11"/>
      <c r="P2702" s="11"/>
      <c r="Q2702" s="11"/>
    </row>
    <row r="2703" spans="10:17">
      <c r="J2703" s="11"/>
      <c r="K2703" s="1533"/>
      <c r="L2703" s="11"/>
      <c r="M2703" s="11"/>
      <c r="N2703" s="11"/>
      <c r="O2703" s="11"/>
      <c r="P2703" s="11"/>
      <c r="Q2703" s="11"/>
    </row>
    <row r="2704" spans="10:17">
      <c r="J2704" s="11"/>
      <c r="K2704" s="1533"/>
      <c r="L2704" s="11"/>
      <c r="M2704" s="11"/>
      <c r="N2704" s="11"/>
      <c r="O2704" s="11"/>
      <c r="P2704" s="11"/>
      <c r="Q2704" s="11"/>
    </row>
    <row r="2705" spans="10:17">
      <c r="J2705" s="11"/>
      <c r="K2705" s="1533"/>
      <c r="L2705" s="11"/>
      <c r="M2705" s="11"/>
      <c r="N2705" s="11"/>
      <c r="O2705" s="11"/>
      <c r="P2705" s="11"/>
      <c r="Q2705" s="11"/>
    </row>
    <row r="2706" spans="10:17">
      <c r="J2706" s="11"/>
      <c r="K2706" s="1533"/>
      <c r="L2706" s="11"/>
      <c r="M2706" s="11"/>
      <c r="N2706" s="11"/>
      <c r="O2706" s="11"/>
      <c r="P2706" s="11"/>
      <c r="Q2706" s="11"/>
    </row>
    <row r="2707" spans="10:17">
      <c r="J2707" s="11"/>
      <c r="K2707" s="1533"/>
      <c r="L2707" s="11"/>
      <c r="M2707" s="11"/>
      <c r="N2707" s="11"/>
      <c r="O2707" s="11"/>
      <c r="P2707" s="11"/>
      <c r="Q2707" s="11"/>
    </row>
    <row r="2708" spans="10:17">
      <c r="J2708" s="11"/>
      <c r="K2708" s="1533"/>
      <c r="L2708" s="11"/>
      <c r="M2708" s="11"/>
      <c r="N2708" s="11"/>
      <c r="O2708" s="11"/>
      <c r="P2708" s="11"/>
      <c r="Q2708" s="11"/>
    </row>
    <row r="2709" spans="10:17">
      <c r="J2709" s="11"/>
      <c r="K2709" s="1533"/>
      <c r="L2709" s="11"/>
      <c r="M2709" s="11"/>
      <c r="N2709" s="11"/>
      <c r="O2709" s="11"/>
      <c r="P2709" s="11"/>
      <c r="Q2709" s="11"/>
    </row>
    <row r="2710" spans="10:17">
      <c r="J2710" s="11"/>
      <c r="K2710" s="1533"/>
      <c r="L2710" s="11"/>
      <c r="M2710" s="11"/>
      <c r="N2710" s="11"/>
      <c r="O2710" s="11"/>
      <c r="P2710" s="11"/>
      <c r="Q2710" s="11"/>
    </row>
    <row r="2711" spans="10:17">
      <c r="J2711" s="11"/>
      <c r="K2711" s="1533"/>
      <c r="L2711" s="11"/>
      <c r="M2711" s="11"/>
      <c r="N2711" s="11"/>
      <c r="O2711" s="11"/>
      <c r="P2711" s="11"/>
      <c r="Q2711" s="11"/>
    </row>
    <row r="2712" spans="10:17">
      <c r="J2712" s="11"/>
      <c r="K2712" s="1533"/>
      <c r="L2712" s="11"/>
      <c r="M2712" s="11"/>
      <c r="N2712" s="11"/>
      <c r="O2712" s="11"/>
      <c r="P2712" s="11"/>
      <c r="Q2712" s="11"/>
    </row>
    <row r="2713" spans="10:17">
      <c r="J2713" s="11"/>
      <c r="K2713" s="1533"/>
      <c r="L2713" s="11"/>
      <c r="M2713" s="11"/>
      <c r="N2713" s="11"/>
      <c r="O2713" s="11"/>
      <c r="P2713" s="11"/>
      <c r="Q2713" s="11"/>
    </row>
    <row r="2714" spans="10:17">
      <c r="J2714" s="11"/>
      <c r="K2714" s="1533"/>
      <c r="L2714" s="11"/>
      <c r="M2714" s="11"/>
      <c r="N2714" s="11"/>
      <c r="O2714" s="11"/>
      <c r="P2714" s="11"/>
      <c r="Q2714" s="11"/>
    </row>
    <row r="2715" spans="10:17">
      <c r="J2715" s="11"/>
      <c r="K2715" s="1533"/>
      <c r="L2715" s="11"/>
      <c r="M2715" s="11"/>
      <c r="N2715" s="11"/>
      <c r="O2715" s="11"/>
      <c r="P2715" s="11"/>
      <c r="Q2715" s="11"/>
    </row>
    <row r="2716" spans="10:17">
      <c r="J2716" s="11"/>
      <c r="K2716" s="1533"/>
      <c r="L2716" s="11"/>
      <c r="M2716" s="11"/>
      <c r="N2716" s="11"/>
      <c r="O2716" s="11"/>
      <c r="P2716" s="11"/>
      <c r="Q2716" s="11"/>
    </row>
    <row r="2717" spans="10:17">
      <c r="J2717" s="11"/>
      <c r="K2717" s="1533"/>
      <c r="L2717" s="11"/>
      <c r="M2717" s="11"/>
      <c r="N2717" s="11"/>
      <c r="O2717" s="11"/>
      <c r="P2717" s="11"/>
      <c r="Q2717" s="11"/>
    </row>
    <row r="2718" spans="10:17">
      <c r="J2718" s="11"/>
      <c r="K2718" s="1533"/>
      <c r="L2718" s="11"/>
      <c r="M2718" s="11"/>
      <c r="N2718" s="11"/>
      <c r="O2718" s="11"/>
      <c r="P2718" s="11"/>
      <c r="Q2718" s="11"/>
    </row>
    <row r="2719" spans="10:17">
      <c r="J2719" s="11"/>
      <c r="K2719" s="1533"/>
      <c r="L2719" s="11"/>
      <c r="M2719" s="11"/>
      <c r="N2719" s="11"/>
      <c r="O2719" s="11"/>
      <c r="P2719" s="11"/>
      <c r="Q2719" s="11"/>
    </row>
    <row r="2720" spans="10:17">
      <c r="J2720" s="11"/>
      <c r="K2720" s="1533"/>
      <c r="L2720" s="11"/>
      <c r="M2720" s="11"/>
      <c r="N2720" s="11"/>
      <c r="O2720" s="11"/>
      <c r="P2720" s="11"/>
      <c r="Q2720" s="11"/>
    </row>
    <row r="2721" spans="10:17">
      <c r="J2721" s="11"/>
      <c r="K2721" s="1533"/>
      <c r="L2721" s="11"/>
      <c r="M2721" s="11"/>
      <c r="N2721" s="11"/>
      <c r="O2721" s="11"/>
      <c r="P2721" s="11"/>
      <c r="Q2721" s="11"/>
    </row>
    <row r="2722" spans="10:17">
      <c r="J2722" s="11"/>
      <c r="K2722" s="1533"/>
      <c r="L2722" s="11"/>
      <c r="M2722" s="11"/>
      <c r="N2722" s="11"/>
      <c r="O2722" s="11"/>
      <c r="P2722" s="11"/>
      <c r="Q2722" s="11"/>
    </row>
    <row r="2723" spans="10:17">
      <c r="J2723" s="11"/>
      <c r="K2723" s="1533"/>
      <c r="L2723" s="11"/>
      <c r="M2723" s="11"/>
      <c r="N2723" s="11"/>
      <c r="O2723" s="11"/>
      <c r="P2723" s="11"/>
      <c r="Q2723" s="11"/>
    </row>
    <row r="2724" spans="10:17">
      <c r="J2724" s="11"/>
      <c r="K2724" s="1533"/>
      <c r="L2724" s="11"/>
      <c r="M2724" s="11"/>
      <c r="N2724" s="11"/>
      <c r="O2724" s="11"/>
      <c r="P2724" s="11"/>
      <c r="Q2724" s="11"/>
    </row>
    <row r="2725" spans="10:17">
      <c r="J2725" s="11"/>
      <c r="K2725" s="1533"/>
      <c r="L2725" s="11"/>
      <c r="M2725" s="11"/>
      <c r="N2725" s="11"/>
      <c r="O2725" s="11"/>
      <c r="P2725" s="11"/>
      <c r="Q2725" s="11"/>
    </row>
    <row r="2726" spans="10:17">
      <c r="J2726" s="11"/>
      <c r="K2726" s="1533"/>
      <c r="L2726" s="11"/>
      <c r="M2726" s="11"/>
      <c r="N2726" s="11"/>
      <c r="O2726" s="11"/>
      <c r="P2726" s="11"/>
      <c r="Q2726" s="11"/>
    </row>
    <row r="2727" spans="10:17">
      <c r="J2727" s="11"/>
      <c r="K2727" s="1533"/>
      <c r="L2727" s="11"/>
      <c r="M2727" s="11"/>
      <c r="N2727" s="11"/>
      <c r="O2727" s="11"/>
      <c r="P2727" s="11"/>
      <c r="Q2727" s="11"/>
    </row>
    <row r="2728" spans="10:17">
      <c r="J2728" s="11"/>
      <c r="K2728" s="1533"/>
      <c r="L2728" s="11"/>
      <c r="M2728" s="11"/>
      <c r="N2728" s="11"/>
      <c r="O2728" s="11"/>
      <c r="P2728" s="11"/>
      <c r="Q2728" s="11"/>
    </row>
    <row r="2729" spans="10:17">
      <c r="J2729" s="11"/>
      <c r="K2729" s="1533"/>
      <c r="L2729" s="11"/>
      <c r="M2729" s="11"/>
      <c r="N2729" s="11"/>
      <c r="O2729" s="11"/>
      <c r="P2729" s="11"/>
      <c r="Q2729" s="11"/>
    </row>
    <row r="2730" spans="10:17">
      <c r="J2730" s="11"/>
      <c r="K2730" s="1533"/>
      <c r="L2730" s="11"/>
      <c r="M2730" s="11"/>
      <c r="N2730" s="11"/>
      <c r="O2730" s="11"/>
      <c r="P2730" s="11"/>
      <c r="Q2730" s="11"/>
    </row>
    <row r="2731" spans="10:17">
      <c r="J2731" s="11"/>
      <c r="K2731" s="1533"/>
      <c r="L2731" s="11"/>
      <c r="M2731" s="11"/>
      <c r="N2731" s="11"/>
      <c r="O2731" s="11"/>
      <c r="P2731" s="11"/>
      <c r="Q2731" s="11"/>
    </row>
    <row r="2732" spans="10:17">
      <c r="J2732" s="11"/>
      <c r="K2732" s="1533"/>
      <c r="L2732" s="11"/>
      <c r="M2732" s="11"/>
      <c r="N2732" s="11"/>
      <c r="O2732" s="11"/>
      <c r="P2732" s="11"/>
      <c r="Q2732" s="11"/>
    </row>
    <row r="2733" spans="10:17">
      <c r="J2733" s="11"/>
      <c r="K2733" s="1533"/>
      <c r="L2733" s="11"/>
      <c r="M2733" s="11"/>
      <c r="N2733" s="11"/>
      <c r="O2733" s="11"/>
      <c r="P2733" s="11"/>
      <c r="Q2733" s="11"/>
    </row>
    <row r="2734" spans="10:17">
      <c r="J2734" s="11"/>
      <c r="K2734" s="1533"/>
      <c r="L2734" s="11"/>
      <c r="M2734" s="11"/>
      <c r="N2734" s="11"/>
      <c r="O2734" s="11"/>
      <c r="P2734" s="11"/>
      <c r="Q2734" s="11"/>
    </row>
    <row r="2735" spans="10:17">
      <c r="J2735" s="11"/>
      <c r="K2735" s="1533"/>
      <c r="L2735" s="11"/>
      <c r="M2735" s="11"/>
      <c r="N2735" s="11"/>
      <c r="O2735" s="11"/>
      <c r="P2735" s="11"/>
      <c r="Q2735" s="11"/>
    </row>
    <row r="2736" spans="10:17">
      <c r="J2736" s="11"/>
      <c r="K2736" s="1533"/>
      <c r="L2736" s="11"/>
      <c r="M2736" s="11"/>
      <c r="N2736" s="11"/>
      <c r="O2736" s="11"/>
      <c r="P2736" s="11"/>
      <c r="Q2736" s="11"/>
    </row>
    <row r="2737" spans="10:17">
      <c r="J2737" s="11"/>
      <c r="K2737" s="1533"/>
      <c r="L2737" s="11"/>
      <c r="M2737" s="11"/>
      <c r="N2737" s="11"/>
      <c r="O2737" s="11"/>
      <c r="P2737" s="11"/>
      <c r="Q2737" s="11"/>
    </row>
    <row r="2738" spans="10:17">
      <c r="J2738" s="11"/>
      <c r="K2738" s="1533"/>
      <c r="L2738" s="11"/>
      <c r="M2738" s="11"/>
      <c r="N2738" s="11"/>
      <c r="O2738" s="11"/>
      <c r="P2738" s="11"/>
      <c r="Q2738" s="11"/>
    </row>
    <row r="2739" spans="10:17">
      <c r="J2739" s="11"/>
      <c r="K2739" s="1533"/>
      <c r="L2739" s="11"/>
      <c r="M2739" s="11"/>
      <c r="N2739" s="11"/>
      <c r="O2739" s="11"/>
      <c r="P2739" s="11"/>
      <c r="Q2739" s="11"/>
    </row>
    <row r="2740" spans="10:17">
      <c r="J2740" s="11"/>
      <c r="K2740" s="1533"/>
      <c r="L2740" s="11"/>
      <c r="M2740" s="11"/>
      <c r="N2740" s="11"/>
      <c r="O2740" s="11"/>
      <c r="P2740" s="11"/>
      <c r="Q2740" s="11"/>
    </row>
    <row r="2741" spans="10:17">
      <c r="J2741" s="11"/>
      <c r="K2741" s="1533"/>
      <c r="L2741" s="11"/>
      <c r="M2741" s="11"/>
      <c r="N2741" s="11"/>
      <c r="O2741" s="11"/>
      <c r="P2741" s="11"/>
      <c r="Q2741" s="11"/>
    </row>
    <row r="2742" spans="10:17">
      <c r="J2742" s="11"/>
      <c r="K2742" s="1533"/>
      <c r="L2742" s="11"/>
      <c r="M2742" s="11"/>
      <c r="N2742" s="11"/>
      <c r="O2742" s="11"/>
      <c r="P2742" s="11"/>
      <c r="Q2742" s="11"/>
    </row>
    <row r="2743" spans="10:17">
      <c r="J2743" s="11"/>
      <c r="K2743" s="1533"/>
      <c r="L2743" s="11"/>
      <c r="M2743" s="11"/>
      <c r="N2743" s="11"/>
      <c r="O2743" s="11"/>
      <c r="P2743" s="11"/>
      <c r="Q2743" s="11"/>
    </row>
    <row r="2744" spans="10:17">
      <c r="J2744" s="11"/>
      <c r="K2744" s="1533"/>
      <c r="L2744" s="11"/>
      <c r="M2744" s="11"/>
      <c r="N2744" s="11"/>
      <c r="O2744" s="11"/>
      <c r="P2744" s="11"/>
      <c r="Q2744" s="11"/>
    </row>
    <row r="2745" spans="10:17">
      <c r="J2745" s="11"/>
      <c r="K2745" s="1533"/>
      <c r="L2745" s="11"/>
      <c r="M2745" s="11"/>
      <c r="N2745" s="11"/>
      <c r="O2745" s="11"/>
      <c r="P2745" s="11"/>
      <c r="Q2745" s="11"/>
    </row>
    <row r="2746" spans="10:17">
      <c r="J2746" s="11"/>
      <c r="K2746" s="1533"/>
      <c r="L2746" s="11"/>
      <c r="M2746" s="11"/>
      <c r="N2746" s="11"/>
      <c r="O2746" s="11"/>
      <c r="P2746" s="11"/>
      <c r="Q2746" s="11"/>
    </row>
    <row r="2747" spans="10:17">
      <c r="J2747" s="11"/>
      <c r="K2747" s="1533"/>
      <c r="L2747" s="11"/>
      <c r="M2747" s="11"/>
      <c r="N2747" s="11"/>
      <c r="O2747" s="11"/>
      <c r="P2747" s="11"/>
      <c r="Q2747" s="11"/>
    </row>
    <row r="2748" spans="10:17">
      <c r="J2748" s="11"/>
      <c r="K2748" s="1533"/>
      <c r="L2748" s="11"/>
      <c r="M2748" s="11"/>
      <c r="N2748" s="11"/>
      <c r="O2748" s="11"/>
      <c r="P2748" s="11"/>
      <c r="Q2748" s="11"/>
    </row>
    <row r="2749" spans="10:17">
      <c r="J2749" s="11"/>
      <c r="K2749" s="1533"/>
      <c r="L2749" s="11"/>
      <c r="M2749" s="11"/>
      <c r="N2749" s="11"/>
      <c r="O2749" s="11"/>
      <c r="P2749" s="11"/>
      <c r="Q2749" s="11"/>
    </row>
    <row r="2750" spans="10:17">
      <c r="J2750" s="11"/>
      <c r="K2750" s="1533"/>
      <c r="L2750" s="11"/>
      <c r="M2750" s="11"/>
      <c r="N2750" s="11"/>
      <c r="O2750" s="11"/>
      <c r="P2750" s="11"/>
      <c r="Q2750" s="11"/>
    </row>
    <row r="2751" spans="10:17">
      <c r="J2751" s="11"/>
      <c r="K2751" s="1533"/>
      <c r="L2751" s="11"/>
      <c r="M2751" s="11"/>
      <c r="N2751" s="11"/>
      <c r="O2751" s="11"/>
      <c r="P2751" s="11"/>
      <c r="Q2751" s="11"/>
    </row>
    <row r="2752" spans="10:17">
      <c r="J2752" s="11"/>
      <c r="K2752" s="1533"/>
      <c r="L2752" s="11"/>
      <c r="M2752" s="11"/>
      <c r="N2752" s="11"/>
      <c r="O2752" s="11"/>
      <c r="P2752" s="11"/>
      <c r="Q2752" s="11"/>
    </row>
    <row r="2753" spans="10:17">
      <c r="J2753" s="11"/>
      <c r="K2753" s="1533"/>
      <c r="L2753" s="11"/>
      <c r="M2753" s="11"/>
      <c r="N2753" s="11"/>
      <c r="O2753" s="11"/>
      <c r="P2753" s="11"/>
      <c r="Q2753" s="11"/>
    </row>
    <row r="2754" spans="10:17">
      <c r="J2754" s="11"/>
      <c r="K2754" s="1533"/>
      <c r="L2754" s="11"/>
      <c r="M2754" s="11"/>
      <c r="N2754" s="11"/>
      <c r="O2754" s="11"/>
      <c r="P2754" s="11"/>
      <c r="Q2754" s="11"/>
    </row>
    <row r="2755" spans="10:17">
      <c r="J2755" s="11"/>
      <c r="K2755" s="1533"/>
      <c r="L2755" s="11"/>
      <c r="M2755" s="11"/>
      <c r="N2755" s="11"/>
      <c r="O2755" s="11"/>
      <c r="P2755" s="11"/>
      <c r="Q2755" s="11"/>
    </row>
    <row r="2756" spans="10:17">
      <c r="J2756" s="11"/>
      <c r="K2756" s="1533"/>
      <c r="L2756" s="11"/>
      <c r="M2756" s="11"/>
      <c r="N2756" s="11"/>
      <c r="O2756" s="11"/>
      <c r="P2756" s="11"/>
      <c r="Q2756" s="11"/>
    </row>
    <row r="2757" spans="10:17">
      <c r="J2757" s="11"/>
      <c r="K2757" s="1533"/>
      <c r="L2757" s="11"/>
      <c r="M2757" s="11"/>
      <c r="N2757" s="11"/>
      <c r="O2757" s="11"/>
      <c r="P2757" s="11"/>
      <c r="Q2757" s="11"/>
    </row>
    <row r="2758" spans="10:17">
      <c r="J2758" s="11"/>
      <c r="K2758" s="1533"/>
      <c r="L2758" s="11"/>
      <c r="M2758" s="11"/>
      <c r="N2758" s="11"/>
      <c r="O2758" s="11"/>
      <c r="P2758" s="11"/>
      <c r="Q2758" s="11"/>
    </row>
    <row r="2759" spans="10:17">
      <c r="J2759" s="11"/>
      <c r="K2759" s="1533"/>
      <c r="L2759" s="11"/>
      <c r="M2759" s="11"/>
      <c r="N2759" s="11"/>
      <c r="O2759" s="11"/>
      <c r="P2759" s="11"/>
      <c r="Q2759" s="11"/>
    </row>
    <row r="2760" spans="10:17">
      <c r="J2760" s="11"/>
      <c r="K2760" s="1533"/>
      <c r="L2760" s="11"/>
      <c r="M2760" s="11"/>
      <c r="N2760" s="11"/>
      <c r="O2760" s="11"/>
      <c r="P2760" s="11"/>
      <c r="Q2760" s="11"/>
    </row>
    <row r="2761" spans="10:17">
      <c r="J2761" s="11"/>
      <c r="K2761" s="1533"/>
      <c r="L2761" s="11"/>
      <c r="M2761" s="11"/>
      <c r="N2761" s="11"/>
      <c r="O2761" s="11"/>
      <c r="P2761" s="11"/>
      <c r="Q2761" s="11"/>
    </row>
    <row r="2762" spans="10:17">
      <c r="J2762" s="11"/>
      <c r="K2762" s="1533"/>
      <c r="L2762" s="11"/>
      <c r="M2762" s="11"/>
      <c r="N2762" s="11"/>
      <c r="O2762" s="11"/>
      <c r="P2762" s="11"/>
      <c r="Q2762" s="11"/>
    </row>
    <row r="2763" spans="10:17">
      <c r="J2763" s="11"/>
      <c r="K2763" s="1533"/>
      <c r="L2763" s="11"/>
      <c r="M2763" s="11"/>
      <c r="N2763" s="11"/>
      <c r="O2763" s="11"/>
      <c r="P2763" s="11"/>
      <c r="Q2763" s="11"/>
    </row>
    <row r="2764" spans="10:17">
      <c r="J2764" s="11"/>
      <c r="K2764" s="1533"/>
      <c r="L2764" s="11"/>
      <c r="M2764" s="11"/>
      <c r="N2764" s="11"/>
      <c r="O2764" s="11"/>
      <c r="P2764" s="11"/>
      <c r="Q2764" s="11"/>
    </row>
    <row r="2765" spans="10:17">
      <c r="J2765" s="11"/>
      <c r="K2765" s="1533"/>
      <c r="L2765" s="11"/>
      <c r="M2765" s="11"/>
      <c r="N2765" s="11"/>
      <c r="O2765" s="11"/>
      <c r="P2765" s="11"/>
      <c r="Q2765" s="11"/>
    </row>
    <row r="2766" spans="10:17">
      <c r="J2766" s="11"/>
      <c r="K2766" s="1533"/>
      <c r="L2766" s="11"/>
      <c r="M2766" s="11"/>
      <c r="N2766" s="11"/>
      <c r="O2766" s="11"/>
      <c r="P2766" s="11"/>
      <c r="Q2766" s="11"/>
    </row>
    <row r="2767" spans="10:17">
      <c r="J2767" s="11"/>
      <c r="K2767" s="1533"/>
      <c r="L2767" s="11"/>
      <c r="M2767" s="11"/>
      <c r="N2767" s="11"/>
      <c r="O2767" s="11"/>
      <c r="P2767" s="11"/>
      <c r="Q2767" s="11"/>
    </row>
    <row r="2768" spans="10:17">
      <c r="J2768" s="11"/>
      <c r="K2768" s="1533"/>
      <c r="L2768" s="11"/>
      <c r="M2768" s="11"/>
      <c r="N2768" s="11"/>
      <c r="O2768" s="11"/>
      <c r="P2768" s="11"/>
      <c r="Q2768" s="11"/>
    </row>
    <row r="2769" spans="10:17">
      <c r="J2769" s="11"/>
      <c r="K2769" s="1533"/>
      <c r="L2769" s="11"/>
      <c r="M2769" s="11"/>
      <c r="N2769" s="11"/>
      <c r="O2769" s="11"/>
      <c r="P2769" s="11"/>
      <c r="Q2769" s="11"/>
    </row>
    <row r="2770" spans="10:17">
      <c r="J2770" s="11"/>
      <c r="K2770" s="1533"/>
      <c r="L2770" s="11"/>
      <c r="M2770" s="11"/>
      <c r="N2770" s="11"/>
      <c r="O2770" s="11"/>
      <c r="P2770" s="11"/>
      <c r="Q2770" s="11"/>
    </row>
    <row r="2771" spans="10:17">
      <c r="J2771" s="11"/>
      <c r="K2771" s="1533"/>
      <c r="L2771" s="11"/>
      <c r="M2771" s="11"/>
      <c r="N2771" s="11"/>
      <c r="O2771" s="11"/>
      <c r="P2771" s="11"/>
      <c r="Q2771" s="11"/>
    </row>
    <row r="2772" spans="10:17">
      <c r="J2772" s="11"/>
      <c r="K2772" s="1533"/>
      <c r="L2772" s="11"/>
      <c r="M2772" s="11"/>
      <c r="N2772" s="11"/>
      <c r="O2772" s="11"/>
      <c r="P2772" s="11"/>
      <c r="Q2772" s="11"/>
    </row>
    <row r="2773" spans="10:17">
      <c r="J2773" s="11"/>
      <c r="K2773" s="1533"/>
      <c r="L2773" s="11"/>
      <c r="M2773" s="11"/>
      <c r="N2773" s="11"/>
      <c r="O2773" s="11"/>
      <c r="P2773" s="11"/>
      <c r="Q2773" s="11"/>
    </row>
    <row r="2774" spans="10:17">
      <c r="J2774" s="11"/>
      <c r="K2774" s="1533"/>
      <c r="L2774" s="11"/>
      <c r="M2774" s="11"/>
      <c r="N2774" s="11"/>
      <c r="O2774" s="11"/>
      <c r="P2774" s="11"/>
      <c r="Q2774" s="11"/>
    </row>
    <row r="2775" spans="10:17">
      <c r="J2775" s="11"/>
      <c r="K2775" s="1533"/>
      <c r="L2775" s="11"/>
      <c r="M2775" s="11"/>
      <c r="N2775" s="11"/>
      <c r="O2775" s="11"/>
      <c r="P2775" s="11"/>
      <c r="Q2775" s="11"/>
    </row>
    <row r="2776" spans="10:17">
      <c r="J2776" s="11"/>
      <c r="K2776" s="1533"/>
      <c r="L2776" s="11"/>
      <c r="M2776" s="11"/>
      <c r="N2776" s="11"/>
      <c r="O2776" s="11"/>
      <c r="P2776" s="11"/>
      <c r="Q2776" s="11"/>
    </row>
    <row r="2777" spans="10:17">
      <c r="J2777" s="11"/>
      <c r="K2777" s="1533"/>
      <c r="L2777" s="11"/>
      <c r="M2777" s="11"/>
      <c r="N2777" s="11"/>
      <c r="O2777" s="11"/>
      <c r="P2777" s="11"/>
      <c r="Q2777" s="11"/>
    </row>
    <row r="2778" spans="10:17">
      <c r="J2778" s="11"/>
      <c r="K2778" s="1533"/>
      <c r="L2778" s="11"/>
      <c r="M2778" s="11"/>
      <c r="N2778" s="11"/>
      <c r="O2778" s="11"/>
      <c r="P2778" s="11"/>
      <c r="Q2778" s="11"/>
    </row>
    <row r="2779" spans="10:17">
      <c r="J2779" s="11"/>
      <c r="K2779" s="1533"/>
      <c r="L2779" s="11"/>
      <c r="M2779" s="11"/>
      <c r="N2779" s="11"/>
      <c r="O2779" s="11"/>
      <c r="P2779" s="11"/>
      <c r="Q2779" s="11"/>
    </row>
    <row r="2780" spans="10:17">
      <c r="J2780" s="11"/>
      <c r="K2780" s="1533"/>
      <c r="L2780" s="11"/>
      <c r="M2780" s="11"/>
      <c r="N2780" s="11"/>
      <c r="O2780" s="11"/>
      <c r="P2780" s="11"/>
      <c r="Q2780" s="11"/>
    </row>
    <row r="2781" spans="10:17">
      <c r="J2781" s="11"/>
      <c r="K2781" s="1533"/>
      <c r="L2781" s="11"/>
      <c r="M2781" s="11"/>
      <c r="N2781" s="11"/>
      <c r="O2781" s="11"/>
      <c r="P2781" s="11"/>
      <c r="Q2781" s="11"/>
    </row>
    <row r="2782" spans="10:17">
      <c r="J2782" s="11"/>
      <c r="K2782" s="1533"/>
      <c r="L2782" s="11"/>
      <c r="M2782" s="11"/>
      <c r="N2782" s="11"/>
      <c r="O2782" s="11"/>
      <c r="P2782" s="11"/>
      <c r="Q2782" s="11"/>
    </row>
    <row r="2783" spans="10:17">
      <c r="J2783" s="11"/>
      <c r="K2783" s="1533"/>
      <c r="L2783" s="11"/>
      <c r="M2783" s="11"/>
      <c r="N2783" s="11"/>
      <c r="O2783" s="11"/>
      <c r="P2783" s="11"/>
      <c r="Q2783" s="11"/>
    </row>
    <row r="2784" spans="10:17">
      <c r="J2784" s="11"/>
      <c r="K2784" s="1533"/>
      <c r="L2784" s="11"/>
      <c r="M2784" s="11"/>
      <c r="N2784" s="11"/>
      <c r="O2784" s="11"/>
      <c r="P2784" s="11"/>
      <c r="Q2784" s="11"/>
    </row>
    <row r="2785" spans="10:17">
      <c r="J2785" s="11"/>
      <c r="K2785" s="1533"/>
      <c r="L2785" s="11"/>
      <c r="M2785" s="11"/>
      <c r="N2785" s="11"/>
      <c r="O2785" s="11"/>
      <c r="P2785" s="11"/>
      <c r="Q2785" s="11"/>
    </row>
    <row r="2786" spans="10:17">
      <c r="J2786" s="11"/>
      <c r="K2786" s="1533"/>
      <c r="L2786" s="11"/>
      <c r="M2786" s="11"/>
      <c r="N2786" s="11"/>
      <c r="O2786" s="11"/>
      <c r="P2786" s="11"/>
      <c r="Q2786" s="11"/>
    </row>
    <row r="2787" spans="10:17">
      <c r="J2787" s="11"/>
      <c r="K2787" s="1533"/>
      <c r="L2787" s="11"/>
      <c r="M2787" s="11"/>
      <c r="N2787" s="11"/>
      <c r="O2787" s="11"/>
      <c r="P2787" s="11"/>
      <c r="Q2787" s="11"/>
    </row>
    <row r="2788" spans="10:17">
      <c r="J2788" s="11"/>
      <c r="K2788" s="1533"/>
      <c r="L2788" s="11"/>
      <c r="M2788" s="11"/>
      <c r="N2788" s="11"/>
      <c r="O2788" s="11"/>
      <c r="P2788" s="11"/>
      <c r="Q2788" s="11"/>
    </row>
    <row r="2789" spans="10:17">
      <c r="J2789" s="11"/>
      <c r="K2789" s="1533"/>
      <c r="L2789" s="11"/>
      <c r="M2789" s="11"/>
      <c r="N2789" s="11"/>
      <c r="O2789" s="11"/>
      <c r="P2789" s="11"/>
      <c r="Q2789" s="11"/>
    </row>
    <row r="2790" spans="10:17">
      <c r="J2790" s="11"/>
      <c r="K2790" s="1533"/>
      <c r="L2790" s="11"/>
      <c r="M2790" s="11"/>
      <c r="N2790" s="11"/>
      <c r="O2790" s="11"/>
      <c r="P2790" s="11"/>
      <c r="Q2790" s="11"/>
    </row>
    <row r="2791" spans="10:17">
      <c r="J2791" s="11"/>
      <c r="K2791" s="1533"/>
      <c r="L2791" s="11"/>
      <c r="M2791" s="11"/>
      <c r="N2791" s="11"/>
      <c r="O2791" s="11"/>
      <c r="P2791" s="11"/>
      <c r="Q2791" s="11"/>
    </row>
    <row r="2792" spans="10:17">
      <c r="J2792" s="11"/>
      <c r="K2792" s="1533"/>
      <c r="L2792" s="11"/>
      <c r="M2792" s="11"/>
      <c r="N2792" s="11"/>
      <c r="O2792" s="11"/>
      <c r="P2792" s="11"/>
      <c r="Q2792" s="11"/>
    </row>
    <row r="2793" spans="10:17">
      <c r="J2793" s="11"/>
      <c r="K2793" s="1533"/>
      <c r="L2793" s="11"/>
      <c r="M2793" s="11"/>
      <c r="N2793" s="11"/>
      <c r="O2793" s="11"/>
      <c r="P2793" s="11"/>
      <c r="Q2793" s="11"/>
    </row>
    <row r="2794" spans="10:17">
      <c r="J2794" s="11"/>
      <c r="K2794" s="1533"/>
      <c r="L2794" s="11"/>
      <c r="M2794" s="11"/>
      <c r="N2794" s="11"/>
      <c r="O2794" s="11"/>
      <c r="P2794" s="11"/>
      <c r="Q2794" s="11"/>
    </row>
    <row r="2795" spans="10:17">
      <c r="J2795" s="11"/>
      <c r="K2795" s="1533"/>
      <c r="L2795" s="11"/>
      <c r="M2795" s="11"/>
      <c r="N2795" s="11"/>
      <c r="O2795" s="11"/>
      <c r="P2795" s="11"/>
      <c r="Q2795" s="11"/>
    </row>
    <row r="2796" spans="10:17">
      <c r="J2796" s="11"/>
      <c r="K2796" s="1533"/>
      <c r="L2796" s="11"/>
      <c r="M2796" s="11"/>
      <c r="N2796" s="11"/>
      <c r="O2796" s="11"/>
      <c r="P2796" s="11"/>
      <c r="Q2796" s="11"/>
    </row>
    <row r="2797" spans="10:17">
      <c r="J2797" s="11"/>
      <c r="K2797" s="1533"/>
      <c r="L2797" s="11"/>
      <c r="M2797" s="11"/>
      <c r="N2797" s="11"/>
      <c r="O2797" s="11"/>
      <c r="P2797" s="11"/>
      <c r="Q2797" s="11"/>
    </row>
    <row r="2798" spans="10:17">
      <c r="J2798" s="11"/>
      <c r="K2798" s="1533"/>
      <c r="L2798" s="11"/>
      <c r="M2798" s="11"/>
      <c r="N2798" s="11"/>
      <c r="O2798" s="11"/>
      <c r="P2798" s="11"/>
      <c r="Q2798" s="11"/>
    </row>
    <row r="2799" spans="10:17">
      <c r="J2799" s="11"/>
      <c r="K2799" s="1533"/>
      <c r="L2799" s="11"/>
      <c r="M2799" s="11"/>
      <c r="N2799" s="11"/>
      <c r="O2799" s="11"/>
      <c r="P2799" s="11"/>
      <c r="Q2799" s="11"/>
    </row>
    <row r="2800" spans="10:17">
      <c r="J2800" s="11"/>
      <c r="K2800" s="1533"/>
      <c r="L2800" s="11"/>
      <c r="M2800" s="11"/>
      <c r="N2800" s="11"/>
      <c r="O2800" s="11"/>
      <c r="P2800" s="11"/>
      <c r="Q2800" s="11"/>
    </row>
    <row r="2801" spans="10:17">
      <c r="J2801" s="11"/>
      <c r="K2801" s="1533"/>
      <c r="L2801" s="11"/>
      <c r="M2801" s="11"/>
      <c r="N2801" s="11"/>
      <c r="O2801" s="11"/>
      <c r="P2801" s="11"/>
      <c r="Q2801" s="11"/>
    </row>
    <row r="2802" spans="10:17">
      <c r="J2802" s="11"/>
      <c r="K2802" s="1533"/>
      <c r="L2802" s="11"/>
      <c r="M2802" s="11"/>
      <c r="N2802" s="11"/>
      <c r="O2802" s="11"/>
      <c r="P2802" s="11"/>
      <c r="Q2802" s="11"/>
    </row>
    <row r="2803" spans="10:17">
      <c r="J2803" s="11"/>
      <c r="K2803" s="1533"/>
      <c r="L2803" s="11"/>
      <c r="M2803" s="11"/>
      <c r="N2803" s="11"/>
      <c r="O2803" s="11"/>
      <c r="P2803" s="11"/>
      <c r="Q2803" s="11"/>
    </row>
    <row r="2804" spans="10:17">
      <c r="J2804" s="11"/>
      <c r="K2804" s="1533"/>
      <c r="L2804" s="11"/>
      <c r="M2804" s="11"/>
      <c r="N2804" s="11"/>
      <c r="O2804" s="11"/>
      <c r="P2804" s="11"/>
      <c r="Q2804" s="11"/>
    </row>
    <row r="2805" spans="10:17">
      <c r="J2805" s="11"/>
      <c r="K2805" s="1533"/>
      <c r="L2805" s="11"/>
      <c r="M2805" s="11"/>
      <c r="N2805" s="11"/>
      <c r="O2805" s="11"/>
      <c r="P2805" s="11"/>
      <c r="Q2805" s="11"/>
    </row>
    <row r="2806" spans="10:17">
      <c r="J2806" s="11"/>
      <c r="K2806" s="1533"/>
      <c r="L2806" s="11"/>
      <c r="M2806" s="11"/>
      <c r="N2806" s="11"/>
      <c r="O2806" s="11"/>
      <c r="P2806" s="11"/>
      <c r="Q2806" s="11"/>
    </row>
    <row r="2807" spans="10:17">
      <c r="J2807" s="11"/>
      <c r="K2807" s="1533"/>
      <c r="L2807" s="11"/>
      <c r="M2807" s="11"/>
      <c r="N2807" s="11"/>
      <c r="O2807" s="11"/>
      <c r="P2807" s="11"/>
      <c r="Q2807" s="11"/>
    </row>
    <row r="2808" spans="10:17">
      <c r="J2808" s="11"/>
      <c r="K2808" s="1533"/>
      <c r="L2808" s="11"/>
      <c r="M2808" s="11"/>
      <c r="N2808" s="11"/>
      <c r="O2808" s="11"/>
      <c r="P2808" s="11"/>
      <c r="Q2808" s="11"/>
    </row>
    <row r="2809" spans="10:17">
      <c r="J2809" s="11"/>
      <c r="K2809" s="1533"/>
      <c r="L2809" s="11"/>
      <c r="M2809" s="11"/>
      <c r="N2809" s="11"/>
      <c r="O2809" s="11"/>
      <c r="P2809" s="11"/>
      <c r="Q2809" s="11"/>
    </row>
    <row r="2810" spans="10:17">
      <c r="J2810" s="11"/>
      <c r="K2810" s="1533"/>
      <c r="L2810" s="11"/>
      <c r="M2810" s="11"/>
      <c r="N2810" s="11"/>
      <c r="O2810" s="11"/>
      <c r="P2810" s="11"/>
      <c r="Q2810" s="11"/>
    </row>
    <row r="2811" spans="10:17">
      <c r="J2811" s="11"/>
      <c r="K2811" s="1533"/>
      <c r="L2811" s="11"/>
      <c r="M2811" s="11"/>
      <c r="N2811" s="11"/>
      <c r="O2811" s="11"/>
      <c r="P2811" s="11"/>
      <c r="Q2811" s="11"/>
    </row>
    <row r="2812" spans="10:17">
      <c r="J2812" s="11"/>
      <c r="K2812" s="1533"/>
      <c r="L2812" s="11"/>
      <c r="M2812" s="11"/>
      <c r="N2812" s="11"/>
      <c r="O2812" s="11"/>
      <c r="P2812" s="11"/>
      <c r="Q2812" s="11"/>
    </row>
    <row r="2813" spans="10:17">
      <c r="J2813" s="11"/>
      <c r="K2813" s="1533"/>
      <c r="L2813" s="11"/>
      <c r="M2813" s="11"/>
      <c r="N2813" s="11"/>
      <c r="O2813" s="11"/>
      <c r="P2813" s="11"/>
      <c r="Q2813" s="11"/>
    </row>
    <row r="2814" spans="10:17">
      <c r="J2814" s="11"/>
      <c r="K2814" s="1533"/>
      <c r="L2814" s="11"/>
      <c r="M2814" s="11"/>
      <c r="N2814" s="11"/>
      <c r="O2814" s="11"/>
      <c r="P2814" s="11"/>
      <c r="Q2814" s="11"/>
    </row>
    <row r="2815" spans="10:17">
      <c r="J2815" s="11"/>
      <c r="K2815" s="1533"/>
      <c r="L2815" s="11"/>
      <c r="M2815" s="11"/>
      <c r="N2815" s="11"/>
      <c r="O2815" s="11"/>
      <c r="P2815" s="11"/>
      <c r="Q2815" s="11"/>
    </row>
    <row r="2816" spans="10:17">
      <c r="J2816" s="11"/>
      <c r="K2816" s="1533"/>
      <c r="L2816" s="11"/>
      <c r="M2816" s="11"/>
      <c r="N2816" s="11"/>
      <c r="O2816" s="11"/>
      <c r="P2816" s="11"/>
      <c r="Q2816" s="11"/>
    </row>
    <row r="2817" spans="10:17">
      <c r="J2817" s="11"/>
      <c r="K2817" s="1533"/>
      <c r="L2817" s="11"/>
      <c r="M2817" s="11"/>
      <c r="N2817" s="11"/>
      <c r="O2817" s="11"/>
      <c r="P2817" s="11"/>
      <c r="Q2817" s="11"/>
    </row>
    <row r="2818" spans="10:17">
      <c r="J2818" s="11"/>
      <c r="K2818" s="1533"/>
      <c r="L2818" s="11"/>
      <c r="M2818" s="11"/>
      <c r="N2818" s="11"/>
      <c r="O2818" s="11"/>
      <c r="P2818" s="11"/>
      <c r="Q2818" s="11"/>
    </row>
    <row r="2819" spans="10:17">
      <c r="J2819" s="11"/>
      <c r="K2819" s="1533"/>
      <c r="L2819" s="11"/>
      <c r="M2819" s="11"/>
      <c r="N2819" s="11"/>
      <c r="O2819" s="11"/>
      <c r="P2819" s="11"/>
      <c r="Q2819" s="11"/>
    </row>
    <row r="2820" spans="10:17">
      <c r="J2820" s="11"/>
      <c r="K2820" s="1533"/>
      <c r="L2820" s="11"/>
      <c r="M2820" s="11"/>
      <c r="N2820" s="11"/>
      <c r="O2820" s="11"/>
      <c r="P2820" s="11"/>
      <c r="Q2820" s="11"/>
    </row>
    <row r="2821" spans="10:17">
      <c r="J2821" s="11"/>
      <c r="K2821" s="1533"/>
      <c r="L2821" s="11"/>
      <c r="M2821" s="11"/>
      <c r="N2821" s="11"/>
      <c r="O2821" s="11"/>
      <c r="P2821" s="11"/>
      <c r="Q2821" s="11"/>
    </row>
    <row r="2822" spans="10:17">
      <c r="J2822" s="11"/>
      <c r="K2822" s="1533"/>
      <c r="L2822" s="11"/>
      <c r="M2822" s="11"/>
      <c r="N2822" s="11"/>
      <c r="O2822" s="11"/>
      <c r="P2822" s="11"/>
      <c r="Q2822" s="11"/>
    </row>
    <row r="2823" spans="10:17">
      <c r="J2823" s="11"/>
      <c r="K2823" s="1533"/>
      <c r="L2823" s="11"/>
      <c r="M2823" s="11"/>
      <c r="N2823" s="11"/>
      <c r="O2823" s="11"/>
      <c r="P2823" s="11"/>
      <c r="Q2823" s="11"/>
    </row>
    <row r="2824" spans="10:17">
      <c r="J2824" s="11"/>
      <c r="K2824" s="1533"/>
      <c r="L2824" s="11"/>
      <c r="M2824" s="11"/>
      <c r="N2824" s="11"/>
      <c r="O2824" s="11"/>
      <c r="P2824" s="11"/>
      <c r="Q2824" s="11"/>
    </row>
    <row r="2825" spans="10:17">
      <c r="J2825" s="11"/>
      <c r="K2825" s="1533"/>
      <c r="L2825" s="11"/>
      <c r="M2825" s="11"/>
      <c r="N2825" s="11"/>
      <c r="O2825" s="11"/>
      <c r="P2825" s="11"/>
      <c r="Q2825" s="11"/>
    </row>
    <row r="2826" spans="10:17">
      <c r="J2826" s="11"/>
      <c r="K2826" s="1533"/>
      <c r="L2826" s="11"/>
      <c r="M2826" s="11"/>
      <c r="N2826" s="11"/>
      <c r="O2826" s="11"/>
      <c r="P2826" s="11"/>
      <c r="Q2826" s="11"/>
    </row>
    <row r="2827" spans="10:17">
      <c r="J2827" s="11"/>
      <c r="K2827" s="1533"/>
      <c r="L2827" s="11"/>
      <c r="M2827" s="11"/>
      <c r="N2827" s="11"/>
      <c r="O2827" s="11"/>
      <c r="P2827" s="11"/>
      <c r="Q2827" s="11"/>
    </row>
    <row r="2828" spans="10:17">
      <c r="J2828" s="11"/>
      <c r="K2828" s="1533"/>
      <c r="L2828" s="11"/>
      <c r="M2828" s="11"/>
      <c r="N2828" s="11"/>
      <c r="O2828" s="11"/>
      <c r="P2828" s="11"/>
      <c r="Q2828" s="11"/>
    </row>
    <row r="2829" spans="10:17">
      <c r="J2829" s="11"/>
      <c r="K2829" s="1533"/>
      <c r="L2829" s="11"/>
      <c r="M2829" s="11"/>
      <c r="N2829" s="11"/>
      <c r="O2829" s="11"/>
      <c r="P2829" s="11"/>
      <c r="Q2829" s="11"/>
    </row>
    <row r="2830" spans="10:17">
      <c r="J2830" s="11"/>
      <c r="K2830" s="1533"/>
      <c r="L2830" s="11"/>
      <c r="M2830" s="11"/>
      <c r="N2830" s="11"/>
      <c r="O2830" s="11"/>
      <c r="P2830" s="11"/>
      <c r="Q2830" s="11"/>
    </row>
    <row r="2831" spans="10:17">
      <c r="J2831" s="11"/>
      <c r="K2831" s="1533"/>
      <c r="L2831" s="11"/>
      <c r="M2831" s="11"/>
      <c r="N2831" s="11"/>
      <c r="O2831" s="11"/>
      <c r="P2831" s="11"/>
      <c r="Q2831" s="11"/>
    </row>
    <row r="2832" spans="10:17">
      <c r="J2832" s="11"/>
      <c r="K2832" s="1533"/>
      <c r="L2832" s="11"/>
      <c r="M2832" s="11"/>
      <c r="N2832" s="11"/>
      <c r="O2832" s="11"/>
      <c r="P2832" s="11"/>
      <c r="Q2832" s="11"/>
    </row>
    <row r="2833" spans="10:17">
      <c r="J2833" s="11"/>
      <c r="K2833" s="1533"/>
      <c r="L2833" s="11"/>
      <c r="M2833" s="11"/>
      <c r="N2833" s="11"/>
      <c r="O2833" s="11"/>
      <c r="P2833" s="11"/>
      <c r="Q2833" s="11"/>
    </row>
    <row r="2834" spans="10:17">
      <c r="J2834" s="11"/>
      <c r="K2834" s="1533"/>
      <c r="L2834" s="11"/>
      <c r="M2834" s="11"/>
      <c r="N2834" s="11"/>
      <c r="O2834" s="11"/>
      <c r="P2834" s="11"/>
      <c r="Q2834" s="11"/>
    </row>
    <row r="2835" spans="10:17">
      <c r="J2835" s="11"/>
      <c r="K2835" s="1533"/>
      <c r="L2835" s="11"/>
      <c r="M2835" s="11"/>
      <c r="N2835" s="11"/>
      <c r="O2835" s="11"/>
      <c r="P2835" s="11"/>
      <c r="Q2835" s="11"/>
    </row>
    <row r="2836" spans="10:17">
      <c r="J2836" s="11"/>
      <c r="K2836" s="1533"/>
      <c r="L2836" s="11"/>
      <c r="M2836" s="11"/>
      <c r="N2836" s="11"/>
      <c r="O2836" s="11"/>
      <c r="P2836" s="11"/>
      <c r="Q2836" s="11"/>
    </row>
    <row r="2837" spans="10:17">
      <c r="J2837" s="11"/>
      <c r="K2837" s="1533"/>
      <c r="L2837" s="11"/>
      <c r="M2837" s="11"/>
      <c r="N2837" s="11"/>
      <c r="O2837" s="11"/>
      <c r="P2837" s="11"/>
      <c r="Q2837" s="11"/>
    </row>
    <row r="2838" spans="10:17">
      <c r="J2838" s="11"/>
      <c r="K2838" s="1533"/>
      <c r="L2838" s="11"/>
      <c r="M2838" s="11"/>
      <c r="N2838" s="11"/>
      <c r="O2838" s="11"/>
      <c r="P2838" s="11"/>
      <c r="Q2838" s="11"/>
    </row>
    <row r="2839" spans="10:17">
      <c r="J2839" s="11"/>
      <c r="K2839" s="1533"/>
      <c r="L2839" s="11"/>
      <c r="M2839" s="11"/>
      <c r="N2839" s="11"/>
      <c r="O2839" s="11"/>
      <c r="P2839" s="11"/>
      <c r="Q2839" s="11"/>
    </row>
    <row r="2840" spans="10:17">
      <c r="J2840" s="11"/>
      <c r="K2840" s="1533"/>
      <c r="L2840" s="11"/>
      <c r="M2840" s="11"/>
      <c r="N2840" s="11"/>
      <c r="O2840" s="11"/>
      <c r="P2840" s="11"/>
      <c r="Q2840" s="11"/>
    </row>
    <row r="2841" spans="10:17">
      <c r="J2841" s="11"/>
      <c r="K2841" s="1533"/>
      <c r="L2841" s="11"/>
      <c r="M2841" s="11"/>
      <c r="N2841" s="11"/>
      <c r="O2841" s="11"/>
      <c r="P2841" s="11"/>
      <c r="Q2841" s="11"/>
    </row>
    <row r="2842" spans="10:17">
      <c r="J2842" s="11"/>
      <c r="K2842" s="1533"/>
      <c r="L2842" s="11"/>
      <c r="M2842" s="11"/>
      <c r="N2842" s="11"/>
      <c r="O2842" s="11"/>
      <c r="P2842" s="11"/>
      <c r="Q2842" s="11"/>
    </row>
    <row r="2843" spans="10:17">
      <c r="J2843" s="11"/>
      <c r="K2843" s="1533"/>
      <c r="L2843" s="11"/>
      <c r="M2843" s="11"/>
      <c r="N2843" s="11"/>
      <c r="O2843" s="11"/>
      <c r="P2843" s="11"/>
      <c r="Q2843" s="11"/>
    </row>
    <row r="2844" spans="10:17">
      <c r="J2844" s="11"/>
      <c r="K2844" s="1533"/>
      <c r="L2844" s="11"/>
      <c r="M2844" s="11"/>
      <c r="N2844" s="11"/>
      <c r="O2844" s="11"/>
      <c r="P2844" s="11"/>
      <c r="Q2844" s="11"/>
    </row>
    <row r="2845" spans="10:17">
      <c r="J2845" s="11"/>
      <c r="K2845" s="1533"/>
      <c r="L2845" s="11"/>
      <c r="M2845" s="11"/>
      <c r="N2845" s="11"/>
      <c r="O2845" s="11"/>
      <c r="P2845" s="11"/>
      <c r="Q2845" s="11"/>
    </row>
    <row r="2846" spans="10:17">
      <c r="J2846" s="11"/>
      <c r="K2846" s="1533"/>
      <c r="L2846" s="11"/>
      <c r="M2846" s="11"/>
      <c r="N2846" s="11"/>
      <c r="O2846" s="11"/>
      <c r="P2846" s="11"/>
      <c r="Q2846" s="11"/>
    </row>
    <row r="2847" spans="10:17">
      <c r="J2847" s="11"/>
      <c r="K2847" s="1533"/>
      <c r="L2847" s="11"/>
      <c r="M2847" s="11"/>
      <c r="N2847" s="11"/>
      <c r="O2847" s="11"/>
      <c r="P2847" s="11"/>
      <c r="Q2847" s="11"/>
    </row>
    <row r="2848" spans="10:17">
      <c r="J2848" s="11"/>
      <c r="K2848" s="1533"/>
      <c r="L2848" s="11"/>
      <c r="M2848" s="11"/>
      <c r="N2848" s="11"/>
      <c r="O2848" s="11"/>
      <c r="P2848" s="11"/>
      <c r="Q2848" s="11"/>
    </row>
    <row r="2849" spans="10:17">
      <c r="J2849" s="11"/>
      <c r="K2849" s="1533"/>
      <c r="L2849" s="11"/>
      <c r="M2849" s="11"/>
      <c r="N2849" s="11"/>
      <c r="O2849" s="11"/>
      <c r="P2849" s="11"/>
      <c r="Q2849" s="11"/>
    </row>
    <row r="2850" spans="10:17">
      <c r="J2850" s="11"/>
      <c r="K2850" s="1533"/>
      <c r="L2850" s="11"/>
      <c r="M2850" s="11"/>
      <c r="N2850" s="11"/>
      <c r="O2850" s="11"/>
      <c r="P2850" s="11"/>
      <c r="Q2850" s="11"/>
    </row>
    <row r="2851" spans="10:17">
      <c r="J2851" s="11"/>
      <c r="K2851" s="1533"/>
      <c r="L2851" s="11"/>
      <c r="M2851" s="11"/>
      <c r="N2851" s="11"/>
      <c r="O2851" s="11"/>
      <c r="P2851" s="11"/>
      <c r="Q2851" s="11"/>
    </row>
    <row r="2852" spans="10:17">
      <c r="J2852" s="11"/>
      <c r="K2852" s="1533"/>
      <c r="L2852" s="11"/>
      <c r="M2852" s="11"/>
      <c r="N2852" s="11"/>
      <c r="O2852" s="11"/>
      <c r="P2852" s="11"/>
      <c r="Q2852" s="11"/>
    </row>
    <row r="2853" spans="10:17">
      <c r="J2853" s="11"/>
      <c r="K2853" s="1533"/>
      <c r="L2853" s="11"/>
      <c r="M2853" s="11"/>
      <c r="N2853" s="11"/>
      <c r="O2853" s="11"/>
      <c r="P2853" s="11"/>
      <c r="Q2853" s="11"/>
    </row>
    <row r="2854" spans="10:17">
      <c r="J2854" s="11"/>
      <c r="K2854" s="1533"/>
      <c r="L2854" s="11"/>
      <c r="M2854" s="11"/>
      <c r="N2854" s="11"/>
      <c r="O2854" s="11"/>
      <c r="P2854" s="11"/>
      <c r="Q2854" s="11"/>
    </row>
    <row r="2855" spans="10:17">
      <c r="J2855" s="11"/>
      <c r="K2855" s="1533"/>
      <c r="L2855" s="11"/>
      <c r="M2855" s="11"/>
      <c r="N2855" s="11"/>
      <c r="O2855" s="11"/>
      <c r="P2855" s="11"/>
      <c r="Q2855" s="11"/>
    </row>
    <row r="2856" spans="10:17">
      <c r="J2856" s="11"/>
      <c r="K2856" s="1533"/>
      <c r="L2856" s="11"/>
      <c r="M2856" s="11"/>
      <c r="N2856" s="11"/>
      <c r="O2856" s="11"/>
      <c r="P2856" s="11"/>
      <c r="Q2856" s="11"/>
    </row>
    <row r="2857" spans="10:17">
      <c r="J2857" s="11"/>
      <c r="K2857" s="1533"/>
      <c r="L2857" s="11"/>
      <c r="M2857" s="11"/>
      <c r="N2857" s="11"/>
      <c r="O2857" s="11"/>
      <c r="P2857" s="11"/>
      <c r="Q2857" s="11"/>
    </row>
    <row r="2858" spans="10:17">
      <c r="J2858" s="11"/>
      <c r="K2858" s="1533"/>
      <c r="L2858" s="11"/>
      <c r="M2858" s="11"/>
      <c r="N2858" s="11"/>
      <c r="O2858" s="11"/>
      <c r="P2858" s="11"/>
      <c r="Q2858" s="11"/>
    </row>
    <row r="2859" spans="10:17">
      <c r="J2859" s="11"/>
      <c r="K2859" s="1533"/>
      <c r="L2859" s="11"/>
      <c r="M2859" s="11"/>
      <c r="N2859" s="11"/>
      <c r="O2859" s="11"/>
      <c r="P2859" s="11"/>
      <c r="Q2859" s="11"/>
    </row>
    <row r="2860" spans="10:17">
      <c r="J2860" s="11"/>
      <c r="K2860" s="1533"/>
      <c r="L2860" s="11"/>
      <c r="M2860" s="11"/>
      <c r="N2860" s="11"/>
      <c r="O2860" s="11"/>
      <c r="P2860" s="11"/>
      <c r="Q2860" s="11"/>
    </row>
    <row r="2861" spans="10:17">
      <c r="J2861" s="11"/>
      <c r="K2861" s="1533"/>
      <c r="L2861" s="11"/>
      <c r="M2861" s="11"/>
      <c r="N2861" s="11"/>
      <c r="O2861" s="11"/>
      <c r="P2861" s="11"/>
      <c r="Q2861" s="11"/>
    </row>
    <row r="2862" spans="10:17">
      <c r="J2862" s="11"/>
      <c r="K2862" s="1533"/>
      <c r="L2862" s="11"/>
      <c r="M2862" s="11"/>
      <c r="N2862" s="11"/>
      <c r="O2862" s="11"/>
      <c r="P2862" s="11"/>
      <c r="Q2862" s="11"/>
    </row>
    <row r="2863" spans="10:17">
      <c r="J2863" s="11"/>
      <c r="K2863" s="1533"/>
      <c r="L2863" s="11"/>
      <c r="M2863" s="11"/>
      <c r="N2863" s="11"/>
      <c r="O2863" s="11"/>
      <c r="P2863" s="11"/>
      <c r="Q2863" s="11"/>
    </row>
    <row r="2864" spans="10:17">
      <c r="J2864" s="11"/>
      <c r="K2864" s="1533"/>
      <c r="L2864" s="11"/>
      <c r="M2864" s="11"/>
      <c r="N2864" s="11"/>
      <c r="O2864" s="11"/>
      <c r="P2864" s="11"/>
      <c r="Q2864" s="11"/>
    </row>
    <row r="2865" spans="10:17">
      <c r="J2865" s="11"/>
      <c r="K2865" s="1533"/>
      <c r="L2865" s="11"/>
      <c r="M2865" s="11"/>
      <c r="N2865" s="11"/>
      <c r="O2865" s="11"/>
      <c r="P2865" s="11"/>
      <c r="Q2865" s="11"/>
    </row>
    <row r="2866" spans="10:17">
      <c r="J2866" s="11"/>
      <c r="K2866" s="1533"/>
      <c r="L2866" s="11"/>
      <c r="M2866" s="11"/>
      <c r="N2866" s="11"/>
      <c r="O2866" s="11"/>
      <c r="P2866" s="11"/>
      <c r="Q2866" s="11"/>
    </row>
    <row r="2867" spans="10:17">
      <c r="J2867" s="11"/>
      <c r="K2867" s="1533"/>
      <c r="L2867" s="11"/>
      <c r="M2867" s="11"/>
      <c r="N2867" s="11"/>
      <c r="O2867" s="11"/>
      <c r="P2867" s="11"/>
      <c r="Q2867" s="11"/>
    </row>
    <row r="2868" spans="10:17">
      <c r="J2868" s="11"/>
      <c r="K2868" s="1533"/>
      <c r="L2868" s="11"/>
      <c r="M2868" s="11"/>
      <c r="N2868" s="11"/>
      <c r="O2868" s="11"/>
      <c r="P2868" s="11"/>
      <c r="Q2868" s="11"/>
    </row>
    <row r="2869" spans="10:17">
      <c r="J2869" s="11"/>
      <c r="K2869" s="1533"/>
      <c r="L2869" s="11"/>
      <c r="M2869" s="11"/>
      <c r="N2869" s="11"/>
      <c r="O2869" s="11"/>
      <c r="P2869" s="11"/>
      <c r="Q2869" s="11"/>
    </row>
    <row r="2870" spans="10:17">
      <c r="J2870" s="11"/>
      <c r="K2870" s="1533"/>
      <c r="L2870" s="11"/>
      <c r="M2870" s="11"/>
      <c r="N2870" s="11"/>
      <c r="O2870" s="11"/>
      <c r="P2870" s="11"/>
      <c r="Q2870" s="11"/>
    </row>
    <row r="2871" spans="10:17">
      <c r="J2871" s="11"/>
      <c r="K2871" s="1533"/>
      <c r="L2871" s="11"/>
      <c r="M2871" s="11"/>
      <c r="N2871" s="11"/>
      <c r="O2871" s="11"/>
      <c r="P2871" s="11"/>
      <c r="Q2871" s="11"/>
    </row>
    <row r="2872" spans="10:17">
      <c r="J2872" s="11"/>
      <c r="K2872" s="1533"/>
      <c r="L2872" s="11"/>
      <c r="M2872" s="11"/>
      <c r="N2872" s="11"/>
      <c r="O2872" s="11"/>
      <c r="P2872" s="11"/>
      <c r="Q2872" s="11"/>
    </row>
    <row r="2873" spans="10:17">
      <c r="J2873" s="11"/>
      <c r="K2873" s="1533"/>
      <c r="L2873" s="11"/>
      <c r="M2873" s="11"/>
      <c r="N2873" s="11"/>
      <c r="O2873" s="11"/>
      <c r="P2873" s="11"/>
      <c r="Q2873" s="11"/>
    </row>
    <row r="2874" spans="10:17">
      <c r="J2874" s="11"/>
      <c r="K2874" s="1533"/>
      <c r="L2874" s="11"/>
      <c r="M2874" s="11"/>
      <c r="N2874" s="11"/>
      <c r="O2874" s="11"/>
      <c r="P2874" s="11"/>
      <c r="Q2874" s="11"/>
    </row>
    <row r="2875" spans="10:17">
      <c r="J2875" s="11"/>
      <c r="K2875" s="1533"/>
      <c r="L2875" s="11"/>
      <c r="M2875" s="11"/>
      <c r="N2875" s="11"/>
      <c r="O2875" s="11"/>
      <c r="P2875" s="11"/>
      <c r="Q2875" s="11"/>
    </row>
    <row r="2876" spans="10:17">
      <c r="J2876" s="11"/>
      <c r="K2876" s="1533"/>
      <c r="L2876" s="11"/>
      <c r="M2876" s="11"/>
      <c r="N2876" s="11"/>
      <c r="O2876" s="11"/>
      <c r="P2876" s="11"/>
      <c r="Q2876" s="11"/>
    </row>
    <row r="2877" spans="10:17">
      <c r="J2877" s="11"/>
      <c r="K2877" s="1533"/>
      <c r="L2877" s="11"/>
      <c r="M2877" s="11"/>
      <c r="N2877" s="11"/>
      <c r="O2877" s="11"/>
      <c r="P2877" s="11"/>
      <c r="Q2877" s="11"/>
    </row>
    <row r="2878" spans="10:17">
      <c r="J2878" s="11"/>
      <c r="K2878" s="1533"/>
      <c r="L2878" s="11"/>
      <c r="M2878" s="11"/>
      <c r="N2878" s="11"/>
      <c r="O2878" s="11"/>
      <c r="P2878" s="11"/>
      <c r="Q2878" s="11"/>
    </row>
    <row r="2879" spans="10:17">
      <c r="J2879" s="11"/>
      <c r="K2879" s="1533"/>
      <c r="L2879" s="11"/>
      <c r="M2879" s="11"/>
      <c r="N2879" s="11"/>
      <c r="O2879" s="11"/>
      <c r="P2879" s="11"/>
      <c r="Q2879" s="11"/>
    </row>
    <row r="2880" spans="10:17">
      <c r="J2880" s="11"/>
      <c r="K2880" s="1533"/>
      <c r="L2880" s="11"/>
      <c r="M2880" s="11"/>
      <c r="N2880" s="11"/>
      <c r="O2880" s="11"/>
      <c r="P2880" s="11"/>
      <c r="Q2880" s="11"/>
    </row>
    <row r="2881" spans="10:17">
      <c r="J2881" s="11"/>
      <c r="K2881" s="1533"/>
      <c r="L2881" s="11"/>
      <c r="M2881" s="11"/>
      <c r="N2881" s="11"/>
      <c r="O2881" s="11"/>
      <c r="P2881" s="11"/>
      <c r="Q2881" s="11"/>
    </row>
    <row r="2882" spans="10:17">
      <c r="J2882" s="11"/>
      <c r="K2882" s="1533"/>
      <c r="L2882" s="11"/>
      <c r="M2882" s="11"/>
      <c r="N2882" s="11"/>
      <c r="O2882" s="11"/>
      <c r="P2882" s="11"/>
      <c r="Q2882" s="11"/>
    </row>
    <row r="2883" spans="10:17">
      <c r="J2883" s="11"/>
      <c r="K2883" s="1533"/>
      <c r="L2883" s="11"/>
      <c r="M2883" s="11"/>
      <c r="N2883" s="11"/>
      <c r="O2883" s="11"/>
      <c r="P2883" s="11"/>
      <c r="Q2883" s="11"/>
    </row>
    <row r="2884" spans="10:17">
      <c r="J2884" s="11"/>
      <c r="K2884" s="1533"/>
      <c r="L2884" s="11"/>
      <c r="M2884" s="11"/>
      <c r="N2884" s="11"/>
      <c r="O2884" s="11"/>
      <c r="P2884" s="11"/>
      <c r="Q2884" s="11"/>
    </row>
    <row r="2885" spans="10:17">
      <c r="J2885" s="11"/>
      <c r="K2885" s="1533"/>
      <c r="L2885" s="11"/>
      <c r="M2885" s="11"/>
      <c r="N2885" s="11"/>
      <c r="O2885" s="11"/>
      <c r="P2885" s="11"/>
      <c r="Q2885" s="11"/>
    </row>
    <row r="2886" spans="10:17">
      <c r="J2886" s="11"/>
      <c r="K2886" s="1533"/>
      <c r="L2886" s="11"/>
      <c r="M2886" s="11"/>
      <c r="N2886" s="11"/>
      <c r="O2886" s="11"/>
      <c r="P2886" s="11"/>
      <c r="Q2886" s="11"/>
    </row>
    <row r="2887" spans="10:17">
      <c r="J2887" s="11"/>
      <c r="K2887" s="1533"/>
      <c r="L2887" s="11"/>
      <c r="M2887" s="11"/>
      <c r="N2887" s="11"/>
      <c r="O2887" s="11"/>
      <c r="P2887" s="11"/>
      <c r="Q2887" s="11"/>
    </row>
    <row r="2888" spans="10:17">
      <c r="J2888" s="11"/>
      <c r="K2888" s="1533"/>
      <c r="L2888" s="11"/>
      <c r="M2888" s="11"/>
      <c r="N2888" s="11"/>
      <c r="O2888" s="11"/>
      <c r="P2888" s="11"/>
      <c r="Q2888" s="11"/>
    </row>
    <row r="2889" spans="10:17">
      <c r="J2889" s="11"/>
      <c r="K2889" s="1533"/>
      <c r="L2889" s="11"/>
      <c r="M2889" s="11"/>
      <c r="N2889" s="11"/>
      <c r="O2889" s="11"/>
      <c r="P2889" s="11"/>
      <c r="Q2889" s="11"/>
    </row>
    <row r="2890" spans="10:17">
      <c r="J2890" s="11"/>
      <c r="K2890" s="1533"/>
      <c r="L2890" s="11"/>
      <c r="M2890" s="11"/>
      <c r="N2890" s="11"/>
      <c r="O2890" s="11"/>
      <c r="P2890" s="11"/>
      <c r="Q2890" s="11"/>
    </row>
    <row r="2891" spans="10:17">
      <c r="J2891" s="11"/>
      <c r="K2891" s="1533"/>
      <c r="L2891" s="11"/>
      <c r="M2891" s="11"/>
      <c r="N2891" s="11"/>
      <c r="O2891" s="11"/>
      <c r="P2891" s="11"/>
      <c r="Q2891" s="11"/>
    </row>
    <row r="2892" spans="10:17">
      <c r="J2892" s="11"/>
      <c r="K2892" s="1533"/>
      <c r="L2892" s="11"/>
      <c r="M2892" s="11"/>
      <c r="N2892" s="11"/>
      <c r="O2892" s="11"/>
      <c r="P2892" s="11"/>
      <c r="Q2892" s="11"/>
    </row>
    <row r="2893" spans="10:17">
      <c r="J2893" s="11"/>
      <c r="K2893" s="1533"/>
      <c r="L2893" s="11"/>
      <c r="M2893" s="11"/>
      <c r="N2893" s="11"/>
      <c r="O2893" s="11"/>
      <c r="P2893" s="11"/>
      <c r="Q2893" s="11"/>
    </row>
    <row r="2894" spans="10:17">
      <c r="J2894" s="11"/>
      <c r="K2894" s="1533"/>
      <c r="L2894" s="11"/>
      <c r="M2894" s="11"/>
      <c r="N2894" s="11"/>
      <c r="O2894" s="11"/>
      <c r="P2894" s="11"/>
      <c r="Q2894" s="11"/>
    </row>
    <row r="2895" spans="10:17">
      <c r="J2895" s="11"/>
      <c r="K2895" s="1533"/>
      <c r="L2895" s="11"/>
      <c r="M2895" s="11"/>
      <c r="N2895" s="11"/>
      <c r="O2895" s="11"/>
      <c r="P2895" s="11"/>
      <c r="Q2895" s="11"/>
    </row>
    <row r="2896" spans="10:17">
      <c r="J2896" s="11"/>
      <c r="K2896" s="1533"/>
      <c r="L2896" s="11"/>
      <c r="M2896" s="11"/>
      <c r="N2896" s="11"/>
      <c r="O2896" s="11"/>
      <c r="P2896" s="11"/>
      <c r="Q2896" s="11"/>
    </row>
    <row r="2897" spans="10:17">
      <c r="J2897" s="11"/>
      <c r="K2897" s="1533"/>
      <c r="L2897" s="11"/>
      <c r="M2897" s="11"/>
      <c r="N2897" s="11"/>
      <c r="O2897" s="11"/>
      <c r="P2897" s="11"/>
      <c r="Q2897" s="11"/>
    </row>
    <row r="2898" spans="10:17">
      <c r="J2898" s="11"/>
      <c r="K2898" s="1533"/>
      <c r="L2898" s="11"/>
      <c r="M2898" s="11"/>
      <c r="N2898" s="11"/>
      <c r="O2898" s="11"/>
      <c r="P2898" s="11"/>
      <c r="Q2898" s="11"/>
    </row>
    <row r="2899" spans="10:17">
      <c r="J2899" s="11"/>
      <c r="K2899" s="1533"/>
      <c r="L2899" s="11"/>
      <c r="M2899" s="11"/>
      <c r="N2899" s="11"/>
      <c r="O2899" s="11"/>
      <c r="P2899" s="11"/>
      <c r="Q2899" s="11"/>
    </row>
    <row r="2900" spans="10:17">
      <c r="J2900" s="11"/>
      <c r="K2900" s="1533"/>
      <c r="L2900" s="11"/>
      <c r="M2900" s="11"/>
      <c r="N2900" s="11"/>
      <c r="O2900" s="11"/>
      <c r="P2900" s="11"/>
      <c r="Q2900" s="11"/>
    </row>
    <row r="2901" spans="10:17">
      <c r="J2901" s="11"/>
      <c r="K2901" s="1533"/>
      <c r="L2901" s="11"/>
      <c r="M2901" s="11"/>
      <c r="N2901" s="11"/>
      <c r="O2901" s="11"/>
      <c r="P2901" s="11"/>
      <c r="Q2901" s="11"/>
    </row>
    <row r="2902" spans="10:17">
      <c r="J2902" s="11"/>
      <c r="K2902" s="1533"/>
      <c r="L2902" s="11"/>
      <c r="M2902" s="11"/>
      <c r="N2902" s="11"/>
      <c r="O2902" s="11"/>
      <c r="P2902" s="11"/>
      <c r="Q2902" s="11"/>
    </row>
    <row r="2903" spans="10:17">
      <c r="J2903" s="11"/>
      <c r="K2903" s="1533"/>
      <c r="L2903" s="11"/>
      <c r="M2903" s="11"/>
      <c r="N2903" s="11"/>
      <c r="O2903" s="11"/>
      <c r="P2903" s="11"/>
      <c r="Q2903" s="11"/>
    </row>
    <row r="2904" spans="10:17">
      <c r="J2904" s="11"/>
      <c r="K2904" s="1533"/>
      <c r="L2904" s="11"/>
      <c r="M2904" s="11"/>
      <c r="N2904" s="11"/>
      <c r="O2904" s="11"/>
      <c r="P2904" s="11"/>
      <c r="Q2904" s="11"/>
    </row>
    <row r="2905" spans="10:17">
      <c r="J2905" s="11"/>
      <c r="K2905" s="1533"/>
      <c r="L2905" s="11"/>
      <c r="M2905" s="11"/>
      <c r="N2905" s="11"/>
      <c r="O2905" s="11"/>
      <c r="P2905" s="11"/>
      <c r="Q2905" s="11"/>
    </row>
    <row r="2906" spans="10:17">
      <c r="J2906" s="11"/>
      <c r="K2906" s="1533"/>
      <c r="L2906" s="11"/>
      <c r="M2906" s="11"/>
      <c r="N2906" s="11"/>
      <c r="O2906" s="11"/>
      <c r="P2906" s="11"/>
      <c r="Q2906" s="11"/>
    </row>
    <row r="2907" spans="10:17">
      <c r="J2907" s="11"/>
      <c r="K2907" s="1533"/>
      <c r="L2907" s="11"/>
      <c r="M2907" s="11"/>
      <c r="N2907" s="11"/>
      <c r="O2907" s="11"/>
      <c r="P2907" s="11"/>
      <c r="Q2907" s="11"/>
    </row>
    <row r="2908" spans="10:17">
      <c r="J2908" s="11"/>
      <c r="K2908" s="1533"/>
      <c r="L2908" s="11"/>
      <c r="M2908" s="11"/>
      <c r="N2908" s="11"/>
      <c r="O2908" s="11"/>
      <c r="P2908" s="11"/>
      <c r="Q2908" s="11"/>
    </row>
    <row r="2909" spans="10:17">
      <c r="J2909" s="11"/>
      <c r="K2909" s="1533"/>
      <c r="L2909" s="11"/>
      <c r="M2909" s="11"/>
      <c r="N2909" s="11"/>
      <c r="O2909" s="11"/>
      <c r="P2909" s="11"/>
      <c r="Q2909" s="11"/>
    </row>
    <row r="2910" spans="10:17">
      <c r="J2910" s="11"/>
      <c r="K2910" s="1533"/>
      <c r="L2910" s="11"/>
      <c r="M2910" s="11"/>
      <c r="N2910" s="11"/>
      <c r="O2910" s="11"/>
      <c r="P2910" s="11"/>
      <c r="Q2910" s="11"/>
    </row>
    <row r="2911" spans="10:17">
      <c r="J2911" s="11"/>
      <c r="K2911" s="1533"/>
      <c r="L2911" s="11"/>
      <c r="M2911" s="11"/>
      <c r="N2911" s="11"/>
      <c r="O2911" s="11"/>
      <c r="P2911" s="11"/>
      <c r="Q2911" s="11"/>
    </row>
    <row r="2912" spans="10:17">
      <c r="J2912" s="11"/>
      <c r="K2912" s="1533"/>
      <c r="L2912" s="11"/>
      <c r="M2912" s="11"/>
      <c r="N2912" s="11"/>
      <c r="O2912" s="11"/>
      <c r="P2912" s="11"/>
      <c r="Q2912" s="11"/>
    </row>
    <row r="2913" spans="10:17">
      <c r="J2913" s="11"/>
      <c r="K2913" s="1533"/>
      <c r="L2913" s="11"/>
      <c r="M2913" s="11"/>
      <c r="N2913" s="11"/>
      <c r="O2913" s="11"/>
      <c r="P2913" s="11"/>
      <c r="Q2913" s="11"/>
    </row>
    <row r="2914" spans="10:17">
      <c r="J2914" s="11"/>
      <c r="K2914" s="1533"/>
      <c r="L2914" s="11"/>
      <c r="M2914" s="11"/>
      <c r="N2914" s="11"/>
      <c r="O2914" s="11"/>
      <c r="P2914" s="11"/>
      <c r="Q2914" s="11"/>
    </row>
    <row r="2915" spans="10:17">
      <c r="J2915" s="11"/>
      <c r="K2915" s="1533"/>
      <c r="L2915" s="11"/>
      <c r="M2915" s="11"/>
      <c r="N2915" s="11"/>
      <c r="O2915" s="11"/>
      <c r="P2915" s="11"/>
      <c r="Q2915" s="11"/>
    </row>
    <row r="2916" spans="10:17">
      <c r="J2916" s="11"/>
      <c r="K2916" s="1533"/>
      <c r="L2916" s="11"/>
      <c r="M2916" s="11"/>
      <c r="N2916" s="11"/>
      <c r="O2916" s="11"/>
      <c r="P2916" s="11"/>
      <c r="Q2916" s="11"/>
    </row>
    <row r="2917" spans="10:17">
      <c r="J2917" s="11"/>
      <c r="K2917" s="1533"/>
      <c r="L2917" s="11"/>
      <c r="M2917" s="11"/>
      <c r="N2917" s="11"/>
      <c r="O2917" s="11"/>
      <c r="P2917" s="11"/>
      <c r="Q2917" s="11"/>
    </row>
    <row r="2918" spans="10:17">
      <c r="J2918" s="11"/>
      <c r="K2918" s="1533"/>
      <c r="L2918" s="11"/>
      <c r="M2918" s="11"/>
      <c r="N2918" s="11"/>
      <c r="O2918" s="11"/>
      <c r="P2918" s="11"/>
      <c r="Q2918" s="11"/>
    </row>
    <row r="2919" spans="10:17">
      <c r="J2919" s="11"/>
      <c r="K2919" s="1533"/>
      <c r="L2919" s="11"/>
      <c r="M2919" s="11"/>
      <c r="N2919" s="11"/>
      <c r="O2919" s="11"/>
      <c r="P2919" s="11"/>
      <c r="Q2919" s="11"/>
    </row>
    <row r="2920" spans="10:17">
      <c r="J2920" s="11"/>
      <c r="K2920" s="1533"/>
      <c r="L2920" s="11"/>
      <c r="M2920" s="11"/>
      <c r="N2920" s="11"/>
      <c r="O2920" s="11"/>
      <c r="P2920" s="11"/>
      <c r="Q2920" s="11"/>
    </row>
    <row r="2921" spans="10:17">
      <c r="J2921" s="11"/>
      <c r="K2921" s="1533"/>
      <c r="L2921" s="11"/>
      <c r="M2921" s="11"/>
      <c r="N2921" s="11"/>
      <c r="O2921" s="11"/>
      <c r="P2921" s="11"/>
      <c r="Q2921" s="11"/>
    </row>
    <row r="2922" spans="10:17">
      <c r="J2922" s="11"/>
      <c r="K2922" s="1533"/>
      <c r="L2922" s="11"/>
      <c r="M2922" s="11"/>
      <c r="N2922" s="11"/>
      <c r="O2922" s="11"/>
      <c r="P2922" s="11"/>
      <c r="Q2922" s="11"/>
    </row>
    <row r="2923" spans="10:17">
      <c r="J2923" s="11"/>
      <c r="K2923" s="1533"/>
      <c r="L2923" s="11"/>
      <c r="M2923" s="11"/>
      <c r="N2923" s="11"/>
      <c r="O2923" s="11"/>
      <c r="P2923" s="11"/>
      <c r="Q2923" s="11"/>
    </row>
    <row r="2924" spans="10:17">
      <c r="J2924" s="11"/>
      <c r="K2924" s="1533"/>
      <c r="L2924" s="11"/>
      <c r="M2924" s="11"/>
      <c r="N2924" s="11"/>
      <c r="O2924" s="11"/>
      <c r="P2924" s="11"/>
      <c r="Q2924" s="11"/>
    </row>
    <row r="2925" spans="10:17">
      <c r="J2925" s="11"/>
      <c r="K2925" s="1533"/>
      <c r="L2925" s="11"/>
      <c r="M2925" s="11"/>
      <c r="N2925" s="11"/>
      <c r="O2925" s="11"/>
      <c r="P2925" s="11"/>
      <c r="Q2925" s="11"/>
    </row>
    <row r="2926" spans="10:17">
      <c r="J2926" s="11"/>
      <c r="K2926" s="1533"/>
      <c r="L2926" s="11"/>
      <c r="M2926" s="11"/>
      <c r="N2926" s="11"/>
      <c r="O2926" s="11"/>
      <c r="P2926" s="11"/>
      <c r="Q2926" s="11"/>
    </row>
    <row r="2927" spans="10:17">
      <c r="J2927" s="11"/>
      <c r="K2927" s="1533"/>
      <c r="L2927" s="11"/>
      <c r="M2927" s="11"/>
      <c r="N2927" s="11"/>
      <c r="O2927" s="11"/>
      <c r="P2927" s="11"/>
      <c r="Q2927" s="11"/>
    </row>
    <row r="2928" spans="10:17">
      <c r="J2928" s="11"/>
      <c r="K2928" s="1533"/>
      <c r="L2928" s="11"/>
      <c r="M2928" s="11"/>
      <c r="N2928" s="11"/>
      <c r="O2928" s="11"/>
      <c r="P2928" s="11"/>
      <c r="Q2928" s="11"/>
    </row>
    <row r="2929" spans="10:17">
      <c r="J2929" s="11"/>
      <c r="K2929" s="1533"/>
      <c r="L2929" s="11"/>
      <c r="M2929" s="11"/>
      <c r="N2929" s="11"/>
      <c r="O2929" s="11"/>
      <c r="P2929" s="11"/>
      <c r="Q2929" s="11"/>
    </row>
    <row r="2930" spans="10:17">
      <c r="J2930" s="11"/>
      <c r="K2930" s="1533"/>
      <c r="L2930" s="11"/>
      <c r="M2930" s="11"/>
      <c r="N2930" s="11"/>
      <c r="O2930" s="11"/>
      <c r="P2930" s="11"/>
      <c r="Q2930" s="11"/>
    </row>
    <row r="2931" spans="10:17">
      <c r="J2931" s="11"/>
      <c r="K2931" s="1533"/>
      <c r="L2931" s="11"/>
      <c r="M2931" s="11"/>
      <c r="N2931" s="11"/>
      <c r="O2931" s="11"/>
      <c r="P2931" s="11"/>
      <c r="Q2931" s="11"/>
    </row>
    <row r="2932" spans="10:17">
      <c r="J2932" s="11"/>
      <c r="K2932" s="1533"/>
      <c r="L2932" s="11"/>
      <c r="M2932" s="11"/>
      <c r="N2932" s="11"/>
      <c r="O2932" s="11"/>
      <c r="P2932" s="11"/>
      <c r="Q2932" s="11"/>
    </row>
    <row r="2933" spans="10:17">
      <c r="J2933" s="11"/>
      <c r="K2933" s="1533"/>
      <c r="L2933" s="11"/>
      <c r="M2933" s="11"/>
      <c r="N2933" s="11"/>
      <c r="O2933" s="11"/>
      <c r="P2933" s="11"/>
      <c r="Q2933" s="11"/>
    </row>
    <row r="2934" spans="10:17">
      <c r="J2934" s="11"/>
      <c r="K2934" s="1533"/>
      <c r="L2934" s="11"/>
      <c r="M2934" s="11"/>
      <c r="N2934" s="11"/>
      <c r="O2934" s="11"/>
      <c r="P2934" s="11"/>
      <c r="Q2934" s="11"/>
    </row>
    <row r="2935" spans="10:17">
      <c r="J2935" s="11"/>
      <c r="K2935" s="1533"/>
      <c r="L2935" s="11"/>
      <c r="M2935" s="11"/>
      <c r="N2935" s="11"/>
      <c r="O2935" s="11"/>
      <c r="P2935" s="11"/>
      <c r="Q2935" s="11"/>
    </row>
    <row r="2936" spans="10:17">
      <c r="J2936" s="11"/>
      <c r="K2936" s="1533"/>
      <c r="L2936" s="11"/>
      <c r="M2936" s="11"/>
      <c r="N2936" s="11"/>
      <c r="O2936" s="11"/>
      <c r="P2936" s="11"/>
      <c r="Q2936" s="11"/>
    </row>
    <row r="2937" spans="10:17">
      <c r="J2937" s="11"/>
      <c r="K2937" s="1533"/>
      <c r="L2937" s="11"/>
      <c r="M2937" s="11"/>
      <c r="N2937" s="11"/>
      <c r="O2937" s="11"/>
      <c r="P2937" s="11"/>
      <c r="Q2937" s="11"/>
    </row>
    <row r="2938" spans="10:17">
      <c r="J2938" s="11"/>
      <c r="K2938" s="1533"/>
      <c r="L2938" s="11"/>
      <c r="M2938" s="11"/>
      <c r="N2938" s="11"/>
      <c r="O2938" s="11"/>
      <c r="P2938" s="11"/>
      <c r="Q2938" s="11"/>
    </row>
    <row r="2939" spans="10:17">
      <c r="J2939" s="11"/>
      <c r="K2939" s="1533"/>
      <c r="L2939" s="11"/>
      <c r="M2939" s="11"/>
      <c r="N2939" s="11"/>
      <c r="O2939" s="11"/>
      <c r="P2939" s="11"/>
      <c r="Q2939" s="11"/>
    </row>
    <row r="2940" spans="10:17">
      <c r="J2940" s="11"/>
      <c r="K2940" s="1533"/>
      <c r="L2940" s="11"/>
      <c r="M2940" s="11"/>
      <c r="N2940" s="11"/>
      <c r="O2940" s="11"/>
      <c r="P2940" s="11"/>
      <c r="Q2940" s="11"/>
    </row>
    <row r="2941" spans="10:17">
      <c r="J2941" s="11"/>
      <c r="K2941" s="1533"/>
      <c r="L2941" s="11"/>
      <c r="M2941" s="11"/>
      <c r="N2941" s="11"/>
      <c r="O2941" s="11"/>
      <c r="P2941" s="11"/>
      <c r="Q2941" s="11"/>
    </row>
    <row r="2942" spans="10:17">
      <c r="J2942" s="11"/>
      <c r="K2942" s="1533"/>
      <c r="L2942" s="11"/>
      <c r="M2942" s="11"/>
      <c r="N2942" s="11"/>
      <c r="O2942" s="11"/>
      <c r="P2942" s="11"/>
      <c r="Q2942" s="11"/>
    </row>
    <row r="2943" spans="10:17">
      <c r="J2943" s="11"/>
      <c r="K2943" s="1533"/>
      <c r="L2943" s="11"/>
      <c r="M2943" s="11"/>
      <c r="N2943" s="11"/>
      <c r="O2943" s="11"/>
      <c r="P2943" s="11"/>
      <c r="Q2943" s="11"/>
    </row>
    <row r="2944" spans="10:17">
      <c r="J2944" s="11"/>
      <c r="K2944" s="1533"/>
      <c r="L2944" s="11"/>
      <c r="M2944" s="11"/>
      <c r="N2944" s="11"/>
      <c r="O2944" s="11"/>
      <c r="P2944" s="11"/>
      <c r="Q2944" s="11"/>
    </row>
    <row r="2945" spans="10:17">
      <c r="J2945" s="11"/>
      <c r="K2945" s="1533"/>
      <c r="L2945" s="11"/>
      <c r="M2945" s="11"/>
      <c r="N2945" s="11"/>
      <c r="O2945" s="11"/>
      <c r="P2945" s="11"/>
      <c r="Q2945" s="11"/>
    </row>
    <row r="2946" spans="10:17">
      <c r="J2946" s="11"/>
      <c r="K2946" s="1533"/>
      <c r="L2946" s="11"/>
      <c r="M2946" s="11"/>
      <c r="N2946" s="11"/>
      <c r="O2946" s="11"/>
      <c r="P2946" s="11"/>
      <c r="Q2946" s="11"/>
    </row>
    <row r="2947" spans="10:17">
      <c r="J2947" s="11"/>
      <c r="K2947" s="1533"/>
      <c r="L2947" s="11"/>
      <c r="M2947" s="11"/>
      <c r="N2947" s="11"/>
      <c r="O2947" s="11"/>
      <c r="P2947" s="11"/>
      <c r="Q2947" s="11"/>
    </row>
    <row r="2948" spans="10:17">
      <c r="J2948" s="11"/>
      <c r="K2948" s="1533"/>
      <c r="L2948" s="11"/>
      <c r="M2948" s="11"/>
      <c r="N2948" s="11"/>
      <c r="O2948" s="11"/>
      <c r="P2948" s="11"/>
      <c r="Q2948" s="11"/>
    </row>
    <row r="2949" spans="10:17">
      <c r="J2949" s="11"/>
      <c r="K2949" s="1533"/>
      <c r="L2949" s="11"/>
      <c r="M2949" s="11"/>
      <c r="N2949" s="11"/>
      <c r="O2949" s="11"/>
      <c r="P2949" s="11"/>
      <c r="Q2949" s="11"/>
    </row>
    <row r="2950" spans="10:17">
      <c r="J2950" s="11"/>
      <c r="K2950" s="1533"/>
      <c r="L2950" s="11"/>
      <c r="M2950" s="11"/>
      <c r="N2950" s="11"/>
      <c r="O2950" s="11"/>
      <c r="P2950" s="11"/>
      <c r="Q2950" s="11"/>
    </row>
    <row r="2951" spans="10:17">
      <c r="J2951" s="11"/>
      <c r="K2951" s="1533"/>
      <c r="L2951" s="11"/>
      <c r="M2951" s="11"/>
      <c r="N2951" s="11"/>
      <c r="O2951" s="11"/>
      <c r="P2951" s="11"/>
      <c r="Q2951" s="11"/>
    </row>
    <row r="2952" spans="10:17">
      <c r="J2952" s="11"/>
      <c r="K2952" s="1533"/>
      <c r="L2952" s="11"/>
      <c r="M2952" s="11"/>
      <c r="N2952" s="11"/>
      <c r="O2952" s="11"/>
      <c r="P2952" s="11"/>
      <c r="Q2952" s="11"/>
    </row>
    <row r="2953" spans="10:17">
      <c r="J2953" s="11"/>
      <c r="K2953" s="1533"/>
      <c r="L2953" s="11"/>
      <c r="M2953" s="11"/>
      <c r="N2953" s="11"/>
      <c r="O2953" s="11"/>
      <c r="P2953" s="11"/>
      <c r="Q2953" s="11"/>
    </row>
    <row r="2954" spans="10:17">
      <c r="J2954" s="11"/>
      <c r="K2954" s="1533"/>
      <c r="L2954" s="11"/>
      <c r="M2954" s="11"/>
      <c r="N2954" s="11"/>
      <c r="O2954" s="11"/>
      <c r="P2954" s="11"/>
      <c r="Q2954" s="11"/>
    </row>
    <row r="2955" spans="10:17">
      <c r="J2955" s="11"/>
      <c r="K2955" s="1533"/>
      <c r="L2955" s="11"/>
      <c r="M2955" s="11"/>
      <c r="N2955" s="11"/>
      <c r="O2955" s="11"/>
      <c r="P2955" s="11"/>
      <c r="Q2955" s="11"/>
    </row>
    <row r="2956" spans="10:17">
      <c r="J2956" s="11"/>
      <c r="K2956" s="1533"/>
      <c r="L2956" s="11"/>
      <c r="M2956" s="11"/>
      <c r="N2956" s="11"/>
      <c r="O2956" s="11"/>
      <c r="P2956" s="11"/>
      <c r="Q2956" s="11"/>
    </row>
    <row r="2957" spans="10:17">
      <c r="J2957" s="11"/>
      <c r="K2957" s="1533"/>
      <c r="L2957" s="11"/>
      <c r="M2957" s="11"/>
      <c r="N2957" s="11"/>
      <c r="O2957" s="11"/>
      <c r="P2957" s="11"/>
      <c r="Q2957" s="11"/>
    </row>
    <row r="2958" spans="10:17">
      <c r="J2958" s="11"/>
      <c r="K2958" s="1533"/>
      <c r="L2958" s="11"/>
      <c r="M2958" s="11"/>
      <c r="N2958" s="11"/>
      <c r="O2958" s="11"/>
      <c r="P2958" s="11"/>
      <c r="Q2958" s="11"/>
    </row>
    <row r="2959" spans="10:17">
      <c r="J2959" s="11"/>
      <c r="K2959" s="1533"/>
      <c r="L2959" s="11"/>
      <c r="M2959" s="11"/>
      <c r="N2959" s="11"/>
      <c r="O2959" s="11"/>
      <c r="P2959" s="11"/>
      <c r="Q2959" s="11"/>
    </row>
    <row r="2960" spans="10:17">
      <c r="J2960" s="11"/>
      <c r="K2960" s="1533"/>
      <c r="L2960" s="11"/>
      <c r="M2960" s="11"/>
      <c r="N2960" s="11"/>
      <c r="O2960" s="11"/>
      <c r="P2960" s="11"/>
      <c r="Q2960" s="11"/>
    </row>
    <row r="2961" spans="10:17">
      <c r="J2961" s="11"/>
      <c r="K2961" s="1533"/>
      <c r="L2961" s="11"/>
      <c r="M2961" s="11"/>
      <c r="N2961" s="11"/>
      <c r="O2961" s="11"/>
      <c r="P2961" s="11"/>
      <c r="Q2961" s="11"/>
    </row>
    <row r="2962" spans="10:17">
      <c r="J2962" s="11"/>
      <c r="K2962" s="1533"/>
      <c r="L2962" s="11"/>
      <c r="M2962" s="11"/>
      <c r="N2962" s="11"/>
      <c r="O2962" s="11"/>
      <c r="P2962" s="11"/>
      <c r="Q2962" s="11"/>
    </row>
    <row r="2963" spans="10:17">
      <c r="J2963" s="11"/>
      <c r="K2963" s="1533"/>
      <c r="L2963" s="11"/>
      <c r="M2963" s="11"/>
      <c r="N2963" s="11"/>
      <c r="O2963" s="11"/>
      <c r="P2963" s="11"/>
      <c r="Q2963" s="11"/>
    </row>
    <row r="2964" spans="10:17">
      <c r="J2964" s="11"/>
      <c r="K2964" s="1533"/>
      <c r="L2964" s="11"/>
      <c r="M2964" s="11"/>
      <c r="N2964" s="11"/>
      <c r="O2964" s="11"/>
      <c r="P2964" s="11"/>
      <c r="Q2964" s="11"/>
    </row>
    <row r="2965" spans="10:17">
      <c r="J2965" s="11"/>
      <c r="K2965" s="1533"/>
      <c r="L2965" s="11"/>
      <c r="M2965" s="11"/>
      <c r="N2965" s="11"/>
      <c r="O2965" s="11"/>
      <c r="P2965" s="11"/>
      <c r="Q2965" s="11"/>
    </row>
    <row r="2966" spans="10:17">
      <c r="J2966" s="11"/>
      <c r="K2966" s="1533"/>
      <c r="L2966" s="11"/>
      <c r="M2966" s="11"/>
      <c r="N2966" s="11"/>
      <c r="O2966" s="11"/>
      <c r="P2966" s="11"/>
      <c r="Q2966" s="11"/>
    </row>
    <row r="2967" spans="10:17">
      <c r="J2967" s="11"/>
      <c r="K2967" s="1533"/>
      <c r="L2967" s="11"/>
      <c r="M2967" s="11"/>
      <c r="N2967" s="11"/>
      <c r="O2967" s="11"/>
      <c r="P2967" s="11"/>
      <c r="Q2967" s="11"/>
    </row>
    <row r="2968" spans="10:17">
      <c r="J2968" s="11"/>
      <c r="K2968" s="1533"/>
      <c r="L2968" s="11"/>
      <c r="M2968" s="11"/>
      <c r="N2968" s="11"/>
      <c r="O2968" s="11"/>
      <c r="P2968" s="11"/>
      <c r="Q2968" s="11"/>
    </row>
    <row r="2969" spans="10:17">
      <c r="J2969" s="11"/>
      <c r="K2969" s="1533"/>
      <c r="L2969" s="11"/>
      <c r="M2969" s="11"/>
      <c r="N2969" s="11"/>
      <c r="O2969" s="11"/>
      <c r="P2969" s="11"/>
      <c r="Q2969" s="11"/>
    </row>
    <row r="2970" spans="10:17">
      <c r="J2970" s="11"/>
      <c r="K2970" s="1533"/>
      <c r="L2970" s="11"/>
      <c r="M2970" s="11"/>
      <c r="N2970" s="11"/>
      <c r="O2970" s="11"/>
      <c r="P2970" s="11"/>
      <c r="Q2970" s="11"/>
    </row>
    <row r="2971" spans="10:17">
      <c r="J2971" s="11"/>
      <c r="K2971" s="1533"/>
      <c r="L2971" s="11"/>
      <c r="M2971" s="11"/>
      <c r="N2971" s="11"/>
      <c r="O2971" s="11"/>
      <c r="P2971" s="11"/>
      <c r="Q2971" s="11"/>
    </row>
    <row r="2972" spans="10:17">
      <c r="J2972" s="11"/>
      <c r="K2972" s="1533"/>
      <c r="L2972" s="11"/>
      <c r="M2972" s="11"/>
      <c r="N2972" s="11"/>
      <c r="O2972" s="11"/>
      <c r="P2972" s="11"/>
      <c r="Q2972" s="11"/>
    </row>
    <row r="2973" spans="10:17">
      <c r="J2973" s="11"/>
      <c r="K2973" s="1533"/>
      <c r="L2973" s="11"/>
      <c r="M2973" s="11"/>
      <c r="N2973" s="11"/>
      <c r="O2973" s="11"/>
      <c r="P2973" s="11"/>
      <c r="Q2973" s="11"/>
    </row>
    <row r="2974" spans="10:17">
      <c r="J2974" s="11"/>
      <c r="K2974" s="1533"/>
      <c r="L2974" s="11"/>
      <c r="M2974" s="11"/>
      <c r="N2974" s="11"/>
      <c r="O2974" s="11"/>
      <c r="P2974" s="11"/>
      <c r="Q2974" s="11"/>
    </row>
    <row r="2975" spans="10:17">
      <c r="J2975" s="11"/>
      <c r="K2975" s="1533"/>
      <c r="L2975" s="11"/>
      <c r="M2975" s="11"/>
      <c r="N2975" s="11"/>
      <c r="O2975" s="11"/>
      <c r="P2975" s="11"/>
      <c r="Q2975" s="11"/>
    </row>
    <row r="2976" spans="10:17">
      <c r="J2976" s="11"/>
      <c r="K2976" s="1533"/>
      <c r="L2976" s="11"/>
      <c r="M2976" s="11"/>
      <c r="N2976" s="11"/>
      <c r="O2976" s="11"/>
      <c r="P2976" s="11"/>
      <c r="Q2976" s="11"/>
    </row>
    <row r="2977" spans="10:17">
      <c r="J2977" s="11"/>
      <c r="K2977" s="1533"/>
      <c r="L2977" s="11"/>
      <c r="M2977" s="11"/>
      <c r="N2977" s="11"/>
      <c r="O2977" s="11"/>
      <c r="P2977" s="11"/>
      <c r="Q2977" s="11"/>
    </row>
    <row r="2978" spans="10:17">
      <c r="J2978" s="11"/>
      <c r="K2978" s="1533"/>
      <c r="L2978" s="11"/>
      <c r="M2978" s="11"/>
      <c r="N2978" s="11"/>
      <c r="O2978" s="11"/>
      <c r="P2978" s="11"/>
      <c r="Q2978" s="11"/>
    </row>
    <row r="2979" spans="10:17">
      <c r="J2979" s="11"/>
      <c r="K2979" s="1533"/>
      <c r="L2979" s="11"/>
      <c r="M2979" s="11"/>
      <c r="N2979" s="11"/>
      <c r="O2979" s="11"/>
      <c r="P2979" s="11"/>
      <c r="Q2979" s="11"/>
    </row>
    <row r="2980" spans="10:17">
      <c r="J2980" s="11"/>
      <c r="K2980" s="1533"/>
      <c r="L2980" s="11"/>
      <c r="M2980" s="11"/>
      <c r="N2980" s="11"/>
      <c r="O2980" s="11"/>
      <c r="P2980" s="11"/>
      <c r="Q2980" s="11"/>
    </row>
    <row r="2981" spans="10:17">
      <c r="J2981" s="11"/>
      <c r="K2981" s="1533"/>
      <c r="L2981" s="11"/>
      <c r="M2981" s="11"/>
      <c r="N2981" s="11"/>
      <c r="O2981" s="11"/>
      <c r="P2981" s="11"/>
      <c r="Q2981" s="11"/>
    </row>
    <row r="2982" spans="10:17">
      <c r="J2982" s="11"/>
      <c r="K2982" s="1533"/>
      <c r="L2982" s="11"/>
      <c r="M2982" s="11"/>
      <c r="N2982" s="11"/>
      <c r="O2982" s="11"/>
      <c r="P2982" s="11"/>
      <c r="Q2982" s="11"/>
    </row>
    <row r="2983" spans="10:17">
      <c r="J2983" s="11"/>
      <c r="K2983" s="1533"/>
      <c r="L2983" s="11"/>
      <c r="M2983" s="11"/>
      <c r="N2983" s="11"/>
      <c r="O2983" s="11"/>
      <c r="P2983" s="11"/>
      <c r="Q2983" s="11"/>
    </row>
    <row r="2984" spans="10:17">
      <c r="J2984" s="11"/>
      <c r="K2984" s="1533"/>
      <c r="L2984" s="11"/>
      <c r="M2984" s="11"/>
      <c r="N2984" s="11"/>
      <c r="O2984" s="11"/>
      <c r="P2984" s="11"/>
      <c r="Q2984" s="11"/>
    </row>
    <row r="2985" spans="10:17">
      <c r="J2985" s="11"/>
      <c r="K2985" s="1533"/>
      <c r="L2985" s="11"/>
      <c r="M2985" s="11"/>
      <c r="N2985" s="11"/>
      <c r="O2985" s="11"/>
      <c r="P2985" s="11"/>
      <c r="Q2985" s="11"/>
    </row>
    <row r="2986" spans="10:17">
      <c r="J2986" s="11"/>
      <c r="K2986" s="1533"/>
      <c r="L2986" s="11"/>
      <c r="M2986" s="11"/>
      <c r="N2986" s="11"/>
      <c r="O2986" s="11"/>
      <c r="P2986" s="11"/>
      <c r="Q2986" s="11"/>
    </row>
    <row r="2987" spans="10:17">
      <c r="J2987" s="11"/>
      <c r="K2987" s="1533"/>
      <c r="L2987" s="11"/>
      <c r="M2987" s="11"/>
      <c r="N2987" s="11"/>
      <c r="O2987" s="11"/>
      <c r="P2987" s="11"/>
      <c r="Q2987" s="11"/>
    </row>
    <row r="2988" spans="10:17">
      <c r="J2988" s="11"/>
      <c r="K2988" s="1533"/>
      <c r="L2988" s="11"/>
      <c r="M2988" s="11"/>
      <c r="N2988" s="11"/>
      <c r="O2988" s="11"/>
      <c r="P2988" s="11"/>
      <c r="Q2988" s="11"/>
    </row>
    <row r="2989" spans="10:17">
      <c r="J2989" s="11"/>
      <c r="K2989" s="1533"/>
      <c r="L2989" s="11"/>
      <c r="M2989" s="11"/>
      <c r="N2989" s="11"/>
      <c r="O2989" s="11"/>
      <c r="P2989" s="11"/>
      <c r="Q2989" s="11"/>
    </row>
    <row r="2990" spans="10:17">
      <c r="J2990" s="11"/>
      <c r="K2990" s="1533"/>
      <c r="L2990" s="11"/>
      <c r="M2990" s="11"/>
      <c r="N2990" s="11"/>
      <c r="O2990" s="11"/>
      <c r="P2990" s="11"/>
      <c r="Q2990" s="11"/>
    </row>
    <row r="2991" spans="10:17">
      <c r="J2991" s="11"/>
      <c r="K2991" s="1533"/>
      <c r="L2991" s="11"/>
      <c r="M2991" s="11"/>
      <c r="N2991" s="11"/>
      <c r="O2991" s="11"/>
      <c r="P2991" s="11"/>
      <c r="Q2991" s="11"/>
    </row>
    <row r="2992" spans="10:17">
      <c r="J2992" s="11"/>
      <c r="K2992" s="1533"/>
      <c r="L2992" s="11"/>
      <c r="M2992" s="11"/>
      <c r="N2992" s="11"/>
      <c r="O2992" s="11"/>
      <c r="P2992" s="11"/>
      <c r="Q2992" s="11"/>
    </row>
    <row r="2993" spans="10:17">
      <c r="J2993" s="11"/>
      <c r="K2993" s="1533"/>
      <c r="L2993" s="11"/>
      <c r="M2993" s="11"/>
      <c r="N2993" s="11"/>
      <c r="O2993" s="11"/>
      <c r="P2993" s="11"/>
      <c r="Q2993" s="11"/>
    </row>
    <row r="2994" spans="10:17">
      <c r="J2994" s="11"/>
      <c r="K2994" s="1533"/>
      <c r="L2994" s="11"/>
      <c r="M2994" s="11"/>
      <c r="N2994" s="11"/>
      <c r="O2994" s="11"/>
      <c r="P2994" s="11"/>
      <c r="Q2994" s="11"/>
    </row>
    <row r="2995" spans="10:17">
      <c r="J2995" s="11"/>
      <c r="K2995" s="1533"/>
      <c r="L2995" s="11"/>
      <c r="M2995" s="11"/>
      <c r="N2995" s="11"/>
      <c r="O2995" s="11"/>
      <c r="P2995" s="11"/>
      <c r="Q2995" s="11"/>
    </row>
    <row r="2996" spans="10:17">
      <c r="J2996" s="11"/>
      <c r="K2996" s="1533"/>
      <c r="L2996" s="11"/>
      <c r="M2996" s="11"/>
      <c r="N2996" s="11"/>
      <c r="O2996" s="11"/>
      <c r="P2996" s="11"/>
      <c r="Q2996" s="11"/>
    </row>
    <row r="2997" spans="10:17">
      <c r="J2997" s="11"/>
      <c r="K2997" s="1533"/>
      <c r="L2997" s="11"/>
      <c r="M2997" s="11"/>
      <c r="N2997" s="11"/>
      <c r="O2997" s="11"/>
      <c r="P2997" s="11"/>
      <c r="Q2997" s="11"/>
    </row>
    <row r="2998" spans="10:17">
      <c r="J2998" s="11"/>
      <c r="K2998" s="1533"/>
      <c r="L2998" s="11"/>
      <c r="M2998" s="11"/>
      <c r="N2998" s="11"/>
      <c r="O2998" s="11"/>
      <c r="P2998" s="11"/>
      <c r="Q2998" s="11"/>
    </row>
    <row r="2999" spans="10:17">
      <c r="J2999" s="11"/>
      <c r="K2999" s="1533"/>
      <c r="L2999" s="11"/>
      <c r="M2999" s="11"/>
      <c r="N2999" s="11"/>
      <c r="O2999" s="11"/>
      <c r="P2999" s="11"/>
      <c r="Q2999" s="11"/>
    </row>
    <row r="3000" spans="10:17">
      <c r="J3000" s="11"/>
      <c r="K3000" s="1533"/>
      <c r="L3000" s="11"/>
      <c r="M3000" s="11"/>
      <c r="N3000" s="11"/>
      <c r="O3000" s="11"/>
      <c r="P3000" s="11"/>
      <c r="Q3000" s="11"/>
    </row>
    <row r="3001" spans="10:17">
      <c r="J3001" s="11"/>
      <c r="K3001" s="1533"/>
      <c r="L3001" s="11"/>
      <c r="M3001" s="11"/>
      <c r="N3001" s="11"/>
      <c r="O3001" s="11"/>
      <c r="P3001" s="11"/>
      <c r="Q3001" s="11"/>
    </row>
    <row r="3002" spans="10:17">
      <c r="J3002" s="11"/>
      <c r="K3002" s="1533"/>
      <c r="L3002" s="11"/>
      <c r="M3002" s="11"/>
      <c r="N3002" s="11"/>
      <c r="O3002" s="11"/>
      <c r="P3002" s="11"/>
      <c r="Q3002" s="11"/>
    </row>
    <row r="3003" spans="10:17">
      <c r="J3003" s="11"/>
      <c r="K3003" s="1533"/>
      <c r="L3003" s="11"/>
      <c r="M3003" s="11"/>
      <c r="N3003" s="11"/>
      <c r="O3003" s="11"/>
      <c r="P3003" s="11"/>
      <c r="Q3003" s="11"/>
    </row>
    <row r="3004" spans="10:17">
      <c r="J3004" s="11"/>
      <c r="K3004" s="1533"/>
      <c r="L3004" s="11"/>
      <c r="M3004" s="11"/>
      <c r="N3004" s="11"/>
      <c r="O3004" s="11"/>
      <c r="P3004" s="11"/>
      <c r="Q3004" s="11"/>
    </row>
    <row r="3005" spans="10:17">
      <c r="J3005" s="11"/>
      <c r="K3005" s="1533"/>
      <c r="L3005" s="11"/>
      <c r="M3005" s="11"/>
      <c r="N3005" s="11"/>
      <c r="O3005" s="11"/>
      <c r="P3005" s="11"/>
      <c r="Q3005" s="11"/>
    </row>
    <row r="3006" spans="10:17">
      <c r="J3006" s="11"/>
      <c r="K3006" s="1533"/>
      <c r="L3006" s="11"/>
      <c r="M3006" s="11"/>
      <c r="N3006" s="11"/>
      <c r="O3006" s="11"/>
      <c r="P3006" s="11"/>
      <c r="Q3006" s="11"/>
    </row>
    <row r="3007" spans="10:17">
      <c r="J3007" s="11"/>
      <c r="K3007" s="1533"/>
      <c r="L3007" s="11"/>
      <c r="M3007" s="11"/>
      <c r="N3007" s="11"/>
      <c r="O3007" s="11"/>
      <c r="P3007" s="11"/>
      <c r="Q3007" s="11"/>
    </row>
    <row r="3008" spans="10:17">
      <c r="J3008" s="11"/>
      <c r="K3008" s="1533"/>
      <c r="L3008" s="11"/>
      <c r="M3008" s="11"/>
      <c r="N3008" s="11"/>
      <c r="O3008" s="11"/>
      <c r="P3008" s="11"/>
      <c r="Q3008" s="11"/>
    </row>
    <row r="3009" spans="10:17">
      <c r="J3009" s="11"/>
      <c r="K3009" s="1533"/>
      <c r="L3009" s="11"/>
      <c r="M3009" s="11"/>
      <c r="N3009" s="11"/>
      <c r="O3009" s="11"/>
      <c r="P3009" s="11"/>
      <c r="Q3009" s="11"/>
    </row>
    <row r="3010" spans="10:17">
      <c r="J3010" s="11"/>
      <c r="K3010" s="1533"/>
      <c r="L3010" s="11"/>
      <c r="M3010" s="11"/>
      <c r="N3010" s="11"/>
      <c r="O3010" s="11"/>
      <c r="P3010" s="11"/>
      <c r="Q3010" s="11"/>
    </row>
    <row r="3011" spans="10:17">
      <c r="J3011" s="11"/>
      <c r="K3011" s="1533"/>
      <c r="L3011" s="11"/>
      <c r="M3011" s="11"/>
      <c r="N3011" s="11"/>
      <c r="O3011" s="11"/>
      <c r="P3011" s="11"/>
      <c r="Q3011" s="11"/>
    </row>
    <row r="3012" spans="10:17">
      <c r="J3012" s="11"/>
      <c r="K3012" s="1533"/>
      <c r="L3012" s="11"/>
      <c r="M3012" s="11"/>
      <c r="N3012" s="11"/>
      <c r="O3012" s="11"/>
      <c r="P3012" s="11"/>
      <c r="Q3012" s="11"/>
    </row>
    <row r="3013" spans="10:17">
      <c r="J3013" s="11"/>
      <c r="K3013" s="1533"/>
      <c r="L3013" s="11"/>
      <c r="M3013" s="11"/>
      <c r="N3013" s="11"/>
      <c r="O3013" s="11"/>
      <c r="P3013" s="11"/>
      <c r="Q3013" s="11"/>
    </row>
    <row r="3014" spans="10:17">
      <c r="J3014" s="11"/>
      <c r="K3014" s="1533"/>
      <c r="L3014" s="11"/>
      <c r="M3014" s="11"/>
      <c r="N3014" s="11"/>
      <c r="O3014" s="11"/>
      <c r="P3014" s="11"/>
      <c r="Q3014" s="11"/>
    </row>
    <row r="3015" spans="10:17">
      <c r="J3015" s="11"/>
      <c r="K3015" s="1533"/>
      <c r="L3015" s="11"/>
      <c r="M3015" s="11"/>
      <c r="N3015" s="11"/>
      <c r="O3015" s="11"/>
      <c r="P3015" s="11"/>
      <c r="Q3015" s="11"/>
    </row>
    <row r="3016" spans="10:17">
      <c r="J3016" s="11"/>
      <c r="K3016" s="1533"/>
      <c r="L3016" s="11"/>
      <c r="M3016" s="11"/>
      <c r="N3016" s="11"/>
      <c r="O3016" s="11"/>
      <c r="P3016" s="11"/>
      <c r="Q3016" s="11"/>
    </row>
    <row r="3017" spans="10:17">
      <c r="J3017" s="11"/>
      <c r="K3017" s="1533"/>
      <c r="L3017" s="11"/>
      <c r="M3017" s="11"/>
      <c r="N3017" s="11"/>
      <c r="O3017" s="11"/>
      <c r="P3017" s="11"/>
      <c r="Q3017" s="11"/>
    </row>
    <row r="3018" spans="10:17">
      <c r="J3018" s="11"/>
      <c r="K3018" s="1533"/>
      <c r="L3018" s="11"/>
      <c r="M3018" s="11"/>
      <c r="N3018" s="11"/>
      <c r="O3018" s="11"/>
      <c r="P3018" s="11"/>
      <c r="Q3018" s="11"/>
    </row>
    <row r="3019" spans="10:17">
      <c r="J3019" s="11"/>
      <c r="K3019" s="1533"/>
      <c r="L3019" s="11"/>
      <c r="M3019" s="11"/>
      <c r="N3019" s="11"/>
      <c r="O3019" s="11"/>
      <c r="P3019" s="11"/>
      <c r="Q3019" s="11"/>
    </row>
    <row r="3020" spans="10:17">
      <c r="J3020" s="11"/>
      <c r="K3020" s="1533"/>
      <c r="L3020" s="11"/>
      <c r="M3020" s="11"/>
      <c r="N3020" s="11"/>
      <c r="O3020" s="11"/>
      <c r="P3020" s="11"/>
      <c r="Q3020" s="11"/>
    </row>
    <row r="3021" spans="10:17">
      <c r="J3021" s="11"/>
      <c r="K3021" s="1533"/>
      <c r="L3021" s="11"/>
      <c r="M3021" s="11"/>
      <c r="N3021" s="11"/>
      <c r="O3021" s="11"/>
      <c r="P3021" s="11"/>
      <c r="Q3021" s="11"/>
    </row>
    <row r="3022" spans="10:17">
      <c r="J3022" s="11"/>
      <c r="K3022" s="1533"/>
      <c r="L3022" s="11"/>
      <c r="M3022" s="11"/>
      <c r="N3022" s="11"/>
      <c r="O3022" s="11"/>
      <c r="P3022" s="11"/>
      <c r="Q3022" s="11"/>
    </row>
    <row r="3023" spans="10:17">
      <c r="J3023" s="11"/>
      <c r="K3023" s="1533"/>
      <c r="L3023" s="11"/>
      <c r="M3023" s="11"/>
      <c r="N3023" s="11"/>
      <c r="O3023" s="11"/>
      <c r="P3023" s="11"/>
      <c r="Q3023" s="11"/>
    </row>
    <row r="3024" spans="10:17">
      <c r="J3024" s="11"/>
      <c r="K3024" s="1533"/>
      <c r="L3024" s="11"/>
      <c r="M3024" s="11"/>
      <c r="N3024" s="11"/>
      <c r="O3024" s="11"/>
      <c r="P3024" s="11"/>
      <c r="Q3024" s="11"/>
    </row>
    <row r="3025" spans="10:17">
      <c r="J3025" s="11"/>
      <c r="K3025" s="1533"/>
      <c r="L3025" s="11"/>
      <c r="M3025" s="11"/>
      <c r="N3025" s="11"/>
      <c r="O3025" s="11"/>
      <c r="P3025" s="11"/>
      <c r="Q3025" s="11"/>
    </row>
    <row r="3026" spans="10:17">
      <c r="J3026" s="11"/>
      <c r="K3026" s="1533"/>
      <c r="L3026" s="11"/>
      <c r="M3026" s="11"/>
      <c r="N3026" s="11"/>
      <c r="O3026" s="11"/>
      <c r="P3026" s="11"/>
      <c r="Q3026" s="11"/>
    </row>
    <row r="3027" spans="10:17">
      <c r="J3027" s="11"/>
      <c r="K3027" s="1533"/>
      <c r="L3027" s="11"/>
      <c r="M3027" s="11"/>
      <c r="N3027" s="11"/>
      <c r="O3027" s="11"/>
      <c r="P3027" s="11"/>
      <c r="Q3027" s="11"/>
    </row>
    <row r="3028" spans="10:17">
      <c r="J3028" s="11"/>
      <c r="K3028" s="1533"/>
      <c r="L3028" s="11"/>
      <c r="M3028" s="11"/>
      <c r="N3028" s="11"/>
      <c r="O3028" s="11"/>
      <c r="P3028" s="11"/>
      <c r="Q3028" s="11"/>
    </row>
    <row r="3029" spans="10:17">
      <c r="J3029" s="11"/>
      <c r="K3029" s="1533"/>
      <c r="L3029" s="11"/>
      <c r="M3029" s="11"/>
      <c r="N3029" s="11"/>
      <c r="O3029" s="11"/>
      <c r="P3029" s="11"/>
      <c r="Q3029" s="11"/>
    </row>
    <row r="3030" spans="10:17">
      <c r="J3030" s="11"/>
      <c r="K3030" s="1533"/>
      <c r="L3030" s="11"/>
      <c r="M3030" s="11"/>
      <c r="N3030" s="11"/>
      <c r="O3030" s="11"/>
      <c r="P3030" s="11"/>
      <c r="Q3030" s="11"/>
    </row>
    <row r="3031" spans="10:17">
      <c r="J3031" s="11"/>
      <c r="K3031" s="1533"/>
      <c r="L3031" s="11"/>
      <c r="M3031" s="11"/>
      <c r="N3031" s="11"/>
      <c r="O3031" s="11"/>
      <c r="P3031" s="11"/>
      <c r="Q3031" s="11"/>
    </row>
    <row r="3032" spans="10:17">
      <c r="J3032" s="11"/>
      <c r="K3032" s="1533"/>
      <c r="L3032" s="11"/>
      <c r="M3032" s="11"/>
      <c r="N3032" s="11"/>
      <c r="O3032" s="11"/>
      <c r="P3032" s="11"/>
      <c r="Q3032" s="11"/>
    </row>
    <row r="3033" spans="10:17">
      <c r="J3033" s="11"/>
      <c r="K3033" s="1533"/>
      <c r="L3033" s="11"/>
      <c r="M3033" s="11"/>
      <c r="N3033" s="11"/>
      <c r="O3033" s="11"/>
      <c r="P3033" s="11"/>
      <c r="Q3033" s="11"/>
    </row>
    <row r="3034" spans="10:17">
      <c r="J3034" s="11"/>
      <c r="K3034" s="1533"/>
      <c r="L3034" s="11"/>
      <c r="M3034" s="11"/>
      <c r="N3034" s="11"/>
      <c r="O3034" s="11"/>
      <c r="P3034" s="11"/>
      <c r="Q3034" s="11"/>
    </row>
    <row r="3035" spans="10:17">
      <c r="J3035" s="11"/>
      <c r="K3035" s="1533"/>
      <c r="L3035" s="11"/>
      <c r="M3035" s="11"/>
      <c r="N3035" s="11"/>
      <c r="O3035" s="11"/>
      <c r="P3035" s="11"/>
      <c r="Q3035" s="11"/>
    </row>
    <row r="3036" spans="10:17">
      <c r="J3036" s="11"/>
      <c r="K3036" s="1533"/>
      <c r="L3036" s="11"/>
      <c r="M3036" s="11"/>
      <c r="N3036" s="11"/>
      <c r="O3036" s="11"/>
      <c r="P3036" s="11"/>
      <c r="Q3036" s="11"/>
    </row>
    <row r="3037" spans="10:17">
      <c r="J3037" s="11"/>
      <c r="K3037" s="1533"/>
      <c r="L3037" s="11"/>
      <c r="M3037" s="11"/>
      <c r="N3037" s="11"/>
      <c r="O3037" s="11"/>
      <c r="P3037" s="11"/>
      <c r="Q3037" s="11"/>
    </row>
    <row r="3038" spans="10:17">
      <c r="J3038" s="11"/>
      <c r="K3038" s="1533"/>
      <c r="L3038" s="11"/>
      <c r="M3038" s="11"/>
      <c r="N3038" s="11"/>
      <c r="O3038" s="11"/>
      <c r="P3038" s="11"/>
      <c r="Q3038" s="11"/>
    </row>
    <row r="3039" spans="10:17">
      <c r="J3039" s="11"/>
      <c r="K3039" s="1533"/>
      <c r="L3039" s="11"/>
      <c r="M3039" s="11"/>
      <c r="N3039" s="11"/>
      <c r="O3039" s="11"/>
      <c r="P3039" s="11"/>
      <c r="Q3039" s="11"/>
    </row>
    <row r="3040" spans="10:17">
      <c r="J3040" s="11"/>
      <c r="K3040" s="1533"/>
      <c r="L3040" s="11"/>
      <c r="M3040" s="11"/>
      <c r="N3040" s="11"/>
      <c r="O3040" s="11"/>
      <c r="P3040" s="11"/>
      <c r="Q3040" s="11"/>
    </row>
    <row r="3041" spans="10:17">
      <c r="J3041" s="11"/>
      <c r="K3041" s="1533"/>
      <c r="L3041" s="11"/>
      <c r="M3041" s="11"/>
      <c r="N3041" s="11"/>
      <c r="O3041" s="11"/>
      <c r="P3041" s="11"/>
      <c r="Q3041" s="11"/>
    </row>
    <row r="3042" spans="10:17">
      <c r="J3042" s="11"/>
      <c r="K3042" s="1533"/>
      <c r="L3042" s="11"/>
      <c r="M3042" s="11"/>
      <c r="N3042" s="11"/>
      <c r="O3042" s="11"/>
      <c r="P3042" s="11"/>
      <c r="Q3042" s="11"/>
    </row>
    <row r="3043" spans="10:17">
      <c r="J3043" s="11"/>
      <c r="K3043" s="1533"/>
      <c r="L3043" s="11"/>
      <c r="M3043" s="11"/>
      <c r="N3043" s="11"/>
      <c r="O3043" s="11"/>
      <c r="P3043" s="11"/>
      <c r="Q3043" s="11"/>
    </row>
    <row r="3044" spans="10:17">
      <c r="J3044" s="11"/>
      <c r="K3044" s="1533"/>
      <c r="L3044" s="11"/>
      <c r="M3044" s="11"/>
      <c r="N3044" s="11"/>
      <c r="O3044" s="11"/>
      <c r="P3044" s="11"/>
      <c r="Q3044" s="11"/>
    </row>
    <row r="3045" spans="10:17">
      <c r="J3045" s="11"/>
      <c r="K3045" s="1533"/>
      <c r="L3045" s="11"/>
      <c r="M3045" s="11"/>
      <c r="N3045" s="11"/>
      <c r="O3045" s="11"/>
      <c r="P3045" s="11"/>
      <c r="Q3045" s="11"/>
    </row>
    <row r="3046" spans="10:17">
      <c r="J3046" s="11"/>
      <c r="K3046" s="1533"/>
      <c r="L3046" s="11"/>
      <c r="M3046" s="11"/>
      <c r="N3046" s="11"/>
      <c r="O3046" s="11"/>
      <c r="P3046" s="11"/>
      <c r="Q3046" s="11"/>
    </row>
    <row r="3047" spans="10:17">
      <c r="J3047" s="11"/>
      <c r="K3047" s="1533"/>
      <c r="L3047" s="11"/>
      <c r="M3047" s="11"/>
      <c r="N3047" s="11"/>
      <c r="O3047" s="11"/>
      <c r="P3047" s="11"/>
      <c r="Q3047" s="11"/>
    </row>
    <row r="3048" spans="10:17">
      <c r="J3048" s="11"/>
      <c r="K3048" s="1533"/>
      <c r="L3048" s="11"/>
      <c r="M3048" s="11"/>
      <c r="N3048" s="11"/>
      <c r="O3048" s="11"/>
      <c r="P3048" s="11"/>
      <c r="Q3048" s="11"/>
    </row>
    <row r="3049" spans="10:17">
      <c r="J3049" s="11"/>
      <c r="K3049" s="1533"/>
      <c r="L3049" s="11"/>
      <c r="M3049" s="11"/>
      <c r="N3049" s="11"/>
      <c r="O3049" s="11"/>
      <c r="P3049" s="11"/>
      <c r="Q3049" s="11"/>
    </row>
    <row r="3050" spans="10:17">
      <c r="J3050" s="11"/>
      <c r="K3050" s="1533"/>
      <c r="L3050" s="11"/>
      <c r="M3050" s="11"/>
      <c r="N3050" s="11"/>
      <c r="O3050" s="11"/>
      <c r="P3050" s="11"/>
      <c r="Q3050" s="11"/>
    </row>
    <row r="3051" spans="10:17">
      <c r="J3051" s="11"/>
      <c r="K3051" s="1533"/>
      <c r="L3051" s="11"/>
      <c r="M3051" s="11"/>
      <c r="N3051" s="11"/>
      <c r="O3051" s="11"/>
      <c r="P3051" s="11"/>
      <c r="Q3051" s="11"/>
    </row>
    <row r="3052" spans="10:17">
      <c r="J3052" s="11"/>
      <c r="K3052" s="1533"/>
      <c r="L3052" s="11"/>
      <c r="M3052" s="11"/>
      <c r="N3052" s="11"/>
      <c r="O3052" s="11"/>
      <c r="P3052" s="11"/>
      <c r="Q3052" s="11"/>
    </row>
    <row r="3053" spans="10:17">
      <c r="J3053" s="11"/>
      <c r="K3053" s="1533"/>
      <c r="L3053" s="11"/>
      <c r="M3053" s="11"/>
      <c r="N3053" s="11"/>
      <c r="O3053" s="11"/>
      <c r="P3053" s="11"/>
      <c r="Q3053" s="11"/>
    </row>
    <row r="3054" spans="10:17">
      <c r="J3054" s="11"/>
      <c r="K3054" s="1533"/>
      <c r="L3054" s="11"/>
      <c r="M3054" s="11"/>
      <c r="N3054" s="11"/>
      <c r="O3054" s="11"/>
      <c r="P3054" s="11"/>
      <c r="Q3054" s="11"/>
    </row>
    <row r="3055" spans="10:17">
      <c r="J3055" s="11"/>
      <c r="K3055" s="1533"/>
      <c r="L3055" s="11"/>
      <c r="M3055" s="11"/>
      <c r="N3055" s="11"/>
      <c r="O3055" s="11"/>
      <c r="P3055" s="11"/>
      <c r="Q3055" s="11"/>
    </row>
    <row r="3056" spans="10:17">
      <c r="J3056" s="11"/>
      <c r="K3056" s="1533"/>
      <c r="L3056" s="11"/>
      <c r="M3056" s="11"/>
      <c r="N3056" s="11"/>
      <c r="O3056" s="11"/>
      <c r="P3056" s="11"/>
      <c r="Q3056" s="11"/>
    </row>
    <row r="3057" spans="10:17">
      <c r="J3057" s="11"/>
      <c r="K3057" s="1533"/>
      <c r="L3057" s="11"/>
      <c r="M3057" s="11"/>
      <c r="N3057" s="11"/>
      <c r="O3057" s="11"/>
      <c r="P3057" s="11"/>
      <c r="Q3057" s="11"/>
    </row>
    <row r="3058" spans="10:17">
      <c r="J3058" s="11"/>
      <c r="K3058" s="1533"/>
      <c r="L3058" s="11"/>
      <c r="M3058" s="11"/>
      <c r="N3058" s="11"/>
      <c r="O3058" s="11"/>
      <c r="P3058" s="11"/>
      <c r="Q3058" s="11"/>
    </row>
    <row r="3059" spans="10:17">
      <c r="J3059" s="11"/>
      <c r="K3059" s="1533"/>
      <c r="L3059" s="11"/>
      <c r="M3059" s="11"/>
      <c r="N3059" s="11"/>
      <c r="O3059" s="11"/>
      <c r="P3059" s="11"/>
      <c r="Q3059" s="11"/>
    </row>
    <row r="3060" spans="10:17">
      <c r="J3060" s="11"/>
      <c r="K3060" s="1533"/>
      <c r="L3060" s="11"/>
      <c r="M3060" s="11"/>
      <c r="N3060" s="11"/>
      <c r="O3060" s="11"/>
      <c r="P3060" s="11"/>
      <c r="Q3060" s="11"/>
    </row>
    <row r="3061" spans="10:17">
      <c r="J3061" s="11"/>
      <c r="K3061" s="1533"/>
      <c r="L3061" s="11"/>
      <c r="M3061" s="11"/>
      <c r="N3061" s="11"/>
      <c r="O3061" s="11"/>
      <c r="P3061" s="11"/>
      <c r="Q3061" s="11"/>
    </row>
    <row r="3062" spans="10:17">
      <c r="J3062" s="11"/>
      <c r="K3062" s="1533"/>
      <c r="L3062" s="11"/>
      <c r="M3062" s="11"/>
      <c r="N3062" s="11"/>
      <c r="O3062" s="11"/>
      <c r="P3062" s="11"/>
      <c r="Q3062" s="11"/>
    </row>
    <row r="3063" spans="10:17">
      <c r="J3063" s="11"/>
      <c r="K3063" s="1533"/>
      <c r="L3063" s="11"/>
      <c r="M3063" s="11"/>
      <c r="N3063" s="11"/>
      <c r="O3063" s="11"/>
      <c r="P3063" s="11"/>
      <c r="Q3063" s="11"/>
    </row>
    <row r="3064" spans="10:17">
      <c r="J3064" s="11"/>
      <c r="K3064" s="1533"/>
      <c r="L3064" s="11"/>
      <c r="M3064" s="11"/>
      <c r="N3064" s="11"/>
      <c r="O3064" s="11"/>
      <c r="P3064" s="11"/>
      <c r="Q3064" s="11"/>
    </row>
    <row r="3065" spans="10:17">
      <c r="J3065" s="11"/>
      <c r="K3065" s="1533"/>
      <c r="L3065" s="11"/>
      <c r="M3065" s="11"/>
      <c r="N3065" s="11"/>
      <c r="O3065" s="11"/>
      <c r="P3065" s="11"/>
      <c r="Q3065" s="11"/>
    </row>
    <row r="3066" spans="10:17">
      <c r="J3066" s="11"/>
      <c r="K3066" s="1533"/>
      <c r="L3066" s="11"/>
      <c r="M3066" s="11"/>
      <c r="N3066" s="11"/>
      <c r="O3066" s="11"/>
      <c r="P3066" s="11"/>
      <c r="Q3066" s="11"/>
    </row>
    <row r="3067" spans="10:17">
      <c r="J3067" s="11"/>
      <c r="K3067" s="1533"/>
      <c r="L3067" s="11"/>
      <c r="M3067" s="11"/>
      <c r="N3067" s="11"/>
      <c r="O3067" s="11"/>
      <c r="P3067" s="11"/>
      <c r="Q3067" s="11"/>
    </row>
    <row r="3068" spans="10:17">
      <c r="J3068" s="11"/>
      <c r="K3068" s="1533"/>
      <c r="L3068" s="11"/>
      <c r="M3068" s="11"/>
      <c r="N3068" s="11"/>
      <c r="O3068" s="11"/>
      <c r="P3068" s="11"/>
      <c r="Q3068" s="11"/>
    </row>
    <row r="3069" spans="10:17">
      <c r="J3069" s="11"/>
      <c r="K3069" s="1533"/>
      <c r="L3069" s="11"/>
      <c r="M3069" s="11"/>
      <c r="N3069" s="11"/>
      <c r="O3069" s="11"/>
      <c r="P3069" s="11"/>
      <c r="Q3069" s="11"/>
    </row>
    <row r="3070" spans="10:17">
      <c r="J3070" s="11"/>
      <c r="K3070" s="1533"/>
      <c r="L3070" s="11"/>
      <c r="M3070" s="11"/>
      <c r="N3070" s="11"/>
      <c r="O3070" s="11"/>
      <c r="P3070" s="11"/>
      <c r="Q3070" s="11"/>
    </row>
    <row r="3071" spans="10:17">
      <c r="J3071" s="11"/>
      <c r="K3071" s="1533"/>
      <c r="L3071" s="11"/>
      <c r="M3071" s="11"/>
      <c r="N3071" s="11"/>
      <c r="O3071" s="11"/>
      <c r="P3071" s="11"/>
      <c r="Q3071" s="11"/>
    </row>
    <row r="3072" spans="10:17">
      <c r="J3072" s="11"/>
      <c r="K3072" s="1533"/>
      <c r="L3072" s="11"/>
      <c r="M3072" s="11"/>
      <c r="N3072" s="11"/>
      <c r="O3072" s="11"/>
      <c r="P3072" s="11"/>
      <c r="Q3072" s="11"/>
    </row>
    <row r="3073" spans="10:17">
      <c r="J3073" s="11"/>
      <c r="K3073" s="1533"/>
      <c r="L3073" s="11"/>
      <c r="M3073" s="11"/>
      <c r="N3073" s="11"/>
      <c r="O3073" s="11"/>
      <c r="P3073" s="11"/>
      <c r="Q3073" s="11"/>
    </row>
    <row r="3074" spans="10:17">
      <c r="J3074" s="11"/>
      <c r="K3074" s="1533"/>
      <c r="L3074" s="11"/>
      <c r="M3074" s="11"/>
      <c r="N3074" s="11"/>
      <c r="O3074" s="11"/>
      <c r="P3074" s="11"/>
      <c r="Q3074" s="11"/>
    </row>
    <row r="3075" spans="10:17">
      <c r="J3075" s="11"/>
      <c r="K3075" s="1533"/>
      <c r="L3075" s="11"/>
      <c r="M3075" s="11"/>
      <c r="N3075" s="11"/>
      <c r="O3075" s="11"/>
      <c r="P3075" s="11"/>
      <c r="Q3075" s="11"/>
    </row>
    <row r="3076" spans="10:17">
      <c r="J3076" s="11"/>
      <c r="K3076" s="1533"/>
      <c r="L3076" s="11"/>
      <c r="M3076" s="11"/>
      <c r="N3076" s="11"/>
      <c r="O3076" s="11"/>
      <c r="P3076" s="11"/>
      <c r="Q3076" s="11"/>
    </row>
    <row r="3077" spans="10:17">
      <c r="J3077" s="11"/>
      <c r="K3077" s="1533"/>
      <c r="L3077" s="11"/>
      <c r="M3077" s="11"/>
      <c r="N3077" s="11"/>
      <c r="O3077" s="11"/>
      <c r="P3077" s="11"/>
      <c r="Q3077" s="11"/>
    </row>
    <row r="3078" spans="10:17">
      <c r="J3078" s="11"/>
      <c r="K3078" s="1533"/>
      <c r="L3078" s="11"/>
      <c r="M3078" s="11"/>
      <c r="N3078" s="11"/>
      <c r="O3078" s="11"/>
      <c r="P3078" s="11"/>
      <c r="Q3078" s="11"/>
    </row>
    <row r="3079" spans="10:17">
      <c r="J3079" s="11"/>
      <c r="K3079" s="1533"/>
      <c r="L3079" s="11"/>
      <c r="M3079" s="11"/>
      <c r="N3079" s="11"/>
      <c r="O3079" s="11"/>
      <c r="P3079" s="11"/>
      <c r="Q3079" s="11"/>
    </row>
    <row r="3080" spans="10:17">
      <c r="J3080" s="11"/>
      <c r="K3080" s="1533"/>
      <c r="L3080" s="11"/>
      <c r="M3080" s="11"/>
      <c r="N3080" s="11"/>
      <c r="O3080" s="11"/>
      <c r="P3080" s="11"/>
      <c r="Q3080" s="11"/>
    </row>
    <row r="3081" spans="10:17">
      <c r="J3081" s="11"/>
      <c r="K3081" s="1533"/>
      <c r="L3081" s="11"/>
      <c r="M3081" s="11"/>
      <c r="N3081" s="11"/>
      <c r="O3081" s="11"/>
      <c r="P3081" s="11"/>
      <c r="Q3081" s="11"/>
    </row>
    <row r="3082" spans="10:17">
      <c r="J3082" s="11"/>
      <c r="K3082" s="1533"/>
      <c r="L3082" s="11"/>
      <c r="M3082" s="11"/>
      <c r="N3082" s="11"/>
      <c r="O3082" s="11"/>
      <c r="P3082" s="11"/>
      <c r="Q3082" s="11"/>
    </row>
    <row r="3083" spans="10:17">
      <c r="J3083" s="11"/>
      <c r="K3083" s="1533"/>
      <c r="L3083" s="11"/>
      <c r="M3083" s="11"/>
      <c r="N3083" s="11"/>
      <c r="O3083" s="11"/>
      <c r="P3083" s="11"/>
      <c r="Q3083" s="11"/>
    </row>
    <row r="3084" spans="10:17">
      <c r="J3084" s="11"/>
      <c r="K3084" s="1533"/>
      <c r="L3084" s="11"/>
      <c r="M3084" s="11"/>
      <c r="N3084" s="11"/>
      <c r="O3084" s="11"/>
      <c r="P3084" s="11"/>
      <c r="Q3084" s="11"/>
    </row>
    <row r="3085" spans="10:17">
      <c r="J3085" s="11"/>
      <c r="K3085" s="1533"/>
      <c r="L3085" s="11"/>
      <c r="M3085" s="11"/>
      <c r="N3085" s="11"/>
      <c r="O3085" s="11"/>
      <c r="P3085" s="11"/>
      <c r="Q3085" s="11"/>
    </row>
    <row r="3086" spans="10:17">
      <c r="J3086" s="11"/>
      <c r="K3086" s="1533"/>
      <c r="L3086" s="11"/>
      <c r="M3086" s="11"/>
      <c r="N3086" s="11"/>
      <c r="O3086" s="11"/>
      <c r="P3086" s="11"/>
      <c r="Q3086" s="11"/>
    </row>
    <row r="3087" spans="10:17">
      <c r="J3087" s="11"/>
      <c r="K3087" s="1533"/>
      <c r="L3087" s="11"/>
      <c r="M3087" s="11"/>
      <c r="N3087" s="11"/>
      <c r="O3087" s="11"/>
      <c r="P3087" s="11"/>
      <c r="Q3087" s="11"/>
    </row>
    <row r="3088" spans="10:17">
      <c r="J3088" s="11"/>
      <c r="K3088" s="1533"/>
      <c r="L3088" s="11"/>
      <c r="M3088" s="11"/>
      <c r="N3088" s="11"/>
      <c r="O3088" s="11"/>
      <c r="P3088" s="11"/>
      <c r="Q3088" s="11"/>
    </row>
    <row r="3089" spans="10:17">
      <c r="J3089" s="11"/>
      <c r="K3089" s="1533"/>
      <c r="L3089" s="11"/>
      <c r="M3089" s="11"/>
      <c r="N3089" s="11"/>
      <c r="O3089" s="11"/>
      <c r="P3089" s="11"/>
      <c r="Q3089" s="11"/>
    </row>
    <row r="3090" spans="10:17">
      <c r="J3090" s="11"/>
      <c r="K3090" s="1533"/>
      <c r="L3090" s="11"/>
      <c r="M3090" s="11"/>
      <c r="N3090" s="11"/>
      <c r="O3090" s="11"/>
      <c r="P3090" s="11"/>
      <c r="Q3090" s="11"/>
    </row>
    <row r="3091" spans="10:17">
      <c r="J3091" s="11"/>
      <c r="K3091" s="1533"/>
      <c r="L3091" s="11"/>
      <c r="M3091" s="11"/>
      <c r="N3091" s="11"/>
      <c r="O3091" s="11"/>
      <c r="P3091" s="11"/>
      <c r="Q3091" s="11"/>
    </row>
    <row r="3092" spans="10:17">
      <c r="J3092" s="11"/>
      <c r="K3092" s="1533"/>
      <c r="L3092" s="11"/>
      <c r="M3092" s="11"/>
      <c r="N3092" s="11"/>
      <c r="O3092" s="11"/>
      <c r="P3092" s="11"/>
      <c r="Q3092" s="11"/>
    </row>
    <row r="3093" spans="10:17">
      <c r="J3093" s="11"/>
      <c r="K3093" s="1533"/>
      <c r="L3093" s="11"/>
      <c r="M3093" s="11"/>
      <c r="N3093" s="11"/>
      <c r="O3093" s="11"/>
      <c r="P3093" s="11"/>
      <c r="Q3093" s="11"/>
    </row>
    <row r="3094" spans="10:17">
      <c r="J3094" s="11"/>
      <c r="K3094" s="1533"/>
      <c r="L3094" s="11"/>
      <c r="M3094" s="11"/>
      <c r="N3094" s="11"/>
      <c r="O3094" s="11"/>
      <c r="P3094" s="11"/>
      <c r="Q3094" s="11"/>
    </row>
    <row r="3095" spans="10:17">
      <c r="J3095" s="11"/>
      <c r="K3095" s="1533"/>
      <c r="L3095" s="11"/>
      <c r="M3095" s="11"/>
      <c r="N3095" s="11"/>
      <c r="O3095" s="11"/>
      <c r="P3095" s="11"/>
      <c r="Q3095" s="11"/>
    </row>
    <row r="3096" spans="10:17">
      <c r="J3096" s="11"/>
      <c r="K3096" s="1533"/>
      <c r="L3096" s="11"/>
      <c r="M3096" s="11"/>
      <c r="N3096" s="11"/>
      <c r="O3096" s="11"/>
      <c r="P3096" s="11"/>
      <c r="Q3096" s="11"/>
    </row>
    <row r="3097" spans="10:17">
      <c r="J3097" s="11"/>
      <c r="K3097" s="1533"/>
      <c r="L3097" s="11"/>
      <c r="M3097" s="11"/>
      <c r="N3097" s="11"/>
      <c r="O3097" s="11"/>
      <c r="P3097" s="11"/>
      <c r="Q3097" s="11"/>
    </row>
    <row r="3098" spans="10:17">
      <c r="J3098" s="11"/>
      <c r="K3098" s="1533"/>
      <c r="L3098" s="11"/>
      <c r="M3098" s="11"/>
      <c r="N3098" s="11"/>
      <c r="O3098" s="11"/>
      <c r="P3098" s="11"/>
      <c r="Q3098" s="11"/>
    </row>
    <row r="3099" spans="10:17">
      <c r="J3099" s="11"/>
      <c r="K3099" s="1533"/>
      <c r="L3099" s="11"/>
      <c r="M3099" s="11"/>
      <c r="N3099" s="11"/>
      <c r="O3099" s="11"/>
      <c r="P3099" s="11"/>
      <c r="Q3099" s="11"/>
    </row>
    <row r="3100" spans="10:17">
      <c r="J3100" s="11"/>
      <c r="K3100" s="1533"/>
      <c r="L3100" s="11"/>
      <c r="M3100" s="11"/>
      <c r="N3100" s="11"/>
      <c r="O3100" s="11"/>
      <c r="P3100" s="11"/>
      <c r="Q3100" s="11"/>
    </row>
    <row r="3101" spans="10:17">
      <c r="J3101" s="11"/>
      <c r="K3101" s="1533"/>
      <c r="L3101" s="11"/>
      <c r="M3101" s="11"/>
      <c r="N3101" s="11"/>
      <c r="O3101" s="11"/>
      <c r="P3101" s="11"/>
      <c r="Q3101" s="11"/>
    </row>
    <row r="3102" spans="10:17">
      <c r="J3102" s="11"/>
      <c r="K3102" s="1533"/>
      <c r="L3102" s="11"/>
      <c r="M3102" s="11"/>
      <c r="N3102" s="11"/>
      <c r="O3102" s="11"/>
      <c r="P3102" s="11"/>
      <c r="Q3102" s="11"/>
    </row>
    <row r="3103" spans="10:17">
      <c r="J3103" s="11"/>
      <c r="K3103" s="1533"/>
      <c r="L3103" s="11"/>
      <c r="M3103" s="11"/>
      <c r="N3103" s="11"/>
      <c r="O3103" s="11"/>
      <c r="P3103" s="11"/>
      <c r="Q3103" s="11"/>
    </row>
    <row r="3104" spans="10:17">
      <c r="J3104" s="11"/>
      <c r="K3104" s="1533"/>
      <c r="L3104" s="11"/>
      <c r="M3104" s="11"/>
      <c r="N3104" s="11"/>
      <c r="O3104" s="11"/>
      <c r="P3104" s="11"/>
      <c r="Q3104" s="11"/>
    </row>
    <row r="3105" spans="10:17">
      <c r="J3105" s="11"/>
      <c r="K3105" s="1533"/>
      <c r="L3105" s="11"/>
      <c r="M3105" s="11"/>
      <c r="N3105" s="11"/>
      <c r="O3105" s="11"/>
      <c r="P3105" s="11"/>
      <c r="Q3105" s="11"/>
    </row>
    <row r="3106" spans="10:17">
      <c r="J3106" s="11"/>
      <c r="K3106" s="1533"/>
      <c r="L3106" s="11"/>
      <c r="M3106" s="11"/>
      <c r="N3106" s="11"/>
      <c r="O3106" s="11"/>
      <c r="P3106" s="11"/>
      <c r="Q3106" s="11"/>
    </row>
    <row r="3107" spans="10:17">
      <c r="J3107" s="11"/>
      <c r="K3107" s="1533"/>
      <c r="L3107" s="11"/>
      <c r="M3107" s="11"/>
      <c r="N3107" s="11"/>
      <c r="O3107" s="11"/>
      <c r="P3107" s="11"/>
      <c r="Q3107" s="11"/>
    </row>
    <row r="3108" spans="10:17">
      <c r="J3108" s="11"/>
      <c r="K3108" s="1533"/>
      <c r="L3108" s="11"/>
      <c r="M3108" s="11"/>
      <c r="N3108" s="11"/>
      <c r="O3108" s="11"/>
      <c r="P3108" s="11"/>
      <c r="Q3108" s="11"/>
    </row>
    <row r="3109" spans="10:17">
      <c r="J3109" s="11"/>
      <c r="K3109" s="1533"/>
      <c r="L3109" s="11"/>
      <c r="M3109" s="11"/>
      <c r="N3109" s="11"/>
      <c r="O3109" s="11"/>
      <c r="P3109" s="11"/>
      <c r="Q3109" s="11"/>
    </row>
    <row r="3110" spans="10:17">
      <c r="J3110" s="11"/>
      <c r="K3110" s="1533"/>
      <c r="L3110" s="11"/>
      <c r="M3110" s="11"/>
      <c r="N3110" s="11"/>
      <c r="O3110" s="11"/>
      <c r="P3110" s="11"/>
      <c r="Q3110" s="11"/>
    </row>
    <row r="3111" spans="10:17">
      <c r="J3111" s="11"/>
      <c r="K3111" s="1533"/>
      <c r="L3111" s="11"/>
      <c r="M3111" s="11"/>
      <c r="N3111" s="11"/>
      <c r="O3111" s="11"/>
      <c r="P3111" s="11"/>
      <c r="Q3111" s="11"/>
    </row>
    <row r="3112" spans="10:17">
      <c r="J3112" s="11"/>
      <c r="K3112" s="1533"/>
      <c r="L3112" s="11"/>
      <c r="M3112" s="11"/>
      <c r="N3112" s="11"/>
      <c r="O3112" s="11"/>
      <c r="P3112" s="11"/>
      <c r="Q3112" s="11"/>
    </row>
    <row r="3113" spans="10:17">
      <c r="J3113" s="11"/>
      <c r="K3113" s="1533"/>
      <c r="L3113" s="11"/>
      <c r="M3113" s="11"/>
      <c r="N3113" s="11"/>
      <c r="O3113" s="11"/>
      <c r="P3113" s="11"/>
      <c r="Q3113" s="11"/>
    </row>
    <row r="3114" spans="10:17">
      <c r="J3114" s="11"/>
      <c r="K3114" s="1533"/>
      <c r="L3114" s="11"/>
      <c r="M3114" s="11"/>
      <c r="N3114" s="11"/>
      <c r="O3114" s="11"/>
      <c r="P3114" s="11"/>
      <c r="Q3114" s="11"/>
    </row>
    <row r="3115" spans="10:17">
      <c r="J3115" s="11"/>
      <c r="K3115" s="1533"/>
      <c r="L3115" s="11"/>
      <c r="M3115" s="11"/>
      <c r="N3115" s="11"/>
      <c r="O3115" s="11"/>
      <c r="P3115" s="11"/>
      <c r="Q3115" s="11"/>
    </row>
    <row r="3116" spans="10:17">
      <c r="J3116" s="11"/>
      <c r="K3116" s="1533"/>
      <c r="L3116" s="11"/>
      <c r="M3116" s="11"/>
      <c r="N3116" s="11"/>
      <c r="O3116" s="11"/>
      <c r="P3116" s="11"/>
      <c r="Q3116" s="11"/>
    </row>
    <row r="3117" spans="10:17">
      <c r="J3117" s="11"/>
      <c r="K3117" s="1533"/>
      <c r="L3117" s="11"/>
      <c r="M3117" s="11"/>
      <c r="N3117" s="11"/>
      <c r="O3117" s="11"/>
      <c r="P3117" s="11"/>
      <c r="Q3117" s="11"/>
    </row>
    <row r="3118" spans="10:17">
      <c r="J3118" s="11"/>
      <c r="K3118" s="1533"/>
      <c r="L3118" s="11"/>
      <c r="M3118" s="11"/>
      <c r="N3118" s="11"/>
      <c r="O3118" s="11"/>
      <c r="P3118" s="11"/>
      <c r="Q3118" s="11"/>
    </row>
    <row r="3119" spans="10:17">
      <c r="J3119" s="11"/>
      <c r="K3119" s="1533"/>
      <c r="L3119" s="11"/>
      <c r="M3119" s="11"/>
      <c r="N3119" s="11"/>
      <c r="O3119" s="11"/>
      <c r="P3119" s="11"/>
      <c r="Q3119" s="11"/>
    </row>
    <row r="3120" spans="10:17">
      <c r="J3120" s="11"/>
      <c r="K3120" s="1533"/>
      <c r="L3120" s="11"/>
      <c r="M3120" s="11"/>
      <c r="N3120" s="11"/>
      <c r="O3120" s="11"/>
      <c r="P3120" s="11"/>
      <c r="Q3120" s="11"/>
    </row>
    <row r="3121" spans="10:17">
      <c r="J3121" s="11"/>
      <c r="K3121" s="1533"/>
      <c r="L3121" s="11"/>
      <c r="M3121" s="11"/>
      <c r="N3121" s="11"/>
      <c r="O3121" s="11"/>
      <c r="P3121" s="11"/>
      <c r="Q3121" s="11"/>
    </row>
    <row r="3122" spans="10:17">
      <c r="J3122" s="11"/>
      <c r="K3122" s="1533"/>
      <c r="L3122" s="11"/>
      <c r="M3122" s="11"/>
      <c r="N3122" s="11"/>
      <c r="O3122" s="11"/>
      <c r="P3122" s="11"/>
      <c r="Q3122" s="11"/>
    </row>
    <row r="3123" spans="10:17">
      <c r="J3123" s="11"/>
      <c r="K3123" s="1533"/>
      <c r="L3123" s="11"/>
      <c r="M3123" s="11"/>
      <c r="N3123" s="11"/>
      <c r="O3123" s="11"/>
      <c r="P3123" s="11"/>
      <c r="Q3123" s="11"/>
    </row>
    <row r="3124" spans="10:17">
      <c r="J3124" s="11"/>
      <c r="K3124" s="1533"/>
      <c r="L3124" s="11"/>
      <c r="M3124" s="11"/>
      <c r="N3124" s="11"/>
      <c r="O3124" s="11"/>
      <c r="P3124" s="11"/>
      <c r="Q3124" s="11"/>
    </row>
    <row r="3125" spans="10:17">
      <c r="J3125" s="11"/>
      <c r="K3125" s="1533"/>
      <c r="L3125" s="11"/>
      <c r="M3125" s="11"/>
      <c r="N3125" s="11"/>
      <c r="O3125" s="11"/>
      <c r="P3125" s="11"/>
      <c r="Q3125" s="11"/>
    </row>
    <row r="3126" spans="10:17">
      <c r="J3126" s="11"/>
      <c r="K3126" s="1533"/>
      <c r="L3126" s="11"/>
      <c r="M3126" s="11"/>
      <c r="N3126" s="11"/>
      <c r="O3126" s="11"/>
      <c r="P3126" s="11"/>
      <c r="Q3126" s="11"/>
    </row>
    <row r="3127" spans="10:17">
      <c r="J3127" s="11"/>
      <c r="K3127" s="1533"/>
      <c r="L3127" s="11"/>
      <c r="M3127" s="11"/>
      <c r="N3127" s="11"/>
      <c r="O3127" s="11"/>
      <c r="P3127" s="11"/>
      <c r="Q3127" s="11"/>
    </row>
    <row r="3128" spans="10:17">
      <c r="J3128" s="11"/>
      <c r="K3128" s="1533"/>
      <c r="L3128" s="11"/>
      <c r="M3128" s="11"/>
      <c r="N3128" s="11"/>
      <c r="O3128" s="11"/>
      <c r="P3128" s="11"/>
      <c r="Q3128" s="11"/>
    </row>
    <row r="3129" spans="10:17">
      <c r="J3129" s="11"/>
      <c r="K3129" s="1533"/>
      <c r="L3129" s="11"/>
      <c r="M3129" s="11"/>
      <c r="N3129" s="11"/>
      <c r="O3129" s="11"/>
      <c r="P3129" s="11"/>
      <c r="Q3129" s="11"/>
    </row>
    <row r="3130" spans="10:17">
      <c r="J3130" s="11"/>
      <c r="K3130" s="1533"/>
      <c r="L3130" s="11"/>
      <c r="M3130" s="11"/>
      <c r="N3130" s="11"/>
      <c r="O3130" s="11"/>
      <c r="P3130" s="11"/>
      <c r="Q3130" s="11"/>
    </row>
    <row r="3131" spans="10:17">
      <c r="J3131" s="11"/>
      <c r="K3131" s="1533"/>
      <c r="L3131" s="11"/>
      <c r="M3131" s="11"/>
      <c r="N3131" s="11"/>
      <c r="O3131" s="11"/>
      <c r="P3131" s="11"/>
      <c r="Q3131" s="11"/>
    </row>
    <row r="3132" spans="10:17">
      <c r="J3132" s="11"/>
      <c r="K3132" s="1533"/>
      <c r="L3132" s="11"/>
      <c r="M3132" s="11"/>
      <c r="N3132" s="11"/>
      <c r="O3132" s="11"/>
      <c r="P3132" s="11"/>
      <c r="Q3132" s="11"/>
    </row>
    <row r="3133" spans="10:17">
      <c r="J3133" s="11"/>
      <c r="K3133" s="1533"/>
      <c r="L3133" s="11"/>
      <c r="M3133" s="11"/>
      <c r="N3133" s="11"/>
      <c r="O3133" s="11"/>
      <c r="P3133" s="11"/>
      <c r="Q3133" s="11"/>
    </row>
    <row r="3134" spans="10:17">
      <c r="J3134" s="11"/>
      <c r="K3134" s="1533"/>
      <c r="L3134" s="11"/>
      <c r="M3134" s="11"/>
      <c r="N3134" s="11"/>
      <c r="O3134" s="11"/>
      <c r="P3134" s="11"/>
      <c r="Q3134" s="11"/>
    </row>
    <row r="3135" spans="10:17">
      <c r="J3135" s="11"/>
      <c r="K3135" s="1533"/>
      <c r="L3135" s="11"/>
      <c r="M3135" s="11"/>
      <c r="N3135" s="11"/>
      <c r="O3135" s="11"/>
      <c r="P3135" s="11"/>
      <c r="Q3135" s="11"/>
    </row>
    <row r="3136" spans="10:17">
      <c r="J3136" s="11"/>
      <c r="K3136" s="1533"/>
      <c r="L3136" s="11"/>
      <c r="M3136" s="11"/>
      <c r="N3136" s="11"/>
      <c r="O3136" s="11"/>
      <c r="P3136" s="11"/>
      <c r="Q3136" s="11"/>
    </row>
    <row r="3137" spans="10:17">
      <c r="J3137" s="11"/>
      <c r="K3137" s="1533"/>
      <c r="L3137" s="11"/>
      <c r="M3137" s="11"/>
      <c r="N3137" s="11"/>
      <c r="O3137" s="11"/>
      <c r="P3137" s="11"/>
      <c r="Q3137" s="11"/>
    </row>
    <row r="3138" spans="10:17">
      <c r="J3138" s="11"/>
      <c r="K3138" s="1533"/>
      <c r="L3138" s="11"/>
      <c r="M3138" s="11"/>
      <c r="N3138" s="11"/>
      <c r="O3138" s="11"/>
      <c r="P3138" s="11"/>
      <c r="Q3138" s="11"/>
    </row>
    <row r="3139" spans="10:17">
      <c r="J3139" s="11"/>
      <c r="K3139" s="1533"/>
      <c r="L3139" s="11"/>
      <c r="M3139" s="11"/>
      <c r="N3139" s="11"/>
      <c r="O3139" s="11"/>
      <c r="P3139" s="11"/>
      <c r="Q3139" s="11"/>
    </row>
    <row r="3140" spans="10:17">
      <c r="J3140" s="11"/>
      <c r="K3140" s="1533"/>
      <c r="L3140" s="11"/>
      <c r="M3140" s="11"/>
      <c r="N3140" s="11"/>
      <c r="O3140" s="11"/>
      <c r="P3140" s="11"/>
      <c r="Q3140" s="11"/>
    </row>
    <row r="3141" spans="10:17">
      <c r="J3141" s="11"/>
      <c r="K3141" s="1533"/>
      <c r="L3141" s="11"/>
      <c r="M3141" s="11"/>
      <c r="N3141" s="11"/>
      <c r="O3141" s="11"/>
      <c r="P3141" s="11"/>
      <c r="Q3141" s="11"/>
    </row>
    <row r="3142" spans="10:17">
      <c r="J3142" s="11"/>
      <c r="K3142" s="1533"/>
      <c r="L3142" s="11"/>
      <c r="M3142" s="11"/>
      <c r="N3142" s="11"/>
      <c r="O3142" s="11"/>
      <c r="P3142" s="11"/>
      <c r="Q3142" s="11"/>
    </row>
    <row r="3143" spans="10:17">
      <c r="J3143" s="11"/>
      <c r="K3143" s="1533"/>
      <c r="L3143" s="11"/>
      <c r="M3143" s="11"/>
      <c r="N3143" s="11"/>
      <c r="O3143" s="11"/>
      <c r="P3143" s="11"/>
      <c r="Q3143" s="11"/>
    </row>
    <row r="3144" spans="10:17">
      <c r="J3144" s="11"/>
      <c r="K3144" s="1533"/>
      <c r="L3144" s="11"/>
      <c r="M3144" s="11"/>
      <c r="N3144" s="11"/>
      <c r="O3144" s="11"/>
      <c r="P3144" s="11"/>
      <c r="Q3144" s="11"/>
    </row>
    <row r="3145" spans="10:17">
      <c r="J3145" s="11"/>
      <c r="K3145" s="1533"/>
      <c r="L3145" s="11"/>
      <c r="M3145" s="11"/>
      <c r="N3145" s="11"/>
      <c r="O3145" s="11"/>
      <c r="P3145" s="11"/>
      <c r="Q3145" s="11"/>
    </row>
    <row r="3146" spans="10:17">
      <c r="J3146" s="11"/>
      <c r="K3146" s="1533"/>
      <c r="L3146" s="11"/>
      <c r="M3146" s="11"/>
      <c r="N3146" s="11"/>
      <c r="O3146" s="11"/>
      <c r="P3146" s="11"/>
      <c r="Q3146" s="11"/>
    </row>
    <row r="3147" spans="10:17">
      <c r="J3147" s="11"/>
      <c r="K3147" s="1533"/>
      <c r="L3147" s="11"/>
      <c r="M3147" s="11"/>
      <c r="N3147" s="11"/>
      <c r="O3147" s="11"/>
      <c r="P3147" s="11"/>
      <c r="Q3147" s="11"/>
    </row>
    <row r="3148" spans="10:17">
      <c r="J3148" s="11"/>
      <c r="K3148" s="1533"/>
      <c r="L3148" s="11"/>
      <c r="M3148" s="11"/>
      <c r="N3148" s="11"/>
      <c r="O3148" s="11"/>
      <c r="P3148" s="11"/>
      <c r="Q3148" s="11"/>
    </row>
    <row r="3149" spans="10:17">
      <c r="J3149" s="11"/>
      <c r="K3149" s="1533"/>
      <c r="L3149" s="11"/>
      <c r="M3149" s="11"/>
      <c r="N3149" s="11"/>
      <c r="O3149" s="11"/>
      <c r="P3149" s="11"/>
      <c r="Q3149" s="11"/>
    </row>
    <row r="3150" spans="10:17">
      <c r="J3150" s="11"/>
      <c r="K3150" s="1533"/>
      <c r="L3150" s="11"/>
      <c r="M3150" s="11"/>
      <c r="N3150" s="11"/>
      <c r="O3150" s="11"/>
      <c r="P3150" s="11"/>
      <c r="Q3150" s="11"/>
    </row>
    <row r="3151" spans="10:17">
      <c r="J3151" s="11"/>
      <c r="K3151" s="1533"/>
      <c r="L3151" s="11"/>
      <c r="M3151" s="11"/>
      <c r="N3151" s="11"/>
      <c r="O3151" s="11"/>
      <c r="P3151" s="11"/>
      <c r="Q3151" s="11"/>
    </row>
    <row r="3152" spans="10:17">
      <c r="J3152" s="11"/>
      <c r="K3152" s="1533"/>
      <c r="L3152" s="11"/>
      <c r="M3152" s="11"/>
      <c r="N3152" s="11"/>
      <c r="O3152" s="11"/>
      <c r="P3152" s="11"/>
      <c r="Q3152" s="11"/>
    </row>
    <row r="3153" spans="10:17">
      <c r="J3153" s="11"/>
      <c r="K3153" s="1533"/>
      <c r="L3153" s="11"/>
      <c r="M3153" s="11"/>
      <c r="N3153" s="11"/>
      <c r="O3153" s="11"/>
      <c r="P3153" s="11"/>
      <c r="Q3153" s="11"/>
    </row>
    <row r="3154" spans="10:17">
      <c r="J3154" s="11"/>
      <c r="K3154" s="1533"/>
      <c r="L3154" s="11"/>
      <c r="M3154" s="11"/>
      <c r="N3154" s="11"/>
      <c r="O3154" s="11"/>
      <c r="P3154" s="11"/>
      <c r="Q3154" s="11"/>
    </row>
    <row r="3155" spans="10:17">
      <c r="J3155" s="11"/>
      <c r="K3155" s="1533"/>
      <c r="L3155" s="11"/>
      <c r="M3155" s="11"/>
      <c r="N3155" s="11"/>
      <c r="O3155" s="11"/>
      <c r="P3155" s="11"/>
      <c r="Q3155" s="11"/>
    </row>
    <row r="3156" spans="10:17">
      <c r="J3156" s="11"/>
      <c r="K3156" s="1533"/>
      <c r="L3156" s="11"/>
      <c r="M3156" s="11"/>
      <c r="N3156" s="11"/>
      <c r="O3156" s="11"/>
      <c r="P3156" s="11"/>
      <c r="Q3156" s="11"/>
    </row>
    <row r="3157" spans="10:17">
      <c r="J3157" s="11"/>
      <c r="K3157" s="1533"/>
      <c r="L3157" s="11"/>
      <c r="M3157" s="11"/>
      <c r="N3157" s="11"/>
      <c r="O3157" s="11"/>
      <c r="P3157" s="11"/>
      <c r="Q3157" s="11"/>
    </row>
    <row r="3158" spans="10:17">
      <c r="J3158" s="11"/>
      <c r="K3158" s="1533"/>
      <c r="L3158" s="11"/>
      <c r="M3158" s="11"/>
      <c r="N3158" s="11"/>
      <c r="O3158" s="11"/>
      <c r="P3158" s="11"/>
      <c r="Q3158" s="11"/>
    </row>
    <row r="3159" spans="10:17">
      <c r="J3159" s="11"/>
      <c r="K3159" s="1533"/>
      <c r="L3159" s="11"/>
      <c r="M3159" s="11"/>
      <c r="N3159" s="11"/>
      <c r="O3159" s="11"/>
      <c r="P3159" s="11"/>
      <c r="Q3159" s="11"/>
    </row>
    <row r="3160" spans="10:17">
      <c r="J3160" s="11"/>
      <c r="K3160" s="1533"/>
      <c r="L3160" s="11"/>
      <c r="M3160" s="11"/>
      <c r="N3160" s="11"/>
      <c r="O3160" s="11"/>
      <c r="P3160" s="11"/>
      <c r="Q3160" s="11"/>
    </row>
    <row r="3161" spans="10:17">
      <c r="J3161" s="11"/>
      <c r="K3161" s="1533"/>
      <c r="L3161" s="11"/>
      <c r="M3161" s="11"/>
      <c r="N3161" s="11"/>
      <c r="O3161" s="11"/>
      <c r="P3161" s="11"/>
      <c r="Q3161" s="11"/>
    </row>
    <row r="3162" spans="10:17">
      <c r="J3162" s="11"/>
      <c r="K3162" s="1533"/>
      <c r="L3162" s="11"/>
      <c r="M3162" s="11"/>
      <c r="N3162" s="11"/>
      <c r="O3162" s="11"/>
      <c r="P3162" s="11"/>
      <c r="Q3162" s="11"/>
    </row>
    <row r="3163" spans="10:17">
      <c r="J3163" s="11"/>
      <c r="K3163" s="1533"/>
      <c r="L3163" s="11"/>
      <c r="M3163" s="11"/>
      <c r="N3163" s="11"/>
      <c r="O3163" s="11"/>
      <c r="P3163" s="11"/>
      <c r="Q3163" s="11"/>
    </row>
    <row r="3164" spans="10:17">
      <c r="J3164" s="11"/>
      <c r="K3164" s="1533"/>
      <c r="L3164" s="11"/>
      <c r="M3164" s="11"/>
      <c r="N3164" s="11"/>
      <c r="O3164" s="11"/>
      <c r="P3164" s="11"/>
      <c r="Q3164" s="11"/>
    </row>
    <row r="3165" spans="10:17">
      <c r="J3165" s="11"/>
      <c r="K3165" s="1533"/>
      <c r="L3165" s="11"/>
      <c r="M3165" s="11"/>
      <c r="N3165" s="11"/>
      <c r="O3165" s="11"/>
      <c r="P3165" s="11"/>
      <c r="Q3165" s="11"/>
    </row>
    <row r="3166" spans="10:17">
      <c r="J3166" s="11"/>
      <c r="K3166" s="1533"/>
      <c r="L3166" s="11"/>
      <c r="M3166" s="11"/>
      <c r="N3166" s="11"/>
      <c r="O3166" s="11"/>
      <c r="P3166" s="11"/>
      <c r="Q3166" s="11"/>
    </row>
    <row r="3167" spans="10:17">
      <c r="J3167" s="11"/>
      <c r="K3167" s="1533"/>
      <c r="L3167" s="11"/>
      <c r="M3167" s="11"/>
      <c r="N3167" s="11"/>
      <c r="O3167" s="11"/>
      <c r="P3167" s="11"/>
      <c r="Q3167" s="11"/>
    </row>
    <row r="3168" spans="10:17">
      <c r="J3168" s="11"/>
      <c r="K3168" s="1533"/>
      <c r="L3168" s="11"/>
      <c r="M3168" s="11"/>
      <c r="N3168" s="11"/>
      <c r="O3168" s="11"/>
      <c r="P3168" s="11"/>
      <c r="Q3168" s="11"/>
    </row>
    <row r="3169" spans="10:17">
      <c r="J3169" s="11"/>
      <c r="K3169" s="1533"/>
      <c r="L3169" s="11"/>
      <c r="M3169" s="11"/>
      <c r="N3169" s="11"/>
      <c r="O3169" s="11"/>
      <c r="P3169" s="11"/>
      <c r="Q3169" s="11"/>
    </row>
    <row r="3170" spans="10:17">
      <c r="J3170" s="11"/>
      <c r="K3170" s="1533"/>
      <c r="L3170" s="11"/>
      <c r="M3170" s="11"/>
      <c r="N3170" s="11"/>
      <c r="O3170" s="11"/>
      <c r="P3170" s="11"/>
      <c r="Q3170" s="11"/>
    </row>
    <row r="3171" spans="10:17">
      <c r="J3171" s="11"/>
      <c r="K3171" s="1533"/>
      <c r="L3171" s="11"/>
      <c r="M3171" s="11"/>
      <c r="N3171" s="11"/>
      <c r="O3171" s="11"/>
      <c r="P3171" s="11"/>
      <c r="Q3171" s="11"/>
    </row>
    <row r="3172" spans="10:17">
      <c r="J3172" s="11"/>
      <c r="K3172" s="1533"/>
      <c r="L3172" s="11"/>
      <c r="M3172" s="11"/>
      <c r="N3172" s="11"/>
      <c r="O3172" s="11"/>
      <c r="P3172" s="11"/>
      <c r="Q3172" s="11"/>
    </row>
    <row r="3173" spans="10:17">
      <c r="J3173" s="11"/>
      <c r="K3173" s="1533"/>
      <c r="L3173" s="11"/>
      <c r="M3173" s="11"/>
      <c r="N3173" s="11"/>
      <c r="O3173" s="11"/>
      <c r="P3173" s="11"/>
      <c r="Q3173" s="11"/>
    </row>
    <row r="3174" spans="10:17">
      <c r="J3174" s="11"/>
      <c r="K3174" s="1533"/>
      <c r="L3174" s="11"/>
      <c r="M3174" s="11"/>
      <c r="N3174" s="11"/>
      <c r="O3174" s="11"/>
      <c r="P3174" s="11"/>
      <c r="Q3174" s="11"/>
    </row>
    <row r="3175" spans="10:17">
      <c r="J3175" s="11"/>
      <c r="K3175" s="1533"/>
      <c r="L3175" s="11"/>
      <c r="M3175" s="11"/>
      <c r="N3175" s="11"/>
      <c r="O3175" s="11"/>
      <c r="P3175" s="11"/>
      <c r="Q3175" s="11"/>
    </row>
    <row r="3176" spans="10:17">
      <c r="J3176" s="11"/>
      <c r="K3176" s="1533"/>
      <c r="L3176" s="11"/>
      <c r="M3176" s="11"/>
      <c r="N3176" s="11"/>
      <c r="O3176" s="11"/>
      <c r="P3176" s="11"/>
      <c r="Q3176" s="11"/>
    </row>
    <row r="3177" spans="10:17">
      <c r="J3177" s="11"/>
      <c r="K3177" s="1533"/>
      <c r="L3177" s="11"/>
      <c r="M3177" s="11"/>
      <c r="N3177" s="11"/>
      <c r="O3177" s="11"/>
      <c r="P3177" s="11"/>
      <c r="Q3177" s="11"/>
    </row>
    <row r="3178" spans="10:17">
      <c r="J3178" s="11"/>
      <c r="K3178" s="1533"/>
      <c r="L3178" s="11"/>
      <c r="M3178" s="11"/>
      <c r="N3178" s="11"/>
      <c r="O3178" s="11"/>
      <c r="P3178" s="11"/>
      <c r="Q3178" s="11"/>
    </row>
    <row r="3179" spans="10:17">
      <c r="J3179" s="11"/>
      <c r="K3179" s="1533"/>
      <c r="L3179" s="11"/>
      <c r="M3179" s="11"/>
      <c r="N3179" s="11"/>
      <c r="O3179" s="11"/>
      <c r="P3179" s="11"/>
      <c r="Q3179" s="11"/>
    </row>
    <row r="3180" spans="10:17">
      <c r="J3180" s="11"/>
      <c r="K3180" s="1533"/>
      <c r="L3180" s="11"/>
      <c r="M3180" s="11"/>
      <c r="N3180" s="11"/>
      <c r="O3180" s="11"/>
      <c r="P3180" s="11"/>
      <c r="Q3180" s="11"/>
    </row>
    <row r="3181" spans="10:17">
      <c r="J3181" s="11"/>
      <c r="K3181" s="1533"/>
      <c r="L3181" s="11"/>
      <c r="M3181" s="11"/>
      <c r="N3181" s="11"/>
      <c r="O3181" s="11"/>
      <c r="P3181" s="11"/>
      <c r="Q3181" s="11"/>
    </row>
    <row r="3182" spans="10:17">
      <c r="J3182" s="11"/>
      <c r="K3182" s="1533"/>
      <c r="L3182" s="11"/>
      <c r="M3182" s="11"/>
      <c r="N3182" s="11"/>
      <c r="O3182" s="11"/>
      <c r="P3182" s="11"/>
      <c r="Q3182" s="11"/>
    </row>
    <row r="3183" spans="10:17">
      <c r="J3183" s="11"/>
      <c r="K3183" s="1533"/>
      <c r="L3183" s="11"/>
      <c r="M3183" s="11"/>
      <c r="N3183" s="11"/>
      <c r="O3183" s="11"/>
      <c r="P3183" s="11"/>
      <c r="Q3183" s="11"/>
    </row>
    <row r="3184" spans="10:17">
      <c r="J3184" s="11"/>
      <c r="K3184" s="1533"/>
      <c r="L3184" s="11"/>
      <c r="M3184" s="11"/>
      <c r="N3184" s="11"/>
      <c r="O3184" s="11"/>
      <c r="P3184" s="11"/>
      <c r="Q3184" s="11"/>
    </row>
    <row r="3185" spans="10:17">
      <c r="J3185" s="11"/>
      <c r="K3185" s="1533"/>
      <c r="L3185" s="11"/>
      <c r="M3185" s="11"/>
      <c r="N3185" s="11"/>
      <c r="O3185" s="11"/>
      <c r="P3185" s="11"/>
      <c r="Q3185" s="11"/>
    </row>
    <row r="3186" spans="10:17">
      <c r="J3186" s="11"/>
      <c r="K3186" s="1533"/>
      <c r="L3186" s="11"/>
      <c r="M3186" s="11"/>
      <c r="N3186" s="11"/>
      <c r="O3186" s="11"/>
      <c r="P3186" s="11"/>
      <c r="Q3186" s="11"/>
    </row>
    <row r="3187" spans="10:17">
      <c r="J3187" s="11"/>
      <c r="K3187" s="1533"/>
      <c r="L3187" s="11"/>
      <c r="M3187" s="11"/>
      <c r="N3187" s="11"/>
      <c r="O3187" s="11"/>
      <c r="P3187" s="11"/>
      <c r="Q3187" s="11"/>
    </row>
    <row r="3188" spans="10:17">
      <c r="J3188" s="11"/>
      <c r="K3188" s="1533"/>
      <c r="L3188" s="11"/>
      <c r="M3188" s="11"/>
      <c r="N3188" s="11"/>
      <c r="O3188" s="11"/>
      <c r="P3188" s="11"/>
      <c r="Q3188" s="11"/>
    </row>
    <row r="3189" spans="10:17">
      <c r="J3189" s="11"/>
      <c r="K3189" s="1533"/>
      <c r="L3189" s="11"/>
      <c r="M3189" s="11"/>
      <c r="N3189" s="11"/>
      <c r="O3189" s="11"/>
      <c r="P3189" s="11"/>
      <c r="Q3189" s="11"/>
    </row>
    <row r="3190" spans="10:17">
      <c r="J3190" s="11"/>
      <c r="K3190" s="1533"/>
      <c r="L3190" s="11"/>
      <c r="M3190" s="11"/>
      <c r="N3190" s="11"/>
      <c r="O3190" s="11"/>
      <c r="P3190" s="11"/>
      <c r="Q3190" s="11"/>
    </row>
    <row r="3191" spans="10:17">
      <c r="J3191" s="11"/>
      <c r="K3191" s="1533"/>
      <c r="L3191" s="11"/>
      <c r="M3191" s="11"/>
      <c r="N3191" s="11"/>
      <c r="O3191" s="11"/>
      <c r="P3191" s="11"/>
      <c r="Q3191" s="11"/>
    </row>
    <row r="3192" spans="10:17">
      <c r="J3192" s="11"/>
      <c r="K3192" s="1533"/>
      <c r="L3192" s="11"/>
      <c r="M3192" s="11"/>
      <c r="N3192" s="11"/>
      <c r="O3192" s="11"/>
      <c r="P3192" s="11"/>
      <c r="Q3192" s="11"/>
    </row>
    <row r="3193" spans="10:17">
      <c r="J3193" s="11"/>
      <c r="K3193" s="1533"/>
      <c r="L3193" s="11"/>
      <c r="M3193" s="11"/>
      <c r="N3193" s="11"/>
      <c r="O3193" s="11"/>
      <c r="P3193" s="11"/>
      <c r="Q3193" s="11"/>
    </row>
    <row r="3194" spans="10:17">
      <c r="J3194" s="11"/>
      <c r="K3194" s="1533"/>
      <c r="L3194" s="11"/>
      <c r="M3194" s="11"/>
      <c r="N3194" s="11"/>
      <c r="O3194" s="11"/>
      <c r="P3194" s="11"/>
      <c r="Q3194" s="11"/>
    </row>
    <row r="3195" spans="10:17">
      <c r="J3195" s="11"/>
      <c r="K3195" s="1533"/>
      <c r="L3195" s="11"/>
      <c r="M3195" s="11"/>
      <c r="N3195" s="11"/>
      <c r="O3195" s="11"/>
      <c r="P3195" s="11"/>
      <c r="Q3195" s="11"/>
    </row>
    <row r="3196" spans="10:17">
      <c r="J3196" s="11"/>
      <c r="K3196" s="1533"/>
      <c r="L3196" s="11"/>
      <c r="M3196" s="11"/>
      <c r="N3196" s="11"/>
      <c r="O3196" s="11"/>
      <c r="P3196" s="11"/>
      <c r="Q3196" s="11"/>
    </row>
    <row r="3197" spans="10:17">
      <c r="J3197" s="11"/>
      <c r="K3197" s="1533"/>
      <c r="L3197" s="11"/>
      <c r="M3197" s="11"/>
      <c r="N3197" s="11"/>
      <c r="O3197" s="11"/>
      <c r="P3197" s="11"/>
      <c r="Q3197" s="11"/>
    </row>
    <row r="3198" spans="10:17">
      <c r="J3198" s="11"/>
      <c r="K3198" s="1533"/>
      <c r="L3198" s="11"/>
      <c r="M3198" s="11"/>
      <c r="N3198" s="11"/>
      <c r="O3198" s="11"/>
      <c r="P3198" s="11"/>
      <c r="Q3198" s="11"/>
    </row>
    <row r="3199" spans="10:17">
      <c r="J3199" s="11"/>
      <c r="K3199" s="1533"/>
      <c r="L3199" s="11"/>
      <c r="M3199" s="11"/>
      <c r="N3199" s="11"/>
      <c r="O3199" s="11"/>
      <c r="P3199" s="11"/>
      <c r="Q3199" s="11"/>
    </row>
    <row r="3200" spans="10:17">
      <c r="J3200" s="11"/>
      <c r="K3200" s="1533"/>
      <c r="L3200" s="11"/>
      <c r="M3200" s="11"/>
      <c r="N3200" s="11"/>
      <c r="O3200" s="11"/>
      <c r="P3200" s="11"/>
      <c r="Q3200" s="11"/>
    </row>
    <row r="3201" spans="10:17">
      <c r="J3201" s="11"/>
      <c r="K3201" s="1533"/>
      <c r="L3201" s="11"/>
      <c r="M3201" s="11"/>
      <c r="N3201" s="11"/>
      <c r="O3201" s="11"/>
      <c r="P3201" s="11"/>
      <c r="Q3201" s="11"/>
    </row>
    <row r="3202" spans="10:17">
      <c r="J3202" s="11"/>
      <c r="K3202" s="1533"/>
      <c r="L3202" s="11"/>
      <c r="M3202" s="11"/>
      <c r="N3202" s="11"/>
      <c r="O3202" s="11"/>
      <c r="P3202" s="11"/>
      <c r="Q3202" s="11"/>
    </row>
    <row r="3203" spans="10:17">
      <c r="J3203" s="11"/>
      <c r="K3203" s="1533"/>
      <c r="L3203" s="11"/>
      <c r="M3203" s="11"/>
      <c r="N3203" s="11"/>
      <c r="O3203" s="11"/>
      <c r="P3203" s="11"/>
      <c r="Q3203" s="11"/>
    </row>
    <row r="3204" spans="10:17">
      <c r="J3204" s="11"/>
      <c r="K3204" s="1533"/>
      <c r="L3204" s="11"/>
      <c r="M3204" s="11"/>
      <c r="N3204" s="11"/>
      <c r="O3204" s="11"/>
      <c r="P3204" s="11"/>
      <c r="Q3204" s="11"/>
    </row>
    <row r="3205" spans="10:17">
      <c r="J3205" s="11"/>
      <c r="K3205" s="1533"/>
      <c r="L3205" s="11"/>
      <c r="M3205" s="11"/>
      <c r="N3205" s="11"/>
      <c r="O3205" s="11"/>
      <c r="P3205" s="11"/>
      <c r="Q3205" s="11"/>
    </row>
    <row r="3206" spans="10:17">
      <c r="J3206" s="11"/>
      <c r="K3206" s="1533"/>
      <c r="L3206" s="11"/>
      <c r="M3206" s="11"/>
      <c r="N3206" s="11"/>
      <c r="O3206" s="11"/>
      <c r="P3206" s="11"/>
      <c r="Q3206" s="11"/>
    </row>
    <row r="3207" spans="10:17">
      <c r="J3207" s="11"/>
      <c r="K3207" s="1533"/>
      <c r="L3207" s="11"/>
      <c r="M3207" s="11"/>
      <c r="N3207" s="11"/>
      <c r="O3207" s="11"/>
      <c r="P3207" s="11"/>
      <c r="Q3207" s="11"/>
    </row>
    <row r="3208" spans="10:17">
      <c r="J3208" s="11"/>
      <c r="K3208" s="1533"/>
      <c r="L3208" s="11"/>
      <c r="M3208" s="11"/>
      <c r="N3208" s="11"/>
      <c r="O3208" s="11"/>
      <c r="P3208" s="11"/>
      <c r="Q3208" s="11"/>
    </row>
    <row r="3209" spans="10:17">
      <c r="J3209" s="11"/>
      <c r="K3209" s="1533"/>
      <c r="L3209" s="11"/>
      <c r="M3209" s="11"/>
      <c r="N3209" s="11"/>
      <c r="O3209" s="11"/>
      <c r="P3209" s="11"/>
      <c r="Q3209" s="11"/>
    </row>
    <row r="3210" spans="10:17">
      <c r="J3210" s="11"/>
      <c r="K3210" s="1533"/>
      <c r="L3210" s="11"/>
      <c r="M3210" s="11"/>
      <c r="N3210" s="11"/>
      <c r="O3210" s="11"/>
      <c r="P3210" s="11"/>
      <c r="Q3210" s="11"/>
    </row>
    <row r="3211" spans="10:17">
      <c r="J3211" s="11"/>
      <c r="K3211" s="1533"/>
      <c r="L3211" s="11"/>
      <c r="M3211" s="11"/>
      <c r="N3211" s="11"/>
      <c r="O3211" s="11"/>
      <c r="P3211" s="11"/>
      <c r="Q3211" s="11"/>
    </row>
    <row r="3212" spans="10:17">
      <c r="J3212" s="11"/>
      <c r="K3212" s="1533"/>
      <c r="L3212" s="11"/>
      <c r="M3212" s="11"/>
      <c r="N3212" s="11"/>
      <c r="O3212" s="11"/>
      <c r="P3212" s="11"/>
      <c r="Q3212" s="11"/>
    </row>
    <row r="3213" spans="10:17">
      <c r="J3213" s="11"/>
      <c r="K3213" s="1533"/>
      <c r="L3213" s="11"/>
      <c r="M3213" s="11"/>
      <c r="N3213" s="11"/>
      <c r="O3213" s="11"/>
      <c r="P3213" s="11"/>
      <c r="Q3213" s="11"/>
    </row>
    <row r="3214" spans="10:17">
      <c r="J3214" s="11"/>
      <c r="K3214" s="1533"/>
      <c r="L3214" s="11"/>
      <c r="M3214" s="11"/>
      <c r="N3214" s="11"/>
      <c r="O3214" s="11"/>
      <c r="P3214" s="11"/>
      <c r="Q3214" s="11"/>
    </row>
    <row r="3215" spans="10:17">
      <c r="J3215" s="11"/>
      <c r="K3215" s="1533"/>
      <c r="L3215" s="11"/>
      <c r="M3215" s="11"/>
      <c r="N3215" s="11"/>
      <c r="O3215" s="11"/>
      <c r="P3215" s="11"/>
      <c r="Q3215" s="11"/>
    </row>
    <row r="3216" spans="10:17">
      <c r="J3216" s="11"/>
      <c r="K3216" s="1533"/>
      <c r="L3216" s="11"/>
      <c r="M3216" s="11"/>
      <c r="N3216" s="11"/>
      <c r="O3216" s="11"/>
      <c r="P3216" s="11"/>
      <c r="Q3216" s="11"/>
    </row>
    <row r="3217" spans="10:17">
      <c r="J3217" s="11"/>
      <c r="K3217" s="1533"/>
      <c r="L3217" s="11"/>
      <c r="M3217" s="11"/>
      <c r="N3217" s="11"/>
      <c r="O3217" s="11"/>
      <c r="P3217" s="11"/>
      <c r="Q3217" s="11"/>
    </row>
    <row r="3218" spans="10:17">
      <c r="J3218" s="11"/>
      <c r="K3218" s="1533"/>
      <c r="L3218" s="11"/>
      <c r="M3218" s="11"/>
      <c r="N3218" s="11"/>
      <c r="O3218" s="11"/>
      <c r="P3218" s="11"/>
      <c r="Q3218" s="11"/>
    </row>
    <row r="3219" spans="10:17">
      <c r="J3219" s="11"/>
      <c r="K3219" s="1533"/>
      <c r="L3219" s="11"/>
      <c r="M3219" s="11"/>
      <c r="N3219" s="11"/>
      <c r="O3219" s="11"/>
      <c r="P3219" s="11"/>
      <c r="Q3219" s="11"/>
    </row>
    <row r="3220" spans="10:17">
      <c r="J3220" s="11"/>
      <c r="K3220" s="1533"/>
      <c r="L3220" s="11"/>
      <c r="M3220" s="11"/>
      <c r="N3220" s="11"/>
      <c r="O3220" s="11"/>
      <c r="P3220" s="11"/>
      <c r="Q3220" s="11"/>
    </row>
    <row r="3221" spans="10:17">
      <c r="J3221" s="11"/>
      <c r="K3221" s="1533"/>
      <c r="L3221" s="11"/>
      <c r="M3221" s="11"/>
      <c r="N3221" s="11"/>
      <c r="O3221" s="11"/>
      <c r="P3221" s="11"/>
      <c r="Q3221" s="11"/>
    </row>
    <row r="3222" spans="10:17">
      <c r="J3222" s="11"/>
      <c r="K3222" s="1533"/>
      <c r="L3222" s="11"/>
      <c r="M3222" s="11"/>
      <c r="N3222" s="11"/>
      <c r="O3222" s="11"/>
      <c r="P3222" s="11"/>
      <c r="Q3222" s="11"/>
    </row>
    <row r="3223" spans="10:17">
      <c r="J3223" s="11"/>
      <c r="K3223" s="1533"/>
      <c r="L3223" s="11"/>
      <c r="M3223" s="11"/>
      <c r="N3223" s="11"/>
      <c r="O3223" s="11"/>
      <c r="P3223" s="11"/>
      <c r="Q3223" s="11"/>
    </row>
    <row r="3224" spans="10:17">
      <c r="J3224" s="11"/>
      <c r="K3224" s="1533"/>
      <c r="L3224" s="11"/>
      <c r="M3224" s="11"/>
      <c r="N3224" s="11"/>
      <c r="O3224" s="11"/>
      <c r="P3224" s="11"/>
      <c r="Q3224" s="11"/>
    </row>
    <row r="3225" spans="10:17">
      <c r="J3225" s="11"/>
      <c r="K3225" s="1533"/>
      <c r="L3225" s="11"/>
      <c r="M3225" s="11"/>
      <c r="N3225" s="11"/>
      <c r="O3225" s="11"/>
      <c r="P3225" s="11"/>
      <c r="Q3225" s="11"/>
    </row>
    <row r="3226" spans="10:17">
      <c r="J3226" s="11"/>
      <c r="K3226" s="1533"/>
      <c r="L3226" s="11"/>
      <c r="M3226" s="11"/>
      <c r="N3226" s="11"/>
      <c r="O3226" s="11"/>
      <c r="P3226" s="11"/>
      <c r="Q3226" s="11"/>
    </row>
    <row r="3227" spans="10:17">
      <c r="J3227" s="11"/>
      <c r="K3227" s="1533"/>
      <c r="L3227" s="11"/>
      <c r="M3227" s="11"/>
      <c r="N3227" s="11"/>
      <c r="O3227" s="11"/>
      <c r="P3227" s="11"/>
      <c r="Q3227" s="11"/>
    </row>
    <row r="3228" spans="10:17">
      <c r="J3228" s="11"/>
      <c r="K3228" s="1533"/>
      <c r="L3228" s="11"/>
      <c r="M3228" s="11"/>
      <c r="N3228" s="11"/>
      <c r="O3228" s="11"/>
      <c r="P3228" s="11"/>
      <c r="Q3228" s="11"/>
    </row>
    <row r="3229" spans="10:17">
      <c r="J3229" s="11"/>
      <c r="K3229" s="1533"/>
      <c r="L3229" s="11"/>
      <c r="M3229" s="11"/>
      <c r="N3229" s="11"/>
      <c r="O3229" s="11"/>
      <c r="P3229" s="11"/>
      <c r="Q3229" s="11"/>
    </row>
    <row r="3230" spans="10:17">
      <c r="J3230" s="11"/>
      <c r="K3230" s="1533"/>
      <c r="L3230" s="11"/>
      <c r="M3230" s="11"/>
      <c r="N3230" s="11"/>
      <c r="O3230" s="11"/>
      <c r="P3230" s="11"/>
      <c r="Q3230" s="11"/>
    </row>
    <row r="3231" spans="10:17">
      <c r="J3231" s="11"/>
      <c r="K3231" s="1533"/>
      <c r="L3231" s="11"/>
      <c r="M3231" s="11"/>
      <c r="N3231" s="11"/>
      <c r="O3231" s="11"/>
      <c r="P3231" s="11"/>
      <c r="Q3231" s="11"/>
    </row>
    <row r="3232" spans="10:17">
      <c r="J3232" s="11"/>
      <c r="K3232" s="1533"/>
      <c r="L3232" s="11"/>
      <c r="M3232" s="11"/>
      <c r="N3232" s="11"/>
      <c r="O3232" s="11"/>
      <c r="P3232" s="11"/>
      <c r="Q3232" s="11"/>
    </row>
    <row r="3233" spans="10:17">
      <c r="J3233" s="11"/>
      <c r="K3233" s="1533"/>
      <c r="L3233" s="11"/>
      <c r="M3233" s="11"/>
      <c r="N3233" s="11"/>
      <c r="O3233" s="11"/>
      <c r="P3233" s="11"/>
      <c r="Q3233" s="11"/>
    </row>
    <row r="3234" spans="10:17">
      <c r="J3234" s="11"/>
      <c r="K3234" s="1533"/>
      <c r="L3234" s="11"/>
      <c r="M3234" s="11"/>
      <c r="N3234" s="11"/>
      <c r="O3234" s="11"/>
      <c r="P3234" s="11"/>
      <c r="Q3234" s="11"/>
    </row>
    <row r="3235" spans="10:17">
      <c r="J3235" s="11"/>
      <c r="K3235" s="1533"/>
      <c r="L3235" s="11"/>
      <c r="M3235" s="11"/>
      <c r="N3235" s="11"/>
      <c r="O3235" s="11"/>
      <c r="P3235" s="11"/>
      <c r="Q3235" s="11"/>
    </row>
    <row r="3236" spans="10:17">
      <c r="J3236" s="11"/>
      <c r="K3236" s="1533"/>
      <c r="L3236" s="11"/>
      <c r="M3236" s="11"/>
      <c r="N3236" s="11"/>
      <c r="O3236" s="11"/>
      <c r="P3236" s="11"/>
      <c r="Q3236" s="11"/>
    </row>
    <row r="3237" spans="10:17">
      <c r="J3237" s="11"/>
      <c r="K3237" s="1533"/>
      <c r="L3237" s="11"/>
      <c r="M3237" s="11"/>
      <c r="N3237" s="11"/>
      <c r="O3237" s="11"/>
      <c r="P3237" s="11"/>
      <c r="Q3237" s="11"/>
    </row>
    <row r="3238" spans="10:17">
      <c r="J3238" s="11"/>
      <c r="K3238" s="1533"/>
      <c r="L3238" s="11"/>
      <c r="M3238" s="11"/>
      <c r="N3238" s="11"/>
      <c r="O3238" s="11"/>
      <c r="P3238" s="11"/>
      <c r="Q3238" s="11"/>
    </row>
    <row r="3239" spans="10:17">
      <c r="J3239" s="11"/>
      <c r="K3239" s="1533"/>
      <c r="L3239" s="11"/>
      <c r="M3239" s="11"/>
      <c r="N3239" s="11"/>
      <c r="O3239" s="11"/>
      <c r="P3239" s="11"/>
      <c r="Q3239" s="11"/>
    </row>
    <row r="3240" spans="10:17">
      <c r="J3240" s="11"/>
      <c r="K3240" s="1533"/>
      <c r="L3240" s="11"/>
      <c r="M3240" s="11"/>
      <c r="N3240" s="11"/>
      <c r="O3240" s="11"/>
      <c r="P3240" s="11"/>
      <c r="Q3240" s="11"/>
    </row>
    <row r="3241" spans="10:17">
      <c r="J3241" s="11"/>
      <c r="K3241" s="1533"/>
      <c r="L3241" s="11"/>
      <c r="M3241" s="11"/>
      <c r="N3241" s="11"/>
      <c r="O3241" s="11"/>
      <c r="P3241" s="11"/>
      <c r="Q3241" s="11"/>
    </row>
    <row r="3242" spans="10:17">
      <c r="J3242" s="11"/>
      <c r="K3242" s="1533"/>
      <c r="L3242" s="11"/>
      <c r="M3242" s="11"/>
      <c r="N3242" s="11"/>
      <c r="O3242" s="11"/>
      <c r="P3242" s="11"/>
      <c r="Q3242" s="11"/>
    </row>
    <row r="3243" spans="10:17">
      <c r="J3243" s="11"/>
      <c r="K3243" s="1533"/>
      <c r="L3243" s="11"/>
      <c r="M3243" s="11"/>
      <c r="N3243" s="11"/>
      <c r="O3243" s="11"/>
      <c r="P3243" s="11"/>
      <c r="Q3243" s="11"/>
    </row>
    <row r="3244" spans="10:17">
      <c r="J3244" s="11"/>
      <c r="K3244" s="1533"/>
      <c r="L3244" s="11"/>
      <c r="M3244" s="11"/>
      <c r="N3244" s="11"/>
      <c r="O3244" s="11"/>
      <c r="P3244" s="11"/>
      <c r="Q3244" s="11"/>
    </row>
    <row r="3245" spans="10:17">
      <c r="J3245" s="11"/>
      <c r="K3245" s="1533"/>
      <c r="L3245" s="11"/>
      <c r="M3245" s="11"/>
      <c r="N3245" s="11"/>
      <c r="O3245" s="11"/>
      <c r="P3245" s="11"/>
      <c r="Q3245" s="11"/>
    </row>
    <row r="3246" spans="10:17">
      <c r="J3246" s="11"/>
      <c r="K3246" s="1533"/>
      <c r="L3246" s="11"/>
      <c r="M3246" s="11"/>
      <c r="N3246" s="11"/>
      <c r="O3246" s="11"/>
      <c r="P3246" s="11"/>
      <c r="Q3246" s="11"/>
    </row>
    <row r="3247" spans="10:17">
      <c r="J3247" s="11"/>
      <c r="K3247" s="1533"/>
      <c r="L3247" s="11"/>
      <c r="M3247" s="11"/>
      <c r="N3247" s="11"/>
      <c r="O3247" s="11"/>
      <c r="P3247" s="11"/>
      <c r="Q3247" s="11"/>
    </row>
    <row r="3248" spans="10:17">
      <c r="J3248" s="11"/>
      <c r="K3248" s="1533"/>
      <c r="L3248" s="11"/>
      <c r="M3248" s="11"/>
      <c r="N3248" s="11"/>
      <c r="O3248" s="11"/>
      <c r="P3248" s="11"/>
      <c r="Q3248" s="11"/>
    </row>
    <row r="3249" spans="10:17">
      <c r="J3249" s="11"/>
      <c r="K3249" s="1533"/>
      <c r="L3249" s="11"/>
      <c r="M3249" s="11"/>
      <c r="N3249" s="11"/>
      <c r="O3249" s="11"/>
      <c r="P3249" s="11"/>
      <c r="Q3249" s="11"/>
    </row>
    <row r="3250" spans="10:17">
      <c r="J3250" s="11"/>
      <c r="K3250" s="1533"/>
      <c r="L3250" s="11"/>
      <c r="M3250" s="11"/>
      <c r="N3250" s="11"/>
      <c r="O3250" s="11"/>
      <c r="P3250" s="11"/>
      <c r="Q3250" s="11"/>
    </row>
    <row r="3251" spans="10:17">
      <c r="J3251" s="11"/>
      <c r="K3251" s="1533"/>
      <c r="L3251" s="11"/>
      <c r="M3251" s="11"/>
      <c r="N3251" s="11"/>
      <c r="O3251" s="11"/>
      <c r="P3251" s="11"/>
      <c r="Q3251" s="11"/>
    </row>
    <row r="3252" spans="10:17">
      <c r="J3252" s="11"/>
      <c r="K3252" s="1533"/>
      <c r="L3252" s="11"/>
      <c r="M3252" s="11"/>
      <c r="N3252" s="11"/>
      <c r="O3252" s="11"/>
      <c r="P3252" s="11"/>
      <c r="Q3252" s="11"/>
    </row>
    <row r="3253" spans="10:17">
      <c r="J3253" s="11"/>
      <c r="K3253" s="1533"/>
      <c r="L3253" s="11"/>
      <c r="M3253" s="11"/>
      <c r="N3253" s="11"/>
      <c r="O3253" s="11"/>
      <c r="P3253" s="11"/>
      <c r="Q3253" s="11"/>
    </row>
    <row r="3254" spans="10:17">
      <c r="J3254" s="11"/>
      <c r="K3254" s="1533"/>
      <c r="L3254" s="11"/>
      <c r="M3254" s="11"/>
      <c r="N3254" s="11"/>
      <c r="O3254" s="11"/>
      <c r="P3254" s="11"/>
      <c r="Q3254" s="11"/>
    </row>
    <row r="3255" spans="10:17">
      <c r="J3255" s="11"/>
      <c r="K3255" s="1533"/>
      <c r="L3255" s="11"/>
      <c r="M3255" s="11"/>
      <c r="N3255" s="11"/>
      <c r="O3255" s="11"/>
      <c r="P3255" s="11"/>
      <c r="Q3255" s="11"/>
    </row>
    <row r="3256" spans="10:17">
      <c r="J3256" s="11"/>
      <c r="K3256" s="1533"/>
      <c r="L3256" s="11"/>
      <c r="M3256" s="11"/>
      <c r="N3256" s="11"/>
      <c r="O3256" s="11"/>
      <c r="P3256" s="11"/>
      <c r="Q3256" s="11"/>
    </row>
    <row r="3257" spans="10:17">
      <c r="J3257" s="11"/>
      <c r="K3257" s="1533"/>
      <c r="L3257" s="11"/>
      <c r="M3257" s="11"/>
      <c r="N3257" s="11"/>
      <c r="O3257" s="11"/>
      <c r="P3257" s="11"/>
      <c r="Q3257" s="11"/>
    </row>
    <row r="3258" spans="10:17">
      <c r="J3258" s="11"/>
      <c r="K3258" s="1533"/>
      <c r="L3258" s="11"/>
      <c r="M3258" s="11"/>
      <c r="N3258" s="11"/>
      <c r="O3258" s="11"/>
      <c r="P3258" s="11"/>
      <c r="Q3258" s="11"/>
    </row>
    <row r="3259" spans="10:17">
      <c r="J3259" s="11"/>
      <c r="K3259" s="1533"/>
      <c r="L3259" s="11"/>
      <c r="M3259" s="11"/>
      <c r="N3259" s="11"/>
      <c r="O3259" s="11"/>
      <c r="P3259" s="11"/>
      <c r="Q3259" s="11"/>
    </row>
    <row r="3260" spans="10:17">
      <c r="J3260" s="11"/>
      <c r="K3260" s="1533"/>
      <c r="L3260" s="11"/>
      <c r="M3260" s="11"/>
      <c r="N3260" s="11"/>
      <c r="O3260" s="11"/>
      <c r="P3260" s="11"/>
      <c r="Q3260" s="11"/>
    </row>
    <row r="3261" spans="10:17">
      <c r="J3261" s="11"/>
      <c r="K3261" s="1533"/>
      <c r="L3261" s="11"/>
      <c r="M3261" s="11"/>
      <c r="N3261" s="11"/>
      <c r="O3261" s="11"/>
      <c r="P3261" s="11"/>
      <c r="Q3261" s="11"/>
    </row>
    <row r="3262" spans="10:17">
      <c r="J3262" s="11"/>
      <c r="K3262" s="1533"/>
      <c r="L3262" s="11"/>
      <c r="M3262" s="11"/>
      <c r="N3262" s="11"/>
      <c r="O3262" s="11"/>
      <c r="P3262" s="11"/>
      <c r="Q3262" s="11"/>
    </row>
    <row r="3263" spans="10:17">
      <c r="J3263" s="11"/>
      <c r="K3263" s="1533"/>
      <c r="L3263" s="11"/>
      <c r="M3263" s="11"/>
      <c r="N3263" s="11"/>
      <c r="O3263" s="11"/>
      <c r="P3263" s="11"/>
      <c r="Q3263" s="11"/>
    </row>
    <row r="3264" spans="10:17">
      <c r="J3264" s="11"/>
      <c r="K3264" s="1533"/>
      <c r="L3264" s="11"/>
      <c r="M3264" s="11"/>
      <c r="N3264" s="11"/>
      <c r="O3264" s="11"/>
      <c r="P3264" s="11"/>
      <c r="Q3264" s="11"/>
    </row>
    <row r="3265" spans="10:17">
      <c r="J3265" s="11"/>
      <c r="K3265" s="1533"/>
      <c r="L3265" s="11"/>
      <c r="M3265" s="11"/>
      <c r="N3265" s="11"/>
      <c r="O3265" s="11"/>
      <c r="P3265" s="11"/>
      <c r="Q3265" s="11"/>
    </row>
    <row r="3266" spans="10:17">
      <c r="J3266" s="11"/>
      <c r="K3266" s="1533"/>
      <c r="L3266" s="11"/>
      <c r="M3266" s="11"/>
      <c r="N3266" s="11"/>
      <c r="O3266" s="11"/>
      <c r="P3266" s="11"/>
      <c r="Q3266" s="11"/>
    </row>
    <row r="3267" spans="10:17">
      <c r="J3267" s="11"/>
      <c r="K3267" s="1533"/>
      <c r="L3267" s="11"/>
      <c r="M3267" s="11"/>
      <c r="N3267" s="11"/>
      <c r="O3267" s="11"/>
      <c r="P3267" s="11"/>
      <c r="Q3267" s="11"/>
    </row>
    <row r="3268" spans="10:17">
      <c r="J3268" s="11"/>
      <c r="K3268" s="1533"/>
      <c r="L3268" s="11"/>
      <c r="M3268" s="11"/>
      <c r="N3268" s="11"/>
      <c r="O3268" s="11"/>
      <c r="P3268" s="11"/>
      <c r="Q3268" s="11"/>
    </row>
    <row r="3269" spans="10:17">
      <c r="J3269" s="11"/>
      <c r="K3269" s="1533"/>
      <c r="L3269" s="11"/>
      <c r="M3269" s="11"/>
      <c r="N3269" s="11"/>
      <c r="O3269" s="11"/>
      <c r="P3269" s="11"/>
      <c r="Q3269" s="11"/>
    </row>
    <row r="3270" spans="10:17">
      <c r="J3270" s="11"/>
      <c r="K3270" s="1533"/>
      <c r="L3270" s="11"/>
      <c r="M3270" s="11"/>
      <c r="N3270" s="11"/>
      <c r="O3270" s="11"/>
      <c r="P3270" s="11"/>
      <c r="Q3270" s="11"/>
    </row>
    <row r="3271" spans="10:17">
      <c r="J3271" s="11"/>
      <c r="K3271" s="1533"/>
      <c r="L3271" s="11"/>
      <c r="M3271" s="11"/>
      <c r="N3271" s="11"/>
      <c r="O3271" s="11"/>
      <c r="P3271" s="11"/>
      <c r="Q3271" s="11"/>
    </row>
    <row r="3272" spans="10:17">
      <c r="J3272" s="11"/>
      <c r="K3272" s="1533"/>
      <c r="L3272" s="11"/>
      <c r="M3272" s="11"/>
      <c r="N3272" s="11"/>
      <c r="O3272" s="11"/>
      <c r="P3272" s="11"/>
      <c r="Q3272" s="11"/>
    </row>
    <row r="3273" spans="10:17">
      <c r="J3273" s="11"/>
      <c r="K3273" s="1533"/>
      <c r="L3273" s="11"/>
      <c r="M3273" s="11"/>
      <c r="N3273" s="11"/>
      <c r="O3273" s="11"/>
      <c r="P3273" s="11"/>
      <c r="Q3273" s="11"/>
    </row>
    <row r="3274" spans="10:17">
      <c r="J3274" s="11"/>
      <c r="K3274" s="1533"/>
      <c r="L3274" s="11"/>
      <c r="M3274" s="11"/>
      <c r="N3274" s="11"/>
      <c r="O3274" s="11"/>
      <c r="P3274" s="11"/>
      <c r="Q3274" s="11"/>
    </row>
    <row r="3275" spans="10:17">
      <c r="J3275" s="11"/>
      <c r="K3275" s="1533"/>
      <c r="L3275" s="11"/>
      <c r="M3275" s="11"/>
      <c r="N3275" s="11"/>
      <c r="O3275" s="11"/>
      <c r="P3275" s="11"/>
      <c r="Q3275" s="11"/>
    </row>
    <row r="3276" spans="10:17">
      <c r="J3276" s="11"/>
      <c r="K3276" s="1533"/>
      <c r="L3276" s="11"/>
      <c r="M3276" s="11"/>
      <c r="N3276" s="11"/>
      <c r="O3276" s="11"/>
      <c r="P3276" s="11"/>
      <c r="Q3276" s="11"/>
    </row>
    <row r="3277" spans="10:17">
      <c r="J3277" s="11"/>
      <c r="K3277" s="1533"/>
      <c r="L3277" s="11"/>
      <c r="M3277" s="11"/>
      <c r="N3277" s="11"/>
      <c r="O3277" s="11"/>
      <c r="P3277" s="11"/>
      <c r="Q3277" s="11"/>
    </row>
    <row r="3278" spans="10:17">
      <c r="J3278" s="11"/>
      <c r="K3278" s="1533"/>
      <c r="L3278" s="11"/>
      <c r="M3278" s="11"/>
      <c r="N3278" s="11"/>
      <c r="O3278" s="11"/>
      <c r="P3278" s="11"/>
      <c r="Q3278" s="11"/>
    </row>
    <row r="3279" spans="10:17">
      <c r="J3279" s="11"/>
      <c r="K3279" s="1533"/>
      <c r="L3279" s="11"/>
      <c r="M3279" s="11"/>
      <c r="N3279" s="11"/>
      <c r="O3279" s="11"/>
      <c r="P3279" s="11"/>
      <c r="Q3279" s="11"/>
    </row>
    <row r="3280" spans="10:17">
      <c r="J3280" s="11"/>
      <c r="K3280" s="1533"/>
      <c r="L3280" s="11"/>
      <c r="M3280" s="11"/>
      <c r="N3280" s="11"/>
      <c r="O3280" s="11"/>
      <c r="P3280" s="11"/>
      <c r="Q3280" s="11"/>
    </row>
    <row r="3281" spans="10:17">
      <c r="J3281" s="11"/>
      <c r="K3281" s="1533"/>
      <c r="L3281" s="11"/>
      <c r="M3281" s="11"/>
      <c r="N3281" s="11"/>
      <c r="O3281" s="11"/>
      <c r="P3281" s="11"/>
      <c r="Q3281" s="11"/>
    </row>
    <row r="3282" spans="10:17">
      <c r="J3282" s="11"/>
      <c r="K3282" s="1533"/>
      <c r="L3282" s="11"/>
      <c r="M3282" s="11"/>
      <c r="N3282" s="11"/>
      <c r="O3282" s="11"/>
      <c r="P3282" s="11"/>
      <c r="Q3282" s="11"/>
    </row>
    <row r="3283" spans="10:17">
      <c r="J3283" s="11"/>
      <c r="K3283" s="1533"/>
      <c r="L3283" s="11"/>
      <c r="M3283" s="11"/>
      <c r="N3283" s="11"/>
      <c r="O3283" s="11"/>
      <c r="P3283" s="11"/>
      <c r="Q3283" s="11"/>
    </row>
    <row r="3284" spans="10:17">
      <c r="J3284" s="11"/>
      <c r="K3284" s="1533"/>
      <c r="L3284" s="11"/>
      <c r="M3284" s="11"/>
      <c r="N3284" s="11"/>
      <c r="O3284" s="11"/>
      <c r="P3284" s="11"/>
      <c r="Q3284" s="11"/>
    </row>
    <row r="3285" spans="10:17">
      <c r="J3285" s="11"/>
      <c r="K3285" s="1533"/>
      <c r="L3285" s="11"/>
      <c r="M3285" s="11"/>
      <c r="N3285" s="11"/>
      <c r="O3285" s="11"/>
      <c r="P3285" s="11"/>
      <c r="Q3285" s="11"/>
    </row>
    <row r="3286" spans="10:17">
      <c r="J3286" s="11"/>
      <c r="K3286" s="1533"/>
      <c r="L3286" s="11"/>
      <c r="M3286" s="11"/>
      <c r="N3286" s="11"/>
      <c r="O3286" s="11"/>
      <c r="P3286" s="11"/>
      <c r="Q3286" s="11"/>
    </row>
    <row r="3287" spans="10:17">
      <c r="J3287" s="11"/>
      <c r="K3287" s="1533"/>
      <c r="L3287" s="11"/>
      <c r="M3287" s="11"/>
      <c r="N3287" s="11"/>
      <c r="O3287" s="11"/>
      <c r="P3287" s="11"/>
      <c r="Q3287" s="11"/>
    </row>
    <row r="3288" spans="10:17">
      <c r="J3288" s="11"/>
      <c r="K3288" s="1533"/>
      <c r="L3288" s="11"/>
      <c r="M3288" s="11"/>
      <c r="N3288" s="11"/>
      <c r="O3288" s="11"/>
      <c r="P3288" s="11"/>
      <c r="Q3288" s="11"/>
    </row>
    <row r="3289" spans="10:17">
      <c r="J3289" s="11"/>
      <c r="K3289" s="1533"/>
      <c r="L3289" s="11"/>
      <c r="M3289" s="11"/>
      <c r="N3289" s="11"/>
      <c r="O3289" s="11"/>
      <c r="P3289" s="11"/>
      <c r="Q3289" s="11"/>
    </row>
    <row r="3290" spans="10:17">
      <c r="J3290" s="11"/>
      <c r="K3290" s="1533"/>
      <c r="L3290" s="11"/>
      <c r="M3290" s="11"/>
      <c r="N3290" s="11"/>
      <c r="O3290" s="11"/>
      <c r="P3290" s="11"/>
      <c r="Q3290" s="11"/>
    </row>
    <row r="3291" spans="10:17">
      <c r="J3291" s="11"/>
      <c r="K3291" s="1533"/>
      <c r="L3291" s="11"/>
      <c r="M3291" s="11"/>
      <c r="N3291" s="11"/>
      <c r="O3291" s="11"/>
      <c r="P3291" s="11"/>
      <c r="Q3291" s="11"/>
    </row>
    <row r="3292" spans="10:17">
      <c r="J3292" s="11"/>
      <c r="K3292" s="1533"/>
      <c r="L3292" s="11"/>
      <c r="M3292" s="11"/>
      <c r="N3292" s="11"/>
      <c r="O3292" s="11"/>
      <c r="P3292" s="11"/>
      <c r="Q3292" s="11"/>
    </row>
    <row r="3293" spans="10:17">
      <c r="J3293" s="11"/>
      <c r="K3293" s="1533"/>
      <c r="L3293" s="11"/>
      <c r="M3293" s="11"/>
      <c r="N3293" s="11"/>
      <c r="O3293" s="11"/>
      <c r="P3293" s="11"/>
      <c r="Q3293" s="11"/>
    </row>
    <row r="3294" spans="10:17">
      <c r="J3294" s="11"/>
      <c r="K3294" s="1533"/>
      <c r="L3294" s="11"/>
      <c r="M3294" s="11"/>
      <c r="N3294" s="11"/>
      <c r="O3294" s="11"/>
      <c r="P3294" s="11"/>
      <c r="Q3294" s="11"/>
    </row>
    <row r="3295" spans="10:17">
      <c r="J3295" s="11"/>
      <c r="K3295" s="1533"/>
      <c r="L3295" s="11"/>
      <c r="M3295" s="11"/>
      <c r="N3295" s="11"/>
      <c r="O3295" s="11"/>
      <c r="P3295" s="11"/>
      <c r="Q3295" s="11"/>
    </row>
    <row r="3296" spans="10:17">
      <c r="J3296" s="11"/>
      <c r="K3296" s="1533"/>
      <c r="L3296" s="11"/>
      <c r="M3296" s="11"/>
      <c r="N3296" s="11"/>
      <c r="O3296" s="11"/>
      <c r="P3296" s="11"/>
      <c r="Q3296" s="11"/>
    </row>
    <row r="3297" spans="10:17">
      <c r="J3297" s="11"/>
      <c r="K3297" s="1533"/>
      <c r="L3297" s="11"/>
      <c r="M3297" s="11"/>
      <c r="N3297" s="11"/>
      <c r="O3297" s="11"/>
      <c r="P3297" s="11"/>
      <c r="Q3297" s="11"/>
    </row>
    <row r="3298" spans="10:17">
      <c r="J3298" s="11"/>
      <c r="K3298" s="1533"/>
      <c r="L3298" s="11"/>
      <c r="M3298" s="11"/>
      <c r="N3298" s="11"/>
      <c r="O3298" s="11"/>
      <c r="P3298" s="11"/>
      <c r="Q3298" s="11"/>
    </row>
    <row r="3299" spans="10:17">
      <c r="J3299" s="11"/>
      <c r="K3299" s="1533"/>
      <c r="L3299" s="11"/>
      <c r="M3299" s="11"/>
      <c r="N3299" s="11"/>
      <c r="O3299" s="11"/>
      <c r="P3299" s="11"/>
      <c r="Q3299" s="11"/>
    </row>
    <row r="3300" spans="10:17">
      <c r="J3300" s="11"/>
      <c r="K3300" s="1533"/>
      <c r="L3300" s="11"/>
      <c r="M3300" s="11"/>
      <c r="N3300" s="11"/>
      <c r="O3300" s="11"/>
      <c r="P3300" s="11"/>
      <c r="Q3300" s="11"/>
    </row>
    <row r="3301" spans="10:17">
      <c r="J3301" s="11"/>
      <c r="K3301" s="1533"/>
      <c r="L3301" s="11"/>
      <c r="M3301" s="11"/>
      <c r="N3301" s="11"/>
      <c r="O3301" s="11"/>
      <c r="P3301" s="11"/>
      <c r="Q3301" s="11"/>
    </row>
    <row r="3302" spans="10:17">
      <c r="J3302" s="11"/>
      <c r="K3302" s="1533"/>
      <c r="L3302" s="11"/>
      <c r="M3302" s="11"/>
      <c r="N3302" s="11"/>
      <c r="O3302" s="11"/>
      <c r="P3302" s="11"/>
      <c r="Q3302" s="11"/>
    </row>
    <row r="3303" spans="10:17">
      <c r="J3303" s="11"/>
      <c r="K3303" s="1533"/>
      <c r="L3303" s="11"/>
      <c r="M3303" s="11"/>
      <c r="N3303" s="11"/>
      <c r="O3303" s="11"/>
      <c r="P3303" s="11"/>
      <c r="Q3303" s="11"/>
    </row>
    <row r="3304" spans="10:17">
      <c r="J3304" s="11"/>
      <c r="K3304" s="1533"/>
      <c r="L3304" s="11"/>
      <c r="M3304" s="11"/>
      <c r="N3304" s="11"/>
      <c r="O3304" s="11"/>
      <c r="P3304" s="11"/>
      <c r="Q3304" s="11"/>
    </row>
    <row r="3305" spans="10:17">
      <c r="J3305" s="11"/>
      <c r="K3305" s="1533"/>
      <c r="L3305" s="11"/>
      <c r="M3305" s="11"/>
      <c r="N3305" s="11"/>
      <c r="O3305" s="11"/>
      <c r="P3305" s="11"/>
      <c r="Q3305" s="11"/>
    </row>
    <row r="3306" spans="10:17">
      <c r="J3306" s="11"/>
      <c r="K3306" s="1533"/>
      <c r="L3306" s="11"/>
      <c r="M3306" s="11"/>
      <c r="N3306" s="11"/>
      <c r="O3306" s="11"/>
      <c r="P3306" s="11"/>
      <c r="Q3306" s="11"/>
    </row>
    <row r="3307" spans="10:17">
      <c r="J3307" s="11"/>
      <c r="K3307" s="1533"/>
      <c r="L3307" s="11"/>
      <c r="M3307" s="11"/>
      <c r="N3307" s="11"/>
      <c r="O3307" s="11"/>
      <c r="P3307" s="11"/>
      <c r="Q3307" s="11"/>
    </row>
    <row r="3308" spans="10:17">
      <c r="J3308" s="11"/>
      <c r="K3308" s="1533"/>
      <c r="L3308" s="11"/>
      <c r="M3308" s="11"/>
      <c r="N3308" s="11"/>
      <c r="O3308" s="11"/>
      <c r="P3308" s="11"/>
      <c r="Q3308" s="11"/>
    </row>
    <row r="3309" spans="10:17">
      <c r="J3309" s="11"/>
      <c r="K3309" s="1533"/>
      <c r="L3309" s="11"/>
      <c r="M3309" s="11"/>
      <c r="N3309" s="11"/>
      <c r="O3309" s="11"/>
      <c r="P3309" s="11"/>
      <c r="Q3309" s="11"/>
    </row>
    <row r="3310" spans="10:17">
      <c r="J3310" s="11"/>
      <c r="K3310" s="1533"/>
      <c r="L3310" s="11"/>
      <c r="M3310" s="11"/>
      <c r="N3310" s="11"/>
      <c r="O3310" s="11"/>
      <c r="P3310" s="11"/>
      <c r="Q3310" s="11"/>
    </row>
    <row r="3311" spans="10:17">
      <c r="J3311" s="11"/>
      <c r="K3311" s="1533"/>
      <c r="L3311" s="11"/>
      <c r="M3311" s="11"/>
      <c r="N3311" s="11"/>
      <c r="O3311" s="11"/>
      <c r="P3311" s="11"/>
      <c r="Q3311" s="11"/>
    </row>
    <row r="3312" spans="10:17">
      <c r="J3312" s="11"/>
      <c r="K3312" s="1533"/>
      <c r="L3312" s="11"/>
      <c r="M3312" s="11"/>
      <c r="N3312" s="11"/>
      <c r="O3312" s="11"/>
      <c r="P3312" s="11"/>
      <c r="Q3312" s="11"/>
    </row>
    <row r="3313" spans="10:17">
      <c r="J3313" s="11"/>
      <c r="K3313" s="1533"/>
      <c r="L3313" s="11"/>
      <c r="M3313" s="11"/>
      <c r="N3313" s="11"/>
      <c r="O3313" s="11"/>
      <c r="P3313" s="11"/>
      <c r="Q3313" s="11"/>
    </row>
    <row r="3314" spans="10:17">
      <c r="J3314" s="11"/>
      <c r="K3314" s="1533"/>
      <c r="L3314" s="11"/>
      <c r="M3314" s="11"/>
      <c r="N3314" s="11"/>
      <c r="O3314" s="11"/>
      <c r="P3314" s="11"/>
      <c r="Q3314" s="11"/>
    </row>
    <row r="3315" spans="10:17">
      <c r="J3315" s="11"/>
      <c r="K3315" s="1533"/>
      <c r="L3315" s="11"/>
      <c r="M3315" s="11"/>
      <c r="N3315" s="11"/>
      <c r="O3315" s="11"/>
      <c r="P3315" s="11"/>
      <c r="Q3315" s="11"/>
    </row>
    <row r="3316" spans="10:17">
      <c r="J3316" s="11"/>
      <c r="K3316" s="1533"/>
      <c r="L3316" s="11"/>
      <c r="M3316" s="11"/>
      <c r="N3316" s="11"/>
      <c r="O3316" s="11"/>
      <c r="P3316" s="11"/>
      <c r="Q3316" s="11"/>
    </row>
    <row r="3317" spans="10:17">
      <c r="J3317" s="11"/>
      <c r="K3317" s="1533"/>
      <c r="L3317" s="11"/>
      <c r="M3317" s="11"/>
      <c r="N3317" s="11"/>
      <c r="O3317" s="11"/>
      <c r="P3317" s="11"/>
      <c r="Q3317" s="11"/>
    </row>
    <row r="3318" spans="10:17">
      <c r="J3318" s="11"/>
      <c r="K3318" s="1533"/>
      <c r="L3318" s="11"/>
      <c r="M3318" s="11"/>
      <c r="N3318" s="11"/>
      <c r="O3318" s="11"/>
      <c r="P3318" s="11"/>
      <c r="Q3318" s="11"/>
    </row>
    <row r="3319" spans="10:17">
      <c r="J3319" s="11"/>
      <c r="K3319" s="1533"/>
      <c r="L3319" s="11"/>
      <c r="M3319" s="11"/>
      <c r="N3319" s="11"/>
      <c r="O3319" s="11"/>
      <c r="P3319" s="11"/>
      <c r="Q3319" s="11"/>
    </row>
    <row r="3320" spans="10:17">
      <c r="J3320" s="11"/>
      <c r="K3320" s="1533"/>
      <c r="L3320" s="11"/>
      <c r="M3320" s="11"/>
      <c r="N3320" s="11"/>
      <c r="O3320" s="11"/>
      <c r="P3320" s="11"/>
      <c r="Q3320" s="11"/>
    </row>
    <row r="3321" spans="10:17">
      <c r="J3321" s="11"/>
      <c r="K3321" s="1533"/>
      <c r="L3321" s="11"/>
      <c r="M3321" s="11"/>
      <c r="N3321" s="11"/>
      <c r="O3321" s="11"/>
      <c r="P3321" s="11"/>
      <c r="Q3321" s="11"/>
    </row>
    <row r="3322" spans="10:17">
      <c r="J3322" s="11"/>
      <c r="K3322" s="1533"/>
      <c r="L3322" s="11"/>
      <c r="M3322" s="11"/>
      <c r="N3322" s="11"/>
      <c r="O3322" s="11"/>
      <c r="P3322" s="11"/>
      <c r="Q3322" s="11"/>
    </row>
    <row r="3323" spans="10:17">
      <c r="J3323" s="11"/>
      <c r="K3323" s="1533"/>
      <c r="L3323" s="11"/>
      <c r="M3323" s="11"/>
      <c r="N3323" s="11"/>
      <c r="O3323" s="11"/>
      <c r="P3323" s="11"/>
      <c r="Q3323" s="11"/>
    </row>
    <row r="3324" spans="10:17">
      <c r="J3324" s="11"/>
      <c r="K3324" s="1533"/>
      <c r="L3324" s="11"/>
      <c r="M3324" s="11"/>
      <c r="N3324" s="11"/>
      <c r="O3324" s="11"/>
      <c r="P3324" s="11"/>
      <c r="Q3324" s="11"/>
    </row>
    <row r="3325" spans="10:17">
      <c r="J3325" s="11"/>
      <c r="K3325" s="1533"/>
      <c r="L3325" s="11"/>
      <c r="M3325" s="11"/>
      <c r="N3325" s="11"/>
      <c r="O3325" s="11"/>
      <c r="P3325" s="11"/>
      <c r="Q3325" s="11"/>
    </row>
    <row r="3326" spans="10:17">
      <c r="J3326" s="11"/>
      <c r="K3326" s="1533"/>
      <c r="L3326" s="11"/>
      <c r="M3326" s="11"/>
      <c r="N3326" s="11"/>
      <c r="O3326" s="11"/>
      <c r="P3326" s="11"/>
      <c r="Q3326" s="11"/>
    </row>
    <row r="3327" spans="10:17">
      <c r="J3327" s="11"/>
      <c r="K3327" s="1533"/>
      <c r="L3327" s="11"/>
      <c r="M3327" s="11"/>
      <c r="N3327" s="11"/>
      <c r="O3327" s="11"/>
      <c r="P3327" s="11"/>
      <c r="Q3327" s="11"/>
    </row>
    <row r="3328" spans="10:17">
      <c r="J3328" s="11"/>
      <c r="K3328" s="1533"/>
      <c r="L3328" s="11"/>
      <c r="M3328" s="11"/>
      <c r="N3328" s="11"/>
      <c r="O3328" s="11"/>
      <c r="P3328" s="11"/>
      <c r="Q3328" s="11"/>
    </row>
    <row r="3329" spans="10:17">
      <c r="J3329" s="11"/>
      <c r="K3329" s="1533"/>
      <c r="L3329" s="11"/>
      <c r="M3329" s="11"/>
      <c r="N3329" s="11"/>
      <c r="O3329" s="11"/>
      <c r="P3329" s="11"/>
      <c r="Q3329" s="11"/>
    </row>
    <row r="3330" spans="10:17">
      <c r="J3330" s="11"/>
      <c r="K3330" s="1533"/>
      <c r="L3330" s="11"/>
      <c r="M3330" s="11"/>
      <c r="N3330" s="11"/>
      <c r="O3330" s="11"/>
      <c r="P3330" s="11"/>
      <c r="Q3330" s="11"/>
    </row>
    <row r="3331" spans="10:17">
      <c r="J3331" s="11"/>
      <c r="K3331" s="1533"/>
      <c r="L3331" s="11"/>
      <c r="M3331" s="11"/>
      <c r="N3331" s="11"/>
      <c r="O3331" s="11"/>
      <c r="P3331" s="11"/>
      <c r="Q3331" s="11"/>
    </row>
    <row r="3332" spans="10:17">
      <c r="J3332" s="11"/>
      <c r="K3332" s="1533"/>
      <c r="L3332" s="11"/>
      <c r="M3332" s="11"/>
      <c r="N3332" s="11"/>
      <c r="O3332" s="11"/>
      <c r="P3332" s="11"/>
      <c r="Q3332" s="11"/>
    </row>
    <row r="3333" spans="10:17">
      <c r="J3333" s="11"/>
      <c r="K3333" s="1533"/>
      <c r="L3333" s="11"/>
      <c r="M3333" s="11"/>
      <c r="N3333" s="11"/>
      <c r="O3333" s="11"/>
      <c r="P3333" s="11"/>
      <c r="Q3333" s="11"/>
    </row>
    <row r="3334" spans="10:17">
      <c r="J3334" s="11"/>
      <c r="K3334" s="1533"/>
      <c r="L3334" s="11"/>
      <c r="M3334" s="11"/>
      <c r="N3334" s="11"/>
      <c r="O3334" s="11"/>
      <c r="P3334" s="11"/>
      <c r="Q3334" s="11"/>
    </row>
    <row r="3335" spans="10:17">
      <c r="J3335" s="11"/>
      <c r="K3335" s="1533"/>
      <c r="L3335" s="11"/>
      <c r="M3335" s="11"/>
      <c r="N3335" s="11"/>
      <c r="O3335" s="11"/>
      <c r="P3335" s="11"/>
      <c r="Q3335" s="11"/>
    </row>
    <row r="3336" spans="10:17">
      <c r="J3336" s="11"/>
      <c r="K3336" s="1533"/>
      <c r="L3336" s="11"/>
      <c r="M3336" s="11"/>
      <c r="N3336" s="11"/>
      <c r="O3336" s="11"/>
      <c r="P3336" s="11"/>
      <c r="Q3336" s="11"/>
    </row>
    <row r="3337" spans="10:17">
      <c r="J3337" s="11"/>
      <c r="K3337" s="1533"/>
      <c r="L3337" s="11"/>
      <c r="M3337" s="11"/>
      <c r="N3337" s="11"/>
      <c r="O3337" s="11"/>
      <c r="P3337" s="11"/>
      <c r="Q3337" s="11"/>
    </row>
    <row r="3338" spans="10:17">
      <c r="J3338" s="11"/>
      <c r="K3338" s="1533"/>
      <c r="L3338" s="11"/>
      <c r="M3338" s="11"/>
      <c r="N3338" s="11"/>
      <c r="O3338" s="11"/>
      <c r="P3338" s="11"/>
      <c r="Q3338" s="11"/>
    </row>
    <row r="3339" spans="10:17">
      <c r="J3339" s="11"/>
      <c r="K3339" s="1533"/>
      <c r="L3339" s="11"/>
      <c r="M3339" s="11"/>
      <c r="N3339" s="11"/>
      <c r="O3339" s="11"/>
      <c r="P3339" s="11"/>
      <c r="Q3339" s="11"/>
    </row>
    <row r="3340" spans="10:17">
      <c r="J3340" s="11"/>
      <c r="K3340" s="1533"/>
      <c r="L3340" s="11"/>
      <c r="M3340" s="11"/>
      <c r="N3340" s="11"/>
      <c r="O3340" s="11"/>
      <c r="P3340" s="11"/>
      <c r="Q3340" s="11"/>
    </row>
    <row r="3341" spans="10:17">
      <c r="J3341" s="11"/>
      <c r="K3341" s="1533"/>
      <c r="L3341" s="11"/>
      <c r="M3341" s="11"/>
      <c r="N3341" s="11"/>
      <c r="O3341" s="11"/>
      <c r="P3341" s="11"/>
      <c r="Q3341" s="11"/>
    </row>
    <row r="3342" spans="10:17">
      <c r="J3342" s="11"/>
      <c r="K3342" s="1533"/>
      <c r="L3342" s="11"/>
      <c r="M3342" s="11"/>
      <c r="N3342" s="11"/>
      <c r="O3342" s="11"/>
      <c r="P3342" s="11"/>
      <c r="Q3342" s="11"/>
    </row>
    <row r="3343" spans="10:17">
      <c r="J3343" s="11"/>
      <c r="K3343" s="1533"/>
      <c r="L3343" s="11"/>
      <c r="M3343" s="11"/>
      <c r="N3343" s="11"/>
      <c r="O3343" s="11"/>
      <c r="P3343" s="11"/>
      <c r="Q3343" s="11"/>
    </row>
    <row r="3344" spans="10:17">
      <c r="J3344" s="11"/>
      <c r="K3344" s="1533"/>
      <c r="L3344" s="11"/>
      <c r="M3344" s="11"/>
      <c r="N3344" s="11"/>
      <c r="O3344" s="11"/>
      <c r="P3344" s="11"/>
      <c r="Q3344" s="11"/>
    </row>
    <row r="3345" spans="10:17">
      <c r="J3345" s="11"/>
      <c r="K3345" s="1533"/>
      <c r="L3345" s="11"/>
      <c r="M3345" s="11"/>
      <c r="N3345" s="11"/>
      <c r="O3345" s="11"/>
      <c r="P3345" s="11"/>
      <c r="Q3345" s="11"/>
    </row>
    <row r="3346" spans="10:17">
      <c r="J3346" s="11"/>
      <c r="K3346" s="1533"/>
      <c r="L3346" s="11"/>
      <c r="M3346" s="11"/>
      <c r="N3346" s="11"/>
      <c r="O3346" s="11"/>
      <c r="P3346" s="11"/>
      <c r="Q3346" s="11"/>
    </row>
    <row r="3347" spans="10:17">
      <c r="J3347" s="11"/>
      <c r="K3347" s="1533"/>
      <c r="L3347" s="11"/>
      <c r="M3347" s="11"/>
      <c r="N3347" s="11"/>
      <c r="O3347" s="11"/>
      <c r="P3347" s="11"/>
      <c r="Q3347" s="11"/>
    </row>
    <row r="3348" spans="10:17">
      <c r="J3348" s="11"/>
      <c r="K3348" s="1533"/>
      <c r="L3348" s="11"/>
      <c r="M3348" s="11"/>
      <c r="N3348" s="11"/>
      <c r="O3348" s="11"/>
      <c r="P3348" s="11"/>
      <c r="Q3348" s="11"/>
    </row>
    <row r="3349" spans="10:17">
      <c r="J3349" s="11"/>
      <c r="K3349" s="1533"/>
      <c r="L3349" s="11"/>
      <c r="M3349" s="11"/>
      <c r="N3349" s="11"/>
      <c r="O3349" s="11"/>
      <c r="P3349" s="11"/>
      <c r="Q3349" s="11"/>
    </row>
    <row r="3350" spans="10:17">
      <c r="J3350" s="11"/>
      <c r="K3350" s="1533"/>
      <c r="L3350" s="11"/>
      <c r="M3350" s="11"/>
      <c r="N3350" s="11"/>
      <c r="O3350" s="11"/>
      <c r="P3350" s="11"/>
      <c r="Q3350" s="11"/>
    </row>
    <row r="3351" spans="10:17">
      <c r="J3351" s="11"/>
      <c r="K3351" s="1533"/>
      <c r="L3351" s="11"/>
      <c r="M3351" s="11"/>
      <c r="N3351" s="11"/>
      <c r="O3351" s="11"/>
      <c r="P3351" s="11"/>
      <c r="Q3351" s="11"/>
    </row>
    <row r="3352" spans="10:17">
      <c r="J3352" s="11"/>
      <c r="K3352" s="1533"/>
      <c r="L3352" s="11"/>
      <c r="M3352" s="11"/>
      <c r="N3352" s="11"/>
      <c r="O3352" s="11"/>
      <c r="P3352" s="11"/>
      <c r="Q3352" s="11"/>
    </row>
    <row r="3353" spans="10:17">
      <c r="J3353" s="11"/>
      <c r="K3353" s="1533"/>
      <c r="L3353" s="11"/>
      <c r="M3353" s="11"/>
      <c r="N3353" s="11"/>
      <c r="O3353" s="11"/>
      <c r="P3353" s="11"/>
      <c r="Q3353" s="11"/>
    </row>
    <row r="3354" spans="10:17">
      <c r="J3354" s="11"/>
      <c r="K3354" s="1533"/>
      <c r="L3354" s="11"/>
      <c r="M3354" s="11"/>
      <c r="N3354" s="11"/>
      <c r="O3354" s="11"/>
      <c r="P3354" s="11"/>
      <c r="Q3354" s="11"/>
    </row>
    <row r="3355" spans="10:17">
      <c r="J3355" s="11"/>
      <c r="K3355" s="1533"/>
      <c r="L3355" s="11"/>
      <c r="M3355" s="11"/>
      <c r="N3355" s="11"/>
      <c r="O3355" s="11"/>
      <c r="P3355" s="11"/>
      <c r="Q3355" s="11"/>
    </row>
    <row r="3356" spans="10:17">
      <c r="J3356" s="11"/>
      <c r="K3356" s="1533"/>
      <c r="L3356" s="11"/>
      <c r="M3356" s="11"/>
      <c r="N3356" s="11"/>
      <c r="O3356" s="11"/>
      <c r="P3356" s="11"/>
      <c r="Q3356" s="11"/>
    </row>
    <row r="3357" spans="10:17">
      <c r="J3357" s="11"/>
      <c r="K3357" s="1533"/>
      <c r="L3357" s="11"/>
      <c r="M3357" s="11"/>
      <c r="N3357" s="11"/>
      <c r="O3357" s="11"/>
      <c r="P3357" s="11"/>
      <c r="Q3357" s="11"/>
    </row>
    <row r="3358" spans="10:17">
      <c r="J3358" s="11"/>
      <c r="K3358" s="1533"/>
      <c r="L3358" s="11"/>
      <c r="M3358" s="11"/>
      <c r="N3358" s="11"/>
      <c r="O3358" s="11"/>
      <c r="P3358" s="11"/>
      <c r="Q3358" s="11"/>
    </row>
    <row r="3359" spans="10:17">
      <c r="J3359" s="11"/>
      <c r="K3359" s="1533"/>
      <c r="L3359" s="11"/>
      <c r="M3359" s="11"/>
      <c r="N3359" s="11"/>
      <c r="O3359" s="11"/>
      <c r="P3359" s="11"/>
      <c r="Q3359" s="11"/>
    </row>
    <row r="3360" spans="10:17">
      <c r="J3360" s="11"/>
      <c r="K3360" s="1533"/>
      <c r="L3360" s="11"/>
      <c r="M3360" s="11"/>
      <c r="N3360" s="11"/>
      <c r="O3360" s="11"/>
      <c r="P3360" s="11"/>
      <c r="Q3360" s="11"/>
    </row>
    <row r="3361" spans="10:17">
      <c r="J3361" s="11"/>
      <c r="K3361" s="1533"/>
      <c r="L3361" s="11"/>
      <c r="M3361" s="11"/>
      <c r="N3361" s="11"/>
      <c r="O3361" s="11"/>
      <c r="P3361" s="11"/>
      <c r="Q3361" s="11"/>
    </row>
    <row r="3362" spans="10:17">
      <c r="J3362" s="11"/>
      <c r="K3362" s="1533"/>
      <c r="L3362" s="11"/>
      <c r="M3362" s="11"/>
      <c r="N3362" s="11"/>
      <c r="O3362" s="11"/>
      <c r="P3362" s="11"/>
      <c r="Q3362" s="11"/>
    </row>
    <row r="3363" spans="10:17">
      <c r="J3363" s="11"/>
      <c r="K3363" s="1533"/>
      <c r="L3363" s="11"/>
      <c r="M3363" s="11"/>
      <c r="N3363" s="11"/>
      <c r="O3363" s="11"/>
      <c r="P3363" s="11"/>
      <c r="Q3363" s="11"/>
    </row>
    <row r="3364" spans="10:17">
      <c r="J3364" s="11"/>
      <c r="K3364" s="1533"/>
      <c r="L3364" s="11"/>
      <c r="M3364" s="11"/>
      <c r="N3364" s="11"/>
      <c r="O3364" s="11"/>
      <c r="P3364" s="11"/>
      <c r="Q3364" s="11"/>
    </row>
    <row r="3365" spans="10:17">
      <c r="J3365" s="11"/>
      <c r="K3365" s="1533"/>
      <c r="L3365" s="11"/>
      <c r="M3365" s="11"/>
      <c r="N3365" s="11"/>
      <c r="O3365" s="11"/>
      <c r="P3365" s="11"/>
      <c r="Q3365" s="11"/>
    </row>
    <row r="3366" spans="10:17">
      <c r="J3366" s="11"/>
      <c r="K3366" s="1533"/>
      <c r="L3366" s="11"/>
      <c r="M3366" s="11"/>
      <c r="N3366" s="11"/>
      <c r="O3366" s="11"/>
      <c r="P3366" s="11"/>
      <c r="Q3366" s="11"/>
    </row>
    <row r="3367" spans="10:17">
      <c r="J3367" s="11"/>
      <c r="K3367" s="1533"/>
      <c r="L3367" s="11"/>
      <c r="M3367" s="11"/>
      <c r="N3367" s="11"/>
      <c r="O3367" s="11"/>
      <c r="P3367" s="11"/>
      <c r="Q3367" s="11"/>
    </row>
    <row r="3368" spans="10:17">
      <c r="J3368" s="11"/>
      <c r="K3368" s="1533"/>
      <c r="L3368" s="11"/>
      <c r="M3368" s="11"/>
      <c r="N3368" s="11"/>
      <c r="O3368" s="11"/>
      <c r="P3368" s="11"/>
      <c r="Q3368" s="11"/>
    </row>
    <row r="3369" spans="10:17">
      <c r="J3369" s="11"/>
      <c r="K3369" s="1533"/>
      <c r="L3369" s="11"/>
      <c r="M3369" s="11"/>
      <c r="N3369" s="11"/>
      <c r="O3369" s="11"/>
      <c r="P3369" s="11"/>
      <c r="Q3369" s="11"/>
    </row>
    <row r="3370" spans="10:17">
      <c r="J3370" s="11"/>
      <c r="K3370" s="1533"/>
      <c r="L3370" s="11"/>
      <c r="M3370" s="11"/>
      <c r="N3370" s="11"/>
      <c r="O3370" s="11"/>
      <c r="P3370" s="11"/>
      <c r="Q3370" s="11"/>
    </row>
    <row r="3371" spans="10:17">
      <c r="J3371" s="11"/>
      <c r="K3371" s="1533"/>
      <c r="L3371" s="11"/>
      <c r="M3371" s="11"/>
      <c r="N3371" s="11"/>
      <c r="O3371" s="11"/>
      <c r="P3371" s="11"/>
      <c r="Q3371" s="11"/>
    </row>
    <row r="3372" spans="10:17">
      <c r="J3372" s="11"/>
      <c r="K3372" s="1533"/>
      <c r="L3372" s="11"/>
      <c r="M3372" s="11"/>
      <c r="N3372" s="11"/>
      <c r="O3372" s="11"/>
      <c r="P3372" s="11"/>
      <c r="Q3372" s="11"/>
    </row>
    <row r="3373" spans="10:17">
      <c r="J3373" s="11"/>
      <c r="K3373" s="1533"/>
      <c r="L3373" s="11"/>
      <c r="M3373" s="11"/>
      <c r="N3373" s="11"/>
      <c r="O3373" s="11"/>
      <c r="P3373" s="11"/>
      <c r="Q3373" s="11"/>
    </row>
    <row r="3374" spans="10:17">
      <c r="J3374" s="11"/>
      <c r="K3374" s="1533"/>
      <c r="L3374" s="11"/>
      <c r="M3374" s="11"/>
      <c r="N3374" s="11"/>
      <c r="O3374" s="11"/>
      <c r="P3374" s="11"/>
      <c r="Q3374" s="11"/>
    </row>
    <row r="3375" spans="10:17">
      <c r="J3375" s="11"/>
      <c r="K3375" s="1533"/>
      <c r="L3375" s="11"/>
      <c r="M3375" s="11"/>
      <c r="N3375" s="11"/>
      <c r="O3375" s="11"/>
      <c r="P3375" s="11"/>
      <c r="Q3375" s="11"/>
    </row>
    <row r="3376" spans="10:17">
      <c r="J3376" s="11"/>
      <c r="K3376" s="1533"/>
      <c r="L3376" s="11"/>
      <c r="M3376" s="11"/>
      <c r="N3376" s="11"/>
      <c r="O3376" s="11"/>
      <c r="P3376" s="11"/>
      <c r="Q3376" s="11"/>
    </row>
    <row r="3377" spans="10:17">
      <c r="J3377" s="11"/>
      <c r="K3377" s="1533"/>
      <c r="L3377" s="11"/>
      <c r="M3377" s="11"/>
      <c r="N3377" s="11"/>
      <c r="O3377" s="11"/>
      <c r="P3377" s="11"/>
      <c r="Q3377" s="11"/>
    </row>
    <row r="3378" spans="10:17">
      <c r="J3378" s="11"/>
      <c r="K3378" s="1533"/>
      <c r="L3378" s="11"/>
      <c r="M3378" s="11"/>
      <c r="N3378" s="11"/>
      <c r="O3378" s="11"/>
      <c r="P3378" s="11"/>
      <c r="Q3378" s="11"/>
    </row>
    <row r="3379" spans="10:17">
      <c r="J3379" s="11"/>
      <c r="K3379" s="1533"/>
      <c r="L3379" s="11"/>
      <c r="M3379" s="11"/>
      <c r="N3379" s="11"/>
      <c r="O3379" s="11"/>
      <c r="P3379" s="11"/>
      <c r="Q3379" s="11"/>
    </row>
    <row r="3380" spans="10:17">
      <c r="J3380" s="11"/>
      <c r="K3380" s="1533"/>
      <c r="L3380" s="11"/>
      <c r="M3380" s="11"/>
      <c r="N3380" s="11"/>
      <c r="O3380" s="11"/>
      <c r="P3380" s="11"/>
      <c r="Q3380" s="11"/>
    </row>
    <row r="3381" spans="10:17">
      <c r="J3381" s="11"/>
      <c r="K3381" s="1533"/>
      <c r="L3381" s="11"/>
      <c r="M3381" s="11"/>
      <c r="N3381" s="11"/>
      <c r="O3381" s="11"/>
      <c r="P3381" s="11"/>
      <c r="Q3381" s="11"/>
    </row>
    <row r="3382" spans="10:17">
      <c r="J3382" s="11"/>
      <c r="K3382" s="1533"/>
      <c r="L3382" s="11"/>
      <c r="M3382" s="11"/>
      <c r="N3382" s="11"/>
      <c r="O3382" s="11"/>
      <c r="P3382" s="11"/>
      <c r="Q3382" s="11"/>
    </row>
    <row r="3383" spans="10:17">
      <c r="J3383" s="11"/>
      <c r="K3383" s="1533"/>
      <c r="L3383" s="11"/>
      <c r="M3383" s="11"/>
      <c r="N3383" s="11"/>
      <c r="O3383" s="11"/>
      <c r="P3383" s="11"/>
      <c r="Q3383" s="11"/>
    </row>
    <row r="3384" spans="10:17">
      <c r="J3384" s="11"/>
      <c r="K3384" s="1533"/>
      <c r="L3384" s="11"/>
      <c r="M3384" s="11"/>
      <c r="N3384" s="11"/>
      <c r="O3384" s="11"/>
      <c r="P3384" s="11"/>
      <c r="Q3384" s="11"/>
    </row>
    <row r="3385" spans="10:17">
      <c r="J3385" s="11"/>
      <c r="K3385" s="1533"/>
      <c r="L3385" s="11"/>
      <c r="M3385" s="11"/>
      <c r="N3385" s="11"/>
      <c r="O3385" s="11"/>
      <c r="P3385" s="11"/>
      <c r="Q3385" s="11"/>
    </row>
    <row r="3386" spans="10:17">
      <c r="J3386" s="11"/>
      <c r="K3386" s="1533"/>
      <c r="L3386" s="11"/>
      <c r="M3386" s="11"/>
      <c r="N3386" s="11"/>
      <c r="O3386" s="11"/>
      <c r="P3386" s="11"/>
      <c r="Q3386" s="11"/>
    </row>
    <row r="3387" spans="10:17">
      <c r="J3387" s="11"/>
      <c r="K3387" s="1533"/>
      <c r="L3387" s="11"/>
      <c r="M3387" s="11"/>
      <c r="N3387" s="11"/>
      <c r="O3387" s="11"/>
      <c r="P3387" s="11"/>
      <c r="Q3387" s="11"/>
    </row>
    <row r="3388" spans="10:17">
      <c r="J3388" s="11"/>
      <c r="K3388" s="1533"/>
      <c r="L3388" s="11"/>
      <c r="M3388" s="11"/>
      <c r="N3388" s="11"/>
      <c r="O3388" s="11"/>
      <c r="P3388" s="11"/>
      <c r="Q3388" s="11"/>
    </row>
    <row r="3389" spans="10:17">
      <c r="J3389" s="11"/>
      <c r="K3389" s="1533"/>
      <c r="L3389" s="11"/>
      <c r="M3389" s="11"/>
      <c r="N3389" s="11"/>
      <c r="O3389" s="11"/>
      <c r="P3389" s="11"/>
      <c r="Q3389" s="11"/>
    </row>
    <row r="3390" spans="10:17">
      <c r="J3390" s="11"/>
      <c r="K3390" s="1533"/>
      <c r="L3390" s="11"/>
      <c r="M3390" s="11"/>
      <c r="N3390" s="11"/>
      <c r="O3390" s="11"/>
      <c r="P3390" s="11"/>
      <c r="Q3390" s="11"/>
    </row>
    <row r="3391" spans="10:17">
      <c r="J3391" s="11"/>
      <c r="K3391" s="1533"/>
      <c r="L3391" s="11"/>
      <c r="M3391" s="11"/>
      <c r="N3391" s="11"/>
      <c r="O3391" s="11"/>
      <c r="P3391" s="11"/>
      <c r="Q3391" s="11"/>
    </row>
    <row r="3392" spans="10:17">
      <c r="J3392" s="11"/>
      <c r="K3392" s="1533"/>
      <c r="L3392" s="11"/>
      <c r="M3392" s="11"/>
      <c r="N3392" s="11"/>
      <c r="O3392" s="11"/>
      <c r="P3392" s="11"/>
      <c r="Q3392" s="11"/>
    </row>
    <row r="3393" spans="10:17">
      <c r="J3393" s="11"/>
      <c r="K3393" s="1533"/>
      <c r="L3393" s="11"/>
      <c r="M3393" s="11"/>
      <c r="N3393" s="11"/>
      <c r="O3393" s="11"/>
      <c r="P3393" s="11"/>
      <c r="Q3393" s="11"/>
    </row>
    <row r="3394" spans="10:17">
      <c r="J3394" s="11"/>
      <c r="K3394" s="1533"/>
      <c r="L3394" s="11"/>
      <c r="M3394" s="11"/>
      <c r="N3394" s="11"/>
      <c r="O3394" s="11"/>
      <c r="P3394" s="11"/>
      <c r="Q3394" s="11"/>
    </row>
    <row r="3395" spans="10:17">
      <c r="J3395" s="11"/>
      <c r="K3395" s="1533"/>
      <c r="L3395" s="11"/>
      <c r="M3395" s="11"/>
      <c r="N3395" s="11"/>
      <c r="O3395" s="11"/>
      <c r="P3395" s="11"/>
      <c r="Q3395" s="11"/>
    </row>
    <row r="3396" spans="10:17">
      <c r="J3396" s="11"/>
      <c r="K3396" s="1533"/>
      <c r="L3396" s="11"/>
      <c r="M3396" s="11"/>
      <c r="N3396" s="11"/>
      <c r="O3396" s="11"/>
      <c r="P3396" s="11"/>
      <c r="Q3396" s="11"/>
    </row>
    <row r="3397" spans="10:17">
      <c r="J3397" s="11"/>
      <c r="K3397" s="1533"/>
      <c r="L3397" s="11"/>
      <c r="M3397" s="11"/>
      <c r="N3397" s="11"/>
      <c r="O3397" s="11"/>
      <c r="P3397" s="11"/>
      <c r="Q3397" s="11"/>
    </row>
    <row r="3398" spans="10:17">
      <c r="J3398" s="11"/>
      <c r="K3398" s="1533"/>
      <c r="L3398" s="11"/>
      <c r="M3398" s="11"/>
      <c r="N3398" s="11"/>
      <c r="O3398" s="11"/>
      <c r="P3398" s="11"/>
      <c r="Q3398" s="11"/>
    </row>
    <row r="3399" spans="10:17">
      <c r="J3399" s="11"/>
      <c r="K3399" s="1533"/>
      <c r="L3399" s="11"/>
      <c r="M3399" s="11"/>
      <c r="N3399" s="11"/>
      <c r="O3399" s="11"/>
      <c r="P3399" s="11"/>
      <c r="Q3399" s="11"/>
    </row>
    <row r="3400" spans="10:17">
      <c r="J3400" s="11"/>
      <c r="K3400" s="1533"/>
      <c r="L3400" s="11"/>
      <c r="M3400" s="11"/>
      <c r="N3400" s="11"/>
      <c r="O3400" s="11"/>
      <c r="P3400" s="11"/>
      <c r="Q3400" s="11"/>
    </row>
    <row r="3401" spans="10:17">
      <c r="J3401" s="11"/>
      <c r="K3401" s="1533"/>
      <c r="L3401" s="11"/>
      <c r="M3401" s="11"/>
      <c r="N3401" s="11"/>
      <c r="O3401" s="11"/>
      <c r="P3401" s="11"/>
      <c r="Q3401" s="11"/>
    </row>
    <row r="3402" spans="10:17">
      <c r="J3402" s="11"/>
      <c r="K3402" s="1533"/>
      <c r="L3402" s="11"/>
      <c r="M3402" s="11"/>
      <c r="N3402" s="11"/>
      <c r="O3402" s="11"/>
      <c r="P3402" s="11"/>
      <c r="Q3402" s="11"/>
    </row>
    <row r="3403" spans="10:17">
      <c r="J3403" s="11"/>
      <c r="K3403" s="1533"/>
      <c r="L3403" s="11"/>
      <c r="M3403" s="11"/>
      <c r="N3403" s="11"/>
      <c r="O3403" s="11"/>
      <c r="P3403" s="11"/>
      <c r="Q3403" s="11"/>
    </row>
    <row r="3404" spans="10:17">
      <c r="J3404" s="11"/>
      <c r="K3404" s="1533"/>
      <c r="L3404" s="11"/>
      <c r="M3404" s="11"/>
      <c r="N3404" s="11"/>
      <c r="O3404" s="11"/>
      <c r="P3404" s="11"/>
      <c r="Q3404" s="11"/>
    </row>
    <row r="3405" spans="10:17">
      <c r="J3405" s="11"/>
      <c r="K3405" s="1533"/>
      <c r="L3405" s="11"/>
      <c r="M3405" s="11"/>
      <c r="N3405" s="11"/>
      <c r="O3405" s="11"/>
      <c r="P3405" s="11"/>
      <c r="Q3405" s="11"/>
    </row>
    <row r="3406" spans="10:17">
      <c r="J3406" s="11"/>
      <c r="K3406" s="1533"/>
      <c r="L3406" s="11"/>
      <c r="M3406" s="11"/>
      <c r="N3406" s="11"/>
      <c r="O3406" s="11"/>
      <c r="P3406" s="11"/>
      <c r="Q3406" s="11"/>
    </row>
    <row r="3407" spans="10:17">
      <c r="J3407" s="11"/>
      <c r="K3407" s="1533"/>
      <c r="L3407" s="11"/>
      <c r="M3407" s="11"/>
      <c r="N3407" s="11"/>
      <c r="O3407" s="11"/>
      <c r="P3407" s="11"/>
      <c r="Q3407" s="11"/>
    </row>
    <row r="3408" spans="10:17">
      <c r="J3408" s="11"/>
      <c r="K3408" s="1533"/>
      <c r="L3408" s="11"/>
      <c r="M3408" s="11"/>
      <c r="N3408" s="11"/>
      <c r="O3408" s="11"/>
      <c r="P3408" s="11"/>
      <c r="Q3408" s="11"/>
    </row>
    <row r="3409" spans="10:17">
      <c r="J3409" s="11"/>
      <c r="K3409" s="1533"/>
      <c r="L3409" s="11"/>
      <c r="M3409" s="11"/>
      <c r="N3409" s="11"/>
      <c r="O3409" s="11"/>
      <c r="P3409" s="11"/>
      <c r="Q3409" s="11"/>
    </row>
    <row r="3410" spans="10:17">
      <c r="J3410" s="11"/>
      <c r="K3410" s="1533"/>
      <c r="L3410" s="11"/>
      <c r="M3410" s="11"/>
      <c r="N3410" s="11"/>
      <c r="O3410" s="11"/>
      <c r="P3410" s="11"/>
      <c r="Q3410" s="11"/>
    </row>
    <row r="3411" spans="10:17">
      <c r="J3411" s="11"/>
      <c r="K3411" s="1533"/>
      <c r="L3411" s="11"/>
      <c r="M3411" s="11"/>
      <c r="N3411" s="11"/>
      <c r="O3411" s="11"/>
      <c r="P3411" s="11"/>
      <c r="Q3411" s="11"/>
    </row>
    <row r="3412" spans="10:17">
      <c r="J3412" s="11"/>
      <c r="K3412" s="1533"/>
      <c r="L3412" s="11"/>
      <c r="M3412" s="11"/>
      <c r="N3412" s="11"/>
      <c r="O3412" s="11"/>
      <c r="P3412" s="11"/>
      <c r="Q3412" s="11"/>
    </row>
    <row r="3413" spans="10:17">
      <c r="J3413" s="11"/>
      <c r="K3413" s="1533"/>
      <c r="L3413" s="11"/>
      <c r="M3413" s="11"/>
      <c r="N3413" s="11"/>
      <c r="O3413" s="11"/>
      <c r="P3413" s="11"/>
      <c r="Q3413" s="11"/>
    </row>
    <row r="3414" spans="10:17">
      <c r="J3414" s="11"/>
      <c r="K3414" s="1533"/>
      <c r="L3414" s="11"/>
      <c r="M3414" s="11"/>
      <c r="N3414" s="11"/>
      <c r="O3414" s="11"/>
      <c r="P3414" s="11"/>
      <c r="Q3414" s="11"/>
    </row>
    <row r="3415" spans="10:17">
      <c r="J3415" s="11"/>
      <c r="K3415" s="1533"/>
      <c r="L3415" s="11"/>
      <c r="M3415" s="11"/>
      <c r="N3415" s="11"/>
      <c r="O3415" s="11"/>
      <c r="P3415" s="11"/>
      <c r="Q3415" s="11"/>
    </row>
    <row r="3416" spans="10:17">
      <c r="J3416" s="11"/>
      <c r="K3416" s="1533"/>
      <c r="L3416" s="11"/>
      <c r="M3416" s="11"/>
      <c r="N3416" s="11"/>
      <c r="O3416" s="11"/>
      <c r="P3416" s="11"/>
      <c r="Q3416" s="11"/>
    </row>
    <row r="3417" spans="10:17">
      <c r="J3417" s="11"/>
      <c r="K3417" s="1533"/>
      <c r="L3417" s="11"/>
      <c r="M3417" s="11"/>
      <c r="N3417" s="11"/>
      <c r="O3417" s="11"/>
      <c r="P3417" s="11"/>
      <c r="Q3417" s="11"/>
    </row>
    <row r="3418" spans="10:17">
      <c r="J3418" s="11"/>
      <c r="K3418" s="1533"/>
      <c r="L3418" s="11"/>
      <c r="M3418" s="11"/>
      <c r="N3418" s="11"/>
      <c r="O3418" s="11"/>
      <c r="P3418" s="11"/>
      <c r="Q3418" s="11"/>
    </row>
    <row r="3419" spans="10:17">
      <c r="J3419" s="11"/>
      <c r="K3419" s="1533"/>
      <c r="L3419" s="11"/>
      <c r="M3419" s="11"/>
      <c r="N3419" s="11"/>
      <c r="O3419" s="11"/>
      <c r="P3419" s="11"/>
      <c r="Q3419" s="11"/>
    </row>
    <row r="3420" spans="10:17">
      <c r="J3420" s="11"/>
      <c r="K3420" s="1533"/>
      <c r="L3420" s="11"/>
      <c r="M3420" s="11"/>
      <c r="N3420" s="11"/>
      <c r="O3420" s="11"/>
      <c r="P3420" s="11"/>
      <c r="Q3420" s="11"/>
    </row>
    <row r="3421" spans="10:17">
      <c r="J3421" s="11"/>
      <c r="K3421" s="1533"/>
      <c r="L3421" s="11"/>
      <c r="M3421" s="11"/>
      <c r="N3421" s="11"/>
      <c r="O3421" s="11"/>
      <c r="P3421" s="11"/>
      <c r="Q3421" s="11"/>
    </row>
    <row r="3422" spans="10:17">
      <c r="J3422" s="11"/>
      <c r="K3422" s="1533"/>
      <c r="L3422" s="11"/>
      <c r="M3422" s="11"/>
      <c r="N3422" s="11"/>
      <c r="O3422" s="11"/>
      <c r="P3422" s="11"/>
      <c r="Q3422" s="11"/>
    </row>
    <row r="3423" spans="10:17">
      <c r="J3423" s="11"/>
      <c r="K3423" s="1533"/>
      <c r="L3423" s="11"/>
      <c r="M3423" s="11"/>
      <c r="N3423" s="11"/>
      <c r="O3423" s="11"/>
      <c r="P3423" s="11"/>
      <c r="Q3423" s="11"/>
    </row>
    <row r="3424" spans="10:17">
      <c r="J3424" s="11"/>
      <c r="K3424" s="1533"/>
      <c r="L3424" s="11"/>
      <c r="M3424" s="11"/>
      <c r="N3424" s="11"/>
      <c r="O3424" s="11"/>
      <c r="P3424" s="11"/>
      <c r="Q3424" s="11"/>
    </row>
    <row r="3425" spans="10:17">
      <c r="J3425" s="11"/>
      <c r="K3425" s="1533"/>
      <c r="L3425" s="11"/>
      <c r="M3425" s="11"/>
      <c r="N3425" s="11"/>
      <c r="O3425" s="11"/>
      <c r="P3425" s="11"/>
      <c r="Q3425" s="11"/>
    </row>
    <row r="3426" spans="10:17">
      <c r="J3426" s="11"/>
      <c r="K3426" s="1533"/>
      <c r="L3426" s="11"/>
      <c r="M3426" s="11"/>
      <c r="N3426" s="11"/>
      <c r="O3426" s="11"/>
      <c r="P3426" s="11"/>
      <c r="Q3426" s="11"/>
    </row>
    <row r="3427" spans="10:17">
      <c r="J3427" s="11"/>
      <c r="K3427" s="1533"/>
      <c r="L3427" s="11"/>
      <c r="M3427" s="11"/>
      <c r="N3427" s="11"/>
      <c r="O3427" s="11"/>
      <c r="P3427" s="11"/>
      <c r="Q3427" s="11"/>
    </row>
    <row r="3428" spans="10:17">
      <c r="J3428" s="11"/>
      <c r="K3428" s="1533"/>
      <c r="L3428" s="11"/>
      <c r="M3428" s="11"/>
      <c r="N3428" s="11"/>
      <c r="O3428" s="11"/>
      <c r="P3428" s="11"/>
      <c r="Q3428" s="11"/>
    </row>
    <row r="3429" spans="10:17">
      <c r="J3429" s="11"/>
      <c r="K3429" s="1533"/>
      <c r="L3429" s="11"/>
      <c r="M3429" s="11"/>
      <c r="N3429" s="11"/>
      <c r="O3429" s="11"/>
      <c r="P3429" s="11"/>
      <c r="Q3429" s="11"/>
    </row>
    <row r="3430" spans="10:17">
      <c r="J3430" s="11"/>
      <c r="K3430" s="1533"/>
      <c r="L3430" s="11"/>
      <c r="M3430" s="11"/>
      <c r="N3430" s="11"/>
      <c r="O3430" s="11"/>
      <c r="P3430" s="11"/>
      <c r="Q3430" s="11"/>
    </row>
    <row r="3431" spans="10:17">
      <c r="J3431" s="11"/>
      <c r="K3431" s="1533"/>
      <c r="L3431" s="11"/>
      <c r="M3431" s="11"/>
      <c r="N3431" s="11"/>
      <c r="O3431" s="11"/>
      <c r="P3431" s="11"/>
      <c r="Q3431" s="11"/>
    </row>
    <row r="3432" spans="10:17">
      <c r="J3432" s="11"/>
      <c r="K3432" s="1533"/>
      <c r="L3432" s="11"/>
      <c r="M3432" s="11"/>
      <c r="N3432" s="11"/>
      <c r="O3432" s="11"/>
      <c r="P3432" s="11"/>
      <c r="Q3432" s="11"/>
    </row>
    <row r="3433" spans="10:17">
      <c r="J3433" s="11"/>
      <c r="K3433" s="1533"/>
      <c r="L3433" s="11"/>
      <c r="M3433" s="11"/>
      <c r="N3433" s="11"/>
      <c r="O3433" s="11"/>
      <c r="P3433" s="11"/>
      <c r="Q3433" s="11"/>
    </row>
    <row r="3434" spans="10:17">
      <c r="J3434" s="11"/>
      <c r="K3434" s="1533"/>
      <c r="L3434" s="11"/>
      <c r="M3434" s="11"/>
      <c r="N3434" s="11"/>
      <c r="O3434" s="11"/>
      <c r="P3434" s="11"/>
      <c r="Q3434" s="11"/>
    </row>
    <row r="3435" spans="10:17">
      <c r="J3435" s="11"/>
      <c r="K3435" s="1533"/>
      <c r="L3435" s="11"/>
      <c r="M3435" s="11"/>
      <c r="N3435" s="11"/>
      <c r="O3435" s="11"/>
      <c r="P3435" s="11"/>
      <c r="Q3435" s="11"/>
    </row>
    <row r="3436" spans="10:17">
      <c r="J3436" s="11"/>
      <c r="K3436" s="1533"/>
      <c r="L3436" s="11"/>
      <c r="M3436" s="11"/>
      <c r="N3436" s="11"/>
      <c r="O3436" s="11"/>
      <c r="P3436" s="11"/>
      <c r="Q3436" s="11"/>
    </row>
    <row r="3437" spans="10:17">
      <c r="J3437" s="11"/>
      <c r="K3437" s="1533"/>
      <c r="L3437" s="11"/>
      <c r="M3437" s="11"/>
      <c r="N3437" s="11"/>
      <c r="O3437" s="11"/>
      <c r="P3437" s="11"/>
      <c r="Q3437" s="11"/>
    </row>
    <row r="3438" spans="10:17">
      <c r="J3438" s="11"/>
      <c r="K3438" s="1533"/>
      <c r="L3438" s="11"/>
      <c r="M3438" s="11"/>
      <c r="N3438" s="11"/>
      <c r="O3438" s="11"/>
      <c r="P3438" s="11"/>
      <c r="Q3438" s="11"/>
    </row>
    <row r="3439" spans="10:17">
      <c r="J3439" s="11"/>
      <c r="K3439" s="1533"/>
      <c r="L3439" s="11"/>
      <c r="M3439" s="11"/>
      <c r="N3439" s="11"/>
      <c r="O3439" s="11"/>
      <c r="P3439" s="11"/>
      <c r="Q3439" s="11"/>
    </row>
    <row r="3440" spans="10:17">
      <c r="J3440" s="11"/>
      <c r="K3440" s="1533"/>
      <c r="L3440" s="11"/>
      <c r="M3440" s="11"/>
      <c r="N3440" s="11"/>
      <c r="O3440" s="11"/>
      <c r="P3440" s="11"/>
      <c r="Q3440" s="11"/>
    </row>
    <row r="3441" spans="10:17">
      <c r="J3441" s="11"/>
      <c r="K3441" s="1533"/>
      <c r="L3441" s="11"/>
      <c r="M3441" s="11"/>
      <c r="N3441" s="11"/>
      <c r="O3441" s="11"/>
      <c r="P3441" s="11"/>
      <c r="Q3441" s="11"/>
    </row>
    <row r="3442" spans="10:17">
      <c r="J3442" s="11"/>
      <c r="K3442" s="1533"/>
      <c r="L3442" s="11"/>
      <c r="M3442" s="11"/>
      <c r="N3442" s="11"/>
      <c r="O3442" s="11"/>
      <c r="P3442" s="11"/>
      <c r="Q3442" s="11"/>
    </row>
    <row r="3443" spans="10:17">
      <c r="J3443" s="11"/>
      <c r="K3443" s="1533"/>
      <c r="L3443" s="11"/>
      <c r="M3443" s="11"/>
      <c r="N3443" s="11"/>
      <c r="O3443" s="11"/>
      <c r="P3443" s="11"/>
      <c r="Q3443" s="11"/>
    </row>
    <row r="3444" spans="10:17">
      <c r="J3444" s="11"/>
      <c r="K3444" s="1533"/>
      <c r="L3444" s="11"/>
      <c r="M3444" s="11"/>
      <c r="N3444" s="11"/>
      <c r="O3444" s="11"/>
      <c r="P3444" s="11"/>
      <c r="Q3444" s="11"/>
    </row>
    <row r="3445" spans="10:17">
      <c r="J3445" s="11"/>
      <c r="K3445" s="1533"/>
      <c r="L3445" s="11"/>
      <c r="M3445" s="11"/>
      <c r="N3445" s="11"/>
      <c r="O3445" s="11"/>
      <c r="P3445" s="11"/>
      <c r="Q3445" s="11"/>
    </row>
    <row r="3446" spans="10:17">
      <c r="J3446" s="11"/>
      <c r="K3446" s="1533"/>
      <c r="L3446" s="11"/>
      <c r="M3446" s="11"/>
      <c r="N3446" s="11"/>
      <c r="O3446" s="11"/>
      <c r="P3446" s="11"/>
      <c r="Q3446" s="11"/>
    </row>
    <row r="3447" spans="10:17">
      <c r="J3447" s="11"/>
      <c r="K3447" s="1533"/>
      <c r="L3447" s="11"/>
      <c r="M3447" s="11"/>
      <c r="N3447" s="11"/>
      <c r="O3447" s="11"/>
      <c r="P3447" s="11"/>
      <c r="Q3447" s="11"/>
    </row>
    <row r="3448" spans="10:17">
      <c r="J3448" s="11"/>
      <c r="K3448" s="1533"/>
      <c r="L3448" s="11"/>
      <c r="M3448" s="11"/>
      <c r="N3448" s="11"/>
      <c r="O3448" s="11"/>
      <c r="P3448" s="11"/>
      <c r="Q3448" s="11"/>
    </row>
    <row r="3449" spans="10:17">
      <c r="J3449" s="11"/>
      <c r="K3449" s="1533"/>
      <c r="L3449" s="11"/>
      <c r="M3449" s="11"/>
      <c r="N3449" s="11"/>
      <c r="O3449" s="11"/>
      <c r="P3449" s="11"/>
      <c r="Q3449" s="11"/>
    </row>
    <row r="3450" spans="10:17">
      <c r="J3450" s="11"/>
      <c r="K3450" s="1533"/>
      <c r="L3450" s="11"/>
      <c r="M3450" s="11"/>
      <c r="N3450" s="11"/>
      <c r="O3450" s="11"/>
      <c r="P3450" s="11"/>
      <c r="Q3450" s="11"/>
    </row>
    <row r="3451" spans="10:17">
      <c r="J3451" s="11"/>
      <c r="K3451" s="1533"/>
      <c r="L3451" s="11"/>
      <c r="M3451" s="11"/>
      <c r="N3451" s="11"/>
      <c r="O3451" s="11"/>
      <c r="P3451" s="11"/>
      <c r="Q3451" s="11"/>
    </row>
    <row r="3452" spans="10:17">
      <c r="J3452" s="11"/>
      <c r="K3452" s="1533"/>
      <c r="L3452" s="11"/>
      <c r="M3452" s="11"/>
      <c r="N3452" s="11"/>
      <c r="O3452" s="11"/>
      <c r="P3452" s="11"/>
      <c r="Q3452" s="11"/>
    </row>
    <row r="3453" spans="10:17">
      <c r="J3453" s="11"/>
      <c r="K3453" s="1533"/>
      <c r="L3453" s="11"/>
      <c r="M3453" s="11"/>
      <c r="N3453" s="11"/>
      <c r="O3453" s="11"/>
      <c r="P3453" s="11"/>
      <c r="Q3453" s="11"/>
    </row>
    <row r="3454" spans="10:17">
      <c r="J3454" s="11"/>
      <c r="K3454" s="1533"/>
      <c r="L3454" s="11"/>
      <c r="M3454" s="11"/>
      <c r="N3454" s="11"/>
      <c r="O3454" s="11"/>
      <c r="P3454" s="11"/>
      <c r="Q3454" s="11"/>
    </row>
    <row r="3455" spans="10:17">
      <c r="J3455" s="11"/>
      <c r="K3455" s="1533"/>
      <c r="L3455" s="11"/>
      <c r="M3455" s="11"/>
      <c r="N3455" s="11"/>
      <c r="O3455" s="11"/>
      <c r="P3455" s="11"/>
      <c r="Q3455" s="11"/>
    </row>
    <row r="3456" spans="10:17">
      <c r="J3456" s="11"/>
      <c r="K3456" s="1533"/>
      <c r="L3456" s="11"/>
      <c r="M3456" s="11"/>
      <c r="N3456" s="11"/>
      <c r="O3456" s="11"/>
      <c r="P3456" s="11"/>
      <c r="Q3456" s="11"/>
    </row>
    <row r="3457" spans="10:17">
      <c r="J3457" s="11"/>
      <c r="K3457" s="1533"/>
      <c r="L3457" s="11"/>
      <c r="M3457" s="11"/>
      <c r="N3457" s="11"/>
      <c r="O3457" s="11"/>
      <c r="P3457" s="11"/>
      <c r="Q3457" s="11"/>
    </row>
    <row r="3458" spans="10:17">
      <c r="J3458" s="11"/>
      <c r="K3458" s="1533"/>
      <c r="L3458" s="11"/>
      <c r="M3458" s="11"/>
      <c r="N3458" s="11"/>
      <c r="O3458" s="11"/>
      <c r="P3458" s="11"/>
      <c r="Q3458" s="11"/>
    </row>
    <row r="3459" spans="10:17">
      <c r="J3459" s="11"/>
      <c r="K3459" s="1533"/>
      <c r="L3459" s="11"/>
      <c r="M3459" s="11"/>
      <c r="N3459" s="11"/>
      <c r="O3459" s="11"/>
      <c r="P3459" s="11"/>
      <c r="Q3459" s="11"/>
    </row>
    <row r="3460" spans="10:17">
      <c r="J3460" s="11"/>
      <c r="K3460" s="1533"/>
      <c r="L3460" s="11"/>
      <c r="M3460" s="11"/>
      <c r="N3460" s="11"/>
      <c r="O3460" s="11"/>
      <c r="P3460" s="11"/>
      <c r="Q3460" s="11"/>
    </row>
    <row r="3461" spans="10:17">
      <c r="J3461" s="11"/>
      <c r="K3461" s="1533"/>
      <c r="L3461" s="11"/>
      <c r="M3461" s="11"/>
      <c r="N3461" s="11"/>
      <c r="O3461" s="11"/>
      <c r="P3461" s="11"/>
      <c r="Q3461" s="11"/>
    </row>
    <row r="3462" spans="10:17">
      <c r="J3462" s="11"/>
      <c r="K3462" s="1533"/>
      <c r="L3462" s="11"/>
      <c r="M3462" s="11"/>
      <c r="N3462" s="11"/>
      <c r="O3462" s="11"/>
      <c r="P3462" s="11"/>
      <c r="Q3462" s="11"/>
    </row>
    <row r="3463" spans="10:17">
      <c r="J3463" s="11"/>
      <c r="K3463" s="1533"/>
      <c r="L3463" s="11"/>
      <c r="M3463" s="11"/>
      <c r="N3463" s="11"/>
      <c r="O3463" s="11"/>
      <c r="P3463" s="11"/>
      <c r="Q3463" s="11"/>
    </row>
    <row r="3464" spans="10:17">
      <c r="J3464" s="11"/>
      <c r="K3464" s="1533"/>
      <c r="L3464" s="11"/>
      <c r="M3464" s="11"/>
      <c r="N3464" s="11"/>
      <c r="O3464" s="11"/>
      <c r="P3464" s="11"/>
      <c r="Q3464" s="11"/>
    </row>
    <row r="3465" spans="10:17">
      <c r="J3465" s="11"/>
      <c r="K3465" s="1533"/>
      <c r="L3465" s="11"/>
      <c r="M3465" s="11"/>
      <c r="N3465" s="11"/>
      <c r="O3465" s="11"/>
      <c r="P3465" s="11"/>
      <c r="Q3465" s="11"/>
    </row>
    <row r="3466" spans="10:17">
      <c r="J3466" s="11"/>
      <c r="K3466" s="1533"/>
      <c r="L3466" s="11"/>
      <c r="M3466" s="11"/>
      <c r="N3466" s="11"/>
      <c r="O3466" s="11"/>
      <c r="P3466" s="11"/>
      <c r="Q3466" s="11"/>
    </row>
    <row r="3467" spans="10:17">
      <c r="J3467" s="11"/>
      <c r="K3467" s="1533"/>
      <c r="L3467" s="11"/>
      <c r="M3467" s="11"/>
      <c r="N3467" s="11"/>
      <c r="O3467" s="11"/>
      <c r="P3467" s="11"/>
      <c r="Q3467" s="11"/>
    </row>
    <row r="3468" spans="10:17">
      <c r="J3468" s="11"/>
      <c r="K3468" s="1533"/>
      <c r="L3468" s="11"/>
      <c r="M3468" s="11"/>
      <c r="N3468" s="11"/>
      <c r="O3468" s="11"/>
      <c r="P3468" s="11"/>
      <c r="Q3468" s="11"/>
    </row>
    <row r="3469" spans="10:17">
      <c r="J3469" s="11"/>
      <c r="K3469" s="1533"/>
      <c r="L3469" s="11"/>
      <c r="M3469" s="11"/>
      <c r="N3469" s="11"/>
      <c r="O3469" s="11"/>
      <c r="P3469" s="11"/>
      <c r="Q3469" s="11"/>
    </row>
    <row r="3470" spans="10:17">
      <c r="J3470" s="11"/>
      <c r="K3470" s="1533"/>
      <c r="L3470" s="11"/>
      <c r="M3470" s="11"/>
      <c r="N3470" s="11"/>
      <c r="O3470" s="11"/>
      <c r="P3470" s="11"/>
      <c r="Q3470" s="11"/>
    </row>
    <row r="3471" spans="10:17">
      <c r="J3471" s="11"/>
      <c r="K3471" s="1533"/>
      <c r="L3471" s="11"/>
      <c r="M3471" s="11"/>
      <c r="N3471" s="11"/>
      <c r="O3471" s="11"/>
      <c r="P3471" s="11"/>
      <c r="Q3471" s="11"/>
    </row>
    <row r="3472" spans="10:17">
      <c r="J3472" s="11"/>
      <c r="K3472" s="1533"/>
      <c r="L3472" s="11"/>
      <c r="M3472" s="11"/>
      <c r="N3472" s="11"/>
      <c r="O3472" s="11"/>
      <c r="P3472" s="11"/>
      <c r="Q3472" s="11"/>
    </row>
    <row r="3473" spans="10:17">
      <c r="J3473" s="11"/>
      <c r="K3473" s="1533"/>
      <c r="L3473" s="11"/>
      <c r="M3473" s="11"/>
      <c r="N3473" s="11"/>
      <c r="O3473" s="11"/>
      <c r="P3473" s="11"/>
      <c r="Q3473" s="11"/>
    </row>
    <row r="3474" spans="10:17">
      <c r="J3474" s="11"/>
      <c r="K3474" s="1533"/>
      <c r="L3474" s="11"/>
      <c r="M3474" s="11"/>
      <c r="N3474" s="11"/>
      <c r="O3474" s="11"/>
      <c r="P3474" s="11"/>
      <c r="Q3474" s="11"/>
    </row>
    <row r="3475" spans="10:17">
      <c r="J3475" s="11"/>
      <c r="K3475" s="1533"/>
      <c r="L3475" s="11"/>
      <c r="M3475" s="11"/>
      <c r="N3475" s="11"/>
      <c r="O3475" s="11"/>
      <c r="P3475" s="11"/>
      <c r="Q3475" s="11"/>
    </row>
    <row r="3476" spans="10:17">
      <c r="J3476" s="11"/>
      <c r="K3476" s="1533"/>
      <c r="L3476" s="11"/>
      <c r="M3476" s="11"/>
      <c r="N3476" s="11"/>
      <c r="O3476" s="11"/>
      <c r="P3476" s="11"/>
      <c r="Q3476" s="11"/>
    </row>
    <row r="3477" spans="10:17">
      <c r="J3477" s="11"/>
      <c r="K3477" s="1533"/>
      <c r="L3477" s="11"/>
      <c r="M3477" s="11"/>
      <c r="N3477" s="11"/>
      <c r="O3477" s="11"/>
      <c r="P3477" s="11"/>
      <c r="Q3477" s="11"/>
    </row>
    <row r="3478" spans="10:17">
      <c r="J3478" s="11"/>
      <c r="K3478" s="1533"/>
      <c r="L3478" s="11"/>
      <c r="M3478" s="11"/>
      <c r="N3478" s="11"/>
      <c r="O3478" s="11"/>
      <c r="P3478" s="11"/>
      <c r="Q3478" s="11"/>
    </row>
    <row r="3479" spans="10:17">
      <c r="J3479" s="11"/>
      <c r="K3479" s="1533"/>
      <c r="L3479" s="11"/>
      <c r="M3479" s="11"/>
      <c r="N3479" s="11"/>
      <c r="O3479" s="11"/>
      <c r="P3479" s="11"/>
      <c r="Q3479" s="11"/>
    </row>
    <row r="3480" spans="10:17">
      <c r="J3480" s="11"/>
      <c r="K3480" s="1533"/>
      <c r="L3480" s="11"/>
      <c r="M3480" s="11"/>
      <c r="N3480" s="11"/>
      <c r="O3480" s="11"/>
      <c r="P3480" s="11"/>
      <c r="Q3480" s="11"/>
    </row>
    <row r="3481" spans="10:17">
      <c r="J3481" s="11"/>
      <c r="K3481" s="1533"/>
      <c r="L3481" s="11"/>
      <c r="M3481" s="11"/>
      <c r="N3481" s="11"/>
      <c r="O3481" s="11"/>
      <c r="P3481" s="11"/>
      <c r="Q3481" s="11"/>
    </row>
    <row r="3482" spans="10:17">
      <c r="J3482" s="11"/>
      <c r="K3482" s="1533"/>
      <c r="L3482" s="11"/>
      <c r="M3482" s="11"/>
      <c r="N3482" s="11"/>
      <c r="O3482" s="11"/>
      <c r="P3482" s="11"/>
      <c r="Q3482" s="11"/>
    </row>
    <row r="3483" spans="10:17">
      <c r="J3483" s="11"/>
      <c r="K3483" s="1533"/>
      <c r="L3483" s="11"/>
      <c r="M3483" s="11"/>
      <c r="N3483" s="11"/>
      <c r="O3483" s="11"/>
      <c r="P3483" s="11"/>
      <c r="Q3483" s="11"/>
    </row>
    <row r="3484" spans="10:17">
      <c r="J3484" s="11"/>
      <c r="K3484" s="1533"/>
      <c r="L3484" s="11"/>
      <c r="M3484" s="11"/>
      <c r="N3484" s="11"/>
      <c r="O3484" s="11"/>
      <c r="P3484" s="11"/>
      <c r="Q3484" s="11"/>
    </row>
    <row r="3485" spans="10:17">
      <c r="J3485" s="11"/>
      <c r="K3485" s="1533"/>
      <c r="L3485" s="11"/>
      <c r="M3485" s="11"/>
      <c r="N3485" s="11"/>
      <c r="O3485" s="11"/>
      <c r="P3485" s="11"/>
      <c r="Q3485" s="11"/>
    </row>
    <row r="3486" spans="10:17">
      <c r="J3486" s="11"/>
      <c r="K3486" s="1533"/>
      <c r="L3486" s="11"/>
      <c r="M3486" s="11"/>
      <c r="N3486" s="11"/>
      <c r="O3486" s="11"/>
      <c r="P3486" s="11"/>
      <c r="Q3486" s="11"/>
    </row>
    <row r="3487" spans="10:17">
      <c r="J3487" s="11"/>
      <c r="K3487" s="1533"/>
      <c r="L3487" s="11"/>
      <c r="M3487" s="11"/>
      <c r="N3487" s="11"/>
      <c r="O3487" s="11"/>
      <c r="P3487" s="11"/>
      <c r="Q3487" s="11"/>
    </row>
    <row r="3488" spans="10:17">
      <c r="J3488" s="11"/>
      <c r="K3488" s="1533"/>
      <c r="L3488" s="11"/>
      <c r="M3488" s="11"/>
      <c r="N3488" s="11"/>
      <c r="O3488" s="11"/>
      <c r="P3488" s="11"/>
      <c r="Q3488" s="11"/>
    </row>
    <row r="3489" spans="10:17">
      <c r="J3489" s="11"/>
      <c r="K3489" s="1533"/>
      <c r="L3489" s="11"/>
      <c r="M3489" s="11"/>
      <c r="N3489" s="11"/>
      <c r="O3489" s="11"/>
      <c r="P3489" s="11"/>
      <c r="Q3489" s="11"/>
    </row>
    <row r="3490" spans="10:17">
      <c r="J3490" s="11"/>
      <c r="K3490" s="1533"/>
      <c r="L3490" s="11"/>
      <c r="M3490" s="11"/>
      <c r="N3490" s="11"/>
      <c r="O3490" s="11"/>
      <c r="P3490" s="11"/>
      <c r="Q3490" s="11"/>
    </row>
    <row r="3491" spans="10:17">
      <c r="J3491" s="11"/>
      <c r="K3491" s="1533"/>
      <c r="L3491" s="11"/>
      <c r="M3491" s="11"/>
      <c r="N3491" s="11"/>
      <c r="O3491" s="11"/>
      <c r="P3491" s="11"/>
      <c r="Q3491" s="11"/>
    </row>
    <row r="3492" spans="10:17">
      <c r="J3492" s="11"/>
      <c r="K3492" s="1533"/>
      <c r="L3492" s="11"/>
      <c r="M3492" s="11"/>
      <c r="N3492" s="11"/>
      <c r="O3492" s="11"/>
      <c r="P3492" s="11"/>
      <c r="Q3492" s="11"/>
    </row>
    <row r="3493" spans="10:17">
      <c r="J3493" s="11"/>
      <c r="K3493" s="1533"/>
      <c r="L3493" s="11"/>
      <c r="M3493" s="11"/>
      <c r="N3493" s="11"/>
      <c r="O3493" s="11"/>
      <c r="P3493" s="11"/>
      <c r="Q3493" s="11"/>
    </row>
    <row r="3494" spans="10:17">
      <c r="J3494" s="11"/>
      <c r="K3494" s="1533"/>
      <c r="L3494" s="11"/>
      <c r="M3494" s="11"/>
      <c r="N3494" s="11"/>
      <c r="O3494" s="11"/>
      <c r="P3494" s="11"/>
      <c r="Q3494" s="11"/>
    </row>
    <row r="3495" spans="10:17">
      <c r="J3495" s="11"/>
      <c r="K3495" s="1533"/>
      <c r="L3495" s="11"/>
      <c r="M3495" s="11"/>
      <c r="N3495" s="11"/>
      <c r="O3495" s="11"/>
      <c r="P3495" s="11"/>
      <c r="Q3495" s="11"/>
    </row>
    <row r="3496" spans="10:17">
      <c r="J3496" s="11"/>
      <c r="K3496" s="1533"/>
      <c r="L3496" s="11"/>
      <c r="M3496" s="11"/>
      <c r="N3496" s="11"/>
      <c r="O3496" s="11"/>
      <c r="P3496" s="11"/>
      <c r="Q3496" s="11"/>
    </row>
    <row r="3497" spans="10:17">
      <c r="J3497" s="11"/>
      <c r="K3497" s="1533"/>
      <c r="L3497" s="11"/>
      <c r="M3497" s="11"/>
      <c r="N3497" s="11"/>
      <c r="O3497" s="11"/>
      <c r="P3497" s="11"/>
      <c r="Q3497" s="11"/>
    </row>
    <row r="3498" spans="10:17">
      <c r="J3498" s="11"/>
      <c r="K3498" s="1533"/>
      <c r="L3498" s="11"/>
      <c r="M3498" s="11"/>
      <c r="N3498" s="11"/>
      <c r="O3498" s="11"/>
      <c r="P3498" s="11"/>
      <c r="Q3498" s="11"/>
    </row>
    <row r="3499" spans="10:17">
      <c r="J3499" s="11"/>
      <c r="K3499" s="1533"/>
      <c r="L3499" s="11"/>
      <c r="M3499" s="11"/>
      <c r="N3499" s="11"/>
      <c r="O3499" s="11"/>
      <c r="P3499" s="11"/>
      <c r="Q3499" s="11"/>
    </row>
    <row r="3500" spans="10:17">
      <c r="J3500" s="11"/>
      <c r="K3500" s="1533"/>
      <c r="L3500" s="11"/>
      <c r="M3500" s="11"/>
      <c r="N3500" s="11"/>
      <c r="O3500" s="11"/>
      <c r="P3500" s="11"/>
      <c r="Q3500" s="11"/>
    </row>
    <row r="3501" spans="10:17">
      <c r="J3501" s="11"/>
      <c r="K3501" s="1533"/>
      <c r="L3501" s="11"/>
      <c r="M3501" s="11"/>
      <c r="N3501" s="11"/>
      <c r="O3501" s="11"/>
      <c r="P3501" s="11"/>
      <c r="Q3501" s="11"/>
    </row>
    <row r="3502" spans="10:17">
      <c r="J3502" s="11"/>
      <c r="K3502" s="1533"/>
      <c r="L3502" s="11"/>
      <c r="M3502" s="11"/>
      <c r="N3502" s="11"/>
      <c r="O3502" s="11"/>
      <c r="P3502" s="11"/>
      <c r="Q3502" s="11"/>
    </row>
    <row r="3503" spans="10:17">
      <c r="J3503" s="11"/>
      <c r="K3503" s="1533"/>
      <c r="L3503" s="11"/>
      <c r="M3503" s="11"/>
      <c r="N3503" s="11"/>
      <c r="O3503" s="11"/>
      <c r="P3503" s="11"/>
      <c r="Q3503" s="11"/>
    </row>
    <row r="3504" spans="10:17">
      <c r="J3504" s="11"/>
      <c r="K3504" s="1533"/>
      <c r="L3504" s="11"/>
      <c r="M3504" s="11"/>
      <c r="N3504" s="11"/>
      <c r="O3504" s="11"/>
      <c r="P3504" s="11"/>
      <c r="Q3504" s="11"/>
    </row>
    <row r="3505" spans="10:17">
      <c r="J3505" s="11"/>
      <c r="K3505" s="1533"/>
      <c r="L3505" s="11"/>
      <c r="M3505" s="11"/>
      <c r="N3505" s="11"/>
      <c r="O3505" s="11"/>
      <c r="P3505" s="11"/>
      <c r="Q3505" s="11"/>
    </row>
    <row r="3506" spans="10:17">
      <c r="J3506" s="11"/>
      <c r="K3506" s="1533"/>
      <c r="L3506" s="11"/>
      <c r="M3506" s="11"/>
      <c r="N3506" s="11"/>
      <c r="O3506" s="11"/>
      <c r="P3506" s="11"/>
      <c r="Q3506" s="11"/>
    </row>
    <row r="3507" spans="10:17">
      <c r="J3507" s="11"/>
      <c r="K3507" s="1533"/>
      <c r="L3507" s="11"/>
      <c r="M3507" s="11"/>
      <c r="N3507" s="11"/>
      <c r="O3507" s="11"/>
      <c r="P3507" s="11"/>
      <c r="Q3507" s="11"/>
    </row>
    <row r="3508" spans="10:17">
      <c r="J3508" s="11"/>
      <c r="K3508" s="1533"/>
      <c r="L3508" s="11"/>
      <c r="M3508" s="11"/>
      <c r="N3508" s="11"/>
      <c r="O3508" s="11"/>
      <c r="P3508" s="11"/>
      <c r="Q3508" s="11"/>
    </row>
    <row r="3509" spans="10:17">
      <c r="J3509" s="11"/>
      <c r="K3509" s="1533"/>
      <c r="L3509" s="11"/>
      <c r="M3509" s="11"/>
      <c r="N3509" s="11"/>
      <c r="O3509" s="11"/>
      <c r="P3509" s="11"/>
      <c r="Q3509" s="11"/>
    </row>
    <row r="3510" spans="10:17">
      <c r="J3510" s="11"/>
      <c r="K3510" s="1533"/>
      <c r="L3510" s="11"/>
      <c r="M3510" s="11"/>
      <c r="N3510" s="11"/>
      <c r="O3510" s="11"/>
      <c r="P3510" s="11"/>
      <c r="Q3510" s="11"/>
    </row>
    <row r="3511" spans="10:17">
      <c r="J3511" s="11"/>
      <c r="K3511" s="1533"/>
      <c r="L3511" s="11"/>
      <c r="M3511" s="11"/>
      <c r="N3511" s="11"/>
      <c r="O3511" s="11"/>
      <c r="P3511" s="11"/>
      <c r="Q3511" s="11"/>
    </row>
    <row r="3512" spans="10:17">
      <c r="J3512" s="11"/>
      <c r="K3512" s="1533"/>
      <c r="L3512" s="11"/>
      <c r="M3512" s="11"/>
      <c r="N3512" s="11"/>
      <c r="O3512" s="11"/>
      <c r="P3512" s="11"/>
      <c r="Q3512" s="11"/>
    </row>
    <row r="3513" spans="10:17">
      <c r="J3513" s="11"/>
      <c r="K3513" s="1533"/>
      <c r="L3513" s="11"/>
      <c r="M3513" s="11"/>
      <c r="N3513" s="11"/>
      <c r="O3513" s="11"/>
      <c r="P3513" s="11"/>
      <c r="Q3513" s="11"/>
    </row>
    <row r="3514" spans="10:17">
      <c r="J3514" s="11"/>
      <c r="K3514" s="1533"/>
      <c r="L3514" s="11"/>
      <c r="M3514" s="11"/>
      <c r="N3514" s="11"/>
      <c r="O3514" s="11"/>
      <c r="P3514" s="11"/>
      <c r="Q3514" s="11"/>
    </row>
    <row r="3515" spans="10:17">
      <c r="J3515" s="11"/>
      <c r="K3515" s="1533"/>
      <c r="L3515" s="11"/>
      <c r="M3515" s="11"/>
      <c r="N3515" s="11"/>
      <c r="O3515" s="11"/>
      <c r="P3515" s="11"/>
      <c r="Q3515" s="11"/>
    </row>
    <row r="3516" spans="10:17">
      <c r="J3516" s="11"/>
      <c r="K3516" s="1533"/>
      <c r="L3516" s="11"/>
      <c r="M3516" s="11"/>
      <c r="N3516" s="11"/>
      <c r="O3516" s="11"/>
      <c r="P3516" s="11"/>
      <c r="Q3516" s="11"/>
    </row>
    <row r="3517" spans="10:17">
      <c r="J3517" s="11"/>
      <c r="K3517" s="1533"/>
      <c r="L3517" s="11"/>
      <c r="M3517" s="11"/>
      <c r="N3517" s="11"/>
      <c r="O3517" s="11"/>
      <c r="P3517" s="11"/>
      <c r="Q3517" s="11"/>
    </row>
    <row r="3518" spans="10:17">
      <c r="J3518" s="11"/>
      <c r="K3518" s="1533"/>
      <c r="L3518" s="11"/>
      <c r="M3518" s="11"/>
      <c r="N3518" s="11"/>
      <c r="O3518" s="11"/>
      <c r="P3518" s="11"/>
      <c r="Q3518" s="11"/>
    </row>
    <row r="3519" spans="10:17">
      <c r="J3519" s="11"/>
      <c r="K3519" s="1533"/>
      <c r="L3519" s="11"/>
      <c r="M3519" s="11"/>
      <c r="N3519" s="11"/>
      <c r="O3519" s="11"/>
      <c r="P3519" s="11"/>
      <c r="Q3519" s="11"/>
    </row>
    <row r="3520" spans="10:17">
      <c r="J3520" s="11"/>
      <c r="K3520" s="1533"/>
      <c r="L3520" s="11"/>
      <c r="M3520" s="11"/>
      <c r="N3520" s="11"/>
      <c r="O3520" s="11"/>
      <c r="P3520" s="11"/>
      <c r="Q3520" s="11"/>
    </row>
    <row r="3521" spans="10:17">
      <c r="J3521" s="11"/>
      <c r="K3521" s="1533"/>
      <c r="L3521" s="11"/>
      <c r="M3521" s="11"/>
      <c r="N3521" s="11"/>
      <c r="O3521" s="11"/>
      <c r="P3521" s="11"/>
      <c r="Q3521" s="11"/>
    </row>
    <row r="3522" spans="10:17">
      <c r="J3522" s="11"/>
      <c r="K3522" s="1533"/>
      <c r="L3522" s="11"/>
      <c r="M3522" s="11"/>
      <c r="N3522" s="11"/>
      <c r="O3522" s="11"/>
      <c r="P3522" s="11"/>
      <c r="Q3522" s="11"/>
    </row>
    <row r="3523" spans="10:17">
      <c r="J3523" s="11"/>
      <c r="K3523" s="1533"/>
      <c r="L3523" s="11"/>
      <c r="M3523" s="11"/>
      <c r="N3523" s="11"/>
      <c r="O3523" s="11"/>
      <c r="P3523" s="11"/>
      <c r="Q3523" s="11"/>
    </row>
    <row r="3524" spans="10:17">
      <c r="J3524" s="11"/>
      <c r="K3524" s="1533"/>
      <c r="L3524" s="11"/>
      <c r="M3524" s="11"/>
      <c r="N3524" s="11"/>
      <c r="O3524" s="11"/>
      <c r="P3524" s="11"/>
      <c r="Q3524" s="11"/>
    </row>
    <row r="3525" spans="10:17">
      <c r="J3525" s="11"/>
      <c r="K3525" s="1533"/>
      <c r="L3525" s="11"/>
      <c r="M3525" s="11"/>
      <c r="N3525" s="11"/>
      <c r="O3525" s="11"/>
      <c r="P3525" s="11"/>
      <c r="Q3525" s="11"/>
    </row>
    <row r="3526" spans="10:17">
      <c r="J3526" s="11"/>
      <c r="K3526" s="1533"/>
      <c r="L3526" s="11"/>
      <c r="M3526" s="11"/>
      <c r="N3526" s="11"/>
      <c r="O3526" s="11"/>
      <c r="P3526" s="11"/>
      <c r="Q3526" s="11"/>
    </row>
    <row r="3527" spans="10:17">
      <c r="J3527" s="11"/>
      <c r="K3527" s="1533"/>
      <c r="L3527" s="11"/>
      <c r="M3527" s="11"/>
      <c r="N3527" s="11"/>
      <c r="O3527" s="11"/>
      <c r="P3527" s="11"/>
      <c r="Q3527" s="11"/>
    </row>
    <row r="3528" spans="10:17">
      <c r="J3528" s="11"/>
      <c r="K3528" s="1533"/>
      <c r="L3528" s="11"/>
      <c r="M3528" s="11"/>
      <c r="N3528" s="11"/>
      <c r="O3528" s="11"/>
      <c r="P3528" s="11"/>
      <c r="Q3528" s="11"/>
    </row>
    <row r="3529" spans="10:17">
      <c r="J3529" s="11"/>
      <c r="K3529" s="1533"/>
      <c r="L3529" s="11"/>
      <c r="M3529" s="11"/>
      <c r="N3529" s="11"/>
      <c r="O3529" s="11"/>
      <c r="P3529" s="11"/>
      <c r="Q3529" s="11"/>
    </row>
    <row r="3530" spans="10:17">
      <c r="J3530" s="11"/>
      <c r="K3530" s="1533"/>
      <c r="L3530" s="11"/>
      <c r="M3530" s="11"/>
      <c r="N3530" s="11"/>
      <c r="O3530" s="11"/>
      <c r="P3530" s="11"/>
      <c r="Q3530" s="11"/>
    </row>
    <row r="3531" spans="10:17">
      <c r="J3531" s="11"/>
      <c r="K3531" s="1533"/>
      <c r="L3531" s="11"/>
      <c r="M3531" s="11"/>
      <c r="N3531" s="11"/>
      <c r="O3531" s="11"/>
      <c r="P3531" s="11"/>
      <c r="Q3531" s="11"/>
    </row>
    <row r="3532" spans="10:17">
      <c r="J3532" s="11"/>
      <c r="K3532" s="1533"/>
      <c r="L3532" s="11"/>
      <c r="M3532" s="11"/>
      <c r="N3532" s="11"/>
      <c r="O3532" s="11"/>
      <c r="P3532" s="11"/>
      <c r="Q3532" s="11"/>
    </row>
    <row r="3533" spans="10:17">
      <c r="J3533" s="11"/>
      <c r="K3533" s="1533"/>
      <c r="L3533" s="11"/>
      <c r="M3533" s="11"/>
      <c r="N3533" s="11"/>
      <c r="O3533" s="11"/>
      <c r="P3533" s="11"/>
      <c r="Q3533" s="11"/>
    </row>
    <row r="3534" spans="10:17">
      <c r="J3534" s="11"/>
      <c r="K3534" s="1533"/>
      <c r="L3534" s="11"/>
      <c r="M3534" s="11"/>
      <c r="N3534" s="11"/>
      <c r="O3534" s="11"/>
      <c r="P3534" s="11"/>
      <c r="Q3534" s="11"/>
    </row>
    <row r="3535" spans="10:17">
      <c r="J3535" s="11"/>
      <c r="K3535" s="1533"/>
      <c r="L3535" s="11"/>
      <c r="M3535" s="11"/>
      <c r="N3535" s="11"/>
      <c r="O3535" s="11"/>
      <c r="P3535" s="11"/>
      <c r="Q3535" s="11"/>
    </row>
    <row r="3536" spans="10:17">
      <c r="J3536" s="11"/>
      <c r="K3536" s="1533"/>
      <c r="L3536" s="11"/>
      <c r="M3536" s="11"/>
      <c r="N3536" s="11"/>
      <c r="O3536" s="11"/>
      <c r="P3536" s="11"/>
      <c r="Q3536" s="11"/>
    </row>
    <row r="3537" spans="10:17">
      <c r="J3537" s="11"/>
      <c r="K3537" s="1533"/>
      <c r="L3537" s="11"/>
      <c r="M3537" s="11"/>
      <c r="N3537" s="11"/>
      <c r="O3537" s="11"/>
      <c r="P3537" s="11"/>
      <c r="Q3537" s="11"/>
    </row>
    <row r="3538" spans="10:17">
      <c r="J3538" s="11"/>
      <c r="K3538" s="1533"/>
      <c r="L3538" s="11"/>
      <c r="M3538" s="11"/>
      <c r="N3538" s="11"/>
      <c r="O3538" s="11"/>
      <c r="P3538" s="11"/>
      <c r="Q3538" s="11"/>
    </row>
    <row r="3539" spans="10:17">
      <c r="J3539" s="11"/>
      <c r="K3539" s="1533"/>
      <c r="L3539" s="11"/>
      <c r="M3539" s="11"/>
      <c r="N3539" s="11"/>
      <c r="O3539" s="11"/>
      <c r="P3539" s="11"/>
      <c r="Q3539" s="11"/>
    </row>
    <row r="3540" spans="10:17">
      <c r="J3540" s="11"/>
      <c r="K3540" s="1533"/>
      <c r="L3540" s="11"/>
      <c r="M3540" s="11"/>
      <c r="N3540" s="11"/>
      <c r="O3540" s="11"/>
      <c r="P3540" s="11"/>
      <c r="Q3540" s="11"/>
    </row>
    <row r="3541" spans="10:17">
      <c r="J3541" s="11"/>
      <c r="K3541" s="1533"/>
      <c r="L3541" s="11"/>
      <c r="M3541" s="11"/>
      <c r="N3541" s="11"/>
      <c r="O3541" s="11"/>
      <c r="P3541" s="11"/>
      <c r="Q3541" s="11"/>
    </row>
    <row r="3542" spans="10:17">
      <c r="J3542" s="11"/>
      <c r="K3542" s="1533"/>
      <c r="L3542" s="11"/>
      <c r="M3542" s="11"/>
      <c r="N3542" s="11"/>
      <c r="O3542" s="11"/>
      <c r="P3542" s="11"/>
      <c r="Q3542" s="11"/>
    </row>
    <row r="3543" spans="10:17">
      <c r="J3543" s="11"/>
      <c r="K3543" s="1533"/>
      <c r="L3543" s="11"/>
      <c r="M3543" s="11"/>
      <c r="N3543" s="11"/>
      <c r="O3543" s="11"/>
      <c r="P3543" s="11"/>
      <c r="Q3543" s="11"/>
    </row>
    <row r="3544" spans="10:17">
      <c r="J3544" s="11"/>
      <c r="K3544" s="1533"/>
      <c r="L3544" s="11"/>
      <c r="M3544" s="11"/>
      <c r="N3544" s="11"/>
      <c r="O3544" s="11"/>
      <c r="P3544" s="11"/>
      <c r="Q3544" s="11"/>
    </row>
    <row r="3545" spans="10:17">
      <c r="J3545" s="11"/>
      <c r="K3545" s="1533"/>
      <c r="L3545" s="11"/>
      <c r="M3545" s="11"/>
      <c r="N3545" s="11"/>
      <c r="O3545" s="11"/>
      <c r="P3545" s="11"/>
      <c r="Q3545" s="11"/>
    </row>
    <row r="3546" spans="10:17">
      <c r="J3546" s="11"/>
      <c r="K3546" s="1533"/>
      <c r="L3546" s="11"/>
      <c r="M3546" s="11"/>
      <c r="N3546" s="11"/>
      <c r="O3546" s="11"/>
      <c r="P3546" s="11"/>
      <c r="Q3546" s="11"/>
    </row>
    <row r="3547" spans="10:17">
      <c r="J3547" s="11"/>
      <c r="K3547" s="1533"/>
      <c r="L3547" s="11"/>
      <c r="M3547" s="11"/>
      <c r="N3547" s="11"/>
      <c r="O3547" s="11"/>
      <c r="P3547" s="11"/>
      <c r="Q3547" s="11"/>
    </row>
    <row r="3548" spans="10:17">
      <c r="J3548" s="11"/>
      <c r="K3548" s="1533"/>
      <c r="L3548" s="11"/>
      <c r="M3548" s="11"/>
      <c r="N3548" s="11"/>
      <c r="O3548" s="11"/>
      <c r="P3548" s="11"/>
      <c r="Q3548" s="11"/>
    </row>
    <row r="3549" spans="10:17">
      <c r="J3549" s="11"/>
      <c r="K3549" s="1533"/>
      <c r="L3549" s="11"/>
      <c r="M3549" s="11"/>
      <c r="N3549" s="11"/>
      <c r="O3549" s="11"/>
      <c r="P3549" s="11"/>
      <c r="Q3549" s="11"/>
    </row>
    <row r="3550" spans="10:17">
      <c r="J3550" s="11"/>
      <c r="K3550" s="1533"/>
      <c r="L3550" s="11"/>
      <c r="M3550" s="11"/>
      <c r="N3550" s="11"/>
      <c r="O3550" s="11"/>
      <c r="P3550" s="11"/>
      <c r="Q3550" s="11"/>
    </row>
    <row r="3551" spans="10:17">
      <c r="J3551" s="11"/>
      <c r="K3551" s="1533"/>
      <c r="L3551" s="11"/>
      <c r="M3551" s="11"/>
      <c r="N3551" s="11"/>
      <c r="O3551" s="11"/>
      <c r="P3551" s="11"/>
      <c r="Q3551" s="11"/>
    </row>
    <row r="3552" spans="10:17">
      <c r="J3552" s="11"/>
      <c r="K3552" s="1533"/>
      <c r="L3552" s="11"/>
      <c r="M3552" s="11"/>
      <c r="N3552" s="11"/>
      <c r="O3552" s="11"/>
      <c r="P3552" s="11"/>
      <c r="Q3552" s="11"/>
    </row>
    <row r="3553" spans="10:17">
      <c r="J3553" s="11"/>
      <c r="K3553" s="1533"/>
      <c r="L3553" s="11"/>
      <c r="M3553" s="11"/>
      <c r="N3553" s="11"/>
      <c r="O3553" s="11"/>
      <c r="P3553" s="11"/>
      <c r="Q3553" s="11"/>
    </row>
    <row r="3554" spans="10:17">
      <c r="J3554" s="11"/>
      <c r="K3554" s="1533"/>
      <c r="L3554" s="11"/>
      <c r="M3554" s="11"/>
      <c r="N3554" s="11"/>
      <c r="O3554" s="11"/>
      <c r="P3554" s="11"/>
      <c r="Q3554" s="11"/>
    </row>
    <row r="3555" spans="10:17">
      <c r="J3555" s="11"/>
      <c r="K3555" s="1533"/>
      <c r="L3555" s="11"/>
      <c r="M3555" s="11"/>
      <c r="N3555" s="11"/>
      <c r="O3555" s="11"/>
      <c r="P3555" s="11"/>
      <c r="Q3555" s="11"/>
    </row>
    <row r="3556" spans="10:17">
      <c r="J3556" s="11"/>
      <c r="K3556" s="1533"/>
      <c r="L3556" s="11"/>
      <c r="M3556" s="11"/>
      <c r="N3556" s="11"/>
      <c r="O3556" s="11"/>
      <c r="P3556" s="11"/>
      <c r="Q3556" s="11"/>
    </row>
    <row r="3557" spans="10:17">
      <c r="J3557" s="11"/>
      <c r="K3557" s="1533"/>
      <c r="L3557" s="11"/>
      <c r="M3557" s="11"/>
      <c r="N3557" s="11"/>
      <c r="O3557" s="11"/>
      <c r="P3557" s="11"/>
      <c r="Q3557" s="11"/>
    </row>
    <row r="3558" spans="10:17">
      <c r="J3558" s="11"/>
      <c r="K3558" s="1533"/>
      <c r="L3558" s="11"/>
      <c r="M3558" s="11"/>
      <c r="N3558" s="11"/>
      <c r="O3558" s="11"/>
      <c r="P3558" s="11"/>
      <c r="Q3558" s="11"/>
    </row>
    <row r="3559" spans="10:17">
      <c r="J3559" s="11"/>
      <c r="K3559" s="1533"/>
      <c r="L3559" s="11"/>
      <c r="M3559" s="11"/>
      <c r="N3559" s="11"/>
      <c r="O3559" s="11"/>
      <c r="P3559" s="11"/>
      <c r="Q3559" s="11"/>
    </row>
    <row r="3560" spans="10:17">
      <c r="J3560" s="11"/>
      <c r="K3560" s="1533"/>
      <c r="L3560" s="11"/>
      <c r="M3560" s="11"/>
      <c r="N3560" s="11"/>
      <c r="O3560" s="11"/>
      <c r="P3560" s="11"/>
      <c r="Q3560" s="11"/>
    </row>
    <row r="3561" spans="10:17">
      <c r="J3561" s="11"/>
      <c r="K3561" s="1533"/>
      <c r="L3561" s="11"/>
      <c r="M3561" s="11"/>
      <c r="N3561" s="11"/>
      <c r="O3561" s="11"/>
      <c r="P3561" s="11"/>
      <c r="Q3561" s="11"/>
    </row>
    <row r="3562" spans="10:17">
      <c r="J3562" s="11"/>
      <c r="K3562" s="1533"/>
      <c r="L3562" s="11"/>
      <c r="M3562" s="11"/>
      <c r="N3562" s="11"/>
      <c r="O3562" s="11"/>
      <c r="P3562" s="11"/>
      <c r="Q3562" s="11"/>
    </row>
    <row r="3563" spans="10:17">
      <c r="J3563" s="11"/>
      <c r="K3563" s="1533"/>
      <c r="L3563" s="11"/>
      <c r="M3563" s="11"/>
      <c r="N3563" s="11"/>
      <c r="O3563" s="11"/>
      <c r="P3563" s="11"/>
      <c r="Q3563" s="11"/>
    </row>
    <row r="3564" spans="10:17">
      <c r="J3564" s="11"/>
      <c r="K3564" s="1533"/>
      <c r="L3564" s="11"/>
      <c r="M3564" s="11"/>
      <c r="N3564" s="11"/>
      <c r="O3564" s="11"/>
      <c r="P3564" s="11"/>
      <c r="Q3564" s="11"/>
    </row>
    <row r="3565" spans="10:17">
      <c r="J3565" s="11"/>
      <c r="K3565" s="1533"/>
      <c r="L3565" s="11"/>
      <c r="M3565" s="11"/>
      <c r="N3565" s="11"/>
      <c r="O3565" s="11"/>
      <c r="P3565" s="11"/>
      <c r="Q3565" s="11"/>
    </row>
    <row r="3566" spans="10:17">
      <c r="J3566" s="11"/>
      <c r="K3566" s="1533"/>
      <c r="L3566" s="11"/>
      <c r="M3566" s="11"/>
      <c r="N3566" s="11"/>
      <c r="O3566" s="11"/>
      <c r="P3566" s="11"/>
      <c r="Q3566" s="11"/>
    </row>
    <row r="3567" spans="10:17">
      <c r="J3567" s="11"/>
      <c r="K3567" s="1533"/>
      <c r="L3567" s="11"/>
      <c r="M3567" s="11"/>
      <c r="N3567" s="11"/>
      <c r="O3567" s="11"/>
      <c r="P3567" s="11"/>
      <c r="Q3567" s="11"/>
    </row>
    <row r="3568" spans="10:17">
      <c r="J3568" s="11"/>
      <c r="K3568" s="1533"/>
      <c r="L3568" s="11"/>
      <c r="M3568" s="11"/>
      <c r="N3568" s="11"/>
      <c r="O3568" s="11"/>
      <c r="P3568" s="11"/>
      <c r="Q3568" s="11"/>
    </row>
    <row r="3569" spans="10:17">
      <c r="J3569" s="11"/>
      <c r="K3569" s="1533"/>
      <c r="L3569" s="11"/>
      <c r="M3569" s="11"/>
      <c r="N3569" s="11"/>
      <c r="O3569" s="11"/>
      <c r="P3569" s="11"/>
      <c r="Q3569" s="11"/>
    </row>
    <row r="3570" spans="10:17">
      <c r="J3570" s="11"/>
      <c r="K3570" s="1533"/>
      <c r="L3570" s="11"/>
      <c r="M3570" s="11"/>
      <c r="N3570" s="11"/>
      <c r="O3570" s="11"/>
      <c r="P3570" s="11"/>
      <c r="Q3570" s="11"/>
    </row>
    <row r="3571" spans="10:17">
      <c r="J3571" s="11"/>
      <c r="K3571" s="1533"/>
      <c r="L3571" s="11"/>
      <c r="M3571" s="11"/>
      <c r="N3571" s="11"/>
      <c r="O3571" s="11"/>
      <c r="P3571" s="11"/>
      <c r="Q3571" s="11"/>
    </row>
    <row r="3572" spans="10:17">
      <c r="J3572" s="11"/>
      <c r="K3572" s="1533"/>
      <c r="L3572" s="11"/>
      <c r="M3572" s="11"/>
      <c r="N3572" s="11"/>
      <c r="O3572" s="11"/>
      <c r="P3572" s="11"/>
      <c r="Q3572" s="11"/>
    </row>
    <row r="3573" spans="10:17">
      <c r="J3573" s="11"/>
      <c r="K3573" s="1533"/>
      <c r="L3573" s="11"/>
      <c r="M3573" s="11"/>
      <c r="N3573" s="11"/>
      <c r="O3573" s="11"/>
      <c r="P3573" s="11"/>
      <c r="Q3573" s="11"/>
    </row>
    <row r="3574" spans="10:17">
      <c r="J3574" s="11"/>
      <c r="K3574" s="1533"/>
      <c r="L3574" s="11"/>
      <c r="M3574" s="11"/>
      <c r="N3574" s="11"/>
      <c r="O3574" s="11"/>
      <c r="P3574" s="11"/>
      <c r="Q3574" s="11"/>
    </row>
  </sheetData>
  <mergeCells count="33">
    <mergeCell ref="P4:R4"/>
    <mergeCell ref="P28:R28"/>
    <mergeCell ref="A30:A32"/>
    <mergeCell ref="F4:O4"/>
    <mergeCell ref="F28:O28"/>
    <mergeCell ref="A35:A37"/>
    <mergeCell ref="B63:B64"/>
    <mergeCell ref="A17:A18"/>
    <mergeCell ref="A4:D4"/>
    <mergeCell ref="A28:D28"/>
    <mergeCell ref="A6:A7"/>
    <mergeCell ref="A9:A11"/>
    <mergeCell ref="A12:A14"/>
    <mergeCell ref="A19:A20"/>
    <mergeCell ref="A23:A24"/>
    <mergeCell ref="A21:A22"/>
    <mergeCell ref="A15:A16"/>
    <mergeCell ref="A42:D42"/>
    <mergeCell ref="A49:D49"/>
    <mergeCell ref="F78:F79"/>
    <mergeCell ref="P42:R42"/>
    <mergeCell ref="P49:R49"/>
    <mergeCell ref="F42:O42"/>
    <mergeCell ref="F49:O49"/>
    <mergeCell ref="P70:P73"/>
    <mergeCell ref="B65:B67"/>
    <mergeCell ref="A65:A69"/>
    <mergeCell ref="A56:A57"/>
    <mergeCell ref="B68:B69"/>
    <mergeCell ref="A52:A53"/>
    <mergeCell ref="A54:A55"/>
    <mergeCell ref="A58:A61"/>
    <mergeCell ref="A62:A64"/>
  </mergeCells>
  <hyperlinks>
    <hyperlink ref="C30" location="I.21.!U84" display="Mide el porcentaje de profesores inscritos en el S N I en relación al Personal Académico Definitivo de Tiempo Completo"/>
    <hyperlink ref="C31" location="I.22.!U84" display="Mide el porcentaje de Profesores en el  S N I en relación al Personal Académico Definitivo de Tiempo Completo con Doctorado"/>
    <hyperlink ref="C33" location="I.24.!A1" display="Mide el número de citas promedio por artículo publicado."/>
    <hyperlink ref="C34" location="I.25!A1" display="Mide la proporción del financiamiento externo a proyectos de investigación en relación con el  presupuesto aprobado en Otros Gastos de Operación e Inversión del año (n)."/>
    <hyperlink ref="C35" location="I.26.!A1" display="Mide la proporción de los artículos especializados de investigación en relación al  Personal Académico Definitivo de tiempo completo"/>
    <hyperlink ref="C36" location="I.27.!A1" display="Mide la proporción de los artículos especializados con puntaje de 3300 en relación al  Personal Académico Definitivo de tiempo completo"/>
    <hyperlink ref="C37" location="I.28.!A1" display="Mide la proporción de los artículos especializados con puntaje de 3300 en relación con el total de los artículos especializados de investigación"/>
    <hyperlink ref="C39" location="I.30.!AK37" display="Mide la proporción de Cuerpos Académicos consolidados respecto al total de cuerpos académicos reconocidos"/>
    <hyperlink ref="C38" location="I.29.!R82" display="Mide la tasa de crecimiento del Puntaje  acumulado de las actividades académicas evaluables"/>
    <hyperlink ref="C44" location="C.31.!A1" display="Mide el porcentaje del tiempo de transmisión radiofónica en programas hablados."/>
    <hyperlink ref="C45" location="C.32.!A1" display="Mide el número de libros editados por la Universidad en el año (n)."/>
    <hyperlink ref="C46" location="C.33.!A1" display="Mide la tasa de crecimiento de las actividades artísticas y culturales"/>
    <hyperlink ref="C6" location="D.1.!R5" display="Mide el porcentaje de alumnos de licenciatura que terminó con éxito sus estudios por cohorte generacional (no considera alumnos con cero créditos)."/>
    <hyperlink ref="C7" location="D.2.!J102" display="Mide el porcentaje de alumnos de licenciatura que terminó con éxito sus estudios  dentro del plazo que permite el Reglamento de Estudios Superiores (entre 4 y 10 años)."/>
    <hyperlink ref="C8" location="D.3.!V101" display="Mide el tiempo promedio que excede en trimestres la conclusión de los planes de estudio de licenciatura en relación con la duración normal establecida."/>
    <hyperlink ref="C9" location="D.4.!A1" display="Mide el porcentaje de alumnos de especialización que terminó con éxito sus estudios por cohorte generacional."/>
    <hyperlink ref="C10" location="D.5.!I78" display="Mide el porcentaje de alumnos de maestría que terminó con éxito sus estudios por cohorte generacional."/>
    <hyperlink ref="C11" location="D.6.!I49" display="Mide el porcentaje de alumnos de doctorado que terminó con éxito sus estudios por cohorte generacional."/>
    <hyperlink ref="C12" location="D.7.!A1" display="Mide el tiempo promedio que excede en trimestres la conclusión de los planes de estudio de especialización en relación con la duración normal establecida."/>
    <hyperlink ref="C13" location="D.8.!I73" display="Mide el tiempo promedio que excede en trimestres la conclusión de los planes de estudio de maestría en relación con la duración normal establecida."/>
    <hyperlink ref="C14" location="D.9.!I52" display="Mide el tiempo promedio que excede en trimestres la conclusión de los planes de estudio de doctorado en relación con la duración normal establecida."/>
    <hyperlink ref="C17" location="D.12.!A1" display="Mide el porcentaje de los planes de estudio de licenciatura considerados de calidad, respecto del total de los planes evaluables."/>
    <hyperlink ref="C19" location="D.14.!A1" display="Mide el grado en el que se actualizan los planes de estudio de licenciatura. "/>
    <hyperlink ref="C20" location="D.15.!A1" display="Mide el grado en el que se actualizan los planes de estudio de posgrado."/>
    <hyperlink ref="C23" location="'D.18 y 19'!S33" display="Mide la matrícula de alumnos inscritos y reinscritos de licenciatura y posgrado en el año (n)."/>
    <hyperlink ref="C24" location="'D.18 y 19'!T33" display="Mide la proporción de alumnos de posgrado respecto del total de la matrícula."/>
    <hyperlink ref="C25" location="D.20.!F72" display="Mide el porcentaje de alumnos con más de 75% de créditos aprobados en su plan de estudios de licenciatura que poseen al menos el nivel intermedio B1 del Marco Común Europeo (MCE) de Referencia para las Lenguas, recomendado para estudiantes egresados del n"/>
    <hyperlink ref="C21" location="'D.16. y 17'!A2" display="Mide la capacidad académica de los profesores definitivos de tiempo completo."/>
    <hyperlink ref="C22" location="'D.16. y 17'!AX33" display="Mide la capacidad académica de los profesores definitivos de tiempo completo con doctorado."/>
    <hyperlink ref="C15" location="D.10.!D78" display="Mide la tasa de inserción laboral al tercer y quinto año de egreso."/>
    <hyperlink ref="C16" location="D.11.!A1" display="Mide la tasa de inserción laboral al tercer y quinto año de egreso."/>
    <hyperlink ref="C52" location="A.34.!A1" display="Mide el crecimiento real del subsidio federal en relación con el periodo inmediato anterior."/>
    <hyperlink ref="C53" location="A.35.!A1" display="Mide el total de ingresos adicionales al subsidio federal."/>
    <hyperlink ref="C54" location="A.36.!A1" display="Mide las horas que se destinan para cada trabajador al año a programas de capacitación."/>
    <hyperlink ref="C55" location="A.37.!A1" display="Mide la relación entre el personal que colabora en los procesos sustantivos en relación con el personal en los procesos de apoyo."/>
    <hyperlink ref="C56" location="A.38.!A1" display="Mide la proporción del presupuesto ejercido en equipamiento."/>
    <hyperlink ref="C57" location="A.39.!A1" display="Mide la proporción del presupuesto ejercido en mantenimiento."/>
    <hyperlink ref="C58" location="'A.40.-42.'!AF43" display="Alumnos por computadora."/>
    <hyperlink ref="C59" location="'A.40.-42.'!AF44" display="Personal académico por computadora."/>
    <hyperlink ref="C60" location="'A.40.-42.'!AF45" display="Personal administrativo por computadora."/>
    <hyperlink ref="C61" location="A.43.!A1" display="Ancho de banda en red."/>
    <hyperlink ref="C62" location="A.44.!A1" display="Mide el número de miembros de la comunidad que participan en programas de salud."/>
    <hyperlink ref="C63" location="A.45.!F30" display="Mide el número de torneos y actividades organizados para la práctica del deporte."/>
    <hyperlink ref="C64" location="A.45.!B66" display="Mide el número de servicios proporcionados para la práctica diaria."/>
    <hyperlink ref="C65" location="A.46.1!A1" display="Webometrics."/>
    <hyperlink ref="C66" location="A.46.2!A1" display="SIR latinoamericano."/>
    <hyperlink ref="C67" location="A.46.3!A1" display="SIR universidades mexicanas."/>
    <hyperlink ref="C68" location="A.47.1!U18" display="Mide la tasa de crecimiento de solicitudes de transparencia."/>
    <hyperlink ref="C18" location="D.13.!A1" display="Mide el porcentaje de los planes de estudio de posgrado considerados de calidad, respecto del total de los planes."/>
    <hyperlink ref="C32" location="I.23.!AM84" display="Mide el porcentaje de Profesores en el S N I nivel 2 y 3 en relación con profesores S N I nivel 1 y Candidato"/>
    <hyperlink ref="C69" location="A.47.2!AF1" display="Mide la tasa de crecimiento  de consultas de la información institucional."/>
  </hyperlinks>
  <pageMargins left="0.70866141732283472" right="0.70866141732283472" top="0.51181102362204722" bottom="0.51181102362204722" header="0.31496062992125984" footer="0.31496062992125984"/>
  <pageSetup scale="37" orientation="portrait" r:id="rId1"/>
  <rowBreaks count="3" manualBreakCount="3">
    <brk id="26" max="16383" man="1"/>
    <brk id="40" max="16383" man="1"/>
    <brk id="47" max="16" man="1"/>
  </rowBreaks>
  <colBreaks count="1" manualBreakCount="1">
    <brk id="18" max="1048575" man="1"/>
  </colBreaks>
  <drawing r:id="rId2"/>
  <legacyDrawing r:id="rId3"/>
</worksheet>
</file>

<file path=xl/worksheets/sheet20.xml><?xml version="1.0" encoding="utf-8"?>
<worksheet xmlns="http://schemas.openxmlformats.org/spreadsheetml/2006/main" xmlns:r="http://schemas.openxmlformats.org/officeDocument/2006/relationships">
  <dimension ref="A2:BR503"/>
  <sheetViews>
    <sheetView topLeftCell="A37" workbookViewId="0">
      <selection activeCell="F50" sqref="F50"/>
    </sheetView>
  </sheetViews>
  <sheetFormatPr baseColWidth="10" defaultRowHeight="15"/>
  <cols>
    <col min="1" max="1" width="11.42578125" style="4676"/>
    <col min="2" max="2" width="6.7109375" style="4676" bestFit="1" customWidth="1"/>
    <col min="3" max="3" width="51.85546875" style="4676" bestFit="1" customWidth="1"/>
    <col min="4" max="5" width="11.42578125" style="4676"/>
    <col min="6" max="6" width="8.28515625" style="237" bestFit="1" customWidth="1"/>
    <col min="7" max="8" width="11.42578125" style="4676"/>
    <col min="11" max="11" width="51.42578125" bestFit="1" customWidth="1"/>
    <col min="13" max="13" width="5.28515625" customWidth="1"/>
    <col min="14" max="14" width="8.28515625" bestFit="1" customWidth="1"/>
    <col min="17" max="17" width="7.28515625" style="191" bestFit="1" customWidth="1"/>
    <col min="18" max="18" width="44.7109375" bestFit="1" customWidth="1"/>
    <col min="19" max="19" width="8.140625" bestFit="1" customWidth="1"/>
    <col min="20" max="20" width="7.140625" customWidth="1"/>
    <col min="21" max="21" width="8.28515625" bestFit="1" customWidth="1"/>
    <col min="25" max="25" width="37.85546875" bestFit="1" customWidth="1"/>
    <col min="26" max="26" width="8.85546875" customWidth="1"/>
    <col min="27" max="27" width="9.140625" customWidth="1"/>
    <col min="28" max="28" width="8.28515625" bestFit="1" customWidth="1"/>
    <col min="29" max="29" width="6.5703125" customWidth="1"/>
    <col min="30" max="30" width="10.42578125" style="191" customWidth="1"/>
    <col min="31" max="31" width="10.7109375" style="191" customWidth="1"/>
    <col min="32" max="32" width="37.85546875" bestFit="1" customWidth="1"/>
    <col min="33" max="34" width="8.7109375" customWidth="1"/>
    <col min="35" max="35" width="8.28515625" bestFit="1" customWidth="1"/>
    <col min="36" max="36" width="5.7109375" customWidth="1"/>
    <col min="37" max="37" width="7" style="191" customWidth="1"/>
    <col min="38" max="38" width="11" style="191" bestFit="1" customWidth="1"/>
    <col min="39" max="39" width="6.7109375" style="191" bestFit="1" customWidth="1"/>
    <col min="40" max="40" width="33.85546875" bestFit="1" customWidth="1"/>
    <col min="41" max="41" width="9.85546875" customWidth="1"/>
    <col min="42" max="42" width="5.85546875" customWidth="1"/>
    <col min="43" max="43" width="7.7109375" bestFit="1" customWidth="1"/>
    <col min="44" max="44" width="8.28515625" bestFit="1" customWidth="1"/>
    <col min="45" max="45" width="8.7109375" customWidth="1"/>
    <col min="46" max="46" width="11" bestFit="1" customWidth="1"/>
    <col min="47" max="47" width="8.7109375" customWidth="1"/>
    <col min="48" max="48" width="33.85546875" bestFit="1" customWidth="1"/>
    <col min="49" max="50" width="8.7109375" hidden="1" customWidth="1"/>
    <col min="51" max="51" width="8.7109375" customWidth="1"/>
    <col min="52" max="52" width="9.7109375" customWidth="1"/>
    <col min="53" max="54" width="8.7109375" customWidth="1"/>
    <col min="55" max="55" width="11.28515625" bestFit="1" customWidth="1"/>
    <col min="56" max="56" width="7" bestFit="1" customWidth="1"/>
    <col min="57" max="57" width="36.42578125" customWidth="1"/>
    <col min="58" max="58" width="5.7109375" customWidth="1"/>
    <col min="59" max="59" width="17.5703125" bestFit="1" customWidth="1"/>
    <col min="60" max="60" width="11.85546875" bestFit="1" customWidth="1"/>
    <col min="61" max="61" width="8.85546875" bestFit="1" customWidth="1"/>
    <col min="62" max="62" width="0" hidden="1" customWidth="1"/>
    <col min="65" max="65" width="7.5703125" bestFit="1" customWidth="1"/>
    <col min="66" max="66" width="36.7109375" bestFit="1" customWidth="1"/>
    <col min="67" max="67" width="7" customWidth="1"/>
    <col min="68" max="68" width="9.140625" bestFit="1" customWidth="1"/>
    <col min="69" max="70" width="10" bestFit="1" customWidth="1"/>
    <col min="310" max="310" width="3.85546875" customWidth="1"/>
    <col min="311" max="311" width="15.5703125" customWidth="1"/>
    <col min="313" max="313" width="42.42578125" bestFit="1" customWidth="1"/>
    <col min="315" max="315" width="19.5703125" customWidth="1"/>
    <col min="316" max="316" width="15.7109375" customWidth="1"/>
    <col min="566" max="566" width="3.85546875" customWidth="1"/>
    <col min="567" max="567" width="15.5703125" customWidth="1"/>
    <col min="569" max="569" width="42.42578125" bestFit="1" customWidth="1"/>
    <col min="571" max="571" width="19.5703125" customWidth="1"/>
    <col min="572" max="572" width="15.7109375" customWidth="1"/>
    <col min="822" max="822" width="3.85546875" customWidth="1"/>
    <col min="823" max="823" width="15.5703125" customWidth="1"/>
    <col min="825" max="825" width="42.42578125" bestFit="1" customWidth="1"/>
    <col min="827" max="827" width="19.5703125" customWidth="1"/>
    <col min="828" max="828" width="15.7109375" customWidth="1"/>
    <col min="1078" max="1078" width="3.85546875" customWidth="1"/>
    <col min="1079" max="1079" width="15.5703125" customWidth="1"/>
    <col min="1081" max="1081" width="42.42578125" bestFit="1" customWidth="1"/>
    <col min="1083" max="1083" width="19.5703125" customWidth="1"/>
    <col min="1084" max="1084" width="15.7109375" customWidth="1"/>
    <col min="1334" max="1334" width="3.85546875" customWidth="1"/>
    <col min="1335" max="1335" width="15.5703125" customWidth="1"/>
    <col min="1337" max="1337" width="42.42578125" bestFit="1" customWidth="1"/>
    <col min="1339" max="1339" width="19.5703125" customWidth="1"/>
    <col min="1340" max="1340" width="15.7109375" customWidth="1"/>
    <col min="1590" max="1590" width="3.85546875" customWidth="1"/>
    <col min="1591" max="1591" width="15.5703125" customWidth="1"/>
    <col min="1593" max="1593" width="42.42578125" bestFit="1" customWidth="1"/>
    <col min="1595" max="1595" width="19.5703125" customWidth="1"/>
    <col min="1596" max="1596" width="15.7109375" customWidth="1"/>
    <col min="1846" max="1846" width="3.85546875" customWidth="1"/>
    <col min="1847" max="1847" width="15.5703125" customWidth="1"/>
    <col min="1849" max="1849" width="42.42578125" bestFit="1" customWidth="1"/>
    <col min="1851" max="1851" width="19.5703125" customWidth="1"/>
    <col min="1852" max="1852" width="15.7109375" customWidth="1"/>
    <col min="2102" max="2102" width="3.85546875" customWidth="1"/>
    <col min="2103" max="2103" width="15.5703125" customWidth="1"/>
    <col min="2105" max="2105" width="42.42578125" bestFit="1" customWidth="1"/>
    <col min="2107" max="2107" width="19.5703125" customWidth="1"/>
    <col min="2108" max="2108" width="15.7109375" customWidth="1"/>
    <col min="2358" max="2358" width="3.85546875" customWidth="1"/>
    <col min="2359" max="2359" width="15.5703125" customWidth="1"/>
    <col min="2361" max="2361" width="42.42578125" bestFit="1" customWidth="1"/>
    <col min="2363" max="2363" width="19.5703125" customWidth="1"/>
    <col min="2364" max="2364" width="15.7109375" customWidth="1"/>
    <col min="2614" max="2614" width="3.85546875" customWidth="1"/>
    <col min="2615" max="2615" width="15.5703125" customWidth="1"/>
    <col min="2617" max="2617" width="42.42578125" bestFit="1" customWidth="1"/>
    <col min="2619" max="2619" width="19.5703125" customWidth="1"/>
    <col min="2620" max="2620" width="15.7109375" customWidth="1"/>
    <col min="2870" max="2870" width="3.85546875" customWidth="1"/>
    <col min="2871" max="2871" width="15.5703125" customWidth="1"/>
    <col min="2873" max="2873" width="42.42578125" bestFit="1" customWidth="1"/>
    <col min="2875" max="2875" width="19.5703125" customWidth="1"/>
    <col min="2876" max="2876" width="15.7109375" customWidth="1"/>
    <col min="3126" max="3126" width="3.85546875" customWidth="1"/>
    <col min="3127" max="3127" width="15.5703125" customWidth="1"/>
    <col min="3129" max="3129" width="42.42578125" bestFit="1" customWidth="1"/>
    <col min="3131" max="3131" width="19.5703125" customWidth="1"/>
    <col min="3132" max="3132" width="15.7109375" customWidth="1"/>
    <col min="3382" max="3382" width="3.85546875" customWidth="1"/>
    <col min="3383" max="3383" width="15.5703125" customWidth="1"/>
    <col min="3385" max="3385" width="42.42578125" bestFit="1" customWidth="1"/>
    <col min="3387" max="3387" width="19.5703125" customWidth="1"/>
    <col min="3388" max="3388" width="15.7109375" customWidth="1"/>
    <col min="3638" max="3638" width="3.85546875" customWidth="1"/>
    <col min="3639" max="3639" width="15.5703125" customWidth="1"/>
    <col min="3641" max="3641" width="42.42578125" bestFit="1" customWidth="1"/>
    <col min="3643" max="3643" width="19.5703125" customWidth="1"/>
    <col min="3644" max="3644" width="15.7109375" customWidth="1"/>
    <col min="3894" max="3894" width="3.85546875" customWidth="1"/>
    <col min="3895" max="3895" width="15.5703125" customWidth="1"/>
    <col min="3897" max="3897" width="42.42578125" bestFit="1" customWidth="1"/>
    <col min="3899" max="3899" width="19.5703125" customWidth="1"/>
    <col min="3900" max="3900" width="15.7109375" customWidth="1"/>
    <col min="4150" max="4150" width="3.85546875" customWidth="1"/>
    <col min="4151" max="4151" width="15.5703125" customWidth="1"/>
    <col min="4153" max="4153" width="42.42578125" bestFit="1" customWidth="1"/>
    <col min="4155" max="4155" width="19.5703125" customWidth="1"/>
    <col min="4156" max="4156" width="15.7109375" customWidth="1"/>
    <col min="4406" max="4406" width="3.85546875" customWidth="1"/>
    <col min="4407" max="4407" width="15.5703125" customWidth="1"/>
    <col min="4409" max="4409" width="42.42578125" bestFit="1" customWidth="1"/>
    <col min="4411" max="4411" width="19.5703125" customWidth="1"/>
    <col min="4412" max="4412" width="15.7109375" customWidth="1"/>
    <col min="4662" max="4662" width="3.85546875" customWidth="1"/>
    <col min="4663" max="4663" width="15.5703125" customWidth="1"/>
    <col min="4665" max="4665" width="42.42578125" bestFit="1" customWidth="1"/>
    <col min="4667" max="4667" width="19.5703125" customWidth="1"/>
    <col min="4668" max="4668" width="15.7109375" customWidth="1"/>
    <col min="4918" max="4918" width="3.85546875" customWidth="1"/>
    <col min="4919" max="4919" width="15.5703125" customWidth="1"/>
    <col min="4921" max="4921" width="42.42578125" bestFit="1" customWidth="1"/>
    <col min="4923" max="4923" width="19.5703125" customWidth="1"/>
    <col min="4924" max="4924" width="15.7109375" customWidth="1"/>
    <col min="5174" max="5174" width="3.85546875" customWidth="1"/>
    <col min="5175" max="5175" width="15.5703125" customWidth="1"/>
    <col min="5177" max="5177" width="42.42578125" bestFit="1" customWidth="1"/>
    <col min="5179" max="5179" width="19.5703125" customWidth="1"/>
    <col min="5180" max="5180" width="15.7109375" customWidth="1"/>
    <col min="5430" max="5430" width="3.85546875" customWidth="1"/>
    <col min="5431" max="5431" width="15.5703125" customWidth="1"/>
    <col min="5433" max="5433" width="42.42578125" bestFit="1" customWidth="1"/>
    <col min="5435" max="5435" width="19.5703125" customWidth="1"/>
    <col min="5436" max="5436" width="15.7109375" customWidth="1"/>
    <col min="5686" max="5686" width="3.85546875" customWidth="1"/>
    <col min="5687" max="5687" width="15.5703125" customWidth="1"/>
    <col min="5689" max="5689" width="42.42578125" bestFit="1" customWidth="1"/>
    <col min="5691" max="5691" width="19.5703125" customWidth="1"/>
    <col min="5692" max="5692" width="15.7109375" customWidth="1"/>
    <col min="5942" max="5942" width="3.85546875" customWidth="1"/>
    <col min="5943" max="5943" width="15.5703125" customWidth="1"/>
    <col min="5945" max="5945" width="42.42578125" bestFit="1" customWidth="1"/>
    <col min="5947" max="5947" width="19.5703125" customWidth="1"/>
    <col min="5948" max="5948" width="15.7109375" customWidth="1"/>
    <col min="6198" max="6198" width="3.85546875" customWidth="1"/>
    <col min="6199" max="6199" width="15.5703125" customWidth="1"/>
    <col min="6201" max="6201" width="42.42578125" bestFit="1" customWidth="1"/>
    <col min="6203" max="6203" width="19.5703125" customWidth="1"/>
    <col min="6204" max="6204" width="15.7109375" customWidth="1"/>
    <col min="6454" max="6454" width="3.85546875" customWidth="1"/>
    <col min="6455" max="6455" width="15.5703125" customWidth="1"/>
    <col min="6457" max="6457" width="42.42578125" bestFit="1" customWidth="1"/>
    <col min="6459" max="6459" width="19.5703125" customWidth="1"/>
    <col min="6460" max="6460" width="15.7109375" customWidth="1"/>
    <col min="6710" max="6710" width="3.85546875" customWidth="1"/>
    <col min="6711" max="6711" width="15.5703125" customWidth="1"/>
    <col min="6713" max="6713" width="42.42578125" bestFit="1" customWidth="1"/>
    <col min="6715" max="6715" width="19.5703125" customWidth="1"/>
    <col min="6716" max="6716" width="15.7109375" customWidth="1"/>
    <col min="6966" max="6966" width="3.85546875" customWidth="1"/>
    <col min="6967" max="6967" width="15.5703125" customWidth="1"/>
    <col min="6969" max="6969" width="42.42578125" bestFit="1" customWidth="1"/>
    <col min="6971" max="6971" width="19.5703125" customWidth="1"/>
    <col min="6972" max="6972" width="15.7109375" customWidth="1"/>
    <col min="7222" max="7222" width="3.85546875" customWidth="1"/>
    <col min="7223" max="7223" width="15.5703125" customWidth="1"/>
    <col min="7225" max="7225" width="42.42578125" bestFit="1" customWidth="1"/>
    <col min="7227" max="7227" width="19.5703125" customWidth="1"/>
    <col min="7228" max="7228" width="15.7109375" customWidth="1"/>
    <col min="7478" max="7478" width="3.85546875" customWidth="1"/>
    <col min="7479" max="7479" width="15.5703125" customWidth="1"/>
    <col min="7481" max="7481" width="42.42578125" bestFit="1" customWidth="1"/>
    <col min="7483" max="7483" width="19.5703125" customWidth="1"/>
    <col min="7484" max="7484" width="15.7109375" customWidth="1"/>
    <col min="7734" max="7734" width="3.85546875" customWidth="1"/>
    <col min="7735" max="7735" width="15.5703125" customWidth="1"/>
    <col min="7737" max="7737" width="42.42578125" bestFit="1" customWidth="1"/>
    <col min="7739" max="7739" width="19.5703125" customWidth="1"/>
    <col min="7740" max="7740" width="15.7109375" customWidth="1"/>
    <col min="7990" max="7990" width="3.85546875" customWidth="1"/>
    <col min="7991" max="7991" width="15.5703125" customWidth="1"/>
    <col min="7993" max="7993" width="42.42578125" bestFit="1" customWidth="1"/>
    <col min="7995" max="7995" width="19.5703125" customWidth="1"/>
    <col min="7996" max="7996" width="15.7109375" customWidth="1"/>
    <col min="8246" max="8246" width="3.85546875" customWidth="1"/>
    <col min="8247" max="8247" width="15.5703125" customWidth="1"/>
    <col min="8249" max="8249" width="42.42578125" bestFit="1" customWidth="1"/>
    <col min="8251" max="8251" width="19.5703125" customWidth="1"/>
    <col min="8252" max="8252" width="15.7109375" customWidth="1"/>
    <col min="8502" max="8502" width="3.85546875" customWidth="1"/>
    <col min="8503" max="8503" width="15.5703125" customWidth="1"/>
    <col min="8505" max="8505" width="42.42578125" bestFit="1" customWidth="1"/>
    <col min="8507" max="8507" width="19.5703125" customWidth="1"/>
    <col min="8508" max="8508" width="15.7109375" customWidth="1"/>
    <col min="8758" max="8758" width="3.85546875" customWidth="1"/>
    <col min="8759" max="8759" width="15.5703125" customWidth="1"/>
    <col min="8761" max="8761" width="42.42578125" bestFit="1" customWidth="1"/>
    <col min="8763" max="8763" width="19.5703125" customWidth="1"/>
    <col min="8764" max="8764" width="15.7109375" customWidth="1"/>
    <col min="9014" max="9014" width="3.85546875" customWidth="1"/>
    <col min="9015" max="9015" width="15.5703125" customWidth="1"/>
    <col min="9017" max="9017" width="42.42578125" bestFit="1" customWidth="1"/>
    <col min="9019" max="9019" width="19.5703125" customWidth="1"/>
    <col min="9020" max="9020" width="15.7109375" customWidth="1"/>
    <col min="9270" max="9270" width="3.85546875" customWidth="1"/>
    <col min="9271" max="9271" width="15.5703125" customWidth="1"/>
    <col min="9273" max="9273" width="42.42578125" bestFit="1" customWidth="1"/>
    <col min="9275" max="9275" width="19.5703125" customWidth="1"/>
    <col min="9276" max="9276" width="15.7109375" customWidth="1"/>
    <col min="9526" max="9526" width="3.85546875" customWidth="1"/>
    <col min="9527" max="9527" width="15.5703125" customWidth="1"/>
    <col min="9529" max="9529" width="42.42578125" bestFit="1" customWidth="1"/>
    <col min="9531" max="9531" width="19.5703125" customWidth="1"/>
    <col min="9532" max="9532" width="15.7109375" customWidth="1"/>
    <col min="9782" max="9782" width="3.85546875" customWidth="1"/>
    <col min="9783" max="9783" width="15.5703125" customWidth="1"/>
    <col min="9785" max="9785" width="42.42578125" bestFit="1" customWidth="1"/>
    <col min="9787" max="9787" width="19.5703125" customWidth="1"/>
    <col min="9788" max="9788" width="15.7109375" customWidth="1"/>
    <col min="10038" max="10038" width="3.85546875" customWidth="1"/>
    <col min="10039" max="10039" width="15.5703125" customWidth="1"/>
    <col min="10041" max="10041" width="42.42578125" bestFit="1" customWidth="1"/>
    <col min="10043" max="10043" width="19.5703125" customWidth="1"/>
    <col min="10044" max="10044" width="15.7109375" customWidth="1"/>
    <col min="10294" max="10294" width="3.85546875" customWidth="1"/>
    <col min="10295" max="10295" width="15.5703125" customWidth="1"/>
    <col min="10297" max="10297" width="42.42578125" bestFit="1" customWidth="1"/>
    <col min="10299" max="10299" width="19.5703125" customWidth="1"/>
    <col min="10300" max="10300" width="15.7109375" customWidth="1"/>
    <col min="10550" max="10550" width="3.85546875" customWidth="1"/>
    <col min="10551" max="10551" width="15.5703125" customWidth="1"/>
    <col min="10553" max="10553" width="42.42578125" bestFit="1" customWidth="1"/>
    <col min="10555" max="10555" width="19.5703125" customWidth="1"/>
    <col min="10556" max="10556" width="15.7109375" customWidth="1"/>
    <col min="10806" max="10806" width="3.85546875" customWidth="1"/>
    <col min="10807" max="10807" width="15.5703125" customWidth="1"/>
    <col min="10809" max="10809" width="42.42578125" bestFit="1" customWidth="1"/>
    <col min="10811" max="10811" width="19.5703125" customWidth="1"/>
    <col min="10812" max="10812" width="15.7109375" customWidth="1"/>
    <col min="11062" max="11062" width="3.85546875" customWidth="1"/>
    <col min="11063" max="11063" width="15.5703125" customWidth="1"/>
    <col min="11065" max="11065" width="42.42578125" bestFit="1" customWidth="1"/>
    <col min="11067" max="11067" width="19.5703125" customWidth="1"/>
    <col min="11068" max="11068" width="15.7109375" customWidth="1"/>
    <col min="11318" max="11318" width="3.85546875" customWidth="1"/>
    <col min="11319" max="11319" width="15.5703125" customWidth="1"/>
    <col min="11321" max="11321" width="42.42578125" bestFit="1" customWidth="1"/>
    <col min="11323" max="11323" width="19.5703125" customWidth="1"/>
    <col min="11324" max="11324" width="15.7109375" customWidth="1"/>
    <col min="11574" max="11574" width="3.85546875" customWidth="1"/>
    <col min="11575" max="11575" width="15.5703125" customWidth="1"/>
    <col min="11577" max="11577" width="42.42578125" bestFit="1" customWidth="1"/>
    <col min="11579" max="11579" width="19.5703125" customWidth="1"/>
    <col min="11580" max="11580" width="15.7109375" customWidth="1"/>
    <col min="11830" max="11830" width="3.85546875" customWidth="1"/>
    <col min="11831" max="11831" width="15.5703125" customWidth="1"/>
    <col min="11833" max="11833" width="42.42578125" bestFit="1" customWidth="1"/>
    <col min="11835" max="11835" width="19.5703125" customWidth="1"/>
    <col min="11836" max="11836" width="15.7109375" customWidth="1"/>
    <col min="12086" max="12086" width="3.85546875" customWidth="1"/>
    <col min="12087" max="12087" width="15.5703125" customWidth="1"/>
    <col min="12089" max="12089" width="42.42578125" bestFit="1" customWidth="1"/>
    <col min="12091" max="12091" width="19.5703125" customWidth="1"/>
    <col min="12092" max="12092" width="15.7109375" customWidth="1"/>
    <col min="12342" max="12342" width="3.85546875" customWidth="1"/>
    <col min="12343" max="12343" width="15.5703125" customWidth="1"/>
    <col min="12345" max="12345" width="42.42578125" bestFit="1" customWidth="1"/>
    <col min="12347" max="12347" width="19.5703125" customWidth="1"/>
    <col min="12348" max="12348" width="15.7109375" customWidth="1"/>
    <col min="12598" max="12598" width="3.85546875" customWidth="1"/>
    <col min="12599" max="12599" width="15.5703125" customWidth="1"/>
    <col min="12601" max="12601" width="42.42578125" bestFit="1" customWidth="1"/>
    <col min="12603" max="12603" width="19.5703125" customWidth="1"/>
    <col min="12604" max="12604" width="15.7109375" customWidth="1"/>
    <col min="12854" max="12854" width="3.85546875" customWidth="1"/>
    <col min="12855" max="12855" width="15.5703125" customWidth="1"/>
    <col min="12857" max="12857" width="42.42578125" bestFit="1" customWidth="1"/>
    <col min="12859" max="12859" width="19.5703125" customWidth="1"/>
    <col min="12860" max="12860" width="15.7109375" customWidth="1"/>
    <col min="13110" max="13110" width="3.85546875" customWidth="1"/>
    <col min="13111" max="13111" width="15.5703125" customWidth="1"/>
    <col min="13113" max="13113" width="42.42578125" bestFit="1" customWidth="1"/>
    <col min="13115" max="13115" width="19.5703125" customWidth="1"/>
    <col min="13116" max="13116" width="15.7109375" customWidth="1"/>
    <col min="13366" max="13366" width="3.85546875" customWidth="1"/>
    <col min="13367" max="13367" width="15.5703125" customWidth="1"/>
    <col min="13369" max="13369" width="42.42578125" bestFit="1" customWidth="1"/>
    <col min="13371" max="13371" width="19.5703125" customWidth="1"/>
    <col min="13372" max="13372" width="15.7109375" customWidth="1"/>
    <col min="13622" max="13622" width="3.85546875" customWidth="1"/>
    <col min="13623" max="13623" width="15.5703125" customWidth="1"/>
    <col min="13625" max="13625" width="42.42578125" bestFit="1" customWidth="1"/>
    <col min="13627" max="13627" width="19.5703125" customWidth="1"/>
    <col min="13628" max="13628" width="15.7109375" customWidth="1"/>
    <col min="13878" max="13878" width="3.85546875" customWidth="1"/>
    <col min="13879" max="13879" width="15.5703125" customWidth="1"/>
    <col min="13881" max="13881" width="42.42578125" bestFit="1" customWidth="1"/>
    <col min="13883" max="13883" width="19.5703125" customWidth="1"/>
    <col min="13884" max="13884" width="15.7109375" customWidth="1"/>
    <col min="14134" max="14134" width="3.85546875" customWidth="1"/>
    <col min="14135" max="14135" width="15.5703125" customWidth="1"/>
    <col min="14137" max="14137" width="42.42578125" bestFit="1" customWidth="1"/>
    <col min="14139" max="14139" width="19.5703125" customWidth="1"/>
    <col min="14140" max="14140" width="15.7109375" customWidth="1"/>
    <col min="14390" max="14390" width="3.85546875" customWidth="1"/>
    <col min="14391" max="14391" width="15.5703125" customWidth="1"/>
    <col min="14393" max="14393" width="42.42578125" bestFit="1" customWidth="1"/>
    <col min="14395" max="14395" width="19.5703125" customWidth="1"/>
    <col min="14396" max="14396" width="15.7109375" customWidth="1"/>
    <col min="14646" max="14646" width="3.85546875" customWidth="1"/>
    <col min="14647" max="14647" width="15.5703125" customWidth="1"/>
    <col min="14649" max="14649" width="42.42578125" bestFit="1" customWidth="1"/>
    <col min="14651" max="14651" width="19.5703125" customWidth="1"/>
    <col min="14652" max="14652" width="15.7109375" customWidth="1"/>
    <col min="14902" max="14902" width="3.85546875" customWidth="1"/>
    <col min="14903" max="14903" width="15.5703125" customWidth="1"/>
    <col min="14905" max="14905" width="42.42578125" bestFit="1" customWidth="1"/>
    <col min="14907" max="14907" width="19.5703125" customWidth="1"/>
    <col min="14908" max="14908" width="15.7109375" customWidth="1"/>
    <col min="15158" max="15158" width="3.85546875" customWidth="1"/>
    <col min="15159" max="15159" width="15.5703125" customWidth="1"/>
    <col min="15161" max="15161" width="42.42578125" bestFit="1" customWidth="1"/>
    <col min="15163" max="15163" width="19.5703125" customWidth="1"/>
    <col min="15164" max="15164" width="15.7109375" customWidth="1"/>
    <col min="15414" max="15414" width="3.85546875" customWidth="1"/>
    <col min="15415" max="15415" width="15.5703125" customWidth="1"/>
    <col min="15417" max="15417" width="42.42578125" bestFit="1" customWidth="1"/>
    <col min="15419" max="15419" width="19.5703125" customWidth="1"/>
    <col min="15420" max="15420" width="15.7109375" customWidth="1"/>
    <col min="15670" max="15670" width="3.85546875" customWidth="1"/>
    <col min="15671" max="15671" width="15.5703125" customWidth="1"/>
    <col min="15673" max="15673" width="42.42578125" bestFit="1" customWidth="1"/>
    <col min="15675" max="15675" width="19.5703125" customWidth="1"/>
    <col min="15676" max="15676" width="15.7109375" customWidth="1"/>
    <col min="15926" max="15926" width="3.85546875" customWidth="1"/>
    <col min="15927" max="15927" width="15.5703125" customWidth="1"/>
    <col min="15929" max="15929" width="42.42578125" bestFit="1" customWidth="1"/>
    <col min="15931" max="15931" width="19.5703125" customWidth="1"/>
    <col min="15932" max="15932" width="15.7109375" customWidth="1"/>
    <col min="16182" max="16182" width="3.85546875" customWidth="1"/>
    <col min="16183" max="16183" width="15.5703125" customWidth="1"/>
    <col min="16185" max="16185" width="42.42578125" bestFit="1" customWidth="1"/>
    <col min="16187" max="16187" width="19.5703125" customWidth="1"/>
    <col min="16188" max="16188" width="15.7109375" customWidth="1"/>
  </cols>
  <sheetData>
    <row r="2" spans="1:70">
      <c r="A2" s="43" t="s">
        <v>3971</v>
      </c>
      <c r="I2" s="43" t="s">
        <v>2730</v>
      </c>
      <c r="P2" s="761" t="s">
        <v>2023</v>
      </c>
      <c r="W2" s="1207" t="s">
        <v>1947</v>
      </c>
      <c r="AC2" s="34"/>
      <c r="AD2" s="1207" t="s">
        <v>1435</v>
      </c>
      <c r="AF2" s="34"/>
      <c r="AG2" s="34"/>
      <c r="AH2" s="34"/>
      <c r="AI2" s="34"/>
      <c r="AJ2" s="34"/>
      <c r="AK2" s="1208" t="s">
        <v>1411</v>
      </c>
      <c r="AL2" s="1209"/>
      <c r="AM2" s="1209"/>
      <c r="AN2" s="1105"/>
      <c r="AO2" s="1106"/>
      <c r="AP2" s="1107"/>
      <c r="AQ2" s="1108"/>
      <c r="AR2" s="1108"/>
      <c r="AT2" s="1021" t="s">
        <v>1412</v>
      </c>
      <c r="AU2" s="1021"/>
      <c r="AV2" s="1021"/>
      <c r="AW2" s="1021"/>
      <c r="AX2" s="1021"/>
      <c r="BC2" s="1021" t="s">
        <v>1413</v>
      </c>
      <c r="BD2" s="1021"/>
      <c r="BE2" s="1021"/>
      <c r="BF2" s="1021"/>
      <c r="BG2" s="1021"/>
      <c r="BH2" s="1021"/>
      <c r="BI2" s="1021"/>
    </row>
    <row r="3" spans="1:70">
      <c r="A3" s="43" t="s">
        <v>3972</v>
      </c>
      <c r="I3" s="43" t="s">
        <v>2719</v>
      </c>
      <c r="P3" s="2642" t="s">
        <v>2018</v>
      </c>
      <c r="Q3" s="2583"/>
      <c r="R3" s="1287"/>
      <c r="S3" s="1287"/>
      <c r="T3" s="1287"/>
      <c r="U3" s="1287"/>
      <c r="W3" s="2302" t="s">
        <v>1942</v>
      </c>
      <c r="AD3" s="2303" t="s">
        <v>1418</v>
      </c>
      <c r="AE3" s="163"/>
      <c r="AF3" s="80"/>
      <c r="AG3" s="80"/>
      <c r="AH3" s="80"/>
      <c r="AK3" s="1210" t="s">
        <v>1436</v>
      </c>
      <c r="AL3" s="1209"/>
      <c r="AM3" s="1209"/>
      <c r="AN3" s="1105"/>
      <c r="AO3" s="1106"/>
      <c r="AP3" s="1107"/>
      <c r="AQ3" s="1108"/>
      <c r="AR3" s="1108"/>
      <c r="AT3" s="1021" t="s">
        <v>1437</v>
      </c>
      <c r="AU3" s="1021"/>
      <c r="AV3" s="1021"/>
      <c r="AW3" s="1021"/>
      <c r="AX3" s="1021"/>
      <c r="BC3" s="1021" t="s">
        <v>1438</v>
      </c>
      <c r="BD3" s="1021"/>
      <c r="BE3" s="1021"/>
      <c r="BF3" s="1021"/>
      <c r="BG3" s="1021"/>
      <c r="BH3" s="1021"/>
      <c r="BI3" s="1021"/>
      <c r="BL3" s="118"/>
    </row>
    <row r="4" spans="1:70">
      <c r="I4" s="74" t="s">
        <v>2729</v>
      </c>
      <c r="J4" s="74"/>
      <c r="K4" s="74"/>
      <c r="L4" s="74"/>
      <c r="M4" s="74"/>
      <c r="AE4" s="1211"/>
      <c r="AF4" s="1212"/>
      <c r="AG4" s="1212"/>
      <c r="AH4" s="1212"/>
      <c r="AK4" s="2304" t="s">
        <v>1419</v>
      </c>
      <c r="AL4" s="1209"/>
      <c r="AM4" s="1209"/>
      <c r="AN4" s="1105"/>
      <c r="AO4" s="1106"/>
      <c r="AP4" s="1107"/>
      <c r="AQ4" s="1108"/>
      <c r="AR4" s="1108"/>
      <c r="BC4" s="1116"/>
      <c r="BD4" s="1116"/>
      <c r="BE4" s="1116"/>
      <c r="BF4" s="1116"/>
      <c r="BG4" s="1116"/>
      <c r="BH4" s="1116"/>
      <c r="BI4" s="118"/>
      <c r="BL4" s="118"/>
    </row>
    <row r="5" spans="1:70" ht="16.5" thickBot="1">
      <c r="I5" s="74"/>
      <c r="J5" s="74"/>
      <c r="K5" s="74"/>
      <c r="L5" s="74"/>
      <c r="M5" s="74"/>
      <c r="P5" s="1287"/>
      <c r="Q5" s="2583"/>
      <c r="R5" s="1287"/>
      <c r="S5" s="4958">
        <v>2016</v>
      </c>
      <c r="T5" s="4958"/>
      <c r="U5" s="4958"/>
      <c r="Z5" s="4958">
        <v>2015</v>
      </c>
      <c r="AA5" s="4958"/>
      <c r="AB5" s="4958"/>
      <c r="AD5" s="163"/>
      <c r="AE5" s="1213"/>
      <c r="AF5" s="1214"/>
      <c r="AG5" s="4962">
        <v>2014</v>
      </c>
      <c r="AH5" s="4962"/>
      <c r="AI5" s="4962"/>
      <c r="AK5" s="1209"/>
      <c r="AL5" s="1209"/>
      <c r="AM5" s="1209"/>
      <c r="AN5" s="1105"/>
      <c r="AO5" s="4962">
        <v>2013</v>
      </c>
      <c r="AP5" s="4962"/>
      <c r="AQ5" s="4962"/>
      <c r="AR5" s="4962"/>
      <c r="AW5" s="4882">
        <v>2012</v>
      </c>
      <c r="AX5" s="4882"/>
      <c r="AY5" s="4882"/>
      <c r="AZ5" s="4882"/>
      <c r="BA5" s="4882"/>
      <c r="BC5" s="108"/>
      <c r="BD5" s="108"/>
      <c r="BE5" s="108"/>
      <c r="BF5" s="4882">
        <v>2011</v>
      </c>
      <c r="BG5" s="4882"/>
      <c r="BH5" s="4882"/>
      <c r="BI5" s="4882"/>
      <c r="BJ5" s="108"/>
      <c r="BK5" s="108"/>
      <c r="BL5" s="108"/>
      <c r="BM5" s="108"/>
      <c r="BN5" s="108"/>
      <c r="BO5" s="4882">
        <v>2010</v>
      </c>
      <c r="BP5" s="4882"/>
      <c r="BQ5" s="4882"/>
      <c r="BR5" s="4882"/>
    </row>
    <row r="6" spans="1:70" ht="25.5" thickBot="1">
      <c r="A6" s="743" t="s">
        <v>0</v>
      </c>
      <c r="B6" s="743" t="s">
        <v>1</v>
      </c>
      <c r="C6" s="743" t="s">
        <v>2</v>
      </c>
      <c r="D6" s="743" t="s">
        <v>1208</v>
      </c>
      <c r="E6" s="743" t="s">
        <v>1420</v>
      </c>
      <c r="F6" s="4716" t="s">
        <v>1356</v>
      </c>
      <c r="G6" s="2584" t="s">
        <v>1425</v>
      </c>
      <c r="I6" s="768" t="s">
        <v>0</v>
      </c>
      <c r="J6" s="768" t="s">
        <v>1</v>
      </c>
      <c r="K6" s="768" t="s">
        <v>2</v>
      </c>
      <c r="L6" s="768" t="s">
        <v>2721</v>
      </c>
      <c r="M6" s="768" t="s">
        <v>1420</v>
      </c>
      <c r="N6" s="1120" t="s">
        <v>1356</v>
      </c>
      <c r="P6" s="743" t="s">
        <v>0</v>
      </c>
      <c r="Q6" s="743" t="s">
        <v>1</v>
      </c>
      <c r="R6" s="743" t="s">
        <v>2</v>
      </c>
      <c r="S6" s="743" t="s">
        <v>2019</v>
      </c>
      <c r="T6" s="743" t="s">
        <v>1420</v>
      </c>
      <c r="U6" s="1120" t="s">
        <v>1356</v>
      </c>
      <c r="W6" s="835" t="s">
        <v>0</v>
      </c>
      <c r="X6" s="835" t="s">
        <v>1</v>
      </c>
      <c r="Y6" s="2286" t="s">
        <v>2</v>
      </c>
      <c r="Z6" s="2253" t="s">
        <v>1943</v>
      </c>
      <c r="AA6" s="2253" t="s">
        <v>1420</v>
      </c>
      <c r="AB6" s="1120" t="s">
        <v>1356</v>
      </c>
      <c r="AD6" s="1119" t="s">
        <v>0</v>
      </c>
      <c r="AE6" s="1119" t="s">
        <v>1</v>
      </c>
      <c r="AF6" s="1119" t="s">
        <v>2</v>
      </c>
      <c r="AG6" s="1119" t="s">
        <v>1208</v>
      </c>
      <c r="AH6" s="1119" t="s">
        <v>1420</v>
      </c>
      <c r="AI6" s="1120" t="s">
        <v>1356</v>
      </c>
      <c r="AK6" s="1215" t="s">
        <v>1057</v>
      </c>
      <c r="AL6" s="1215" t="s">
        <v>0</v>
      </c>
      <c r="AM6" s="1215" t="s">
        <v>1</v>
      </c>
      <c r="AN6" s="1215" t="s">
        <v>2</v>
      </c>
      <c r="AO6" s="1215" t="s">
        <v>1208</v>
      </c>
      <c r="AP6" s="1215" t="s">
        <v>1420</v>
      </c>
      <c r="AQ6" s="1215" t="s">
        <v>1421</v>
      </c>
      <c r="AR6" s="1120" t="s">
        <v>1356</v>
      </c>
      <c r="AS6" s="73"/>
      <c r="AT6" s="1216" t="s">
        <v>0</v>
      </c>
      <c r="AU6" s="1216" t="s">
        <v>1</v>
      </c>
      <c r="AV6" s="1216" t="s">
        <v>2</v>
      </c>
      <c r="AW6" s="1031" t="s">
        <v>1422</v>
      </c>
      <c r="AX6" s="1031" t="s">
        <v>1356</v>
      </c>
      <c r="AY6" s="1217" t="s">
        <v>1420</v>
      </c>
      <c r="AZ6" s="1031" t="s">
        <v>1423</v>
      </c>
      <c r="BA6" s="1032" t="s">
        <v>1356</v>
      </c>
      <c r="BB6" s="73"/>
      <c r="BC6" s="1218" t="s">
        <v>0</v>
      </c>
      <c r="BD6" s="1218" t="s">
        <v>1</v>
      </c>
      <c r="BE6" s="1218" t="s">
        <v>2</v>
      </c>
      <c r="BF6" s="733" t="s">
        <v>1420</v>
      </c>
      <c r="BG6" s="1005" t="s">
        <v>1424</v>
      </c>
      <c r="BH6" s="1005" t="s">
        <v>1425</v>
      </c>
      <c r="BI6" s="1219" t="s">
        <v>1356</v>
      </c>
      <c r="BJ6" s="80"/>
      <c r="BK6" s="80"/>
      <c r="BL6" s="1220" t="s">
        <v>0</v>
      </c>
      <c r="BM6" s="1220" t="s">
        <v>1</v>
      </c>
      <c r="BN6" s="1220" t="s">
        <v>2</v>
      </c>
      <c r="BO6" s="1220" t="s">
        <v>1208</v>
      </c>
      <c r="BP6" s="1220" t="s">
        <v>1355</v>
      </c>
      <c r="BQ6" s="1221" t="s">
        <v>1357</v>
      </c>
      <c r="BR6" s="1222" t="s">
        <v>1358</v>
      </c>
    </row>
    <row r="7" spans="1:70">
      <c r="A7" s="73" t="s">
        <v>3</v>
      </c>
      <c r="B7" s="73" t="s">
        <v>4</v>
      </c>
      <c r="C7" s="4613"/>
      <c r="D7" s="4615"/>
      <c r="E7" s="4615"/>
      <c r="G7" s="163">
        <v>9</v>
      </c>
      <c r="H7" s="163"/>
      <c r="I7" s="108" t="s">
        <v>3</v>
      </c>
      <c r="J7" s="150" t="s">
        <v>4</v>
      </c>
      <c r="K7" s="108" t="s">
        <v>116</v>
      </c>
      <c r="L7" s="1189">
        <v>9</v>
      </c>
      <c r="M7" s="150">
        <v>1</v>
      </c>
      <c r="N7" s="2288">
        <f>L7-9</f>
        <v>0</v>
      </c>
      <c r="P7" s="163" t="s">
        <v>3</v>
      </c>
      <c r="Q7" s="163" t="s">
        <v>4</v>
      </c>
      <c r="R7" s="80" t="s">
        <v>116</v>
      </c>
      <c r="S7" s="212">
        <v>11.57</v>
      </c>
      <c r="T7" s="163">
        <v>7</v>
      </c>
      <c r="U7" s="2288">
        <f>S7-6</f>
        <v>5.57</v>
      </c>
      <c r="W7" s="2191" t="s">
        <v>3</v>
      </c>
      <c r="X7" s="2191" t="s">
        <v>4</v>
      </c>
      <c r="Y7" s="2287" t="s">
        <v>116</v>
      </c>
      <c r="Z7" s="2288">
        <v>9.3333333333333339</v>
      </c>
      <c r="AA7" s="2289">
        <v>3</v>
      </c>
      <c r="AB7" s="2288">
        <f>Z7-6</f>
        <v>3.3333333333333339</v>
      </c>
      <c r="AD7" s="1223" t="s">
        <v>3</v>
      </c>
      <c r="AE7" s="1223" t="s">
        <v>4</v>
      </c>
      <c r="AF7" s="1224" t="s">
        <v>116</v>
      </c>
      <c r="AG7" s="1225">
        <v>9.1999999999999993</v>
      </c>
      <c r="AH7" s="1226">
        <v>5</v>
      </c>
      <c r="AI7" s="1130">
        <f>AG7-6</f>
        <v>3.1999999999999993</v>
      </c>
      <c r="AK7" s="966" t="s">
        <v>1439</v>
      </c>
      <c r="AL7" s="966" t="s">
        <v>3</v>
      </c>
      <c r="AM7" s="966" t="s">
        <v>4</v>
      </c>
      <c r="AN7" s="734" t="s">
        <v>116</v>
      </c>
      <c r="AO7" s="736">
        <v>11.272727272727272</v>
      </c>
      <c r="AP7" s="735">
        <v>11</v>
      </c>
      <c r="AQ7" s="1042">
        <v>2.3702704103502237</v>
      </c>
      <c r="AR7" s="735">
        <f>AO7-6</f>
        <v>5.2727272727272716</v>
      </c>
      <c r="AS7" s="73"/>
      <c r="AT7" s="1227" t="s">
        <v>3</v>
      </c>
      <c r="AU7" s="1227" t="s">
        <v>4</v>
      </c>
      <c r="AV7" s="1228" t="s">
        <v>116</v>
      </c>
      <c r="AW7" s="1229">
        <v>10</v>
      </c>
      <c r="AX7" s="1229">
        <f>AW7-BH7</f>
        <v>4</v>
      </c>
      <c r="AY7" s="1230">
        <v>5</v>
      </c>
      <c r="AZ7" s="1231">
        <v>13</v>
      </c>
      <c r="BA7" s="1232">
        <f>AZ7-BH7</f>
        <v>7</v>
      </c>
      <c r="BB7" s="73"/>
      <c r="BC7" s="80" t="s">
        <v>3</v>
      </c>
      <c r="BD7" s="80" t="s">
        <v>4</v>
      </c>
      <c r="BE7" s="80" t="s">
        <v>116</v>
      </c>
      <c r="BF7" s="163">
        <v>10</v>
      </c>
      <c r="BG7" s="212">
        <v>13.6</v>
      </c>
      <c r="BH7" s="163">
        <v>6</v>
      </c>
      <c r="BI7" s="212">
        <f>+BG7-BH7</f>
        <v>7.6</v>
      </c>
      <c r="BJ7" s="80"/>
      <c r="BK7" s="80"/>
      <c r="BL7" s="1233" t="s">
        <v>3</v>
      </c>
      <c r="BM7" s="1234" t="s">
        <v>4</v>
      </c>
      <c r="BN7" s="1233" t="s">
        <v>116</v>
      </c>
      <c r="BO7" s="1235">
        <v>11</v>
      </c>
      <c r="BP7" s="1234">
        <v>4</v>
      </c>
      <c r="BQ7" s="1236">
        <v>6</v>
      </c>
      <c r="BR7" s="1235">
        <f>BO7-BQ7</f>
        <v>5</v>
      </c>
    </row>
    <row r="8" spans="1:70">
      <c r="A8" s="73"/>
      <c r="B8" s="73"/>
      <c r="C8" s="4613"/>
      <c r="D8" s="4615"/>
      <c r="E8" s="4615"/>
      <c r="G8" s="163">
        <v>12</v>
      </c>
      <c r="H8" s="163"/>
      <c r="I8" s="108"/>
      <c r="J8" s="150"/>
      <c r="K8" s="108" t="s">
        <v>117</v>
      </c>
      <c r="L8" s="1189">
        <v>22</v>
      </c>
      <c r="M8" s="150">
        <v>1</v>
      </c>
      <c r="N8" s="2288">
        <f>L8-12</f>
        <v>10</v>
      </c>
      <c r="P8" s="163"/>
      <c r="Q8" s="163"/>
      <c r="R8" s="80"/>
      <c r="S8" s="212"/>
      <c r="T8" s="163"/>
      <c r="U8" s="2288"/>
      <c r="W8" s="2191"/>
      <c r="X8" s="2191"/>
      <c r="Y8" s="2287" t="s">
        <v>117</v>
      </c>
      <c r="Z8" s="2288">
        <v>18</v>
      </c>
      <c r="AA8" s="2289">
        <v>1</v>
      </c>
      <c r="AB8" s="2288">
        <f t="shared" ref="AB8:AB51" si="0">Z8-9</f>
        <v>9</v>
      </c>
      <c r="AD8" s="1223"/>
      <c r="AE8" s="1223"/>
      <c r="AF8" s="1237" t="s">
        <v>572</v>
      </c>
      <c r="AG8" s="1238">
        <v>9.1999999999999993</v>
      </c>
      <c r="AH8" s="1239">
        <v>5</v>
      </c>
      <c r="AI8" s="1152">
        <f t="shared" ref="AI8:AI13" si="1">AG8-6</f>
        <v>3.1999999999999993</v>
      </c>
      <c r="AK8" s="966"/>
      <c r="AL8" s="966"/>
      <c r="AM8" s="966"/>
      <c r="AN8" s="734" t="s">
        <v>117</v>
      </c>
      <c r="AO8" s="736">
        <v>21.5</v>
      </c>
      <c r="AP8" s="735">
        <v>2</v>
      </c>
      <c r="AQ8" s="1042">
        <v>2.1213203435596424</v>
      </c>
      <c r="AR8" s="735">
        <f>AO8-9</f>
        <v>12.5</v>
      </c>
      <c r="AS8" s="73"/>
      <c r="AT8" s="1227"/>
      <c r="AU8" s="1227"/>
      <c r="AV8" s="1228" t="s">
        <v>117</v>
      </c>
      <c r="AW8" s="1229">
        <v>13</v>
      </c>
      <c r="AX8" s="1229">
        <f t="shared" ref="AX8:AX41" si="2">AW8-BH8</f>
        <v>4</v>
      </c>
      <c r="AY8" s="1230">
        <v>1</v>
      </c>
      <c r="AZ8" s="1231">
        <v>13</v>
      </c>
      <c r="BA8" s="1232">
        <f t="shared" ref="BA8:BA41" si="3">AZ8-BH8</f>
        <v>4</v>
      </c>
      <c r="BB8" s="73"/>
      <c r="BC8" s="80"/>
      <c r="BD8" s="80"/>
      <c r="BE8" s="80" t="s">
        <v>117</v>
      </c>
      <c r="BF8" s="163">
        <v>1</v>
      </c>
      <c r="BG8" s="212">
        <v>18</v>
      </c>
      <c r="BH8" s="163">
        <v>9</v>
      </c>
      <c r="BI8" s="212">
        <f>+BG8-BH8</f>
        <v>9</v>
      </c>
      <c r="BJ8" s="80"/>
      <c r="BK8" s="80"/>
      <c r="BL8" s="1233"/>
      <c r="BM8" s="1234"/>
      <c r="BN8" s="1233" t="s">
        <v>117</v>
      </c>
      <c r="BO8" s="1235">
        <v>14</v>
      </c>
      <c r="BP8" s="1234">
        <v>2</v>
      </c>
      <c r="BQ8" s="1236">
        <v>9</v>
      </c>
      <c r="BR8" s="1235">
        <f>BO8-BQ8</f>
        <v>5</v>
      </c>
    </row>
    <row r="9" spans="1:70">
      <c r="A9" s="73"/>
      <c r="B9" s="73"/>
      <c r="C9" s="73" t="s">
        <v>708</v>
      </c>
      <c r="D9" s="2327">
        <v>11</v>
      </c>
      <c r="E9" s="161">
        <v>1</v>
      </c>
      <c r="F9" s="212">
        <f>D9-G9</f>
        <v>-1</v>
      </c>
      <c r="G9" s="163">
        <v>12</v>
      </c>
      <c r="H9" s="163"/>
      <c r="I9" s="108"/>
      <c r="J9" s="150"/>
      <c r="K9" s="108" t="s">
        <v>708</v>
      </c>
      <c r="L9" s="1189">
        <v>9</v>
      </c>
      <c r="M9" s="150">
        <v>1</v>
      </c>
      <c r="N9" s="2288">
        <f t="shared" ref="N9" si="4">L9-12</f>
        <v>-3</v>
      </c>
      <c r="P9" s="163"/>
      <c r="Q9" s="163"/>
      <c r="R9" s="1245" t="s">
        <v>572</v>
      </c>
      <c r="S9" s="1246">
        <v>11.57</v>
      </c>
      <c r="T9" s="213">
        <v>7</v>
      </c>
      <c r="U9" s="1152">
        <f>+(T7*U7+T8*U8)/T9</f>
        <v>5.57</v>
      </c>
      <c r="W9" s="2191"/>
      <c r="X9" s="2191"/>
      <c r="Y9" s="2290" t="s">
        <v>572</v>
      </c>
      <c r="Z9" s="2291">
        <v>11.5</v>
      </c>
      <c r="AA9" s="2292">
        <v>4</v>
      </c>
      <c r="AB9" s="1152">
        <f>+(AA7*AB7+AA8*AB8)/AA9</f>
        <v>4.75</v>
      </c>
      <c r="AD9" s="1223"/>
      <c r="AE9" s="1223" t="s">
        <v>16</v>
      </c>
      <c r="AF9" s="1224" t="s">
        <v>119</v>
      </c>
      <c r="AG9" s="1225">
        <v>9.8571428571428577</v>
      </c>
      <c r="AH9" s="1226">
        <v>7</v>
      </c>
      <c r="AI9" s="1130">
        <f>AG9-9</f>
        <v>0.85714285714285765</v>
      </c>
      <c r="AK9" s="966"/>
      <c r="AL9" s="966"/>
      <c r="AM9" s="966"/>
      <c r="AN9" s="1061" t="s">
        <v>572</v>
      </c>
      <c r="AO9" s="739">
        <v>12.846153846153847</v>
      </c>
      <c r="AP9" s="740">
        <v>13</v>
      </c>
      <c r="AQ9" s="1062">
        <v>4.4505833671207986</v>
      </c>
      <c r="AR9" s="1240">
        <f>+(AP7*AR7+AP8*AR8)/AP9</f>
        <v>6.3846153846153832</v>
      </c>
      <c r="AS9" s="73"/>
      <c r="AT9" s="1227"/>
      <c r="AU9" s="1227"/>
      <c r="AV9" s="1241" t="s">
        <v>572</v>
      </c>
      <c r="AW9" s="1240">
        <v>10.5</v>
      </c>
      <c r="AX9" s="1240">
        <f>+(AY7*AX7+AY8*AX8)/AY9</f>
        <v>4</v>
      </c>
      <c r="AY9" s="1242">
        <v>6</v>
      </c>
      <c r="AZ9" s="1243">
        <v>13</v>
      </c>
      <c r="BA9" s="1244">
        <f>+(AY7*BA7+AY8*BA8)/AY9</f>
        <v>6.5</v>
      </c>
      <c r="BB9" s="73"/>
      <c r="BC9" s="80"/>
      <c r="BD9" s="80"/>
      <c r="BE9" s="1245" t="s">
        <v>15</v>
      </c>
      <c r="BF9" s="213">
        <v>11</v>
      </c>
      <c r="BG9" s="1246">
        <v>13.999999999999998</v>
      </c>
      <c r="BH9" s="213"/>
      <c r="BI9" s="1246">
        <f>+(BF7*BI7+BF8*BI8)/BF9</f>
        <v>7.7272727272727275</v>
      </c>
      <c r="BJ9" s="1247">
        <f>AVERAGE(BI7:BI8)</f>
        <v>8.3000000000000007</v>
      </c>
      <c r="BK9" s="80"/>
      <c r="BL9" s="1233"/>
      <c r="BM9" s="1234"/>
      <c r="BN9" s="1234" t="s">
        <v>15</v>
      </c>
      <c r="BO9" s="1235">
        <v>12</v>
      </c>
      <c r="BP9" s="1234">
        <v>6</v>
      </c>
      <c r="BQ9" s="1236"/>
      <c r="BR9" s="1248">
        <f>AVERAGE(BR7:BR8)</f>
        <v>5</v>
      </c>
    </row>
    <row r="10" spans="1:70">
      <c r="A10" s="73"/>
      <c r="B10" s="73"/>
      <c r="C10" s="73" t="s">
        <v>707</v>
      </c>
      <c r="D10" s="2327">
        <v>11</v>
      </c>
      <c r="E10" s="161">
        <v>1</v>
      </c>
      <c r="F10" s="212">
        <f t="shared" ref="F10:F54" si="5">D10-G10</f>
        <v>2</v>
      </c>
      <c r="G10" s="163">
        <v>9</v>
      </c>
      <c r="H10" s="163"/>
      <c r="I10" s="108"/>
      <c r="J10" s="150"/>
      <c r="K10" s="108" t="s">
        <v>707</v>
      </c>
      <c r="L10" s="1189">
        <v>12</v>
      </c>
      <c r="M10" s="150">
        <v>2</v>
      </c>
      <c r="N10" s="2288">
        <f>L10-9</f>
        <v>3</v>
      </c>
      <c r="P10" s="163"/>
      <c r="Q10" s="163"/>
      <c r="R10" s="1245"/>
      <c r="S10" s="1246"/>
      <c r="T10" s="213"/>
      <c r="U10" s="2288"/>
      <c r="W10" s="2191"/>
      <c r="X10" s="2191" t="s">
        <v>16</v>
      </c>
      <c r="Y10" s="2287" t="s">
        <v>129</v>
      </c>
      <c r="Z10" s="2288">
        <v>11</v>
      </c>
      <c r="AA10" s="2289">
        <v>1</v>
      </c>
      <c r="AB10" s="2288">
        <f t="shared" si="0"/>
        <v>2</v>
      </c>
      <c r="AD10" s="1223"/>
      <c r="AE10" s="1223"/>
      <c r="AF10" s="1224" t="s">
        <v>120</v>
      </c>
      <c r="AG10" s="1225">
        <v>12.2</v>
      </c>
      <c r="AH10" s="1226">
        <v>5</v>
      </c>
      <c r="AI10" s="1130">
        <f>AG10-12</f>
        <v>0.19999999999999929</v>
      </c>
      <c r="AK10" s="966"/>
      <c r="AL10" s="966"/>
      <c r="AM10" s="966" t="s">
        <v>16</v>
      </c>
      <c r="AN10" s="734" t="s">
        <v>119</v>
      </c>
      <c r="AO10" s="736">
        <v>9.7499999999999982</v>
      </c>
      <c r="AP10" s="735">
        <v>8</v>
      </c>
      <c r="AQ10" s="1147">
        <v>0.70710678118654746</v>
      </c>
      <c r="AR10" s="735">
        <f>AO10-9</f>
        <v>0.74999999999999822</v>
      </c>
      <c r="AS10" s="73"/>
      <c r="AT10" s="1227"/>
      <c r="AU10" s="1227" t="s">
        <v>16</v>
      </c>
      <c r="AV10" s="1228" t="s">
        <v>119</v>
      </c>
      <c r="AW10" s="1229">
        <v>9.5</v>
      </c>
      <c r="AX10" s="1229">
        <f t="shared" si="2"/>
        <v>0.5</v>
      </c>
      <c r="AY10" s="1230">
        <v>4</v>
      </c>
      <c r="AZ10" s="1231">
        <v>10.5</v>
      </c>
      <c r="BA10" s="1232">
        <f t="shared" si="3"/>
        <v>1.5</v>
      </c>
      <c r="BB10" s="73"/>
      <c r="BC10" s="80"/>
      <c r="BD10" s="80" t="s">
        <v>16</v>
      </c>
      <c r="BE10" s="80" t="s">
        <v>119</v>
      </c>
      <c r="BF10" s="163">
        <v>1</v>
      </c>
      <c r="BG10" s="212">
        <v>9</v>
      </c>
      <c r="BH10" s="163">
        <v>9</v>
      </c>
      <c r="BI10" s="212">
        <f>+BG10-BH10</f>
        <v>0</v>
      </c>
      <c r="BJ10" s="80"/>
      <c r="BK10" s="80"/>
      <c r="BL10" s="1233"/>
      <c r="BM10" s="1234" t="s">
        <v>16</v>
      </c>
      <c r="BN10" s="1233" t="s">
        <v>129</v>
      </c>
      <c r="BO10" s="1235">
        <v>9</v>
      </c>
      <c r="BP10" s="1234">
        <v>1</v>
      </c>
      <c r="BQ10" s="1236">
        <v>12</v>
      </c>
      <c r="BR10" s="1235">
        <f>BO10-BQ10</f>
        <v>-3</v>
      </c>
    </row>
    <row r="11" spans="1:70">
      <c r="A11" s="73"/>
      <c r="B11" s="73" t="s">
        <v>16</v>
      </c>
      <c r="C11" s="73" t="s">
        <v>2713</v>
      </c>
      <c r="D11" s="2327">
        <v>8.5</v>
      </c>
      <c r="E11" s="161">
        <v>2</v>
      </c>
      <c r="F11" s="212">
        <f t="shared" si="5"/>
        <v>-0.5</v>
      </c>
      <c r="G11" s="163">
        <v>9</v>
      </c>
      <c r="H11" s="163"/>
      <c r="I11" s="108"/>
      <c r="J11" s="150"/>
      <c r="K11" s="108" t="s">
        <v>2713</v>
      </c>
      <c r="L11" s="1189">
        <v>9.4</v>
      </c>
      <c r="M11" s="150">
        <v>5</v>
      </c>
      <c r="N11" s="2288">
        <f>L11-9</f>
        <v>0.40000000000000036</v>
      </c>
      <c r="P11" s="163"/>
      <c r="Q11" s="163" t="s">
        <v>16</v>
      </c>
      <c r="R11" s="80" t="s">
        <v>119</v>
      </c>
      <c r="S11" s="212">
        <v>10.33</v>
      </c>
      <c r="T11" s="163">
        <v>6</v>
      </c>
      <c r="U11" s="2288">
        <f t="shared" ref="U11:U17" si="6">S11-9</f>
        <v>1.33</v>
      </c>
      <c r="W11" s="2191"/>
      <c r="X11" s="2191"/>
      <c r="Y11" s="2287" t="s">
        <v>119</v>
      </c>
      <c r="Z11" s="2288">
        <v>11</v>
      </c>
      <c r="AA11" s="2289">
        <v>2</v>
      </c>
      <c r="AB11" s="2288">
        <f t="shared" si="0"/>
        <v>2</v>
      </c>
      <c r="AD11" s="1223"/>
      <c r="AE11" s="1223"/>
      <c r="AF11" s="1237" t="s">
        <v>573</v>
      </c>
      <c r="AG11" s="1238">
        <v>10.833333333333334</v>
      </c>
      <c r="AH11" s="1239">
        <v>12</v>
      </c>
      <c r="AI11" s="1152">
        <f>+(AH9*AI9+AH10*AI10)/AH11</f>
        <v>0.58333333333333337</v>
      </c>
      <c r="AK11" s="966"/>
      <c r="AL11" s="966"/>
      <c r="AM11" s="966"/>
      <c r="AN11" s="1061" t="s">
        <v>573</v>
      </c>
      <c r="AO11" s="739">
        <v>9.7499999999999982</v>
      </c>
      <c r="AP11" s="740">
        <v>8</v>
      </c>
      <c r="AQ11" s="1154">
        <v>0.70710678118654746</v>
      </c>
      <c r="AR11" s="1240">
        <f>+(AP10*AR10)/AP11</f>
        <v>0.74999999999999822</v>
      </c>
      <c r="AS11" s="73"/>
      <c r="AT11" s="1227"/>
      <c r="AU11" s="1227"/>
      <c r="AV11" s="1228" t="s">
        <v>120</v>
      </c>
      <c r="AW11" s="1229">
        <v>9</v>
      </c>
      <c r="AX11" s="1229">
        <f t="shared" si="2"/>
        <v>0</v>
      </c>
      <c r="AY11" s="1230">
        <v>2</v>
      </c>
      <c r="AZ11" s="1231">
        <v>9</v>
      </c>
      <c r="BA11" s="1232">
        <f t="shared" si="3"/>
        <v>0</v>
      </c>
      <c r="BB11" s="73"/>
      <c r="BC11" s="80"/>
      <c r="BD11" s="80"/>
      <c r="BE11" s="80" t="s">
        <v>120</v>
      </c>
      <c r="BF11" s="163">
        <v>5</v>
      </c>
      <c r="BG11" s="212">
        <v>8.8000000000000007</v>
      </c>
      <c r="BH11" s="163">
        <v>9</v>
      </c>
      <c r="BI11" s="212">
        <f>+BG11-BH11</f>
        <v>-0.19999999999999929</v>
      </c>
      <c r="BJ11" s="80"/>
      <c r="BK11" s="80"/>
      <c r="BL11" s="1233"/>
      <c r="BM11" s="1234"/>
      <c r="BN11" s="1233" t="s">
        <v>119</v>
      </c>
      <c r="BO11" s="1235">
        <v>9</v>
      </c>
      <c r="BP11" s="1234">
        <v>2</v>
      </c>
      <c r="BQ11" s="1236">
        <v>9</v>
      </c>
      <c r="BR11" s="1235">
        <f>BO11-BQ11</f>
        <v>0</v>
      </c>
    </row>
    <row r="12" spans="1:70" ht="15.75" customHeight="1">
      <c r="A12" s="73"/>
      <c r="B12" s="73"/>
      <c r="C12" s="738" t="s">
        <v>572</v>
      </c>
      <c r="D12" s="2342">
        <v>9.75</v>
      </c>
      <c r="E12" s="4674">
        <v>4</v>
      </c>
      <c r="F12" s="1152">
        <f>+(E7*F7+E8*F8+E9*F9+E10*F10+E11*F11)/E12</f>
        <v>0</v>
      </c>
      <c r="G12" s="163"/>
      <c r="H12" s="163"/>
      <c r="I12" s="108"/>
      <c r="J12" s="150"/>
      <c r="K12" s="3292" t="s">
        <v>572</v>
      </c>
      <c r="L12" s="3293">
        <v>11.1</v>
      </c>
      <c r="M12" s="3294">
        <v>10</v>
      </c>
      <c r="N12" s="1152">
        <f>+(M7*N7+M8*N8+M9*N9+M10*N10+M11*N11)/M12</f>
        <v>1.5000000000000002</v>
      </c>
      <c r="P12" s="163"/>
      <c r="Q12" s="163"/>
      <c r="R12" s="80" t="s">
        <v>120</v>
      </c>
      <c r="S12" s="212">
        <v>12.8</v>
      </c>
      <c r="T12" s="163">
        <v>5</v>
      </c>
      <c r="U12" s="2288">
        <f t="shared" si="6"/>
        <v>3.8000000000000007</v>
      </c>
      <c r="W12" s="2191"/>
      <c r="X12" s="2191"/>
      <c r="Y12" s="2287" t="s">
        <v>120</v>
      </c>
      <c r="Z12" s="2288">
        <v>11.75</v>
      </c>
      <c r="AA12" s="2289">
        <v>4</v>
      </c>
      <c r="AB12" s="2288">
        <f t="shared" si="0"/>
        <v>2.75</v>
      </c>
      <c r="AD12" s="1223"/>
      <c r="AE12" s="1223" t="s">
        <v>105</v>
      </c>
      <c r="AF12" s="1224" t="s">
        <v>106</v>
      </c>
      <c r="AG12" s="1225">
        <v>9.8888888888888893</v>
      </c>
      <c r="AH12" s="1226">
        <v>9</v>
      </c>
      <c r="AI12" s="1130">
        <f t="shared" si="1"/>
        <v>3.8888888888888893</v>
      </c>
      <c r="AK12" s="966"/>
      <c r="AL12" s="966"/>
      <c r="AM12" s="966" t="s">
        <v>105</v>
      </c>
      <c r="AN12" s="734" t="s">
        <v>106</v>
      </c>
      <c r="AO12" s="736">
        <v>8.3333333333333339</v>
      </c>
      <c r="AP12" s="735">
        <v>9</v>
      </c>
      <c r="AQ12" s="1042">
        <v>2</v>
      </c>
      <c r="AR12" s="735">
        <f>AO12-6</f>
        <v>2.3333333333333339</v>
      </c>
      <c r="AS12" s="73"/>
      <c r="AT12" s="1227"/>
      <c r="AU12" s="1227"/>
      <c r="AV12" s="1241" t="s">
        <v>573</v>
      </c>
      <c r="AW12" s="1240">
        <v>9.3333333333333321</v>
      </c>
      <c r="AX12" s="1240">
        <f>+(AY10*AX10+AY11*AX11)/AY12</f>
        <v>0.33333333333333331</v>
      </c>
      <c r="AY12" s="1242">
        <v>6</v>
      </c>
      <c r="AZ12" s="1243">
        <v>10</v>
      </c>
      <c r="BA12" s="1244">
        <f>+(AY10*BA10+AY11*BA11)/AY12</f>
        <v>1</v>
      </c>
      <c r="BB12" s="73"/>
      <c r="BC12" s="80"/>
      <c r="BD12" s="80"/>
      <c r="BE12" s="1245" t="s">
        <v>15</v>
      </c>
      <c r="BF12" s="213">
        <v>6</v>
      </c>
      <c r="BG12" s="1246">
        <v>8.8333333333333339</v>
      </c>
      <c r="BH12" s="213"/>
      <c r="BI12" s="1246">
        <f>+(BF10*BI10+BF11*BI11)/BF12</f>
        <v>-0.16666666666666607</v>
      </c>
      <c r="BJ12" s="1247">
        <f>AVERAGE(BI10:BI11)</f>
        <v>-9.9999999999999645E-2</v>
      </c>
      <c r="BK12" s="80"/>
      <c r="BL12" s="1233"/>
      <c r="BM12" s="1234"/>
      <c r="BN12" s="1234" t="s">
        <v>15</v>
      </c>
      <c r="BO12" s="1235">
        <v>9</v>
      </c>
      <c r="BP12" s="1234">
        <v>3</v>
      </c>
      <c r="BQ12" s="1236"/>
      <c r="BR12" s="1248">
        <f>BO12-9+AVERAGE(BR10:BR11)</f>
        <v>-1.5</v>
      </c>
    </row>
    <row r="13" spans="1:70">
      <c r="A13" s="73"/>
      <c r="B13" s="73"/>
      <c r="C13" s="73" t="s">
        <v>119</v>
      </c>
      <c r="D13" s="2327">
        <v>13.67</v>
      </c>
      <c r="E13" s="161">
        <v>3</v>
      </c>
      <c r="F13" s="212">
        <f t="shared" si="5"/>
        <v>4.67</v>
      </c>
      <c r="G13" s="163">
        <v>9</v>
      </c>
      <c r="H13" s="163"/>
      <c r="I13" s="108"/>
      <c r="J13" s="150" t="s">
        <v>16</v>
      </c>
      <c r="K13" s="108" t="s">
        <v>129</v>
      </c>
      <c r="L13" s="1189">
        <v>9</v>
      </c>
      <c r="M13" s="150">
        <v>1</v>
      </c>
      <c r="N13" s="2288">
        <f t="shared" ref="N13:N19" si="7">L13-9</f>
        <v>0</v>
      </c>
      <c r="P13" s="163"/>
      <c r="Q13" s="163"/>
      <c r="R13" s="1245" t="s">
        <v>573</v>
      </c>
      <c r="S13" s="1246">
        <v>11.45</v>
      </c>
      <c r="T13" s="213">
        <v>11</v>
      </c>
      <c r="U13" s="1152">
        <f>+(T10*U10+T11*U11+T12*U12)/T13</f>
        <v>2.4527272727272731</v>
      </c>
      <c r="W13" s="2191"/>
      <c r="X13" s="2191"/>
      <c r="Y13" s="2290" t="s">
        <v>573</v>
      </c>
      <c r="Z13" s="2291">
        <v>11.428571428571427</v>
      </c>
      <c r="AA13" s="2292">
        <v>7</v>
      </c>
      <c r="AB13" s="1152">
        <f>+(AA10*AB10+AA11*AB11+AA12*AB12)/AA13</f>
        <v>2.4285714285714284</v>
      </c>
      <c r="AD13" s="1223"/>
      <c r="AE13" s="1223"/>
      <c r="AF13" s="1237" t="s">
        <v>888</v>
      </c>
      <c r="AG13" s="1238">
        <v>9.8888888888888893</v>
      </c>
      <c r="AH13" s="1239">
        <v>9</v>
      </c>
      <c r="AI13" s="1152">
        <f t="shared" si="1"/>
        <v>3.8888888888888893</v>
      </c>
      <c r="AK13" s="966"/>
      <c r="AL13" s="966"/>
      <c r="AM13" s="966"/>
      <c r="AN13" s="1061" t="s">
        <v>888</v>
      </c>
      <c r="AO13" s="739">
        <v>8.3333333333333339</v>
      </c>
      <c r="AP13" s="740">
        <v>9</v>
      </c>
      <c r="AQ13" s="1062">
        <v>2</v>
      </c>
      <c r="AR13" s="1240">
        <f>+(AP12*AR12)/AP13</f>
        <v>2.3333333333333339</v>
      </c>
      <c r="AS13" s="73"/>
      <c r="AT13" s="1227"/>
      <c r="AU13" s="1227" t="s">
        <v>105</v>
      </c>
      <c r="AV13" s="1228" t="s">
        <v>106</v>
      </c>
      <c r="AW13" s="1229">
        <v>6</v>
      </c>
      <c r="AX13" s="1229">
        <f t="shared" si="2"/>
        <v>0</v>
      </c>
      <c r="AY13" s="1230">
        <v>2</v>
      </c>
      <c r="AZ13" s="1231">
        <v>6</v>
      </c>
      <c r="BA13" s="1232">
        <f t="shared" si="3"/>
        <v>0</v>
      </c>
      <c r="BB13" s="73"/>
      <c r="BC13" s="80"/>
      <c r="BD13" s="80" t="s">
        <v>105</v>
      </c>
      <c r="BE13" s="80" t="s">
        <v>106</v>
      </c>
      <c r="BF13" s="163">
        <v>7</v>
      </c>
      <c r="BG13" s="212">
        <v>7.5714285714285712</v>
      </c>
      <c r="BH13" s="163">
        <v>6</v>
      </c>
      <c r="BI13" s="212">
        <f>+BG13-BH13</f>
        <v>1.5714285714285712</v>
      </c>
      <c r="BJ13" s="80"/>
      <c r="BK13" s="80"/>
      <c r="BL13" s="1233"/>
      <c r="BM13" s="1234" t="s">
        <v>105</v>
      </c>
      <c r="BN13" s="1233" t="s">
        <v>106</v>
      </c>
      <c r="BO13" s="1235">
        <v>8.4</v>
      </c>
      <c r="BP13" s="1234">
        <v>5</v>
      </c>
      <c r="BQ13" s="1236">
        <v>6</v>
      </c>
      <c r="BR13" s="1235">
        <f>BO13-6</f>
        <v>2.4000000000000004</v>
      </c>
    </row>
    <row r="14" spans="1:70">
      <c r="A14" s="73"/>
      <c r="B14" s="73" t="s">
        <v>21</v>
      </c>
      <c r="C14" s="73" t="s">
        <v>120</v>
      </c>
      <c r="D14" s="2327">
        <v>13.67</v>
      </c>
      <c r="E14" s="161">
        <v>3</v>
      </c>
      <c r="F14" s="212">
        <f t="shared" si="5"/>
        <v>4.67</v>
      </c>
      <c r="G14" s="163">
        <v>9</v>
      </c>
      <c r="H14" s="163"/>
      <c r="I14" s="108"/>
      <c r="J14" s="150"/>
      <c r="K14" s="108" t="s">
        <v>119</v>
      </c>
      <c r="L14" s="1189">
        <v>15</v>
      </c>
      <c r="M14" s="150">
        <v>1</v>
      </c>
      <c r="N14" s="2288">
        <f t="shared" si="7"/>
        <v>6</v>
      </c>
      <c r="P14" s="163"/>
      <c r="Q14" s="163"/>
      <c r="R14" s="1245"/>
      <c r="S14" s="1246"/>
      <c r="T14" s="213"/>
      <c r="U14" s="2288"/>
      <c r="W14" s="2191"/>
      <c r="X14" s="2191" t="s">
        <v>105</v>
      </c>
      <c r="Y14" s="2287" t="s">
        <v>106</v>
      </c>
      <c r="Z14" s="2288">
        <v>13</v>
      </c>
      <c r="AA14" s="2289">
        <v>2</v>
      </c>
      <c r="AB14" s="2288">
        <f t="shared" si="0"/>
        <v>4</v>
      </c>
      <c r="AD14" s="1223"/>
      <c r="AE14" s="1223"/>
      <c r="AF14" s="1249" t="s">
        <v>107</v>
      </c>
      <c r="AG14" s="1250">
        <v>10.192307692307693</v>
      </c>
      <c r="AH14" s="1251">
        <v>26</v>
      </c>
      <c r="AI14" s="1176">
        <f>+(AH8*AI8+AH11*AI11+AH13*AI13)/AH14</f>
        <v>2.2307692307692308</v>
      </c>
      <c r="AK14" s="966"/>
      <c r="AL14" s="966"/>
      <c r="AM14" s="966"/>
      <c r="AN14" s="1155" t="s">
        <v>107</v>
      </c>
      <c r="AO14" s="1156">
        <v>10.666666666666666</v>
      </c>
      <c r="AP14" s="1157">
        <v>30</v>
      </c>
      <c r="AQ14" s="1158">
        <v>3.6703221068206111</v>
      </c>
      <c r="AR14" s="1252">
        <f>+(AP9*AR9+AP11*AR11+AP13*AR13)/AP14</f>
        <v>3.6666666666666656</v>
      </c>
      <c r="AS14" s="73"/>
      <c r="AT14" s="1227"/>
      <c r="AU14" s="1227"/>
      <c r="AV14" s="1241" t="s">
        <v>888</v>
      </c>
      <c r="AW14" s="1240">
        <v>6</v>
      </c>
      <c r="AX14" s="1240">
        <f>+(AY13*AX13)/AY14</f>
        <v>0</v>
      </c>
      <c r="AY14" s="1242">
        <v>2</v>
      </c>
      <c r="AZ14" s="1243">
        <v>6</v>
      </c>
      <c r="BA14" s="1244">
        <f>+(AY13*BA13)/AY14</f>
        <v>0</v>
      </c>
      <c r="BB14" s="73"/>
      <c r="BC14" s="80"/>
      <c r="BD14" s="80"/>
      <c r="BE14" s="1245" t="s">
        <v>15</v>
      </c>
      <c r="BF14" s="213">
        <v>7</v>
      </c>
      <c r="BG14" s="1246">
        <v>7.5714285714285712</v>
      </c>
      <c r="BH14" s="213"/>
      <c r="BI14" s="1246">
        <f>+BI13</f>
        <v>1.5714285714285712</v>
      </c>
      <c r="BJ14" s="1245">
        <v>0.86</v>
      </c>
      <c r="BK14" s="80"/>
      <c r="BL14" s="1233"/>
      <c r="BM14" s="1234"/>
      <c r="BN14" s="1234" t="s">
        <v>15</v>
      </c>
      <c r="BO14" s="1235">
        <v>8.4</v>
      </c>
      <c r="BP14" s="1234">
        <v>5</v>
      </c>
      <c r="BQ14" s="1236"/>
      <c r="BR14" s="1248">
        <f>BO14-6</f>
        <v>2.4000000000000004</v>
      </c>
    </row>
    <row r="15" spans="1:70">
      <c r="A15" s="73"/>
      <c r="B15" s="73"/>
      <c r="C15" s="738" t="s">
        <v>573</v>
      </c>
      <c r="D15" s="2342">
        <v>13.67</v>
      </c>
      <c r="E15" s="4674">
        <v>6</v>
      </c>
      <c r="F15" s="1152">
        <f>+(E13*F13+E14*F14)/E15</f>
        <v>4.67</v>
      </c>
      <c r="G15" s="163"/>
      <c r="H15" s="163"/>
      <c r="I15" s="108"/>
      <c r="J15" s="150"/>
      <c r="K15" s="108" t="s">
        <v>120</v>
      </c>
      <c r="L15" s="1189">
        <v>11.5</v>
      </c>
      <c r="M15" s="150">
        <v>2</v>
      </c>
      <c r="N15" s="2288">
        <f t="shared" si="7"/>
        <v>2.5</v>
      </c>
      <c r="P15" s="163"/>
      <c r="Q15" s="163"/>
      <c r="R15" s="1245"/>
      <c r="S15" s="1246"/>
      <c r="T15" s="213"/>
      <c r="U15" s="2288"/>
      <c r="W15" s="2191"/>
      <c r="X15" s="2191"/>
      <c r="Y15" s="2287" t="s">
        <v>1692</v>
      </c>
      <c r="Z15" s="2288">
        <v>9</v>
      </c>
      <c r="AA15" s="2289">
        <v>1</v>
      </c>
      <c r="AB15" s="2288">
        <f t="shared" si="0"/>
        <v>0</v>
      </c>
      <c r="AD15" s="1223" t="s">
        <v>25</v>
      </c>
      <c r="AE15" s="1223" t="s">
        <v>4</v>
      </c>
      <c r="AF15" s="1224" t="s">
        <v>121</v>
      </c>
      <c r="AG15" s="1225">
        <v>20.714285714285712</v>
      </c>
      <c r="AH15" s="1226">
        <v>7</v>
      </c>
      <c r="AI15" s="1130">
        <f>AG15-12</f>
        <v>8.7142857142857117</v>
      </c>
      <c r="AK15" s="966"/>
      <c r="AL15" s="966" t="s">
        <v>25</v>
      </c>
      <c r="AM15" s="966" t="s">
        <v>4</v>
      </c>
      <c r="AN15" s="734" t="s">
        <v>121</v>
      </c>
      <c r="AO15" s="736">
        <v>15.333333333333334</v>
      </c>
      <c r="AP15" s="735">
        <v>3</v>
      </c>
      <c r="AQ15" s="1042">
        <v>1.1547005383792515</v>
      </c>
      <c r="AR15" s="735">
        <f>AO15-12</f>
        <v>3.3333333333333339</v>
      </c>
      <c r="AS15" s="73"/>
      <c r="AT15" s="1253"/>
      <c r="AU15" s="1253"/>
      <c r="AV15" s="1254"/>
      <c r="AW15" s="1254"/>
      <c r="AX15" s="1254"/>
      <c r="AY15" s="1254"/>
      <c r="AZ15" s="1254"/>
      <c r="BA15" s="1254"/>
      <c r="BB15" s="73"/>
      <c r="BC15" s="1255"/>
      <c r="BD15" s="1255"/>
      <c r="BE15" s="1256"/>
      <c r="BF15" s="1257"/>
      <c r="BG15" s="1258"/>
      <c r="BH15" s="1257"/>
      <c r="BI15" s="1258"/>
      <c r="BJ15" s="80"/>
      <c r="BK15" s="80"/>
      <c r="BL15" s="1233"/>
      <c r="BM15" s="1234"/>
      <c r="BN15" s="1259" t="s">
        <v>107</v>
      </c>
      <c r="BO15" s="1248">
        <v>10.071428571428573</v>
      </c>
      <c r="BP15" s="1260">
        <v>14</v>
      </c>
      <c r="BQ15" s="1236"/>
      <c r="BR15" s="1248">
        <f>AVERAGE(BR9,BR12,BR14)</f>
        <v>1.9666666666666668</v>
      </c>
    </row>
    <row r="16" spans="1:70">
      <c r="A16" s="73"/>
      <c r="B16" s="73"/>
      <c r="C16" s="73" t="s">
        <v>1692</v>
      </c>
      <c r="D16" s="2327">
        <v>8</v>
      </c>
      <c r="E16" s="161">
        <v>1</v>
      </c>
      <c r="F16" s="212">
        <f t="shared" si="5"/>
        <v>-1</v>
      </c>
      <c r="G16" s="163">
        <v>9</v>
      </c>
      <c r="H16" s="163"/>
      <c r="I16" s="108"/>
      <c r="J16" s="150"/>
      <c r="K16" s="3292" t="s">
        <v>573</v>
      </c>
      <c r="L16" s="3293">
        <v>11.75</v>
      </c>
      <c r="M16" s="3294">
        <v>4</v>
      </c>
      <c r="N16" s="1152">
        <f>+(M13*N13+M14*N14+M15*N15)/M16</f>
        <v>2.75</v>
      </c>
      <c r="P16" s="163"/>
      <c r="Q16" s="163" t="s">
        <v>105</v>
      </c>
      <c r="R16" s="80" t="s">
        <v>1694</v>
      </c>
      <c r="S16" s="212">
        <v>9</v>
      </c>
      <c r="T16" s="163">
        <v>5</v>
      </c>
      <c r="U16" s="2288">
        <f t="shared" si="6"/>
        <v>0</v>
      </c>
      <c r="W16" s="2191"/>
      <c r="X16" s="2191"/>
      <c r="Y16" s="2287" t="s">
        <v>1693</v>
      </c>
      <c r="Z16" s="2288">
        <v>6</v>
      </c>
      <c r="AA16" s="2289">
        <v>1</v>
      </c>
      <c r="AB16" s="2288">
        <f>Z16-6</f>
        <v>0</v>
      </c>
      <c r="AD16" s="1223"/>
      <c r="AE16" s="1223"/>
      <c r="AF16" s="1224" t="s">
        <v>122</v>
      </c>
      <c r="AG16" s="1225">
        <v>17.2</v>
      </c>
      <c r="AH16" s="1226">
        <v>5</v>
      </c>
      <c r="AI16" s="1130">
        <f t="shared" ref="AI16:AI19" si="8">AG16-12</f>
        <v>5.1999999999999993</v>
      </c>
      <c r="AK16" s="966"/>
      <c r="AL16" s="966"/>
      <c r="AM16" s="966"/>
      <c r="AN16" s="734" t="s">
        <v>122</v>
      </c>
      <c r="AO16" s="736">
        <v>16.999999999999996</v>
      </c>
      <c r="AP16" s="735">
        <v>7</v>
      </c>
      <c r="AQ16" s="1042">
        <v>3.0550504633038926</v>
      </c>
      <c r="AR16" s="735">
        <f t="shared" ref="AR16:AR19" si="9">AO16-12</f>
        <v>4.9999999999999964</v>
      </c>
      <c r="AS16" s="73"/>
      <c r="AT16" s="1227" t="s">
        <v>25</v>
      </c>
      <c r="AU16" s="1227" t="s">
        <v>4</v>
      </c>
      <c r="AV16" s="1228" t="s">
        <v>121</v>
      </c>
      <c r="AW16" s="1229">
        <v>19</v>
      </c>
      <c r="AX16" s="1229">
        <f t="shared" si="2"/>
        <v>7</v>
      </c>
      <c r="AY16" s="1230">
        <v>2</v>
      </c>
      <c r="AZ16" s="1231">
        <v>24.5</v>
      </c>
      <c r="BA16" s="1232">
        <f t="shared" si="3"/>
        <v>12.5</v>
      </c>
      <c r="BB16" s="73"/>
      <c r="BC16" s="80" t="s">
        <v>25</v>
      </c>
      <c r="BD16" s="80" t="s">
        <v>4</v>
      </c>
      <c r="BE16" s="80" t="s">
        <v>121</v>
      </c>
      <c r="BF16" s="163">
        <v>4</v>
      </c>
      <c r="BG16" s="212">
        <v>14</v>
      </c>
      <c r="BH16" s="163">
        <v>12</v>
      </c>
      <c r="BI16" s="212">
        <f>+BG16-BH16</f>
        <v>2</v>
      </c>
      <c r="BJ16" s="80"/>
      <c r="BK16" s="80"/>
      <c r="BL16" s="1233" t="s">
        <v>25</v>
      </c>
      <c r="BM16" s="1234" t="s">
        <v>4</v>
      </c>
      <c r="BN16" s="1233" t="s">
        <v>1440</v>
      </c>
      <c r="BO16" s="1235">
        <v>23.454545454545457</v>
      </c>
      <c r="BP16" s="1234">
        <v>11</v>
      </c>
      <c r="BQ16" s="1236">
        <v>12</v>
      </c>
      <c r="BR16" s="1235">
        <f>BO16-BQ16</f>
        <v>11.454545454545457</v>
      </c>
    </row>
    <row r="17" spans="1:70">
      <c r="A17" s="73"/>
      <c r="B17" s="73"/>
      <c r="C17" s="73" t="s">
        <v>1694</v>
      </c>
      <c r="D17" s="2327">
        <v>10.199999999999999</v>
      </c>
      <c r="E17" s="161">
        <v>5</v>
      </c>
      <c r="F17" s="212">
        <f t="shared" si="5"/>
        <v>1.1999999999999993</v>
      </c>
      <c r="G17" s="163">
        <v>9</v>
      </c>
      <c r="H17" s="163"/>
      <c r="I17" s="108"/>
      <c r="J17" s="150" t="s">
        <v>21</v>
      </c>
      <c r="K17" s="108" t="s">
        <v>1693</v>
      </c>
      <c r="L17" s="1189">
        <v>7</v>
      </c>
      <c r="M17" s="150">
        <v>1</v>
      </c>
      <c r="N17" s="2288">
        <f t="shared" si="7"/>
        <v>-2</v>
      </c>
      <c r="P17" s="163"/>
      <c r="Q17" s="163"/>
      <c r="R17" s="80" t="s">
        <v>1695</v>
      </c>
      <c r="S17" s="212">
        <v>9.5</v>
      </c>
      <c r="T17" s="163">
        <v>2</v>
      </c>
      <c r="U17" s="2288">
        <f t="shared" si="6"/>
        <v>0.5</v>
      </c>
      <c r="W17" s="2191"/>
      <c r="X17" s="2191"/>
      <c r="Y17" s="2287" t="s">
        <v>1694</v>
      </c>
      <c r="Z17" s="2288">
        <v>9</v>
      </c>
      <c r="AA17" s="2289">
        <v>1</v>
      </c>
      <c r="AB17" s="2288">
        <f t="shared" si="0"/>
        <v>0</v>
      </c>
      <c r="AD17" s="1223"/>
      <c r="AE17" s="1223"/>
      <c r="AF17" s="1224" t="s">
        <v>123</v>
      </c>
      <c r="AG17" s="1225">
        <v>17.3125</v>
      </c>
      <c r="AH17" s="1226">
        <v>16</v>
      </c>
      <c r="AI17" s="1130">
        <f t="shared" si="8"/>
        <v>5.3125</v>
      </c>
      <c r="AK17" s="966"/>
      <c r="AL17" s="966"/>
      <c r="AM17" s="966"/>
      <c r="AN17" s="734" t="s">
        <v>123</v>
      </c>
      <c r="AO17" s="736">
        <v>14.285714285714285</v>
      </c>
      <c r="AP17" s="735">
        <v>7</v>
      </c>
      <c r="AQ17" s="1042">
        <v>4.7509397566616824</v>
      </c>
      <c r="AR17" s="735">
        <f t="shared" si="9"/>
        <v>2.2857142857142847</v>
      </c>
      <c r="AS17" s="73"/>
      <c r="AT17" s="1227"/>
      <c r="AU17" s="1227"/>
      <c r="AV17" s="1228" t="s">
        <v>122</v>
      </c>
      <c r="AW17" s="1229">
        <v>16.333333333333332</v>
      </c>
      <c r="AX17" s="1229">
        <f t="shared" si="2"/>
        <v>4.3333333333333321</v>
      </c>
      <c r="AY17" s="1230">
        <v>6</v>
      </c>
      <c r="AZ17" s="1231">
        <v>16.333333333333332</v>
      </c>
      <c r="BA17" s="1232">
        <f t="shared" si="3"/>
        <v>4.3333333333333321</v>
      </c>
      <c r="BB17" s="73"/>
      <c r="BC17" s="80"/>
      <c r="BD17" s="80"/>
      <c r="BE17" s="80" t="s">
        <v>122</v>
      </c>
      <c r="BF17" s="163">
        <v>2</v>
      </c>
      <c r="BG17" s="212">
        <v>17.5</v>
      </c>
      <c r="BH17" s="163">
        <v>12</v>
      </c>
      <c r="BI17" s="212">
        <f>+BG17-BH17</f>
        <v>5.5</v>
      </c>
      <c r="BJ17" s="80"/>
      <c r="BK17" s="80"/>
      <c r="BL17" s="1233"/>
      <c r="BM17" s="1234"/>
      <c r="BN17" s="1233" t="s">
        <v>121</v>
      </c>
      <c r="BO17" s="1235">
        <v>14</v>
      </c>
      <c r="BP17" s="1234">
        <v>1</v>
      </c>
      <c r="BQ17" s="1236">
        <v>12</v>
      </c>
      <c r="BR17" s="1235">
        <f t="shared" ref="BR17:BR31" si="10">BO17-BQ17</f>
        <v>2</v>
      </c>
    </row>
    <row r="18" spans="1:70">
      <c r="A18" s="73"/>
      <c r="B18" s="73"/>
      <c r="C18" s="73" t="s">
        <v>1695</v>
      </c>
      <c r="D18" s="2327">
        <v>9</v>
      </c>
      <c r="E18" s="161">
        <v>3</v>
      </c>
      <c r="F18" s="212">
        <f t="shared" si="5"/>
        <v>0</v>
      </c>
      <c r="G18" s="163">
        <v>9</v>
      </c>
      <c r="H18" s="163"/>
      <c r="I18" s="108"/>
      <c r="J18" s="150"/>
      <c r="K18" s="108" t="s">
        <v>1694</v>
      </c>
      <c r="L18" s="1189">
        <v>17</v>
      </c>
      <c r="M18" s="150">
        <v>1</v>
      </c>
      <c r="N18" s="2288">
        <f t="shared" si="7"/>
        <v>8</v>
      </c>
      <c r="P18" s="163"/>
      <c r="Q18" s="163"/>
      <c r="R18" s="1245" t="s">
        <v>888</v>
      </c>
      <c r="S18" s="1246">
        <v>9.14</v>
      </c>
      <c r="T18" s="213">
        <v>7</v>
      </c>
      <c r="U18" s="1152">
        <f>+(T14*U14+T15*U15+T16*U16+T17*U17)/T18</f>
        <v>0.14285714285714285</v>
      </c>
      <c r="W18" s="2191"/>
      <c r="X18" s="2191"/>
      <c r="Y18" s="2290" t="s">
        <v>888</v>
      </c>
      <c r="Z18" s="2291">
        <v>10</v>
      </c>
      <c r="AA18" s="2292">
        <v>5</v>
      </c>
      <c r="AB18" s="1152">
        <f>+(AA15*AB15+AA16*AB16+AA17*AB17)/AA18</f>
        <v>0</v>
      </c>
      <c r="AD18" s="1223"/>
      <c r="AE18" s="1223"/>
      <c r="AF18" s="1224" t="s">
        <v>124</v>
      </c>
      <c r="AG18" s="1225">
        <v>15.2</v>
      </c>
      <c r="AH18" s="1226">
        <v>5</v>
      </c>
      <c r="AI18" s="1130">
        <f t="shared" si="8"/>
        <v>3.1999999999999993</v>
      </c>
      <c r="AK18" s="966"/>
      <c r="AL18" s="966"/>
      <c r="AM18" s="966"/>
      <c r="AN18" s="734" t="s">
        <v>124</v>
      </c>
      <c r="AO18" s="736">
        <v>20.166666666666668</v>
      </c>
      <c r="AP18" s="735">
        <v>6</v>
      </c>
      <c r="AQ18" s="1042">
        <v>5.3072277760302198</v>
      </c>
      <c r="AR18" s="735">
        <f t="shared" si="9"/>
        <v>8.1666666666666679</v>
      </c>
      <c r="AS18" s="73"/>
      <c r="AT18" s="1227"/>
      <c r="AU18" s="1227"/>
      <c r="AV18" s="1228" t="s">
        <v>123</v>
      </c>
      <c r="AW18" s="1229">
        <v>17.333333333333336</v>
      </c>
      <c r="AX18" s="1229">
        <f t="shared" si="2"/>
        <v>5.3333333333333357</v>
      </c>
      <c r="AY18" s="1230">
        <v>6</v>
      </c>
      <c r="AZ18" s="1231">
        <v>17.333333333333336</v>
      </c>
      <c r="BA18" s="1232">
        <f t="shared" si="3"/>
        <v>5.3333333333333357</v>
      </c>
      <c r="BB18" s="73"/>
      <c r="BC18" s="80"/>
      <c r="BD18" s="80"/>
      <c r="BE18" s="80" t="s">
        <v>123</v>
      </c>
      <c r="BF18" s="163">
        <v>14</v>
      </c>
      <c r="BG18" s="212">
        <v>19.642857142857139</v>
      </c>
      <c r="BH18" s="163">
        <v>12</v>
      </c>
      <c r="BI18" s="212">
        <f>+BG18-BH18</f>
        <v>7.6428571428571388</v>
      </c>
      <c r="BJ18" s="80"/>
      <c r="BK18" s="80"/>
      <c r="BL18" s="1233"/>
      <c r="BM18" s="1234"/>
      <c r="BN18" s="1233" t="s">
        <v>122</v>
      </c>
      <c r="BO18" s="1235">
        <v>16</v>
      </c>
      <c r="BP18" s="1234">
        <v>5</v>
      </c>
      <c r="BQ18" s="1236">
        <v>12</v>
      </c>
      <c r="BR18" s="1235">
        <f t="shared" si="10"/>
        <v>4</v>
      </c>
    </row>
    <row r="19" spans="1:70">
      <c r="A19" s="73"/>
      <c r="B19" s="73"/>
      <c r="C19" s="738" t="s">
        <v>574</v>
      </c>
      <c r="D19" s="2342">
        <v>9.56</v>
      </c>
      <c r="E19" s="4674">
        <v>9</v>
      </c>
      <c r="F19" s="1152">
        <f>+(E16*F16+E17*F17+E18*F18)/E19</f>
        <v>0.55555555555555514</v>
      </c>
      <c r="G19" s="163"/>
      <c r="H19" s="163"/>
      <c r="I19" s="108"/>
      <c r="J19" s="150"/>
      <c r="K19" s="108" t="s">
        <v>1695</v>
      </c>
      <c r="L19" s="1189">
        <v>10.33</v>
      </c>
      <c r="M19" s="150">
        <v>3</v>
      </c>
      <c r="N19" s="2288">
        <f t="shared" si="7"/>
        <v>1.33</v>
      </c>
      <c r="P19" s="2630"/>
      <c r="Q19" s="2630"/>
      <c r="R19" s="2627" t="s">
        <v>107</v>
      </c>
      <c r="S19" s="2628">
        <v>10.84</v>
      </c>
      <c r="T19" s="2629">
        <v>25</v>
      </c>
      <c r="U19" s="1152">
        <f>+(T9*U9+T13*U13+T18*U18)/T19</f>
        <v>2.6787999999999998</v>
      </c>
      <c r="W19" s="2191"/>
      <c r="X19" s="2191"/>
      <c r="Y19" s="2290" t="s">
        <v>107</v>
      </c>
      <c r="Z19" s="2291">
        <v>11</v>
      </c>
      <c r="AA19" s="2292">
        <v>16</v>
      </c>
      <c r="AB19" s="1152">
        <f>+(AA9*AB9+AA13*AB13+AA18*AB18)/AA19</f>
        <v>2.25</v>
      </c>
      <c r="AD19" s="1223"/>
      <c r="AE19" s="1223"/>
      <c r="AF19" s="1224" t="s">
        <v>125</v>
      </c>
      <c r="AG19" s="1225">
        <v>14.25</v>
      </c>
      <c r="AH19" s="1226">
        <v>4</v>
      </c>
      <c r="AI19" s="1130">
        <f t="shared" si="8"/>
        <v>2.25</v>
      </c>
      <c r="AK19" s="966"/>
      <c r="AL19" s="966"/>
      <c r="AM19" s="966"/>
      <c r="AN19" s="734" t="s">
        <v>125</v>
      </c>
      <c r="AO19" s="736">
        <v>9</v>
      </c>
      <c r="AP19" s="735">
        <v>1</v>
      </c>
      <c r="AQ19" s="966"/>
      <c r="AR19" s="735">
        <f t="shared" si="9"/>
        <v>-3</v>
      </c>
      <c r="AS19" s="73"/>
      <c r="AT19" s="1227"/>
      <c r="AU19" s="1227"/>
      <c r="AV19" s="1228" t="s">
        <v>124</v>
      </c>
      <c r="AW19" s="1229">
        <v>20.333333333333332</v>
      </c>
      <c r="AX19" s="1229">
        <f t="shared" si="2"/>
        <v>8.3333333333333321</v>
      </c>
      <c r="AY19" s="1230">
        <v>6</v>
      </c>
      <c r="AZ19" s="1231">
        <v>22.833333333333332</v>
      </c>
      <c r="BA19" s="1232">
        <f t="shared" si="3"/>
        <v>10.833333333333332</v>
      </c>
      <c r="BB19" s="73"/>
      <c r="BC19" s="80"/>
      <c r="BD19" s="80"/>
      <c r="BE19" s="80" t="s">
        <v>124</v>
      </c>
      <c r="BF19" s="163">
        <v>3</v>
      </c>
      <c r="BG19" s="212">
        <v>10.333333333333334</v>
      </c>
      <c r="BH19" s="163">
        <v>12</v>
      </c>
      <c r="BI19" s="212">
        <f>+BG19-BH19</f>
        <v>-1.6666666666666661</v>
      </c>
      <c r="BJ19" s="1247">
        <f>AVERAGE(BI16:BI19)</f>
        <v>3.3690476190476182</v>
      </c>
      <c r="BK19" s="80"/>
      <c r="BL19" s="1233"/>
      <c r="BM19" s="1234"/>
      <c r="BN19" s="1233" t="s">
        <v>123</v>
      </c>
      <c r="BO19" s="1235">
        <v>17.25</v>
      </c>
      <c r="BP19" s="1234">
        <v>8</v>
      </c>
      <c r="BQ19" s="1236">
        <v>12</v>
      </c>
      <c r="BR19" s="1235">
        <f t="shared" si="10"/>
        <v>5.25</v>
      </c>
    </row>
    <row r="20" spans="1:70">
      <c r="A20" s="4616"/>
      <c r="B20" s="4616"/>
      <c r="C20" s="4617" t="s">
        <v>107</v>
      </c>
      <c r="D20" s="4618">
        <v>10.89</v>
      </c>
      <c r="E20" s="4619">
        <v>19</v>
      </c>
      <c r="F20" s="2631">
        <f>+(E12*F12+E15*F15+E19*F19)/E20</f>
        <v>1.7378947368421052</v>
      </c>
      <c r="G20" s="163"/>
      <c r="H20" s="163"/>
      <c r="I20" s="108"/>
      <c r="J20" s="150"/>
      <c r="K20" s="3292" t="s">
        <v>574</v>
      </c>
      <c r="L20" s="3293">
        <v>11</v>
      </c>
      <c r="M20" s="3294">
        <v>5</v>
      </c>
      <c r="N20" s="1152">
        <f>+(M17*N17+M18*N18+M19*N19)/M20</f>
        <v>1.998</v>
      </c>
      <c r="P20" s="163" t="s">
        <v>25</v>
      </c>
      <c r="Q20" s="163" t="s">
        <v>4</v>
      </c>
      <c r="R20" s="80" t="s">
        <v>121</v>
      </c>
      <c r="S20" s="212">
        <v>17</v>
      </c>
      <c r="T20" s="163">
        <v>3</v>
      </c>
      <c r="U20" s="2295">
        <f>S20-12</f>
        <v>5</v>
      </c>
      <c r="W20" s="2293" t="s">
        <v>25</v>
      </c>
      <c r="X20" s="2293" t="s">
        <v>4</v>
      </c>
      <c r="Y20" s="2294" t="s">
        <v>121</v>
      </c>
      <c r="Z20" s="2295">
        <v>20</v>
      </c>
      <c r="AA20" s="2296">
        <v>2</v>
      </c>
      <c r="AB20" s="2295">
        <f>Z20-12</f>
        <v>8</v>
      </c>
      <c r="AD20" s="1223"/>
      <c r="AE20" s="1223"/>
      <c r="AF20" s="1237" t="s">
        <v>572</v>
      </c>
      <c r="AG20" s="1238">
        <v>17.324324324324323</v>
      </c>
      <c r="AH20" s="1239">
        <v>37</v>
      </c>
      <c r="AI20" s="1152">
        <f>AG20-12</f>
        <v>5.3243243243243228</v>
      </c>
      <c r="AK20" s="966"/>
      <c r="AL20" s="966"/>
      <c r="AM20" s="966"/>
      <c r="AN20" s="1061" t="s">
        <v>572</v>
      </c>
      <c r="AO20" s="739">
        <v>16.458333333333332</v>
      </c>
      <c r="AP20" s="740">
        <v>24</v>
      </c>
      <c r="AQ20" s="1062">
        <v>4.7179506113369278</v>
      </c>
      <c r="AR20" s="1240">
        <f>+(AP15*AR15+AP16*AR16+AP17*AR17+AP18*AR18+AP19*AR19)/AP20</f>
        <v>4.4583333333333321</v>
      </c>
      <c r="AS20" s="73"/>
      <c r="AT20" s="1227"/>
      <c r="AU20" s="1227"/>
      <c r="AV20" s="1228" t="s">
        <v>125</v>
      </c>
      <c r="AW20" s="1229">
        <v>12</v>
      </c>
      <c r="AX20" s="1229">
        <f t="shared" si="2"/>
        <v>0</v>
      </c>
      <c r="AY20" s="1230">
        <v>2</v>
      </c>
      <c r="AZ20" s="1231">
        <v>12</v>
      </c>
      <c r="BA20" s="1232">
        <f t="shared" si="3"/>
        <v>0</v>
      </c>
      <c r="BB20" s="73"/>
      <c r="BC20" s="80"/>
      <c r="BD20" s="80"/>
      <c r="BE20" s="1233" t="s">
        <v>125</v>
      </c>
      <c r="BF20" s="163"/>
      <c r="BG20" s="212"/>
      <c r="BH20" s="163">
        <v>12</v>
      </c>
      <c r="BI20" s="212"/>
      <c r="BJ20" s="80"/>
      <c r="BK20" s="80"/>
      <c r="BL20" s="1233"/>
      <c r="BM20" s="1234"/>
      <c r="BN20" s="1233" t="s">
        <v>124</v>
      </c>
      <c r="BO20" s="1235">
        <v>16.875</v>
      </c>
      <c r="BP20" s="1234">
        <v>8</v>
      </c>
      <c r="BQ20" s="1236">
        <v>12</v>
      </c>
      <c r="BR20" s="1235">
        <f t="shared" si="10"/>
        <v>4.875</v>
      </c>
    </row>
    <row r="21" spans="1:70">
      <c r="A21" s="73" t="s">
        <v>25</v>
      </c>
      <c r="B21" s="73" t="s">
        <v>4</v>
      </c>
      <c r="C21" s="73" t="s">
        <v>121</v>
      </c>
      <c r="D21" s="2327">
        <v>13.25</v>
      </c>
      <c r="E21" s="161">
        <v>4</v>
      </c>
      <c r="F21" s="212">
        <f t="shared" si="5"/>
        <v>1.25</v>
      </c>
      <c r="G21" s="163">
        <v>12</v>
      </c>
      <c r="H21" s="163"/>
      <c r="I21" s="3295"/>
      <c r="J21" s="3291"/>
      <c r="K21" s="3296" t="s">
        <v>107</v>
      </c>
      <c r="L21" s="3297">
        <v>11.21</v>
      </c>
      <c r="M21" s="3298">
        <v>19</v>
      </c>
      <c r="N21" s="2631">
        <f>+(M12*N12+M16*N16+M20*N20)/M21</f>
        <v>1.8942105263157896</v>
      </c>
      <c r="P21" s="163"/>
      <c r="Q21" s="163"/>
      <c r="R21" s="80" t="s">
        <v>122</v>
      </c>
      <c r="S21" s="212">
        <v>15.67</v>
      </c>
      <c r="T21" s="163">
        <v>9</v>
      </c>
      <c r="U21" s="2288">
        <f t="shared" ref="U21:U25" si="11">S21-12</f>
        <v>3.67</v>
      </c>
      <c r="W21" s="2191"/>
      <c r="X21" s="2191"/>
      <c r="Y21" s="2287" t="s">
        <v>122</v>
      </c>
      <c r="Z21" s="2288">
        <v>18</v>
      </c>
      <c r="AA21" s="2289">
        <v>3</v>
      </c>
      <c r="AB21" s="2288">
        <f t="shared" ref="AB21:AB24" si="12">Z21-12</f>
        <v>6</v>
      </c>
      <c r="AD21" s="1223"/>
      <c r="AE21" s="1223" t="s">
        <v>16</v>
      </c>
      <c r="AF21" s="1224" t="s">
        <v>108</v>
      </c>
      <c r="AG21" s="1225">
        <v>15.166666666666668</v>
      </c>
      <c r="AH21" s="1226">
        <v>12</v>
      </c>
      <c r="AI21" s="1130">
        <f>AG21-12</f>
        <v>3.1666666666666679</v>
      </c>
      <c r="AK21" s="966"/>
      <c r="AL21" s="966"/>
      <c r="AM21" s="966" t="s">
        <v>16</v>
      </c>
      <c r="AN21" s="734" t="s">
        <v>108</v>
      </c>
      <c r="AO21" s="736">
        <v>12.777777777777779</v>
      </c>
      <c r="AP21" s="735">
        <v>9</v>
      </c>
      <c r="AQ21" s="1042">
        <v>2.8625940062196116</v>
      </c>
      <c r="AR21" s="735">
        <f>AO21-12</f>
        <v>0.77777777777777857</v>
      </c>
      <c r="AS21" s="73"/>
      <c r="AT21" s="1227"/>
      <c r="AU21" s="1227"/>
      <c r="AV21" s="1241" t="s">
        <v>572</v>
      </c>
      <c r="AW21" s="1240">
        <v>17.54545454545455</v>
      </c>
      <c r="AX21" s="1240">
        <f>+(AY16*AX16+AY17*AX17+AY18*AX18+AY19*AX19+AY20*AX20)/AY21</f>
        <v>5.5454545454545459</v>
      </c>
      <c r="AY21" s="1242">
        <v>22</v>
      </c>
      <c r="AZ21" s="1243">
        <v>18.72727272727273</v>
      </c>
      <c r="BA21" s="1244">
        <f>+(AY16*BA16+AY17*BA17+AY18*BA18+AY19*BA19+AY20*BA20)/AY21</f>
        <v>6.7272727272727275</v>
      </c>
      <c r="BB21" s="73"/>
      <c r="BC21" s="80"/>
      <c r="BD21" s="80"/>
      <c r="BE21" s="1245" t="s">
        <v>15</v>
      </c>
      <c r="BF21" s="213">
        <v>23</v>
      </c>
      <c r="BG21" s="1246">
        <v>17.260869565217394</v>
      </c>
      <c r="BH21" s="213"/>
      <c r="BI21" s="1246">
        <f>+(BF16*BI16+BF17*BI17+BF18*BI18+BF19*BI19)/BF21</f>
        <v>5.2608695652173889</v>
      </c>
      <c r="BJ21" s="80"/>
      <c r="BK21" s="80"/>
      <c r="BL21" s="1233"/>
      <c r="BM21" s="1234"/>
      <c r="BN21" s="1233" t="s">
        <v>125</v>
      </c>
      <c r="BO21" s="1235">
        <v>14.333333333333334</v>
      </c>
      <c r="BP21" s="1234">
        <v>3</v>
      </c>
      <c r="BQ21" s="1236">
        <v>12</v>
      </c>
      <c r="BR21" s="1235">
        <f t="shared" si="10"/>
        <v>2.3333333333333339</v>
      </c>
    </row>
    <row r="22" spans="1:70">
      <c r="A22" s="73"/>
      <c r="B22" s="73"/>
      <c r="C22" s="73" t="s">
        <v>122</v>
      </c>
      <c r="D22" s="2327">
        <v>15.89</v>
      </c>
      <c r="E22" s="161">
        <v>9</v>
      </c>
      <c r="F22" s="212">
        <f t="shared" si="5"/>
        <v>3.8900000000000006</v>
      </c>
      <c r="G22" s="163">
        <v>12</v>
      </c>
      <c r="H22" s="163"/>
      <c r="I22" s="108" t="s">
        <v>25</v>
      </c>
      <c r="J22" s="150" t="s">
        <v>4</v>
      </c>
      <c r="K22" s="108" t="s">
        <v>122</v>
      </c>
      <c r="L22" s="1189">
        <v>18.670000000000002</v>
      </c>
      <c r="M22" s="150">
        <v>6</v>
      </c>
      <c r="N22" s="2288">
        <f t="shared" ref="N22:N26" si="13">L22-12</f>
        <v>6.6700000000000017</v>
      </c>
      <c r="P22" s="163"/>
      <c r="Q22" s="163"/>
      <c r="R22" s="80" t="s">
        <v>123</v>
      </c>
      <c r="S22" s="212">
        <v>15.5</v>
      </c>
      <c r="T22" s="163">
        <v>10</v>
      </c>
      <c r="U22" s="2288">
        <f t="shared" si="11"/>
        <v>3.5</v>
      </c>
      <c r="W22" s="2191"/>
      <c r="X22" s="2191"/>
      <c r="Y22" s="2287" t="s">
        <v>123</v>
      </c>
      <c r="Z22" s="2288">
        <v>18</v>
      </c>
      <c r="AA22" s="2289">
        <v>12</v>
      </c>
      <c r="AB22" s="2288">
        <f t="shared" si="12"/>
        <v>6</v>
      </c>
      <c r="AD22" s="1223"/>
      <c r="AE22" s="1223"/>
      <c r="AF22" s="1224" t="s">
        <v>126</v>
      </c>
      <c r="AG22" s="1225">
        <v>13</v>
      </c>
      <c r="AH22" s="1226">
        <v>26</v>
      </c>
      <c r="AI22" s="1130">
        <f t="shared" ref="AI22:AI40" si="14">AG22-12</f>
        <v>1</v>
      </c>
      <c r="AK22" s="966"/>
      <c r="AL22" s="966"/>
      <c r="AM22" s="966"/>
      <c r="AN22" s="734" t="s">
        <v>126</v>
      </c>
      <c r="AO22" s="736">
        <v>12.727272727272728</v>
      </c>
      <c r="AP22" s="735">
        <v>11</v>
      </c>
      <c r="AQ22" s="1042">
        <v>1.6180796699117808</v>
      </c>
      <c r="AR22" s="735">
        <f t="shared" ref="AR22:AR25" si="15">AO22-12</f>
        <v>0.7272727272727284</v>
      </c>
      <c r="AS22" s="73"/>
      <c r="AT22" s="1227"/>
      <c r="AU22" s="1227"/>
      <c r="AV22" s="1241"/>
      <c r="AW22" s="1240"/>
      <c r="AX22" s="1240"/>
      <c r="AY22" s="1242"/>
      <c r="AZ22" s="1243"/>
      <c r="BA22" s="1244"/>
      <c r="BB22" s="73"/>
      <c r="BC22" s="80"/>
      <c r="BD22" s="80"/>
      <c r="BE22" s="1245"/>
      <c r="BF22" s="213"/>
      <c r="BG22" s="1246"/>
      <c r="BH22" s="213"/>
      <c r="BI22" s="1246"/>
      <c r="BJ22" s="80"/>
      <c r="BK22" s="80"/>
      <c r="BL22" s="1233"/>
      <c r="BM22" s="1234"/>
      <c r="BN22" s="1234" t="s">
        <v>15</v>
      </c>
      <c r="BO22" s="1235">
        <v>18.555555555555557</v>
      </c>
      <c r="BP22" s="1234">
        <v>36</v>
      </c>
      <c r="BQ22" s="1236"/>
      <c r="BR22" s="1248">
        <f>AVERAGE(BR16:BR21)</f>
        <v>4.9854797979797985</v>
      </c>
    </row>
    <row r="23" spans="1:70">
      <c r="A23" s="73"/>
      <c r="B23" s="73"/>
      <c r="C23" s="73" t="s">
        <v>123</v>
      </c>
      <c r="D23" s="2327">
        <v>18.13</v>
      </c>
      <c r="E23" s="161">
        <v>16</v>
      </c>
      <c r="F23" s="212">
        <f t="shared" si="5"/>
        <v>6.129999999999999</v>
      </c>
      <c r="G23" s="163">
        <v>12</v>
      </c>
      <c r="H23" s="163"/>
      <c r="I23" s="108"/>
      <c r="J23" s="150"/>
      <c r="K23" s="108" t="s">
        <v>123</v>
      </c>
      <c r="L23" s="1189">
        <v>16.399999999999999</v>
      </c>
      <c r="M23" s="150">
        <v>15</v>
      </c>
      <c r="N23" s="2288">
        <f t="shared" si="13"/>
        <v>4.3999999999999986</v>
      </c>
      <c r="P23" s="163"/>
      <c r="Q23" s="163"/>
      <c r="R23" s="80" t="s">
        <v>124</v>
      </c>
      <c r="S23" s="212">
        <v>17.440000000000001</v>
      </c>
      <c r="T23" s="163">
        <v>9</v>
      </c>
      <c r="U23" s="2288">
        <f t="shared" si="11"/>
        <v>5.4400000000000013</v>
      </c>
      <c r="W23" s="2191"/>
      <c r="X23" s="2191"/>
      <c r="Y23" s="2287" t="s">
        <v>124</v>
      </c>
      <c r="Z23" s="2288">
        <v>14.333333333333334</v>
      </c>
      <c r="AA23" s="2289">
        <v>3</v>
      </c>
      <c r="AB23" s="2288">
        <f t="shared" si="12"/>
        <v>2.3333333333333339</v>
      </c>
      <c r="AD23" s="1223"/>
      <c r="AE23" s="1223"/>
      <c r="AF23" s="1224" t="s">
        <v>127</v>
      </c>
      <c r="AG23" s="1225">
        <v>10.96</v>
      </c>
      <c r="AH23" s="1226">
        <v>25</v>
      </c>
      <c r="AI23" s="1130">
        <f t="shared" si="14"/>
        <v>-1.0399999999999991</v>
      </c>
      <c r="AK23" s="966"/>
      <c r="AL23" s="966"/>
      <c r="AM23" s="966"/>
      <c r="AN23" s="734" t="s">
        <v>127</v>
      </c>
      <c r="AO23" s="736">
        <v>11.035714285714288</v>
      </c>
      <c r="AP23" s="735">
        <v>28</v>
      </c>
      <c r="AQ23" s="1042">
        <v>2.8736625598591972</v>
      </c>
      <c r="AR23" s="735">
        <f t="shared" si="15"/>
        <v>-0.96428571428571175</v>
      </c>
      <c r="AS23" s="73"/>
      <c r="AT23" s="1227"/>
      <c r="AU23" s="1227" t="s">
        <v>16</v>
      </c>
      <c r="AV23" s="1228" t="s">
        <v>108</v>
      </c>
      <c r="AW23" s="1229">
        <v>11.461538461538462</v>
      </c>
      <c r="AX23" s="1229">
        <f t="shared" si="2"/>
        <v>-0.53846153846153832</v>
      </c>
      <c r="AY23" s="1230">
        <v>13</v>
      </c>
      <c r="AZ23" s="1231">
        <v>12.076923076923078</v>
      </c>
      <c r="BA23" s="1232">
        <f t="shared" si="3"/>
        <v>7.6923076923078426E-2</v>
      </c>
      <c r="BB23" s="73"/>
      <c r="BC23" s="80"/>
      <c r="BD23" s="80" t="s">
        <v>16</v>
      </c>
      <c r="BE23" s="80" t="s">
        <v>108</v>
      </c>
      <c r="BF23" s="163">
        <v>12</v>
      </c>
      <c r="BG23" s="212">
        <v>14.583333333333334</v>
      </c>
      <c r="BH23" s="163">
        <v>12</v>
      </c>
      <c r="BI23" s="212">
        <f>+BG23-BH23</f>
        <v>2.5833333333333339</v>
      </c>
      <c r="BJ23" s="80"/>
      <c r="BK23" s="80"/>
      <c r="BL23" s="1233"/>
      <c r="BM23" s="1234" t="s">
        <v>16</v>
      </c>
      <c r="BN23" s="1233" t="s">
        <v>108</v>
      </c>
      <c r="BO23" s="1235">
        <v>12.933333333333334</v>
      </c>
      <c r="BP23" s="1234">
        <v>15</v>
      </c>
      <c r="BQ23" s="1236">
        <v>12</v>
      </c>
      <c r="BR23" s="1235">
        <f t="shared" si="10"/>
        <v>0.93333333333333357</v>
      </c>
    </row>
    <row r="24" spans="1:70">
      <c r="A24" s="73"/>
      <c r="B24" s="73"/>
      <c r="C24" s="73" t="s">
        <v>124</v>
      </c>
      <c r="D24" s="2327">
        <v>17.399999999999999</v>
      </c>
      <c r="E24" s="161">
        <v>5</v>
      </c>
      <c r="F24" s="212">
        <f t="shared" si="5"/>
        <v>5.3999999999999986</v>
      </c>
      <c r="G24" s="163">
        <v>12</v>
      </c>
      <c r="H24" s="163"/>
      <c r="I24" s="108"/>
      <c r="J24" s="150"/>
      <c r="K24" s="108" t="s">
        <v>124</v>
      </c>
      <c r="L24" s="1189">
        <v>14.25</v>
      </c>
      <c r="M24" s="150">
        <v>4</v>
      </c>
      <c r="N24" s="2288">
        <f t="shared" si="13"/>
        <v>2.25</v>
      </c>
      <c r="P24" s="163"/>
      <c r="Q24" s="163"/>
      <c r="R24" s="80" t="s">
        <v>125</v>
      </c>
      <c r="S24" s="212">
        <v>15</v>
      </c>
      <c r="T24" s="163">
        <v>3</v>
      </c>
      <c r="U24" s="2288">
        <f t="shared" si="11"/>
        <v>3</v>
      </c>
      <c r="W24" s="2191"/>
      <c r="X24" s="2191"/>
      <c r="Y24" s="2287" t="s">
        <v>125</v>
      </c>
      <c r="Z24" s="2288">
        <v>16.333333333333332</v>
      </c>
      <c r="AA24" s="2289">
        <v>3</v>
      </c>
      <c r="AB24" s="2288">
        <f t="shared" si="12"/>
        <v>4.3333333333333321</v>
      </c>
      <c r="AD24" s="1223"/>
      <c r="AE24" s="1223"/>
      <c r="AF24" s="1224" t="s">
        <v>128</v>
      </c>
      <c r="AG24" s="1225">
        <v>12.909090909090908</v>
      </c>
      <c r="AH24" s="1226">
        <v>11</v>
      </c>
      <c r="AI24" s="1130">
        <f t="shared" si="14"/>
        <v>0.90909090909090828</v>
      </c>
      <c r="AK24" s="966"/>
      <c r="AL24" s="966"/>
      <c r="AM24" s="966"/>
      <c r="AN24" s="734" t="s">
        <v>128</v>
      </c>
      <c r="AO24" s="736">
        <v>12.428571428571429</v>
      </c>
      <c r="AP24" s="735">
        <v>7</v>
      </c>
      <c r="AQ24" s="1042">
        <v>1.511857892036909</v>
      </c>
      <c r="AR24" s="735">
        <f t="shared" si="15"/>
        <v>0.42857142857142883</v>
      </c>
      <c r="AS24" s="73"/>
      <c r="AT24" s="1227"/>
      <c r="AU24" s="1227"/>
      <c r="AV24" s="1228" t="s">
        <v>126</v>
      </c>
      <c r="AW24" s="1229">
        <v>13.5</v>
      </c>
      <c r="AX24" s="1229">
        <f t="shared" si="2"/>
        <v>1.5</v>
      </c>
      <c r="AY24" s="1230">
        <v>4</v>
      </c>
      <c r="AZ24" s="1231">
        <v>21</v>
      </c>
      <c r="BA24" s="1232">
        <f t="shared" si="3"/>
        <v>9</v>
      </c>
      <c r="BB24" s="73"/>
      <c r="BC24" s="80"/>
      <c r="BD24" s="80"/>
      <c r="BE24" s="80" t="s">
        <v>126</v>
      </c>
      <c r="BF24" s="163">
        <v>15</v>
      </c>
      <c r="BG24" s="212">
        <v>13.2</v>
      </c>
      <c r="BH24" s="163">
        <v>12</v>
      </c>
      <c r="BI24" s="212">
        <f>+BG24-BH24</f>
        <v>1.1999999999999993</v>
      </c>
      <c r="BJ24" s="80"/>
      <c r="BK24" s="80"/>
      <c r="BL24" s="1233"/>
      <c r="BM24" s="1234"/>
      <c r="BN24" s="1233" t="s">
        <v>126</v>
      </c>
      <c r="BO24" s="1235">
        <v>13.125</v>
      </c>
      <c r="BP24" s="1234">
        <v>8</v>
      </c>
      <c r="BQ24" s="1236">
        <v>12</v>
      </c>
      <c r="BR24" s="1235">
        <f t="shared" si="10"/>
        <v>1.125</v>
      </c>
    </row>
    <row r="25" spans="1:70">
      <c r="A25" s="73"/>
      <c r="B25" s="73"/>
      <c r="C25" s="73" t="s">
        <v>125</v>
      </c>
      <c r="D25" s="2327">
        <v>21.33</v>
      </c>
      <c r="E25" s="161">
        <v>3</v>
      </c>
      <c r="F25" s="212">
        <f t="shared" si="5"/>
        <v>9.3299999999999983</v>
      </c>
      <c r="G25" s="163">
        <v>12</v>
      </c>
      <c r="H25" s="163"/>
      <c r="I25" s="108"/>
      <c r="J25" s="150"/>
      <c r="K25" s="108" t="s">
        <v>125</v>
      </c>
      <c r="L25" s="1189">
        <v>16.170000000000002</v>
      </c>
      <c r="M25" s="150">
        <v>6</v>
      </c>
      <c r="N25" s="2288">
        <f t="shared" si="13"/>
        <v>4.1700000000000017</v>
      </c>
      <c r="P25" s="163"/>
      <c r="Q25" s="163"/>
      <c r="R25" s="80" t="s">
        <v>424</v>
      </c>
      <c r="S25" s="212">
        <v>13</v>
      </c>
      <c r="T25" s="163">
        <v>2</v>
      </c>
      <c r="U25" s="2288">
        <f t="shared" si="11"/>
        <v>1</v>
      </c>
      <c r="W25" s="2191"/>
      <c r="X25" s="2191"/>
      <c r="Y25" s="2287"/>
      <c r="Z25" s="2288"/>
      <c r="AA25" s="2289"/>
      <c r="AB25" s="2288"/>
      <c r="AD25" s="1223"/>
      <c r="AE25" s="1223"/>
      <c r="AF25" s="1224" t="s">
        <v>129</v>
      </c>
      <c r="AG25" s="1225">
        <v>14.333333333333334</v>
      </c>
      <c r="AH25" s="1226">
        <v>3</v>
      </c>
      <c r="AI25" s="1130">
        <f t="shared" si="14"/>
        <v>2.3333333333333339</v>
      </c>
      <c r="AK25" s="966"/>
      <c r="AL25" s="966"/>
      <c r="AM25" s="966"/>
      <c r="AN25" s="734" t="s">
        <v>129</v>
      </c>
      <c r="AO25" s="736">
        <v>14.333333333333334</v>
      </c>
      <c r="AP25" s="735">
        <v>3</v>
      </c>
      <c r="AQ25" s="1042">
        <v>1.1547005383792515</v>
      </c>
      <c r="AR25" s="735">
        <f t="shared" si="15"/>
        <v>2.3333333333333339</v>
      </c>
      <c r="AS25" s="73"/>
      <c r="AT25" s="1227"/>
      <c r="AU25" s="1227"/>
      <c r="AV25" s="1228" t="s">
        <v>127</v>
      </c>
      <c r="AW25" s="1229">
        <v>10.176470588235295</v>
      </c>
      <c r="AX25" s="1229">
        <f t="shared" si="2"/>
        <v>-1.8235294117647047</v>
      </c>
      <c r="AY25" s="1230">
        <v>17</v>
      </c>
      <c r="AZ25" s="1231">
        <v>11.352941176470587</v>
      </c>
      <c r="BA25" s="1232">
        <f t="shared" si="3"/>
        <v>-0.64705882352941302</v>
      </c>
      <c r="BB25" s="73"/>
      <c r="BC25" s="80"/>
      <c r="BD25" s="80"/>
      <c r="BE25" s="80" t="s">
        <v>127</v>
      </c>
      <c r="BF25" s="163">
        <v>17</v>
      </c>
      <c r="BG25" s="212">
        <v>12.176470588235293</v>
      </c>
      <c r="BH25" s="163">
        <v>12</v>
      </c>
      <c r="BI25" s="212">
        <f>+BG25-BH25</f>
        <v>0.17647058823529349</v>
      </c>
      <c r="BJ25" s="1247">
        <f>AVERAGE(BI23:BI27)</f>
        <v>0.4086274509803921</v>
      </c>
      <c r="BK25" s="80"/>
      <c r="BL25" s="1233"/>
      <c r="BM25" s="1234"/>
      <c r="BN25" s="1233" t="s">
        <v>127</v>
      </c>
      <c r="BO25" s="1235">
        <v>16.333333333333336</v>
      </c>
      <c r="BP25" s="1234">
        <v>12</v>
      </c>
      <c r="BQ25" s="1236">
        <v>12</v>
      </c>
      <c r="BR25" s="1235">
        <f t="shared" si="10"/>
        <v>4.3333333333333357</v>
      </c>
    </row>
    <row r="26" spans="1:70">
      <c r="A26" s="73"/>
      <c r="B26" s="73"/>
      <c r="C26" s="73" t="s">
        <v>424</v>
      </c>
      <c r="D26" s="2327">
        <v>15</v>
      </c>
      <c r="E26" s="161">
        <v>2</v>
      </c>
      <c r="F26" s="212">
        <f t="shared" si="5"/>
        <v>3</v>
      </c>
      <c r="G26" s="163">
        <v>12</v>
      </c>
      <c r="H26" s="163"/>
      <c r="I26" s="108"/>
      <c r="J26" s="150"/>
      <c r="K26" s="108" t="s">
        <v>424</v>
      </c>
      <c r="L26" s="1189">
        <v>15.2</v>
      </c>
      <c r="M26" s="150">
        <v>5</v>
      </c>
      <c r="N26" s="2288">
        <f t="shared" si="13"/>
        <v>3.1999999999999993</v>
      </c>
      <c r="P26" s="163"/>
      <c r="Q26" s="163"/>
      <c r="R26" s="1245" t="s">
        <v>572</v>
      </c>
      <c r="S26" s="1246">
        <v>15.97</v>
      </c>
      <c r="T26" s="213">
        <v>36</v>
      </c>
      <c r="U26" s="1152">
        <f>+(T20*U20+T21*U21+T22*U22+T23*U23+T24*U24+T25*U25)/T26</f>
        <v>3.9719444444444445</v>
      </c>
      <c r="W26" s="2191"/>
      <c r="X26" s="2191"/>
      <c r="Y26" s="2290" t="s">
        <v>572</v>
      </c>
      <c r="Z26" s="2291">
        <v>17.478260869565215</v>
      </c>
      <c r="AA26" s="2292">
        <v>23</v>
      </c>
      <c r="AB26" s="1152">
        <f>+(AA20*AB20+AA21*AB21+AA22*AB22+AA23*AB23+AA24*AB24)/AA26</f>
        <v>5.4782608695652177</v>
      </c>
      <c r="AD26" s="1223"/>
      <c r="AE26" s="1223"/>
      <c r="AF26" s="1237" t="s">
        <v>573</v>
      </c>
      <c r="AG26" s="1238">
        <v>12.714285714285714</v>
      </c>
      <c r="AH26" s="1239">
        <v>77</v>
      </c>
      <c r="AI26" s="1152">
        <f t="shared" si="14"/>
        <v>0.71428571428571352</v>
      </c>
      <c r="AK26" s="966"/>
      <c r="AL26" s="966"/>
      <c r="AM26" s="966"/>
      <c r="AN26" s="1061" t="s">
        <v>573</v>
      </c>
      <c r="AO26" s="739">
        <v>11.965517241379311</v>
      </c>
      <c r="AP26" s="740">
        <v>58</v>
      </c>
      <c r="AQ26" s="1062">
        <v>2.6020607032131853</v>
      </c>
      <c r="AR26" s="1240">
        <f>+(AP21*AR21+AP22*AR22+AP23*AR23+AP24*AR24+AP25*AR25)/AP26</f>
        <v>-3.4482758620688031E-2</v>
      </c>
      <c r="AS26" s="73"/>
      <c r="AT26" s="1227"/>
      <c r="AU26" s="1227"/>
      <c r="AV26" s="1228" t="s">
        <v>128</v>
      </c>
      <c r="AW26" s="1229">
        <v>11.928571428571429</v>
      </c>
      <c r="AX26" s="1229">
        <f t="shared" si="2"/>
        <v>-7.1428571428571175E-2</v>
      </c>
      <c r="AY26" s="1230">
        <v>14</v>
      </c>
      <c r="AZ26" s="1231">
        <v>11.928571428571429</v>
      </c>
      <c r="BA26" s="1232">
        <f t="shared" si="3"/>
        <v>-7.1428571428571175E-2</v>
      </c>
      <c r="BB26" s="73"/>
      <c r="BC26" s="80"/>
      <c r="BD26" s="80"/>
      <c r="BE26" s="80" t="s">
        <v>128</v>
      </c>
      <c r="BF26" s="163">
        <v>12</v>
      </c>
      <c r="BG26" s="212">
        <v>11.083333333333334</v>
      </c>
      <c r="BH26" s="163">
        <v>12</v>
      </c>
      <c r="BI26" s="212">
        <f>+BG26-BH26</f>
        <v>-0.91666666666666607</v>
      </c>
      <c r="BJ26" s="80"/>
      <c r="BK26" s="80"/>
      <c r="BL26" s="1233"/>
      <c r="BM26" s="1234"/>
      <c r="BN26" s="1233" t="s">
        <v>128</v>
      </c>
      <c r="BO26" s="1235">
        <v>11.545454545454545</v>
      </c>
      <c r="BP26" s="1234">
        <v>11</v>
      </c>
      <c r="BQ26" s="1236">
        <v>12</v>
      </c>
      <c r="BR26" s="1235">
        <f t="shared" si="10"/>
        <v>-0.45454545454545503</v>
      </c>
    </row>
    <row r="27" spans="1:70">
      <c r="A27" s="73"/>
      <c r="B27" s="73"/>
      <c r="C27" s="73" t="s">
        <v>834</v>
      </c>
      <c r="D27" s="2327">
        <v>15.5</v>
      </c>
      <c r="E27" s="161">
        <v>2</v>
      </c>
      <c r="F27" s="212">
        <f t="shared" si="5"/>
        <v>3.5</v>
      </c>
      <c r="G27" s="163">
        <v>12</v>
      </c>
      <c r="H27" s="163"/>
      <c r="I27" s="108"/>
      <c r="J27" s="150"/>
      <c r="K27" s="3292" t="s">
        <v>572</v>
      </c>
      <c r="L27" s="3293">
        <v>16.329999999999998</v>
      </c>
      <c r="M27" s="3294">
        <v>36</v>
      </c>
      <c r="N27" s="1152">
        <f>+(M22*N22+M23*N23+M24*N24+M25*N25+M26*N26)/M27</f>
        <v>4.3344444444444443</v>
      </c>
      <c r="P27" s="163"/>
      <c r="Q27" s="163" t="s">
        <v>16</v>
      </c>
      <c r="R27" s="80" t="s">
        <v>108</v>
      </c>
      <c r="S27" s="212">
        <v>15.58</v>
      </c>
      <c r="T27" s="163">
        <v>12</v>
      </c>
      <c r="U27" s="2288">
        <f>S27-12</f>
        <v>3.58</v>
      </c>
      <c r="W27" s="2191"/>
      <c r="X27" s="2191" t="s">
        <v>16</v>
      </c>
      <c r="Y27" s="2287" t="s">
        <v>108</v>
      </c>
      <c r="Z27" s="2288">
        <v>14.555555555555555</v>
      </c>
      <c r="AA27" s="2289">
        <v>9</v>
      </c>
      <c r="AB27" s="2288">
        <f>Z27-12</f>
        <v>2.5555555555555554</v>
      </c>
      <c r="AD27" s="1223"/>
      <c r="AE27" s="1223" t="s">
        <v>41</v>
      </c>
      <c r="AF27" s="1224" t="s">
        <v>130</v>
      </c>
      <c r="AG27" s="1225">
        <v>13.772727272727273</v>
      </c>
      <c r="AH27" s="1226">
        <v>22</v>
      </c>
      <c r="AI27" s="1130">
        <f t="shared" si="14"/>
        <v>1.7727272727272734</v>
      </c>
      <c r="AK27" s="966"/>
      <c r="AL27" s="966"/>
      <c r="AM27" s="966" t="s">
        <v>41</v>
      </c>
      <c r="AN27" s="734" t="s">
        <v>130</v>
      </c>
      <c r="AO27" s="736">
        <v>14.769230769230768</v>
      </c>
      <c r="AP27" s="735">
        <v>13</v>
      </c>
      <c r="AQ27" s="1042">
        <v>3.4678006035008733</v>
      </c>
      <c r="AR27" s="735">
        <f>AO27-12</f>
        <v>2.7692307692307683</v>
      </c>
      <c r="AS27" s="73"/>
      <c r="AT27" s="1227"/>
      <c r="AU27" s="1227"/>
      <c r="AV27" s="1228" t="s">
        <v>129</v>
      </c>
      <c r="AW27" s="1229">
        <v>13</v>
      </c>
      <c r="AX27" s="1229">
        <f t="shared" si="2"/>
        <v>1</v>
      </c>
      <c r="AY27" s="1230">
        <v>1</v>
      </c>
      <c r="AZ27" s="1231">
        <v>13</v>
      </c>
      <c r="BA27" s="1232">
        <f t="shared" si="3"/>
        <v>1</v>
      </c>
      <c r="BB27" s="73"/>
      <c r="BC27" s="80"/>
      <c r="BD27" s="80"/>
      <c r="BE27" s="80" t="s">
        <v>129</v>
      </c>
      <c r="BF27" s="163">
        <v>4</v>
      </c>
      <c r="BG27" s="212">
        <v>11</v>
      </c>
      <c r="BH27" s="163">
        <v>12</v>
      </c>
      <c r="BI27" s="212">
        <f>+BG27-BH27</f>
        <v>-1</v>
      </c>
      <c r="BJ27" s="80"/>
      <c r="BK27" s="80"/>
      <c r="BL27" s="1233"/>
      <c r="BM27" s="1234"/>
      <c r="BN27" s="1233" t="s">
        <v>129</v>
      </c>
      <c r="BO27" s="1235">
        <v>12</v>
      </c>
      <c r="BP27" s="1234">
        <v>1</v>
      </c>
      <c r="BQ27" s="1236">
        <v>12</v>
      </c>
      <c r="BR27" s="1235">
        <f t="shared" si="10"/>
        <v>0</v>
      </c>
    </row>
    <row r="28" spans="1:70">
      <c r="A28" s="73"/>
      <c r="B28" s="73"/>
      <c r="C28" s="738" t="s">
        <v>572</v>
      </c>
      <c r="D28" s="2342">
        <v>17.02</v>
      </c>
      <c r="E28" s="4674">
        <v>41</v>
      </c>
      <c r="F28" s="1152">
        <f>+(E21*F21+E22*F22+E23*F23+E24*F24+E25*F25+E26*F26+E27*F27)/E28</f>
        <v>5.0263414634146342</v>
      </c>
      <c r="G28" s="163"/>
      <c r="H28" s="163"/>
      <c r="I28" s="108"/>
      <c r="J28" s="150" t="s">
        <v>16</v>
      </c>
      <c r="K28" s="108" t="s">
        <v>108</v>
      </c>
      <c r="L28" s="1189">
        <v>14.83</v>
      </c>
      <c r="M28" s="150">
        <v>6</v>
      </c>
      <c r="N28" s="2288">
        <f>L28-12</f>
        <v>2.83</v>
      </c>
      <c r="P28" s="163"/>
      <c r="Q28" s="163"/>
      <c r="R28" s="80" t="s">
        <v>126</v>
      </c>
      <c r="S28" s="212">
        <v>13.62</v>
      </c>
      <c r="T28" s="163">
        <v>13</v>
      </c>
      <c r="U28" s="2288">
        <f>S28-12</f>
        <v>1.6199999999999992</v>
      </c>
      <c r="W28" s="2191"/>
      <c r="X28" s="2191"/>
      <c r="Y28" s="2287" t="s">
        <v>126</v>
      </c>
      <c r="Z28" s="2288">
        <v>15.333333333333336</v>
      </c>
      <c r="AA28" s="2289">
        <v>9</v>
      </c>
      <c r="AB28" s="2288">
        <f>Z28-12</f>
        <v>3.3333333333333357</v>
      </c>
      <c r="AD28" s="1223"/>
      <c r="AE28" s="1223"/>
      <c r="AF28" s="1224" t="s">
        <v>131</v>
      </c>
      <c r="AG28" s="1225">
        <v>13</v>
      </c>
      <c r="AH28" s="1226">
        <v>8</v>
      </c>
      <c r="AI28" s="1130">
        <f t="shared" si="14"/>
        <v>1</v>
      </c>
      <c r="AK28" s="966"/>
      <c r="AL28" s="966"/>
      <c r="AM28" s="966"/>
      <c r="AN28" s="734" t="s">
        <v>131</v>
      </c>
      <c r="AO28" s="736">
        <v>16.444444444444443</v>
      </c>
      <c r="AP28" s="735">
        <v>9</v>
      </c>
      <c r="AQ28" s="1042">
        <v>4.585605497399202</v>
      </c>
      <c r="AR28" s="735">
        <f>AO28-12</f>
        <v>4.4444444444444429</v>
      </c>
      <c r="AS28" s="73"/>
      <c r="AT28" s="1227"/>
      <c r="AU28" s="1227"/>
      <c r="AV28" s="1241" t="s">
        <v>573</v>
      </c>
      <c r="AW28" s="1240">
        <v>11.346938775510205</v>
      </c>
      <c r="AX28" s="1240">
        <f>+(AY23*AX23+AY24*AX24+AY25*AX25+AY26*AX26+AY27*AX27)/AY28</f>
        <v>-0.65306122448979531</v>
      </c>
      <c r="AY28" s="1242">
        <v>49</v>
      </c>
      <c r="AZ28" s="1243">
        <v>12.530612244897961</v>
      </c>
      <c r="BA28" s="1244">
        <f>+(AY23*BA23+AY24*BA24+AY25*BA25+AY26*BA26+AY27*BA27)/AY28</f>
        <v>0.53061224489795922</v>
      </c>
      <c r="BB28" s="73"/>
      <c r="BC28" s="80"/>
      <c r="BD28" s="80"/>
      <c r="BE28" s="1245" t="s">
        <v>15</v>
      </c>
      <c r="BF28" s="213">
        <v>60</v>
      </c>
      <c r="BG28" s="1246">
        <v>12.616666666666664</v>
      </c>
      <c r="BH28" s="213"/>
      <c r="BI28" s="1246">
        <f>+(BF23*BI23+BF24*BI24+BF25*BI25+BF26*BI26+BF27*BI27)/BF28</f>
        <v>0.61666666666666659</v>
      </c>
      <c r="BJ28" s="80"/>
      <c r="BK28" s="80"/>
      <c r="BL28" s="1233"/>
      <c r="BM28" s="1234"/>
      <c r="BN28" s="1234" t="s">
        <v>15</v>
      </c>
      <c r="BO28" s="1235">
        <v>13.489361702127658</v>
      </c>
      <c r="BP28" s="1234">
        <v>47</v>
      </c>
      <c r="BQ28" s="1236"/>
      <c r="BR28" s="1248">
        <f>AVERAGE(BR23:BR27)</f>
        <v>1.1874242424242429</v>
      </c>
    </row>
    <row r="29" spans="1:70">
      <c r="A29" s="73"/>
      <c r="B29" s="73" t="s">
        <v>16</v>
      </c>
      <c r="C29" s="73" t="s">
        <v>108</v>
      </c>
      <c r="D29" s="2327">
        <v>14</v>
      </c>
      <c r="E29" s="161">
        <v>8</v>
      </c>
      <c r="F29" s="212">
        <f t="shared" si="5"/>
        <v>2</v>
      </c>
      <c r="G29" s="163">
        <v>12</v>
      </c>
      <c r="H29" s="163"/>
      <c r="I29" s="108"/>
      <c r="J29" s="150"/>
      <c r="K29" s="108" t="s">
        <v>126</v>
      </c>
      <c r="L29" s="1189">
        <v>16.8</v>
      </c>
      <c r="M29" s="150">
        <v>5</v>
      </c>
      <c r="N29" s="2288">
        <f t="shared" ref="N29:N32" si="16">L29-12</f>
        <v>4.8000000000000007</v>
      </c>
      <c r="P29" s="163"/>
      <c r="Q29" s="163"/>
      <c r="R29" s="80" t="s">
        <v>127</v>
      </c>
      <c r="S29" s="212">
        <v>13.22</v>
      </c>
      <c r="T29" s="163">
        <v>23</v>
      </c>
      <c r="U29" s="2288">
        <f t="shared" ref="U29" si="17">S29-9</f>
        <v>4.2200000000000006</v>
      </c>
      <c r="W29" s="2191"/>
      <c r="X29" s="2191"/>
      <c r="Y29" s="2287" t="s">
        <v>127</v>
      </c>
      <c r="Z29" s="2288">
        <v>12.411764705882353</v>
      </c>
      <c r="AA29" s="2289">
        <v>17</v>
      </c>
      <c r="AB29" s="2288">
        <f t="shared" si="0"/>
        <v>3.4117647058823533</v>
      </c>
      <c r="AD29" s="1223"/>
      <c r="AE29" s="1223"/>
      <c r="AF29" s="1224" t="s">
        <v>338</v>
      </c>
      <c r="AG29" s="1225">
        <v>15.125</v>
      </c>
      <c r="AH29" s="1226">
        <v>8</v>
      </c>
      <c r="AI29" s="1130">
        <f t="shared" si="14"/>
        <v>3.125</v>
      </c>
      <c r="AK29" s="966"/>
      <c r="AL29" s="966"/>
      <c r="AM29" s="966"/>
      <c r="AN29" s="734" t="s">
        <v>338</v>
      </c>
      <c r="AO29" s="736">
        <v>14</v>
      </c>
      <c r="AP29" s="735">
        <v>11</v>
      </c>
      <c r="AQ29" s="1042">
        <v>2.7568097504180447</v>
      </c>
      <c r="AR29" s="735">
        <f t="shared" ref="AR29:AR37" si="18">AO29-9</f>
        <v>5</v>
      </c>
      <c r="AS29" s="73"/>
      <c r="AT29" s="1227"/>
      <c r="AU29" s="1227" t="s">
        <v>41</v>
      </c>
      <c r="AV29" s="1228" t="s">
        <v>130</v>
      </c>
      <c r="AW29" s="1229">
        <v>14.666666666666666</v>
      </c>
      <c r="AX29" s="1229">
        <f t="shared" si="2"/>
        <v>2.6666666666666661</v>
      </c>
      <c r="AY29" s="1230">
        <v>15</v>
      </c>
      <c r="AZ29" s="1231">
        <v>14.866666666666669</v>
      </c>
      <c r="BA29" s="1232">
        <f t="shared" si="3"/>
        <v>2.8666666666666689</v>
      </c>
      <c r="BB29" s="73"/>
      <c r="BC29" s="80"/>
      <c r="BD29" s="80" t="s">
        <v>41</v>
      </c>
      <c r="BE29" s="80" t="s">
        <v>130</v>
      </c>
      <c r="BF29" s="163">
        <v>17</v>
      </c>
      <c r="BG29" s="212">
        <v>15.588235294117643</v>
      </c>
      <c r="BH29" s="163">
        <v>12</v>
      </c>
      <c r="BI29" s="212">
        <f>+BG29-BH29</f>
        <v>3.5882352941176432</v>
      </c>
      <c r="BJ29" s="1247">
        <f>AVERAGE(BI29:BI31)</f>
        <v>7.1405228758169912</v>
      </c>
      <c r="BK29" s="80"/>
      <c r="BL29" s="1233"/>
      <c r="BM29" s="1234" t="s">
        <v>41</v>
      </c>
      <c r="BN29" s="1233" t="s">
        <v>130</v>
      </c>
      <c r="BO29" s="1235">
        <v>13.263157894736844</v>
      </c>
      <c r="BP29" s="1234">
        <v>19</v>
      </c>
      <c r="BQ29" s="1236">
        <v>12</v>
      </c>
      <c r="BR29" s="1235">
        <f t="shared" si="10"/>
        <v>1.2631578947368443</v>
      </c>
    </row>
    <row r="30" spans="1:70">
      <c r="A30" s="73"/>
      <c r="B30" s="73"/>
      <c r="C30" s="73" t="s">
        <v>126</v>
      </c>
      <c r="D30" s="2327">
        <v>11.88</v>
      </c>
      <c r="E30" s="161">
        <v>25</v>
      </c>
      <c r="F30" s="212">
        <f t="shared" si="5"/>
        <v>-0.11999999999999922</v>
      </c>
      <c r="G30" s="163">
        <v>12</v>
      </c>
      <c r="H30" s="163"/>
      <c r="I30" s="108"/>
      <c r="J30" s="150"/>
      <c r="K30" s="108" t="s">
        <v>127</v>
      </c>
      <c r="L30" s="1189">
        <v>13.93</v>
      </c>
      <c r="M30" s="150">
        <v>15</v>
      </c>
      <c r="N30" s="2288">
        <f t="shared" si="16"/>
        <v>1.9299999999999997</v>
      </c>
      <c r="P30" s="163"/>
      <c r="Q30" s="163"/>
      <c r="R30" s="80" t="s">
        <v>128</v>
      </c>
      <c r="S30" s="212">
        <v>12.2</v>
      </c>
      <c r="T30" s="163">
        <v>15</v>
      </c>
      <c r="U30" s="2288">
        <f>S30-12</f>
        <v>0.19999999999999929</v>
      </c>
      <c r="W30" s="2191"/>
      <c r="X30" s="2191"/>
      <c r="Y30" s="2287" t="s">
        <v>128</v>
      </c>
      <c r="Z30" s="2288">
        <v>14.5</v>
      </c>
      <c r="AA30" s="2289">
        <v>2</v>
      </c>
      <c r="AB30" s="2288">
        <f>Z30-12</f>
        <v>2.5</v>
      </c>
      <c r="AD30" s="1223"/>
      <c r="AE30" s="1223"/>
      <c r="AF30" s="1237" t="s">
        <v>575</v>
      </c>
      <c r="AG30" s="1238">
        <v>13.894736842105264</v>
      </c>
      <c r="AH30" s="1239">
        <v>38</v>
      </c>
      <c r="AI30" s="1152">
        <f t="shared" si="14"/>
        <v>1.8947368421052637</v>
      </c>
      <c r="AK30" s="966"/>
      <c r="AL30" s="966"/>
      <c r="AM30" s="966"/>
      <c r="AN30" s="1061" t="s">
        <v>575</v>
      </c>
      <c r="AO30" s="739">
        <v>14.969696969696971</v>
      </c>
      <c r="AP30" s="740">
        <v>33</v>
      </c>
      <c r="AQ30" s="1062">
        <v>3.6183978540651172</v>
      </c>
      <c r="AR30" s="1240">
        <f>+(AP27*AR27+AP28*AR28+AP29*AR29)/AP30</f>
        <v>3.9696969696969688</v>
      </c>
      <c r="AS30" s="73"/>
      <c r="AT30" s="1227"/>
      <c r="AU30" s="1227"/>
      <c r="AV30" s="1228" t="s">
        <v>131</v>
      </c>
      <c r="AW30" s="1229">
        <v>15.333333333333334</v>
      </c>
      <c r="AX30" s="1229">
        <f t="shared" si="2"/>
        <v>3.3333333333333339</v>
      </c>
      <c r="AY30" s="1230">
        <v>9</v>
      </c>
      <c r="AZ30" s="1231">
        <v>15.333333333333334</v>
      </c>
      <c r="BA30" s="1232">
        <f t="shared" si="3"/>
        <v>3.3333333333333339</v>
      </c>
      <c r="BB30" s="73"/>
      <c r="BC30" s="80"/>
      <c r="BD30" s="80"/>
      <c r="BE30" s="80" t="s">
        <v>131</v>
      </c>
      <c r="BF30" s="163">
        <v>4</v>
      </c>
      <c r="BG30" s="212">
        <v>16.5</v>
      </c>
      <c r="BH30" s="163">
        <v>12</v>
      </c>
      <c r="BI30" s="212">
        <f>+BG30-BH30</f>
        <v>4.5</v>
      </c>
      <c r="BJ30" s="80"/>
      <c r="BK30" s="80"/>
      <c r="BL30" s="1233"/>
      <c r="BM30" s="1234"/>
      <c r="BN30" s="1233" t="s">
        <v>890</v>
      </c>
      <c r="BO30" s="1235">
        <v>19</v>
      </c>
      <c r="BP30" s="1234">
        <v>8</v>
      </c>
      <c r="BQ30" s="1236">
        <v>9</v>
      </c>
      <c r="BR30" s="1235">
        <f t="shared" si="10"/>
        <v>10</v>
      </c>
    </row>
    <row r="31" spans="1:70">
      <c r="A31" s="73"/>
      <c r="B31" s="73"/>
      <c r="C31" s="73" t="s">
        <v>127</v>
      </c>
      <c r="D31" s="2327">
        <v>13.36</v>
      </c>
      <c r="E31" s="161">
        <v>14</v>
      </c>
      <c r="F31" s="212">
        <f t="shared" si="5"/>
        <v>1.3599999999999994</v>
      </c>
      <c r="G31" s="163">
        <v>12</v>
      </c>
      <c r="H31" s="163"/>
      <c r="I31" s="108"/>
      <c r="J31" s="150"/>
      <c r="K31" s="108" t="s">
        <v>128</v>
      </c>
      <c r="L31" s="1189">
        <v>12.86</v>
      </c>
      <c r="M31" s="150">
        <v>7</v>
      </c>
      <c r="N31" s="2288">
        <f t="shared" si="16"/>
        <v>0.85999999999999943</v>
      </c>
      <c r="P31" s="163"/>
      <c r="Q31" s="163"/>
      <c r="R31" s="80" t="s">
        <v>129</v>
      </c>
      <c r="S31" s="212">
        <v>14.75</v>
      </c>
      <c r="T31" s="163">
        <v>4</v>
      </c>
      <c r="U31" s="2288">
        <f>S31-12</f>
        <v>2.75</v>
      </c>
      <c r="W31" s="2191"/>
      <c r="X31" s="2191"/>
      <c r="Y31" s="2287" t="s">
        <v>129</v>
      </c>
      <c r="Z31" s="2288">
        <v>15</v>
      </c>
      <c r="AA31" s="2289">
        <v>3</v>
      </c>
      <c r="AB31" s="2288">
        <f>Z31-12</f>
        <v>3</v>
      </c>
      <c r="AD31" s="1223"/>
      <c r="AE31" s="1223"/>
      <c r="AF31" s="1249" t="s">
        <v>111</v>
      </c>
      <c r="AG31" s="1250">
        <v>14.131578947368416</v>
      </c>
      <c r="AH31" s="1251">
        <v>152</v>
      </c>
      <c r="AI31" s="1176">
        <f t="shared" si="14"/>
        <v>2.1315789473684159</v>
      </c>
      <c r="AK31" s="966"/>
      <c r="AL31" s="966"/>
      <c r="AM31" s="966"/>
      <c r="AN31" s="1155" t="s">
        <v>111</v>
      </c>
      <c r="AO31" s="1156">
        <v>13.765217391304342</v>
      </c>
      <c r="AP31" s="1157">
        <v>115</v>
      </c>
      <c r="AQ31" s="1158">
        <v>3.8918052339039564</v>
      </c>
      <c r="AR31" s="1252">
        <f>+(AP20*AR20+AP26*AR26+AP30*AR30)/AP31</f>
        <v>2.0521739130434788</v>
      </c>
      <c r="AS31" s="73"/>
      <c r="AT31" s="1227"/>
      <c r="AU31" s="1227"/>
      <c r="AV31" s="1228" t="s">
        <v>338</v>
      </c>
      <c r="AW31" s="1229">
        <v>13.875</v>
      </c>
      <c r="AX31" s="1229">
        <f t="shared" si="2"/>
        <v>4.875</v>
      </c>
      <c r="AY31" s="1230">
        <v>8</v>
      </c>
      <c r="AZ31" s="1231">
        <v>15.375</v>
      </c>
      <c r="BA31" s="1232">
        <f t="shared" si="3"/>
        <v>6.375</v>
      </c>
      <c r="BB31" s="73"/>
      <c r="BC31" s="80"/>
      <c r="BD31" s="80"/>
      <c r="BE31" s="80" t="s">
        <v>338</v>
      </c>
      <c r="BF31" s="163">
        <v>9</v>
      </c>
      <c r="BG31" s="212">
        <v>22.333333333333332</v>
      </c>
      <c r="BH31" s="163">
        <v>9</v>
      </c>
      <c r="BI31" s="212">
        <f>+BG31-BH31</f>
        <v>13.333333333333332</v>
      </c>
      <c r="BJ31" s="80"/>
      <c r="BK31" s="80"/>
      <c r="BL31" s="1233"/>
      <c r="BM31" s="1234"/>
      <c r="BN31" s="1233" t="s">
        <v>131</v>
      </c>
      <c r="BO31" s="1235">
        <v>16</v>
      </c>
      <c r="BP31" s="1234">
        <v>4</v>
      </c>
      <c r="BQ31" s="1236">
        <v>12</v>
      </c>
      <c r="BR31" s="1235">
        <f t="shared" si="10"/>
        <v>4</v>
      </c>
    </row>
    <row r="32" spans="1:70">
      <c r="A32" s="73"/>
      <c r="B32" s="73"/>
      <c r="C32" s="73" t="s">
        <v>128</v>
      </c>
      <c r="D32" s="2327">
        <v>13.94</v>
      </c>
      <c r="E32" s="161">
        <v>18</v>
      </c>
      <c r="F32" s="212">
        <f t="shared" si="5"/>
        <v>1.9399999999999995</v>
      </c>
      <c r="G32" s="163">
        <v>12</v>
      </c>
      <c r="H32" s="163"/>
      <c r="I32" s="108"/>
      <c r="J32" s="150"/>
      <c r="K32" s="108" t="s">
        <v>129</v>
      </c>
      <c r="L32" s="1189">
        <v>16.670000000000002</v>
      </c>
      <c r="M32" s="150">
        <v>12</v>
      </c>
      <c r="N32" s="2288">
        <f t="shared" si="16"/>
        <v>4.6700000000000017</v>
      </c>
      <c r="P32" s="163"/>
      <c r="Q32" s="163"/>
      <c r="R32" s="1245" t="s">
        <v>573</v>
      </c>
      <c r="S32" s="1246">
        <v>13.58</v>
      </c>
      <c r="T32" s="213">
        <v>67</v>
      </c>
      <c r="U32" s="1152">
        <f>+(T27*U27+T28*U28+T29*U29+T30*U30+T31*U31)/T32</f>
        <v>2.6131343283582087</v>
      </c>
      <c r="W32" s="2191"/>
      <c r="X32" s="2191"/>
      <c r="Y32" s="2290" t="s">
        <v>573</v>
      </c>
      <c r="Z32" s="2291">
        <v>13.850000000000003</v>
      </c>
      <c r="AA32" s="2292">
        <v>40</v>
      </c>
      <c r="AB32" s="1152">
        <f>+(AA27*AB27+AA28*AB28+AA29*AB29+AA30*AB30+AA31*AB31)/AA32</f>
        <v>3.1250000000000009</v>
      </c>
      <c r="AD32" s="1223" t="s">
        <v>48</v>
      </c>
      <c r="AE32" s="1223" t="s">
        <v>16</v>
      </c>
      <c r="AF32" s="1224" t="s">
        <v>145</v>
      </c>
      <c r="AG32" s="1225">
        <v>13.111111111111112</v>
      </c>
      <c r="AH32" s="1226">
        <v>18</v>
      </c>
      <c r="AI32" s="1130">
        <f t="shared" si="14"/>
        <v>1.1111111111111125</v>
      </c>
      <c r="AK32" s="966"/>
      <c r="AL32" s="966" t="s">
        <v>48</v>
      </c>
      <c r="AM32" s="966" t="s">
        <v>16</v>
      </c>
      <c r="AN32" s="734" t="s">
        <v>145</v>
      </c>
      <c r="AO32" s="736">
        <v>13.136363636363635</v>
      </c>
      <c r="AP32" s="735">
        <v>22</v>
      </c>
      <c r="AQ32" s="1042">
        <v>2.7132032473576064</v>
      </c>
      <c r="AR32" s="735">
        <f>AO32-12</f>
        <v>1.1363636363636349</v>
      </c>
      <c r="AS32" s="73"/>
      <c r="AT32" s="1227"/>
      <c r="AU32" s="1227"/>
      <c r="AV32" s="1241" t="s">
        <v>575</v>
      </c>
      <c r="AW32" s="1240">
        <v>14.656249999999998</v>
      </c>
      <c r="AX32" s="1240">
        <f>+(AY29*AX29+AY30*AX30+AY31*AX31)/AY32</f>
        <v>3.40625</v>
      </c>
      <c r="AY32" s="1242">
        <v>32</v>
      </c>
      <c r="AZ32" s="1243">
        <v>15.125</v>
      </c>
      <c r="BA32" s="1244">
        <f>+(AY29*BA29+AY30*BA30+AY31*BA31)/AY32</f>
        <v>3.8750000000000013</v>
      </c>
      <c r="BB32" s="73"/>
      <c r="BC32" s="80"/>
      <c r="BD32" s="80"/>
      <c r="BE32" s="1245" t="s">
        <v>15</v>
      </c>
      <c r="BF32" s="213">
        <v>30</v>
      </c>
      <c r="BG32" s="1246">
        <v>17.733333333333331</v>
      </c>
      <c r="BH32" s="213"/>
      <c r="BI32" s="1246">
        <f>+(BF29*BI29+BF30*BI30+BF31*BI31)/BF32</f>
        <v>6.6333333333333311</v>
      </c>
      <c r="BJ32" s="80"/>
      <c r="BK32" s="80"/>
      <c r="BL32" s="1233"/>
      <c r="BM32" s="1234"/>
      <c r="BN32" s="1234" t="s">
        <v>15</v>
      </c>
      <c r="BO32" s="1235">
        <v>15.096774193548388</v>
      </c>
      <c r="BP32" s="1234">
        <v>31</v>
      </c>
      <c r="BQ32" s="1236"/>
      <c r="BR32" s="1248">
        <f>AVERAGE(BR29:BR31)</f>
        <v>5.0877192982456148</v>
      </c>
    </row>
    <row r="33" spans="1:70">
      <c r="A33" s="73"/>
      <c r="B33" s="73"/>
      <c r="C33" s="73" t="s">
        <v>129</v>
      </c>
      <c r="D33" s="2327">
        <v>12.33</v>
      </c>
      <c r="E33" s="161">
        <v>3</v>
      </c>
      <c r="F33" s="212">
        <f t="shared" si="5"/>
        <v>0.33000000000000007</v>
      </c>
      <c r="G33" s="163">
        <v>12</v>
      </c>
      <c r="H33" s="163"/>
      <c r="I33" s="108"/>
      <c r="J33" s="150"/>
      <c r="K33" s="3292" t="s">
        <v>573</v>
      </c>
      <c r="L33" s="3293">
        <v>14.93</v>
      </c>
      <c r="M33" s="3294">
        <v>45</v>
      </c>
      <c r="N33" s="1152">
        <f>+(M28*N28+M29*N29+M30*N30+M31*N31+M32*N32)/M33</f>
        <v>2.9331111111111112</v>
      </c>
      <c r="P33" s="163"/>
      <c r="Q33" s="163" t="s">
        <v>41</v>
      </c>
      <c r="R33" s="80" t="s">
        <v>130</v>
      </c>
      <c r="S33" s="212">
        <v>14.5</v>
      </c>
      <c r="T33" s="163">
        <v>14</v>
      </c>
      <c r="U33" s="2288">
        <f>S33-12</f>
        <v>2.5</v>
      </c>
      <c r="W33" s="2191"/>
      <c r="X33" s="2191" t="s">
        <v>41</v>
      </c>
      <c r="Y33" s="2287" t="s">
        <v>130</v>
      </c>
      <c r="Z33" s="2288">
        <v>13.714285714285714</v>
      </c>
      <c r="AA33" s="2289">
        <v>14</v>
      </c>
      <c r="AB33" s="2288">
        <f>Z33-12</f>
        <v>1.7142857142857135</v>
      </c>
      <c r="AD33" s="1223"/>
      <c r="AE33" s="1223"/>
      <c r="AF33" s="1224" t="s">
        <v>129</v>
      </c>
      <c r="AG33" s="1225">
        <v>12</v>
      </c>
      <c r="AH33" s="1226">
        <v>2</v>
      </c>
      <c r="AI33" s="1130">
        <f t="shared" si="14"/>
        <v>0</v>
      </c>
      <c r="AK33" s="966"/>
      <c r="AL33" s="966"/>
      <c r="AM33" s="966"/>
      <c r="AN33" s="734" t="s">
        <v>129</v>
      </c>
      <c r="AO33" s="736">
        <v>13.75</v>
      </c>
      <c r="AP33" s="735">
        <v>4</v>
      </c>
      <c r="AQ33" s="1042">
        <v>2.8722813232690143</v>
      </c>
      <c r="AR33" s="735">
        <f t="shared" ref="AR33:AR34" si="19">AO33-12</f>
        <v>1.75</v>
      </c>
      <c r="AS33" s="73"/>
      <c r="AT33" s="1253"/>
      <c r="AU33" s="1253"/>
      <c r="AV33" s="1254"/>
      <c r="AW33" s="1254"/>
      <c r="AX33" s="1254"/>
      <c r="AY33" s="1254"/>
      <c r="AZ33" s="1254"/>
      <c r="BA33" s="1254"/>
      <c r="BB33" s="73"/>
      <c r="BC33" s="1255"/>
      <c r="BD33" s="1255"/>
      <c r="BE33" s="1256"/>
      <c r="BF33" s="1257"/>
      <c r="BG33" s="1258"/>
      <c r="BH33" s="1257"/>
      <c r="BI33" s="1258"/>
      <c r="BJ33" s="1247">
        <f>AVERAGE(BI34:BI36)</f>
        <v>5.7142857142859311E-3</v>
      </c>
      <c r="BK33" s="80"/>
      <c r="BL33" s="1233"/>
      <c r="BM33" s="1234"/>
      <c r="BN33" s="1259" t="s">
        <v>111</v>
      </c>
      <c r="BO33" s="1248">
        <v>15.52631578947369</v>
      </c>
      <c r="BP33" s="1260">
        <v>114</v>
      </c>
      <c r="BQ33" s="1236"/>
      <c r="BR33" s="1248">
        <f>AVERAGE(BR22,BR28,BR32)</f>
        <v>3.753541112883219</v>
      </c>
    </row>
    <row r="34" spans="1:70">
      <c r="A34" s="73"/>
      <c r="B34" s="73"/>
      <c r="C34" s="738" t="s">
        <v>573</v>
      </c>
      <c r="D34" s="2342">
        <v>13</v>
      </c>
      <c r="E34" s="4674">
        <v>68</v>
      </c>
      <c r="F34" s="1152">
        <f>+(E29*F29+E30*F30+E31*F31+E32*F32+E33*F33)/E34</f>
        <v>0.99926470588235294</v>
      </c>
      <c r="G34" s="163"/>
      <c r="H34" s="163"/>
      <c r="I34" s="108"/>
      <c r="J34" s="150" t="s">
        <v>41</v>
      </c>
      <c r="K34" s="108" t="s">
        <v>130</v>
      </c>
      <c r="L34" s="1189">
        <v>16.07</v>
      </c>
      <c r="M34" s="150">
        <v>14</v>
      </c>
      <c r="N34" s="2288">
        <f t="shared" ref="N34:N36" si="20">L34-12</f>
        <v>4.07</v>
      </c>
      <c r="P34" s="163"/>
      <c r="Q34" s="163"/>
      <c r="R34" s="80" t="s">
        <v>131</v>
      </c>
      <c r="S34" s="212">
        <v>13.33</v>
      </c>
      <c r="T34" s="163">
        <v>12</v>
      </c>
      <c r="U34" s="2288">
        <f t="shared" ref="U34:U35" si="21">S34-12</f>
        <v>1.33</v>
      </c>
      <c r="W34" s="2191"/>
      <c r="X34" s="2191"/>
      <c r="Y34" s="2287" t="s">
        <v>131</v>
      </c>
      <c r="Z34" s="2288">
        <v>16.642857142857142</v>
      </c>
      <c r="AA34" s="2289">
        <v>14</v>
      </c>
      <c r="AB34" s="2288">
        <f t="shared" ref="AB34:AB35" si="22">Z34-12</f>
        <v>4.6428571428571423</v>
      </c>
      <c r="AD34" s="1223"/>
      <c r="AE34" s="1223"/>
      <c r="AF34" s="1224" t="s">
        <v>112</v>
      </c>
      <c r="AG34" s="1225">
        <v>11.833333333333334</v>
      </c>
      <c r="AH34" s="1226">
        <v>6</v>
      </c>
      <c r="AI34" s="1130">
        <f t="shared" si="14"/>
        <v>-0.16666666666666607</v>
      </c>
      <c r="AK34" s="966"/>
      <c r="AL34" s="966"/>
      <c r="AM34" s="966"/>
      <c r="AN34" s="734" t="s">
        <v>112</v>
      </c>
      <c r="AO34" s="736">
        <v>11</v>
      </c>
      <c r="AP34" s="735">
        <v>4</v>
      </c>
      <c r="AQ34" s="1042">
        <v>2</v>
      </c>
      <c r="AR34" s="735">
        <f t="shared" si="19"/>
        <v>-1</v>
      </c>
      <c r="AS34" s="73"/>
      <c r="AT34" s="1227" t="s">
        <v>48</v>
      </c>
      <c r="AU34" s="1227" t="s">
        <v>16</v>
      </c>
      <c r="AV34" s="1228" t="s">
        <v>145</v>
      </c>
      <c r="AW34" s="1229">
        <v>12.375000000000002</v>
      </c>
      <c r="AX34" s="1229">
        <f t="shared" si="2"/>
        <v>0.37500000000000178</v>
      </c>
      <c r="AY34" s="1230">
        <v>16</v>
      </c>
      <c r="AZ34" s="1231">
        <v>12.8125</v>
      </c>
      <c r="BA34" s="1232">
        <f t="shared" si="3"/>
        <v>0.8125</v>
      </c>
      <c r="BB34" s="73"/>
      <c r="BC34" s="80" t="s">
        <v>48</v>
      </c>
      <c r="BD34" s="80" t="s">
        <v>16</v>
      </c>
      <c r="BE34" s="80" t="s">
        <v>145</v>
      </c>
      <c r="BF34" s="163">
        <v>25</v>
      </c>
      <c r="BG34" s="212">
        <v>13.16</v>
      </c>
      <c r="BH34" s="163">
        <v>12</v>
      </c>
      <c r="BI34" s="212">
        <f>+BG34-BH34</f>
        <v>1.1600000000000001</v>
      </c>
      <c r="BJ34" s="80"/>
      <c r="BK34" s="80"/>
      <c r="BL34" s="1233" t="s">
        <v>48</v>
      </c>
      <c r="BM34" s="1234" t="s">
        <v>16</v>
      </c>
      <c r="BN34" s="1233" t="s">
        <v>145</v>
      </c>
      <c r="BO34" s="1235">
        <v>13.256410256410255</v>
      </c>
      <c r="BP34" s="1234">
        <v>39</v>
      </c>
      <c r="BQ34" s="1236">
        <v>12</v>
      </c>
      <c r="BR34" s="1235">
        <f t="shared" ref="BR34:BR39" si="23">BO34-BQ34</f>
        <v>1.2564102564102555</v>
      </c>
    </row>
    <row r="35" spans="1:70">
      <c r="A35" s="73"/>
      <c r="B35" s="73" t="s">
        <v>41</v>
      </c>
      <c r="C35" s="73" t="s">
        <v>130</v>
      </c>
      <c r="D35" s="2327">
        <v>14.55</v>
      </c>
      <c r="E35" s="161">
        <v>20</v>
      </c>
      <c r="F35" s="212">
        <f t="shared" si="5"/>
        <v>2.5500000000000007</v>
      </c>
      <c r="G35" s="163">
        <v>12</v>
      </c>
      <c r="H35" s="163"/>
      <c r="I35" s="108"/>
      <c r="J35" s="150"/>
      <c r="K35" s="108" t="s">
        <v>131</v>
      </c>
      <c r="L35" s="1189">
        <v>16</v>
      </c>
      <c r="M35" s="150">
        <v>15</v>
      </c>
      <c r="N35" s="2288">
        <f t="shared" si="20"/>
        <v>4</v>
      </c>
      <c r="P35" s="163"/>
      <c r="Q35" s="163"/>
      <c r="R35" s="80" t="s">
        <v>338</v>
      </c>
      <c r="S35" s="212">
        <v>14.57</v>
      </c>
      <c r="T35" s="163">
        <v>7</v>
      </c>
      <c r="U35" s="2288">
        <f t="shared" si="21"/>
        <v>2.5700000000000003</v>
      </c>
      <c r="W35" s="2191"/>
      <c r="X35" s="2191"/>
      <c r="Y35" s="2287" t="s">
        <v>338</v>
      </c>
      <c r="Z35" s="2288">
        <v>13.916666666666668</v>
      </c>
      <c r="AA35" s="2289">
        <v>12</v>
      </c>
      <c r="AB35" s="2288">
        <f t="shared" si="22"/>
        <v>1.9166666666666679</v>
      </c>
      <c r="AD35" s="1223"/>
      <c r="AE35" s="1223"/>
      <c r="AF35" s="1237" t="s">
        <v>573</v>
      </c>
      <c r="AG35" s="1238">
        <v>12.730769230769226</v>
      </c>
      <c r="AH35" s="1239">
        <v>26</v>
      </c>
      <c r="AI35" s="1152">
        <f t="shared" si="14"/>
        <v>0.7307692307692264</v>
      </c>
      <c r="AK35" s="966"/>
      <c r="AL35" s="966"/>
      <c r="AM35" s="966"/>
      <c r="AN35" s="1061" t="s">
        <v>573</v>
      </c>
      <c r="AO35" s="739">
        <v>12.933333333333332</v>
      </c>
      <c r="AP35" s="740">
        <v>30</v>
      </c>
      <c r="AQ35" s="1062">
        <v>2.6901266901756502</v>
      </c>
      <c r="AR35" s="1240">
        <f>+(AP32*AR32+AP33*AR33+AP34*AR34)/AP35</f>
        <v>0.93333333333333224</v>
      </c>
      <c r="AS35" s="73"/>
      <c r="AT35" s="1227"/>
      <c r="AU35" s="1227"/>
      <c r="AV35" s="1228" t="s">
        <v>129</v>
      </c>
      <c r="AW35" s="1229">
        <v>10</v>
      </c>
      <c r="AX35" s="1229">
        <f t="shared" si="2"/>
        <v>-2</v>
      </c>
      <c r="AY35" s="1230">
        <v>2</v>
      </c>
      <c r="AZ35" s="1231">
        <v>10</v>
      </c>
      <c r="BA35" s="1232">
        <f t="shared" si="3"/>
        <v>-2</v>
      </c>
      <c r="BB35" s="73"/>
      <c r="BC35" s="80"/>
      <c r="BD35" s="80"/>
      <c r="BE35" s="80" t="s">
        <v>129</v>
      </c>
      <c r="BF35" s="163">
        <v>1</v>
      </c>
      <c r="BG35" s="212">
        <v>12</v>
      </c>
      <c r="BH35" s="163">
        <v>12</v>
      </c>
      <c r="BI35" s="212">
        <f>+BG35-BH35</f>
        <v>0</v>
      </c>
      <c r="BJ35" s="80"/>
      <c r="BK35" s="80"/>
      <c r="BL35" s="1233"/>
      <c r="BM35" s="1234"/>
      <c r="BN35" s="1233" t="s">
        <v>112</v>
      </c>
      <c r="BO35" s="1235">
        <v>10.625</v>
      </c>
      <c r="BP35" s="1234">
        <v>8</v>
      </c>
      <c r="BQ35" s="1236">
        <v>12</v>
      </c>
      <c r="BR35" s="1235">
        <f t="shared" si="23"/>
        <v>-1.375</v>
      </c>
    </row>
    <row r="36" spans="1:70">
      <c r="A36" s="73"/>
      <c r="B36" s="73"/>
      <c r="C36" s="73" t="s">
        <v>131</v>
      </c>
      <c r="D36" s="2327">
        <v>13.75</v>
      </c>
      <c r="E36" s="161">
        <v>8</v>
      </c>
      <c r="F36" s="212">
        <f t="shared" si="5"/>
        <v>1.75</v>
      </c>
      <c r="G36" s="163">
        <v>12</v>
      </c>
      <c r="H36" s="163"/>
      <c r="I36" s="108"/>
      <c r="J36" s="150"/>
      <c r="K36" s="108" t="s">
        <v>338</v>
      </c>
      <c r="L36" s="1189">
        <v>16</v>
      </c>
      <c r="M36" s="150">
        <v>4</v>
      </c>
      <c r="N36" s="2288">
        <f t="shared" si="20"/>
        <v>4</v>
      </c>
      <c r="P36" s="163"/>
      <c r="Q36" s="163"/>
      <c r="R36" s="1245" t="s">
        <v>575</v>
      </c>
      <c r="S36" s="1246">
        <v>14.09</v>
      </c>
      <c r="T36" s="213">
        <v>33</v>
      </c>
      <c r="U36" s="1152">
        <f>+(T33*U33+T34*U34+T35*U35)/T36</f>
        <v>2.0893939393939394</v>
      </c>
      <c r="W36" s="2191"/>
      <c r="X36" s="2191"/>
      <c r="Y36" s="2290" t="s">
        <v>575</v>
      </c>
      <c r="Z36" s="2291">
        <v>14.800000000000004</v>
      </c>
      <c r="AA36" s="2292">
        <v>40</v>
      </c>
      <c r="AB36" s="1152">
        <f>+(AA33*AB33+AA34*AB34+AA35*AB35)/AA36</f>
        <v>2.8</v>
      </c>
      <c r="AD36" s="1223"/>
      <c r="AE36" s="1223" t="s">
        <v>41</v>
      </c>
      <c r="AF36" s="1224" t="s">
        <v>146</v>
      </c>
      <c r="AG36" s="1225">
        <v>12.5</v>
      </c>
      <c r="AH36" s="1226">
        <v>6</v>
      </c>
      <c r="AI36" s="1130">
        <f>AG36-9</f>
        <v>3.5</v>
      </c>
      <c r="AK36" s="966"/>
      <c r="AL36" s="966"/>
      <c r="AM36" s="966" t="s">
        <v>41</v>
      </c>
      <c r="AN36" s="734" t="s">
        <v>146</v>
      </c>
      <c r="AO36" s="736">
        <v>10.4</v>
      </c>
      <c r="AP36" s="735">
        <v>5</v>
      </c>
      <c r="AQ36" s="1042">
        <v>2.0736441353327724</v>
      </c>
      <c r="AR36" s="735">
        <f>AO36-8</f>
        <v>2.4000000000000004</v>
      </c>
      <c r="AS36" s="73"/>
      <c r="AT36" s="1227"/>
      <c r="AU36" s="1227"/>
      <c r="AV36" s="1228" t="s">
        <v>112</v>
      </c>
      <c r="AW36" s="1229">
        <v>12</v>
      </c>
      <c r="AX36" s="1229">
        <f t="shared" si="2"/>
        <v>0</v>
      </c>
      <c r="AY36" s="1230">
        <v>6</v>
      </c>
      <c r="AZ36" s="1231">
        <v>12.166666666666666</v>
      </c>
      <c r="BA36" s="1232">
        <f t="shared" si="3"/>
        <v>0.16666666666666607</v>
      </c>
      <c r="BB36" s="73"/>
      <c r="BC36" s="80"/>
      <c r="BD36" s="80"/>
      <c r="BE36" s="80" t="s">
        <v>112</v>
      </c>
      <c r="BF36" s="163">
        <v>7</v>
      </c>
      <c r="BG36" s="212">
        <v>10.857142857142858</v>
      </c>
      <c r="BH36" s="163">
        <v>12</v>
      </c>
      <c r="BI36" s="212">
        <f>+BG36-BH36</f>
        <v>-1.1428571428571423</v>
      </c>
      <c r="BJ36" s="1247">
        <f>AVERAGE(BI38:BI39)</f>
        <v>6.125</v>
      </c>
      <c r="BK36" s="80"/>
      <c r="BL36" s="1233"/>
      <c r="BM36" s="1234"/>
      <c r="BN36" s="1234" t="s">
        <v>15</v>
      </c>
      <c r="BO36" s="1235">
        <v>12.808510638297872</v>
      </c>
      <c r="BP36" s="1234">
        <v>47</v>
      </c>
      <c r="BQ36" s="1236"/>
      <c r="BR36" s="1248">
        <f>AVERAGE(BR34:BR35)</f>
        <v>-5.929487179487225E-2</v>
      </c>
    </row>
    <row r="37" spans="1:70">
      <c r="A37" s="73"/>
      <c r="B37" s="73"/>
      <c r="C37" s="73" t="s">
        <v>338</v>
      </c>
      <c r="D37" s="2327">
        <v>14.3</v>
      </c>
      <c r="E37" s="161">
        <v>10</v>
      </c>
      <c r="F37" s="212">
        <f t="shared" si="5"/>
        <v>2.3000000000000007</v>
      </c>
      <c r="G37" s="163">
        <v>12</v>
      </c>
      <c r="H37" s="163"/>
      <c r="I37" s="108"/>
      <c r="J37" s="150"/>
      <c r="K37" s="3292" t="s">
        <v>575</v>
      </c>
      <c r="L37" s="3293">
        <v>16.03</v>
      </c>
      <c r="M37" s="3294">
        <v>33</v>
      </c>
      <c r="N37" s="1152">
        <f>+(M34*N34+M35*N35+M36*N36)/M37</f>
        <v>4.0296969696969702</v>
      </c>
      <c r="P37" s="2630"/>
      <c r="Q37" s="2630"/>
      <c r="R37" s="2627" t="s">
        <v>111</v>
      </c>
      <c r="S37" s="2628">
        <v>14.34</v>
      </c>
      <c r="T37" s="2629">
        <v>136</v>
      </c>
      <c r="U37" s="2631">
        <f>+(T26*U26+T32*U32+T36*U36)/T37</f>
        <v>2.845735294117647</v>
      </c>
      <c r="W37" s="2191"/>
      <c r="X37" s="2191"/>
      <c r="Y37" s="2290" t="s">
        <v>111</v>
      </c>
      <c r="Z37" s="2291">
        <v>15.029126213592232</v>
      </c>
      <c r="AA37" s="2292">
        <v>103</v>
      </c>
      <c r="AB37" s="1152">
        <f>+(AA26*AB26+AA32*AB32+AA36*AB36)/AA37</f>
        <v>3.5242718446601948</v>
      </c>
      <c r="AD37" s="1223"/>
      <c r="AE37" s="1223"/>
      <c r="AF37" s="1224" t="s">
        <v>338</v>
      </c>
      <c r="AG37" s="1225">
        <v>14.142857142857142</v>
      </c>
      <c r="AH37" s="1226">
        <v>7</v>
      </c>
      <c r="AI37" s="1130">
        <f t="shared" si="14"/>
        <v>2.1428571428571423</v>
      </c>
      <c r="AK37" s="966"/>
      <c r="AL37" s="966"/>
      <c r="AM37" s="966"/>
      <c r="AN37" s="734" t="s">
        <v>338</v>
      </c>
      <c r="AO37" s="736">
        <v>13.714285714285714</v>
      </c>
      <c r="AP37" s="735">
        <v>7</v>
      </c>
      <c r="AQ37" s="1042">
        <v>4.8550415622761216</v>
      </c>
      <c r="AR37" s="735">
        <f t="shared" si="18"/>
        <v>4.7142857142857135</v>
      </c>
      <c r="AS37" s="73"/>
      <c r="AT37" s="1227"/>
      <c r="AU37" s="1227"/>
      <c r="AV37" s="1241" t="s">
        <v>573</v>
      </c>
      <c r="AW37" s="1240">
        <v>12.083333333333334</v>
      </c>
      <c r="AX37" s="1240">
        <f>+(AY34*AX34+AY35*AX35+AY36*AX36)/AY37</f>
        <v>8.3333333333334522E-2</v>
      </c>
      <c r="AY37" s="1242">
        <v>24</v>
      </c>
      <c r="AZ37" s="1243">
        <v>12.416666666666666</v>
      </c>
      <c r="BA37" s="1244">
        <f>+(AY34*BA34+AY35*BA35+AY36*BA36)/AY37</f>
        <v>0.41666666666666652</v>
      </c>
      <c r="BB37" s="73"/>
      <c r="BC37" s="80"/>
      <c r="BD37" s="80"/>
      <c r="BE37" s="1245" t="s">
        <v>15</v>
      </c>
      <c r="BF37" s="213">
        <v>33</v>
      </c>
      <c r="BG37" s="1246">
        <v>12.636363636363637</v>
      </c>
      <c r="BH37" s="213"/>
      <c r="BI37" s="1246">
        <f>+(BF34*BI34+BF35*BI35+BF36*BI36)/BF37</f>
        <v>0.63636363636363658</v>
      </c>
      <c r="BJ37" s="80"/>
      <c r="BK37" s="80"/>
      <c r="BL37" s="1233"/>
      <c r="BM37" s="1234"/>
      <c r="BN37" s="1234"/>
      <c r="BO37" s="1235"/>
      <c r="BP37" s="1234"/>
      <c r="BQ37" s="1236"/>
      <c r="BR37" s="1248"/>
    </row>
    <row r="38" spans="1:70">
      <c r="A38" s="73"/>
      <c r="B38" s="73"/>
      <c r="C38" s="738" t="s">
        <v>575</v>
      </c>
      <c r="D38" s="2342">
        <v>14.32</v>
      </c>
      <c r="E38" s="4674">
        <v>38</v>
      </c>
      <c r="F38" s="1152">
        <f>+(E35*F35+E36*F36+E37*F37)/E38</f>
        <v>2.3157894736842111</v>
      </c>
      <c r="G38" s="163"/>
      <c r="H38" s="163"/>
      <c r="I38" s="3295"/>
      <c r="J38" s="3291"/>
      <c r="K38" s="3296" t="s">
        <v>111</v>
      </c>
      <c r="L38" s="3297">
        <v>15.69</v>
      </c>
      <c r="M38" s="3298">
        <v>114</v>
      </c>
      <c r="N38" s="2631">
        <f>+(M27*N27+M33*N33+M37*N37)/M38</f>
        <v>3.6930701754385966</v>
      </c>
      <c r="P38" s="163" t="s">
        <v>48</v>
      </c>
      <c r="Q38" s="163" t="s">
        <v>16</v>
      </c>
      <c r="R38" s="80" t="s">
        <v>145</v>
      </c>
      <c r="S38" s="212">
        <v>12.14</v>
      </c>
      <c r="T38" s="163">
        <v>14</v>
      </c>
      <c r="U38" s="2295">
        <f>S38-12</f>
        <v>0.14000000000000057</v>
      </c>
      <c r="W38" s="2293" t="s">
        <v>48</v>
      </c>
      <c r="X38" s="2293" t="s">
        <v>16</v>
      </c>
      <c r="Y38" s="2294" t="s">
        <v>145</v>
      </c>
      <c r="Z38" s="2295">
        <v>12.772727272727273</v>
      </c>
      <c r="AA38" s="2296">
        <v>22</v>
      </c>
      <c r="AB38" s="2295">
        <f>Z38-12</f>
        <v>0.77272727272727337</v>
      </c>
      <c r="AD38" s="1223"/>
      <c r="AE38" s="1223"/>
      <c r="AF38" s="1237" t="s">
        <v>575</v>
      </c>
      <c r="AG38" s="1238">
        <v>13.384615384615383</v>
      </c>
      <c r="AH38" s="1239">
        <v>13</v>
      </c>
      <c r="AI38" s="1152">
        <f>+(AH36*AI36+AH37*AI37)/AH38</f>
        <v>2.7692307692307692</v>
      </c>
      <c r="AK38" s="966"/>
      <c r="AL38" s="966"/>
      <c r="AM38" s="966"/>
      <c r="AN38" s="1061" t="s">
        <v>575</v>
      </c>
      <c r="AO38" s="739">
        <v>12.333333333333334</v>
      </c>
      <c r="AP38" s="740">
        <v>12</v>
      </c>
      <c r="AQ38" s="1062">
        <v>4.1633319989322652</v>
      </c>
      <c r="AR38" s="1240">
        <f>+(AP36*AR36+AP37*AR37)/AP38</f>
        <v>3.7499999999999996</v>
      </c>
      <c r="AS38" s="73"/>
      <c r="AT38" s="1227"/>
      <c r="AU38" s="1227" t="s">
        <v>41</v>
      </c>
      <c r="AV38" s="1228" t="s">
        <v>146</v>
      </c>
      <c r="AW38" s="1229">
        <v>10.5</v>
      </c>
      <c r="AX38" s="1229">
        <f t="shared" si="2"/>
        <v>2.5</v>
      </c>
      <c r="AY38" s="1230">
        <v>2</v>
      </c>
      <c r="AZ38" s="1231">
        <v>14.5</v>
      </c>
      <c r="BA38" s="1232">
        <f t="shared" si="3"/>
        <v>6.5</v>
      </c>
      <c r="BB38" s="73"/>
      <c r="BC38" s="80"/>
      <c r="BD38" s="80" t="s">
        <v>41</v>
      </c>
      <c r="BE38" s="80" t="s">
        <v>146</v>
      </c>
      <c r="BF38" s="163">
        <v>4</v>
      </c>
      <c r="BG38" s="212">
        <v>9.25</v>
      </c>
      <c r="BH38" s="163">
        <v>8</v>
      </c>
      <c r="BI38" s="212">
        <f>+BG38-BH38</f>
        <v>1.25</v>
      </c>
      <c r="BJ38" s="1247">
        <f>+BI42</f>
        <v>5</v>
      </c>
      <c r="BK38" s="80"/>
      <c r="BL38" s="1233"/>
      <c r="BM38" s="1234" t="s">
        <v>41</v>
      </c>
      <c r="BN38" s="1233" t="s">
        <v>890</v>
      </c>
      <c r="BO38" s="1235">
        <v>11.636363636363637</v>
      </c>
      <c r="BP38" s="1234">
        <v>11</v>
      </c>
      <c r="BQ38" s="1236">
        <v>9</v>
      </c>
      <c r="BR38" s="1235">
        <f t="shared" si="23"/>
        <v>2.6363636363636367</v>
      </c>
    </row>
    <row r="39" spans="1:70">
      <c r="A39" s="4616"/>
      <c r="B39" s="4616"/>
      <c r="C39" s="4617" t="s">
        <v>111</v>
      </c>
      <c r="D39" s="4618">
        <v>14.46</v>
      </c>
      <c r="E39" s="4619">
        <v>147</v>
      </c>
      <c r="F39" s="4714">
        <f>+(E28*F28+E34*F34+E38*F38)/E39</f>
        <v>2.4627891156462587</v>
      </c>
      <c r="G39" s="4715"/>
      <c r="H39" s="163"/>
      <c r="I39" s="108" t="s">
        <v>48</v>
      </c>
      <c r="J39" s="150" t="s">
        <v>16</v>
      </c>
      <c r="K39" s="108" t="s">
        <v>145</v>
      </c>
      <c r="L39" s="1189">
        <v>12.96</v>
      </c>
      <c r="M39" s="150">
        <v>23</v>
      </c>
      <c r="N39" s="2288">
        <f>L39-9</f>
        <v>3.9600000000000009</v>
      </c>
      <c r="P39" s="163"/>
      <c r="Q39" s="163"/>
      <c r="R39" s="80" t="s">
        <v>112</v>
      </c>
      <c r="S39" s="212">
        <v>11.75</v>
      </c>
      <c r="T39" s="163">
        <v>4</v>
      </c>
      <c r="U39" s="2288">
        <f>S39-9</f>
        <v>2.75</v>
      </c>
      <c r="W39" s="2191"/>
      <c r="X39" s="2191"/>
      <c r="Y39" s="2287" t="s">
        <v>112</v>
      </c>
      <c r="Z39" s="2288">
        <v>11.555555555555555</v>
      </c>
      <c r="AA39" s="2289">
        <v>9</v>
      </c>
      <c r="AB39" s="2288">
        <f>Z39-9</f>
        <v>2.5555555555555554</v>
      </c>
      <c r="AD39" s="1223"/>
      <c r="AE39" s="1223" t="s">
        <v>105</v>
      </c>
      <c r="AF39" s="1224" t="s">
        <v>147</v>
      </c>
      <c r="AG39" s="1225">
        <v>16.166666666666668</v>
      </c>
      <c r="AH39" s="1226">
        <v>6</v>
      </c>
      <c r="AI39" s="1130">
        <f t="shared" si="14"/>
        <v>4.1666666666666679</v>
      </c>
      <c r="AK39" s="966"/>
      <c r="AL39" s="966"/>
      <c r="AM39" s="966" t="s">
        <v>105</v>
      </c>
      <c r="AN39" s="734" t="s">
        <v>147</v>
      </c>
      <c r="AO39" s="736">
        <v>14.5</v>
      </c>
      <c r="AP39" s="735">
        <v>2</v>
      </c>
      <c r="AQ39" s="1042">
        <v>3.5355339059327378</v>
      </c>
      <c r="AR39" s="735">
        <f>AO39-8</f>
        <v>6.5</v>
      </c>
      <c r="AS39" s="73"/>
      <c r="AT39" s="1227"/>
      <c r="AU39" s="1227"/>
      <c r="AV39" s="1228" t="s">
        <v>338</v>
      </c>
      <c r="AW39" s="1229">
        <v>14.799999999999997</v>
      </c>
      <c r="AX39" s="1229">
        <f t="shared" si="2"/>
        <v>5.7999999999999972</v>
      </c>
      <c r="AY39" s="1230">
        <v>15</v>
      </c>
      <c r="AZ39" s="1231">
        <v>17.266666666666662</v>
      </c>
      <c r="BA39" s="1232">
        <f t="shared" si="3"/>
        <v>8.2666666666666622</v>
      </c>
      <c r="BB39" s="73"/>
      <c r="BC39" s="80"/>
      <c r="BD39" s="80"/>
      <c r="BE39" s="80" t="s">
        <v>338</v>
      </c>
      <c r="BF39" s="163">
        <v>14</v>
      </c>
      <c r="BG39" s="212">
        <v>20</v>
      </c>
      <c r="BH39" s="163">
        <v>9</v>
      </c>
      <c r="BI39" s="212">
        <f>+BG39-BH39</f>
        <v>11</v>
      </c>
      <c r="BJ39" s="80"/>
      <c r="BK39" s="80"/>
      <c r="BL39" s="1233"/>
      <c r="BM39" s="1234"/>
      <c r="BN39" s="1233" t="s">
        <v>146</v>
      </c>
      <c r="BO39" s="1235">
        <v>11.4</v>
      </c>
      <c r="BP39" s="1234">
        <v>5</v>
      </c>
      <c r="BQ39" s="1236">
        <v>8</v>
      </c>
      <c r="BR39" s="1235">
        <f t="shared" si="23"/>
        <v>3.4000000000000004</v>
      </c>
    </row>
    <row r="40" spans="1:70">
      <c r="A40" s="73" t="s">
        <v>48</v>
      </c>
      <c r="B40" s="73" t="s">
        <v>16</v>
      </c>
      <c r="C40" s="73" t="s">
        <v>145</v>
      </c>
      <c r="D40" s="2327">
        <v>13.33</v>
      </c>
      <c r="E40" s="161">
        <v>18</v>
      </c>
      <c r="F40" s="212">
        <f t="shared" si="5"/>
        <v>4.33</v>
      </c>
      <c r="G40" s="163">
        <v>9</v>
      </c>
      <c r="H40" s="163"/>
      <c r="I40" s="108"/>
      <c r="J40" s="150"/>
      <c r="K40" s="108" t="s">
        <v>112</v>
      </c>
      <c r="L40" s="1189">
        <v>11.25</v>
      </c>
      <c r="M40" s="150">
        <v>8</v>
      </c>
      <c r="N40" s="2288">
        <f>L40-9</f>
        <v>2.25</v>
      </c>
      <c r="P40" s="163"/>
      <c r="Q40" s="163"/>
      <c r="R40" s="1245" t="s">
        <v>573</v>
      </c>
      <c r="S40" s="1246">
        <v>12.06</v>
      </c>
      <c r="T40" s="213">
        <v>18</v>
      </c>
      <c r="U40" s="1152">
        <f>+(T38*U38+T39*U39)/T40</f>
        <v>0.72000000000000042</v>
      </c>
      <c r="W40" s="2191"/>
      <c r="X40" s="2191"/>
      <c r="Y40" s="2290" t="s">
        <v>573</v>
      </c>
      <c r="Z40" s="2291">
        <v>12.419354838709676</v>
      </c>
      <c r="AA40" s="2292">
        <v>31</v>
      </c>
      <c r="AB40" s="1152">
        <f>+(AA38*AB38+AA39*AB39)/AA40</f>
        <v>1.2903225806451617</v>
      </c>
      <c r="AD40" s="1223"/>
      <c r="AE40" s="1223"/>
      <c r="AF40" s="1237" t="s">
        <v>888</v>
      </c>
      <c r="AG40" s="1238">
        <v>16.166666666666668</v>
      </c>
      <c r="AH40" s="1239">
        <v>6</v>
      </c>
      <c r="AI40" s="1152">
        <f t="shared" si="14"/>
        <v>4.1666666666666679</v>
      </c>
      <c r="AK40" s="966"/>
      <c r="AL40" s="966"/>
      <c r="AM40" s="966"/>
      <c r="AN40" s="1061" t="s">
        <v>888</v>
      </c>
      <c r="AO40" s="739">
        <v>14.5</v>
      </c>
      <c r="AP40" s="740">
        <v>2</v>
      </c>
      <c r="AQ40" s="1062">
        <v>3.5355339059327378</v>
      </c>
      <c r="AR40" s="1240">
        <f>+(AP39*AR39)/AP40</f>
        <v>6.5</v>
      </c>
      <c r="AS40" s="73"/>
      <c r="AT40" s="1227"/>
      <c r="AU40" s="1227"/>
      <c r="AV40" s="1241" t="s">
        <v>575</v>
      </c>
      <c r="AW40" s="1240">
        <v>14.294117647058822</v>
      </c>
      <c r="AX40" s="1240">
        <f>+(AY38*AX38+AY39*AX39)/AY40</f>
        <v>5.4117647058823506</v>
      </c>
      <c r="AY40" s="1242">
        <v>17</v>
      </c>
      <c r="AZ40" s="1243">
        <v>16.941176470588236</v>
      </c>
      <c r="BA40" s="1244">
        <f>+(AY38*BA38+AY39*BA39)/AY40</f>
        <v>8.0588235294117609</v>
      </c>
      <c r="BB40" s="73"/>
      <c r="BC40" s="80"/>
      <c r="BD40" s="80"/>
      <c r="BE40" s="1245" t="s">
        <v>15</v>
      </c>
      <c r="BF40" s="213">
        <v>18</v>
      </c>
      <c r="BG40" s="1246">
        <v>17.611111111111111</v>
      </c>
      <c r="BH40" s="213"/>
      <c r="BI40" s="1246">
        <f>+(BF38*BI38+BF39*BI39)/BF40</f>
        <v>8.8333333333333339</v>
      </c>
      <c r="BJ40" s="80"/>
      <c r="BK40" s="80"/>
      <c r="BL40" s="1233"/>
      <c r="BM40" s="1234"/>
      <c r="BN40" s="1234" t="s">
        <v>15</v>
      </c>
      <c r="BO40" s="1235">
        <v>11.5625</v>
      </c>
      <c r="BP40" s="1234">
        <v>16</v>
      </c>
      <c r="BQ40" s="1236"/>
      <c r="BR40" s="1248">
        <f>AVERAGE(BR38:BR39)</f>
        <v>3.0181818181818185</v>
      </c>
    </row>
    <row r="41" spans="1:70">
      <c r="A41" s="73"/>
      <c r="B41" s="73"/>
      <c r="C41" s="73" t="s">
        <v>129</v>
      </c>
      <c r="D41" s="2327">
        <v>12.75</v>
      </c>
      <c r="E41" s="161">
        <v>4</v>
      </c>
      <c r="F41" s="212">
        <f t="shared" si="5"/>
        <v>3.75</v>
      </c>
      <c r="G41" s="163">
        <v>9</v>
      </c>
      <c r="H41" s="163"/>
      <c r="I41" s="108"/>
      <c r="J41" s="150"/>
      <c r="K41" s="3292" t="s">
        <v>573</v>
      </c>
      <c r="L41" s="3293">
        <v>12.52</v>
      </c>
      <c r="M41" s="3294">
        <v>31</v>
      </c>
      <c r="N41" s="1152">
        <f>+(M39*N39+M40*N40)/M41</f>
        <v>3.5187096774193551</v>
      </c>
      <c r="P41" s="163"/>
      <c r="Q41" s="163" t="s">
        <v>41</v>
      </c>
      <c r="R41" s="80" t="s">
        <v>146</v>
      </c>
      <c r="S41" s="212">
        <v>11</v>
      </c>
      <c r="T41" s="163">
        <v>4</v>
      </c>
      <c r="U41" s="2288">
        <f t="shared" ref="U41" si="24">S41-9</f>
        <v>2</v>
      </c>
      <c r="W41" s="2191"/>
      <c r="X41" s="2191" t="s">
        <v>41</v>
      </c>
      <c r="Y41" s="2287" t="s">
        <v>146</v>
      </c>
      <c r="Z41" s="2288">
        <v>10</v>
      </c>
      <c r="AA41" s="2289">
        <v>1</v>
      </c>
      <c r="AB41" s="2288">
        <f t="shared" si="0"/>
        <v>1</v>
      </c>
      <c r="AD41" s="1223"/>
      <c r="AE41" s="1223"/>
      <c r="AF41" s="1249" t="s">
        <v>461</v>
      </c>
      <c r="AG41" s="1250">
        <v>13.37777777777778</v>
      </c>
      <c r="AH41" s="1251">
        <v>45</v>
      </c>
      <c r="AI41" s="1176">
        <f>+(AH35*AI35+AH38*AI38+AH40*AI40)/AH41</f>
        <v>1.7777777777777752</v>
      </c>
      <c r="AK41" s="966"/>
      <c r="AL41" s="966"/>
      <c r="AM41" s="966"/>
      <c r="AN41" s="1061" t="s">
        <v>461</v>
      </c>
      <c r="AO41" s="739">
        <v>12.84090909090909</v>
      </c>
      <c r="AP41" s="740">
        <v>44</v>
      </c>
      <c r="AQ41" s="1062">
        <v>3.1323011959645606</v>
      </c>
      <c r="AR41" s="1240">
        <f>+(AP35*AR35+AP38*AR38+AP40*AR40)/AP41</f>
        <v>1.9545454545454535</v>
      </c>
      <c r="AS41" s="73"/>
      <c r="AT41" s="1227"/>
      <c r="AU41" s="1227" t="s">
        <v>105</v>
      </c>
      <c r="AV41" s="1228" t="s">
        <v>147</v>
      </c>
      <c r="AW41" s="1229">
        <v>14.5</v>
      </c>
      <c r="AX41" s="1229">
        <f t="shared" si="2"/>
        <v>6.5</v>
      </c>
      <c r="AY41" s="1230">
        <v>6</v>
      </c>
      <c r="AZ41" s="1231">
        <v>15.5</v>
      </c>
      <c r="BA41" s="1232">
        <f t="shared" si="3"/>
        <v>7.5</v>
      </c>
      <c r="BB41" s="73"/>
      <c r="BC41" s="80"/>
      <c r="BD41" s="80" t="s">
        <v>105</v>
      </c>
      <c r="BE41" s="80" t="s">
        <v>147</v>
      </c>
      <c r="BF41" s="163">
        <v>3</v>
      </c>
      <c r="BG41" s="212">
        <v>13</v>
      </c>
      <c r="BH41" s="163">
        <v>8</v>
      </c>
      <c r="BI41" s="212">
        <f>+BG41-BH41</f>
        <v>5</v>
      </c>
      <c r="BJ41" s="80"/>
      <c r="BK41" s="80"/>
      <c r="BL41" s="1233"/>
      <c r="BM41" s="1234" t="s">
        <v>105</v>
      </c>
      <c r="BN41" s="1233" t="s">
        <v>147</v>
      </c>
      <c r="BO41" s="1235">
        <v>12</v>
      </c>
      <c r="BP41" s="1234">
        <v>3</v>
      </c>
      <c r="BQ41" s="1236">
        <v>8</v>
      </c>
      <c r="BR41" s="1235">
        <f>BO41-8</f>
        <v>4</v>
      </c>
    </row>
    <row r="42" spans="1:70" ht="15.75" thickBot="1">
      <c r="A42" s="73"/>
      <c r="B42" s="73"/>
      <c r="C42" s="73" t="s">
        <v>112</v>
      </c>
      <c r="D42" s="2327">
        <v>10.75</v>
      </c>
      <c r="E42" s="161">
        <v>4</v>
      </c>
      <c r="F42" s="212">
        <f t="shared" si="5"/>
        <v>1.75</v>
      </c>
      <c r="G42" s="163">
        <v>9</v>
      </c>
      <c r="H42" s="163"/>
      <c r="I42" s="108"/>
      <c r="J42" s="150" t="s">
        <v>41</v>
      </c>
      <c r="K42" s="108" t="s">
        <v>146</v>
      </c>
      <c r="L42" s="1189">
        <v>10.25</v>
      </c>
      <c r="M42" s="150">
        <v>4</v>
      </c>
      <c r="N42" s="2288">
        <f>L42-9</f>
        <v>1.25</v>
      </c>
      <c r="P42" s="163"/>
      <c r="Q42" s="163"/>
      <c r="R42" s="80" t="s">
        <v>338</v>
      </c>
      <c r="S42" s="212">
        <v>12.82</v>
      </c>
      <c r="T42" s="163">
        <v>11</v>
      </c>
      <c r="U42" s="2288">
        <f>S42-12</f>
        <v>0.82000000000000028</v>
      </c>
      <c r="W42" s="2191"/>
      <c r="X42" s="2191"/>
      <c r="Y42" s="2287" t="s">
        <v>338</v>
      </c>
      <c r="Z42" s="2288">
        <v>12.916666666666668</v>
      </c>
      <c r="AA42" s="2289">
        <v>12</v>
      </c>
      <c r="AB42" s="2288">
        <f>Z42-12</f>
        <v>0.91666666666666785</v>
      </c>
      <c r="AD42" s="1223" t="s">
        <v>59</v>
      </c>
      <c r="AE42" s="1223" t="s">
        <v>16</v>
      </c>
      <c r="AF42" s="1224" t="s">
        <v>709</v>
      </c>
      <c r="AG42" s="1225">
        <v>9</v>
      </c>
      <c r="AH42" s="1226">
        <v>2</v>
      </c>
      <c r="AI42" s="1130">
        <f>AG42-9</f>
        <v>0</v>
      </c>
      <c r="AK42" s="1261"/>
      <c r="AL42" s="1261"/>
      <c r="AM42" s="1261"/>
      <c r="AN42" s="1071" t="s">
        <v>114</v>
      </c>
      <c r="AO42" s="745">
        <v>13.058201058201057</v>
      </c>
      <c r="AP42" s="744">
        <v>189</v>
      </c>
      <c r="AQ42" s="1072">
        <v>3.8387441072651254</v>
      </c>
      <c r="AR42" s="1262">
        <f>+(AP14*AR14+AP31*AR31+AP41*AR41)/AP42</f>
        <v>2.2857142857142856</v>
      </c>
      <c r="AS42" s="73"/>
      <c r="AT42" s="1263"/>
      <c r="AU42" s="1263"/>
      <c r="AV42" s="1264" t="s">
        <v>888</v>
      </c>
      <c r="AW42" s="1262">
        <v>14.5</v>
      </c>
      <c r="AX42" s="1262">
        <f>+(AY41*AX41)/AY42</f>
        <v>6.5</v>
      </c>
      <c r="AY42" s="1265">
        <v>6</v>
      </c>
      <c r="AZ42" s="1266">
        <v>15.5</v>
      </c>
      <c r="BA42" s="1267">
        <f>+(AY41*BA41)/AY42</f>
        <v>7.5</v>
      </c>
      <c r="BB42" s="73"/>
      <c r="BC42" s="1268"/>
      <c r="BD42" s="1268"/>
      <c r="BE42" s="1218" t="s">
        <v>15</v>
      </c>
      <c r="BF42" s="733">
        <v>3</v>
      </c>
      <c r="BG42" s="1269">
        <v>13</v>
      </c>
      <c r="BH42" s="733"/>
      <c r="BI42" s="1269">
        <f>+BI41</f>
        <v>5</v>
      </c>
      <c r="BJ42" s="1247">
        <f>AVERAGE(BI9,BI21)</f>
        <v>6.4940711462450587</v>
      </c>
      <c r="BK42" s="80"/>
      <c r="BL42" s="1233"/>
      <c r="BM42" s="1234"/>
      <c r="BN42" s="1234" t="s">
        <v>15</v>
      </c>
      <c r="BO42" s="1235">
        <v>12</v>
      </c>
      <c r="BP42" s="1234">
        <v>3</v>
      </c>
      <c r="BQ42" s="1236"/>
      <c r="BR42" s="1248">
        <f>BO42-8</f>
        <v>4</v>
      </c>
    </row>
    <row r="43" spans="1:70">
      <c r="A43" s="73"/>
      <c r="B43" s="73"/>
      <c r="C43" s="738" t="s">
        <v>573</v>
      </c>
      <c r="D43" s="2342">
        <v>12.85</v>
      </c>
      <c r="E43" s="4674">
        <v>26</v>
      </c>
      <c r="F43" s="1152">
        <f>+(E40*F40+E41*F41+E42*F42)/E43</f>
        <v>3.8438461538461537</v>
      </c>
      <c r="G43" s="163"/>
      <c r="H43" s="163"/>
      <c r="I43" s="108"/>
      <c r="J43" s="150"/>
      <c r="K43" s="108" t="s">
        <v>338</v>
      </c>
      <c r="L43" s="1189">
        <v>15.56</v>
      </c>
      <c r="M43" s="150">
        <v>9</v>
      </c>
      <c r="N43" s="2288">
        <f t="shared" ref="N43:N44" si="25">L43-12</f>
        <v>3.5600000000000005</v>
      </c>
      <c r="P43" s="163"/>
      <c r="Q43" s="163"/>
      <c r="R43" s="80" t="s">
        <v>2024</v>
      </c>
      <c r="S43" s="212">
        <v>12</v>
      </c>
      <c r="T43" s="163">
        <v>1</v>
      </c>
      <c r="U43" s="2288">
        <f>S43-12</f>
        <v>0</v>
      </c>
      <c r="W43" s="2191"/>
      <c r="X43" s="2191"/>
      <c r="Y43" s="2287"/>
      <c r="Z43" s="2288"/>
      <c r="AA43" s="2289"/>
      <c r="AB43" s="2288"/>
      <c r="AD43" s="1223"/>
      <c r="AE43" s="1223"/>
      <c r="AF43" s="1237" t="s">
        <v>573</v>
      </c>
      <c r="AG43" s="1238">
        <v>9</v>
      </c>
      <c r="AH43" s="1239">
        <v>2</v>
      </c>
      <c r="AI43" s="1152">
        <f>AG43-9</f>
        <v>0</v>
      </c>
      <c r="AK43" s="966"/>
      <c r="AL43" s="966"/>
      <c r="AM43" s="966"/>
      <c r="AN43" s="734"/>
      <c r="AO43" s="1074"/>
      <c r="AP43" s="1075"/>
      <c r="AQ43" s="1076"/>
      <c r="AR43" s="735"/>
      <c r="AS43" s="73"/>
      <c r="AT43" s="73"/>
      <c r="AU43" s="73"/>
      <c r="AV43" s="73"/>
      <c r="AW43" s="73"/>
      <c r="AX43" s="73"/>
      <c r="AY43" s="73"/>
      <c r="AZ43" s="73"/>
      <c r="BA43" s="73"/>
      <c r="BB43" s="73"/>
      <c r="BC43" s="80"/>
      <c r="BD43" s="80"/>
      <c r="BE43" s="80"/>
      <c r="BF43" s="80"/>
      <c r="BG43" s="80"/>
      <c r="BH43" s="80"/>
      <c r="BI43" s="80"/>
      <c r="BJ43" s="1247">
        <f>AVERAGE(BI12,BI28,BI37)</f>
        <v>0.36212121212121234</v>
      </c>
      <c r="BK43" s="80"/>
      <c r="BL43" s="1233"/>
      <c r="BM43" s="1234"/>
      <c r="BN43" s="1259" t="s">
        <v>461</v>
      </c>
      <c r="BO43" s="1248">
        <v>12.469696969696965</v>
      </c>
      <c r="BP43" s="1260">
        <v>66</v>
      </c>
      <c r="BQ43" s="1236"/>
      <c r="BR43" s="1248">
        <f>AVERAGE(BR36,BR40,BR42)</f>
        <v>2.3196289821289819</v>
      </c>
    </row>
    <row r="44" spans="1:70">
      <c r="A44" s="73"/>
      <c r="B44" s="73" t="s">
        <v>41</v>
      </c>
      <c r="C44" s="73" t="s">
        <v>146</v>
      </c>
      <c r="D44" s="2327">
        <v>11.8</v>
      </c>
      <c r="E44" s="161">
        <v>15</v>
      </c>
      <c r="F44" s="212">
        <f t="shared" si="5"/>
        <v>2.8000000000000007</v>
      </c>
      <c r="G44" s="163">
        <v>9</v>
      </c>
      <c r="H44" s="163"/>
      <c r="I44" s="108"/>
      <c r="J44" s="150"/>
      <c r="K44" s="108" t="s">
        <v>2024</v>
      </c>
      <c r="L44" s="1189">
        <v>12.75</v>
      </c>
      <c r="M44" s="150">
        <v>4</v>
      </c>
      <c r="N44" s="2288">
        <f t="shared" si="25"/>
        <v>0.75</v>
      </c>
      <c r="P44" s="163"/>
      <c r="Q44" s="163"/>
      <c r="R44" s="1245" t="s">
        <v>575</v>
      </c>
      <c r="S44" s="1246">
        <v>12.31</v>
      </c>
      <c r="T44" s="213">
        <v>16</v>
      </c>
      <c r="U44" s="1152">
        <f>+(T41*U41+T42*U42+T43*U43)/T44</f>
        <v>1.0637500000000002</v>
      </c>
      <c r="W44" s="2191"/>
      <c r="X44" s="2191"/>
      <c r="Y44" s="2290" t="s">
        <v>575</v>
      </c>
      <c r="Z44" s="2291">
        <v>12.692307692307693</v>
      </c>
      <c r="AA44" s="2292">
        <v>13</v>
      </c>
      <c r="AB44" s="1152">
        <f>+(AA41*AB41+AA42*AB42)/AA44</f>
        <v>0.92307692307692413</v>
      </c>
      <c r="AD44" s="1223"/>
      <c r="AE44" s="1223"/>
      <c r="AF44" s="1237" t="s">
        <v>265</v>
      </c>
      <c r="AG44" s="1238">
        <v>9</v>
      </c>
      <c r="AH44" s="1239">
        <v>2</v>
      </c>
      <c r="AI44" s="1152">
        <f>AG44-9</f>
        <v>0</v>
      </c>
      <c r="AK44" s="966"/>
      <c r="AL44" s="966"/>
      <c r="AM44" s="966"/>
      <c r="AN44" s="734"/>
      <c r="AO44" s="1074"/>
      <c r="AP44" s="1075"/>
      <c r="AQ44" s="1076"/>
      <c r="AR44" s="735"/>
      <c r="AS44" s="73"/>
      <c r="AT44" s="1270"/>
      <c r="AU44" s="1270"/>
      <c r="AV44" s="1228"/>
      <c r="AW44" s="1229"/>
      <c r="AX44" s="1229"/>
      <c r="AY44" s="1230"/>
      <c r="AZ44" s="1271"/>
      <c r="BA44" s="73"/>
      <c r="BB44" s="73"/>
      <c r="BC44" s="80"/>
      <c r="BD44" s="80"/>
      <c r="BE44" s="80"/>
      <c r="BF44" s="80"/>
      <c r="BG44" s="80"/>
      <c r="BH44" s="80"/>
      <c r="BI44" s="80"/>
      <c r="BJ44" s="1247">
        <f>AVERAGE(BI32,BI40)</f>
        <v>7.7333333333333325</v>
      </c>
      <c r="BK44" s="80"/>
      <c r="BL44" s="1272"/>
      <c r="BM44" s="1220"/>
      <c r="BN44" s="1272" t="s">
        <v>114</v>
      </c>
      <c r="BO44" s="1273">
        <v>14.092783505154635</v>
      </c>
      <c r="BP44" s="1220">
        <v>194</v>
      </c>
      <c r="BQ44" s="1274"/>
      <c r="BR44" s="1275">
        <f>AVERAGE(BR15,BR33,BR43)</f>
        <v>2.6799455872262894</v>
      </c>
    </row>
    <row r="45" spans="1:70" ht="15.75" thickBot="1">
      <c r="A45" s="73"/>
      <c r="B45" s="73"/>
      <c r="C45" s="73" t="s">
        <v>338</v>
      </c>
      <c r="D45" s="2327">
        <v>14.13</v>
      </c>
      <c r="E45" s="161">
        <v>8</v>
      </c>
      <c r="F45" s="212">
        <f t="shared" si="5"/>
        <v>2.1300000000000008</v>
      </c>
      <c r="G45" s="163">
        <v>12</v>
      </c>
      <c r="H45" s="163"/>
      <c r="I45" s="108"/>
      <c r="J45" s="150"/>
      <c r="K45" s="3292" t="s">
        <v>575</v>
      </c>
      <c r="L45" s="3293">
        <v>13.65</v>
      </c>
      <c r="M45" s="3294">
        <v>17</v>
      </c>
      <c r="N45" s="1152">
        <f>+(M42*N42+M43*N43+M44*N44)/M45</f>
        <v>2.355294117647059</v>
      </c>
      <c r="P45" s="163"/>
      <c r="Q45" s="163" t="s">
        <v>105</v>
      </c>
      <c r="R45" s="80" t="s">
        <v>147</v>
      </c>
      <c r="S45" s="212">
        <v>15.2</v>
      </c>
      <c r="T45" s="163">
        <v>5</v>
      </c>
      <c r="U45" s="2288">
        <f>S45-12</f>
        <v>3.1999999999999993</v>
      </c>
      <c r="W45" s="2191"/>
      <c r="X45" s="2191" t="s">
        <v>105</v>
      </c>
      <c r="Y45" s="2287" t="s">
        <v>147</v>
      </c>
      <c r="Z45" s="2288">
        <v>13.333333333333334</v>
      </c>
      <c r="AA45" s="2289">
        <v>6</v>
      </c>
      <c r="AB45" s="2288">
        <f>Z45-12</f>
        <v>1.3333333333333339</v>
      </c>
      <c r="AD45" s="1276"/>
      <c r="AE45" s="1276"/>
      <c r="AF45" s="1277" t="s">
        <v>114</v>
      </c>
      <c r="AG45" s="1278">
        <v>13.479999999999988</v>
      </c>
      <c r="AH45" s="1279">
        <v>225</v>
      </c>
      <c r="AI45" s="1202">
        <f>+(AH14*AI14+AH31*AI31+AH41*AI41+AH44*AI44)/AH45</f>
        <v>2.0533333333333292</v>
      </c>
      <c r="AK45" s="966"/>
      <c r="AL45" s="966"/>
      <c r="AM45" s="966"/>
      <c r="AN45" s="734"/>
      <c r="AO45" s="1074"/>
      <c r="AP45" s="1075"/>
      <c r="AQ45" s="1076"/>
      <c r="AR45" s="735"/>
      <c r="AS45" s="73"/>
      <c r="AT45" s="1270"/>
      <c r="AU45" s="1270"/>
      <c r="AV45" s="1228"/>
      <c r="AW45" s="1229"/>
      <c r="AX45" s="1229"/>
      <c r="AY45" s="1230"/>
      <c r="AZ45" s="1271"/>
      <c r="BA45" s="73"/>
      <c r="BB45" s="73"/>
      <c r="BC45" s="80"/>
      <c r="BD45" s="80"/>
      <c r="BE45" s="80"/>
      <c r="BF45" s="80"/>
      <c r="BG45" s="80"/>
      <c r="BH45" s="80"/>
      <c r="BI45" s="80"/>
      <c r="BJ45" s="1247">
        <f>AVERAGE(BI14,BI42)</f>
        <v>3.2857142857142856</v>
      </c>
      <c r="BK45" s="80"/>
      <c r="BL45" s="1233" t="s">
        <v>1428</v>
      </c>
      <c r="BM45" s="1234"/>
      <c r="BN45" s="1233"/>
      <c r="BO45" s="1233"/>
      <c r="BP45" s="1234"/>
      <c r="BQ45" s="1234"/>
      <c r="BR45" s="1233"/>
    </row>
    <row r="46" spans="1:70" ht="24.75" thickBot="1">
      <c r="A46" s="73"/>
      <c r="B46" s="73"/>
      <c r="C46" s="73" t="s">
        <v>2024</v>
      </c>
      <c r="D46" s="2327">
        <v>13.25</v>
      </c>
      <c r="E46" s="161">
        <v>4</v>
      </c>
      <c r="F46" s="212">
        <f t="shared" si="5"/>
        <v>1.25</v>
      </c>
      <c r="G46" s="163">
        <v>12</v>
      </c>
      <c r="H46" s="163"/>
      <c r="I46" s="108"/>
      <c r="J46" s="150" t="s">
        <v>21</v>
      </c>
      <c r="K46" s="108" t="s">
        <v>147</v>
      </c>
      <c r="L46" s="1189">
        <v>14</v>
      </c>
      <c r="M46" s="150">
        <v>7</v>
      </c>
      <c r="N46" s="2291">
        <f>L46-12</f>
        <v>2</v>
      </c>
      <c r="P46" s="163"/>
      <c r="Q46" s="163"/>
      <c r="R46" s="1245" t="s">
        <v>888</v>
      </c>
      <c r="S46" s="1246">
        <v>15.2</v>
      </c>
      <c r="T46" s="213">
        <v>5</v>
      </c>
      <c r="U46" s="2291">
        <f>S46-12</f>
        <v>3.1999999999999993</v>
      </c>
      <c r="W46" s="2191"/>
      <c r="X46" s="2191"/>
      <c r="Y46" s="2290" t="s">
        <v>888</v>
      </c>
      <c r="Z46" s="2291">
        <v>13.333333333333334</v>
      </c>
      <c r="AA46" s="2292">
        <v>6</v>
      </c>
      <c r="AB46" s="2291">
        <f>Z46-12</f>
        <v>1.3333333333333339</v>
      </c>
      <c r="AD46" s="1280"/>
      <c r="AE46" s="1280"/>
      <c r="AF46" s="155"/>
      <c r="AG46" s="155"/>
      <c r="AH46" s="155"/>
      <c r="AI46" s="155"/>
      <c r="AK46" s="949" t="s">
        <v>1057</v>
      </c>
      <c r="AL46" s="1091"/>
      <c r="AM46" s="1091"/>
      <c r="AN46" s="949" t="s">
        <v>1</v>
      </c>
      <c r="AO46" s="949" t="s">
        <v>1208</v>
      </c>
      <c r="AP46" s="949" t="s">
        <v>1420</v>
      </c>
      <c r="AQ46" s="949" t="s">
        <v>1421</v>
      </c>
      <c r="AR46" s="949" t="s">
        <v>1356</v>
      </c>
      <c r="AS46" s="73"/>
      <c r="AT46" s="1270"/>
      <c r="AU46" s="73"/>
      <c r="AV46" s="1031" t="s">
        <v>1441</v>
      </c>
      <c r="AW46" s="1031" t="s">
        <v>1422</v>
      </c>
      <c r="AX46" s="1031" t="s">
        <v>1356</v>
      </c>
      <c r="AY46" s="1217" t="s">
        <v>1420</v>
      </c>
      <c r="AZ46" s="1031" t="s">
        <v>1423</v>
      </c>
      <c r="BA46" s="1031" t="s">
        <v>1356</v>
      </c>
      <c r="BB46" s="73"/>
      <c r="BC46" s="80"/>
      <c r="BD46" s="80"/>
      <c r="BE46" s="733" t="s">
        <v>1</v>
      </c>
      <c r="BF46" s="733" t="s">
        <v>1420</v>
      </c>
      <c r="BG46" s="1005" t="s">
        <v>1424</v>
      </c>
      <c r="BH46" s="1005" t="s">
        <v>1425</v>
      </c>
      <c r="BI46" s="1005" t="s">
        <v>1356</v>
      </c>
      <c r="BJ46" s="1247"/>
      <c r="BK46" s="80"/>
      <c r="BL46" s="80"/>
      <c r="BM46" s="1234"/>
      <c r="BN46" s="1233"/>
      <c r="BO46" s="1233"/>
      <c r="BP46" s="1234"/>
      <c r="BQ46" s="1234"/>
      <c r="BR46" s="1233"/>
    </row>
    <row r="47" spans="1:70">
      <c r="A47" s="73"/>
      <c r="B47" s="73"/>
      <c r="C47" s="738" t="s">
        <v>575</v>
      </c>
      <c r="D47" s="2342">
        <v>12.7</v>
      </c>
      <c r="E47" s="4674">
        <v>27</v>
      </c>
      <c r="F47" s="1152">
        <f>+(E44*F44+E45*F45+E46*F46)/E47</f>
        <v>2.3718518518518525</v>
      </c>
      <c r="G47" s="163"/>
      <c r="H47" s="163"/>
      <c r="I47" s="108"/>
      <c r="J47" s="150"/>
      <c r="K47" s="3292" t="s">
        <v>574</v>
      </c>
      <c r="L47" s="3293">
        <v>14</v>
      </c>
      <c r="M47" s="3294">
        <v>7</v>
      </c>
      <c r="N47" s="2291">
        <f>L47-12</f>
        <v>2</v>
      </c>
      <c r="P47" s="2630"/>
      <c r="Q47" s="2630"/>
      <c r="R47" s="2627" t="s">
        <v>461</v>
      </c>
      <c r="S47" s="2628">
        <v>12.56</v>
      </c>
      <c r="T47" s="2629">
        <v>39</v>
      </c>
      <c r="U47" s="2631">
        <f>+(T41*U41+T44*U44+T46*U46)/T47</f>
        <v>1.0517948717948717</v>
      </c>
      <c r="W47" s="2191"/>
      <c r="X47" s="2191"/>
      <c r="Y47" s="2290" t="s">
        <v>461</v>
      </c>
      <c r="Z47" s="2291">
        <v>12.600000000000005</v>
      </c>
      <c r="AA47" s="2292">
        <v>50</v>
      </c>
      <c r="AB47" s="1152">
        <f>+(AA40*AB40+AA44*AB44+AA46*AB46)/AA47</f>
        <v>1.2000000000000006</v>
      </c>
      <c r="AK47" s="966" t="s">
        <v>1439</v>
      </c>
      <c r="AL47" s="966"/>
      <c r="AM47" s="161"/>
      <c r="AN47" s="966" t="s">
        <v>4</v>
      </c>
      <c r="AO47" s="736">
        <v>15.189189189189182</v>
      </c>
      <c r="AP47" s="735">
        <v>37</v>
      </c>
      <c r="AQ47" s="1042">
        <v>4.8867043986596777</v>
      </c>
      <c r="AR47" s="1229">
        <f>+(AP9*AR9+AP20*AR20)/AP47</f>
        <v>5.1351351351351333</v>
      </c>
      <c r="AS47" s="73"/>
      <c r="AT47" s="1270"/>
      <c r="AU47" s="73"/>
      <c r="AV47" s="1227" t="s">
        <v>4</v>
      </c>
      <c r="AW47" s="1229">
        <v>16.035714285714292</v>
      </c>
      <c r="AX47" s="1229">
        <f>+(AY9*AX9+AY21*AX21)/AY47</f>
        <v>5.2142857142857144</v>
      </c>
      <c r="AY47" s="1230">
        <v>28</v>
      </c>
      <c r="AZ47" s="1231">
        <v>17.5</v>
      </c>
      <c r="BA47" s="1232">
        <f>+(AY9*BA9+AY21*BA21)/AY47</f>
        <v>6.6785714285714288</v>
      </c>
      <c r="BB47" s="73"/>
      <c r="BC47" s="80"/>
      <c r="BD47" s="80"/>
      <c r="BE47" s="163" t="s">
        <v>4</v>
      </c>
      <c r="BF47" s="163">
        <v>34</v>
      </c>
      <c r="BG47" s="212">
        <v>16.205882352941185</v>
      </c>
      <c r="BH47" s="80"/>
      <c r="BI47" s="212">
        <f>+(BF9*BI9+BF21*BI21)/BF47</f>
        <v>6.0588235294117627</v>
      </c>
      <c r="BJ47" s="1247">
        <f>AVERAGE(BJ42:BJ45)</f>
        <v>4.4688099943534718</v>
      </c>
      <c r="BK47" s="80"/>
      <c r="BL47" s="80"/>
      <c r="BM47" s="80"/>
      <c r="BN47" s="80"/>
      <c r="BO47" s="80"/>
      <c r="BP47" s="80"/>
      <c r="BQ47" s="80"/>
      <c r="BR47" s="80"/>
    </row>
    <row r="48" spans="1:70">
      <c r="A48" s="73"/>
      <c r="B48" s="73" t="s">
        <v>21</v>
      </c>
      <c r="C48" s="73" t="s">
        <v>147</v>
      </c>
      <c r="D48" s="2327">
        <v>12.25</v>
      </c>
      <c r="E48" s="161">
        <v>4</v>
      </c>
      <c r="F48" s="212">
        <f t="shared" si="5"/>
        <v>0.25</v>
      </c>
      <c r="G48" s="163">
        <v>12</v>
      </c>
      <c r="H48" s="163"/>
      <c r="I48" s="3295"/>
      <c r="J48" s="3291"/>
      <c r="K48" s="3296" t="s">
        <v>461</v>
      </c>
      <c r="L48" s="3297">
        <v>13.05</v>
      </c>
      <c r="M48" s="3298">
        <v>55</v>
      </c>
      <c r="N48" s="2631">
        <f>+(M41*N41+M45*N45+M47*N47)/M48</f>
        <v>2.9658181818181819</v>
      </c>
      <c r="P48" s="163" t="s">
        <v>59</v>
      </c>
      <c r="Q48" s="163" t="s">
        <v>16</v>
      </c>
      <c r="R48" s="80" t="s">
        <v>709</v>
      </c>
      <c r="S48" s="212">
        <v>9.1999999999999993</v>
      </c>
      <c r="T48" s="163">
        <v>5</v>
      </c>
      <c r="U48" s="2295">
        <f t="shared" ref="U48:U49" si="26">S48-9</f>
        <v>0.19999999999999929</v>
      </c>
      <c r="W48" s="2293" t="s">
        <v>59</v>
      </c>
      <c r="X48" s="2293" t="s">
        <v>16</v>
      </c>
      <c r="Y48" s="2294" t="s">
        <v>709</v>
      </c>
      <c r="Z48" s="2295">
        <v>9</v>
      </c>
      <c r="AA48" s="2296">
        <v>1</v>
      </c>
      <c r="AB48" s="2295">
        <f t="shared" si="0"/>
        <v>0</v>
      </c>
      <c r="AK48" s="966"/>
      <c r="AL48" s="966"/>
      <c r="AM48" s="161"/>
      <c r="AN48" s="966" t="s">
        <v>16</v>
      </c>
      <c r="AO48" s="736">
        <v>12.083333333333334</v>
      </c>
      <c r="AP48" s="735">
        <v>96</v>
      </c>
      <c r="AQ48" s="1042">
        <v>2.6464143235574098</v>
      </c>
      <c r="AR48" s="1229">
        <f>+(AP11*AR11+AP26*AR26+AP35*AR35)/AP48</f>
        <v>0.33333333333333387</v>
      </c>
      <c r="AS48" s="73"/>
      <c r="AT48" s="1270"/>
      <c r="AU48" s="73"/>
      <c r="AV48" s="1227" t="s">
        <v>16</v>
      </c>
      <c r="AW48" s="1229">
        <v>11.417721518987342</v>
      </c>
      <c r="AX48" s="1229">
        <f>+(AY12*AX12+AY28*AX28+AY37*AX37)/AY48</f>
        <v>-0.35443037974683472</v>
      </c>
      <c r="AY48" s="1230">
        <v>79</v>
      </c>
      <c r="AZ48" s="1231">
        <v>12.30379746835443</v>
      </c>
      <c r="BA48" s="1232">
        <f>+(AY12*BA12+AY28*BA28+AY37*BA37)/AY48</f>
        <v>0.53164556962025311</v>
      </c>
      <c r="BB48" s="73"/>
      <c r="BC48" s="80"/>
      <c r="BD48" s="80"/>
      <c r="BE48" s="163" t="s">
        <v>16</v>
      </c>
      <c r="BF48" s="163">
        <v>99</v>
      </c>
      <c r="BG48" s="212">
        <v>12.393939393939396</v>
      </c>
      <c r="BH48" s="80"/>
      <c r="BI48" s="212">
        <f>+(BF12*BI12+BF28*BI28+BF37*BI37)/BF48</f>
        <v>0.5757575757575758</v>
      </c>
      <c r="BJ48" s="80"/>
      <c r="BK48" s="80"/>
      <c r="BL48" s="80"/>
      <c r="BM48" s="80"/>
      <c r="BN48" s="80"/>
      <c r="BO48" s="80"/>
      <c r="BP48" s="80"/>
      <c r="BQ48" s="80"/>
      <c r="BR48" s="80"/>
    </row>
    <row r="49" spans="1:70">
      <c r="A49" s="73"/>
      <c r="B49" s="73"/>
      <c r="C49" s="738" t="s">
        <v>574</v>
      </c>
      <c r="D49" s="2342">
        <v>12.25</v>
      </c>
      <c r="E49" s="4674">
        <v>4</v>
      </c>
      <c r="F49" s="2291">
        <f>D49-12</f>
        <v>0.25</v>
      </c>
      <c r="G49" s="163"/>
      <c r="H49" s="163"/>
      <c r="I49" s="108" t="s">
        <v>59</v>
      </c>
      <c r="J49" s="150" t="s">
        <v>16</v>
      </c>
      <c r="K49" s="108" t="s">
        <v>709</v>
      </c>
      <c r="L49" s="1189">
        <v>10</v>
      </c>
      <c r="M49" s="150">
        <v>9</v>
      </c>
      <c r="N49" s="2288">
        <f t="shared" ref="N49:N50" si="27">L49-9</f>
        <v>1</v>
      </c>
      <c r="P49" s="163"/>
      <c r="Q49" s="163"/>
      <c r="R49" s="1245" t="s">
        <v>573</v>
      </c>
      <c r="S49" s="1246">
        <v>9.1999999999999993</v>
      </c>
      <c r="T49" s="213">
        <v>5</v>
      </c>
      <c r="U49" s="2291">
        <f t="shared" si="26"/>
        <v>0.19999999999999929</v>
      </c>
      <c r="W49" s="2191"/>
      <c r="X49" s="2191"/>
      <c r="Y49" s="2290" t="s">
        <v>573</v>
      </c>
      <c r="Z49" s="2291">
        <v>9</v>
      </c>
      <c r="AA49" s="2292">
        <v>1</v>
      </c>
      <c r="AB49" s="2291">
        <f t="shared" si="0"/>
        <v>0</v>
      </c>
      <c r="AK49" s="966"/>
      <c r="AL49" s="966"/>
      <c r="AM49" s="161"/>
      <c r="AN49" s="966" t="s">
        <v>41</v>
      </c>
      <c r="AO49" s="736">
        <v>14.266666666666667</v>
      </c>
      <c r="AP49" s="735">
        <v>45</v>
      </c>
      <c r="AQ49" s="1042">
        <v>3.9045428087619354</v>
      </c>
      <c r="AR49" s="1229">
        <f>+(AP30*AR30+AP38*AR38)/AP49</f>
        <v>3.9111111111111105</v>
      </c>
      <c r="AS49" s="73"/>
      <c r="AT49" s="1270"/>
      <c r="AU49" s="73"/>
      <c r="AV49" s="1227" t="s">
        <v>41</v>
      </c>
      <c r="AW49" s="1229">
        <v>14.530612244897958</v>
      </c>
      <c r="AX49" s="1229">
        <f>+(AY32*AX32+AY40*AX40)/AY49</f>
        <v>4.1020408163265296</v>
      </c>
      <c r="AY49" s="1230">
        <v>49</v>
      </c>
      <c r="AZ49" s="1231">
        <v>15.755102040816322</v>
      </c>
      <c r="BA49" s="1232">
        <f>+(AY32*BA32+AY40*BA40)/AY49</f>
        <v>5.3265306122448983</v>
      </c>
      <c r="BB49" s="73"/>
      <c r="BC49" s="80"/>
      <c r="BD49" s="80"/>
      <c r="BE49" s="163" t="s">
        <v>41</v>
      </c>
      <c r="BF49" s="163">
        <v>48</v>
      </c>
      <c r="BG49" s="212">
        <v>17.687500000000004</v>
      </c>
      <c r="BH49" s="80"/>
      <c r="BI49" s="212">
        <f>+(BF32*BI32+BF40*BI40)/BF49</f>
        <v>7.4583333333333321</v>
      </c>
      <c r="BJ49" s="80"/>
      <c r="BK49" s="80"/>
      <c r="BL49" s="80"/>
      <c r="BM49" s="80"/>
      <c r="BN49" s="80"/>
      <c r="BO49" s="80"/>
      <c r="BP49" s="80"/>
      <c r="BQ49" s="80"/>
      <c r="BR49" s="80"/>
    </row>
    <row r="50" spans="1:70">
      <c r="A50" s="4616"/>
      <c r="B50" s="4616"/>
      <c r="C50" s="4617" t="s">
        <v>461</v>
      </c>
      <c r="D50" s="4618">
        <v>12.74</v>
      </c>
      <c r="E50" s="4619">
        <v>57</v>
      </c>
      <c r="F50" s="4714">
        <f>+(E43*F43+E47*F47+E49*F49)/E50</f>
        <v>2.894385964912281</v>
      </c>
      <c r="G50" s="4715"/>
      <c r="H50" s="163"/>
      <c r="I50" s="108"/>
      <c r="J50" s="150"/>
      <c r="K50" s="3292" t="s">
        <v>573</v>
      </c>
      <c r="L50" s="3293">
        <v>10</v>
      </c>
      <c r="M50" s="3294">
        <v>9</v>
      </c>
      <c r="N50" s="2291">
        <f t="shared" si="27"/>
        <v>1</v>
      </c>
      <c r="P50" s="163"/>
      <c r="Q50" s="163"/>
      <c r="R50" s="1245"/>
      <c r="S50" s="1246"/>
      <c r="T50" s="213"/>
      <c r="U50" s="2291"/>
      <c r="W50" s="2191"/>
      <c r="X50" s="2191" t="s">
        <v>64</v>
      </c>
      <c r="Y50" s="2287" t="s">
        <v>338</v>
      </c>
      <c r="Z50" s="2288">
        <v>18</v>
      </c>
      <c r="AA50" s="2289">
        <v>1</v>
      </c>
      <c r="AB50" s="2288">
        <f>Z50-12</f>
        <v>6</v>
      </c>
      <c r="AK50" s="966"/>
      <c r="AL50" s="966"/>
      <c r="AM50" s="161"/>
      <c r="AN50" s="966" t="s">
        <v>105</v>
      </c>
      <c r="AO50" s="736">
        <v>9.454545454545455</v>
      </c>
      <c r="AP50" s="735">
        <v>11</v>
      </c>
      <c r="AQ50" s="1042">
        <v>3.2669140289770824</v>
      </c>
      <c r="AR50" s="1229">
        <f>+(AP13*AR13+AP40*AR40)/AP50</f>
        <v>3.0909090909090917</v>
      </c>
      <c r="AS50" s="73"/>
      <c r="AT50" s="1270"/>
      <c r="AU50" s="73"/>
      <c r="AV50" s="1227" t="s">
        <v>105</v>
      </c>
      <c r="AW50" s="1229">
        <v>12.375</v>
      </c>
      <c r="AX50" s="1229">
        <f>+(AY14*AX14+AY42*AX42)/AY50</f>
        <v>4.875</v>
      </c>
      <c r="AY50" s="1230">
        <v>8</v>
      </c>
      <c r="AZ50" s="1231">
        <v>13.125</v>
      </c>
      <c r="BA50" s="1232">
        <f>+(AY14*BA14+AY42*BA42)/AY50</f>
        <v>5.625</v>
      </c>
      <c r="BB50" s="73"/>
      <c r="BC50" s="80"/>
      <c r="BD50" s="80"/>
      <c r="BE50" s="163" t="s">
        <v>105</v>
      </c>
      <c r="BF50" s="163">
        <v>10</v>
      </c>
      <c r="BG50" s="212">
        <v>9.2000000000000011</v>
      </c>
      <c r="BH50" s="80"/>
      <c r="BI50" s="212">
        <f>+(BF14*BI14+BF42*BI42)/BF50</f>
        <v>2.6</v>
      </c>
      <c r="BJ50" s="80"/>
      <c r="BK50" s="80"/>
      <c r="BL50" s="80"/>
      <c r="BM50" s="80"/>
      <c r="BN50" s="80"/>
      <c r="BO50" s="80"/>
      <c r="BP50" s="80"/>
      <c r="BQ50" s="80"/>
      <c r="BR50" s="80"/>
    </row>
    <row r="51" spans="1:70" ht="15.75" thickBot="1">
      <c r="A51" s="73" t="s">
        <v>59</v>
      </c>
      <c r="B51" s="73" t="s">
        <v>16</v>
      </c>
      <c r="C51" s="73" t="s">
        <v>709</v>
      </c>
      <c r="D51" s="2327">
        <v>9.7100000000000009</v>
      </c>
      <c r="E51" s="161">
        <v>7</v>
      </c>
      <c r="F51" s="212">
        <f t="shared" si="5"/>
        <v>0.71000000000000085</v>
      </c>
      <c r="G51" s="163">
        <v>9</v>
      </c>
      <c r="H51" s="163"/>
      <c r="I51" s="108"/>
      <c r="J51" s="150" t="s">
        <v>64</v>
      </c>
      <c r="K51" s="108" t="s">
        <v>710</v>
      </c>
      <c r="L51" s="1189">
        <v>13.5</v>
      </c>
      <c r="M51" s="150">
        <v>2</v>
      </c>
      <c r="N51" s="2288">
        <f>L51-12</f>
        <v>1.5</v>
      </c>
      <c r="P51" s="163"/>
      <c r="Q51" s="163"/>
      <c r="R51" s="1245"/>
      <c r="S51" s="1246"/>
      <c r="T51" s="213"/>
      <c r="U51" s="2291"/>
      <c r="W51" s="2191"/>
      <c r="X51" s="2191"/>
      <c r="Y51" s="2287" t="s">
        <v>710</v>
      </c>
      <c r="Z51" s="2288">
        <v>10</v>
      </c>
      <c r="AA51" s="2289">
        <v>1</v>
      </c>
      <c r="AB51" s="2288">
        <f t="shared" si="0"/>
        <v>1</v>
      </c>
      <c r="AK51" s="991"/>
      <c r="AL51" s="991"/>
      <c r="AM51" s="991"/>
      <c r="AN51" s="991" t="s">
        <v>15</v>
      </c>
      <c r="AO51" s="745">
        <v>13.058201058201057</v>
      </c>
      <c r="AP51" s="744">
        <v>189</v>
      </c>
      <c r="AQ51" s="1072">
        <v>3.8387441072651254</v>
      </c>
      <c r="AR51" s="1281">
        <f>+(AP47*AR47+AP48*AR48+AP49*AR49+AP50*AR50)/AP51</f>
        <v>2.2857142857142856</v>
      </c>
      <c r="AS51" s="73"/>
      <c r="AT51" s="1270"/>
      <c r="AU51" s="73"/>
      <c r="AV51" s="1227"/>
      <c r="AW51" s="1229"/>
      <c r="AX51" s="1229"/>
      <c r="AY51" s="1230"/>
      <c r="AZ51" s="1271"/>
      <c r="BA51" s="967"/>
      <c r="BB51" s="73"/>
      <c r="BC51" s="80"/>
      <c r="BD51" s="80"/>
      <c r="BE51" s="163"/>
      <c r="BF51" s="163"/>
      <c r="BG51" s="212"/>
      <c r="BH51" s="80"/>
      <c r="BI51" s="1246"/>
      <c r="BJ51" s="1247">
        <f>AVERAGE(BI9,BI12,BI14)</f>
        <v>3.0440115440115441</v>
      </c>
      <c r="BK51" s="80"/>
      <c r="BL51" s="80"/>
      <c r="BM51" s="80"/>
      <c r="BN51" s="80"/>
      <c r="BO51" s="80"/>
      <c r="BP51" s="80"/>
      <c r="BQ51" s="80"/>
      <c r="BR51" s="80"/>
    </row>
    <row r="52" spans="1:70" ht="15.75" thickBot="1">
      <c r="A52" s="73"/>
      <c r="B52" s="73"/>
      <c r="C52" s="738" t="s">
        <v>573</v>
      </c>
      <c r="D52" s="2342">
        <v>9.7100000000000009</v>
      </c>
      <c r="E52" s="4674">
        <v>7</v>
      </c>
      <c r="F52" s="1246">
        <f t="shared" si="5"/>
        <v>0.71000000000000085</v>
      </c>
      <c r="G52" s="163">
        <v>9</v>
      </c>
      <c r="H52" s="163"/>
      <c r="I52" s="3292"/>
      <c r="J52" s="3294"/>
      <c r="K52" s="3292" t="s">
        <v>577</v>
      </c>
      <c r="L52" s="3293">
        <v>13.5</v>
      </c>
      <c r="M52" s="3294">
        <v>2</v>
      </c>
      <c r="N52" s="2291">
        <f>L52-12</f>
        <v>1.5</v>
      </c>
      <c r="P52" s="163"/>
      <c r="Q52" s="163"/>
      <c r="R52" s="1245"/>
      <c r="S52" s="1246"/>
      <c r="T52" s="213"/>
      <c r="U52" s="2291"/>
      <c r="W52" s="2191"/>
      <c r="X52" s="2191"/>
      <c r="Y52" s="2290" t="s">
        <v>577</v>
      </c>
      <c r="Z52" s="2291">
        <v>14</v>
      </c>
      <c r="AA52" s="2292">
        <v>2</v>
      </c>
      <c r="AB52" s="1152">
        <f>+(AA50*AB50+AA51*AB51)/AA52</f>
        <v>3.5</v>
      </c>
      <c r="AK52" s="161"/>
      <c r="AL52" s="161"/>
      <c r="AM52" s="161"/>
      <c r="AN52" s="73"/>
      <c r="AO52" s="73"/>
      <c r="AP52" s="73"/>
      <c r="AQ52" s="73"/>
      <c r="AR52" s="73"/>
      <c r="AS52" s="73"/>
      <c r="AT52" s="1270"/>
      <c r="AU52" s="73"/>
      <c r="AV52" s="1216" t="s">
        <v>75</v>
      </c>
      <c r="AW52" s="1266">
        <v>13.182926829268288</v>
      </c>
      <c r="AX52" s="1282">
        <f>+(AY47*AX47+AY48*AX48+AY49*AX49+AY50*AX50)/AY52</f>
        <v>2.1829268292682928</v>
      </c>
      <c r="AY52" s="1283">
        <v>164</v>
      </c>
      <c r="AZ52" s="1266">
        <v>14.262195121951216</v>
      </c>
      <c r="BA52" s="1282">
        <f>+(AY47*BA47+AY48*BA48+AY49*BA49+AY50*BA50)/AY52</f>
        <v>3.2621951219512195</v>
      </c>
      <c r="BB52" s="73"/>
      <c r="BC52" s="80"/>
      <c r="BD52" s="80"/>
      <c r="BE52" s="733" t="s">
        <v>75</v>
      </c>
      <c r="BF52" s="733">
        <v>191</v>
      </c>
      <c r="BG52" s="1269">
        <v>14.235602094240834</v>
      </c>
      <c r="BH52" s="1218"/>
      <c r="BI52" s="1269">
        <f>+(BF47*BI47+BF48*BI48+BF49*BI49+BF50*BI50)/BF52</f>
        <v>3.3874345549738214</v>
      </c>
      <c r="BJ52" s="1247">
        <f>AVERAGE(BI21,BI28,BI32)</f>
        <v>4.1702898550724621</v>
      </c>
      <c r="BK52" s="80"/>
      <c r="BL52" s="80"/>
      <c r="BM52" s="80"/>
      <c r="BN52" s="80"/>
      <c r="BO52" s="80"/>
      <c r="BP52" s="80"/>
      <c r="BQ52" s="80"/>
      <c r="BR52" s="80"/>
    </row>
    <row r="53" spans="1:70">
      <c r="A53" s="73"/>
      <c r="B53" s="73" t="s">
        <v>64</v>
      </c>
      <c r="C53" s="73" t="s">
        <v>710</v>
      </c>
      <c r="D53" s="2327">
        <v>13.75</v>
      </c>
      <c r="E53" s="161">
        <v>4</v>
      </c>
      <c r="F53" s="212">
        <f t="shared" si="5"/>
        <v>1.75</v>
      </c>
      <c r="G53" s="163">
        <v>12</v>
      </c>
      <c r="H53" s="163"/>
      <c r="I53" s="3292"/>
      <c r="J53" s="3294"/>
      <c r="K53" s="3292" t="s">
        <v>265</v>
      </c>
      <c r="L53" s="3293">
        <v>10.64</v>
      </c>
      <c r="M53" s="3294">
        <v>11</v>
      </c>
      <c r="N53" s="1152">
        <f>+(M50*N50+M52*N52)/M53</f>
        <v>1.0909090909090908</v>
      </c>
      <c r="P53" s="163"/>
      <c r="Q53" s="163"/>
      <c r="R53" s="1245" t="s">
        <v>265</v>
      </c>
      <c r="S53" s="1246">
        <v>9.1999999999999993</v>
      </c>
      <c r="T53" s="213">
        <v>5</v>
      </c>
      <c r="U53" s="1152">
        <f>+(T49*U49+T52*U52)/T53</f>
        <v>0.19999999999999929</v>
      </c>
      <c r="W53" s="2191"/>
      <c r="X53" s="2191"/>
      <c r="Y53" s="2290" t="s">
        <v>265</v>
      </c>
      <c r="Z53" s="2291">
        <v>12.333333333333334</v>
      </c>
      <c r="AA53" s="2292">
        <v>3</v>
      </c>
      <c r="AB53" s="1152">
        <f>+(AA49*AB49+AA52*AB52)/AA53</f>
        <v>2.3333333333333335</v>
      </c>
      <c r="AK53" s="161"/>
      <c r="AL53" s="161"/>
      <c r="AM53" s="161"/>
      <c r="AN53" s="73"/>
      <c r="AO53" s="73"/>
      <c r="AP53" s="73"/>
      <c r="AQ53" s="73"/>
      <c r="AR53" s="73"/>
      <c r="AS53" s="73"/>
      <c r="AT53" s="1270"/>
      <c r="AU53" s="73"/>
      <c r="AV53" s="73"/>
      <c r="AW53" s="73"/>
      <c r="AX53" s="73"/>
      <c r="AY53" s="73"/>
      <c r="AZ53" s="73"/>
      <c r="BA53" s="73"/>
      <c r="BB53" s="73"/>
      <c r="BC53" s="80"/>
      <c r="BD53" s="80"/>
      <c r="BE53" s="163"/>
      <c r="BF53" s="80"/>
      <c r="BG53" s="80"/>
      <c r="BH53" s="80"/>
      <c r="BI53" s="80"/>
      <c r="BJ53" s="1247">
        <f>AVERAGE(BI37,BI40,BI42)</f>
        <v>4.8232323232323235</v>
      </c>
      <c r="BK53" s="80"/>
      <c r="BL53" s="80"/>
      <c r="BM53" s="80"/>
      <c r="BN53" s="80"/>
      <c r="BO53" s="80"/>
      <c r="BP53" s="80"/>
      <c r="BQ53" s="80"/>
      <c r="BR53" s="80"/>
    </row>
    <row r="54" spans="1:70" ht="15.75" thickBot="1">
      <c r="A54" s="73"/>
      <c r="B54" s="73"/>
      <c r="C54" s="4613" t="s">
        <v>577</v>
      </c>
      <c r="D54" s="4614">
        <v>13.75</v>
      </c>
      <c r="E54" s="4615">
        <v>4</v>
      </c>
      <c r="F54" s="1246">
        <f t="shared" si="5"/>
        <v>1.75</v>
      </c>
      <c r="G54" s="163">
        <v>12</v>
      </c>
      <c r="H54" s="163"/>
      <c r="I54" s="3303"/>
      <c r="J54" s="1033"/>
      <c r="K54" s="3303" t="s">
        <v>114</v>
      </c>
      <c r="L54" s="1178">
        <v>14.26</v>
      </c>
      <c r="M54" s="1033">
        <v>199</v>
      </c>
      <c r="N54" s="2301">
        <f>+(M21*N21+M38*N38+M48*N48+M53*N53)/M54</f>
        <v>3.1764824120603015</v>
      </c>
      <c r="P54" s="1504"/>
      <c r="Q54" s="1504"/>
      <c r="R54" s="1218" t="s">
        <v>114</v>
      </c>
      <c r="S54" s="1269">
        <v>13.45</v>
      </c>
      <c r="T54" s="733">
        <v>205</v>
      </c>
      <c r="U54" s="2301">
        <f>+(T19*U19+T37*U37+T47*U47+T53*U53)/T54</f>
        <v>2.4195609756097562</v>
      </c>
      <c r="W54" s="2297"/>
      <c r="X54" s="2297"/>
      <c r="Y54" s="2298" t="s">
        <v>114</v>
      </c>
      <c r="Z54" s="2299">
        <v>13.901162790697667</v>
      </c>
      <c r="AA54" s="2300">
        <v>172</v>
      </c>
      <c r="AB54" s="2301">
        <f>+(AA19*AB19+AA37*AB37+AA47*AB47+AA53*AB53)/AA54</f>
        <v>2.7093023255813962</v>
      </c>
      <c r="AK54" s="161"/>
      <c r="AL54" s="161"/>
      <c r="AM54" s="161"/>
      <c r="AN54" s="73"/>
      <c r="AO54" s="73"/>
      <c r="AP54" s="73"/>
      <c r="AQ54" s="73"/>
      <c r="AR54" s="73"/>
      <c r="AS54" s="73"/>
      <c r="AT54" s="73"/>
      <c r="AU54" s="73"/>
      <c r="AV54" s="73"/>
      <c r="AW54" s="73"/>
      <c r="AX54" s="73"/>
      <c r="AY54" s="73"/>
      <c r="AZ54" s="73"/>
      <c r="BA54" s="73"/>
      <c r="BB54" s="73"/>
      <c r="BC54" s="80"/>
      <c r="BD54" s="80"/>
      <c r="BE54" s="163"/>
      <c r="BF54" s="80"/>
      <c r="BG54" s="80"/>
      <c r="BH54" s="80"/>
      <c r="BI54" s="80"/>
      <c r="BJ54" s="80"/>
      <c r="BK54" s="80"/>
      <c r="BL54" s="80"/>
      <c r="BM54" s="80"/>
      <c r="BN54" s="80"/>
      <c r="BO54" s="80"/>
      <c r="BP54" s="80"/>
      <c r="BQ54" s="80"/>
      <c r="BR54" s="80"/>
    </row>
    <row r="55" spans="1:70" ht="24.75" thickBot="1">
      <c r="A55" s="4616"/>
      <c r="B55" s="4616"/>
      <c r="C55" s="4617" t="s">
        <v>265</v>
      </c>
      <c r="D55" s="4618">
        <v>11.18</v>
      </c>
      <c r="E55" s="4619">
        <v>11</v>
      </c>
      <c r="F55" s="4714">
        <f>+(E52*F52+E54*F54)/E55</f>
        <v>1.0881818181818188</v>
      </c>
      <c r="G55" s="4715"/>
      <c r="H55" s="163"/>
      <c r="P55" s="80"/>
      <c r="Q55" s="163"/>
      <c r="R55" s="80"/>
      <c r="S55" s="212"/>
      <c r="T55" s="163"/>
      <c r="U55" s="2288"/>
      <c r="AK55" s="161"/>
      <c r="AL55" s="161"/>
      <c r="AM55" s="161"/>
      <c r="AN55" s="73"/>
      <c r="AO55" s="73"/>
      <c r="AP55" s="73"/>
      <c r="AQ55" s="73"/>
      <c r="AR55" s="73"/>
      <c r="AS55" s="73"/>
      <c r="AT55" s="73"/>
      <c r="AU55" s="73"/>
      <c r="AV55" s="1031" t="s">
        <v>0</v>
      </c>
      <c r="AW55" s="1031" t="s">
        <v>1422</v>
      </c>
      <c r="AX55" s="1031" t="s">
        <v>1356</v>
      </c>
      <c r="AY55" s="1217" t="s">
        <v>1420</v>
      </c>
      <c r="AZ55" s="1031" t="s">
        <v>1423</v>
      </c>
      <c r="BA55" s="1031" t="s">
        <v>1356</v>
      </c>
      <c r="BB55" s="73"/>
      <c r="BC55" s="80"/>
      <c r="BD55" s="80"/>
      <c r="BE55" s="733" t="s">
        <v>0</v>
      </c>
      <c r="BF55" s="733" t="s">
        <v>1420</v>
      </c>
      <c r="BG55" s="1005" t="s">
        <v>1424</v>
      </c>
      <c r="BH55" s="1005" t="s">
        <v>1425</v>
      </c>
      <c r="BI55" s="1005" t="s">
        <v>1356</v>
      </c>
      <c r="BJ55" s="1247">
        <f>AVERAGE(BI56:BI58)</f>
        <v>3.5762454932808914</v>
      </c>
      <c r="BK55" s="1284"/>
      <c r="BL55" s="80"/>
      <c r="BM55" s="80"/>
      <c r="BN55" s="80"/>
      <c r="BO55" s="80"/>
      <c r="BP55" s="80"/>
      <c r="BQ55" s="80"/>
      <c r="BR55" s="80"/>
    </row>
    <row r="56" spans="1:70" ht="15.75" thickBot="1">
      <c r="A56" s="746"/>
      <c r="B56" s="746"/>
      <c r="C56" s="742" t="s">
        <v>114</v>
      </c>
      <c r="D56" s="2373">
        <v>13.6</v>
      </c>
      <c r="E56" s="743">
        <v>234</v>
      </c>
      <c r="F56" s="1202">
        <f>+(E20*F20+E39*F39+E50*F50+E55*F55)/E56</f>
        <v>2.4444444444444446</v>
      </c>
      <c r="G56" s="163"/>
      <c r="H56" s="163"/>
      <c r="P56" s="80"/>
      <c r="Q56" s="163"/>
      <c r="R56" s="80"/>
      <c r="S56" s="212"/>
      <c r="T56" s="163"/>
      <c r="U56" s="2288"/>
      <c r="AK56" s="161"/>
      <c r="AL56" s="161"/>
      <c r="AM56" s="161"/>
      <c r="AN56" s="73"/>
      <c r="AO56" s="73"/>
      <c r="AP56" s="73"/>
      <c r="AQ56" s="73"/>
      <c r="AR56" s="73"/>
      <c r="AS56" s="73"/>
      <c r="AT56" s="73"/>
      <c r="AU56" s="73"/>
      <c r="AV56" s="1228" t="s">
        <v>107</v>
      </c>
      <c r="AW56" s="1229">
        <v>9.3571428571428577</v>
      </c>
      <c r="AX56" s="1229">
        <f>+(AY9*AX9+AY12*AX12+AY14*AX14)/AY56</f>
        <v>1.8571428571428572</v>
      </c>
      <c r="AY56" s="1230">
        <v>14</v>
      </c>
      <c r="AZ56" s="1231">
        <v>10.714285714285715</v>
      </c>
      <c r="BA56" s="1232">
        <f>+(AY9*BA9+AY12*BA12+AY14*BA14)/AY56</f>
        <v>3.2142857142857144</v>
      </c>
      <c r="BB56" s="73"/>
      <c r="BC56" s="80"/>
      <c r="BD56" s="80"/>
      <c r="BE56" s="163" t="s">
        <v>3</v>
      </c>
      <c r="BF56" s="163">
        <v>24</v>
      </c>
      <c r="BG56" s="212">
        <v>10.833333333333334</v>
      </c>
      <c r="BH56" s="80"/>
      <c r="BI56" s="1246">
        <f>+(BF9*BI9+BF12*BI12+BF14*BI14)/BF56</f>
        <v>3.9583333333333335</v>
      </c>
      <c r="BJ56" s="80"/>
      <c r="BK56" s="80"/>
      <c r="BL56" s="80"/>
      <c r="BM56" s="80"/>
      <c r="BN56" s="80"/>
      <c r="BO56" s="80"/>
      <c r="BP56" s="80"/>
      <c r="BQ56" s="80"/>
      <c r="BR56" s="80"/>
    </row>
    <row r="57" spans="1:70">
      <c r="P57" s="80"/>
      <c r="Q57" s="163"/>
      <c r="R57" s="80"/>
      <c r="S57" s="212"/>
      <c r="T57" s="163"/>
      <c r="U57" s="2288"/>
      <c r="AK57" s="161"/>
      <c r="AL57" s="161"/>
      <c r="AM57" s="161"/>
      <c r="AN57" s="73"/>
      <c r="AO57" s="73"/>
      <c r="AP57" s="73"/>
      <c r="AQ57" s="73"/>
      <c r="AR57" s="73"/>
      <c r="AS57" s="73"/>
      <c r="AT57" s="73"/>
      <c r="AU57" s="73"/>
      <c r="AV57" s="1228" t="s">
        <v>111</v>
      </c>
      <c r="AW57" s="1229">
        <v>13.69902912621359</v>
      </c>
      <c r="AX57" s="1229">
        <f>+(AY21*AX21+AY28*AX28+AY32*AX32)/AY57</f>
        <v>1.9320388349514568</v>
      </c>
      <c r="AY57" s="1230">
        <v>103</v>
      </c>
      <c r="AZ57" s="1231">
        <v>14.660194174757281</v>
      </c>
      <c r="BA57" s="1232">
        <f>+(AY21*BA21+AY28*BA28+AY32*BA32)/AY57</f>
        <v>2.8932038834951461</v>
      </c>
      <c r="BB57" s="73"/>
      <c r="BC57" s="80"/>
      <c r="BD57" s="80"/>
      <c r="BE57" s="163" t="s">
        <v>25</v>
      </c>
      <c r="BF57" s="163">
        <v>113</v>
      </c>
      <c r="BG57" s="212">
        <v>14.920353982300893</v>
      </c>
      <c r="BH57" s="80"/>
      <c r="BI57" s="1246">
        <f>+(BF21*BI21+BF28*BI28+BF32*BI32)/BF57</f>
        <v>3.159292035398229</v>
      </c>
      <c r="BJ57" s="80"/>
      <c r="BK57" s="80"/>
      <c r="BL57" s="80"/>
      <c r="BM57" s="80"/>
      <c r="BN57" s="80"/>
      <c r="BO57" s="80"/>
      <c r="BP57" s="80"/>
      <c r="BQ57" s="80"/>
      <c r="BR57" s="80"/>
    </row>
    <row r="58" spans="1:70" ht="15.75" thickBot="1">
      <c r="P58" s="80"/>
      <c r="Q58" s="163"/>
      <c r="R58" s="733" t="s">
        <v>1</v>
      </c>
      <c r="S58" s="733" t="s">
        <v>2019</v>
      </c>
      <c r="T58" s="733" t="s">
        <v>1420</v>
      </c>
      <c r="U58" s="1215" t="s">
        <v>1356</v>
      </c>
      <c r="AK58" s="161"/>
      <c r="AL58" s="161"/>
      <c r="AM58" s="161"/>
      <c r="AN58" s="73"/>
      <c r="AO58" s="73"/>
      <c r="AP58" s="73"/>
      <c r="AQ58" s="73"/>
      <c r="AR58" s="73"/>
      <c r="AS58" s="73"/>
      <c r="AT58" s="73"/>
      <c r="AU58" s="73"/>
      <c r="AV58" s="1228" t="s">
        <v>461</v>
      </c>
      <c r="AW58" s="1229">
        <v>13.191489361702127</v>
      </c>
      <c r="AX58" s="1229">
        <f>+(AY37*AX37+AY40*AX40+AY42*AX42)/AY58</f>
        <v>2.8297872340425534</v>
      </c>
      <c r="AY58" s="1230">
        <v>47</v>
      </c>
      <c r="AZ58" s="1231">
        <v>14.446808510638297</v>
      </c>
      <c r="BA58" s="1232">
        <f>+(AY37*BA37+AY40*BA40+AY42*BA42)/AY58</f>
        <v>4.0851063829787222</v>
      </c>
      <c r="BB58" s="73"/>
      <c r="BC58" s="80"/>
      <c r="BD58" s="80"/>
      <c r="BE58" s="163" t="s">
        <v>48</v>
      </c>
      <c r="BF58" s="163">
        <v>54</v>
      </c>
      <c r="BG58" s="212">
        <v>14.314814814814815</v>
      </c>
      <c r="BH58" s="80"/>
      <c r="BI58" s="1246">
        <f>+(BF37*BI37+BF40*BI40+BF42*BI42)/BF58</f>
        <v>3.6111111111111112</v>
      </c>
      <c r="BJ58" s="80"/>
      <c r="BK58" s="80"/>
      <c r="BL58" s="80"/>
      <c r="BM58" s="80"/>
      <c r="BN58" s="80"/>
      <c r="BO58" s="80"/>
      <c r="BP58" s="80"/>
      <c r="BQ58" s="80"/>
      <c r="BR58" s="80"/>
    </row>
    <row r="59" spans="1:70">
      <c r="P59" s="80"/>
      <c r="Q59" s="163"/>
      <c r="R59" s="163" t="s">
        <v>4</v>
      </c>
      <c r="S59" s="212">
        <v>15.26</v>
      </c>
      <c r="T59" s="163">
        <v>43</v>
      </c>
      <c r="U59" s="1152">
        <f>+(T9*U9+T26*U26)/T59</f>
        <v>4.232093023255814</v>
      </c>
      <c r="AK59" s="161"/>
      <c r="AL59" s="161"/>
      <c r="AM59" s="161"/>
      <c r="AN59" s="73"/>
      <c r="AO59" s="73"/>
      <c r="AP59" s="73"/>
      <c r="AQ59" s="73"/>
      <c r="AR59" s="73"/>
      <c r="AS59" s="73"/>
      <c r="AT59" s="73"/>
      <c r="AU59" s="73"/>
      <c r="AV59" s="73"/>
      <c r="AW59" s="73"/>
      <c r="AX59" s="73"/>
      <c r="AY59" s="73"/>
      <c r="AZ59" s="73"/>
      <c r="BA59" s="73"/>
      <c r="BB59" s="73"/>
      <c r="BC59" s="80"/>
      <c r="BD59" s="80"/>
      <c r="BE59" s="163"/>
      <c r="BF59" s="80"/>
      <c r="BG59" s="80"/>
      <c r="BH59" s="80"/>
      <c r="BI59" s="163"/>
      <c r="BJ59" s="80"/>
      <c r="BK59" s="80"/>
      <c r="BL59" s="80"/>
      <c r="BM59" s="80"/>
      <c r="BN59" s="80"/>
      <c r="BO59" s="80"/>
      <c r="BP59" s="80"/>
      <c r="BQ59" s="80"/>
      <c r="BR59" s="80"/>
    </row>
    <row r="60" spans="1:70" ht="15.75" thickBot="1">
      <c r="P60" s="80"/>
      <c r="Q60" s="163"/>
      <c r="R60" s="163" t="s">
        <v>16</v>
      </c>
      <c r="S60" s="212">
        <v>12.86</v>
      </c>
      <c r="T60" s="163">
        <v>101</v>
      </c>
      <c r="U60" s="1152">
        <f>+(T13*U13+T32*U32+T40*U40+T49*U49)/T60</f>
        <v>2.1388118811881189</v>
      </c>
      <c r="AK60" s="161"/>
      <c r="AL60" s="161"/>
      <c r="AM60" s="161"/>
      <c r="AN60" s="73"/>
      <c r="AO60" s="73"/>
      <c r="AP60" s="73"/>
      <c r="AQ60" s="73"/>
      <c r="AR60" s="73"/>
      <c r="AS60" s="73"/>
      <c r="AT60" s="73"/>
      <c r="AU60" s="73"/>
      <c r="AV60" s="1216" t="s">
        <v>75</v>
      </c>
      <c r="AW60" s="1266">
        <v>13.182926829268288</v>
      </c>
      <c r="AX60" s="1282" t="e">
        <f>+(AY55*AX55+AY56*AX56+AY57*AX57+AY58*AX58)/AY60</f>
        <v>#VALUE!</v>
      </c>
      <c r="AY60" s="1283">
        <v>164</v>
      </c>
      <c r="AZ60" s="1266">
        <v>14.262195121951216</v>
      </c>
      <c r="BA60" s="1282">
        <f>+(AY47*BA47+AY48*BA48+AY49*BA49+AY50*BA50)/AY52</f>
        <v>3.2621951219512195</v>
      </c>
      <c r="BB60" s="73"/>
      <c r="BC60" s="80"/>
      <c r="BD60" s="80"/>
      <c r="BE60" s="733" t="s">
        <v>75</v>
      </c>
      <c r="BF60" s="733">
        <v>191</v>
      </c>
      <c r="BG60" s="1269">
        <v>14.235602094240834</v>
      </c>
      <c r="BH60" s="1218"/>
      <c r="BI60" s="1285">
        <f>+(BF56*BI56+BF57*BI57+BF58*BI58)/BF60</f>
        <v>3.3874345549738214</v>
      </c>
      <c r="BJ60" s="80"/>
      <c r="BK60" s="80"/>
      <c r="BL60" s="80"/>
      <c r="BM60" s="80"/>
      <c r="BN60" s="80"/>
      <c r="BO60" s="80"/>
      <c r="BP60" s="80"/>
      <c r="BQ60" s="80"/>
      <c r="BR60" s="80"/>
    </row>
    <row r="61" spans="1:70">
      <c r="P61" s="80"/>
      <c r="Q61" s="163"/>
      <c r="R61" s="163" t="s">
        <v>41</v>
      </c>
      <c r="S61" s="212">
        <v>13.51</v>
      </c>
      <c r="T61" s="163">
        <v>49</v>
      </c>
      <c r="U61" s="1152">
        <f>+(T36*U36+T44*U44)/T61</f>
        <v>1.7544897959183674</v>
      </c>
      <c r="AK61" s="161"/>
      <c r="AL61" s="161"/>
      <c r="AM61" s="161"/>
      <c r="AN61" s="73"/>
      <c r="AO61" s="73"/>
      <c r="AP61" s="73"/>
      <c r="AQ61" s="73"/>
      <c r="AR61" s="73"/>
      <c r="AS61" s="73"/>
      <c r="AT61" s="73"/>
      <c r="AU61" s="73"/>
      <c r="AV61" s="73"/>
      <c r="AW61" s="73"/>
      <c r="AX61" s="73"/>
      <c r="AY61" s="73"/>
      <c r="AZ61" s="73"/>
      <c r="BA61" s="73"/>
      <c r="BB61" s="73"/>
      <c r="BC61" s="80"/>
      <c r="BD61" s="80"/>
      <c r="BE61" s="1286" t="s">
        <v>1389</v>
      </c>
      <c r="BF61" s="80"/>
      <c r="BG61" s="80"/>
      <c r="BH61" s="80"/>
      <c r="BI61" s="80"/>
      <c r="BJ61" s="80"/>
      <c r="BK61" s="80"/>
      <c r="BL61" s="80"/>
      <c r="BM61" s="80"/>
      <c r="BN61" s="80"/>
      <c r="BO61" s="80"/>
      <c r="BP61" s="80"/>
      <c r="BQ61" s="80"/>
      <c r="BR61" s="80"/>
    </row>
    <row r="62" spans="1:70">
      <c r="P62" s="80"/>
      <c r="Q62" s="163"/>
      <c r="R62" s="163" t="s">
        <v>105</v>
      </c>
      <c r="S62" s="212">
        <v>11.67</v>
      </c>
      <c r="T62" s="163">
        <v>12</v>
      </c>
      <c r="U62" s="1152">
        <f>+(T18*U18+T46*U46)/T62</f>
        <v>1.4166666666666663</v>
      </c>
      <c r="AK62" s="161"/>
      <c r="AL62" s="161"/>
      <c r="AM62" s="161"/>
      <c r="AN62" s="73"/>
      <c r="AO62" s="73"/>
      <c r="AP62" s="73"/>
      <c r="AQ62" s="73"/>
      <c r="AR62" s="73"/>
      <c r="AS62" s="73"/>
      <c r="AT62" s="73"/>
      <c r="AU62" s="73"/>
      <c r="AV62" s="73"/>
      <c r="AW62" s="73"/>
      <c r="AX62" s="73"/>
      <c r="AY62" s="73"/>
      <c r="AZ62" s="73"/>
      <c r="BA62" s="73"/>
      <c r="BB62" s="73"/>
      <c r="BC62" s="80"/>
      <c r="BD62" s="80"/>
      <c r="BE62" s="80"/>
      <c r="BF62" s="80"/>
      <c r="BG62" s="80"/>
      <c r="BH62" s="80"/>
      <c r="BI62" s="80"/>
      <c r="BJ62" s="80"/>
      <c r="BK62" s="80"/>
      <c r="BL62" s="80"/>
      <c r="BM62" s="80"/>
      <c r="BN62" s="80"/>
      <c r="BO62" s="80"/>
      <c r="BP62" s="80"/>
      <c r="BQ62" s="80"/>
      <c r="BR62" s="80"/>
    </row>
    <row r="63" spans="1:70" ht="15.75" thickBot="1">
      <c r="P63" s="80"/>
      <c r="Q63" s="163"/>
      <c r="R63" s="733" t="s">
        <v>114</v>
      </c>
      <c r="S63" s="1269">
        <v>13.45</v>
      </c>
      <c r="T63" s="733">
        <v>205</v>
      </c>
      <c r="U63" s="2641">
        <v>2.4195609756097562</v>
      </c>
      <c r="AK63" s="161"/>
      <c r="AL63" s="161"/>
      <c r="AM63" s="161"/>
      <c r="AN63" s="73"/>
      <c r="AO63" s="73"/>
      <c r="AP63" s="73"/>
      <c r="AQ63" s="73"/>
      <c r="AR63" s="73"/>
      <c r="AS63" s="73"/>
      <c r="AT63" s="73"/>
      <c r="AU63" s="73"/>
      <c r="AV63" s="73"/>
      <c r="AW63" s="73"/>
      <c r="AX63" s="73"/>
      <c r="AY63" s="73"/>
      <c r="AZ63" s="73"/>
      <c r="BA63" s="73"/>
      <c r="BB63" s="73"/>
      <c r="BC63" s="80"/>
      <c r="BD63" s="80"/>
      <c r="BE63" s="80"/>
      <c r="BF63" s="80"/>
      <c r="BG63" s="80"/>
      <c r="BH63" s="80"/>
      <c r="BI63" s="80"/>
      <c r="BJ63" s="80"/>
      <c r="BK63" s="80"/>
      <c r="BL63" s="80"/>
      <c r="BM63" s="80"/>
      <c r="BN63" s="80"/>
      <c r="BO63" s="80"/>
      <c r="BP63" s="80"/>
      <c r="BQ63" s="80"/>
      <c r="BR63" s="80"/>
    </row>
    <row r="64" spans="1:70" ht="32.25" customHeight="1">
      <c r="P64" s="1"/>
      <c r="Q64" s="237"/>
      <c r="R64" s="1"/>
      <c r="S64" s="1"/>
      <c r="T64" s="1"/>
      <c r="U64" s="1"/>
      <c r="AK64" s="161"/>
      <c r="AL64" s="161"/>
      <c r="AM64" s="161"/>
      <c r="AN64" s="73"/>
      <c r="AO64" s="73"/>
      <c r="AP64" s="73"/>
      <c r="AQ64" s="73"/>
      <c r="AR64" s="73"/>
      <c r="AS64" s="73"/>
      <c r="AT64" s="73"/>
      <c r="AU64" s="73"/>
      <c r="AV64" s="73"/>
      <c r="AW64" s="73"/>
      <c r="AX64" s="73"/>
      <c r="AY64" s="73"/>
      <c r="AZ64" s="73"/>
      <c r="BA64" s="73"/>
      <c r="BB64" s="73"/>
      <c r="BC64" s="4986" t="s">
        <v>1430</v>
      </c>
      <c r="BD64" s="4986"/>
      <c r="BE64" s="4986"/>
      <c r="BF64" s="4986"/>
      <c r="BG64" s="4986"/>
      <c r="BH64" s="4986"/>
      <c r="BI64" s="4986"/>
      <c r="BJ64" s="80"/>
      <c r="BK64" s="80"/>
      <c r="BL64" s="80"/>
      <c r="BM64" s="80"/>
      <c r="BN64" s="80"/>
      <c r="BO64" s="80"/>
      <c r="BP64" s="80"/>
      <c r="BQ64" s="80"/>
      <c r="BR64" s="80"/>
    </row>
    <row r="65" spans="16:70">
      <c r="P65" s="1"/>
      <c r="Q65" s="237"/>
      <c r="R65" s="1"/>
      <c r="S65" s="1"/>
      <c r="T65" s="1"/>
      <c r="U65" s="1"/>
      <c r="AK65" s="161"/>
      <c r="AL65" s="161"/>
      <c r="AM65" s="161"/>
      <c r="AN65" s="73"/>
      <c r="AO65" s="73"/>
      <c r="AP65" s="73"/>
      <c r="AQ65" s="73"/>
      <c r="AR65" s="73"/>
      <c r="AS65" s="73"/>
      <c r="AT65" s="73"/>
      <c r="AU65" s="73"/>
      <c r="AV65" s="73"/>
      <c r="AW65" s="73"/>
      <c r="AX65" s="73"/>
      <c r="AY65" s="73"/>
      <c r="AZ65" s="73"/>
      <c r="BA65" s="73"/>
      <c r="BB65" s="73"/>
      <c r="BC65" s="80"/>
      <c r="BD65" s="80"/>
      <c r="BE65" s="80"/>
      <c r="BF65" s="80"/>
      <c r="BG65" s="80"/>
      <c r="BH65" s="80"/>
      <c r="BI65" s="80"/>
      <c r="BJ65" s="80"/>
      <c r="BK65" s="80"/>
      <c r="BL65" s="80"/>
      <c r="BM65" s="80"/>
      <c r="BN65" s="80"/>
      <c r="BO65" s="80"/>
      <c r="BP65" s="80"/>
      <c r="BQ65" s="80"/>
      <c r="BR65" s="80"/>
    </row>
    <row r="66" spans="16:70" ht="31.5" customHeight="1">
      <c r="P66" s="1"/>
      <c r="Q66" s="237"/>
      <c r="R66" s="1"/>
      <c r="S66" s="1"/>
      <c r="T66" s="1"/>
      <c r="U66" s="1"/>
      <c r="AK66" s="161"/>
      <c r="AL66" s="161"/>
      <c r="AM66" s="161"/>
      <c r="AN66" s="73"/>
      <c r="AO66" s="73"/>
      <c r="AP66" s="73"/>
      <c r="AQ66" s="73"/>
      <c r="AR66" s="73"/>
      <c r="AS66" s="73"/>
      <c r="AT66" s="73"/>
      <c r="AU66" s="73"/>
      <c r="AV66" s="73"/>
      <c r="AW66" s="73"/>
      <c r="AX66" s="73"/>
      <c r="AY66" s="73"/>
      <c r="AZ66" s="73"/>
      <c r="BA66" s="73"/>
      <c r="BB66" s="73"/>
      <c r="BC66" s="4986" t="s">
        <v>1431</v>
      </c>
      <c r="BD66" s="4986"/>
      <c r="BE66" s="4986"/>
      <c r="BF66" s="4986"/>
      <c r="BG66" s="4986"/>
      <c r="BH66" s="4986"/>
      <c r="BI66" s="4986"/>
      <c r="BJ66" s="80"/>
      <c r="BK66" s="80"/>
      <c r="BL66" s="80"/>
      <c r="BM66" s="80"/>
      <c r="BN66" s="80"/>
      <c r="BO66" s="80"/>
      <c r="BP66" s="80"/>
      <c r="BQ66" s="80"/>
      <c r="BR66" s="80"/>
    </row>
    <row r="67" spans="16:70">
      <c r="P67" s="1"/>
      <c r="Q67" s="237"/>
      <c r="R67" s="1"/>
      <c r="S67" s="1"/>
      <c r="T67" s="1"/>
      <c r="U67" s="1"/>
      <c r="AK67" s="161"/>
      <c r="AL67" s="161"/>
      <c r="AM67" s="161"/>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row>
    <row r="68" spans="16:70">
      <c r="P68" s="1"/>
      <c r="Q68" s="237"/>
      <c r="R68" s="1"/>
      <c r="S68" s="1"/>
      <c r="T68" s="1"/>
      <c r="U68" s="1"/>
      <c r="AK68" s="161"/>
      <c r="AL68" s="161"/>
      <c r="AM68" s="161"/>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row>
    <row r="69" spans="16:70">
      <c r="P69" s="1"/>
      <c r="Q69" s="237"/>
      <c r="R69" s="1"/>
      <c r="S69" s="1"/>
      <c r="T69" s="1"/>
      <c r="U69" s="1"/>
      <c r="AK69" s="161"/>
      <c r="AL69" s="161"/>
      <c r="AM69" s="161"/>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row>
    <row r="70" spans="16:70">
      <c r="P70" s="1"/>
      <c r="Q70" s="237"/>
      <c r="R70" s="1"/>
      <c r="S70" s="1"/>
      <c r="T70" s="1"/>
      <c r="U70" s="1"/>
      <c r="AK70" s="161"/>
      <c r="AL70" s="161"/>
      <c r="AM70" s="161"/>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row>
    <row r="71" spans="16:70">
      <c r="P71" s="1"/>
      <c r="Q71" s="237"/>
      <c r="R71" s="1"/>
      <c r="S71" s="1"/>
      <c r="T71" s="1"/>
      <c r="U71" s="1"/>
      <c r="AK71" s="161"/>
      <c r="AL71" s="161"/>
      <c r="AM71" s="161"/>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row>
    <row r="72" spans="16:70">
      <c r="P72" s="1"/>
      <c r="Q72" s="237"/>
      <c r="R72" s="1"/>
      <c r="S72" s="1"/>
      <c r="T72" s="1"/>
      <c r="U72" s="1"/>
      <c r="AK72" s="161"/>
      <c r="AL72" s="161"/>
      <c r="AM72" s="161"/>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row>
    <row r="73" spans="16:70">
      <c r="P73" s="1"/>
      <c r="Q73" s="237"/>
      <c r="R73" s="1"/>
      <c r="S73" s="1"/>
      <c r="T73" s="1"/>
      <c r="U73" s="1"/>
      <c r="AK73" s="161"/>
      <c r="AL73" s="161"/>
      <c r="AM73" s="161"/>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row>
    <row r="74" spans="16:70">
      <c r="P74" s="1"/>
      <c r="Q74" s="237"/>
      <c r="R74" s="1"/>
      <c r="S74" s="1"/>
      <c r="T74" s="1"/>
      <c r="U74" s="1"/>
      <c r="AK74" s="161"/>
      <c r="AL74" s="161"/>
      <c r="AM74" s="161"/>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row>
    <row r="75" spans="16:70">
      <c r="P75" s="1"/>
      <c r="Q75" s="237"/>
      <c r="R75" s="1"/>
      <c r="S75" s="1"/>
      <c r="T75" s="1"/>
      <c r="U75" s="1"/>
      <c r="AK75" s="161"/>
      <c r="AL75" s="161"/>
      <c r="AM75" s="161"/>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row>
    <row r="76" spans="16:70">
      <c r="P76" s="1"/>
      <c r="Q76" s="237"/>
      <c r="R76" s="1"/>
      <c r="S76" s="1"/>
      <c r="T76" s="1"/>
      <c r="U76" s="1"/>
      <c r="AK76" s="161"/>
      <c r="AL76" s="161"/>
      <c r="AM76" s="161"/>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row>
    <row r="77" spans="16:70">
      <c r="P77" s="1"/>
      <c r="Q77" s="237"/>
      <c r="R77" s="1"/>
      <c r="S77" s="1"/>
      <c r="T77" s="1"/>
      <c r="U77" s="1"/>
      <c r="AK77" s="161"/>
      <c r="AL77" s="161"/>
      <c r="AM77" s="161"/>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row>
    <row r="78" spans="16:70">
      <c r="P78" s="1"/>
      <c r="Q78" s="237"/>
      <c r="R78" s="1"/>
      <c r="S78" s="1"/>
      <c r="T78" s="1"/>
      <c r="U78" s="1"/>
      <c r="AK78" s="161"/>
      <c r="AL78" s="161"/>
      <c r="AM78" s="161"/>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row>
    <row r="79" spans="16:70">
      <c r="P79" s="1"/>
      <c r="Q79" s="237"/>
      <c r="R79" s="1"/>
      <c r="S79" s="1"/>
      <c r="T79" s="1"/>
      <c r="U79" s="1"/>
      <c r="AK79" s="161"/>
      <c r="AL79" s="161"/>
      <c r="AM79" s="161"/>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row>
    <row r="80" spans="16:70">
      <c r="P80" s="1"/>
      <c r="Q80" s="237"/>
      <c r="R80" s="1"/>
      <c r="S80" s="1"/>
      <c r="T80" s="1"/>
      <c r="U80" s="1"/>
      <c r="AK80" s="161"/>
      <c r="AL80" s="161"/>
      <c r="AM80" s="161"/>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row>
    <row r="81" spans="16:70">
      <c r="P81" s="1"/>
      <c r="Q81" s="237"/>
      <c r="R81" s="1"/>
      <c r="S81" s="1"/>
      <c r="T81" s="1"/>
      <c r="U81" s="1"/>
      <c r="AK81" s="161"/>
      <c r="AL81" s="161"/>
      <c r="AM81" s="161"/>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row>
    <row r="82" spans="16:70">
      <c r="P82" s="1"/>
      <c r="Q82" s="237"/>
      <c r="R82" s="1"/>
      <c r="S82" s="1"/>
      <c r="T82" s="1"/>
      <c r="U82" s="1"/>
      <c r="AK82" s="161"/>
      <c r="AL82" s="161"/>
      <c r="AM82" s="161"/>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row>
    <row r="83" spans="16:70">
      <c r="P83" s="1"/>
      <c r="Q83" s="237"/>
      <c r="R83" s="1"/>
      <c r="S83" s="1"/>
      <c r="T83" s="1"/>
      <c r="U83" s="1"/>
      <c r="AK83" s="161"/>
      <c r="AL83" s="161"/>
      <c r="AM83" s="161"/>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row>
    <row r="84" spans="16:70">
      <c r="P84" s="1"/>
      <c r="Q84" s="237"/>
      <c r="R84" s="1"/>
      <c r="S84" s="1"/>
      <c r="T84" s="1"/>
      <c r="U84" s="1"/>
      <c r="AK84" s="161"/>
      <c r="AL84" s="161"/>
      <c r="AM84" s="161"/>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row>
    <row r="85" spans="16:70">
      <c r="P85" s="1"/>
      <c r="Q85" s="237"/>
      <c r="R85" s="1"/>
      <c r="S85" s="1"/>
      <c r="T85" s="1"/>
      <c r="U85" s="1"/>
      <c r="AK85" s="161"/>
      <c r="AL85" s="161"/>
      <c r="AM85" s="161"/>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row>
    <row r="86" spans="16:70">
      <c r="P86" s="1"/>
      <c r="Q86" s="237"/>
      <c r="R86" s="1"/>
      <c r="S86" s="1"/>
      <c r="T86" s="1"/>
      <c r="U86" s="1"/>
      <c r="AK86" s="161"/>
      <c r="AL86" s="161"/>
      <c r="AM86" s="161"/>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row>
    <row r="87" spans="16:70">
      <c r="P87" s="1"/>
      <c r="Q87" s="237"/>
      <c r="R87" s="1"/>
      <c r="S87" s="1"/>
      <c r="T87" s="1"/>
      <c r="U87" s="1"/>
      <c r="AK87" s="161"/>
      <c r="AL87" s="161"/>
      <c r="AM87" s="161"/>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row>
    <row r="88" spans="16:70">
      <c r="P88" s="1"/>
      <c r="Q88" s="237"/>
      <c r="R88" s="1"/>
      <c r="S88" s="1"/>
      <c r="T88" s="1"/>
      <c r="U88" s="1"/>
      <c r="AK88" s="161"/>
      <c r="AL88" s="161"/>
      <c r="AM88" s="161"/>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row>
    <row r="89" spans="16:70">
      <c r="P89" s="1"/>
      <c r="Q89" s="237"/>
      <c r="R89" s="1"/>
      <c r="S89" s="1"/>
      <c r="T89" s="1"/>
      <c r="U89" s="1"/>
      <c r="AK89" s="161"/>
      <c r="AL89" s="161"/>
      <c r="AM89" s="161"/>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row>
    <row r="90" spans="16:70">
      <c r="P90" s="1"/>
      <c r="Q90" s="237"/>
      <c r="R90" s="1"/>
      <c r="S90" s="1"/>
      <c r="T90" s="1"/>
      <c r="U90" s="1"/>
      <c r="AK90" s="161"/>
      <c r="AL90" s="161"/>
      <c r="AM90" s="161"/>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row>
    <row r="91" spans="16:70">
      <c r="AK91" s="161"/>
      <c r="AL91" s="161"/>
      <c r="AM91" s="161"/>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row>
    <row r="92" spans="16:70">
      <c r="AK92" s="161"/>
      <c r="AL92" s="161"/>
      <c r="AM92" s="161"/>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row>
    <row r="93" spans="16:70">
      <c r="AK93" s="161"/>
      <c r="AL93" s="161"/>
      <c r="AM93" s="161"/>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row>
    <row r="94" spans="16:70">
      <c r="AK94" s="161"/>
      <c r="AL94" s="161"/>
      <c r="AM94" s="161"/>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row>
    <row r="95" spans="16:70">
      <c r="AK95" s="161"/>
      <c r="AL95" s="161"/>
      <c r="AM95" s="161"/>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row>
    <row r="96" spans="16:70">
      <c r="AK96" s="161"/>
      <c r="AL96" s="161"/>
      <c r="AM96" s="161"/>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row>
    <row r="97" spans="37:70">
      <c r="AK97" s="161"/>
      <c r="AL97" s="161"/>
      <c r="AM97" s="161"/>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row>
    <row r="98" spans="37:70">
      <c r="AK98" s="161"/>
      <c r="AL98" s="161"/>
      <c r="AM98" s="161"/>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row>
    <row r="99" spans="37:70">
      <c r="AK99" s="161"/>
      <c r="AL99" s="161"/>
      <c r="AM99" s="161"/>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row>
    <row r="100" spans="37:70">
      <c r="AK100" s="161"/>
      <c r="AL100" s="161"/>
      <c r="AM100" s="161"/>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row>
    <row r="101" spans="37:70">
      <c r="AK101" s="161"/>
      <c r="AL101" s="161"/>
      <c r="AM101" s="161"/>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row>
    <row r="102" spans="37:70">
      <c r="AK102" s="161"/>
      <c r="AL102" s="161"/>
      <c r="AM102" s="161"/>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row>
    <row r="103" spans="37:70">
      <c r="AK103" s="161"/>
      <c r="AL103" s="161"/>
      <c r="AM103" s="161"/>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row>
    <row r="104" spans="37:70">
      <c r="AK104" s="161"/>
      <c r="AL104" s="161"/>
      <c r="AM104" s="161"/>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row>
    <row r="105" spans="37:70">
      <c r="AK105" s="161"/>
      <c r="AL105" s="161"/>
      <c r="AM105" s="161"/>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row>
    <row r="106" spans="37:70">
      <c r="AK106" s="161"/>
      <c r="AL106" s="161"/>
      <c r="AM106" s="161"/>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row>
    <row r="107" spans="37:70">
      <c r="AK107" s="161"/>
      <c r="AL107" s="161"/>
      <c r="AM107" s="161"/>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row>
    <row r="108" spans="37:70">
      <c r="AK108" s="161"/>
      <c r="AL108" s="161"/>
      <c r="AM108" s="161"/>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row>
    <row r="109" spans="37:70">
      <c r="AK109" s="161"/>
      <c r="AL109" s="161"/>
      <c r="AM109" s="161"/>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row>
    <row r="110" spans="37:70">
      <c r="AK110" s="161"/>
      <c r="AL110" s="161"/>
      <c r="AM110" s="161"/>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row>
    <row r="111" spans="37:70">
      <c r="AK111" s="161"/>
      <c r="AL111" s="161"/>
      <c r="AM111" s="161"/>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row>
    <row r="112" spans="37:70">
      <c r="AK112" s="161"/>
      <c r="AL112" s="161"/>
      <c r="AM112" s="161"/>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row>
    <row r="113" spans="37:70">
      <c r="AK113" s="161"/>
      <c r="AL113" s="161"/>
      <c r="AM113" s="161"/>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row>
    <row r="114" spans="37:70">
      <c r="AK114" s="161"/>
      <c r="AL114" s="161"/>
      <c r="AM114" s="161"/>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row>
    <row r="115" spans="37:70">
      <c r="AK115" s="161"/>
      <c r="AL115" s="161"/>
      <c r="AM115" s="161"/>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row>
    <row r="116" spans="37:70">
      <c r="AK116" s="161"/>
      <c r="AL116" s="161"/>
      <c r="AM116" s="161"/>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row>
    <row r="117" spans="37:70">
      <c r="AK117" s="161"/>
      <c r="AL117" s="161"/>
      <c r="AM117" s="161"/>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row>
    <row r="118" spans="37:70">
      <c r="AK118" s="161"/>
      <c r="AL118" s="161"/>
      <c r="AM118" s="161"/>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row>
    <row r="119" spans="37:70">
      <c r="AK119" s="161"/>
      <c r="AL119" s="161"/>
      <c r="AM119" s="161"/>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row>
    <row r="120" spans="37:70">
      <c r="AK120" s="161"/>
      <c r="AL120" s="161"/>
      <c r="AM120" s="161"/>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row>
    <row r="121" spans="37:70">
      <c r="AK121" s="161"/>
      <c r="AL121" s="161"/>
      <c r="AM121" s="161"/>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row>
    <row r="122" spans="37:70">
      <c r="AK122" s="161"/>
      <c r="AL122" s="161"/>
      <c r="AM122" s="161"/>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row>
    <row r="123" spans="37:70">
      <c r="AK123" s="161"/>
      <c r="AL123" s="161"/>
      <c r="AM123" s="161"/>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row>
    <row r="124" spans="37:70">
      <c r="AK124" s="161"/>
      <c r="AL124" s="161"/>
      <c r="AM124" s="161"/>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row>
    <row r="125" spans="37:70">
      <c r="AK125" s="161"/>
      <c r="AL125" s="161"/>
      <c r="AM125" s="161"/>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row>
    <row r="126" spans="37:70">
      <c r="AK126" s="161"/>
      <c r="AL126" s="161"/>
      <c r="AM126" s="161"/>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row>
    <row r="127" spans="37:70">
      <c r="AK127" s="161"/>
      <c r="AL127" s="161"/>
      <c r="AM127" s="161"/>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row>
    <row r="128" spans="37:70">
      <c r="AK128" s="161"/>
      <c r="AL128" s="161"/>
      <c r="AM128" s="161"/>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row>
    <row r="129" spans="37:70">
      <c r="AK129" s="161"/>
      <c r="AL129" s="161"/>
      <c r="AM129" s="161"/>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row>
    <row r="130" spans="37:70">
      <c r="AK130" s="161"/>
      <c r="AL130" s="161"/>
      <c r="AM130" s="161"/>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row>
    <row r="131" spans="37:70">
      <c r="AK131" s="161"/>
      <c r="AL131" s="161"/>
      <c r="AM131" s="161"/>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row>
    <row r="132" spans="37:70">
      <c r="AK132" s="161"/>
      <c r="AL132" s="161"/>
      <c r="AM132" s="161"/>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row>
    <row r="133" spans="37:70">
      <c r="AK133" s="161"/>
      <c r="AL133" s="161"/>
      <c r="AM133" s="161"/>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row>
    <row r="134" spans="37:70">
      <c r="AK134" s="161"/>
      <c r="AL134" s="161"/>
      <c r="AM134" s="161"/>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row>
    <row r="135" spans="37:70">
      <c r="AK135" s="161"/>
      <c r="AL135" s="161"/>
      <c r="AM135" s="161"/>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row>
    <row r="136" spans="37:70">
      <c r="AK136" s="161"/>
      <c r="AL136" s="161"/>
      <c r="AM136" s="161"/>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row>
    <row r="137" spans="37:70">
      <c r="AK137" s="161"/>
      <c r="AL137" s="161"/>
      <c r="AM137" s="161"/>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row>
    <row r="138" spans="37:70">
      <c r="AK138" s="161"/>
      <c r="AL138" s="161"/>
      <c r="AM138" s="161"/>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row>
    <row r="139" spans="37:70">
      <c r="AK139" s="161"/>
      <c r="AL139" s="161"/>
      <c r="AM139" s="161"/>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row>
    <row r="140" spans="37:70">
      <c r="AK140" s="161"/>
      <c r="AL140" s="161"/>
      <c r="AM140" s="161"/>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row>
    <row r="141" spans="37:70">
      <c r="AK141" s="161"/>
      <c r="AL141" s="161"/>
      <c r="AM141" s="161"/>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row>
    <row r="142" spans="37:70">
      <c r="AK142" s="161"/>
      <c r="AL142" s="161"/>
      <c r="AM142" s="161"/>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row>
    <row r="143" spans="37:70">
      <c r="AK143" s="161"/>
      <c r="AL143" s="161"/>
      <c r="AM143" s="161"/>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row>
    <row r="144" spans="37:70">
      <c r="AK144" s="161"/>
      <c r="AL144" s="161"/>
      <c r="AM144" s="161"/>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row>
    <row r="145" spans="37:70">
      <c r="AK145" s="161"/>
      <c r="AL145" s="161"/>
      <c r="AM145" s="161"/>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row>
    <row r="146" spans="37:70">
      <c r="AK146" s="161"/>
      <c r="AL146" s="161"/>
      <c r="AM146" s="161"/>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row>
    <row r="147" spans="37:70">
      <c r="AK147" s="161"/>
      <c r="AL147" s="161"/>
      <c r="AM147" s="161"/>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row>
    <row r="148" spans="37:70">
      <c r="AK148" s="161"/>
      <c r="AL148" s="161"/>
      <c r="AM148" s="161"/>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row>
    <row r="149" spans="37:70">
      <c r="AK149" s="161"/>
      <c r="AL149" s="161"/>
      <c r="AM149" s="161"/>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row>
    <row r="150" spans="37:70">
      <c r="AK150" s="161"/>
      <c r="AL150" s="161"/>
      <c r="AM150" s="161"/>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row>
    <row r="151" spans="37:70">
      <c r="AK151" s="161"/>
      <c r="AL151" s="161"/>
      <c r="AM151" s="161"/>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row>
    <row r="152" spans="37:70">
      <c r="AK152" s="161"/>
      <c r="AL152" s="161"/>
      <c r="AM152" s="161"/>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row>
    <row r="153" spans="37:70">
      <c r="AK153" s="161"/>
      <c r="AL153" s="161"/>
      <c r="AM153" s="161"/>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row>
    <row r="154" spans="37:70">
      <c r="AK154" s="161"/>
      <c r="AL154" s="161"/>
      <c r="AM154" s="161"/>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row>
    <row r="155" spans="37:70">
      <c r="AK155" s="161"/>
      <c r="AL155" s="161"/>
      <c r="AM155" s="161"/>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row>
    <row r="156" spans="37:70">
      <c r="AK156" s="161"/>
      <c r="AL156" s="161"/>
      <c r="AM156" s="161"/>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row>
    <row r="157" spans="37:70">
      <c r="AK157" s="161"/>
      <c r="AL157" s="161"/>
      <c r="AM157" s="161"/>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row>
    <row r="158" spans="37:70">
      <c r="AK158" s="161"/>
      <c r="AL158" s="161"/>
      <c r="AM158" s="161"/>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row>
    <row r="159" spans="37:70">
      <c r="AK159" s="161"/>
      <c r="AL159" s="161"/>
      <c r="AM159" s="161"/>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row>
    <row r="160" spans="37:70">
      <c r="AK160" s="161"/>
      <c r="AL160" s="161"/>
      <c r="AM160" s="161"/>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row>
    <row r="161" spans="37:70">
      <c r="AK161" s="161"/>
      <c r="AL161" s="161"/>
      <c r="AM161" s="161"/>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row>
    <row r="162" spans="37:70">
      <c r="AK162" s="161"/>
      <c r="AL162" s="161"/>
      <c r="AM162" s="161"/>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row>
    <row r="163" spans="37:70">
      <c r="AK163" s="161"/>
      <c r="AL163" s="161"/>
      <c r="AM163" s="161"/>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row>
    <row r="164" spans="37:70">
      <c r="AK164" s="161"/>
      <c r="AL164" s="161"/>
      <c r="AM164" s="161"/>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row>
    <row r="165" spans="37:70">
      <c r="AK165" s="161"/>
      <c r="AL165" s="161"/>
      <c r="AM165" s="161"/>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row>
    <row r="166" spans="37:70">
      <c r="AK166" s="161"/>
      <c r="AL166" s="161"/>
      <c r="AM166" s="161"/>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row>
    <row r="167" spans="37:70">
      <c r="AK167" s="161"/>
      <c r="AL167" s="161"/>
      <c r="AM167" s="161"/>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row>
    <row r="168" spans="37:70">
      <c r="AK168" s="161"/>
      <c r="AL168" s="161"/>
      <c r="AM168" s="161"/>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row>
    <row r="169" spans="37:70">
      <c r="AK169" s="161"/>
      <c r="AL169" s="161"/>
      <c r="AM169" s="161"/>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row>
    <row r="170" spans="37:70">
      <c r="AK170" s="161"/>
      <c r="AL170" s="161"/>
      <c r="AM170" s="161"/>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row>
    <row r="171" spans="37:70">
      <c r="AK171" s="161"/>
      <c r="AL171" s="161"/>
      <c r="AM171" s="161"/>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row>
    <row r="172" spans="37:70">
      <c r="AK172" s="161"/>
      <c r="AL172" s="161"/>
      <c r="AM172" s="161"/>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row>
    <row r="173" spans="37:70">
      <c r="AK173" s="161"/>
      <c r="AL173" s="161"/>
      <c r="AM173" s="161"/>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row>
    <row r="174" spans="37:70">
      <c r="AK174" s="161"/>
      <c r="AL174" s="161"/>
      <c r="AM174" s="161"/>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row>
    <row r="175" spans="37:70">
      <c r="AK175" s="161"/>
      <c r="AL175" s="161"/>
      <c r="AM175" s="161"/>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row>
    <row r="176" spans="37:70">
      <c r="AK176" s="161"/>
      <c r="AL176" s="161"/>
      <c r="AM176" s="161"/>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row>
    <row r="177" spans="37:70">
      <c r="AK177" s="161"/>
      <c r="AL177" s="161"/>
      <c r="AM177" s="161"/>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row>
    <row r="178" spans="37:70">
      <c r="AK178" s="161"/>
      <c r="AL178" s="161"/>
      <c r="AM178" s="161"/>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row>
    <row r="179" spans="37:70">
      <c r="AK179" s="161"/>
      <c r="AL179" s="161"/>
      <c r="AM179" s="161"/>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row>
    <row r="180" spans="37:70">
      <c r="AK180" s="161"/>
      <c r="AL180" s="161"/>
      <c r="AM180" s="161"/>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row>
    <row r="181" spans="37:70">
      <c r="AK181" s="161"/>
      <c r="AL181" s="161"/>
      <c r="AM181" s="161"/>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row>
    <row r="182" spans="37:70">
      <c r="AK182" s="161"/>
      <c r="AL182" s="161"/>
      <c r="AM182" s="161"/>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row>
    <row r="183" spans="37:70">
      <c r="AK183" s="161"/>
      <c r="AL183" s="161"/>
      <c r="AM183" s="161"/>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row>
    <row r="184" spans="37:70">
      <c r="AK184" s="161"/>
      <c r="AL184" s="161"/>
      <c r="AM184" s="161"/>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row>
    <row r="185" spans="37:70">
      <c r="AK185" s="161"/>
      <c r="AL185" s="161"/>
      <c r="AM185" s="161"/>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row>
    <row r="186" spans="37:70">
      <c r="AK186" s="161"/>
      <c r="AL186" s="161"/>
      <c r="AM186" s="161"/>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row>
    <row r="187" spans="37:70">
      <c r="AK187" s="161"/>
      <c r="AL187" s="161"/>
      <c r="AM187" s="161"/>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row>
    <row r="188" spans="37:70">
      <c r="AK188" s="161"/>
      <c r="AL188" s="161"/>
      <c r="AM188" s="161"/>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row>
    <row r="189" spans="37:70">
      <c r="AK189" s="161"/>
      <c r="AL189" s="161"/>
      <c r="AM189" s="161"/>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row>
    <row r="190" spans="37:70">
      <c r="AK190" s="161"/>
      <c r="AL190" s="161"/>
      <c r="AM190" s="161"/>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row>
    <row r="191" spans="37:70">
      <c r="AK191" s="161"/>
      <c r="AL191" s="161"/>
      <c r="AM191" s="161"/>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row>
    <row r="192" spans="37:70">
      <c r="AK192" s="161"/>
      <c r="AL192" s="161"/>
      <c r="AM192" s="161"/>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row>
    <row r="193" spans="37:70">
      <c r="AK193" s="161"/>
      <c r="AL193" s="161"/>
      <c r="AM193" s="161"/>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row>
    <row r="194" spans="37:70">
      <c r="AK194" s="161"/>
      <c r="AL194" s="161"/>
      <c r="AM194" s="161"/>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row>
    <row r="195" spans="37:70">
      <c r="AK195" s="161"/>
      <c r="AL195" s="161"/>
      <c r="AM195" s="161"/>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row>
    <row r="196" spans="37:70">
      <c r="AK196" s="161"/>
      <c r="AL196" s="161"/>
      <c r="AM196" s="161"/>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row>
    <row r="197" spans="37:70">
      <c r="AK197" s="161"/>
      <c r="AL197" s="161"/>
      <c r="AM197" s="161"/>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row>
    <row r="198" spans="37:70">
      <c r="AK198" s="161"/>
      <c r="AL198" s="161"/>
      <c r="AM198" s="161"/>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row>
    <row r="199" spans="37:70">
      <c r="AK199" s="161"/>
      <c r="AL199" s="161"/>
      <c r="AM199" s="161"/>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row>
    <row r="200" spans="37:70">
      <c r="AK200" s="161"/>
      <c r="AL200" s="161"/>
      <c r="AM200" s="161"/>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row>
    <row r="201" spans="37:70">
      <c r="AK201" s="161"/>
      <c r="AL201" s="161"/>
      <c r="AM201" s="161"/>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row>
    <row r="202" spans="37:70">
      <c r="AK202" s="161"/>
      <c r="AL202" s="161"/>
      <c r="AM202" s="161"/>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row>
    <row r="203" spans="37:70">
      <c r="AK203" s="161"/>
      <c r="AL203" s="161"/>
      <c r="AM203" s="161"/>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row>
    <row r="204" spans="37:70">
      <c r="AK204" s="161"/>
      <c r="AL204" s="161"/>
      <c r="AM204" s="161"/>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row>
    <row r="205" spans="37:70">
      <c r="AK205" s="161"/>
      <c r="AL205" s="161"/>
      <c r="AM205" s="161"/>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row>
    <row r="206" spans="37:70">
      <c r="AK206" s="161"/>
      <c r="AL206" s="161"/>
      <c r="AM206" s="161"/>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row>
    <row r="207" spans="37:70">
      <c r="AK207" s="161"/>
      <c r="AL207" s="161"/>
      <c r="AM207" s="161"/>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row>
    <row r="208" spans="37:70">
      <c r="AK208" s="161"/>
      <c r="AL208" s="161"/>
      <c r="AM208" s="161"/>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row>
    <row r="209" spans="37:70">
      <c r="AK209" s="161"/>
      <c r="AL209" s="161"/>
      <c r="AM209" s="161"/>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row>
    <row r="210" spans="37:70">
      <c r="AK210" s="161"/>
      <c r="AL210" s="161"/>
      <c r="AM210" s="161"/>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row>
    <row r="211" spans="37:70">
      <c r="AK211" s="161"/>
      <c r="AL211" s="161"/>
      <c r="AM211" s="161"/>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row>
    <row r="212" spans="37:70">
      <c r="AK212" s="161"/>
      <c r="AL212" s="161"/>
      <c r="AM212" s="161"/>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row>
    <row r="213" spans="37:70">
      <c r="AK213" s="161"/>
      <c r="AL213" s="161"/>
      <c r="AM213" s="161"/>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row>
    <row r="214" spans="37:70">
      <c r="AK214" s="161"/>
      <c r="AL214" s="161"/>
      <c r="AM214" s="161"/>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row>
    <row r="215" spans="37:70">
      <c r="AK215" s="161"/>
      <c r="AL215" s="161"/>
      <c r="AM215" s="161"/>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row>
    <row r="216" spans="37:70">
      <c r="AK216" s="161"/>
      <c r="AL216" s="161"/>
      <c r="AM216" s="161"/>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row>
    <row r="217" spans="37:70">
      <c r="AK217" s="161"/>
      <c r="AL217" s="161"/>
      <c r="AM217" s="161"/>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row>
    <row r="218" spans="37:70">
      <c r="AK218" s="161"/>
      <c r="AL218" s="161"/>
      <c r="AM218" s="161"/>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row>
    <row r="219" spans="37:70">
      <c r="AK219" s="161"/>
      <c r="AL219" s="161"/>
      <c r="AM219" s="161"/>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row>
    <row r="220" spans="37:70">
      <c r="AK220" s="161"/>
      <c r="AL220" s="161"/>
      <c r="AM220" s="161"/>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row>
    <row r="221" spans="37:70">
      <c r="AK221" s="161"/>
      <c r="AL221" s="161"/>
      <c r="AM221" s="161"/>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row>
    <row r="222" spans="37:70">
      <c r="AK222" s="161"/>
      <c r="AL222" s="161"/>
      <c r="AM222" s="161"/>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row>
    <row r="223" spans="37:70">
      <c r="AK223" s="161"/>
      <c r="AL223" s="161"/>
      <c r="AM223" s="161"/>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row>
    <row r="224" spans="37:70">
      <c r="AK224" s="161"/>
      <c r="AL224" s="161"/>
      <c r="AM224" s="161"/>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row>
    <row r="225" spans="37:70">
      <c r="AK225" s="161"/>
      <c r="AL225" s="161"/>
      <c r="AM225" s="161"/>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row>
    <row r="226" spans="37:70">
      <c r="AK226" s="161"/>
      <c r="AL226" s="161"/>
      <c r="AM226" s="161"/>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row>
    <row r="227" spans="37:70">
      <c r="AK227" s="161"/>
      <c r="AL227" s="161"/>
      <c r="AM227" s="161"/>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row>
    <row r="228" spans="37:70">
      <c r="AK228" s="161"/>
      <c r="AL228" s="161"/>
      <c r="AM228" s="161"/>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row>
    <row r="229" spans="37:70">
      <c r="AK229" s="161"/>
      <c r="AL229" s="161"/>
      <c r="AM229" s="161"/>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row>
    <row r="230" spans="37:70">
      <c r="AK230" s="161"/>
      <c r="AL230" s="161"/>
      <c r="AM230" s="161"/>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row>
    <row r="231" spans="37:70">
      <c r="AK231" s="161"/>
      <c r="AL231" s="161"/>
      <c r="AM231" s="161"/>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row>
    <row r="232" spans="37:70">
      <c r="AK232" s="161"/>
      <c r="AL232" s="161"/>
      <c r="AM232" s="161"/>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row>
    <row r="233" spans="37:70">
      <c r="AK233" s="161"/>
      <c r="AL233" s="161"/>
      <c r="AM233" s="161"/>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row>
    <row r="234" spans="37:70">
      <c r="AK234" s="161"/>
      <c r="AL234" s="161"/>
      <c r="AM234" s="161"/>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row>
    <row r="235" spans="37:70">
      <c r="AK235" s="161"/>
      <c r="AL235" s="161"/>
      <c r="AM235" s="161"/>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row>
    <row r="236" spans="37:70">
      <c r="AK236" s="161"/>
      <c r="AL236" s="161"/>
      <c r="AM236" s="161"/>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row>
    <row r="237" spans="37:70">
      <c r="AK237" s="161"/>
      <c r="AL237" s="161"/>
      <c r="AM237" s="161"/>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row>
    <row r="238" spans="37:70">
      <c r="AK238" s="161"/>
      <c r="AL238" s="161"/>
      <c r="AM238" s="161"/>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row>
    <row r="239" spans="37:70">
      <c r="AK239" s="161"/>
      <c r="AL239" s="161"/>
      <c r="AM239" s="161"/>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row>
    <row r="240" spans="37:70">
      <c r="AK240" s="161"/>
      <c r="AL240" s="161"/>
      <c r="AM240" s="161"/>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row>
    <row r="241" spans="37:70">
      <c r="AK241" s="161"/>
      <c r="AL241" s="161"/>
      <c r="AM241" s="161"/>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row>
    <row r="242" spans="37:70">
      <c r="AK242" s="161"/>
      <c r="AL242" s="161"/>
      <c r="AM242" s="161"/>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row>
    <row r="243" spans="37:70">
      <c r="AK243" s="161"/>
      <c r="AL243" s="161"/>
      <c r="AM243" s="161"/>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row>
    <row r="244" spans="37:70">
      <c r="AK244" s="161"/>
      <c r="AL244" s="161"/>
      <c r="AM244" s="161"/>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row>
    <row r="245" spans="37:70">
      <c r="AK245" s="161"/>
      <c r="AL245" s="161"/>
      <c r="AM245" s="161"/>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row>
    <row r="246" spans="37:70">
      <c r="AK246" s="161"/>
      <c r="AL246" s="161"/>
      <c r="AM246" s="161"/>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row>
    <row r="247" spans="37:70">
      <c r="AK247" s="161"/>
      <c r="AL247" s="161"/>
      <c r="AM247" s="161"/>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row>
    <row r="248" spans="37:70">
      <c r="AK248" s="161"/>
      <c r="AL248" s="161"/>
      <c r="AM248" s="161"/>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row>
    <row r="249" spans="37:70">
      <c r="AK249" s="161"/>
      <c r="AL249" s="161"/>
      <c r="AM249" s="161"/>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row>
    <row r="250" spans="37:70">
      <c r="AK250" s="161"/>
      <c r="AL250" s="161"/>
      <c r="AM250" s="161"/>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row>
    <row r="251" spans="37:70">
      <c r="AK251" s="161"/>
      <c r="AL251" s="161"/>
      <c r="AM251" s="161"/>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row>
    <row r="252" spans="37:70">
      <c r="AK252" s="161"/>
      <c r="AL252" s="161"/>
      <c r="AM252" s="161"/>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row>
    <row r="253" spans="37:70">
      <c r="AK253" s="161"/>
      <c r="AL253" s="161"/>
      <c r="AM253" s="161"/>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row>
    <row r="254" spans="37:70">
      <c r="AK254" s="161"/>
      <c r="AL254" s="161"/>
      <c r="AM254" s="161"/>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row>
    <row r="255" spans="37:70">
      <c r="AK255" s="161"/>
      <c r="AL255" s="161"/>
      <c r="AM255" s="161"/>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row>
    <row r="256" spans="37:70">
      <c r="AK256" s="161"/>
      <c r="AL256" s="161"/>
      <c r="AM256" s="161"/>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row>
    <row r="257" spans="37:70">
      <c r="AK257" s="161"/>
      <c r="AL257" s="161"/>
      <c r="AM257" s="161"/>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row>
    <row r="258" spans="37:70">
      <c r="AK258" s="161"/>
      <c r="AL258" s="161"/>
      <c r="AM258" s="161"/>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row>
    <row r="259" spans="37:70">
      <c r="AK259" s="161"/>
      <c r="AL259" s="161"/>
      <c r="AM259" s="161"/>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row>
    <row r="260" spans="37:70">
      <c r="AK260" s="161"/>
      <c r="AL260" s="161"/>
      <c r="AM260" s="161"/>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row>
    <row r="261" spans="37:70">
      <c r="AK261" s="161"/>
      <c r="AL261" s="161"/>
      <c r="AM261" s="161"/>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row>
    <row r="262" spans="37:70">
      <c r="AK262" s="161"/>
      <c r="AL262" s="161"/>
      <c r="AM262" s="161"/>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row>
    <row r="263" spans="37:70">
      <c r="AK263" s="161"/>
      <c r="AL263" s="161"/>
      <c r="AM263" s="161"/>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row>
    <row r="264" spans="37:70">
      <c r="AK264" s="161"/>
      <c r="AL264" s="161"/>
      <c r="AM264" s="161"/>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row>
    <row r="265" spans="37:70">
      <c r="AK265" s="161"/>
      <c r="AL265" s="161"/>
      <c r="AM265" s="161"/>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row>
    <row r="266" spans="37:70">
      <c r="AK266" s="161"/>
      <c r="AL266" s="161"/>
      <c r="AM266" s="161"/>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row>
    <row r="267" spans="37:70">
      <c r="AK267" s="161"/>
      <c r="AL267" s="161"/>
      <c r="AM267" s="161"/>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row>
    <row r="268" spans="37:70">
      <c r="AK268" s="161"/>
      <c r="AL268" s="161"/>
      <c r="AM268" s="161"/>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row>
    <row r="269" spans="37:70">
      <c r="AK269" s="161"/>
      <c r="AL269" s="161"/>
      <c r="AM269" s="161"/>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row>
    <row r="270" spans="37:70">
      <c r="AK270" s="161"/>
      <c r="AL270" s="161"/>
      <c r="AM270" s="161"/>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row>
    <row r="271" spans="37:70">
      <c r="AK271" s="161"/>
      <c r="AL271" s="161"/>
      <c r="AM271" s="161"/>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row>
    <row r="272" spans="37:70">
      <c r="AK272" s="161"/>
      <c r="AL272" s="161"/>
      <c r="AM272" s="161"/>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row>
    <row r="273" spans="37:70">
      <c r="AK273" s="161"/>
      <c r="AL273" s="161"/>
      <c r="AM273" s="161"/>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row>
    <row r="274" spans="37:70">
      <c r="AK274" s="161"/>
      <c r="AL274" s="161"/>
      <c r="AM274" s="161"/>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row>
    <row r="275" spans="37:70">
      <c r="AK275" s="161"/>
      <c r="AL275" s="161"/>
      <c r="AM275" s="161"/>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row>
    <row r="276" spans="37:70">
      <c r="AK276" s="161"/>
      <c r="AL276" s="161"/>
      <c r="AM276" s="161"/>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row>
    <row r="277" spans="37:70">
      <c r="AK277" s="161"/>
      <c r="AL277" s="161"/>
      <c r="AM277" s="161"/>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row>
    <row r="278" spans="37:70">
      <c r="AK278" s="161"/>
      <c r="AL278" s="161"/>
      <c r="AM278" s="161"/>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row>
    <row r="279" spans="37:70">
      <c r="AK279" s="161"/>
      <c r="AL279" s="161"/>
      <c r="AM279" s="161"/>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row>
    <row r="280" spans="37:70">
      <c r="AK280" s="161"/>
      <c r="AL280" s="161"/>
      <c r="AM280" s="161"/>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row>
    <row r="281" spans="37:70">
      <c r="AK281" s="161"/>
      <c r="AL281" s="161"/>
      <c r="AM281" s="161"/>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row>
    <row r="282" spans="37:70">
      <c r="AK282" s="161"/>
      <c r="AL282" s="161"/>
      <c r="AM282" s="161"/>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row>
    <row r="283" spans="37:70">
      <c r="AK283" s="161"/>
      <c r="AL283" s="161"/>
      <c r="AM283" s="161"/>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row>
    <row r="284" spans="37:70">
      <c r="AK284" s="161"/>
      <c r="AL284" s="161"/>
      <c r="AM284" s="161"/>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row>
    <row r="285" spans="37:70">
      <c r="AK285" s="161"/>
      <c r="AL285" s="161"/>
      <c r="AM285" s="161"/>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row>
    <row r="286" spans="37:70">
      <c r="AK286" s="161"/>
      <c r="AL286" s="161"/>
      <c r="AM286" s="161"/>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row>
    <row r="287" spans="37:70">
      <c r="AK287" s="161"/>
      <c r="AL287" s="161"/>
      <c r="AM287" s="161"/>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row>
    <row r="288" spans="37:70">
      <c r="AK288" s="161"/>
      <c r="AL288" s="161"/>
      <c r="AM288" s="161"/>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row>
    <row r="289" spans="37:70">
      <c r="AK289" s="161"/>
      <c r="AL289" s="161"/>
      <c r="AM289" s="161"/>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row>
    <row r="290" spans="37:70">
      <c r="AK290" s="161"/>
      <c r="AL290" s="161"/>
      <c r="AM290" s="161"/>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row>
    <row r="291" spans="37:70">
      <c r="AK291" s="161"/>
      <c r="AL291" s="161"/>
      <c r="AM291" s="161"/>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row>
    <row r="292" spans="37:70">
      <c r="AK292" s="161"/>
      <c r="AL292" s="161"/>
      <c r="AM292" s="161"/>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70">
      <c r="AK293" s="161"/>
      <c r="AL293" s="161"/>
      <c r="AM293" s="161"/>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70">
      <c r="AK294" s="161"/>
      <c r="AL294" s="161"/>
      <c r="AM294" s="161"/>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70">
      <c r="AK295" s="161"/>
      <c r="AL295" s="161"/>
      <c r="AM295" s="161"/>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row>
    <row r="296" spans="37:70">
      <c r="AK296" s="161"/>
      <c r="AL296" s="161"/>
      <c r="AM296" s="161"/>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row>
    <row r="297" spans="37:70">
      <c r="AK297" s="161"/>
      <c r="AL297" s="161"/>
      <c r="AM297" s="161"/>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row>
    <row r="298" spans="37:70">
      <c r="AK298" s="161"/>
      <c r="AL298" s="161"/>
      <c r="AM298" s="161"/>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row>
    <row r="299" spans="37:70">
      <c r="AK299" s="161"/>
      <c r="AL299" s="161"/>
      <c r="AM299" s="161"/>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row>
    <row r="300" spans="37:70">
      <c r="AK300" s="161"/>
      <c r="AL300" s="161"/>
      <c r="AM300" s="161"/>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row>
    <row r="301" spans="37:70">
      <c r="AK301" s="161"/>
      <c r="AL301" s="161"/>
      <c r="AM301" s="161"/>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row>
    <row r="302" spans="37:70">
      <c r="AK302" s="161"/>
      <c r="AL302" s="161"/>
      <c r="AM302" s="161"/>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row>
    <row r="303" spans="37:70">
      <c r="AK303" s="161"/>
      <c r="AL303" s="161"/>
      <c r="AM303" s="161"/>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row>
    <row r="304" spans="37:70">
      <c r="AK304" s="161"/>
      <c r="AL304" s="161"/>
      <c r="AM304" s="161"/>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row>
    <row r="305" spans="37:70">
      <c r="AK305" s="161"/>
      <c r="AL305" s="161"/>
      <c r="AM305" s="161"/>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row>
    <row r="306" spans="37:70">
      <c r="AK306" s="161"/>
      <c r="AL306" s="161"/>
      <c r="AM306" s="161"/>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row>
    <row r="307" spans="37:70">
      <c r="AK307" s="161"/>
      <c r="AL307" s="161"/>
      <c r="AM307" s="161"/>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row>
    <row r="308" spans="37:70">
      <c r="AK308" s="161"/>
      <c r="AL308" s="161"/>
      <c r="AM308" s="161"/>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row>
    <row r="309" spans="37:70">
      <c r="AK309" s="161"/>
      <c r="AL309" s="161"/>
      <c r="AM309" s="161"/>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row>
    <row r="310" spans="37:70">
      <c r="AK310" s="161"/>
      <c r="AL310" s="161"/>
      <c r="AM310" s="161"/>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row>
    <row r="311" spans="37:70">
      <c r="AK311" s="161"/>
      <c r="AL311" s="161"/>
      <c r="AM311" s="161"/>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row>
    <row r="312" spans="37:70">
      <c r="AK312" s="161"/>
      <c r="AL312" s="161"/>
      <c r="AM312" s="161"/>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row>
    <row r="313" spans="37:70">
      <c r="AK313" s="161"/>
      <c r="AL313" s="161"/>
      <c r="AM313" s="161"/>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row>
    <row r="314" spans="37:70">
      <c r="AK314" s="161"/>
      <c r="AL314" s="161"/>
      <c r="AM314" s="161"/>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row>
    <row r="315" spans="37:70">
      <c r="AK315" s="161"/>
      <c r="AL315" s="161"/>
      <c r="AM315" s="161"/>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row>
    <row r="316" spans="37:70">
      <c r="AK316" s="161"/>
      <c r="AL316" s="161"/>
      <c r="AM316" s="161"/>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row>
    <row r="317" spans="37:70">
      <c r="AK317" s="161"/>
      <c r="AL317" s="161"/>
      <c r="AM317" s="161"/>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row>
    <row r="318" spans="37:70">
      <c r="AK318" s="161"/>
      <c r="AL318" s="161"/>
      <c r="AM318" s="161"/>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row>
    <row r="319" spans="37:70">
      <c r="AK319" s="161"/>
      <c r="AL319" s="161"/>
      <c r="AM319" s="161"/>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row>
    <row r="320" spans="37:70">
      <c r="AK320" s="161"/>
      <c r="AL320" s="161"/>
      <c r="AM320" s="161"/>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row>
    <row r="321" spans="37:70">
      <c r="AK321" s="161"/>
      <c r="AL321" s="161"/>
      <c r="AM321" s="161"/>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row>
    <row r="322" spans="37:70">
      <c r="AK322" s="161"/>
      <c r="AL322" s="161"/>
      <c r="AM322" s="161"/>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row>
    <row r="323" spans="37:70">
      <c r="AK323" s="161"/>
      <c r="AL323" s="161"/>
      <c r="AM323" s="161"/>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row>
    <row r="324" spans="37:70">
      <c r="AK324" s="161"/>
      <c r="AL324" s="161"/>
      <c r="AM324" s="161"/>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row>
    <row r="325" spans="37:70">
      <c r="AK325" s="161"/>
      <c r="AL325" s="161"/>
      <c r="AM325" s="161"/>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row>
    <row r="326" spans="37:70">
      <c r="AK326" s="161"/>
      <c r="AL326" s="161"/>
      <c r="AM326" s="161"/>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row>
    <row r="327" spans="37:70">
      <c r="AK327" s="161"/>
      <c r="AL327" s="161"/>
      <c r="AM327" s="161"/>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row>
    <row r="328" spans="37:70">
      <c r="AK328" s="161"/>
      <c r="AL328" s="161"/>
      <c r="AM328" s="161"/>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row>
    <row r="329" spans="37:70">
      <c r="AK329" s="161"/>
      <c r="AL329" s="161"/>
      <c r="AM329" s="161"/>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row>
    <row r="330" spans="37:70">
      <c r="AK330" s="161"/>
      <c r="AL330" s="161"/>
      <c r="AM330" s="161"/>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row>
    <row r="331" spans="37:70">
      <c r="AK331" s="161"/>
      <c r="AL331" s="161"/>
      <c r="AM331" s="161"/>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row>
    <row r="332" spans="37:70">
      <c r="AK332" s="161"/>
      <c r="AL332" s="161"/>
      <c r="AM332" s="161"/>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row>
    <row r="333" spans="37:70">
      <c r="AK333" s="161"/>
      <c r="AL333" s="161"/>
      <c r="AM333" s="161"/>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row>
    <row r="334" spans="37:70">
      <c r="AK334" s="161"/>
      <c r="AL334" s="161"/>
      <c r="AM334" s="161"/>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row>
    <row r="335" spans="37:70">
      <c r="AK335" s="161"/>
      <c r="AL335" s="161"/>
      <c r="AM335" s="161"/>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row>
    <row r="336" spans="37:70">
      <c r="AK336" s="161"/>
      <c r="AL336" s="161"/>
      <c r="AM336" s="161"/>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row>
    <row r="337" spans="37:70">
      <c r="AK337" s="161"/>
      <c r="AL337" s="161"/>
      <c r="AM337" s="161"/>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row>
    <row r="338" spans="37:70">
      <c r="AK338" s="161"/>
      <c r="AL338" s="161"/>
      <c r="AM338" s="161"/>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row>
    <row r="339" spans="37:70">
      <c r="AK339" s="161"/>
      <c r="AL339" s="161"/>
      <c r="AM339" s="161"/>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row>
    <row r="340" spans="37:70">
      <c r="AK340" s="161"/>
      <c r="AL340" s="161"/>
      <c r="AM340" s="161"/>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row>
    <row r="341" spans="37:70">
      <c r="AK341" s="161"/>
      <c r="AL341" s="161"/>
      <c r="AM341" s="161"/>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row>
    <row r="342" spans="37:70">
      <c r="AK342" s="161"/>
      <c r="AL342" s="161"/>
      <c r="AM342" s="161"/>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row>
    <row r="343" spans="37:70">
      <c r="AK343" s="161"/>
      <c r="AL343" s="161"/>
      <c r="AM343" s="161"/>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row>
    <row r="344" spans="37:70">
      <c r="AK344" s="161"/>
      <c r="AL344" s="161"/>
      <c r="AM344" s="161"/>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row>
    <row r="345" spans="37:70">
      <c r="AK345" s="161"/>
      <c r="AL345" s="161"/>
      <c r="AM345" s="161"/>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row>
    <row r="346" spans="37:70">
      <c r="AK346" s="161"/>
      <c r="AL346" s="161"/>
      <c r="AM346" s="161"/>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row>
    <row r="347" spans="37:70">
      <c r="AK347" s="161"/>
      <c r="AL347" s="161"/>
      <c r="AM347" s="161"/>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row>
    <row r="348" spans="37:70">
      <c r="AK348" s="161"/>
      <c r="AL348" s="161"/>
      <c r="AM348" s="161"/>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row>
    <row r="349" spans="37:70">
      <c r="AK349" s="161"/>
      <c r="AL349" s="161"/>
      <c r="AM349" s="161"/>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row>
    <row r="350" spans="37:70">
      <c r="AK350" s="161"/>
      <c r="AL350" s="161"/>
      <c r="AM350" s="161"/>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row>
    <row r="351" spans="37:70">
      <c r="AK351" s="161"/>
      <c r="AL351" s="161"/>
      <c r="AM351" s="161"/>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row>
    <row r="352" spans="37:70">
      <c r="AK352" s="161"/>
      <c r="AL352" s="161"/>
      <c r="AM352" s="161"/>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row>
    <row r="353" spans="37:70">
      <c r="AK353" s="161"/>
      <c r="AL353" s="161"/>
      <c r="AM353" s="161"/>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row>
    <row r="354" spans="37:70">
      <c r="AK354" s="161"/>
      <c r="AL354" s="161"/>
      <c r="AM354" s="161"/>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row>
    <row r="355" spans="37:70">
      <c r="AK355" s="161"/>
      <c r="AL355" s="161"/>
      <c r="AM355" s="161"/>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row>
    <row r="356" spans="37:70">
      <c r="AK356" s="161"/>
      <c r="AL356" s="161"/>
      <c r="AM356" s="161"/>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row>
    <row r="357" spans="37:70">
      <c r="AK357" s="161"/>
      <c r="AL357" s="161"/>
      <c r="AM357" s="161"/>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row>
    <row r="358" spans="37:70">
      <c r="AK358" s="161"/>
      <c r="AL358" s="161"/>
      <c r="AM358" s="161"/>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row>
    <row r="359" spans="37:70">
      <c r="AK359" s="161"/>
      <c r="AL359" s="161"/>
      <c r="AM359" s="161"/>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row>
    <row r="360" spans="37:70">
      <c r="AK360" s="161"/>
      <c r="AL360" s="161"/>
      <c r="AM360" s="161"/>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row>
    <row r="361" spans="37:70">
      <c r="AK361" s="161"/>
      <c r="AL361" s="161"/>
      <c r="AM361" s="161"/>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row>
    <row r="362" spans="37:70">
      <c r="AK362" s="161"/>
      <c r="AL362" s="161"/>
      <c r="AM362" s="161"/>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row>
    <row r="363" spans="37:70">
      <c r="AK363" s="161"/>
      <c r="AL363" s="161"/>
      <c r="AM363" s="161"/>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row>
    <row r="364" spans="37:70">
      <c r="AK364" s="161"/>
      <c r="AL364" s="161"/>
      <c r="AM364" s="161"/>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row>
    <row r="365" spans="37:70">
      <c r="AK365" s="161"/>
      <c r="AL365" s="161"/>
      <c r="AM365" s="161"/>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row>
    <row r="366" spans="37:70">
      <c r="AK366" s="161"/>
      <c r="AL366" s="161"/>
      <c r="AM366" s="161"/>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row>
    <row r="367" spans="37:70">
      <c r="AK367" s="161"/>
      <c r="AL367" s="161"/>
      <c r="AM367" s="161"/>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row>
    <row r="368" spans="37:70">
      <c r="AK368" s="161"/>
      <c r="AL368" s="161"/>
      <c r="AM368" s="161"/>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row>
    <row r="369" spans="37:70">
      <c r="AK369" s="161"/>
      <c r="AL369" s="161"/>
      <c r="AM369" s="161"/>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row>
    <row r="370" spans="37:70">
      <c r="AK370" s="161"/>
      <c r="AL370" s="161"/>
      <c r="AM370" s="161"/>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row>
    <row r="371" spans="37:70">
      <c r="AK371" s="161"/>
      <c r="AL371" s="161"/>
      <c r="AM371" s="161"/>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row>
    <row r="372" spans="37:70">
      <c r="AK372" s="161"/>
      <c r="AL372" s="161"/>
      <c r="AM372" s="161"/>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row>
    <row r="373" spans="37:70">
      <c r="AK373" s="161"/>
      <c r="AL373" s="161"/>
      <c r="AM373" s="161"/>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row>
    <row r="374" spans="37:70">
      <c r="AK374" s="161"/>
      <c r="AL374" s="161"/>
      <c r="AM374" s="161"/>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row>
    <row r="375" spans="37:70">
      <c r="AK375" s="161"/>
      <c r="AL375" s="161"/>
      <c r="AM375" s="161"/>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row>
    <row r="376" spans="37:70">
      <c r="AK376" s="161"/>
      <c r="AL376" s="161"/>
      <c r="AM376" s="161"/>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row>
    <row r="377" spans="37:70">
      <c r="AK377" s="161"/>
      <c r="AL377" s="161"/>
      <c r="AM377" s="161"/>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row>
    <row r="378" spans="37:70">
      <c r="AK378" s="161"/>
      <c r="AL378" s="161"/>
      <c r="AM378" s="161"/>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row>
    <row r="379" spans="37:70">
      <c r="AK379" s="161"/>
      <c r="AL379" s="161"/>
      <c r="AM379" s="161"/>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row>
    <row r="380" spans="37:70">
      <c r="AK380" s="161"/>
      <c r="AL380" s="161"/>
      <c r="AM380" s="161"/>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row>
    <row r="381" spans="37:70">
      <c r="AK381" s="161"/>
      <c r="AL381" s="161"/>
      <c r="AM381" s="161"/>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row>
    <row r="382" spans="37:70">
      <c r="AK382" s="161"/>
      <c r="AL382" s="161"/>
      <c r="AM382" s="161"/>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row>
    <row r="383" spans="37:70">
      <c r="AK383" s="161"/>
      <c r="AL383" s="161"/>
      <c r="AM383" s="161"/>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row>
    <row r="384" spans="37:70">
      <c r="AK384" s="161"/>
      <c r="AL384" s="161"/>
      <c r="AM384" s="161"/>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row>
    <row r="385" spans="37:70">
      <c r="AK385" s="161"/>
      <c r="AL385" s="161"/>
      <c r="AM385" s="161"/>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row>
    <row r="386" spans="37:70">
      <c r="AK386" s="161"/>
      <c r="AL386" s="161"/>
      <c r="AM386" s="161"/>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row>
    <row r="387" spans="37:70">
      <c r="AK387" s="161"/>
      <c r="AL387" s="161"/>
      <c r="AM387" s="161"/>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row>
    <row r="388" spans="37:70">
      <c r="AK388" s="161"/>
      <c r="AL388" s="161"/>
      <c r="AM388" s="161"/>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row>
    <row r="389" spans="37:70">
      <c r="AK389" s="161"/>
      <c r="AL389" s="161"/>
      <c r="AM389" s="161"/>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row>
    <row r="390" spans="37:70">
      <c r="AK390" s="161"/>
      <c r="AL390" s="161"/>
      <c r="AM390" s="161"/>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row>
    <row r="391" spans="37:70">
      <c r="AK391" s="161"/>
      <c r="AL391" s="161"/>
      <c r="AM391" s="161"/>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row>
    <row r="392" spans="37:70">
      <c r="AK392" s="161"/>
      <c r="AL392" s="161"/>
      <c r="AM392" s="161"/>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row>
    <row r="393" spans="37:70">
      <c r="AK393" s="161"/>
      <c r="AL393" s="161"/>
      <c r="AM393" s="161"/>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row>
    <row r="394" spans="37:70">
      <c r="AK394" s="161"/>
      <c r="AL394" s="161"/>
      <c r="AM394" s="161"/>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row>
    <row r="395" spans="37:70">
      <c r="AK395" s="161"/>
      <c r="AL395" s="161"/>
      <c r="AM395" s="161"/>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row>
    <row r="396" spans="37:70">
      <c r="AK396" s="161"/>
      <c r="AL396" s="161"/>
      <c r="AM396" s="161"/>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row>
    <row r="397" spans="37:70">
      <c r="AK397" s="161"/>
      <c r="AL397" s="161"/>
      <c r="AM397" s="161"/>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row>
    <row r="398" spans="37:70">
      <c r="AK398" s="161"/>
      <c r="AL398" s="161"/>
      <c r="AM398" s="161"/>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row>
    <row r="399" spans="37:70">
      <c r="AK399" s="161"/>
      <c r="AL399" s="161"/>
      <c r="AM399" s="161"/>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row>
    <row r="400" spans="37:70">
      <c r="AK400" s="161"/>
      <c r="AL400" s="161"/>
      <c r="AM400" s="161"/>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row>
    <row r="401" spans="37:70">
      <c r="AK401" s="161"/>
      <c r="AL401" s="161"/>
      <c r="AM401" s="161"/>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row>
    <row r="402" spans="37:70">
      <c r="AK402" s="161"/>
      <c r="AL402" s="161"/>
      <c r="AM402" s="161"/>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row>
    <row r="403" spans="37:70">
      <c r="AK403" s="161"/>
      <c r="AL403" s="161"/>
      <c r="AM403" s="161"/>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row>
    <row r="404" spans="37:70">
      <c r="AK404" s="161"/>
      <c r="AL404" s="161"/>
      <c r="AM404" s="161"/>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row>
    <row r="405" spans="37:70">
      <c r="AK405" s="161"/>
      <c r="AL405" s="161"/>
      <c r="AM405" s="161"/>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row>
    <row r="406" spans="37:70">
      <c r="AK406" s="161"/>
      <c r="AL406" s="161"/>
      <c r="AM406" s="161"/>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row>
    <row r="407" spans="37:70">
      <c r="AK407" s="161"/>
      <c r="AL407" s="161"/>
      <c r="AM407" s="161"/>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row>
    <row r="408" spans="37:70">
      <c r="AK408" s="161"/>
      <c r="AL408" s="161"/>
      <c r="AM408" s="161"/>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row>
    <row r="409" spans="37:70">
      <c r="AK409" s="161"/>
      <c r="AL409" s="161"/>
      <c r="AM409" s="161"/>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row>
    <row r="410" spans="37:70">
      <c r="AK410" s="161"/>
      <c r="AL410" s="161"/>
      <c r="AM410" s="161"/>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row>
    <row r="411" spans="37:70">
      <c r="AK411" s="161"/>
      <c r="AL411" s="161"/>
      <c r="AM411" s="161"/>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row>
    <row r="412" spans="37:70">
      <c r="AK412" s="161"/>
      <c r="AL412" s="161"/>
      <c r="AM412" s="161"/>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row>
    <row r="413" spans="37:70">
      <c r="AK413" s="161"/>
      <c r="AL413" s="161"/>
      <c r="AM413" s="161"/>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row>
    <row r="414" spans="37:70">
      <c r="AK414" s="161"/>
      <c r="AL414" s="161"/>
      <c r="AM414" s="161"/>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row>
    <row r="415" spans="37:70">
      <c r="AK415" s="161"/>
      <c r="AL415" s="161"/>
      <c r="AM415" s="161"/>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row>
    <row r="416" spans="37:70">
      <c r="AK416" s="161"/>
      <c r="AL416" s="161"/>
      <c r="AM416" s="161"/>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row>
    <row r="417" spans="37:70">
      <c r="AK417" s="161"/>
      <c r="AL417" s="161"/>
      <c r="AM417" s="161"/>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row>
    <row r="418" spans="37:70">
      <c r="AK418" s="161"/>
      <c r="AL418" s="161"/>
      <c r="AM418" s="161"/>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row>
    <row r="419" spans="37:70">
      <c r="AK419" s="161"/>
      <c r="AL419" s="161"/>
      <c r="AM419" s="161"/>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row>
    <row r="420" spans="37:70">
      <c r="AK420" s="161"/>
      <c r="AL420" s="161"/>
      <c r="AM420" s="161"/>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row>
    <row r="421" spans="37:70">
      <c r="AK421" s="161"/>
      <c r="AL421" s="161"/>
      <c r="AM421" s="161"/>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row>
    <row r="422" spans="37:70">
      <c r="AK422" s="161"/>
      <c r="AL422" s="161"/>
      <c r="AM422" s="161"/>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row>
    <row r="423" spans="37:70">
      <c r="AK423" s="161"/>
      <c r="AL423" s="161"/>
      <c r="AM423" s="161"/>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row>
    <row r="424" spans="37:70">
      <c r="AK424" s="161"/>
      <c r="AL424" s="161"/>
      <c r="AM424" s="161"/>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row>
    <row r="425" spans="37:70">
      <c r="AK425" s="161"/>
      <c r="AL425" s="161"/>
      <c r="AM425" s="161"/>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row>
    <row r="426" spans="37:70">
      <c r="AK426" s="161"/>
      <c r="AL426" s="161"/>
      <c r="AM426" s="161"/>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row>
    <row r="427" spans="37:70">
      <c r="AK427" s="161"/>
      <c r="AL427" s="161"/>
      <c r="AM427" s="161"/>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row>
    <row r="428" spans="37:70">
      <c r="AK428" s="161"/>
      <c r="AL428" s="161"/>
      <c r="AM428" s="161"/>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row>
    <row r="429" spans="37:70">
      <c r="AK429" s="161"/>
      <c r="AL429" s="161"/>
      <c r="AM429" s="161"/>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row>
    <row r="430" spans="37:70">
      <c r="AK430" s="161"/>
      <c r="AL430" s="161"/>
      <c r="AM430" s="161"/>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row>
    <row r="431" spans="37:70">
      <c r="AK431" s="161"/>
      <c r="AL431" s="161"/>
      <c r="AM431" s="161"/>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row>
    <row r="432" spans="37:70">
      <c r="AK432" s="161"/>
      <c r="AL432" s="161"/>
      <c r="AM432" s="161"/>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row>
    <row r="433" spans="37:70">
      <c r="AK433" s="161"/>
      <c r="AL433" s="161"/>
      <c r="AM433" s="161"/>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row>
    <row r="434" spans="37:70">
      <c r="AK434" s="161"/>
      <c r="AL434" s="161"/>
      <c r="AM434" s="161"/>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row>
    <row r="435" spans="37:70">
      <c r="AK435" s="161"/>
      <c r="AL435" s="161"/>
      <c r="AM435" s="161"/>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row>
    <row r="436" spans="37:70">
      <c r="AK436" s="161"/>
      <c r="AL436" s="161"/>
      <c r="AM436" s="161"/>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row>
    <row r="437" spans="37:70">
      <c r="AK437" s="161"/>
      <c r="AL437" s="161"/>
      <c r="AM437" s="161"/>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row>
    <row r="438" spans="37:70">
      <c r="AK438" s="161"/>
      <c r="AL438" s="161"/>
      <c r="AM438" s="161"/>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row>
    <row r="439" spans="37:70">
      <c r="AK439" s="161"/>
      <c r="AL439" s="161"/>
      <c r="AM439" s="161"/>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row>
    <row r="440" spans="37:70">
      <c r="AK440" s="161"/>
      <c r="AL440" s="161"/>
      <c r="AM440" s="161"/>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row>
    <row r="441" spans="37:70">
      <c r="AK441" s="161"/>
      <c r="AL441" s="161"/>
      <c r="AM441" s="161"/>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row>
    <row r="442" spans="37:70">
      <c r="AK442" s="161"/>
      <c r="AL442" s="161"/>
      <c r="AM442" s="161"/>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row>
    <row r="443" spans="37:70">
      <c r="AK443" s="161"/>
      <c r="AL443" s="161"/>
      <c r="AM443" s="161"/>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row>
    <row r="444" spans="37:70">
      <c r="AK444" s="161"/>
      <c r="AL444" s="161"/>
      <c r="AM444" s="161"/>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row>
    <row r="445" spans="37:70">
      <c r="AK445" s="161"/>
      <c r="AL445" s="161"/>
      <c r="AM445" s="161"/>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row>
    <row r="446" spans="37:70">
      <c r="AK446" s="161"/>
      <c r="AL446" s="161"/>
      <c r="AM446" s="161"/>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row>
    <row r="447" spans="37:70">
      <c r="AK447" s="161"/>
      <c r="AL447" s="161"/>
      <c r="AM447" s="161"/>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row>
    <row r="448" spans="37:70">
      <c r="AK448" s="161"/>
      <c r="AL448" s="161"/>
      <c r="AM448" s="161"/>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row>
    <row r="449" spans="37:70">
      <c r="AK449" s="161"/>
      <c r="AL449" s="161"/>
      <c r="AM449" s="161"/>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row>
    <row r="450" spans="37:70">
      <c r="AK450" s="161"/>
      <c r="AL450" s="161"/>
      <c r="AM450" s="161"/>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row>
    <row r="451" spans="37:70">
      <c r="AK451" s="161"/>
      <c r="AL451" s="161"/>
      <c r="AM451" s="161"/>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row>
    <row r="452" spans="37:70">
      <c r="AK452" s="161"/>
      <c r="AL452" s="161"/>
      <c r="AM452" s="161"/>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row>
    <row r="453" spans="37:70">
      <c r="AK453" s="161"/>
      <c r="AL453" s="161"/>
      <c r="AM453" s="161"/>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row>
    <row r="454" spans="37:70">
      <c r="AK454" s="161"/>
      <c r="AL454" s="161"/>
      <c r="AM454" s="161"/>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row>
    <row r="455" spans="37:70">
      <c r="AK455" s="161"/>
      <c r="AL455" s="161"/>
      <c r="AM455" s="161"/>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row>
    <row r="456" spans="37:70">
      <c r="AK456" s="161"/>
      <c r="AL456" s="161"/>
      <c r="AM456" s="161"/>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row>
    <row r="457" spans="37:70">
      <c r="AK457" s="161"/>
      <c r="AL457" s="161"/>
      <c r="AM457" s="161"/>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row>
    <row r="458" spans="37:70">
      <c r="AK458" s="161"/>
      <c r="AL458" s="161"/>
      <c r="AM458" s="161"/>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row>
    <row r="459" spans="37:70">
      <c r="AK459" s="161"/>
      <c r="AL459" s="161"/>
      <c r="AM459" s="161"/>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row>
    <row r="460" spans="37:70">
      <c r="AK460" s="161"/>
      <c r="AL460" s="161"/>
      <c r="AM460" s="161"/>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row>
    <row r="461" spans="37:70">
      <c r="AK461" s="161"/>
      <c r="AL461" s="161"/>
      <c r="AM461" s="161"/>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row>
    <row r="462" spans="37:70">
      <c r="AK462" s="161"/>
      <c r="AL462" s="161"/>
      <c r="AM462" s="161"/>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row>
    <row r="463" spans="37:70">
      <c r="AK463" s="161"/>
      <c r="AL463" s="161"/>
      <c r="AM463" s="161"/>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row>
    <row r="464" spans="37:70">
      <c r="AK464" s="161"/>
      <c r="AL464" s="161"/>
      <c r="AM464" s="161"/>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row>
    <row r="465" spans="37:70">
      <c r="AK465" s="161"/>
      <c r="AL465" s="161"/>
      <c r="AM465" s="161"/>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row>
    <row r="466" spans="37:70">
      <c r="AK466" s="161"/>
      <c r="AL466" s="161"/>
      <c r="AM466" s="161"/>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row>
    <row r="467" spans="37:70">
      <c r="AK467" s="161"/>
      <c r="AL467" s="161"/>
      <c r="AM467" s="161"/>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row>
    <row r="468" spans="37:70">
      <c r="AK468" s="161"/>
      <c r="AL468" s="161"/>
      <c r="AM468" s="161"/>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row>
    <row r="469" spans="37:70">
      <c r="AK469" s="161"/>
      <c r="AL469" s="161"/>
      <c r="AM469" s="161"/>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row>
    <row r="470" spans="37:70">
      <c r="AK470" s="161"/>
      <c r="AL470" s="161"/>
      <c r="AM470" s="161"/>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row>
    <row r="471" spans="37:70">
      <c r="AK471" s="161"/>
      <c r="AL471" s="161"/>
      <c r="AM471" s="161"/>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row>
    <row r="472" spans="37:70">
      <c r="AK472" s="161"/>
      <c r="AL472" s="161"/>
      <c r="AM472" s="161"/>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row>
    <row r="473" spans="37:70">
      <c r="AK473" s="161"/>
      <c r="AL473" s="161"/>
      <c r="AM473" s="161"/>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row>
    <row r="474" spans="37:70">
      <c r="AK474" s="161"/>
      <c r="AL474" s="161"/>
      <c r="AM474" s="161"/>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row>
    <row r="475" spans="37:70">
      <c r="AK475" s="161"/>
      <c r="AL475" s="161"/>
      <c r="AM475" s="161"/>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row>
    <row r="476" spans="37:70">
      <c r="AK476" s="161"/>
      <c r="AL476" s="161"/>
      <c r="AM476" s="161"/>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row>
    <row r="477" spans="37:70">
      <c r="AK477" s="161"/>
      <c r="AL477" s="161"/>
      <c r="AM477" s="161"/>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row>
    <row r="478" spans="37:70">
      <c r="AK478" s="161"/>
      <c r="AL478" s="161"/>
      <c r="AM478" s="161"/>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row>
    <row r="479" spans="37:70">
      <c r="AK479" s="161"/>
      <c r="AL479" s="161"/>
      <c r="AM479" s="161"/>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row>
    <row r="480" spans="37:70">
      <c r="AK480" s="161"/>
      <c r="AL480" s="161"/>
      <c r="AM480" s="161"/>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row>
    <row r="481" spans="37:70">
      <c r="AK481" s="161"/>
      <c r="AL481" s="161"/>
      <c r="AM481" s="161"/>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row>
    <row r="482" spans="37:70">
      <c r="AK482" s="161"/>
      <c r="AL482" s="161"/>
      <c r="AM482" s="161"/>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row>
    <row r="483" spans="37:70">
      <c r="AK483" s="161"/>
      <c r="AL483" s="161"/>
      <c r="AM483" s="161"/>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row>
    <row r="484" spans="37:70">
      <c r="AK484" s="161"/>
      <c r="AL484" s="161"/>
      <c r="AM484" s="161"/>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row>
    <row r="485" spans="37:70">
      <c r="AK485" s="161"/>
      <c r="AL485" s="161"/>
      <c r="AM485" s="161"/>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row>
    <row r="486" spans="37:70">
      <c r="AK486" s="161"/>
      <c r="AL486" s="161"/>
      <c r="AM486" s="161"/>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row>
    <row r="487" spans="37:70">
      <c r="AK487" s="161"/>
      <c r="AL487" s="161"/>
      <c r="AM487" s="161"/>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row>
    <row r="488" spans="37:70">
      <c r="AK488" s="161"/>
      <c r="AL488" s="161"/>
      <c r="AM488" s="161"/>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row>
    <row r="489" spans="37:70">
      <c r="AK489" s="161"/>
      <c r="AL489" s="161"/>
      <c r="AM489" s="161"/>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row>
    <row r="490" spans="37:70">
      <c r="AK490" s="161"/>
      <c r="AL490" s="161"/>
      <c r="AM490" s="161"/>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row>
    <row r="491" spans="37:70">
      <c r="AK491" s="161"/>
      <c r="AL491" s="161"/>
      <c r="AM491" s="161"/>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row>
    <row r="492" spans="37:70">
      <c r="AK492" s="161"/>
      <c r="AL492" s="161"/>
      <c r="AM492" s="161"/>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row>
    <row r="493" spans="37:70">
      <c r="AK493" s="161"/>
      <c r="AL493" s="161"/>
      <c r="AM493" s="161"/>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row>
    <row r="494" spans="37:70">
      <c r="AK494" s="161"/>
      <c r="AL494" s="161"/>
      <c r="AM494" s="161"/>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row>
    <row r="495" spans="37:70">
      <c r="AK495" s="161"/>
      <c r="AL495" s="161"/>
      <c r="AM495" s="161"/>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row>
    <row r="496" spans="37:70">
      <c r="AK496" s="161"/>
      <c r="AL496" s="161"/>
      <c r="AM496" s="161"/>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row>
    <row r="497" spans="37:70">
      <c r="AK497" s="161"/>
      <c r="AL497" s="161"/>
      <c r="AM497" s="161"/>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row>
    <row r="498" spans="37:70">
      <c r="AK498" s="161"/>
      <c r="AL498" s="161"/>
      <c r="AM498" s="161"/>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row>
    <row r="499" spans="37:70">
      <c r="AK499" s="161"/>
      <c r="AL499" s="161"/>
      <c r="AM499" s="161"/>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row>
    <row r="500" spans="37:70">
      <c r="AK500" s="161"/>
      <c r="AL500" s="161"/>
      <c r="AM500" s="161"/>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row>
    <row r="501" spans="37:70">
      <c r="AK501" s="161"/>
      <c r="AL501" s="161"/>
      <c r="AM501" s="161"/>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row>
    <row r="502" spans="37:70">
      <c r="AK502" s="161"/>
      <c r="AL502" s="161"/>
      <c r="AM502" s="161"/>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row>
    <row r="503" spans="37:70">
      <c r="AK503" s="161"/>
      <c r="AL503" s="161"/>
      <c r="AM503" s="161"/>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row>
  </sheetData>
  <mergeCells count="9">
    <mergeCell ref="S5:U5"/>
    <mergeCell ref="Z5:AB5"/>
    <mergeCell ref="BO5:BR5"/>
    <mergeCell ref="BC64:BI64"/>
    <mergeCell ref="BC66:BI66"/>
    <mergeCell ref="AG5:AI5"/>
    <mergeCell ref="AO5:AR5"/>
    <mergeCell ref="AW5:BA5"/>
    <mergeCell ref="BF5:BI5"/>
  </mergeCells>
  <pageMargins left="0.7" right="0.7" top="0.75" bottom="0.75" header="0.3" footer="0.3"/>
  <pageSetup paperSize="9" orientation="portrait" r:id="rId1"/>
  <ignoredErrors>
    <ignoredError sqref="N12:N16 N27:N33 N41:N45 F12:F15 F28:F34 F44:F47" formula="1"/>
  </ignoredErrors>
</worksheet>
</file>

<file path=xl/worksheets/sheet21.xml><?xml version="1.0" encoding="utf-8"?>
<worksheet xmlns="http://schemas.openxmlformats.org/spreadsheetml/2006/main" xmlns:r="http://schemas.openxmlformats.org/officeDocument/2006/relationships">
  <sheetPr>
    <tabColor theme="9" tint="-0.499984740745262"/>
    <pageSetUpPr fitToPage="1"/>
  </sheetPr>
  <dimension ref="A2:M441"/>
  <sheetViews>
    <sheetView workbookViewId="0">
      <selection activeCell="J25" sqref="J25:K25"/>
    </sheetView>
  </sheetViews>
  <sheetFormatPr baseColWidth="10" defaultRowHeight="15"/>
  <cols>
    <col min="1" max="1" width="25.42578125" customWidth="1"/>
    <col min="2" max="2" width="13.28515625" style="191" customWidth="1"/>
    <col min="3" max="3" width="32.28515625" customWidth="1"/>
    <col min="4" max="4" width="23.85546875" customWidth="1"/>
    <col min="6" max="7" width="13.7109375" customWidth="1"/>
    <col min="8" max="9" width="15.7109375" customWidth="1"/>
    <col min="10" max="10" width="17.85546875" customWidth="1"/>
    <col min="11" max="11" width="18.85546875" customWidth="1"/>
    <col min="12" max="12" width="14" customWidth="1"/>
    <col min="13" max="13" width="17" customWidth="1"/>
    <col min="250" max="250" width="35.28515625" customWidth="1"/>
    <col min="251" max="251" width="29.42578125" customWidth="1"/>
    <col min="252" max="252" width="12.85546875" customWidth="1"/>
    <col min="255" max="255" width="16.42578125" bestFit="1" customWidth="1"/>
    <col min="506" max="506" width="35.28515625" customWidth="1"/>
    <col min="507" max="507" width="29.42578125" customWidth="1"/>
    <col min="508" max="508" width="12.85546875" customWidth="1"/>
    <col min="511" max="511" width="16.42578125" bestFit="1" customWidth="1"/>
    <col min="762" max="762" width="35.28515625" customWidth="1"/>
    <col min="763" max="763" width="29.42578125" customWidth="1"/>
    <col min="764" max="764" width="12.85546875" customWidth="1"/>
    <col min="767" max="767" width="16.42578125" bestFit="1" customWidth="1"/>
    <col min="1018" max="1018" width="35.28515625" customWidth="1"/>
    <col min="1019" max="1019" width="29.42578125" customWidth="1"/>
    <col min="1020" max="1020" width="12.85546875" customWidth="1"/>
    <col min="1023" max="1023" width="16.42578125" bestFit="1" customWidth="1"/>
    <col min="1274" max="1274" width="35.28515625" customWidth="1"/>
    <col min="1275" max="1275" width="29.42578125" customWidth="1"/>
    <col min="1276" max="1276" width="12.85546875" customWidth="1"/>
    <col min="1279" max="1279" width="16.42578125" bestFit="1" customWidth="1"/>
    <col min="1530" max="1530" width="35.28515625" customWidth="1"/>
    <col min="1531" max="1531" width="29.42578125" customWidth="1"/>
    <col min="1532" max="1532" width="12.85546875" customWidth="1"/>
    <col min="1535" max="1535" width="16.42578125" bestFit="1" customWidth="1"/>
    <col min="1786" max="1786" width="35.28515625" customWidth="1"/>
    <col min="1787" max="1787" width="29.42578125" customWidth="1"/>
    <col min="1788" max="1788" width="12.85546875" customWidth="1"/>
    <col min="1791" max="1791" width="16.42578125" bestFit="1" customWidth="1"/>
    <col min="2042" max="2042" width="35.28515625" customWidth="1"/>
    <col min="2043" max="2043" width="29.42578125" customWidth="1"/>
    <col min="2044" max="2044" width="12.85546875" customWidth="1"/>
    <col min="2047" max="2047" width="16.42578125" bestFit="1" customWidth="1"/>
    <col min="2298" max="2298" width="35.28515625" customWidth="1"/>
    <col min="2299" max="2299" width="29.42578125" customWidth="1"/>
    <col min="2300" max="2300" width="12.85546875" customWidth="1"/>
    <col min="2303" max="2303" width="16.42578125" bestFit="1" customWidth="1"/>
    <col min="2554" max="2554" width="35.28515625" customWidth="1"/>
    <col min="2555" max="2555" width="29.42578125" customWidth="1"/>
    <col min="2556" max="2556" width="12.85546875" customWidth="1"/>
    <col min="2559" max="2559" width="16.42578125" bestFit="1" customWidth="1"/>
    <col min="2810" max="2810" width="35.28515625" customWidth="1"/>
    <col min="2811" max="2811" width="29.42578125" customWidth="1"/>
    <col min="2812" max="2812" width="12.85546875" customWidth="1"/>
    <col min="2815" max="2815" width="16.42578125" bestFit="1" customWidth="1"/>
    <col min="3066" max="3066" width="35.28515625" customWidth="1"/>
    <col min="3067" max="3067" width="29.42578125" customWidth="1"/>
    <col min="3068" max="3068" width="12.85546875" customWidth="1"/>
    <col min="3071" max="3071" width="16.42578125" bestFit="1" customWidth="1"/>
    <col min="3322" max="3322" width="35.28515625" customWidth="1"/>
    <col min="3323" max="3323" width="29.42578125" customWidth="1"/>
    <col min="3324" max="3324" width="12.85546875" customWidth="1"/>
    <col min="3327" max="3327" width="16.42578125" bestFit="1" customWidth="1"/>
    <col min="3578" max="3578" width="35.28515625" customWidth="1"/>
    <col min="3579" max="3579" width="29.42578125" customWidth="1"/>
    <col min="3580" max="3580" width="12.85546875" customWidth="1"/>
    <col min="3583" max="3583" width="16.42578125" bestFit="1" customWidth="1"/>
    <col min="3834" max="3834" width="35.28515625" customWidth="1"/>
    <col min="3835" max="3835" width="29.42578125" customWidth="1"/>
    <col min="3836" max="3836" width="12.85546875" customWidth="1"/>
    <col min="3839" max="3839" width="16.42578125" bestFit="1" customWidth="1"/>
    <col min="4090" max="4090" width="35.28515625" customWidth="1"/>
    <col min="4091" max="4091" width="29.42578125" customWidth="1"/>
    <col min="4092" max="4092" width="12.85546875" customWidth="1"/>
    <col min="4095" max="4095" width="16.42578125" bestFit="1" customWidth="1"/>
    <col min="4346" max="4346" width="35.28515625" customWidth="1"/>
    <col min="4347" max="4347" width="29.42578125" customWidth="1"/>
    <col min="4348" max="4348" width="12.85546875" customWidth="1"/>
    <col min="4351" max="4351" width="16.42578125" bestFit="1" customWidth="1"/>
    <col min="4602" max="4602" width="35.28515625" customWidth="1"/>
    <col min="4603" max="4603" width="29.42578125" customWidth="1"/>
    <col min="4604" max="4604" width="12.85546875" customWidth="1"/>
    <col min="4607" max="4607" width="16.42578125" bestFit="1" customWidth="1"/>
    <col min="4858" max="4858" width="35.28515625" customWidth="1"/>
    <col min="4859" max="4859" width="29.42578125" customWidth="1"/>
    <col min="4860" max="4860" width="12.85546875" customWidth="1"/>
    <col min="4863" max="4863" width="16.42578125" bestFit="1" customWidth="1"/>
    <col min="5114" max="5114" width="35.28515625" customWidth="1"/>
    <col min="5115" max="5115" width="29.42578125" customWidth="1"/>
    <col min="5116" max="5116" width="12.85546875" customWidth="1"/>
    <col min="5119" max="5119" width="16.42578125" bestFit="1" customWidth="1"/>
    <col min="5370" max="5370" width="35.28515625" customWidth="1"/>
    <col min="5371" max="5371" width="29.42578125" customWidth="1"/>
    <col min="5372" max="5372" width="12.85546875" customWidth="1"/>
    <col min="5375" max="5375" width="16.42578125" bestFit="1" customWidth="1"/>
    <col min="5626" max="5626" width="35.28515625" customWidth="1"/>
    <col min="5627" max="5627" width="29.42578125" customWidth="1"/>
    <col min="5628" max="5628" width="12.85546875" customWidth="1"/>
    <col min="5631" max="5631" width="16.42578125" bestFit="1" customWidth="1"/>
    <col min="5882" max="5882" width="35.28515625" customWidth="1"/>
    <col min="5883" max="5883" width="29.42578125" customWidth="1"/>
    <col min="5884" max="5884" width="12.85546875" customWidth="1"/>
    <col min="5887" max="5887" width="16.42578125" bestFit="1" customWidth="1"/>
    <col min="6138" max="6138" width="35.28515625" customWidth="1"/>
    <col min="6139" max="6139" width="29.42578125" customWidth="1"/>
    <col min="6140" max="6140" width="12.85546875" customWidth="1"/>
    <col min="6143" max="6143" width="16.42578125" bestFit="1" customWidth="1"/>
    <col min="6394" max="6394" width="35.28515625" customWidth="1"/>
    <col min="6395" max="6395" width="29.42578125" customWidth="1"/>
    <col min="6396" max="6396" width="12.85546875" customWidth="1"/>
    <col min="6399" max="6399" width="16.42578125" bestFit="1" customWidth="1"/>
    <col min="6650" max="6650" width="35.28515625" customWidth="1"/>
    <col min="6651" max="6651" width="29.42578125" customWidth="1"/>
    <col min="6652" max="6652" width="12.85546875" customWidth="1"/>
    <col min="6655" max="6655" width="16.42578125" bestFit="1" customWidth="1"/>
    <col min="6906" max="6906" width="35.28515625" customWidth="1"/>
    <col min="6907" max="6907" width="29.42578125" customWidth="1"/>
    <col min="6908" max="6908" width="12.85546875" customWidth="1"/>
    <col min="6911" max="6911" width="16.42578125" bestFit="1" customWidth="1"/>
    <col min="7162" max="7162" width="35.28515625" customWidth="1"/>
    <col min="7163" max="7163" width="29.42578125" customWidth="1"/>
    <col min="7164" max="7164" width="12.85546875" customWidth="1"/>
    <col min="7167" max="7167" width="16.42578125" bestFit="1" customWidth="1"/>
    <col min="7418" max="7418" width="35.28515625" customWidth="1"/>
    <col min="7419" max="7419" width="29.42578125" customWidth="1"/>
    <col min="7420" max="7420" width="12.85546875" customWidth="1"/>
    <col min="7423" max="7423" width="16.42578125" bestFit="1" customWidth="1"/>
    <col min="7674" max="7674" width="35.28515625" customWidth="1"/>
    <col min="7675" max="7675" width="29.42578125" customWidth="1"/>
    <col min="7676" max="7676" width="12.85546875" customWidth="1"/>
    <col min="7679" max="7679" width="16.42578125" bestFit="1" customWidth="1"/>
    <col min="7930" max="7930" width="35.28515625" customWidth="1"/>
    <col min="7931" max="7931" width="29.42578125" customWidth="1"/>
    <col min="7932" max="7932" width="12.85546875" customWidth="1"/>
    <col min="7935" max="7935" width="16.42578125" bestFit="1" customWidth="1"/>
    <col min="8186" max="8186" width="35.28515625" customWidth="1"/>
    <col min="8187" max="8187" width="29.42578125" customWidth="1"/>
    <col min="8188" max="8188" width="12.85546875" customWidth="1"/>
    <col min="8191" max="8191" width="16.42578125" bestFit="1" customWidth="1"/>
    <col min="8442" max="8442" width="35.28515625" customWidth="1"/>
    <col min="8443" max="8443" width="29.42578125" customWidth="1"/>
    <col min="8444" max="8444" width="12.85546875" customWidth="1"/>
    <col min="8447" max="8447" width="16.42578125" bestFit="1" customWidth="1"/>
    <col min="8698" max="8698" width="35.28515625" customWidth="1"/>
    <col min="8699" max="8699" width="29.42578125" customWidth="1"/>
    <col min="8700" max="8700" width="12.85546875" customWidth="1"/>
    <col min="8703" max="8703" width="16.42578125" bestFit="1" customWidth="1"/>
    <col min="8954" max="8954" width="35.28515625" customWidth="1"/>
    <col min="8955" max="8955" width="29.42578125" customWidth="1"/>
    <col min="8956" max="8956" width="12.85546875" customWidth="1"/>
    <col min="8959" max="8959" width="16.42578125" bestFit="1" customWidth="1"/>
    <col min="9210" max="9210" width="35.28515625" customWidth="1"/>
    <col min="9211" max="9211" width="29.42578125" customWidth="1"/>
    <col min="9212" max="9212" width="12.85546875" customWidth="1"/>
    <col min="9215" max="9215" width="16.42578125" bestFit="1" customWidth="1"/>
    <col min="9466" max="9466" width="35.28515625" customWidth="1"/>
    <col min="9467" max="9467" width="29.42578125" customWidth="1"/>
    <col min="9468" max="9468" width="12.85546875" customWidth="1"/>
    <col min="9471" max="9471" width="16.42578125" bestFit="1" customWidth="1"/>
    <col min="9722" max="9722" width="35.28515625" customWidth="1"/>
    <col min="9723" max="9723" width="29.42578125" customWidth="1"/>
    <col min="9724" max="9724" width="12.85546875" customWidth="1"/>
    <col min="9727" max="9727" width="16.42578125" bestFit="1" customWidth="1"/>
    <col min="9978" max="9978" width="35.28515625" customWidth="1"/>
    <col min="9979" max="9979" width="29.42578125" customWidth="1"/>
    <col min="9980" max="9980" width="12.85546875" customWidth="1"/>
    <col min="9983" max="9983" width="16.42578125" bestFit="1" customWidth="1"/>
    <col min="10234" max="10234" width="35.28515625" customWidth="1"/>
    <col min="10235" max="10235" width="29.42578125" customWidth="1"/>
    <col min="10236" max="10236" width="12.85546875" customWidth="1"/>
    <col min="10239" max="10239" width="16.42578125" bestFit="1" customWidth="1"/>
    <col min="10490" max="10490" width="35.28515625" customWidth="1"/>
    <col min="10491" max="10491" width="29.42578125" customWidth="1"/>
    <col min="10492" max="10492" width="12.85546875" customWidth="1"/>
    <col min="10495" max="10495" width="16.42578125" bestFit="1" customWidth="1"/>
    <col min="10746" max="10746" width="35.28515625" customWidth="1"/>
    <col min="10747" max="10747" width="29.42578125" customWidth="1"/>
    <col min="10748" max="10748" width="12.85546875" customWidth="1"/>
    <col min="10751" max="10751" width="16.42578125" bestFit="1" customWidth="1"/>
    <col min="11002" max="11002" width="35.28515625" customWidth="1"/>
    <col min="11003" max="11003" width="29.42578125" customWidth="1"/>
    <col min="11004" max="11004" width="12.85546875" customWidth="1"/>
    <col min="11007" max="11007" width="16.42578125" bestFit="1" customWidth="1"/>
    <col min="11258" max="11258" width="35.28515625" customWidth="1"/>
    <col min="11259" max="11259" width="29.42578125" customWidth="1"/>
    <col min="11260" max="11260" width="12.85546875" customWidth="1"/>
    <col min="11263" max="11263" width="16.42578125" bestFit="1" customWidth="1"/>
    <col min="11514" max="11514" width="35.28515625" customWidth="1"/>
    <col min="11515" max="11515" width="29.42578125" customWidth="1"/>
    <col min="11516" max="11516" width="12.85546875" customWidth="1"/>
    <col min="11519" max="11519" width="16.42578125" bestFit="1" customWidth="1"/>
    <col min="11770" max="11770" width="35.28515625" customWidth="1"/>
    <col min="11771" max="11771" width="29.42578125" customWidth="1"/>
    <col min="11772" max="11772" width="12.85546875" customWidth="1"/>
    <col min="11775" max="11775" width="16.42578125" bestFit="1" customWidth="1"/>
    <col min="12026" max="12026" width="35.28515625" customWidth="1"/>
    <col min="12027" max="12027" width="29.42578125" customWidth="1"/>
    <col min="12028" max="12028" width="12.85546875" customWidth="1"/>
    <col min="12031" max="12031" width="16.42578125" bestFit="1" customWidth="1"/>
    <col min="12282" max="12282" width="35.28515625" customWidth="1"/>
    <col min="12283" max="12283" width="29.42578125" customWidth="1"/>
    <col min="12284" max="12284" width="12.85546875" customWidth="1"/>
    <col min="12287" max="12287" width="16.42578125" bestFit="1" customWidth="1"/>
    <col min="12538" max="12538" width="35.28515625" customWidth="1"/>
    <col min="12539" max="12539" width="29.42578125" customWidth="1"/>
    <col min="12540" max="12540" width="12.85546875" customWidth="1"/>
    <col min="12543" max="12543" width="16.42578125" bestFit="1" customWidth="1"/>
    <col min="12794" max="12794" width="35.28515625" customWidth="1"/>
    <col min="12795" max="12795" width="29.42578125" customWidth="1"/>
    <col min="12796" max="12796" width="12.85546875" customWidth="1"/>
    <col min="12799" max="12799" width="16.42578125" bestFit="1" customWidth="1"/>
    <col min="13050" max="13050" width="35.28515625" customWidth="1"/>
    <col min="13051" max="13051" width="29.42578125" customWidth="1"/>
    <col min="13052" max="13052" width="12.85546875" customWidth="1"/>
    <col min="13055" max="13055" width="16.42578125" bestFit="1" customWidth="1"/>
    <col min="13306" max="13306" width="35.28515625" customWidth="1"/>
    <col min="13307" max="13307" width="29.42578125" customWidth="1"/>
    <col min="13308" max="13308" width="12.85546875" customWidth="1"/>
    <col min="13311" max="13311" width="16.42578125" bestFit="1" customWidth="1"/>
    <col min="13562" max="13562" width="35.28515625" customWidth="1"/>
    <col min="13563" max="13563" width="29.42578125" customWidth="1"/>
    <col min="13564" max="13564" width="12.85546875" customWidth="1"/>
    <col min="13567" max="13567" width="16.42578125" bestFit="1" customWidth="1"/>
    <col min="13818" max="13818" width="35.28515625" customWidth="1"/>
    <col min="13819" max="13819" width="29.42578125" customWidth="1"/>
    <col min="13820" max="13820" width="12.85546875" customWidth="1"/>
    <col min="13823" max="13823" width="16.42578125" bestFit="1" customWidth="1"/>
    <col min="14074" max="14074" width="35.28515625" customWidth="1"/>
    <col min="14075" max="14075" width="29.42578125" customWidth="1"/>
    <col min="14076" max="14076" width="12.85546875" customWidth="1"/>
    <col min="14079" max="14079" width="16.42578125" bestFit="1" customWidth="1"/>
    <col min="14330" max="14330" width="35.28515625" customWidth="1"/>
    <col min="14331" max="14331" width="29.42578125" customWidth="1"/>
    <col min="14332" max="14332" width="12.85546875" customWidth="1"/>
    <col min="14335" max="14335" width="16.42578125" bestFit="1" customWidth="1"/>
    <col min="14586" max="14586" width="35.28515625" customWidth="1"/>
    <col min="14587" max="14587" width="29.42578125" customWidth="1"/>
    <col min="14588" max="14588" width="12.85546875" customWidth="1"/>
    <col min="14591" max="14591" width="16.42578125" bestFit="1" customWidth="1"/>
    <col min="14842" max="14842" width="35.28515625" customWidth="1"/>
    <col min="14843" max="14843" width="29.42578125" customWidth="1"/>
    <col min="14844" max="14844" width="12.85546875" customWidth="1"/>
    <col min="14847" max="14847" width="16.42578125" bestFit="1" customWidth="1"/>
    <col min="15098" max="15098" width="35.28515625" customWidth="1"/>
    <col min="15099" max="15099" width="29.42578125" customWidth="1"/>
    <col min="15100" max="15100" width="12.85546875" customWidth="1"/>
    <col min="15103" max="15103" width="16.42578125" bestFit="1" customWidth="1"/>
    <col min="15354" max="15354" width="35.28515625" customWidth="1"/>
    <col min="15355" max="15355" width="29.42578125" customWidth="1"/>
    <col min="15356" max="15356" width="12.85546875" customWidth="1"/>
    <col min="15359" max="15359" width="16.42578125" bestFit="1" customWidth="1"/>
    <col min="15610" max="15610" width="35.28515625" customWidth="1"/>
    <col min="15611" max="15611" width="29.42578125" customWidth="1"/>
    <col min="15612" max="15612" width="12.85546875" customWidth="1"/>
    <col min="15615" max="15615" width="16.42578125" bestFit="1" customWidth="1"/>
    <col min="15866" max="15866" width="35.28515625" customWidth="1"/>
    <col min="15867" max="15867" width="29.42578125" customWidth="1"/>
    <col min="15868" max="15868" width="12.85546875" customWidth="1"/>
    <col min="15871" max="15871" width="16.42578125" bestFit="1" customWidth="1"/>
    <col min="16122" max="16122" width="35.28515625" customWidth="1"/>
    <col min="16123" max="16123" width="29.42578125" customWidth="1"/>
    <col min="16124" max="16124" width="12.85546875" customWidth="1"/>
    <col min="16127" max="16127" width="16.42578125" bestFit="1" customWidth="1"/>
  </cols>
  <sheetData>
    <row r="2" spans="1:13" ht="15.75">
      <c r="A2" s="5008" t="s">
        <v>1087</v>
      </c>
      <c r="B2" s="5008"/>
      <c r="C2" s="5008"/>
      <c r="D2" s="5008"/>
      <c r="E2" s="374"/>
    </row>
    <row r="3" spans="1:13" ht="15.75">
      <c r="A3" s="384"/>
      <c r="B3" s="384"/>
      <c r="C3" s="384"/>
      <c r="D3" s="384"/>
      <c r="E3" s="374"/>
    </row>
    <row r="4" spans="1:13">
      <c r="A4" s="3076" t="s">
        <v>2818</v>
      </c>
      <c r="B4" s="38"/>
      <c r="C4" s="375"/>
      <c r="D4" s="375"/>
      <c r="E4" s="375"/>
      <c r="F4" s="375"/>
      <c r="G4" s="375"/>
      <c r="H4" s="375"/>
      <c r="I4" s="38"/>
      <c r="J4" s="38"/>
      <c r="K4" s="38"/>
      <c r="L4" s="38"/>
      <c r="M4" s="38"/>
    </row>
    <row r="5" spans="1:13">
      <c r="A5" s="38"/>
      <c r="B5" s="38"/>
      <c r="C5" s="38"/>
      <c r="D5" s="38"/>
      <c r="E5" s="3906"/>
      <c r="F5" s="3906"/>
      <c r="G5" s="3906"/>
      <c r="H5" s="38"/>
      <c r="I5" s="38"/>
      <c r="J5" s="38"/>
      <c r="K5" s="38"/>
      <c r="L5" s="38"/>
      <c r="M5" s="38"/>
    </row>
    <row r="6" spans="1:13">
      <c r="A6" s="5029" t="s">
        <v>2819</v>
      </c>
      <c r="B6" s="5029"/>
      <c r="C6" s="5029"/>
      <c r="D6" s="5029"/>
      <c r="E6" s="5029"/>
      <c r="F6" s="5030"/>
      <c r="G6" s="5030"/>
      <c r="H6" s="5030"/>
      <c r="I6" s="5030"/>
      <c r="J6" s="5030"/>
      <c r="K6" s="38"/>
      <c r="L6" s="38"/>
      <c r="M6" s="38"/>
    </row>
    <row r="7" spans="1:13">
      <c r="A7" s="5029"/>
      <c r="B7" s="5029"/>
      <c r="C7" s="5029"/>
      <c r="D7" s="5029"/>
      <c r="E7" s="5029"/>
      <c r="F7" s="5030"/>
      <c r="G7" s="5030"/>
      <c r="H7" s="5030"/>
      <c r="I7" s="5030"/>
      <c r="J7" s="5030"/>
      <c r="K7" s="38"/>
      <c r="L7" s="38"/>
      <c r="M7" s="38"/>
    </row>
    <row r="8" spans="1:13">
      <c r="A8" s="5029"/>
      <c r="B8" s="5029"/>
      <c r="C8" s="5029"/>
      <c r="D8" s="5029"/>
      <c r="E8" s="5029"/>
      <c r="F8" s="5030"/>
      <c r="G8" s="5030"/>
      <c r="H8" s="5030"/>
      <c r="I8" s="5030"/>
      <c r="J8" s="5030"/>
      <c r="K8" s="38"/>
      <c r="L8" s="38"/>
      <c r="M8" s="38"/>
    </row>
    <row r="9" spans="1:13">
      <c r="A9" s="3907"/>
      <c r="B9" s="3907"/>
      <c r="C9" s="3907"/>
      <c r="D9" s="3907"/>
      <c r="E9" s="3907"/>
      <c r="F9" s="3907"/>
      <c r="G9" s="3907"/>
      <c r="H9" s="3907"/>
      <c r="I9" s="38"/>
      <c r="J9" s="38"/>
      <c r="K9" s="38"/>
      <c r="L9" s="38"/>
      <c r="M9" s="38"/>
    </row>
    <row r="10" spans="1:13">
      <c r="A10" s="5031" t="s">
        <v>2820</v>
      </c>
      <c r="B10" s="5031"/>
      <c r="C10" s="3908"/>
      <c r="D10" s="3908"/>
      <c r="E10" s="3908"/>
      <c r="F10" s="3908"/>
      <c r="G10" s="3908"/>
      <c r="H10" s="3908"/>
      <c r="I10" s="3909"/>
      <c r="J10" s="3909"/>
      <c r="K10" s="3909"/>
      <c r="L10" s="3909"/>
      <c r="M10" s="3909"/>
    </row>
    <row r="11" spans="1:13">
      <c r="A11" s="3908"/>
      <c r="B11" s="3908"/>
      <c r="C11" s="3908"/>
      <c r="D11" s="3908"/>
      <c r="E11" s="3908"/>
      <c r="F11" s="3908"/>
      <c r="G11" s="3908"/>
      <c r="H11" s="3908"/>
      <c r="I11" s="3909"/>
      <c r="J11" s="3909"/>
      <c r="K11" s="3909"/>
      <c r="L11" s="3909"/>
      <c r="M11" s="3909"/>
    </row>
    <row r="12" spans="1:13">
      <c r="A12" s="3910" t="s">
        <v>2821</v>
      </c>
      <c r="B12" s="3911">
        <v>2016</v>
      </c>
      <c r="C12" s="3911">
        <v>2012</v>
      </c>
      <c r="D12" s="3912" t="s">
        <v>15</v>
      </c>
      <c r="E12" s="3913"/>
      <c r="F12" s="3914"/>
      <c r="G12" s="3909"/>
      <c r="H12" s="3908"/>
      <c r="I12" s="3909"/>
      <c r="J12" s="3909"/>
      <c r="K12" s="3909"/>
      <c r="L12" s="3909"/>
      <c r="M12" s="3909"/>
    </row>
    <row r="13" spans="1:13">
      <c r="A13" s="3910" t="s">
        <v>2185</v>
      </c>
      <c r="B13" s="3915">
        <v>1860</v>
      </c>
      <c r="C13" s="3915">
        <v>2018</v>
      </c>
      <c r="D13" s="3912">
        <v>3878</v>
      </c>
      <c r="E13" s="3916"/>
      <c r="F13" s="3917"/>
      <c r="G13" s="3909"/>
      <c r="H13" s="3908"/>
      <c r="I13" s="3909"/>
      <c r="J13" s="3909"/>
      <c r="K13" s="3909"/>
      <c r="L13" s="3909"/>
      <c r="M13" s="3909"/>
    </row>
    <row r="14" spans="1:13">
      <c r="A14" s="3908"/>
      <c r="B14" s="3908"/>
      <c r="C14" s="3908"/>
      <c r="D14" s="3908"/>
      <c r="E14" s="3908"/>
      <c r="F14" s="3908"/>
      <c r="G14" s="3908"/>
      <c r="H14" s="3908"/>
      <c r="I14" s="3909"/>
      <c r="J14" s="3909"/>
      <c r="K14" s="3909"/>
      <c r="L14" s="3909"/>
      <c r="M14" s="3909"/>
    </row>
    <row r="15" spans="1:13">
      <c r="A15" s="723" t="s">
        <v>2822</v>
      </c>
      <c r="B15" s="3908"/>
      <c r="C15" s="3908"/>
      <c r="D15" s="3908"/>
      <c r="E15" s="3908"/>
      <c r="F15" s="3908"/>
      <c r="G15" s="3908"/>
      <c r="H15" s="3908"/>
      <c r="I15" s="3909"/>
      <c r="J15" s="3909"/>
      <c r="K15" s="3909"/>
      <c r="L15" s="3909"/>
      <c r="M15" s="3909"/>
    </row>
    <row r="16" spans="1:13">
      <c r="A16" s="3908"/>
      <c r="B16" s="3908"/>
      <c r="C16" s="3908"/>
      <c r="D16" s="3908"/>
      <c r="E16" s="3908"/>
      <c r="F16" s="3908"/>
      <c r="G16" s="3908"/>
      <c r="H16" s="3908"/>
      <c r="I16" s="3909"/>
      <c r="J16" s="3909"/>
      <c r="K16" s="3909"/>
      <c r="L16" s="3909"/>
      <c r="M16" s="3909"/>
    </row>
    <row r="17" spans="1:13">
      <c r="A17" s="3918" t="s">
        <v>2531</v>
      </c>
      <c r="B17" s="3909"/>
      <c r="C17" s="3909"/>
      <c r="D17" s="3909"/>
      <c r="E17" s="3909"/>
      <c r="F17" s="3909"/>
      <c r="G17" s="3909"/>
      <c r="H17" s="3909"/>
      <c r="I17" s="3909"/>
      <c r="J17" s="3909"/>
      <c r="K17" s="3909"/>
      <c r="L17" s="3909"/>
      <c r="M17" s="3909"/>
    </row>
    <row r="18" spans="1:13">
      <c r="A18" s="3909"/>
      <c r="B18" s="3909"/>
      <c r="C18" s="3909"/>
      <c r="D18" s="3909"/>
      <c r="E18" s="3909"/>
      <c r="F18" s="5032" t="s">
        <v>2532</v>
      </c>
      <c r="G18" s="5032"/>
      <c r="H18" s="5033" t="s">
        <v>2533</v>
      </c>
      <c r="I18" s="5033"/>
      <c r="J18" s="5033"/>
      <c r="K18" s="5033"/>
      <c r="L18" s="3909"/>
      <c r="M18" s="3909"/>
    </row>
    <row r="19" spans="1:13" ht="24">
      <c r="A19" s="3919" t="s">
        <v>2184</v>
      </c>
      <c r="B19" s="3920" t="s">
        <v>2179</v>
      </c>
      <c r="C19" s="3920" t="s">
        <v>2180</v>
      </c>
      <c r="D19" s="3920" t="s">
        <v>2185</v>
      </c>
      <c r="E19" s="3921" t="s">
        <v>2534</v>
      </c>
      <c r="F19" s="3953" t="s">
        <v>1091</v>
      </c>
      <c r="G19" s="3920" t="s">
        <v>1092</v>
      </c>
      <c r="H19" s="3922" t="s">
        <v>1661</v>
      </c>
      <c r="I19" s="3922" t="s">
        <v>1662</v>
      </c>
      <c r="J19" s="3923" t="s">
        <v>1663</v>
      </c>
      <c r="K19" s="3922" t="s">
        <v>1664</v>
      </c>
      <c r="L19" s="3909"/>
      <c r="M19" s="3909"/>
    </row>
    <row r="20" spans="1:13">
      <c r="A20" s="3924" t="s">
        <v>3</v>
      </c>
      <c r="B20" s="3925">
        <v>2802</v>
      </c>
      <c r="C20" s="3926">
        <v>1283</v>
      </c>
      <c r="D20" s="3925">
        <v>1119</v>
      </c>
      <c r="E20" s="3927">
        <f>D20*100/C20</f>
        <v>87.217459080280591</v>
      </c>
      <c r="F20" s="3928">
        <v>0.78799249530956839</v>
      </c>
      <c r="G20" s="3928">
        <v>0.2120075046904315</v>
      </c>
      <c r="H20" s="3929">
        <v>4.9457177322074788E-2</v>
      </c>
      <c r="I20" s="3929">
        <v>0.11097708082026538</v>
      </c>
      <c r="J20" s="3929">
        <v>0.34137515078407721</v>
      </c>
      <c r="K20" s="3929">
        <v>0.49819059107358266</v>
      </c>
      <c r="L20" s="3909"/>
      <c r="M20" s="3909"/>
    </row>
    <row r="21" spans="1:13">
      <c r="A21" s="3924" t="s">
        <v>59</v>
      </c>
      <c r="B21" s="3925">
        <v>285</v>
      </c>
      <c r="C21" s="3926">
        <v>285</v>
      </c>
      <c r="D21" s="3925">
        <v>192</v>
      </c>
      <c r="E21" s="3927">
        <f t="shared" ref="E21:E25" si="0">D21*100/C21</f>
        <v>67.368421052631575</v>
      </c>
      <c r="F21" s="3928">
        <v>0.75977653631284925</v>
      </c>
      <c r="G21" s="3928">
        <v>0.24022346368715083</v>
      </c>
      <c r="H21" s="3929">
        <v>8.2089552238805971E-2</v>
      </c>
      <c r="I21" s="3929">
        <v>0.17164179104477612</v>
      </c>
      <c r="J21" s="3929">
        <v>0.32835820895522388</v>
      </c>
      <c r="K21" s="3929">
        <v>0.41791044776119407</v>
      </c>
      <c r="L21" s="3909"/>
      <c r="M21" s="3909"/>
    </row>
    <row r="22" spans="1:13">
      <c r="A22" s="3924" t="s">
        <v>25</v>
      </c>
      <c r="B22" s="3925">
        <v>2309</v>
      </c>
      <c r="C22" s="3926">
        <v>1305</v>
      </c>
      <c r="D22" s="3925">
        <v>956</v>
      </c>
      <c r="E22" s="3927">
        <f t="shared" si="0"/>
        <v>73.256704980842912</v>
      </c>
      <c r="F22" s="3928">
        <v>0.63806380638063809</v>
      </c>
      <c r="G22" s="3928">
        <v>0.36193619361936191</v>
      </c>
      <c r="H22" s="3929">
        <v>0.10193321616871705</v>
      </c>
      <c r="I22" s="3929">
        <v>0.15817223198594024</v>
      </c>
      <c r="J22" s="3929">
        <v>0.35852372583479791</v>
      </c>
      <c r="K22" s="3929">
        <v>0.38137082601054478</v>
      </c>
      <c r="L22" s="3909"/>
      <c r="M22" s="3909"/>
    </row>
    <row r="23" spans="1:13">
      <c r="A23" s="3924" t="s">
        <v>249</v>
      </c>
      <c r="B23" s="3925">
        <v>30</v>
      </c>
      <c r="C23" s="3926">
        <v>30</v>
      </c>
      <c r="D23" s="3925">
        <v>24</v>
      </c>
      <c r="E23" s="3927">
        <f t="shared" si="0"/>
        <v>80</v>
      </c>
      <c r="F23" s="3928">
        <v>0.59090909090909094</v>
      </c>
      <c r="G23" s="3928">
        <v>0.40909090909090906</v>
      </c>
      <c r="H23" s="3929">
        <v>7.6923076923076927E-2</v>
      </c>
      <c r="I23" s="3929">
        <v>0.38461538461538458</v>
      </c>
      <c r="J23" s="3929">
        <v>0.38461538461538458</v>
      </c>
      <c r="K23" s="3929">
        <v>0.15384615384615385</v>
      </c>
      <c r="L23" s="3909"/>
      <c r="M23" s="3909"/>
    </row>
    <row r="24" spans="1:13">
      <c r="A24" s="3924" t="s">
        <v>48</v>
      </c>
      <c r="B24" s="3925">
        <v>4739</v>
      </c>
      <c r="C24" s="3926">
        <v>1494</v>
      </c>
      <c r="D24" s="3925">
        <v>1587</v>
      </c>
      <c r="E24" s="3927">
        <f t="shared" si="0"/>
        <v>106.22489959839358</v>
      </c>
      <c r="F24" s="3930">
        <v>0.70838881491344874</v>
      </c>
      <c r="G24" s="3930">
        <v>0.29161118508655126</v>
      </c>
      <c r="H24" s="3929">
        <v>6.8506184586108465E-2</v>
      </c>
      <c r="I24" s="3929">
        <v>0.11132254995242626</v>
      </c>
      <c r="J24" s="3929">
        <v>0.30827783063748809</v>
      </c>
      <c r="K24" s="3929">
        <v>0.5118934348239772</v>
      </c>
      <c r="L24" s="3909"/>
      <c r="M24" s="3909"/>
    </row>
    <row r="25" spans="1:13">
      <c r="A25" s="3919" t="s">
        <v>15</v>
      </c>
      <c r="B25" s="3920">
        <f>SUM(B20:B24)</f>
        <v>10165</v>
      </c>
      <c r="C25" s="3931">
        <f>SUM(C20:C24)</f>
        <v>4397</v>
      </c>
      <c r="D25" s="3920">
        <f>SUM(D20:D24)</f>
        <v>3878</v>
      </c>
      <c r="E25" s="3932">
        <f t="shared" si="0"/>
        <v>88.196497612008187</v>
      </c>
      <c r="F25" s="3952">
        <v>0.71587819467101677</v>
      </c>
      <c r="G25" s="3933">
        <v>0.28412180532898312</v>
      </c>
      <c r="H25" s="3934">
        <v>7.0493066255778128E-2</v>
      </c>
      <c r="I25" s="3934">
        <v>0.12596302003081664</v>
      </c>
      <c r="J25" s="3934">
        <v>0.33127889060092452</v>
      </c>
      <c r="K25" s="3934">
        <v>0.47226502311248075</v>
      </c>
      <c r="L25" s="3909"/>
      <c r="M25" s="3909"/>
    </row>
    <row r="26" spans="1:13">
      <c r="A26" s="3909"/>
      <c r="B26" s="3909"/>
      <c r="C26" s="3909"/>
      <c r="D26" s="3909"/>
      <c r="E26" s="3909"/>
      <c r="F26" s="3909"/>
      <c r="G26" s="3909"/>
      <c r="H26" s="3909"/>
      <c r="I26" s="3909"/>
      <c r="J26" s="3909"/>
      <c r="K26" s="3909"/>
      <c r="L26" s="3909"/>
      <c r="M26" s="3909"/>
    </row>
    <row r="27" spans="1:13">
      <c r="A27" s="3909"/>
      <c r="B27" s="3909"/>
      <c r="C27" s="3909"/>
      <c r="D27" s="3909"/>
      <c r="E27" s="3909"/>
      <c r="F27" s="3909"/>
      <c r="G27" s="3909"/>
      <c r="H27" s="3909"/>
      <c r="I27" s="3909"/>
      <c r="J27" s="3909"/>
      <c r="K27" s="3909"/>
      <c r="L27" s="3909"/>
      <c r="M27" s="3909"/>
    </row>
    <row r="28" spans="1:13">
      <c r="A28" s="3909"/>
      <c r="B28" s="3909"/>
      <c r="C28" s="3909"/>
      <c r="D28" s="3909"/>
      <c r="E28" s="3909"/>
      <c r="F28" s="3909"/>
      <c r="G28" s="3909"/>
      <c r="H28" s="5033" t="s">
        <v>2532</v>
      </c>
      <c r="I28" s="5033"/>
      <c r="J28" s="5033" t="s">
        <v>2533</v>
      </c>
      <c r="K28" s="5033"/>
      <c r="L28" s="5033"/>
      <c r="M28" s="5033"/>
    </row>
    <row r="29" spans="1:13">
      <c r="A29" s="3935" t="s">
        <v>0</v>
      </c>
      <c r="B29" s="3936" t="s">
        <v>1</v>
      </c>
      <c r="C29" s="3937" t="s">
        <v>2823</v>
      </c>
      <c r="D29" s="3938" t="s">
        <v>2179</v>
      </c>
      <c r="E29" s="3920" t="s">
        <v>2180</v>
      </c>
      <c r="F29" s="3920" t="s">
        <v>2185</v>
      </c>
      <c r="G29" s="3939" t="s">
        <v>2534</v>
      </c>
      <c r="H29" s="3920" t="s">
        <v>1091</v>
      </c>
      <c r="I29" s="3920" t="s">
        <v>1092</v>
      </c>
      <c r="J29" s="3922" t="s">
        <v>1661</v>
      </c>
      <c r="K29" s="3922" t="s">
        <v>1662</v>
      </c>
      <c r="L29" s="3923" t="s">
        <v>1663</v>
      </c>
      <c r="M29" s="3922" t="s">
        <v>1664</v>
      </c>
    </row>
    <row r="30" spans="1:13">
      <c r="A30" s="5034" t="s">
        <v>3</v>
      </c>
      <c r="B30" s="5035" t="s">
        <v>2541</v>
      </c>
      <c r="C30" s="3940" t="s">
        <v>554</v>
      </c>
      <c r="D30" s="3925">
        <v>122</v>
      </c>
      <c r="E30" s="3925">
        <v>51</v>
      </c>
      <c r="F30" s="3926">
        <v>58</v>
      </c>
      <c r="G30" s="3941">
        <v>100</v>
      </c>
      <c r="H30" s="3928">
        <v>0.65384615384615385</v>
      </c>
      <c r="I30" s="3928">
        <v>0.34615384615384615</v>
      </c>
      <c r="J30" s="3942">
        <v>6.0606060606060608E-2</v>
      </c>
      <c r="K30" s="3942">
        <v>0.2121212121212121</v>
      </c>
      <c r="L30" s="3942">
        <v>0.45454545454545453</v>
      </c>
      <c r="M30" s="3942">
        <v>0.27272727272727271</v>
      </c>
    </row>
    <row r="31" spans="1:13">
      <c r="A31" s="5034"/>
      <c r="B31" s="5035"/>
      <c r="C31" s="3940" t="s">
        <v>555</v>
      </c>
      <c r="D31" s="3925">
        <v>103</v>
      </c>
      <c r="E31" s="3925">
        <v>53</v>
      </c>
      <c r="F31" s="3926">
        <v>38</v>
      </c>
      <c r="G31" s="3941">
        <f t="shared" ref="G31:G84" si="1">F31*100/E31</f>
        <v>71.698113207547166</v>
      </c>
      <c r="H31" s="3928">
        <v>0.875</v>
      </c>
      <c r="I31" s="3928">
        <v>0.125</v>
      </c>
      <c r="J31" s="3942">
        <v>0</v>
      </c>
      <c r="K31" s="3942">
        <v>8.5714285714285715E-2</v>
      </c>
      <c r="L31" s="3942">
        <v>0.31428571428571428</v>
      </c>
      <c r="M31" s="3942">
        <v>0.6</v>
      </c>
    </row>
    <row r="32" spans="1:13">
      <c r="A32" s="5034"/>
      <c r="B32" s="5035"/>
      <c r="C32" s="3940" t="s">
        <v>822</v>
      </c>
      <c r="D32" s="3925">
        <v>47</v>
      </c>
      <c r="E32" s="3925">
        <v>24</v>
      </c>
      <c r="F32" s="3926">
        <v>14</v>
      </c>
      <c r="G32" s="3941">
        <f t="shared" si="1"/>
        <v>58.333333333333336</v>
      </c>
      <c r="H32" s="3928">
        <v>0.9285714285714286</v>
      </c>
      <c r="I32" s="3928">
        <v>7.1428571428571438E-2</v>
      </c>
      <c r="J32" s="3942">
        <v>7.6923076923076927E-2</v>
      </c>
      <c r="K32" s="3942">
        <v>0</v>
      </c>
      <c r="L32" s="3942">
        <v>0.46153846153846151</v>
      </c>
      <c r="M32" s="3942">
        <v>0.46153846153846151</v>
      </c>
    </row>
    <row r="33" spans="1:13">
      <c r="A33" s="5034"/>
      <c r="B33" s="5035"/>
      <c r="C33" s="3940" t="s">
        <v>557</v>
      </c>
      <c r="D33" s="3925">
        <v>36</v>
      </c>
      <c r="E33" s="3925">
        <v>36</v>
      </c>
      <c r="F33" s="3926">
        <v>19</v>
      </c>
      <c r="G33" s="3941">
        <f t="shared" si="1"/>
        <v>52.777777777777779</v>
      </c>
      <c r="H33" s="3928">
        <v>0.4210526315789474</v>
      </c>
      <c r="I33" s="3928">
        <v>0.57894736842105265</v>
      </c>
      <c r="J33" s="3942">
        <v>0</v>
      </c>
      <c r="K33" s="3942">
        <v>0</v>
      </c>
      <c r="L33" s="3942">
        <v>0.375</v>
      </c>
      <c r="M33" s="3942">
        <v>0.625</v>
      </c>
    </row>
    <row r="34" spans="1:13">
      <c r="A34" s="5034"/>
      <c r="B34" s="5035"/>
      <c r="C34" s="3940" t="s">
        <v>823</v>
      </c>
      <c r="D34" s="3925">
        <v>183</v>
      </c>
      <c r="E34" s="3925">
        <v>78</v>
      </c>
      <c r="F34" s="3926">
        <v>70</v>
      </c>
      <c r="G34" s="3941">
        <f t="shared" si="1"/>
        <v>89.743589743589737</v>
      </c>
      <c r="H34" s="3928">
        <v>0.89705882352941169</v>
      </c>
      <c r="I34" s="3928">
        <v>0.10294117647058824</v>
      </c>
      <c r="J34" s="3942">
        <v>3.2786885245901641E-2</v>
      </c>
      <c r="K34" s="3942">
        <v>8.1967213114754092E-2</v>
      </c>
      <c r="L34" s="3942">
        <v>0.4098360655737705</v>
      </c>
      <c r="M34" s="3942">
        <v>0.47540983606557374</v>
      </c>
    </row>
    <row r="35" spans="1:13">
      <c r="A35" s="5034"/>
      <c r="B35" s="5035"/>
      <c r="C35" s="3940" t="s">
        <v>824</v>
      </c>
      <c r="D35" s="3925">
        <v>107</v>
      </c>
      <c r="E35" s="3925">
        <v>45</v>
      </c>
      <c r="F35" s="3926">
        <v>40</v>
      </c>
      <c r="G35" s="3941">
        <f t="shared" si="1"/>
        <v>88.888888888888886</v>
      </c>
      <c r="H35" s="3928">
        <v>0.79487179487179493</v>
      </c>
      <c r="I35" s="3928">
        <v>0.20512820512820515</v>
      </c>
      <c r="J35" s="3942">
        <v>0</v>
      </c>
      <c r="K35" s="3942">
        <v>0.12903225806451613</v>
      </c>
      <c r="L35" s="3942">
        <v>0.32258064516129031</v>
      </c>
      <c r="M35" s="3942">
        <v>0.54838709677419351</v>
      </c>
    </row>
    <row r="36" spans="1:13">
      <c r="A36" s="5034"/>
      <c r="B36" s="5035"/>
      <c r="C36" s="3940" t="s">
        <v>825</v>
      </c>
      <c r="D36" s="3925">
        <v>21</v>
      </c>
      <c r="E36" s="3925">
        <v>21</v>
      </c>
      <c r="F36" s="3926">
        <v>6</v>
      </c>
      <c r="G36" s="3941">
        <f t="shared" si="1"/>
        <v>28.571428571428573</v>
      </c>
      <c r="H36" s="3928">
        <v>1</v>
      </c>
      <c r="I36" s="3928">
        <v>0</v>
      </c>
      <c r="J36" s="3942">
        <v>0</v>
      </c>
      <c r="K36" s="3942">
        <v>0</v>
      </c>
      <c r="L36" s="3942">
        <v>0.66666666666666674</v>
      </c>
      <c r="M36" s="3942">
        <v>0.33333333333333337</v>
      </c>
    </row>
    <row r="37" spans="1:13">
      <c r="A37" s="5034"/>
      <c r="B37" s="5035"/>
      <c r="C37" s="3940" t="s">
        <v>558</v>
      </c>
      <c r="D37" s="3925">
        <v>103</v>
      </c>
      <c r="E37" s="3925">
        <v>44</v>
      </c>
      <c r="F37" s="3926">
        <v>44</v>
      </c>
      <c r="G37" s="3941">
        <f t="shared" si="1"/>
        <v>100</v>
      </c>
      <c r="H37" s="3928">
        <v>0.625</v>
      </c>
      <c r="I37" s="3928">
        <v>0.375</v>
      </c>
      <c r="J37" s="3942">
        <v>0.04</v>
      </c>
      <c r="K37" s="3942">
        <v>0.08</v>
      </c>
      <c r="L37" s="3942">
        <v>0.44</v>
      </c>
      <c r="M37" s="3942">
        <v>0.44</v>
      </c>
    </row>
    <row r="38" spans="1:13">
      <c r="A38" s="5034"/>
      <c r="B38" s="5035"/>
      <c r="C38" s="3940" t="s">
        <v>826</v>
      </c>
      <c r="D38" s="3925">
        <v>136</v>
      </c>
      <c r="E38" s="3925">
        <v>60</v>
      </c>
      <c r="F38" s="3926">
        <v>53</v>
      </c>
      <c r="G38" s="3941">
        <f t="shared" si="1"/>
        <v>88.333333333333329</v>
      </c>
      <c r="H38" s="3928">
        <v>0.84615384615384615</v>
      </c>
      <c r="I38" s="3928">
        <v>0.15384615384615385</v>
      </c>
      <c r="J38" s="3942">
        <v>2.3255813953488372E-2</v>
      </c>
      <c r="K38" s="3942">
        <v>0.20930232558139536</v>
      </c>
      <c r="L38" s="3942">
        <v>0.51162790697674421</v>
      </c>
      <c r="M38" s="3942">
        <v>0.2558139534883721</v>
      </c>
    </row>
    <row r="39" spans="1:13">
      <c r="A39" s="5034"/>
      <c r="B39" s="5035"/>
      <c r="C39" s="3940" t="s">
        <v>556</v>
      </c>
      <c r="D39" s="3925">
        <v>158</v>
      </c>
      <c r="E39" s="3925">
        <v>67</v>
      </c>
      <c r="F39" s="3926">
        <v>57</v>
      </c>
      <c r="G39" s="3941">
        <f t="shared" si="1"/>
        <v>85.074626865671647</v>
      </c>
      <c r="H39" s="3928">
        <v>0.92727272727272736</v>
      </c>
      <c r="I39" s="3928">
        <v>7.2727272727272724E-2</v>
      </c>
      <c r="J39" s="3942">
        <v>0</v>
      </c>
      <c r="K39" s="3942">
        <v>0.08</v>
      </c>
      <c r="L39" s="3942">
        <v>0.18</v>
      </c>
      <c r="M39" s="3942">
        <v>0.74</v>
      </c>
    </row>
    <row r="40" spans="1:13">
      <c r="A40" s="5034"/>
      <c r="B40" s="5035" t="s">
        <v>2536</v>
      </c>
      <c r="C40" s="3940" t="s">
        <v>17</v>
      </c>
      <c r="D40" s="3925">
        <v>353</v>
      </c>
      <c r="E40" s="3925">
        <v>141</v>
      </c>
      <c r="F40" s="3926">
        <v>144</v>
      </c>
      <c r="G40" s="3941">
        <v>100</v>
      </c>
      <c r="H40" s="3942">
        <v>0.84671532846715325</v>
      </c>
      <c r="I40" s="3942">
        <v>0.15328467153284672</v>
      </c>
      <c r="J40" s="3942">
        <v>2.7027027027027025E-2</v>
      </c>
      <c r="K40" s="3942">
        <v>0.11711711711711711</v>
      </c>
      <c r="L40" s="3942">
        <v>0.52252252252252251</v>
      </c>
      <c r="M40" s="3942">
        <v>0.33333333333333337</v>
      </c>
    </row>
    <row r="41" spans="1:13">
      <c r="A41" s="5034"/>
      <c r="B41" s="5035"/>
      <c r="C41" s="3940" t="s">
        <v>18</v>
      </c>
      <c r="D41" s="3925">
        <v>529</v>
      </c>
      <c r="E41" s="3925">
        <v>209</v>
      </c>
      <c r="F41" s="3926">
        <v>201</v>
      </c>
      <c r="G41" s="3941">
        <f t="shared" si="1"/>
        <v>96.172248803827756</v>
      </c>
      <c r="H41" s="3942">
        <v>0.71505376344086014</v>
      </c>
      <c r="I41" s="3942">
        <v>0.28494623655913981</v>
      </c>
      <c r="J41" s="3942">
        <v>6.0606060606060608E-2</v>
      </c>
      <c r="K41" s="3942">
        <v>0.10606060606060605</v>
      </c>
      <c r="L41" s="3942">
        <v>0.18939393939393936</v>
      </c>
      <c r="M41" s="3942">
        <v>0.64393939393939392</v>
      </c>
    </row>
    <row r="42" spans="1:13">
      <c r="A42" s="5034"/>
      <c r="B42" s="5035"/>
      <c r="C42" s="3940" t="s">
        <v>19</v>
      </c>
      <c r="D42" s="3925">
        <v>142</v>
      </c>
      <c r="E42" s="3925">
        <v>56</v>
      </c>
      <c r="F42" s="3926">
        <v>54</v>
      </c>
      <c r="G42" s="3941">
        <f t="shared" si="1"/>
        <v>96.428571428571431</v>
      </c>
      <c r="H42" s="3942">
        <v>0.80769230769230771</v>
      </c>
      <c r="I42" s="3942">
        <v>0.19230769230769229</v>
      </c>
      <c r="J42" s="3942">
        <v>0.21428571428571427</v>
      </c>
      <c r="K42" s="3942">
        <v>0.16666666666666669</v>
      </c>
      <c r="L42" s="3942">
        <v>0.30952380952380953</v>
      </c>
      <c r="M42" s="3942">
        <v>0.30952380952380953</v>
      </c>
    </row>
    <row r="43" spans="1:13">
      <c r="A43" s="5034"/>
      <c r="B43" s="5035"/>
      <c r="C43" s="3940" t="s">
        <v>20</v>
      </c>
      <c r="D43" s="3925">
        <v>147</v>
      </c>
      <c r="E43" s="3925">
        <v>59</v>
      </c>
      <c r="F43" s="3926">
        <v>61</v>
      </c>
      <c r="G43" s="3941">
        <v>100</v>
      </c>
      <c r="H43" s="3942">
        <v>0.6271186440677966</v>
      </c>
      <c r="I43" s="3942">
        <v>0.3728813559322034</v>
      </c>
      <c r="J43" s="3942">
        <v>0.1081081081081081</v>
      </c>
      <c r="K43" s="3942">
        <v>0.24324324324324323</v>
      </c>
      <c r="L43" s="3942">
        <v>0.48648648648648646</v>
      </c>
      <c r="M43" s="3942">
        <v>0.16216216216216217</v>
      </c>
    </row>
    <row r="44" spans="1:13">
      <c r="A44" s="5034"/>
      <c r="B44" s="5035" t="s">
        <v>2537</v>
      </c>
      <c r="C44" s="3940" t="s">
        <v>22</v>
      </c>
      <c r="D44" s="3925">
        <v>203</v>
      </c>
      <c r="E44" s="3925">
        <v>112</v>
      </c>
      <c r="F44" s="3926">
        <v>80</v>
      </c>
      <c r="G44" s="3941">
        <f t="shared" si="1"/>
        <v>71.428571428571431</v>
      </c>
      <c r="H44" s="3942">
        <v>0.88461538461538469</v>
      </c>
      <c r="I44" s="3942">
        <v>0.11538461538461538</v>
      </c>
      <c r="J44" s="3942">
        <v>4.3478260869565216E-2</v>
      </c>
      <c r="K44" s="3942">
        <v>2.8985507246376812E-2</v>
      </c>
      <c r="L44" s="3942">
        <v>0.24637681159420288</v>
      </c>
      <c r="M44" s="3942">
        <v>0.68115942028985499</v>
      </c>
    </row>
    <row r="45" spans="1:13">
      <c r="A45" s="5034"/>
      <c r="B45" s="5035"/>
      <c r="C45" s="3940" t="s">
        <v>2195</v>
      </c>
      <c r="D45" s="3925">
        <v>246</v>
      </c>
      <c r="E45" s="3925">
        <v>136</v>
      </c>
      <c r="F45" s="3926">
        <v>106</v>
      </c>
      <c r="G45" s="3941">
        <f t="shared" si="1"/>
        <v>77.941176470588232</v>
      </c>
      <c r="H45" s="3942">
        <v>0.8</v>
      </c>
      <c r="I45" s="3942">
        <v>0.2</v>
      </c>
      <c r="J45" s="3942">
        <v>3.7974683544303799E-2</v>
      </c>
      <c r="K45" s="3942">
        <v>7.5949367088607597E-2</v>
      </c>
      <c r="L45" s="3942">
        <v>0.24050632911392406</v>
      </c>
      <c r="M45" s="3942">
        <v>0.64556962025316456</v>
      </c>
    </row>
    <row r="46" spans="1:13">
      <c r="A46" s="5034"/>
      <c r="B46" s="5035"/>
      <c r="C46" s="3940" t="s">
        <v>2196</v>
      </c>
      <c r="D46" s="3925">
        <v>166</v>
      </c>
      <c r="E46" s="3925">
        <v>91</v>
      </c>
      <c r="F46" s="3926">
        <v>74</v>
      </c>
      <c r="G46" s="3941">
        <f t="shared" si="1"/>
        <v>81.318681318681314</v>
      </c>
      <c r="H46" s="3942">
        <v>0.79710144927536231</v>
      </c>
      <c r="I46" s="3942">
        <v>0.20289855072463769</v>
      </c>
      <c r="J46" s="3942">
        <v>7.407407407407407E-2</v>
      </c>
      <c r="K46" s="3942">
        <v>0.12962962962962965</v>
      </c>
      <c r="L46" s="3942">
        <v>0.31481481481481483</v>
      </c>
      <c r="M46" s="3942">
        <v>0.48148148148148145</v>
      </c>
    </row>
    <row r="47" spans="1:13">
      <c r="A47" s="5036" t="s">
        <v>59</v>
      </c>
      <c r="B47" s="5034" t="s">
        <v>2536</v>
      </c>
      <c r="C47" s="3940" t="s">
        <v>17</v>
      </c>
      <c r="D47" s="3925">
        <v>58</v>
      </c>
      <c r="E47" s="3925">
        <v>58</v>
      </c>
      <c r="F47" s="3926">
        <v>39</v>
      </c>
      <c r="G47" s="3941">
        <f t="shared" si="1"/>
        <v>67.241379310344826</v>
      </c>
      <c r="H47" s="3928">
        <v>0.74358974358974361</v>
      </c>
      <c r="I47" s="3928">
        <v>0.25641025641025644</v>
      </c>
      <c r="J47" s="3942">
        <v>0.10714285714285714</v>
      </c>
      <c r="K47" s="3942">
        <v>0.21428571428571427</v>
      </c>
      <c r="L47" s="3942">
        <v>0.35714285714285715</v>
      </c>
      <c r="M47" s="3942">
        <v>0.32142857142857145</v>
      </c>
    </row>
    <row r="48" spans="1:13">
      <c r="A48" s="5036"/>
      <c r="B48" s="5034"/>
      <c r="C48" s="3940" t="s">
        <v>60</v>
      </c>
      <c r="D48" s="3925">
        <v>23</v>
      </c>
      <c r="E48" s="3925">
        <v>23</v>
      </c>
      <c r="F48" s="3926">
        <v>18</v>
      </c>
      <c r="G48" s="3941">
        <f t="shared" si="1"/>
        <v>78.260869565217391</v>
      </c>
      <c r="H48" s="3928">
        <v>0.76470588235294112</v>
      </c>
      <c r="I48" s="3928">
        <v>0.23529411764705885</v>
      </c>
      <c r="J48" s="3942">
        <v>0.25</v>
      </c>
      <c r="K48" s="3942">
        <v>0.16666666666666669</v>
      </c>
      <c r="L48" s="3942">
        <v>0.41666666666666663</v>
      </c>
      <c r="M48" s="3942">
        <v>0.16666666666666669</v>
      </c>
    </row>
    <row r="49" spans="1:13">
      <c r="A49" s="5036"/>
      <c r="B49" s="5034"/>
      <c r="C49" s="3940" t="s">
        <v>420</v>
      </c>
      <c r="D49" s="3925">
        <v>15</v>
      </c>
      <c r="E49" s="3925">
        <v>15</v>
      </c>
      <c r="F49" s="3926">
        <v>11</v>
      </c>
      <c r="G49" s="3941">
        <f t="shared" si="1"/>
        <v>73.333333333333329</v>
      </c>
      <c r="H49" s="3928">
        <v>0.77777777777777768</v>
      </c>
      <c r="I49" s="3928">
        <v>0.22222222222222221</v>
      </c>
      <c r="J49" s="3942">
        <v>0.14285714285714288</v>
      </c>
      <c r="K49" s="3942">
        <v>0.28571428571428575</v>
      </c>
      <c r="L49" s="3942">
        <v>0.14285714285714288</v>
      </c>
      <c r="M49" s="3942">
        <v>0.42857142857142855</v>
      </c>
    </row>
    <row r="50" spans="1:13">
      <c r="A50" s="5036"/>
      <c r="B50" s="5034"/>
      <c r="C50" s="3940" t="s">
        <v>18</v>
      </c>
      <c r="D50" s="3925">
        <v>0</v>
      </c>
      <c r="E50" s="3925">
        <v>0</v>
      </c>
      <c r="F50" s="3926">
        <v>0</v>
      </c>
      <c r="G50" s="3941">
        <v>0</v>
      </c>
      <c r="H50" s="3928">
        <v>0</v>
      </c>
      <c r="I50" s="3928">
        <v>0</v>
      </c>
      <c r="J50" s="3942">
        <v>0</v>
      </c>
      <c r="K50" s="3942">
        <v>0</v>
      </c>
      <c r="L50" s="3942">
        <v>0</v>
      </c>
      <c r="M50" s="3942">
        <v>0</v>
      </c>
    </row>
    <row r="51" spans="1:13">
      <c r="A51" s="5036"/>
      <c r="B51" s="5034" t="s">
        <v>2539</v>
      </c>
      <c r="C51" s="3940" t="s">
        <v>62</v>
      </c>
      <c r="D51" s="3925">
        <v>45</v>
      </c>
      <c r="E51" s="3925">
        <v>45</v>
      </c>
      <c r="F51" s="3926">
        <v>28</v>
      </c>
      <c r="G51" s="3941">
        <f t="shared" si="1"/>
        <v>62.222222222222221</v>
      </c>
      <c r="H51" s="3928">
        <v>0.88888888888888884</v>
      </c>
      <c r="I51" s="3928">
        <v>0.1111111111111111</v>
      </c>
      <c r="J51" s="3942">
        <v>8.3333333333333343E-2</v>
      </c>
      <c r="K51" s="3942">
        <v>0.16666666666666669</v>
      </c>
      <c r="L51" s="3942">
        <v>0.33333333333333337</v>
      </c>
      <c r="M51" s="3942">
        <v>0.41666666666666663</v>
      </c>
    </row>
    <row r="52" spans="1:13">
      <c r="A52" s="5036"/>
      <c r="B52" s="5034"/>
      <c r="C52" s="3940" t="s">
        <v>2217</v>
      </c>
      <c r="D52" s="3925">
        <v>11</v>
      </c>
      <c r="E52" s="3925">
        <v>11</v>
      </c>
      <c r="F52" s="3926">
        <v>7</v>
      </c>
      <c r="G52" s="3941">
        <f t="shared" si="1"/>
        <v>63.636363636363633</v>
      </c>
      <c r="H52" s="3928">
        <v>1</v>
      </c>
      <c r="I52" s="3928">
        <v>0</v>
      </c>
      <c r="J52" s="3942">
        <v>0</v>
      </c>
      <c r="K52" s="3942">
        <v>0</v>
      </c>
      <c r="L52" s="3942">
        <v>0.16666666666666669</v>
      </c>
      <c r="M52" s="3942">
        <v>0.83333333333333326</v>
      </c>
    </row>
    <row r="53" spans="1:13">
      <c r="A53" s="5036"/>
      <c r="B53" s="5034"/>
      <c r="C53" s="3940" t="s">
        <v>63</v>
      </c>
      <c r="D53" s="3925">
        <v>57</v>
      </c>
      <c r="E53" s="3925">
        <v>57</v>
      </c>
      <c r="F53" s="3926">
        <v>38</v>
      </c>
      <c r="G53" s="3941">
        <f t="shared" si="1"/>
        <v>66.666666666666671</v>
      </c>
      <c r="H53" s="3928">
        <v>0.83333333333333326</v>
      </c>
      <c r="I53" s="3928">
        <v>0.16666666666666669</v>
      </c>
      <c r="J53" s="3942">
        <v>6.6666666666666666E-2</v>
      </c>
      <c r="K53" s="3942">
        <v>0.1</v>
      </c>
      <c r="L53" s="3942">
        <v>0.4</v>
      </c>
      <c r="M53" s="3942">
        <v>0.43333333333333335</v>
      </c>
    </row>
    <row r="54" spans="1:13">
      <c r="A54" s="5036"/>
      <c r="B54" s="5034" t="s">
        <v>2540</v>
      </c>
      <c r="C54" s="3940" t="s">
        <v>556</v>
      </c>
      <c r="D54" s="3925">
        <v>23</v>
      </c>
      <c r="E54" s="3925">
        <v>23</v>
      </c>
      <c r="F54" s="3926">
        <v>17</v>
      </c>
      <c r="G54" s="3941">
        <f t="shared" si="1"/>
        <v>73.913043478260875</v>
      </c>
      <c r="H54" s="3928">
        <v>0.93333333333333324</v>
      </c>
      <c r="I54" s="3928">
        <v>6.6666666666666666E-2</v>
      </c>
      <c r="J54" s="3942">
        <v>0</v>
      </c>
      <c r="K54" s="3942">
        <v>7.1428571428571438E-2</v>
      </c>
      <c r="L54" s="3942">
        <v>0.14285714285714288</v>
      </c>
      <c r="M54" s="3942">
        <v>0.7857142857142857</v>
      </c>
    </row>
    <row r="55" spans="1:13">
      <c r="A55" s="5036"/>
      <c r="B55" s="5034"/>
      <c r="C55" s="3940" t="s">
        <v>65</v>
      </c>
      <c r="D55" s="3925">
        <v>12</v>
      </c>
      <c r="E55" s="3925">
        <v>12</v>
      </c>
      <c r="F55" s="3926">
        <v>8</v>
      </c>
      <c r="G55" s="3941">
        <f t="shared" si="1"/>
        <v>66.666666666666671</v>
      </c>
      <c r="H55" s="3928">
        <v>0.57142857142857151</v>
      </c>
      <c r="I55" s="3928">
        <v>0.42857142857142855</v>
      </c>
      <c r="J55" s="3942">
        <v>0</v>
      </c>
      <c r="K55" s="3942">
        <v>0.25</v>
      </c>
      <c r="L55" s="3942">
        <v>0.5</v>
      </c>
      <c r="M55" s="3942">
        <v>0.25</v>
      </c>
    </row>
    <row r="56" spans="1:13">
      <c r="A56" s="5036"/>
      <c r="B56" s="5034"/>
      <c r="C56" s="3940" t="s">
        <v>422</v>
      </c>
      <c r="D56" s="3925">
        <v>15</v>
      </c>
      <c r="E56" s="3925">
        <v>15</v>
      </c>
      <c r="F56" s="3926">
        <v>8</v>
      </c>
      <c r="G56" s="3941">
        <f t="shared" si="1"/>
        <v>53.333333333333336</v>
      </c>
      <c r="H56" s="3942">
        <v>0.42857142857142855</v>
      </c>
      <c r="I56" s="3942">
        <v>0.57142857142857151</v>
      </c>
      <c r="J56" s="3942">
        <v>0</v>
      </c>
      <c r="K56" s="3942">
        <v>0.66666666666666674</v>
      </c>
      <c r="L56" s="3942">
        <v>0.33333333333333337</v>
      </c>
      <c r="M56" s="3942">
        <v>0</v>
      </c>
    </row>
    <row r="57" spans="1:13">
      <c r="A57" s="5036"/>
      <c r="B57" s="5034"/>
      <c r="C57" s="3940" t="s">
        <v>81</v>
      </c>
      <c r="D57" s="3925">
        <v>26</v>
      </c>
      <c r="E57" s="3925">
        <v>26</v>
      </c>
      <c r="F57" s="3926">
        <v>18</v>
      </c>
      <c r="G57" s="3941">
        <f t="shared" si="1"/>
        <v>69.230769230769226</v>
      </c>
      <c r="H57" s="3942">
        <v>0.375</v>
      </c>
      <c r="I57" s="3942">
        <v>0.625</v>
      </c>
      <c r="J57" s="3942">
        <v>0</v>
      </c>
      <c r="K57" s="3942">
        <v>0.33333333333333337</v>
      </c>
      <c r="L57" s="3942">
        <v>0.33333333333333337</v>
      </c>
      <c r="M57" s="3942">
        <v>0.33333333333333337</v>
      </c>
    </row>
    <row r="58" spans="1:13">
      <c r="A58" s="5036" t="s">
        <v>25</v>
      </c>
      <c r="B58" s="5034" t="s">
        <v>2541</v>
      </c>
      <c r="C58" s="3940" t="s">
        <v>32</v>
      </c>
      <c r="D58" s="3925">
        <v>85</v>
      </c>
      <c r="E58" s="3925">
        <v>54</v>
      </c>
      <c r="F58" s="3926">
        <v>47</v>
      </c>
      <c r="G58" s="3941">
        <f t="shared" si="1"/>
        <v>87.037037037037038</v>
      </c>
      <c r="H58" s="3942">
        <v>0.8085106382978724</v>
      </c>
      <c r="I58" s="3942">
        <v>0.19148936170212769</v>
      </c>
      <c r="J58" s="3943">
        <v>5.405405405405405E-2</v>
      </c>
      <c r="K58" s="3943">
        <v>5.405405405405405E-2</v>
      </c>
      <c r="L58" s="3943">
        <v>0.1891891891891892</v>
      </c>
      <c r="M58" s="3943">
        <v>0.70270270270270274</v>
      </c>
    </row>
    <row r="59" spans="1:13">
      <c r="A59" s="5036"/>
      <c r="B59" s="5034"/>
      <c r="C59" s="3940" t="s">
        <v>29</v>
      </c>
      <c r="D59" s="3925">
        <v>38</v>
      </c>
      <c r="E59" s="3925">
        <v>38</v>
      </c>
      <c r="F59" s="3926">
        <v>18</v>
      </c>
      <c r="G59" s="3941">
        <f t="shared" si="1"/>
        <v>47.368421052631582</v>
      </c>
      <c r="H59" s="3942">
        <v>0.41176470588235298</v>
      </c>
      <c r="I59" s="3942">
        <v>0.58823529411764708</v>
      </c>
      <c r="J59" s="3944">
        <v>0</v>
      </c>
      <c r="K59" s="3944">
        <v>0</v>
      </c>
      <c r="L59" s="3943">
        <v>0.8571428571428571</v>
      </c>
      <c r="M59" s="3943">
        <v>0.14285714285714288</v>
      </c>
    </row>
    <row r="60" spans="1:13">
      <c r="A60" s="5036"/>
      <c r="B60" s="5034"/>
      <c r="C60" s="3940" t="s">
        <v>559</v>
      </c>
      <c r="D60" s="3925">
        <v>57</v>
      </c>
      <c r="E60" s="3925">
        <v>57</v>
      </c>
      <c r="F60" s="3926">
        <v>26</v>
      </c>
      <c r="G60" s="3941">
        <f t="shared" si="1"/>
        <v>45.614035087719301</v>
      </c>
      <c r="H60" s="3942">
        <v>0.82608695652173902</v>
      </c>
      <c r="I60" s="3942">
        <v>0.17391304347826086</v>
      </c>
      <c r="J60" s="3944">
        <v>0</v>
      </c>
      <c r="K60" s="3943">
        <v>0.15789473684210525</v>
      </c>
      <c r="L60" s="3943">
        <v>0.31578947368421051</v>
      </c>
      <c r="M60" s="3943">
        <v>0.52631578947368418</v>
      </c>
    </row>
    <row r="61" spans="1:13">
      <c r="A61" s="5036"/>
      <c r="B61" s="5034"/>
      <c r="C61" s="3940" t="s">
        <v>826</v>
      </c>
      <c r="D61" s="3925">
        <v>74</v>
      </c>
      <c r="E61" s="3925">
        <v>58</v>
      </c>
      <c r="F61" s="3926">
        <v>37</v>
      </c>
      <c r="G61" s="3941">
        <f t="shared" si="1"/>
        <v>63.793103448275865</v>
      </c>
      <c r="H61" s="3942">
        <v>0.80555555555555558</v>
      </c>
      <c r="I61" s="3942">
        <v>0.19444444444444442</v>
      </c>
      <c r="J61" s="3943">
        <v>0.17241379310344829</v>
      </c>
      <c r="K61" s="3943">
        <v>0.24137931034482757</v>
      </c>
      <c r="L61" s="3943">
        <v>0.34482758620689657</v>
      </c>
      <c r="M61" s="3943">
        <v>0.24137931034482757</v>
      </c>
    </row>
    <row r="62" spans="1:13">
      <c r="A62" s="5036"/>
      <c r="B62" s="5034"/>
      <c r="C62" s="3940" t="s">
        <v>274</v>
      </c>
      <c r="D62" s="3925">
        <v>49</v>
      </c>
      <c r="E62" s="3925">
        <v>49</v>
      </c>
      <c r="F62" s="3926">
        <v>25</v>
      </c>
      <c r="G62" s="3941">
        <f t="shared" si="1"/>
        <v>51.020408163265309</v>
      </c>
      <c r="H62" s="3942">
        <v>0.48</v>
      </c>
      <c r="I62" s="3942">
        <v>0.52</v>
      </c>
      <c r="J62" s="3944">
        <v>0</v>
      </c>
      <c r="K62" s="3943">
        <v>0.25</v>
      </c>
      <c r="L62" s="3943">
        <v>0.33333333333333337</v>
      </c>
      <c r="M62" s="3943">
        <v>0.41666666666666663</v>
      </c>
    </row>
    <row r="63" spans="1:13">
      <c r="A63" s="5036"/>
      <c r="B63" s="5034"/>
      <c r="C63" s="3940" t="s">
        <v>829</v>
      </c>
      <c r="D63" s="3925">
        <v>12</v>
      </c>
      <c r="E63" s="3925">
        <v>12</v>
      </c>
      <c r="F63" s="3926">
        <v>6</v>
      </c>
      <c r="G63" s="3941">
        <f t="shared" si="1"/>
        <v>50</v>
      </c>
      <c r="H63" s="3942">
        <v>0.75</v>
      </c>
      <c r="I63" s="3942">
        <v>0.25</v>
      </c>
      <c r="J63" s="3944">
        <v>0</v>
      </c>
      <c r="K63" s="3944">
        <v>0</v>
      </c>
      <c r="L63" s="3944">
        <v>0</v>
      </c>
      <c r="M63" s="3943">
        <v>1</v>
      </c>
    </row>
    <row r="64" spans="1:13">
      <c r="A64" s="5036"/>
      <c r="B64" s="5034"/>
      <c r="C64" s="3940" t="s">
        <v>558</v>
      </c>
      <c r="D64" s="3925">
        <v>60</v>
      </c>
      <c r="E64" s="3925">
        <v>46</v>
      </c>
      <c r="F64" s="3926">
        <v>31</v>
      </c>
      <c r="G64" s="3941">
        <f t="shared" si="1"/>
        <v>67.391304347826093</v>
      </c>
      <c r="H64" s="3942">
        <v>0.62962962962962965</v>
      </c>
      <c r="I64" s="3942">
        <v>0.37037037037037041</v>
      </c>
      <c r="J64" s="3943">
        <v>0.15384615384615385</v>
      </c>
      <c r="K64" s="3943">
        <v>7.6923076923076927E-2</v>
      </c>
      <c r="L64" s="3943">
        <v>0.46153846153846151</v>
      </c>
      <c r="M64" s="3943">
        <v>0.30769230769230771</v>
      </c>
    </row>
    <row r="65" spans="1:13">
      <c r="A65" s="5036"/>
      <c r="B65" s="5034"/>
      <c r="C65" s="3940" t="s">
        <v>30</v>
      </c>
      <c r="D65" s="3925">
        <v>36</v>
      </c>
      <c r="E65" s="3925">
        <v>36</v>
      </c>
      <c r="F65" s="3926">
        <v>17</v>
      </c>
      <c r="G65" s="3941">
        <f t="shared" si="1"/>
        <v>47.222222222222221</v>
      </c>
      <c r="H65" s="3942">
        <v>0.5</v>
      </c>
      <c r="I65" s="3942">
        <v>0.5</v>
      </c>
      <c r="J65" s="3943">
        <v>0.125</v>
      </c>
      <c r="K65" s="3943">
        <v>0.25</v>
      </c>
      <c r="L65" s="3943">
        <v>0.375</v>
      </c>
      <c r="M65" s="3943">
        <v>0.25</v>
      </c>
    </row>
    <row r="66" spans="1:13">
      <c r="A66" s="5036"/>
      <c r="B66" s="5034"/>
      <c r="C66" s="3940" t="s">
        <v>31</v>
      </c>
      <c r="D66" s="3925">
        <v>31</v>
      </c>
      <c r="E66" s="3925">
        <v>31</v>
      </c>
      <c r="F66" s="3926">
        <v>13</v>
      </c>
      <c r="G66" s="3941">
        <f t="shared" si="1"/>
        <v>41.935483870967744</v>
      </c>
      <c r="H66" s="3942">
        <v>0</v>
      </c>
      <c r="I66" s="3942">
        <v>1</v>
      </c>
      <c r="J66" s="3942">
        <v>0</v>
      </c>
      <c r="K66" s="3943">
        <v>0</v>
      </c>
      <c r="L66" s="3943">
        <v>0</v>
      </c>
      <c r="M66" s="3942">
        <v>0</v>
      </c>
    </row>
    <row r="67" spans="1:13">
      <c r="A67" s="5036"/>
      <c r="B67" s="5034" t="s">
        <v>2536</v>
      </c>
      <c r="C67" s="3940" t="s">
        <v>17</v>
      </c>
      <c r="D67" s="3925">
        <v>256</v>
      </c>
      <c r="E67" s="3925">
        <v>103</v>
      </c>
      <c r="F67" s="3926">
        <v>93</v>
      </c>
      <c r="G67" s="3941">
        <f t="shared" si="1"/>
        <v>90.291262135922324</v>
      </c>
      <c r="H67" s="3942">
        <v>0.72727272727272729</v>
      </c>
      <c r="I67" s="3942">
        <v>0.27272727272727271</v>
      </c>
      <c r="J67" s="3942">
        <v>3.125E-2</v>
      </c>
      <c r="K67" s="3942">
        <v>7.8125E-2</v>
      </c>
      <c r="L67" s="3942">
        <v>0.4375</v>
      </c>
      <c r="M67" s="3942">
        <v>0.453125</v>
      </c>
    </row>
    <row r="68" spans="1:13">
      <c r="A68" s="5036"/>
      <c r="B68" s="5034"/>
      <c r="C68" s="3940" t="s">
        <v>33</v>
      </c>
      <c r="D68" s="3925">
        <v>79</v>
      </c>
      <c r="E68" s="3925">
        <v>32</v>
      </c>
      <c r="F68" s="3926">
        <v>25</v>
      </c>
      <c r="G68" s="3941">
        <f t="shared" si="1"/>
        <v>78.125</v>
      </c>
      <c r="H68" s="3942">
        <v>0.48</v>
      </c>
      <c r="I68" s="3942">
        <v>0.52</v>
      </c>
      <c r="J68" s="3942">
        <v>0</v>
      </c>
      <c r="K68" s="3942">
        <v>0.25</v>
      </c>
      <c r="L68" s="3942">
        <v>0.41666666666666663</v>
      </c>
      <c r="M68" s="3942">
        <v>0.33333333333333337</v>
      </c>
    </row>
    <row r="69" spans="1:13">
      <c r="A69" s="5036"/>
      <c r="B69" s="5034"/>
      <c r="C69" s="3940" t="s">
        <v>38</v>
      </c>
      <c r="D69" s="3925">
        <v>105</v>
      </c>
      <c r="E69" s="3925">
        <v>42</v>
      </c>
      <c r="F69" s="3926">
        <v>51</v>
      </c>
      <c r="G69" s="3941">
        <v>100</v>
      </c>
      <c r="H69" s="3942">
        <v>0.67346938775510212</v>
      </c>
      <c r="I69" s="3942">
        <v>0.32653061224489799</v>
      </c>
      <c r="J69" s="3942">
        <v>0.12121212121212122</v>
      </c>
      <c r="K69" s="3942">
        <v>0.27272727272727271</v>
      </c>
      <c r="L69" s="3942">
        <v>0.30303030303030304</v>
      </c>
      <c r="M69" s="3942">
        <v>0.30303030303030304</v>
      </c>
    </row>
    <row r="70" spans="1:13">
      <c r="A70" s="5036"/>
      <c r="B70" s="5034"/>
      <c r="C70" s="3940" t="s">
        <v>19</v>
      </c>
      <c r="D70" s="3925">
        <v>80</v>
      </c>
      <c r="E70" s="3925">
        <v>32</v>
      </c>
      <c r="F70" s="3926">
        <v>28</v>
      </c>
      <c r="G70" s="3941">
        <f t="shared" si="1"/>
        <v>87.5</v>
      </c>
      <c r="H70" s="3942">
        <v>0.70370370370370372</v>
      </c>
      <c r="I70" s="3942">
        <v>0.29629629629629628</v>
      </c>
      <c r="J70" s="3942">
        <v>0.10526315789473685</v>
      </c>
      <c r="K70" s="3942">
        <v>0.15789473684210525</v>
      </c>
      <c r="L70" s="3942">
        <v>0.57894736842105265</v>
      </c>
      <c r="M70" s="3942">
        <v>0.15789473684210525</v>
      </c>
    </row>
    <row r="71" spans="1:13">
      <c r="A71" s="5036"/>
      <c r="B71" s="5034"/>
      <c r="C71" s="3940" t="s">
        <v>35</v>
      </c>
      <c r="D71" s="3925">
        <v>67</v>
      </c>
      <c r="E71" s="3925">
        <v>43</v>
      </c>
      <c r="F71" s="3926">
        <v>26</v>
      </c>
      <c r="G71" s="3941">
        <f t="shared" si="1"/>
        <v>60.465116279069768</v>
      </c>
      <c r="H71" s="3942">
        <v>0.76923076923076916</v>
      </c>
      <c r="I71" s="3942">
        <v>0.23076923076923075</v>
      </c>
      <c r="J71" s="3942">
        <v>0.2</v>
      </c>
      <c r="K71" s="3942">
        <v>0.1</v>
      </c>
      <c r="L71" s="3942">
        <v>0.4</v>
      </c>
      <c r="M71" s="3942">
        <v>0.3</v>
      </c>
    </row>
    <row r="72" spans="1:13">
      <c r="A72" s="5036"/>
      <c r="B72" s="5034"/>
      <c r="C72" s="3940" t="s">
        <v>36</v>
      </c>
      <c r="D72" s="3925">
        <v>72</v>
      </c>
      <c r="E72" s="3925">
        <v>29</v>
      </c>
      <c r="F72" s="3926">
        <v>32</v>
      </c>
      <c r="G72" s="3941">
        <v>100</v>
      </c>
      <c r="H72" s="3942">
        <v>0.44827586206896552</v>
      </c>
      <c r="I72" s="3942">
        <v>0.55172413793103448</v>
      </c>
      <c r="J72" s="3942">
        <v>0</v>
      </c>
      <c r="K72" s="3942">
        <v>0</v>
      </c>
      <c r="L72" s="3942">
        <v>0.38461538461538458</v>
      </c>
      <c r="M72" s="3942">
        <v>0.61538461538461542</v>
      </c>
    </row>
    <row r="73" spans="1:13">
      <c r="A73" s="5036"/>
      <c r="B73" s="5034"/>
      <c r="C73" s="3940" t="s">
        <v>34</v>
      </c>
      <c r="D73" s="3925">
        <v>60</v>
      </c>
      <c r="E73" s="3925">
        <v>36</v>
      </c>
      <c r="F73" s="3926">
        <v>32</v>
      </c>
      <c r="G73" s="3941">
        <f t="shared" si="1"/>
        <v>88.888888888888886</v>
      </c>
      <c r="H73" s="3942">
        <v>0.74193548387096764</v>
      </c>
      <c r="I73" s="3942">
        <v>0.25806451612903225</v>
      </c>
      <c r="J73" s="3942">
        <v>8.6956521739130432E-2</v>
      </c>
      <c r="K73" s="3942">
        <v>4.3478260869565216E-2</v>
      </c>
      <c r="L73" s="3942">
        <v>0.21739130434782608</v>
      </c>
      <c r="M73" s="3942">
        <v>0.65217391304347827</v>
      </c>
    </row>
    <row r="74" spans="1:13">
      <c r="A74" s="5036"/>
      <c r="B74" s="5034"/>
      <c r="C74" s="3940" t="s">
        <v>560</v>
      </c>
      <c r="D74" s="3925">
        <v>38</v>
      </c>
      <c r="E74" s="3925">
        <v>38</v>
      </c>
      <c r="F74" s="3926">
        <v>12</v>
      </c>
      <c r="G74" s="3941">
        <f t="shared" si="1"/>
        <v>31.578947368421051</v>
      </c>
      <c r="H74" s="3942">
        <v>0.66666666666666674</v>
      </c>
      <c r="I74" s="3942">
        <v>0.33333333333333337</v>
      </c>
      <c r="J74" s="3942">
        <v>0.25</v>
      </c>
      <c r="K74" s="3942">
        <v>0.125</v>
      </c>
      <c r="L74" s="3942">
        <v>0.25</v>
      </c>
      <c r="M74" s="3942">
        <v>0.375</v>
      </c>
    </row>
    <row r="75" spans="1:13">
      <c r="A75" s="5036"/>
      <c r="B75" s="5034"/>
      <c r="C75" s="3940" t="s">
        <v>39</v>
      </c>
      <c r="D75" s="3925">
        <v>286</v>
      </c>
      <c r="E75" s="3925">
        <v>116</v>
      </c>
      <c r="F75" s="3926">
        <v>88</v>
      </c>
      <c r="G75" s="3941">
        <f t="shared" si="1"/>
        <v>75.862068965517238</v>
      </c>
      <c r="H75" s="3942">
        <v>0.79518072289156616</v>
      </c>
      <c r="I75" s="3942">
        <v>0.20481927710843373</v>
      </c>
      <c r="J75" s="3942">
        <v>0.15625</v>
      </c>
      <c r="K75" s="3942">
        <v>0.140625</v>
      </c>
      <c r="L75" s="3942">
        <v>0.421875</v>
      </c>
      <c r="M75" s="3942">
        <v>0.28125</v>
      </c>
    </row>
    <row r="76" spans="1:13">
      <c r="A76" s="5036"/>
      <c r="B76" s="5034"/>
      <c r="C76" s="3940" t="s">
        <v>20</v>
      </c>
      <c r="D76" s="3925">
        <v>70</v>
      </c>
      <c r="E76" s="3925">
        <v>44</v>
      </c>
      <c r="F76" s="3926">
        <v>28</v>
      </c>
      <c r="G76" s="3941">
        <f t="shared" si="1"/>
        <v>63.636363636363633</v>
      </c>
      <c r="H76" s="3942">
        <v>0.74074074074074081</v>
      </c>
      <c r="I76" s="3942">
        <v>0.2592592592592593</v>
      </c>
      <c r="J76" s="3942">
        <v>0.2</v>
      </c>
      <c r="K76" s="3942">
        <v>0.25</v>
      </c>
      <c r="L76" s="3942">
        <v>0.35</v>
      </c>
      <c r="M76" s="3942">
        <v>0.2</v>
      </c>
    </row>
    <row r="77" spans="1:13">
      <c r="A77" s="5036"/>
      <c r="B77" s="5034"/>
      <c r="C77" s="3940" t="s">
        <v>40</v>
      </c>
      <c r="D77" s="3925">
        <v>18</v>
      </c>
      <c r="E77" s="3925">
        <v>18</v>
      </c>
      <c r="F77" s="3926">
        <v>7</v>
      </c>
      <c r="G77" s="3941">
        <f t="shared" si="1"/>
        <v>38.888888888888886</v>
      </c>
      <c r="H77" s="3942">
        <v>0.8571428571428571</v>
      </c>
      <c r="I77" s="3942">
        <v>0.14285714285714288</v>
      </c>
      <c r="J77" s="3942">
        <v>0</v>
      </c>
      <c r="K77" s="3942">
        <v>0.33333333333333337</v>
      </c>
      <c r="L77" s="3942">
        <v>0.33333333333333337</v>
      </c>
      <c r="M77" s="3942">
        <v>0.33333333333333337</v>
      </c>
    </row>
    <row r="78" spans="1:13">
      <c r="A78" s="5036"/>
      <c r="B78" s="5034" t="s">
        <v>2538</v>
      </c>
      <c r="C78" s="3940" t="s">
        <v>42</v>
      </c>
      <c r="D78" s="3925">
        <v>182</v>
      </c>
      <c r="E78" s="3925">
        <v>92</v>
      </c>
      <c r="F78" s="3926">
        <v>82</v>
      </c>
      <c r="G78" s="3941">
        <f t="shared" si="1"/>
        <v>89.130434782608702</v>
      </c>
      <c r="H78" s="3942">
        <v>0.51948051948051943</v>
      </c>
      <c r="I78" s="3942">
        <v>0.48051948051948051</v>
      </c>
      <c r="J78" s="3942">
        <v>0.12820512820512822</v>
      </c>
      <c r="K78" s="3942">
        <v>0.25641025641025644</v>
      </c>
      <c r="L78" s="3942">
        <v>0.30769230769230771</v>
      </c>
      <c r="M78" s="3942">
        <v>0.30769230769230771</v>
      </c>
    </row>
    <row r="79" spans="1:13">
      <c r="A79" s="5036"/>
      <c r="B79" s="5034"/>
      <c r="C79" s="3940" t="s">
        <v>43</v>
      </c>
      <c r="D79" s="3925">
        <v>105</v>
      </c>
      <c r="E79" s="3925">
        <v>53</v>
      </c>
      <c r="F79" s="3926">
        <v>46</v>
      </c>
      <c r="G79" s="3941">
        <f t="shared" si="1"/>
        <v>86.79245283018868</v>
      </c>
      <c r="H79" s="3942">
        <v>0.21739130434782608</v>
      </c>
      <c r="I79" s="3942">
        <v>0.78260869565217395</v>
      </c>
      <c r="J79" s="3942">
        <v>0.1</v>
      </c>
      <c r="K79" s="3942">
        <v>0.2</v>
      </c>
      <c r="L79" s="3942">
        <v>0.4</v>
      </c>
      <c r="M79" s="3942">
        <v>0.3</v>
      </c>
    </row>
    <row r="80" spans="1:13">
      <c r="A80" s="5036"/>
      <c r="B80" s="5034"/>
      <c r="C80" s="3940" t="s">
        <v>44</v>
      </c>
      <c r="D80" s="3925">
        <v>78</v>
      </c>
      <c r="E80" s="3925">
        <v>39</v>
      </c>
      <c r="F80" s="3926">
        <v>30</v>
      </c>
      <c r="G80" s="3941">
        <f t="shared" si="1"/>
        <v>76.92307692307692</v>
      </c>
      <c r="H80" s="3942">
        <v>0.4642857142857143</v>
      </c>
      <c r="I80" s="3942">
        <v>0.5357142857142857</v>
      </c>
      <c r="J80" s="3942">
        <v>7.6923076923076927E-2</v>
      </c>
      <c r="K80" s="3942">
        <v>0.23076923076923075</v>
      </c>
      <c r="L80" s="3942">
        <v>0.38461538461538458</v>
      </c>
      <c r="M80" s="3942">
        <v>0.30769230769230771</v>
      </c>
    </row>
    <row r="81" spans="1:13">
      <c r="A81" s="5036"/>
      <c r="B81" s="5034"/>
      <c r="C81" s="3940" t="s">
        <v>275</v>
      </c>
      <c r="D81" s="3925">
        <v>164</v>
      </c>
      <c r="E81" s="3925">
        <v>83</v>
      </c>
      <c r="F81" s="3926">
        <v>70</v>
      </c>
      <c r="G81" s="3941">
        <f t="shared" si="1"/>
        <v>84.337349397590359</v>
      </c>
      <c r="H81" s="3942">
        <v>0.68181818181818188</v>
      </c>
      <c r="I81" s="3942">
        <v>0.31818181818181818</v>
      </c>
      <c r="J81" s="3942">
        <v>6.9767441860465115E-2</v>
      </c>
      <c r="K81" s="3942">
        <v>0.18604651162790697</v>
      </c>
      <c r="L81" s="3942">
        <v>0.37209302325581395</v>
      </c>
      <c r="M81" s="3942">
        <v>0.37209302325581395</v>
      </c>
    </row>
    <row r="82" spans="1:13">
      <c r="A82" s="5036"/>
      <c r="B82" s="5034"/>
      <c r="C82" s="3940" t="s">
        <v>276</v>
      </c>
      <c r="D82" s="3925">
        <v>169</v>
      </c>
      <c r="E82" s="3925">
        <v>86</v>
      </c>
      <c r="F82" s="3926">
        <v>75</v>
      </c>
      <c r="G82" s="3941">
        <f t="shared" si="1"/>
        <v>87.20930232558139</v>
      </c>
      <c r="H82" s="3942">
        <v>0.6619718309859155</v>
      </c>
      <c r="I82" s="3942">
        <v>0.3380281690140845</v>
      </c>
      <c r="J82" s="3942">
        <v>0.1276595744680851</v>
      </c>
      <c r="K82" s="3942">
        <v>0.1702127659574468</v>
      </c>
      <c r="L82" s="3942">
        <v>0.27659574468085107</v>
      </c>
      <c r="M82" s="3942">
        <v>0.42553191489361702</v>
      </c>
    </row>
    <row r="83" spans="1:13">
      <c r="A83" s="5036"/>
      <c r="B83" s="5034"/>
      <c r="C83" s="3940" t="s">
        <v>45</v>
      </c>
      <c r="D83" s="3925">
        <v>38</v>
      </c>
      <c r="E83" s="3925">
        <v>38</v>
      </c>
      <c r="F83" s="3926">
        <v>11</v>
      </c>
      <c r="G83" s="3941">
        <f t="shared" si="1"/>
        <v>28.94736842105263</v>
      </c>
      <c r="H83" s="3942">
        <v>0.8</v>
      </c>
      <c r="I83" s="3942">
        <v>0.2</v>
      </c>
      <c r="J83" s="3942">
        <v>0.28571428571428575</v>
      </c>
      <c r="K83" s="3942">
        <v>0.14285714285714288</v>
      </c>
      <c r="L83" s="3942">
        <v>0.28571428571428575</v>
      </c>
      <c r="M83" s="3942">
        <v>0.28571428571428575</v>
      </c>
    </row>
    <row r="84" spans="1:13">
      <c r="A84" s="5036" t="s">
        <v>48</v>
      </c>
      <c r="B84" s="5034" t="s">
        <v>2536</v>
      </c>
      <c r="C84" s="3940" t="s">
        <v>17</v>
      </c>
      <c r="D84" s="3925">
        <v>254</v>
      </c>
      <c r="E84" s="3925">
        <v>80</v>
      </c>
      <c r="F84" s="3926">
        <v>85</v>
      </c>
      <c r="G84" s="3941">
        <f t="shared" si="1"/>
        <v>106.25</v>
      </c>
      <c r="H84" s="3942">
        <v>0.86250000000000004</v>
      </c>
      <c r="I84" s="3942">
        <v>0.13750000000000001</v>
      </c>
      <c r="J84" s="3942">
        <v>2.8985507246376812E-2</v>
      </c>
      <c r="K84" s="3942">
        <v>0.11594202898550725</v>
      </c>
      <c r="L84" s="3942">
        <v>0.52173913043478259</v>
      </c>
      <c r="M84" s="3942">
        <v>0.33333333333333337</v>
      </c>
    </row>
    <row r="85" spans="1:13">
      <c r="A85" s="5036"/>
      <c r="B85" s="5034"/>
      <c r="C85" s="3940" t="s">
        <v>49</v>
      </c>
      <c r="D85" s="3925">
        <v>352</v>
      </c>
      <c r="E85" s="3925">
        <v>111</v>
      </c>
      <c r="F85" s="3926">
        <v>127</v>
      </c>
      <c r="G85" s="3941">
        <v>100</v>
      </c>
      <c r="H85" s="3942">
        <v>0.76470588235294112</v>
      </c>
      <c r="I85" s="3942">
        <v>0.23529411764705885</v>
      </c>
      <c r="J85" s="3942">
        <v>6.6666666666666666E-2</v>
      </c>
      <c r="K85" s="3942">
        <v>8.8888888888888892E-2</v>
      </c>
      <c r="L85" s="3942">
        <v>0.28888888888888892</v>
      </c>
      <c r="M85" s="3942">
        <v>0.55555555555555558</v>
      </c>
    </row>
    <row r="86" spans="1:13">
      <c r="A86" s="5036"/>
      <c r="B86" s="5034"/>
      <c r="C86" s="3940" t="s">
        <v>19</v>
      </c>
      <c r="D86" s="3925">
        <v>176</v>
      </c>
      <c r="E86" s="3925">
        <v>55</v>
      </c>
      <c r="F86" s="3926">
        <v>59</v>
      </c>
      <c r="G86" s="3941">
        <v>100</v>
      </c>
      <c r="H86" s="3942">
        <v>0.7068965517241379</v>
      </c>
      <c r="I86" s="3942">
        <v>0.29310344827586204</v>
      </c>
      <c r="J86" s="3942">
        <v>4.878048780487805E-2</v>
      </c>
      <c r="K86" s="3942">
        <v>0.21951219512195125</v>
      </c>
      <c r="L86" s="3942">
        <v>0.51219512195121952</v>
      </c>
      <c r="M86" s="3942">
        <v>0.21951219512195125</v>
      </c>
    </row>
    <row r="87" spans="1:13">
      <c r="A87" s="5036"/>
      <c r="B87" s="5034"/>
      <c r="C87" s="3940" t="s">
        <v>51</v>
      </c>
      <c r="D87" s="3925">
        <v>91</v>
      </c>
      <c r="E87" s="3925">
        <v>29</v>
      </c>
      <c r="F87" s="3926">
        <v>30</v>
      </c>
      <c r="G87" s="3941">
        <v>100</v>
      </c>
      <c r="H87" s="3942">
        <v>0.76666666666666672</v>
      </c>
      <c r="I87" s="3942">
        <v>0.23333333333333331</v>
      </c>
      <c r="J87" s="3942">
        <v>8.6956521739130432E-2</v>
      </c>
      <c r="K87" s="3942">
        <v>0.13043478260869565</v>
      </c>
      <c r="L87" s="3942">
        <v>0.43478260869565216</v>
      </c>
      <c r="M87" s="3942">
        <v>0.34782608695652173</v>
      </c>
    </row>
    <row r="88" spans="1:13">
      <c r="A88" s="5036"/>
      <c r="B88" s="5034"/>
      <c r="C88" s="3940" t="s">
        <v>50</v>
      </c>
      <c r="D88" s="3925">
        <v>565</v>
      </c>
      <c r="E88" s="3925">
        <v>179</v>
      </c>
      <c r="F88" s="3926">
        <v>184</v>
      </c>
      <c r="G88" s="3941">
        <v>100</v>
      </c>
      <c r="H88" s="3942">
        <v>0.72941176470588232</v>
      </c>
      <c r="I88" s="3942">
        <v>0.27058823529411763</v>
      </c>
      <c r="J88" s="3942">
        <v>0.1056910569105691</v>
      </c>
      <c r="K88" s="3942">
        <v>0.2113821138211382</v>
      </c>
      <c r="L88" s="3942">
        <v>0.34959349593495936</v>
      </c>
      <c r="M88" s="3942">
        <v>0.33333333333333337</v>
      </c>
    </row>
    <row r="89" spans="1:13">
      <c r="A89" s="5036"/>
      <c r="B89" s="5034"/>
      <c r="C89" s="3940" t="s">
        <v>20</v>
      </c>
      <c r="D89" s="3925">
        <v>222</v>
      </c>
      <c r="E89" s="3925">
        <v>70</v>
      </c>
      <c r="F89" s="3926">
        <v>82</v>
      </c>
      <c r="G89" s="3941">
        <v>100</v>
      </c>
      <c r="H89" s="3942">
        <v>0.6</v>
      </c>
      <c r="I89" s="3942">
        <v>0.4</v>
      </c>
      <c r="J89" s="3942">
        <v>0.14893617021276595</v>
      </c>
      <c r="K89" s="3942">
        <v>0.1702127659574468</v>
      </c>
      <c r="L89" s="3942">
        <v>0.48936170212765956</v>
      </c>
      <c r="M89" s="3942">
        <v>0.19148936170212769</v>
      </c>
    </row>
    <row r="90" spans="1:13">
      <c r="A90" s="5036"/>
      <c r="B90" s="5034" t="s">
        <v>2538</v>
      </c>
      <c r="C90" s="3940" t="s">
        <v>56</v>
      </c>
      <c r="D90" s="3925">
        <v>230</v>
      </c>
      <c r="E90" s="3925">
        <v>58</v>
      </c>
      <c r="F90" s="3926">
        <v>71</v>
      </c>
      <c r="G90" s="3941">
        <v>100</v>
      </c>
      <c r="H90" s="3942">
        <v>0.6515151515151516</v>
      </c>
      <c r="I90" s="3942">
        <v>0.34848484848484851</v>
      </c>
      <c r="J90" s="3942">
        <v>0.20930232558139536</v>
      </c>
      <c r="K90" s="3942">
        <v>0.11627906976744186</v>
      </c>
      <c r="L90" s="3942">
        <v>0.27906976744186046</v>
      </c>
      <c r="M90" s="3942">
        <v>0.39534883720930231</v>
      </c>
    </row>
    <row r="91" spans="1:13">
      <c r="A91" s="5036"/>
      <c r="B91" s="5034"/>
      <c r="C91" s="3940" t="s">
        <v>42</v>
      </c>
      <c r="D91" s="3925">
        <v>281</v>
      </c>
      <c r="E91" s="3925">
        <v>71</v>
      </c>
      <c r="F91" s="3926">
        <v>108</v>
      </c>
      <c r="G91" s="3941">
        <v>100</v>
      </c>
      <c r="H91" s="3942">
        <v>0.40594059405940591</v>
      </c>
      <c r="I91" s="3942">
        <v>0.59405940594059414</v>
      </c>
      <c r="J91" s="3942">
        <v>7.4999999999999997E-2</v>
      </c>
      <c r="K91" s="3942">
        <v>0.1</v>
      </c>
      <c r="L91" s="3942">
        <v>0.375</v>
      </c>
      <c r="M91" s="3942">
        <v>0.45</v>
      </c>
    </row>
    <row r="92" spans="1:13">
      <c r="A92" s="5036"/>
      <c r="B92" s="5034"/>
      <c r="C92" s="3940" t="s">
        <v>52</v>
      </c>
      <c r="D92" s="3925">
        <v>241</v>
      </c>
      <c r="E92" s="3925">
        <v>61</v>
      </c>
      <c r="F92" s="3926">
        <v>82</v>
      </c>
      <c r="G92" s="3941">
        <v>100</v>
      </c>
      <c r="H92" s="3942">
        <v>0.71232876712328763</v>
      </c>
      <c r="I92" s="3942">
        <v>0.28767123287671231</v>
      </c>
      <c r="J92" s="3942">
        <v>0.02</v>
      </c>
      <c r="K92" s="3942">
        <v>0</v>
      </c>
      <c r="L92" s="3942">
        <v>0.2</v>
      </c>
      <c r="M92" s="3942">
        <v>0.78</v>
      </c>
    </row>
    <row r="93" spans="1:13">
      <c r="A93" s="5036"/>
      <c r="B93" s="5034"/>
      <c r="C93" s="3940" t="s">
        <v>53</v>
      </c>
      <c r="D93" s="3925">
        <v>307</v>
      </c>
      <c r="E93" s="3925">
        <v>78</v>
      </c>
      <c r="F93" s="3926">
        <v>79</v>
      </c>
      <c r="G93" s="3941">
        <v>100</v>
      </c>
      <c r="H93" s="3942">
        <v>0.69333333333333325</v>
      </c>
      <c r="I93" s="3942">
        <v>0.3066666666666667</v>
      </c>
      <c r="J93" s="3942">
        <v>0.08</v>
      </c>
      <c r="K93" s="3942">
        <v>0.08</v>
      </c>
      <c r="L93" s="3942">
        <v>0.18</v>
      </c>
      <c r="M93" s="3942">
        <v>0.66</v>
      </c>
    </row>
    <row r="94" spans="1:13">
      <c r="A94" s="5036"/>
      <c r="B94" s="5034"/>
      <c r="C94" s="3940" t="s">
        <v>264</v>
      </c>
      <c r="D94" s="3925">
        <v>265</v>
      </c>
      <c r="E94" s="3925">
        <v>68</v>
      </c>
      <c r="F94" s="3926">
        <v>71</v>
      </c>
      <c r="G94" s="3941">
        <v>100</v>
      </c>
      <c r="H94" s="3942">
        <v>0.6</v>
      </c>
      <c r="I94" s="3942">
        <v>0.4</v>
      </c>
      <c r="J94" s="3942">
        <v>0</v>
      </c>
      <c r="K94" s="3942">
        <v>2.3809523809523808E-2</v>
      </c>
      <c r="L94" s="3942">
        <v>0.11904761904761905</v>
      </c>
      <c r="M94" s="3942">
        <v>0.8571428571428571</v>
      </c>
    </row>
    <row r="95" spans="1:13">
      <c r="A95" s="5036"/>
      <c r="B95" s="5034"/>
      <c r="C95" s="3940" t="s">
        <v>55</v>
      </c>
      <c r="D95" s="3925">
        <v>334</v>
      </c>
      <c r="E95" s="3925">
        <v>85</v>
      </c>
      <c r="F95" s="3926">
        <v>105</v>
      </c>
      <c r="G95" s="3941">
        <v>100</v>
      </c>
      <c r="H95" s="3942">
        <v>0.70707070707070718</v>
      </c>
      <c r="I95" s="3942">
        <v>0.29292929292929293</v>
      </c>
      <c r="J95" s="3942">
        <v>7.3529411764705885E-2</v>
      </c>
      <c r="K95" s="3942">
        <v>7.3529411764705885E-2</v>
      </c>
      <c r="L95" s="3942">
        <v>0.19117647058823528</v>
      </c>
      <c r="M95" s="3942">
        <v>0.66176470588235292</v>
      </c>
    </row>
    <row r="96" spans="1:13">
      <c r="A96" s="5036"/>
      <c r="B96" s="5034"/>
      <c r="C96" s="3940" t="s">
        <v>54</v>
      </c>
      <c r="D96" s="3925">
        <v>380</v>
      </c>
      <c r="E96" s="3925">
        <v>96</v>
      </c>
      <c r="F96" s="3926">
        <v>108</v>
      </c>
      <c r="G96" s="3941">
        <v>100</v>
      </c>
      <c r="H96" s="3942">
        <v>0.71698113207547165</v>
      </c>
      <c r="I96" s="3942">
        <v>0.28301886792452829</v>
      </c>
      <c r="J96" s="3942">
        <v>2.6315789473684213E-2</v>
      </c>
      <c r="K96" s="3942">
        <v>6.5789473684210523E-2</v>
      </c>
      <c r="L96" s="3942">
        <v>0.3289473684210526</v>
      </c>
      <c r="M96" s="3942">
        <v>0.57894736842105265</v>
      </c>
    </row>
    <row r="97" spans="1:13">
      <c r="A97" s="5036"/>
      <c r="B97" s="5034"/>
      <c r="C97" s="3940" t="s">
        <v>277</v>
      </c>
      <c r="D97" s="3925">
        <v>219</v>
      </c>
      <c r="E97" s="3925">
        <v>56</v>
      </c>
      <c r="F97" s="3926">
        <v>70</v>
      </c>
      <c r="G97" s="3941">
        <v>100</v>
      </c>
      <c r="H97" s="3942">
        <v>0.68656716417910446</v>
      </c>
      <c r="I97" s="3942">
        <v>0.31343283582089554</v>
      </c>
      <c r="J97" s="3942">
        <v>9.0909090909090912E-2</v>
      </c>
      <c r="K97" s="3942">
        <v>0.20454545454545453</v>
      </c>
      <c r="L97" s="3942">
        <v>0.20454545454545453</v>
      </c>
      <c r="M97" s="3942">
        <v>0.5</v>
      </c>
    </row>
    <row r="98" spans="1:13">
      <c r="A98" s="5036"/>
      <c r="B98" s="5034" t="s">
        <v>2537</v>
      </c>
      <c r="C98" s="3940" t="s">
        <v>22</v>
      </c>
      <c r="D98" s="3925">
        <v>327</v>
      </c>
      <c r="E98" s="3925">
        <v>159</v>
      </c>
      <c r="F98" s="3926">
        <v>141</v>
      </c>
      <c r="G98" s="3941">
        <f>F98*100/E98</f>
        <v>88.679245283018872</v>
      </c>
      <c r="H98" s="3942">
        <v>0.84444444444444444</v>
      </c>
      <c r="I98" s="3942">
        <v>0.15555555555555556</v>
      </c>
      <c r="J98" s="3942">
        <v>0</v>
      </c>
      <c r="K98" s="3942">
        <v>0.10526315789473685</v>
      </c>
      <c r="L98" s="3942">
        <v>0.2807017543859649</v>
      </c>
      <c r="M98" s="3942">
        <v>0.61403508771929827</v>
      </c>
    </row>
    <row r="99" spans="1:13">
      <c r="A99" s="5036"/>
      <c r="B99" s="5034"/>
      <c r="C99" s="3940" t="s">
        <v>58</v>
      </c>
      <c r="D99" s="3925">
        <v>135</v>
      </c>
      <c r="E99" s="3925">
        <v>65</v>
      </c>
      <c r="F99" s="3926">
        <v>47</v>
      </c>
      <c r="G99" s="3941">
        <f t="shared" ref="G99:G105" si="2">F99*100/E99</f>
        <v>72.307692307692307</v>
      </c>
      <c r="H99" s="3942">
        <v>0.6428571428571429</v>
      </c>
      <c r="I99" s="3942">
        <v>0.35714285714285715</v>
      </c>
      <c r="J99" s="3942">
        <v>0.2592592592592593</v>
      </c>
      <c r="K99" s="3942">
        <v>7.407407407407407E-2</v>
      </c>
      <c r="L99" s="3942">
        <v>0.33333333333333337</v>
      </c>
      <c r="M99" s="3942">
        <v>0.33333333333333337</v>
      </c>
    </row>
    <row r="100" spans="1:13">
      <c r="A100" s="5036"/>
      <c r="B100" s="5034"/>
      <c r="C100" s="3940" t="s">
        <v>23</v>
      </c>
      <c r="D100" s="3925">
        <v>219</v>
      </c>
      <c r="E100" s="3925">
        <v>106</v>
      </c>
      <c r="F100" s="3926">
        <v>86</v>
      </c>
      <c r="G100" s="3941">
        <f t="shared" si="2"/>
        <v>81.132075471698116</v>
      </c>
      <c r="H100" s="3942">
        <v>0.76190476190476186</v>
      </c>
      <c r="I100" s="3942">
        <v>0.23809523809523811</v>
      </c>
      <c r="J100" s="3942">
        <v>3.1746031746031744E-2</v>
      </c>
      <c r="K100" s="3942">
        <v>7.9365079365079361E-2</v>
      </c>
      <c r="L100" s="3942">
        <v>0.23809523809523811</v>
      </c>
      <c r="M100" s="3942">
        <v>0.6507936507936507</v>
      </c>
    </row>
    <row r="101" spans="1:13">
      <c r="A101" s="5036"/>
      <c r="B101" s="5034"/>
      <c r="C101" s="3940" t="s">
        <v>24</v>
      </c>
      <c r="D101" s="3925">
        <v>141</v>
      </c>
      <c r="E101" s="3925">
        <v>67</v>
      </c>
      <c r="F101" s="3926">
        <v>52</v>
      </c>
      <c r="G101" s="3941">
        <f t="shared" si="2"/>
        <v>77.611940298507463</v>
      </c>
      <c r="H101" s="3942">
        <v>0.87234042553191482</v>
      </c>
      <c r="I101" s="3942">
        <v>0.1276595744680851</v>
      </c>
      <c r="J101" s="3942">
        <v>7.3170731707317083E-2</v>
      </c>
      <c r="K101" s="3942">
        <v>7.3170731707317083E-2</v>
      </c>
      <c r="L101" s="3942">
        <v>0.26829268292682928</v>
      </c>
      <c r="M101" s="3942">
        <v>0.58536585365853666</v>
      </c>
    </row>
    <row r="102" spans="1:13" ht="36">
      <c r="A102" s="5036" t="s">
        <v>249</v>
      </c>
      <c r="B102" s="3945" t="s">
        <v>2541</v>
      </c>
      <c r="C102" s="3946" t="s">
        <v>2356</v>
      </c>
      <c r="D102" s="3925">
        <v>5</v>
      </c>
      <c r="E102" s="3925">
        <v>5</v>
      </c>
      <c r="F102" s="3925">
        <v>3</v>
      </c>
      <c r="G102" s="3941">
        <f t="shared" si="2"/>
        <v>60</v>
      </c>
      <c r="H102" s="3942">
        <v>0.66666666666666674</v>
      </c>
      <c r="I102" s="3942">
        <v>0.33333333333333337</v>
      </c>
      <c r="J102" s="3944">
        <v>0</v>
      </c>
      <c r="K102" s="3944">
        <v>0</v>
      </c>
      <c r="L102" s="3943">
        <v>1</v>
      </c>
      <c r="M102" s="3944">
        <v>0</v>
      </c>
    </row>
    <row r="103" spans="1:13" ht="36">
      <c r="A103" s="5036"/>
      <c r="B103" s="3947" t="s">
        <v>2536</v>
      </c>
      <c r="C103" s="3946" t="s">
        <v>830</v>
      </c>
      <c r="D103" s="3925">
        <v>11</v>
      </c>
      <c r="E103" s="3925">
        <v>11</v>
      </c>
      <c r="F103" s="3925">
        <v>9</v>
      </c>
      <c r="G103" s="3941">
        <f t="shared" si="2"/>
        <v>81.818181818181813</v>
      </c>
      <c r="H103" s="3942">
        <v>0.55555555555555558</v>
      </c>
      <c r="I103" s="3942">
        <v>0.44444444444444442</v>
      </c>
      <c r="J103" s="3944">
        <v>0</v>
      </c>
      <c r="K103" s="3943">
        <v>0.6</v>
      </c>
      <c r="L103" s="3943">
        <v>0.2</v>
      </c>
      <c r="M103" s="3943">
        <v>0.2</v>
      </c>
    </row>
    <row r="104" spans="1:13" ht="36">
      <c r="A104" s="5036"/>
      <c r="B104" s="3947" t="s">
        <v>2538</v>
      </c>
      <c r="C104" s="3946" t="s">
        <v>831</v>
      </c>
      <c r="D104" s="3925">
        <v>14</v>
      </c>
      <c r="E104" s="3925">
        <v>14</v>
      </c>
      <c r="F104" s="3925">
        <v>12</v>
      </c>
      <c r="G104" s="3941">
        <f t="shared" si="2"/>
        <v>85.714285714285708</v>
      </c>
      <c r="H104" s="3942">
        <v>0.6</v>
      </c>
      <c r="I104" s="3942">
        <v>0.4</v>
      </c>
      <c r="J104" s="3943">
        <v>0.16666666666666669</v>
      </c>
      <c r="K104" s="3943">
        <v>0.33333333333333337</v>
      </c>
      <c r="L104" s="3943">
        <v>0.33333333333333337</v>
      </c>
      <c r="M104" s="3943">
        <v>0.16666666666666669</v>
      </c>
    </row>
    <row r="105" spans="1:13">
      <c r="A105" s="5037" t="s">
        <v>15</v>
      </c>
      <c r="B105" s="5037"/>
      <c r="C105" s="5037"/>
      <c r="D105" s="3948">
        <f>SUM(D30:D104)</f>
        <v>10165</v>
      </c>
      <c r="E105" s="3920">
        <f>SUM(E30:E104)</f>
        <v>4397</v>
      </c>
      <c r="F105" s="3931">
        <f>SUM(F30:F104)</f>
        <v>3878</v>
      </c>
      <c r="G105" s="3949">
        <f t="shared" si="2"/>
        <v>88.196497612008187</v>
      </c>
      <c r="H105" s="3950">
        <v>0.71587819467101677</v>
      </c>
      <c r="I105" s="3950">
        <v>0.28412180532898312</v>
      </c>
      <c r="J105" s="3951">
        <v>7.0493066255778128E-2</v>
      </c>
      <c r="K105" s="3951">
        <v>0.12596302003081664</v>
      </c>
      <c r="L105" s="3951">
        <v>0.33127889060092452</v>
      </c>
      <c r="M105" s="3951">
        <v>0.47226502311248075</v>
      </c>
    </row>
    <row r="106" spans="1:13" ht="15.75">
      <c r="A106" s="384"/>
      <c r="B106" s="384"/>
      <c r="C106" s="384"/>
      <c r="D106" s="384"/>
      <c r="E106" s="374"/>
    </row>
    <row r="107" spans="1:13" ht="15.75">
      <c r="A107" s="384"/>
      <c r="B107" s="384"/>
      <c r="C107" s="384"/>
      <c r="D107" s="384"/>
      <c r="E107" s="374"/>
    </row>
    <row r="108" spans="1:13" ht="15.75">
      <c r="A108" s="384"/>
      <c r="B108" s="384"/>
      <c r="C108" s="384"/>
      <c r="D108" s="384"/>
      <c r="E108" s="374"/>
    </row>
    <row r="109" spans="1:13" ht="15.75">
      <c r="A109" s="3076" t="s">
        <v>2544</v>
      </c>
      <c r="B109"/>
      <c r="C109" s="375"/>
      <c r="D109" s="375"/>
      <c r="E109" s="375"/>
      <c r="F109" s="375"/>
      <c r="G109" s="375"/>
      <c r="H109" s="375"/>
    </row>
    <row r="110" spans="1:13">
      <c r="B110"/>
      <c r="E110" s="191"/>
      <c r="F110" s="191"/>
      <c r="G110" s="191"/>
    </row>
    <row r="111" spans="1:13" ht="57.75" customHeight="1">
      <c r="A111" s="4987" t="s">
        <v>2543</v>
      </c>
      <c r="B111" s="4987"/>
      <c r="C111" s="4987"/>
      <c r="D111" s="4987"/>
      <c r="E111" s="4987"/>
      <c r="F111" s="4987"/>
      <c r="G111" s="4987"/>
      <c r="H111" s="4987"/>
      <c r="I111" s="4987"/>
      <c r="J111" s="4987"/>
      <c r="K111" s="4987"/>
    </row>
    <row r="112" spans="1:13">
      <c r="A112" s="3075"/>
      <c r="B112" s="3075"/>
      <c r="C112" s="3075"/>
      <c r="D112" s="3075"/>
      <c r="E112" s="3075"/>
      <c r="F112" s="3075"/>
      <c r="G112" s="3075"/>
      <c r="H112" s="3075"/>
    </row>
    <row r="113" spans="1:13">
      <c r="A113" s="43" t="s">
        <v>2531</v>
      </c>
      <c r="B113"/>
    </row>
    <row r="114" spans="1:13">
      <c r="B114"/>
      <c r="F114" s="4994" t="s">
        <v>2532</v>
      </c>
      <c r="G114" s="4994"/>
      <c r="H114" s="4995" t="s">
        <v>2533</v>
      </c>
      <c r="I114" s="4995"/>
      <c r="J114" s="4995"/>
      <c r="K114" s="4995"/>
    </row>
    <row r="115" spans="1:13" ht="24">
      <c r="A115" s="3077" t="s">
        <v>2184</v>
      </c>
      <c r="B115" s="3077" t="s">
        <v>2179</v>
      </c>
      <c r="C115" s="2757" t="s">
        <v>2180</v>
      </c>
      <c r="D115" s="3077" t="s">
        <v>2185</v>
      </c>
      <c r="E115" s="3078" t="s">
        <v>2534</v>
      </c>
      <c r="F115" s="3079" t="s">
        <v>1091</v>
      </c>
      <c r="G115" s="3079" t="s">
        <v>1092</v>
      </c>
      <c r="H115" s="3080" t="s">
        <v>1661</v>
      </c>
      <c r="I115" s="3080" t="s">
        <v>1662</v>
      </c>
      <c r="J115" s="3081" t="s">
        <v>1663</v>
      </c>
      <c r="K115" s="3080" t="s">
        <v>1664</v>
      </c>
    </row>
    <row r="116" spans="1:13">
      <c r="A116" s="3042" t="s">
        <v>3</v>
      </c>
      <c r="B116" s="3042">
        <v>1191</v>
      </c>
      <c r="C116" s="3043">
        <v>599</v>
      </c>
      <c r="D116" s="3042">
        <v>597</v>
      </c>
      <c r="E116" s="3044">
        <v>99.7</v>
      </c>
      <c r="F116" s="2444">
        <v>79.5</v>
      </c>
      <c r="G116" s="2444">
        <v>20.5</v>
      </c>
      <c r="H116" s="2444">
        <v>4.2</v>
      </c>
      <c r="I116" s="2444">
        <v>12.3</v>
      </c>
      <c r="J116" s="2444">
        <v>30.3</v>
      </c>
      <c r="K116" s="2444">
        <v>53.2</v>
      </c>
    </row>
    <row r="117" spans="1:13">
      <c r="A117" s="3042" t="s">
        <v>59</v>
      </c>
      <c r="B117" s="3042">
        <v>124</v>
      </c>
      <c r="C117" s="3043">
        <v>124</v>
      </c>
      <c r="D117" s="3042">
        <v>86</v>
      </c>
      <c r="E117" s="3044">
        <v>69.400000000000006</v>
      </c>
      <c r="F117" s="2444">
        <v>81.400000000000006</v>
      </c>
      <c r="G117" s="2444">
        <v>18.600000000000001</v>
      </c>
      <c r="H117" s="2444">
        <v>8.8000000000000007</v>
      </c>
      <c r="I117" s="2444">
        <v>14.7</v>
      </c>
      <c r="J117" s="2444">
        <v>26.5</v>
      </c>
      <c r="K117" s="2444">
        <v>50</v>
      </c>
    </row>
    <row r="118" spans="1:13">
      <c r="A118" s="3042" t="s">
        <v>25</v>
      </c>
      <c r="B118" s="3042">
        <v>1077</v>
      </c>
      <c r="C118" s="3043">
        <v>623</v>
      </c>
      <c r="D118" s="3042">
        <v>511</v>
      </c>
      <c r="E118" s="3044">
        <v>82</v>
      </c>
      <c r="F118" s="2444">
        <v>66.5</v>
      </c>
      <c r="G118" s="2444">
        <v>33.5</v>
      </c>
      <c r="H118" s="2444">
        <v>7.8</v>
      </c>
      <c r="I118" s="2444">
        <v>15.3</v>
      </c>
      <c r="J118" s="2444">
        <v>33.799999999999997</v>
      </c>
      <c r="K118" s="2444">
        <v>43.1</v>
      </c>
    </row>
    <row r="119" spans="1:13">
      <c r="A119" s="3042" t="s">
        <v>48</v>
      </c>
      <c r="B119" s="3042">
        <v>2352</v>
      </c>
      <c r="C119" s="3043">
        <v>737</v>
      </c>
      <c r="D119" s="3042">
        <v>824</v>
      </c>
      <c r="E119" s="3044">
        <v>100</v>
      </c>
      <c r="F119" s="2444">
        <v>74.5</v>
      </c>
      <c r="G119" s="2444">
        <v>25.5</v>
      </c>
      <c r="H119" s="2444">
        <v>7.5</v>
      </c>
      <c r="I119" s="2444">
        <v>9.3000000000000007</v>
      </c>
      <c r="J119" s="2444">
        <v>26.3</v>
      </c>
      <c r="K119" s="2444">
        <v>59.9</v>
      </c>
    </row>
    <row r="120" spans="1:13">
      <c r="A120" s="3042" t="s">
        <v>249</v>
      </c>
      <c r="B120" s="3042">
        <v>109</v>
      </c>
      <c r="C120" s="3043">
        <v>109</v>
      </c>
      <c r="D120" s="3042">
        <v>100</v>
      </c>
      <c r="E120" s="3044">
        <f>D120*100/B120</f>
        <v>91.743119266055047</v>
      </c>
      <c r="F120" s="2444">
        <v>59</v>
      </c>
      <c r="G120" s="2444">
        <v>41</v>
      </c>
      <c r="H120" s="2444">
        <v>14</v>
      </c>
      <c r="I120" s="2444">
        <v>22.8</v>
      </c>
      <c r="J120" s="2444">
        <v>26.3</v>
      </c>
      <c r="K120" s="2444">
        <v>36.799999999999997</v>
      </c>
    </row>
    <row r="121" spans="1:13">
      <c r="A121" s="3040" t="s">
        <v>15</v>
      </c>
      <c r="B121" s="3040">
        <f>SUM(B116:B120)</f>
        <v>4853</v>
      </c>
      <c r="C121" s="3045">
        <f>SUM(C116:C120)</f>
        <v>2192</v>
      </c>
      <c r="D121" s="3040">
        <f>SUM(D116:D120)</f>
        <v>2118</v>
      </c>
      <c r="E121" s="3046">
        <v>96.9</v>
      </c>
      <c r="F121" s="2894">
        <v>73.5</v>
      </c>
      <c r="G121" s="2678">
        <v>26.5</v>
      </c>
      <c r="H121" s="2678">
        <v>6.9</v>
      </c>
      <c r="I121" s="2678">
        <v>12.2</v>
      </c>
      <c r="J121" s="2678">
        <v>29.2</v>
      </c>
      <c r="K121" s="2678">
        <v>51.7</v>
      </c>
    </row>
    <row r="122" spans="1:13">
      <c r="B122"/>
    </row>
    <row r="123" spans="1:13">
      <c r="A123" s="107"/>
      <c r="B123" s="99"/>
      <c r="C123" s="99"/>
      <c r="D123" s="99"/>
      <c r="E123" s="99"/>
      <c r="F123" s="99"/>
      <c r="G123" s="99"/>
      <c r="H123" s="4996" t="s">
        <v>2532</v>
      </c>
      <c r="I123" s="4997"/>
      <c r="J123" s="3085" t="s">
        <v>2533</v>
      </c>
      <c r="K123" s="3047"/>
      <c r="L123" s="3047"/>
      <c r="M123" s="3048"/>
    </row>
    <row r="124" spans="1:13" ht="25.5">
      <c r="A124" s="3082" t="s">
        <v>0</v>
      </c>
      <c r="B124" s="3082" t="s">
        <v>1</v>
      </c>
      <c r="C124" s="3082" t="s">
        <v>1660</v>
      </c>
      <c r="D124" s="3082" t="s">
        <v>2179</v>
      </c>
      <c r="E124" s="3082" t="s">
        <v>2180</v>
      </c>
      <c r="F124" s="2738" t="s">
        <v>2185</v>
      </c>
      <c r="G124" s="2738" t="s">
        <v>2534</v>
      </c>
      <c r="H124" s="3082" t="s">
        <v>1091</v>
      </c>
      <c r="I124" s="3082" t="s">
        <v>1092</v>
      </c>
      <c r="J124" s="3083" t="s">
        <v>1661</v>
      </c>
      <c r="K124" s="3083" t="s">
        <v>1662</v>
      </c>
      <c r="L124" s="3084" t="s">
        <v>1663</v>
      </c>
      <c r="M124" s="3083" t="s">
        <v>1664</v>
      </c>
    </row>
    <row r="125" spans="1:13">
      <c r="A125" s="4988" t="s">
        <v>3</v>
      </c>
      <c r="B125" s="4991" t="s">
        <v>2535</v>
      </c>
      <c r="C125" s="2749" t="s">
        <v>554</v>
      </c>
      <c r="D125" s="3049">
        <v>42</v>
      </c>
      <c r="E125" s="2750">
        <v>21</v>
      </c>
      <c r="F125" s="2750">
        <v>25</v>
      </c>
      <c r="G125" s="3050">
        <v>100</v>
      </c>
      <c r="H125" s="3051">
        <v>64</v>
      </c>
      <c r="I125" s="3051">
        <v>36</v>
      </c>
      <c r="J125" s="3052">
        <v>0</v>
      </c>
      <c r="K125" s="3052">
        <v>25</v>
      </c>
      <c r="L125" s="3052">
        <v>43.75</v>
      </c>
      <c r="M125" s="3052">
        <v>31.25</v>
      </c>
    </row>
    <row r="126" spans="1:13">
      <c r="A126" s="4989"/>
      <c r="B126" s="4992"/>
      <c r="C126" s="2749" t="s">
        <v>555</v>
      </c>
      <c r="D126" s="3049">
        <v>22</v>
      </c>
      <c r="E126" s="2750">
        <v>22</v>
      </c>
      <c r="F126" s="2750">
        <v>18</v>
      </c>
      <c r="G126" s="3050">
        <v>81.8</v>
      </c>
      <c r="H126" s="3051">
        <v>83.33</v>
      </c>
      <c r="I126" s="3051">
        <v>16.670000000000002</v>
      </c>
      <c r="J126" s="3052">
        <v>0</v>
      </c>
      <c r="K126" s="3052">
        <v>6.25</v>
      </c>
      <c r="L126" s="3052">
        <v>18.75</v>
      </c>
      <c r="M126" s="3052">
        <v>75</v>
      </c>
    </row>
    <row r="127" spans="1:13">
      <c r="A127" s="4989"/>
      <c r="B127" s="4992"/>
      <c r="C127" s="2749" t="s">
        <v>822</v>
      </c>
      <c r="D127" s="3049">
        <v>10</v>
      </c>
      <c r="E127" s="2750">
        <v>10</v>
      </c>
      <c r="F127" s="2750">
        <v>6</v>
      </c>
      <c r="G127" s="3050">
        <v>60</v>
      </c>
      <c r="H127" s="3051">
        <v>100</v>
      </c>
      <c r="I127" s="3051">
        <v>0</v>
      </c>
      <c r="J127" s="3052">
        <v>0</v>
      </c>
      <c r="K127" s="3052">
        <v>0</v>
      </c>
      <c r="L127" s="3052">
        <v>33.33</v>
      </c>
      <c r="M127" s="3052">
        <v>66.67</v>
      </c>
    </row>
    <row r="128" spans="1:13">
      <c r="A128" s="4989"/>
      <c r="B128" s="4992"/>
      <c r="C128" s="2749" t="s">
        <v>557</v>
      </c>
      <c r="D128" s="3049">
        <v>17</v>
      </c>
      <c r="E128" s="2750">
        <v>17</v>
      </c>
      <c r="F128" s="2750">
        <v>13</v>
      </c>
      <c r="G128" s="3050">
        <v>76.5</v>
      </c>
      <c r="H128" s="3051">
        <v>41.67</v>
      </c>
      <c r="I128" s="3051">
        <v>58.33</v>
      </c>
      <c r="J128" s="3053">
        <v>0</v>
      </c>
      <c r="K128" s="3053">
        <v>0</v>
      </c>
      <c r="L128" s="3053">
        <v>40</v>
      </c>
      <c r="M128" s="3053">
        <v>60</v>
      </c>
    </row>
    <row r="129" spans="1:13">
      <c r="A129" s="4989"/>
      <c r="B129" s="4992"/>
      <c r="C129" s="2749" t="s">
        <v>823</v>
      </c>
      <c r="D129" s="3049">
        <v>77</v>
      </c>
      <c r="E129" s="2750">
        <v>38</v>
      </c>
      <c r="F129" s="2750">
        <v>38</v>
      </c>
      <c r="G129" s="3050">
        <v>100</v>
      </c>
      <c r="H129" s="3051">
        <v>94.74</v>
      </c>
      <c r="I129" s="3051">
        <v>5.26</v>
      </c>
      <c r="J129" s="3054">
        <v>2.7777777777777777</v>
      </c>
      <c r="K129" s="3054">
        <v>13.888888888888889</v>
      </c>
      <c r="L129" s="3054">
        <v>33.333333333333336</v>
      </c>
      <c r="M129" s="3054">
        <v>50</v>
      </c>
    </row>
    <row r="130" spans="1:13">
      <c r="A130" s="4989"/>
      <c r="B130" s="4992"/>
      <c r="C130" s="2749" t="s">
        <v>824</v>
      </c>
      <c r="D130" s="3049">
        <v>41</v>
      </c>
      <c r="E130" s="2750">
        <v>20</v>
      </c>
      <c r="F130" s="2750">
        <v>20</v>
      </c>
      <c r="G130" s="3050">
        <v>100</v>
      </c>
      <c r="H130" s="3051">
        <v>78.95</v>
      </c>
      <c r="I130" s="3051">
        <v>21.05</v>
      </c>
      <c r="J130" s="3054">
        <v>0</v>
      </c>
      <c r="K130" s="3054">
        <v>25</v>
      </c>
      <c r="L130" s="3054">
        <v>37.5</v>
      </c>
      <c r="M130" s="3054">
        <v>37.5</v>
      </c>
    </row>
    <row r="131" spans="1:13">
      <c r="A131" s="4989"/>
      <c r="B131" s="4992"/>
      <c r="C131" s="2749" t="s">
        <v>825</v>
      </c>
      <c r="D131" s="3049">
        <v>5</v>
      </c>
      <c r="E131" s="2750">
        <v>5</v>
      </c>
      <c r="F131" s="2750">
        <v>1</v>
      </c>
      <c r="G131" s="3050">
        <v>20</v>
      </c>
      <c r="H131" s="3051">
        <v>100</v>
      </c>
      <c r="I131" s="3051">
        <v>0</v>
      </c>
      <c r="J131" s="3054">
        <v>0</v>
      </c>
      <c r="K131" s="3054">
        <v>0</v>
      </c>
      <c r="L131" s="3054">
        <v>100</v>
      </c>
      <c r="M131" s="3054">
        <v>0</v>
      </c>
    </row>
    <row r="132" spans="1:13">
      <c r="A132" s="4989"/>
      <c r="B132" s="4992"/>
      <c r="C132" s="2749" t="s">
        <v>558</v>
      </c>
      <c r="D132" s="3049">
        <v>38</v>
      </c>
      <c r="E132" s="2750">
        <v>19</v>
      </c>
      <c r="F132" s="2750">
        <v>19</v>
      </c>
      <c r="G132" s="3050">
        <v>100</v>
      </c>
      <c r="H132" s="3051">
        <v>64.709999999999994</v>
      </c>
      <c r="I132" s="3051">
        <v>35.29</v>
      </c>
      <c r="J132" s="3054">
        <v>0</v>
      </c>
      <c r="K132" s="3054">
        <v>9.0909090909090917</v>
      </c>
      <c r="L132" s="3054">
        <v>54.545454545454547</v>
      </c>
      <c r="M132" s="3054">
        <v>36.363636363636367</v>
      </c>
    </row>
    <row r="133" spans="1:13">
      <c r="A133" s="4989"/>
      <c r="B133" s="4992"/>
      <c r="C133" s="2749" t="s">
        <v>826</v>
      </c>
      <c r="D133" s="3049">
        <v>71</v>
      </c>
      <c r="E133" s="2750">
        <v>35</v>
      </c>
      <c r="F133" s="2750">
        <v>37</v>
      </c>
      <c r="G133" s="3050">
        <v>100</v>
      </c>
      <c r="H133" s="3051">
        <v>81.08</v>
      </c>
      <c r="I133" s="3051">
        <v>18.920000000000002</v>
      </c>
      <c r="J133" s="3054">
        <v>3.3333333333333335</v>
      </c>
      <c r="K133" s="3054">
        <v>20</v>
      </c>
      <c r="L133" s="3054">
        <v>50</v>
      </c>
      <c r="M133" s="3054">
        <v>26.666666666666668</v>
      </c>
    </row>
    <row r="134" spans="1:13">
      <c r="A134" s="4989"/>
      <c r="B134" s="4993"/>
      <c r="C134" s="2749" t="s">
        <v>556</v>
      </c>
      <c r="D134" s="3049">
        <v>63</v>
      </c>
      <c r="E134" s="2750">
        <v>31</v>
      </c>
      <c r="F134" s="2750">
        <v>34</v>
      </c>
      <c r="G134" s="3050">
        <v>100</v>
      </c>
      <c r="H134" s="3051">
        <v>91.18</v>
      </c>
      <c r="I134" s="3051">
        <v>8.82</v>
      </c>
      <c r="J134" s="3053">
        <v>0</v>
      </c>
      <c r="K134" s="3053">
        <v>6.45</v>
      </c>
      <c r="L134" s="3053">
        <v>22.58</v>
      </c>
      <c r="M134" s="3053">
        <v>70.97</v>
      </c>
    </row>
    <row r="135" spans="1:13">
      <c r="A135" s="4989"/>
      <c r="B135" s="4991" t="s">
        <v>2536</v>
      </c>
      <c r="C135" s="2749" t="s">
        <v>17</v>
      </c>
      <c r="D135" s="3049">
        <v>183</v>
      </c>
      <c r="E135" s="2750">
        <v>76</v>
      </c>
      <c r="F135" s="2750">
        <v>76</v>
      </c>
      <c r="G135" s="3050">
        <v>100</v>
      </c>
      <c r="H135" s="3055">
        <v>85.33</v>
      </c>
      <c r="I135" s="3055">
        <v>14.67</v>
      </c>
      <c r="J135" s="3054">
        <v>4.615384615384615</v>
      </c>
      <c r="K135" s="3054">
        <v>10.76923076923077</v>
      </c>
      <c r="L135" s="3054">
        <v>47.692307692307693</v>
      </c>
      <c r="M135" s="3054">
        <v>36.92307692307692</v>
      </c>
    </row>
    <row r="136" spans="1:13">
      <c r="A136" s="4989"/>
      <c r="B136" s="4992"/>
      <c r="C136" s="2749" t="s">
        <v>18</v>
      </c>
      <c r="D136" s="3049">
        <v>233</v>
      </c>
      <c r="E136" s="2750">
        <v>96</v>
      </c>
      <c r="F136" s="2750">
        <v>101</v>
      </c>
      <c r="G136" s="3050">
        <v>100</v>
      </c>
      <c r="H136" s="3055">
        <v>79.209999999999994</v>
      </c>
      <c r="I136" s="3055">
        <v>20.79</v>
      </c>
      <c r="J136" s="3054">
        <v>3.6585365853658538</v>
      </c>
      <c r="K136" s="3054">
        <v>12.195121951219512</v>
      </c>
      <c r="L136" s="3054">
        <v>18.292682926829269</v>
      </c>
      <c r="M136" s="3054">
        <v>65.853658536585371</v>
      </c>
    </row>
    <row r="137" spans="1:13">
      <c r="A137" s="4989"/>
      <c r="B137" s="4992"/>
      <c r="C137" s="2749" t="s">
        <v>19</v>
      </c>
      <c r="D137" s="3049">
        <v>69</v>
      </c>
      <c r="E137" s="2750">
        <v>28</v>
      </c>
      <c r="F137" s="2750">
        <v>28</v>
      </c>
      <c r="G137" s="3050">
        <v>100</v>
      </c>
      <c r="H137" s="3055">
        <v>71.430000000000007</v>
      </c>
      <c r="I137" s="3055">
        <v>28.57</v>
      </c>
      <c r="J137" s="3054">
        <v>20</v>
      </c>
      <c r="K137" s="3054">
        <v>10</v>
      </c>
      <c r="L137" s="3054">
        <v>25</v>
      </c>
      <c r="M137" s="3054">
        <v>45</v>
      </c>
    </row>
    <row r="138" spans="1:13">
      <c r="A138" s="4989"/>
      <c r="B138" s="4993"/>
      <c r="C138" s="2749" t="s">
        <v>20</v>
      </c>
      <c r="D138" s="3049">
        <v>65</v>
      </c>
      <c r="E138" s="2750">
        <v>28</v>
      </c>
      <c r="F138" s="2750">
        <v>32</v>
      </c>
      <c r="G138" s="3050">
        <v>100</v>
      </c>
      <c r="H138" s="3055">
        <v>59.38</v>
      </c>
      <c r="I138" s="3055">
        <v>40.619999999999997</v>
      </c>
      <c r="J138" s="3054">
        <v>10.526315789473685</v>
      </c>
      <c r="K138" s="3054">
        <v>31.578947368421051</v>
      </c>
      <c r="L138" s="3054">
        <v>42.10526315789474</v>
      </c>
      <c r="M138" s="3054">
        <v>15.789473684210526</v>
      </c>
    </row>
    <row r="139" spans="1:13">
      <c r="A139" s="4989"/>
      <c r="B139" s="4991" t="s">
        <v>2537</v>
      </c>
      <c r="C139" s="3056" t="s">
        <v>22</v>
      </c>
      <c r="D139" s="3057">
        <v>86</v>
      </c>
      <c r="E139" s="3058">
        <v>52</v>
      </c>
      <c r="F139" s="3058">
        <v>47</v>
      </c>
      <c r="G139" s="3059">
        <v>90.4</v>
      </c>
      <c r="H139" s="3055">
        <v>85.11</v>
      </c>
      <c r="I139" s="3055">
        <v>14.89</v>
      </c>
      <c r="J139" s="3054">
        <v>5</v>
      </c>
      <c r="K139" s="3054">
        <v>2.5</v>
      </c>
      <c r="L139" s="3054">
        <v>22.5</v>
      </c>
      <c r="M139" s="3054">
        <v>70</v>
      </c>
    </row>
    <row r="140" spans="1:13">
      <c r="A140" s="4989"/>
      <c r="B140" s="4992"/>
      <c r="C140" s="3056" t="s">
        <v>2195</v>
      </c>
      <c r="D140" s="3057">
        <v>105</v>
      </c>
      <c r="E140" s="3058">
        <v>63</v>
      </c>
      <c r="F140" s="3058">
        <v>64</v>
      </c>
      <c r="G140" s="3059">
        <v>100</v>
      </c>
      <c r="H140" s="3055">
        <v>78.13</v>
      </c>
      <c r="I140" s="3055">
        <v>21.87</v>
      </c>
      <c r="J140" s="3054">
        <v>3.9215686274509802</v>
      </c>
      <c r="K140" s="3054">
        <v>11.764705882352942</v>
      </c>
      <c r="L140" s="3054">
        <v>11.764705882352942</v>
      </c>
      <c r="M140" s="3054">
        <v>72.549019607843135</v>
      </c>
    </row>
    <row r="141" spans="1:13">
      <c r="A141" s="4990"/>
      <c r="B141" s="4993"/>
      <c r="C141" s="3056" t="s">
        <v>2196</v>
      </c>
      <c r="D141" s="3057">
        <v>64</v>
      </c>
      <c r="E141" s="3058">
        <v>38</v>
      </c>
      <c r="F141" s="3058">
        <v>38</v>
      </c>
      <c r="G141" s="3059">
        <v>100</v>
      </c>
      <c r="H141" s="3055">
        <v>68.42</v>
      </c>
      <c r="I141" s="3055">
        <v>31.58</v>
      </c>
      <c r="J141" s="3060">
        <v>7.4074074074074074</v>
      </c>
      <c r="K141" s="3060">
        <v>11.111111111111111</v>
      </c>
      <c r="L141" s="3060">
        <v>29.62962962962963</v>
      </c>
      <c r="M141" s="3060">
        <v>51.851851851851855</v>
      </c>
    </row>
    <row r="142" spans="1:13">
      <c r="A142" s="4988" t="s">
        <v>25</v>
      </c>
      <c r="B142" s="4991" t="s">
        <v>2535</v>
      </c>
      <c r="C142" s="3056" t="s">
        <v>32</v>
      </c>
      <c r="D142" s="3057">
        <v>46</v>
      </c>
      <c r="E142" s="3058">
        <v>30</v>
      </c>
      <c r="F142" s="3058">
        <v>30</v>
      </c>
      <c r="G142" s="3059">
        <v>100</v>
      </c>
      <c r="H142" s="3055">
        <v>86.67</v>
      </c>
      <c r="I142" s="3055">
        <v>13.33</v>
      </c>
      <c r="J142" s="3054">
        <v>7.6923076923076925</v>
      </c>
      <c r="K142" s="3054">
        <v>7.6923076923076925</v>
      </c>
      <c r="L142" s="3054">
        <v>15.384615384615385</v>
      </c>
      <c r="M142" s="3054">
        <v>69.230769230769226</v>
      </c>
    </row>
    <row r="143" spans="1:13">
      <c r="A143" s="4989"/>
      <c r="B143" s="4992"/>
      <c r="C143" s="3056" t="s">
        <v>29</v>
      </c>
      <c r="D143" s="3057">
        <v>9</v>
      </c>
      <c r="E143" s="3058">
        <v>9</v>
      </c>
      <c r="F143" s="3058">
        <v>4</v>
      </c>
      <c r="G143" s="3059">
        <v>44.4</v>
      </c>
      <c r="H143" s="3052">
        <v>75</v>
      </c>
      <c r="I143" s="3052">
        <v>25</v>
      </c>
      <c r="J143" s="3054">
        <v>0</v>
      </c>
      <c r="K143" s="3054">
        <v>0</v>
      </c>
      <c r="L143" s="3054">
        <v>66.666666666666671</v>
      </c>
      <c r="M143" s="3054">
        <v>33.333333333333336</v>
      </c>
    </row>
    <row r="144" spans="1:13">
      <c r="A144" s="4989"/>
      <c r="B144" s="4992"/>
      <c r="C144" s="3056" t="s">
        <v>559</v>
      </c>
      <c r="D144" s="3057">
        <v>27</v>
      </c>
      <c r="E144" s="3058">
        <v>27</v>
      </c>
      <c r="F144" s="3058">
        <v>13</v>
      </c>
      <c r="G144" s="3059">
        <v>59.3</v>
      </c>
      <c r="H144" s="3052">
        <v>84.615384615384613</v>
      </c>
      <c r="I144" s="3052">
        <v>15.384615384615385</v>
      </c>
      <c r="J144" s="3054">
        <v>0</v>
      </c>
      <c r="K144" s="3054">
        <v>18.181818181818183</v>
      </c>
      <c r="L144" s="3054">
        <v>27.272727272727273</v>
      </c>
      <c r="M144" s="3054">
        <v>54.545454545454547</v>
      </c>
    </row>
    <row r="145" spans="1:13">
      <c r="A145" s="4989"/>
      <c r="B145" s="4992"/>
      <c r="C145" s="3056" t="s">
        <v>826</v>
      </c>
      <c r="D145" s="3057">
        <v>45</v>
      </c>
      <c r="E145" s="3058">
        <v>29</v>
      </c>
      <c r="F145" s="3058">
        <v>20</v>
      </c>
      <c r="G145" s="3059">
        <v>69</v>
      </c>
      <c r="H145" s="3052">
        <v>85</v>
      </c>
      <c r="I145" s="3052">
        <v>15</v>
      </c>
      <c r="J145" s="3054">
        <v>11.764705882352942</v>
      </c>
      <c r="K145" s="3054">
        <v>17.647058823529413</v>
      </c>
      <c r="L145" s="3054">
        <v>41.176470588235297</v>
      </c>
      <c r="M145" s="3054">
        <v>29.411764705882351</v>
      </c>
    </row>
    <row r="146" spans="1:13">
      <c r="A146" s="4989"/>
      <c r="B146" s="4992"/>
      <c r="C146" s="3056" t="s">
        <v>274</v>
      </c>
      <c r="D146" s="3057">
        <v>20</v>
      </c>
      <c r="E146" s="3058">
        <v>20</v>
      </c>
      <c r="F146" s="3058">
        <v>8</v>
      </c>
      <c r="G146" s="3059">
        <v>40</v>
      </c>
      <c r="H146" s="3052">
        <v>37.5</v>
      </c>
      <c r="I146" s="3052">
        <v>62.5</v>
      </c>
      <c r="J146" s="3054">
        <v>0</v>
      </c>
      <c r="K146" s="3054">
        <v>25</v>
      </c>
      <c r="L146" s="3054">
        <v>25</v>
      </c>
      <c r="M146" s="3054">
        <v>50</v>
      </c>
    </row>
    <row r="147" spans="1:13">
      <c r="A147" s="4989"/>
      <c r="B147" s="4992"/>
      <c r="C147" s="3056" t="s">
        <v>829</v>
      </c>
      <c r="D147" s="3057">
        <v>6</v>
      </c>
      <c r="E147" s="3058">
        <v>6</v>
      </c>
      <c r="F147" s="3058">
        <v>2</v>
      </c>
      <c r="G147" s="3059">
        <v>33.299999999999997</v>
      </c>
      <c r="H147" s="3052">
        <v>50</v>
      </c>
      <c r="I147" s="3052">
        <v>50</v>
      </c>
      <c r="J147" s="3054">
        <v>0</v>
      </c>
      <c r="K147" s="3054">
        <v>0</v>
      </c>
      <c r="L147" s="3054">
        <v>0</v>
      </c>
      <c r="M147" s="3054">
        <v>100</v>
      </c>
    </row>
    <row r="148" spans="1:13">
      <c r="A148" s="4989"/>
      <c r="B148" s="4992"/>
      <c r="C148" s="3056" t="s">
        <v>558</v>
      </c>
      <c r="D148" s="3057">
        <v>22</v>
      </c>
      <c r="E148" s="3058">
        <v>22</v>
      </c>
      <c r="F148" s="3058">
        <v>13</v>
      </c>
      <c r="G148" s="3059">
        <v>59.1</v>
      </c>
      <c r="H148" s="3052">
        <v>69.230769230769226</v>
      </c>
      <c r="I148" s="3052">
        <v>30.76923076923077</v>
      </c>
      <c r="J148" s="3054">
        <v>0</v>
      </c>
      <c r="K148" s="3054">
        <v>14.285714285714286</v>
      </c>
      <c r="L148" s="3054">
        <v>42.857142857142854</v>
      </c>
      <c r="M148" s="3054">
        <v>42.857142857142854</v>
      </c>
    </row>
    <row r="149" spans="1:13">
      <c r="A149" s="4989"/>
      <c r="B149" s="4992"/>
      <c r="C149" s="3056" t="s">
        <v>30</v>
      </c>
      <c r="D149" s="3057">
        <v>17</v>
      </c>
      <c r="E149" s="3058">
        <v>17</v>
      </c>
      <c r="F149" s="3058">
        <v>13</v>
      </c>
      <c r="G149" s="3059">
        <v>64.7</v>
      </c>
      <c r="H149" s="3052">
        <v>45.5</v>
      </c>
      <c r="I149" s="3052">
        <v>54.5</v>
      </c>
      <c r="J149" s="3054">
        <v>33.333333333333336</v>
      </c>
      <c r="K149" s="3054">
        <v>66.666666666666671</v>
      </c>
      <c r="L149" s="3054">
        <v>0</v>
      </c>
      <c r="M149" s="3054">
        <v>0</v>
      </c>
    </row>
    <row r="150" spans="1:13">
      <c r="A150" s="4989"/>
      <c r="B150" s="4993"/>
      <c r="C150" s="3056" t="s">
        <v>31</v>
      </c>
      <c r="D150" s="3057">
        <v>14</v>
      </c>
      <c r="E150" s="3058">
        <v>14</v>
      </c>
      <c r="F150" s="3058">
        <v>9</v>
      </c>
      <c r="G150" s="3059">
        <v>64.3</v>
      </c>
      <c r="H150" s="3052">
        <v>0</v>
      </c>
      <c r="I150" s="3052">
        <v>100</v>
      </c>
      <c r="J150" s="3054">
        <v>0</v>
      </c>
      <c r="K150" s="3054">
        <v>0</v>
      </c>
      <c r="L150" s="3054">
        <v>0</v>
      </c>
      <c r="M150" s="3054">
        <v>0</v>
      </c>
    </row>
    <row r="151" spans="1:13">
      <c r="A151" s="4989"/>
      <c r="B151" s="4991" t="s">
        <v>2536</v>
      </c>
      <c r="C151" s="3056" t="s">
        <v>17</v>
      </c>
      <c r="D151" s="3057">
        <v>130</v>
      </c>
      <c r="E151" s="3058">
        <v>52</v>
      </c>
      <c r="F151" s="3058">
        <v>48</v>
      </c>
      <c r="G151" s="3059">
        <v>92.3</v>
      </c>
      <c r="H151" s="3052">
        <v>79.2</v>
      </c>
      <c r="I151" s="3052">
        <v>20.8</v>
      </c>
      <c r="J151" s="3054">
        <v>0</v>
      </c>
      <c r="K151" s="3054">
        <v>10.810810810810811</v>
      </c>
      <c r="L151" s="3054">
        <v>43.243243243243242</v>
      </c>
      <c r="M151" s="3054">
        <v>45.945945945945944</v>
      </c>
    </row>
    <row r="152" spans="1:13">
      <c r="A152" s="4989"/>
      <c r="B152" s="4992"/>
      <c r="C152" s="3056" t="s">
        <v>33</v>
      </c>
      <c r="D152" s="3057">
        <v>40</v>
      </c>
      <c r="E152" s="3058">
        <v>16</v>
      </c>
      <c r="F152" s="3058">
        <v>16</v>
      </c>
      <c r="G152" s="3059">
        <v>100</v>
      </c>
      <c r="H152" s="3052">
        <v>56.25</v>
      </c>
      <c r="I152" s="3052">
        <v>43.75</v>
      </c>
      <c r="J152" s="3054">
        <v>0</v>
      </c>
      <c r="K152" s="3054">
        <v>33.333333333333336</v>
      </c>
      <c r="L152" s="3054">
        <v>22.222222222222221</v>
      </c>
      <c r="M152" s="3054">
        <v>44.444444444444443</v>
      </c>
    </row>
    <row r="153" spans="1:13">
      <c r="A153" s="4989"/>
      <c r="B153" s="4992"/>
      <c r="C153" s="3056" t="s">
        <v>38</v>
      </c>
      <c r="D153" s="3057">
        <v>58</v>
      </c>
      <c r="E153" s="3058">
        <v>23</v>
      </c>
      <c r="F153" s="3058">
        <v>29</v>
      </c>
      <c r="G153" s="3059">
        <v>100</v>
      </c>
      <c r="H153" s="3052">
        <v>75</v>
      </c>
      <c r="I153" s="3052">
        <v>25</v>
      </c>
      <c r="J153" s="3054">
        <v>14.285714285714286</v>
      </c>
      <c r="K153" s="3054">
        <v>28.571428571428573</v>
      </c>
      <c r="L153" s="3054">
        <v>28.571428571428573</v>
      </c>
      <c r="M153" s="3054">
        <v>28.571428571428573</v>
      </c>
    </row>
    <row r="154" spans="1:13">
      <c r="A154" s="4989"/>
      <c r="B154" s="4992"/>
      <c r="C154" s="3056" t="s">
        <v>19</v>
      </c>
      <c r="D154" s="3057">
        <v>38</v>
      </c>
      <c r="E154" s="3058">
        <v>15</v>
      </c>
      <c r="F154" s="3058">
        <v>15</v>
      </c>
      <c r="G154" s="3059">
        <v>100</v>
      </c>
      <c r="H154" s="3052">
        <v>66.666666666666671</v>
      </c>
      <c r="I154" s="3052">
        <v>33.333333333333336</v>
      </c>
      <c r="J154" s="3054">
        <v>0</v>
      </c>
      <c r="K154" s="3054">
        <v>30</v>
      </c>
      <c r="L154" s="3054">
        <v>40</v>
      </c>
      <c r="M154" s="3054">
        <v>30</v>
      </c>
    </row>
    <row r="155" spans="1:13">
      <c r="A155" s="4989"/>
      <c r="B155" s="4992"/>
      <c r="C155" s="3056" t="s">
        <v>35</v>
      </c>
      <c r="D155" s="3057">
        <v>26</v>
      </c>
      <c r="E155" s="3058">
        <v>26</v>
      </c>
      <c r="F155" s="3058">
        <v>13</v>
      </c>
      <c r="G155" s="3059">
        <v>50</v>
      </c>
      <c r="H155" s="3052">
        <v>76.92307692307692</v>
      </c>
      <c r="I155" s="3052">
        <v>23.076923076923077</v>
      </c>
      <c r="J155" s="3054">
        <v>10</v>
      </c>
      <c r="K155" s="3054">
        <v>10</v>
      </c>
      <c r="L155" s="3054">
        <v>60</v>
      </c>
      <c r="M155" s="3054">
        <v>20</v>
      </c>
    </row>
    <row r="156" spans="1:13">
      <c r="A156" s="4989"/>
      <c r="B156" s="4992"/>
      <c r="C156" s="3056" t="s">
        <v>36</v>
      </c>
      <c r="D156" s="3057">
        <v>39</v>
      </c>
      <c r="E156" s="3058">
        <v>16</v>
      </c>
      <c r="F156" s="3058">
        <v>17</v>
      </c>
      <c r="G156" s="3059">
        <v>100</v>
      </c>
      <c r="H156" s="3052">
        <v>35.294117647058826</v>
      </c>
      <c r="I156" s="3052">
        <v>64.705882352941174</v>
      </c>
      <c r="J156" s="3054">
        <v>0</v>
      </c>
      <c r="K156" s="3054">
        <v>0</v>
      </c>
      <c r="L156" s="3054">
        <v>66.666666666666671</v>
      </c>
      <c r="M156" s="3054">
        <v>33.333333333333336</v>
      </c>
    </row>
    <row r="157" spans="1:13">
      <c r="A157" s="4989"/>
      <c r="B157" s="4992"/>
      <c r="C157" s="3056" t="s">
        <v>34</v>
      </c>
      <c r="D157" s="3057">
        <v>40</v>
      </c>
      <c r="E157" s="3058">
        <v>16</v>
      </c>
      <c r="F157" s="3058">
        <v>20</v>
      </c>
      <c r="G157" s="3059">
        <v>100</v>
      </c>
      <c r="H157" s="3052">
        <v>70</v>
      </c>
      <c r="I157" s="3052">
        <v>30</v>
      </c>
      <c r="J157" s="3054">
        <v>14.285714285714286</v>
      </c>
      <c r="K157" s="3054">
        <v>0</v>
      </c>
      <c r="L157" s="3054">
        <v>14.285714285714286</v>
      </c>
      <c r="M157" s="3054">
        <v>71.428571428571431</v>
      </c>
    </row>
    <row r="158" spans="1:13">
      <c r="A158" s="4989"/>
      <c r="B158" s="4992"/>
      <c r="C158" s="3056" t="s">
        <v>560</v>
      </c>
      <c r="D158" s="3057">
        <v>17</v>
      </c>
      <c r="E158" s="3058">
        <v>17</v>
      </c>
      <c r="F158" s="3058">
        <v>8</v>
      </c>
      <c r="G158" s="3059">
        <v>47.1</v>
      </c>
      <c r="H158" s="3052">
        <v>75</v>
      </c>
      <c r="I158" s="3052">
        <v>25</v>
      </c>
      <c r="J158" s="3054">
        <v>16.666666666666668</v>
      </c>
      <c r="K158" s="3054">
        <v>16.666666666666668</v>
      </c>
      <c r="L158" s="3054">
        <v>16.666666666666668</v>
      </c>
      <c r="M158" s="3054">
        <v>50</v>
      </c>
    </row>
    <row r="159" spans="1:13">
      <c r="A159" s="4989"/>
      <c r="B159" s="4992"/>
      <c r="C159" s="3056" t="s">
        <v>39</v>
      </c>
      <c r="D159" s="3057">
        <v>149</v>
      </c>
      <c r="E159" s="3058">
        <v>60</v>
      </c>
      <c r="F159" s="3058">
        <v>63</v>
      </c>
      <c r="G159" s="3059">
        <v>100</v>
      </c>
      <c r="H159" s="3052">
        <v>79.365079365079367</v>
      </c>
      <c r="I159" s="3052">
        <v>20.634920634920636</v>
      </c>
      <c r="J159" s="3054">
        <v>12.244897959183673</v>
      </c>
      <c r="K159" s="3054">
        <v>10.204081632653061</v>
      </c>
      <c r="L159" s="3054">
        <v>44.897959183673471</v>
      </c>
      <c r="M159" s="3054">
        <v>32.653061224489797</v>
      </c>
    </row>
    <row r="160" spans="1:13">
      <c r="A160" s="4989"/>
      <c r="B160" s="4992"/>
      <c r="C160" s="3056" t="s">
        <v>20</v>
      </c>
      <c r="D160" s="3057">
        <v>27</v>
      </c>
      <c r="E160" s="3058">
        <v>27</v>
      </c>
      <c r="F160" s="3058">
        <v>11</v>
      </c>
      <c r="G160" s="3059">
        <v>40.700000000000003</v>
      </c>
      <c r="H160" s="3052">
        <v>81.818181818181813</v>
      </c>
      <c r="I160" s="3052">
        <v>18.181818181818183</v>
      </c>
      <c r="J160" s="3054">
        <v>22.222222222222221</v>
      </c>
      <c r="K160" s="3054">
        <v>22.222222222222221</v>
      </c>
      <c r="L160" s="3054">
        <v>22.222222222222221</v>
      </c>
      <c r="M160" s="3054">
        <v>33.333333333333336</v>
      </c>
    </row>
    <row r="161" spans="1:13">
      <c r="A161" s="4989"/>
      <c r="B161" s="4993"/>
      <c r="C161" s="3056" t="s">
        <v>40</v>
      </c>
      <c r="D161" s="3057">
        <v>7</v>
      </c>
      <c r="E161" s="3058">
        <v>7</v>
      </c>
      <c r="F161" s="3058">
        <v>4</v>
      </c>
      <c r="G161" s="3059">
        <v>57.1</v>
      </c>
      <c r="H161" s="3052">
        <v>100</v>
      </c>
      <c r="I161" s="3052">
        <v>0</v>
      </c>
      <c r="J161" s="3054">
        <v>0</v>
      </c>
      <c r="K161" s="3054">
        <v>0</v>
      </c>
      <c r="L161" s="3054">
        <v>50</v>
      </c>
      <c r="M161" s="3054">
        <v>50</v>
      </c>
    </row>
    <row r="162" spans="1:13">
      <c r="A162" s="4989"/>
      <c r="B162" s="4991" t="s">
        <v>2538</v>
      </c>
      <c r="C162" s="3056" t="s">
        <v>42</v>
      </c>
      <c r="D162" s="3057">
        <v>72</v>
      </c>
      <c r="E162" s="3058">
        <v>40</v>
      </c>
      <c r="F162" s="3058">
        <v>35</v>
      </c>
      <c r="G162" s="3059">
        <v>87.5</v>
      </c>
      <c r="H162" s="3052">
        <v>57.142857142857146</v>
      </c>
      <c r="I162" s="3052">
        <v>42.857142857142854</v>
      </c>
      <c r="J162" s="3054">
        <v>4.7619047619047619</v>
      </c>
      <c r="K162" s="3054">
        <v>23.80952380952381</v>
      </c>
      <c r="L162" s="3054">
        <v>28.571428571428573</v>
      </c>
      <c r="M162" s="3054">
        <v>42.857142857142854</v>
      </c>
    </row>
    <row r="163" spans="1:13">
      <c r="A163" s="4989"/>
      <c r="B163" s="4992"/>
      <c r="C163" s="3056" t="s">
        <v>43</v>
      </c>
      <c r="D163" s="3057">
        <v>41</v>
      </c>
      <c r="E163" s="3058">
        <v>23</v>
      </c>
      <c r="F163" s="3058">
        <v>23</v>
      </c>
      <c r="G163" s="3059">
        <v>100</v>
      </c>
      <c r="H163" s="3052">
        <v>21.739130434782609</v>
      </c>
      <c r="I163" s="3052">
        <v>78.260869565217391</v>
      </c>
      <c r="J163" s="3054">
        <v>20</v>
      </c>
      <c r="K163" s="3054">
        <v>0</v>
      </c>
      <c r="L163" s="3054">
        <v>60</v>
      </c>
      <c r="M163" s="3054">
        <v>20</v>
      </c>
    </row>
    <row r="164" spans="1:13">
      <c r="A164" s="4989"/>
      <c r="B164" s="4992"/>
      <c r="C164" s="3056" t="s">
        <v>44</v>
      </c>
      <c r="D164" s="3057">
        <v>31</v>
      </c>
      <c r="E164" s="3058">
        <v>17</v>
      </c>
      <c r="F164" s="3058">
        <v>14</v>
      </c>
      <c r="G164" s="3059">
        <v>82.4</v>
      </c>
      <c r="H164" s="3052">
        <v>35.714285714285715</v>
      </c>
      <c r="I164" s="3052">
        <v>64.285714285714292</v>
      </c>
      <c r="J164" s="3054">
        <v>20</v>
      </c>
      <c r="K164" s="3054">
        <v>20</v>
      </c>
      <c r="L164" s="3054">
        <v>20</v>
      </c>
      <c r="M164" s="3054">
        <v>40</v>
      </c>
    </row>
    <row r="165" spans="1:13">
      <c r="A165" s="4989"/>
      <c r="B165" s="4992"/>
      <c r="C165" s="3056" t="s">
        <v>275</v>
      </c>
      <c r="D165" s="3057">
        <v>69</v>
      </c>
      <c r="E165" s="3058">
        <v>39</v>
      </c>
      <c r="F165" s="3058">
        <v>35</v>
      </c>
      <c r="G165" s="3059">
        <v>79.5</v>
      </c>
      <c r="H165" s="3052">
        <v>57.142857142857146</v>
      </c>
      <c r="I165" s="3052">
        <v>42.857142857142854</v>
      </c>
      <c r="J165" s="3054">
        <v>0</v>
      </c>
      <c r="K165" s="3054">
        <v>14.285714285714286</v>
      </c>
      <c r="L165" s="3054">
        <v>23.80952380952381</v>
      </c>
      <c r="M165" s="3054">
        <v>61.904761904761905</v>
      </c>
    </row>
    <row r="166" spans="1:13">
      <c r="A166" s="4989"/>
      <c r="B166" s="4992"/>
      <c r="C166" s="3056" t="s">
        <v>276</v>
      </c>
      <c r="D166" s="3057">
        <v>73</v>
      </c>
      <c r="E166" s="3058">
        <v>41</v>
      </c>
      <c r="F166" s="3058">
        <v>43</v>
      </c>
      <c r="G166" s="3059">
        <v>100</v>
      </c>
      <c r="H166" s="3052">
        <v>62.790697674418603</v>
      </c>
      <c r="I166" s="3052">
        <v>37.209302325581397</v>
      </c>
      <c r="J166" s="3054">
        <v>11.111111111111111</v>
      </c>
      <c r="K166" s="3054">
        <v>18.518518518518519</v>
      </c>
      <c r="L166" s="3054">
        <v>25.925925925925927</v>
      </c>
      <c r="M166" s="3054">
        <v>44.444444444444443</v>
      </c>
    </row>
    <row r="167" spans="1:13">
      <c r="A167" s="4990"/>
      <c r="B167" s="4993"/>
      <c r="C167" s="3056" t="s">
        <v>45</v>
      </c>
      <c r="D167" s="3057">
        <v>14</v>
      </c>
      <c r="E167" s="3058">
        <v>14</v>
      </c>
      <c r="F167" s="3058">
        <v>5</v>
      </c>
      <c r="G167" s="3059">
        <v>35.700000000000003</v>
      </c>
      <c r="H167" s="3052">
        <v>100</v>
      </c>
      <c r="I167" s="3052">
        <v>0</v>
      </c>
      <c r="J167" s="3060">
        <v>0</v>
      </c>
      <c r="K167" s="3060">
        <v>25</v>
      </c>
      <c r="L167" s="3060">
        <v>25</v>
      </c>
      <c r="M167" s="3060">
        <v>50</v>
      </c>
    </row>
    <row r="168" spans="1:13">
      <c r="A168" s="4988" t="s">
        <v>48</v>
      </c>
      <c r="B168" s="4991" t="s">
        <v>2536</v>
      </c>
      <c r="C168" s="3056" t="s">
        <v>17</v>
      </c>
      <c r="D168" s="3057">
        <v>130</v>
      </c>
      <c r="E168" s="3058">
        <v>42</v>
      </c>
      <c r="F168" s="3058">
        <v>46</v>
      </c>
      <c r="G168" s="3059">
        <v>100</v>
      </c>
      <c r="H168" s="3052">
        <v>82.608695652173907</v>
      </c>
      <c r="I168" s="3052">
        <v>17.391304347826086</v>
      </c>
      <c r="J168" s="3054">
        <v>5.2631578947368425</v>
      </c>
      <c r="K168" s="3054">
        <v>13.157894736842104</v>
      </c>
      <c r="L168" s="3054">
        <v>47.368421052631582</v>
      </c>
      <c r="M168" s="3054">
        <v>34.210526315789473</v>
      </c>
    </row>
    <row r="169" spans="1:13">
      <c r="A169" s="4989"/>
      <c r="B169" s="4992"/>
      <c r="C169" s="3056" t="s">
        <v>49</v>
      </c>
      <c r="D169" s="3057">
        <v>170</v>
      </c>
      <c r="E169" s="3058">
        <v>55</v>
      </c>
      <c r="F169" s="3058">
        <v>59</v>
      </c>
      <c r="G169" s="3059">
        <v>100</v>
      </c>
      <c r="H169" s="3052">
        <v>79.310344827586206</v>
      </c>
      <c r="I169" s="3052">
        <v>20.689655172413794</v>
      </c>
      <c r="J169" s="3054">
        <v>10.638297872340425</v>
      </c>
      <c r="K169" s="3054">
        <v>6.3829787234042552</v>
      </c>
      <c r="L169" s="3054">
        <v>25.531914893617021</v>
      </c>
      <c r="M169" s="3054">
        <v>57.446808510638299</v>
      </c>
    </row>
    <row r="170" spans="1:13">
      <c r="A170" s="4989"/>
      <c r="B170" s="4992"/>
      <c r="C170" s="3056" t="s">
        <v>19</v>
      </c>
      <c r="D170" s="3057">
        <v>81</v>
      </c>
      <c r="E170" s="3058">
        <v>26</v>
      </c>
      <c r="F170" s="3058">
        <v>26</v>
      </c>
      <c r="G170" s="3059">
        <v>100</v>
      </c>
      <c r="H170" s="3052">
        <v>73.07692307692308</v>
      </c>
      <c r="I170" s="3052">
        <v>26.923076923076923</v>
      </c>
      <c r="J170" s="3054">
        <v>5.2631578947368425</v>
      </c>
      <c r="K170" s="3054">
        <v>26.315789473684209</v>
      </c>
      <c r="L170" s="3054">
        <v>36.842105263157897</v>
      </c>
      <c r="M170" s="3054">
        <v>31.578947368421051</v>
      </c>
    </row>
    <row r="171" spans="1:13">
      <c r="A171" s="4989"/>
      <c r="B171" s="4992"/>
      <c r="C171" s="3056" t="s">
        <v>51</v>
      </c>
      <c r="D171" s="3057">
        <v>46</v>
      </c>
      <c r="E171" s="3058">
        <v>15</v>
      </c>
      <c r="F171" s="3058">
        <v>16</v>
      </c>
      <c r="G171" s="3059">
        <v>100</v>
      </c>
      <c r="H171" s="3052">
        <v>87.5</v>
      </c>
      <c r="I171" s="3052">
        <v>12.5</v>
      </c>
      <c r="J171" s="3054">
        <v>14.285714285714286</v>
      </c>
      <c r="K171" s="3054">
        <v>14.285714285714286</v>
      </c>
      <c r="L171" s="3054">
        <v>28.571428571428573</v>
      </c>
      <c r="M171" s="3054">
        <v>42.857142857142854</v>
      </c>
    </row>
    <row r="172" spans="1:13">
      <c r="A172" s="4989"/>
      <c r="B172" s="4992"/>
      <c r="C172" s="3056" t="s">
        <v>50</v>
      </c>
      <c r="D172" s="3057">
        <v>260</v>
      </c>
      <c r="E172" s="3058">
        <v>85</v>
      </c>
      <c r="F172" s="3058">
        <v>89</v>
      </c>
      <c r="G172" s="3059">
        <v>100</v>
      </c>
      <c r="H172" s="3052">
        <v>77.272727272727266</v>
      </c>
      <c r="I172" s="3052">
        <v>22.727272727272727</v>
      </c>
      <c r="J172" s="3054">
        <v>12.857142857142858</v>
      </c>
      <c r="K172" s="3054">
        <v>20</v>
      </c>
      <c r="L172" s="3054">
        <v>32.857142857142854</v>
      </c>
      <c r="M172" s="3054">
        <v>34.285714285714285</v>
      </c>
    </row>
    <row r="173" spans="1:13">
      <c r="A173" s="4989"/>
      <c r="B173" s="4993"/>
      <c r="C173" s="3056" t="s">
        <v>20</v>
      </c>
      <c r="D173" s="3057">
        <v>107</v>
      </c>
      <c r="E173" s="3058">
        <v>35</v>
      </c>
      <c r="F173" s="3058">
        <v>35</v>
      </c>
      <c r="G173" s="3059">
        <v>100</v>
      </c>
      <c r="H173" s="3052">
        <v>62.857142857142854</v>
      </c>
      <c r="I173" s="3052">
        <v>37.142857142857146</v>
      </c>
      <c r="J173" s="3054">
        <v>13.636363636363637</v>
      </c>
      <c r="K173" s="3054">
        <v>18.181818181818183</v>
      </c>
      <c r="L173" s="3054">
        <v>36.363636363636367</v>
      </c>
      <c r="M173" s="3054">
        <v>31.818181818181817</v>
      </c>
    </row>
    <row r="174" spans="1:13">
      <c r="A174" s="4989"/>
      <c r="B174" s="4991" t="s">
        <v>2538</v>
      </c>
      <c r="C174" s="3056" t="s">
        <v>56</v>
      </c>
      <c r="D174" s="3057">
        <v>111</v>
      </c>
      <c r="E174" s="3058">
        <v>27</v>
      </c>
      <c r="F174" s="3058">
        <v>39</v>
      </c>
      <c r="G174" s="3059">
        <v>100</v>
      </c>
      <c r="H174" s="3052">
        <v>68.421052631578945</v>
      </c>
      <c r="I174" s="3052">
        <v>31.578947368421051</v>
      </c>
      <c r="J174" s="3054">
        <v>22.222222222222221</v>
      </c>
      <c r="K174" s="3054">
        <v>7.4074074074074074</v>
      </c>
      <c r="L174" s="3054">
        <v>25.925925925925927</v>
      </c>
      <c r="M174" s="3054">
        <v>44.444444444444443</v>
      </c>
    </row>
    <row r="175" spans="1:13">
      <c r="A175" s="4989"/>
      <c r="B175" s="4992"/>
      <c r="C175" s="3056" t="s">
        <v>42</v>
      </c>
      <c r="D175" s="3057">
        <v>151</v>
      </c>
      <c r="E175" s="3058">
        <v>37</v>
      </c>
      <c r="F175" s="3058">
        <v>54</v>
      </c>
      <c r="G175" s="3059">
        <v>100</v>
      </c>
      <c r="H175" s="3052">
        <v>38.888888888888886</v>
      </c>
      <c r="I175" s="3052">
        <v>61.111111111111114</v>
      </c>
      <c r="J175" s="3054">
        <v>9.5238095238095237</v>
      </c>
      <c r="K175" s="3054">
        <v>9.5238095238095237</v>
      </c>
      <c r="L175" s="3054">
        <v>28.571428571428573</v>
      </c>
      <c r="M175" s="3054">
        <v>52.38095238095238</v>
      </c>
    </row>
    <row r="176" spans="1:13">
      <c r="A176" s="4989"/>
      <c r="B176" s="4992"/>
      <c r="C176" s="3056" t="s">
        <v>52</v>
      </c>
      <c r="D176" s="3057">
        <v>140</v>
      </c>
      <c r="E176" s="3058">
        <v>34</v>
      </c>
      <c r="F176" s="3058">
        <v>43</v>
      </c>
      <c r="G176" s="3059">
        <v>100</v>
      </c>
      <c r="H176" s="3052">
        <v>83.720930232558146</v>
      </c>
      <c r="I176" s="3052">
        <v>16.279069767441861</v>
      </c>
      <c r="J176" s="3054">
        <v>0</v>
      </c>
      <c r="K176" s="3054">
        <v>0</v>
      </c>
      <c r="L176" s="3054">
        <v>8.3333333333333339</v>
      </c>
      <c r="M176" s="3054">
        <v>91.666666666666671</v>
      </c>
    </row>
    <row r="177" spans="1:13">
      <c r="A177" s="4989"/>
      <c r="B177" s="4992"/>
      <c r="C177" s="3056" t="s">
        <v>53</v>
      </c>
      <c r="D177" s="3057">
        <v>163</v>
      </c>
      <c r="E177" s="3058">
        <v>40</v>
      </c>
      <c r="F177" s="3058">
        <v>40</v>
      </c>
      <c r="G177" s="3059">
        <v>100</v>
      </c>
      <c r="H177" s="3052">
        <v>75</v>
      </c>
      <c r="I177" s="3052">
        <v>25</v>
      </c>
      <c r="J177" s="3054">
        <v>6.666666666666667</v>
      </c>
      <c r="K177" s="3054">
        <v>3.3333333333333335</v>
      </c>
      <c r="L177" s="3054">
        <v>13.333333333333334</v>
      </c>
      <c r="M177" s="3054">
        <v>76.666666666666671</v>
      </c>
    </row>
    <row r="178" spans="1:13">
      <c r="A178" s="4989"/>
      <c r="B178" s="4992"/>
      <c r="C178" s="3056" t="s">
        <v>264</v>
      </c>
      <c r="D178" s="3057">
        <v>134</v>
      </c>
      <c r="E178" s="3058">
        <v>33</v>
      </c>
      <c r="F178" s="3058">
        <v>36</v>
      </c>
      <c r="G178" s="3059">
        <v>100</v>
      </c>
      <c r="H178" s="3052">
        <v>62.857142857142854</v>
      </c>
      <c r="I178" s="3052">
        <v>37.142857142857146</v>
      </c>
      <c r="J178" s="3054">
        <v>0</v>
      </c>
      <c r="K178" s="3054">
        <v>0</v>
      </c>
      <c r="L178" s="3054">
        <v>12.5</v>
      </c>
      <c r="M178" s="3054">
        <v>87.5</v>
      </c>
    </row>
    <row r="179" spans="1:13">
      <c r="A179" s="4989"/>
      <c r="B179" s="4992"/>
      <c r="C179" s="3056" t="s">
        <v>55</v>
      </c>
      <c r="D179" s="3057">
        <v>152</v>
      </c>
      <c r="E179" s="3058">
        <v>37</v>
      </c>
      <c r="F179" s="3058">
        <v>53</v>
      </c>
      <c r="G179" s="3059">
        <v>100</v>
      </c>
      <c r="H179" s="3052">
        <v>66.037735849056602</v>
      </c>
      <c r="I179" s="3052">
        <v>33.962264150943398</v>
      </c>
      <c r="J179" s="3054">
        <v>11.428571428571429</v>
      </c>
      <c r="K179" s="3054">
        <v>0</v>
      </c>
      <c r="L179" s="3054">
        <v>17.142857142857142</v>
      </c>
      <c r="M179" s="3054">
        <v>71.428571428571431</v>
      </c>
    </row>
    <row r="180" spans="1:13">
      <c r="A180" s="4989"/>
      <c r="B180" s="4992"/>
      <c r="C180" s="3056" t="s">
        <v>54</v>
      </c>
      <c r="D180" s="3057">
        <v>228</v>
      </c>
      <c r="E180" s="3058">
        <v>56</v>
      </c>
      <c r="F180" s="3058">
        <v>65</v>
      </c>
      <c r="G180" s="3059">
        <v>100</v>
      </c>
      <c r="H180" s="3052">
        <v>76.92307692307692</v>
      </c>
      <c r="I180" s="3052">
        <v>23.076923076923077</v>
      </c>
      <c r="J180" s="3054">
        <v>1.9607843137254901</v>
      </c>
      <c r="K180" s="3054">
        <v>3.9215686274509802</v>
      </c>
      <c r="L180" s="3054">
        <v>35.294117647058826</v>
      </c>
      <c r="M180" s="3054">
        <v>58.823529411764703</v>
      </c>
    </row>
    <row r="181" spans="1:13">
      <c r="A181" s="4989"/>
      <c r="B181" s="4993"/>
      <c r="C181" s="3056" t="s">
        <v>277</v>
      </c>
      <c r="D181" s="3057">
        <v>107</v>
      </c>
      <c r="E181" s="3058">
        <v>26</v>
      </c>
      <c r="F181" s="3058">
        <v>27</v>
      </c>
      <c r="G181" s="3059">
        <v>100</v>
      </c>
      <c r="H181" s="3052">
        <v>70.370370370370367</v>
      </c>
      <c r="I181" s="3052">
        <v>29.62962962962963</v>
      </c>
      <c r="J181" s="3054">
        <v>5.2631578947368425</v>
      </c>
      <c r="K181" s="3054">
        <v>10.526315789473685</v>
      </c>
      <c r="L181" s="3054">
        <v>26.315789473684209</v>
      </c>
      <c r="M181" s="3054">
        <v>57.89473684210526</v>
      </c>
    </row>
    <row r="182" spans="1:13">
      <c r="A182" s="4989"/>
      <c r="B182" s="4991" t="s">
        <v>2537</v>
      </c>
      <c r="C182" s="3056" t="s">
        <v>22</v>
      </c>
      <c r="D182" s="3057">
        <v>181</v>
      </c>
      <c r="E182" s="3058">
        <v>92</v>
      </c>
      <c r="F182" s="3058">
        <v>96</v>
      </c>
      <c r="G182" s="3059">
        <v>100</v>
      </c>
      <c r="H182" s="3052">
        <v>84.375</v>
      </c>
      <c r="I182" s="3052">
        <v>15.625</v>
      </c>
      <c r="J182" s="3054">
        <v>0</v>
      </c>
      <c r="K182" s="3054">
        <v>10.975609756097562</v>
      </c>
      <c r="L182" s="3054">
        <v>23.170731707317074</v>
      </c>
      <c r="M182" s="3054">
        <v>65.853658536585371</v>
      </c>
    </row>
    <row r="183" spans="1:13">
      <c r="A183" s="4989"/>
      <c r="B183" s="4992"/>
      <c r="C183" s="3056" t="s">
        <v>58</v>
      </c>
      <c r="D183" s="3057">
        <v>51</v>
      </c>
      <c r="E183" s="3058">
        <v>26</v>
      </c>
      <c r="F183" s="3058">
        <v>27</v>
      </c>
      <c r="G183" s="3059">
        <v>100</v>
      </c>
      <c r="H183" s="3052">
        <v>62.962962962962962</v>
      </c>
      <c r="I183" s="3052">
        <v>37.037037037037038</v>
      </c>
      <c r="J183" s="3054">
        <v>29.411764705882351</v>
      </c>
      <c r="K183" s="3054">
        <v>5.882352941176471</v>
      </c>
      <c r="L183" s="3054">
        <v>35.294117647058826</v>
      </c>
      <c r="M183" s="3054">
        <v>29.411764705882351</v>
      </c>
    </row>
    <row r="184" spans="1:13">
      <c r="A184" s="4989"/>
      <c r="B184" s="4992"/>
      <c r="C184" s="3056" t="s">
        <v>23</v>
      </c>
      <c r="D184" s="3057">
        <v>94</v>
      </c>
      <c r="E184" s="3058">
        <v>48</v>
      </c>
      <c r="F184" s="3058">
        <v>50</v>
      </c>
      <c r="G184" s="3059">
        <v>100</v>
      </c>
      <c r="H184" s="3052">
        <v>76</v>
      </c>
      <c r="I184" s="3052">
        <v>24</v>
      </c>
      <c r="J184" s="3054">
        <v>2.5641025641025643</v>
      </c>
      <c r="K184" s="3054">
        <v>10.256410256410257</v>
      </c>
      <c r="L184" s="3054">
        <v>23.076923076923077</v>
      </c>
      <c r="M184" s="3054">
        <v>64.102564102564102</v>
      </c>
    </row>
    <row r="185" spans="1:13">
      <c r="A185" s="4990"/>
      <c r="B185" s="4993"/>
      <c r="C185" s="3056" t="s">
        <v>24</v>
      </c>
      <c r="D185" s="3057">
        <v>46</v>
      </c>
      <c r="E185" s="3061">
        <v>23</v>
      </c>
      <c r="F185" s="3061">
        <v>23</v>
      </c>
      <c r="G185" s="3062">
        <v>100</v>
      </c>
      <c r="H185" s="3053">
        <v>91.304347826086953</v>
      </c>
      <c r="I185" s="3053">
        <v>8.695652173913043</v>
      </c>
      <c r="J185" s="3060">
        <v>9.5238095238095237</v>
      </c>
      <c r="K185" s="3060">
        <v>4.7619047619047619</v>
      </c>
      <c r="L185" s="3060">
        <v>14.285714285714286</v>
      </c>
      <c r="M185" s="3060">
        <v>71.428571428571431</v>
      </c>
    </row>
    <row r="186" spans="1:13">
      <c r="A186" s="4988" t="s">
        <v>59</v>
      </c>
      <c r="B186" s="4991" t="s">
        <v>2536</v>
      </c>
      <c r="C186" s="3056" t="s">
        <v>17</v>
      </c>
      <c r="D186" s="3057">
        <v>30</v>
      </c>
      <c r="E186" s="3058">
        <v>30</v>
      </c>
      <c r="F186" s="3058">
        <v>20</v>
      </c>
      <c r="G186" s="3059">
        <v>66.67</v>
      </c>
      <c r="H186" s="3052">
        <v>80</v>
      </c>
      <c r="I186" s="3052">
        <v>20</v>
      </c>
      <c r="J186" s="3054">
        <v>15.384615384615385</v>
      </c>
      <c r="K186" s="3054">
        <v>15.384615384615385</v>
      </c>
      <c r="L186" s="3054">
        <v>30.76923076923077</v>
      </c>
      <c r="M186" s="3054">
        <v>38.46153846153846</v>
      </c>
    </row>
    <row r="187" spans="1:13">
      <c r="A187" s="4989"/>
      <c r="B187" s="4992"/>
      <c r="C187" s="3056" t="s">
        <v>60</v>
      </c>
      <c r="D187" s="3057">
        <v>18</v>
      </c>
      <c r="E187" s="3058">
        <v>18</v>
      </c>
      <c r="F187" s="3058">
        <v>15</v>
      </c>
      <c r="G187" s="3059">
        <v>77.8</v>
      </c>
      <c r="H187" s="3052">
        <v>71.428571428571431</v>
      </c>
      <c r="I187" s="3052">
        <v>28.571428571428573</v>
      </c>
      <c r="J187" s="3054">
        <v>22.222222222222221</v>
      </c>
      <c r="K187" s="3054">
        <v>22.222222222222221</v>
      </c>
      <c r="L187" s="3054">
        <v>44.444444444444443</v>
      </c>
      <c r="M187" s="3054">
        <v>11.111111111111111</v>
      </c>
    </row>
    <row r="188" spans="1:13">
      <c r="A188" s="4989"/>
      <c r="B188" s="4993"/>
      <c r="C188" s="3056" t="s">
        <v>420</v>
      </c>
      <c r="D188" s="3057">
        <v>7</v>
      </c>
      <c r="E188" s="3058">
        <v>7</v>
      </c>
      <c r="F188" s="3058">
        <v>6</v>
      </c>
      <c r="G188" s="3059">
        <v>85.71</v>
      </c>
      <c r="H188" s="3052">
        <v>83.3</v>
      </c>
      <c r="I188" s="3052">
        <v>16.7</v>
      </c>
      <c r="J188" s="3054">
        <v>20</v>
      </c>
      <c r="K188" s="3054">
        <v>40</v>
      </c>
      <c r="L188" s="3054">
        <v>0</v>
      </c>
      <c r="M188" s="3054">
        <v>40</v>
      </c>
    </row>
    <row r="189" spans="1:13">
      <c r="A189" s="4989"/>
      <c r="B189" s="4991" t="s">
        <v>2539</v>
      </c>
      <c r="C189" s="3056" t="s">
        <v>62</v>
      </c>
      <c r="D189" s="3043">
        <v>21</v>
      </c>
      <c r="E189" s="3058">
        <v>21</v>
      </c>
      <c r="F189" s="3058">
        <v>11</v>
      </c>
      <c r="G189" s="3059">
        <v>52.4</v>
      </c>
      <c r="H189" s="3052">
        <v>90</v>
      </c>
      <c r="I189" s="3052">
        <v>10</v>
      </c>
      <c r="J189" s="3054">
        <v>0</v>
      </c>
      <c r="K189" s="3054">
        <v>11.111111111111111</v>
      </c>
      <c r="L189" s="3054">
        <v>22.222222222222221</v>
      </c>
      <c r="M189" s="3054">
        <v>66.666666666666671</v>
      </c>
    </row>
    <row r="190" spans="1:13">
      <c r="A190" s="4989"/>
      <c r="B190" s="4992"/>
      <c r="C190" s="3056" t="s">
        <v>2217</v>
      </c>
      <c r="D190" s="3043">
        <v>3</v>
      </c>
      <c r="E190" s="3058">
        <v>3</v>
      </c>
      <c r="F190" s="3058">
        <v>3</v>
      </c>
      <c r="G190" s="3059">
        <v>100</v>
      </c>
      <c r="H190" s="3052">
        <v>100</v>
      </c>
      <c r="I190" s="3052">
        <v>0</v>
      </c>
      <c r="J190" s="3054">
        <v>0</v>
      </c>
      <c r="K190" s="3054">
        <v>0</v>
      </c>
      <c r="L190" s="3054">
        <v>0</v>
      </c>
      <c r="M190" s="3054">
        <v>100</v>
      </c>
    </row>
    <row r="191" spans="1:13">
      <c r="A191" s="4989"/>
      <c r="B191" s="4993"/>
      <c r="C191" s="3056" t="s">
        <v>63</v>
      </c>
      <c r="D191" s="3043">
        <v>27</v>
      </c>
      <c r="E191" s="3058">
        <v>27</v>
      </c>
      <c r="F191" s="3058">
        <v>17</v>
      </c>
      <c r="G191" s="3059">
        <v>63</v>
      </c>
      <c r="H191" s="3052">
        <v>82.352941176470594</v>
      </c>
      <c r="I191" s="3052">
        <v>17.647058823529413</v>
      </c>
      <c r="J191" s="3054">
        <v>0</v>
      </c>
      <c r="K191" s="3054">
        <v>14.285714285714286</v>
      </c>
      <c r="L191" s="3054">
        <v>42.857142857142854</v>
      </c>
      <c r="M191" s="3054">
        <v>42.857142857142854</v>
      </c>
    </row>
    <row r="192" spans="1:13">
      <c r="A192" s="4989"/>
      <c r="B192" s="4991" t="s">
        <v>2540</v>
      </c>
      <c r="C192" s="3056" t="s">
        <v>556</v>
      </c>
      <c r="D192" s="3043">
        <v>13</v>
      </c>
      <c r="E192" s="3058">
        <v>13</v>
      </c>
      <c r="F192" s="3058">
        <v>11</v>
      </c>
      <c r="G192" s="3059">
        <v>84.6</v>
      </c>
      <c r="H192" s="3052">
        <v>90</v>
      </c>
      <c r="I192" s="3052">
        <v>10</v>
      </c>
      <c r="J192" s="3054">
        <v>0</v>
      </c>
      <c r="K192" s="3054">
        <v>9.0909090909090917</v>
      </c>
      <c r="L192" s="3054">
        <v>9.0909090909090917</v>
      </c>
      <c r="M192" s="3054">
        <v>81.818181818181813</v>
      </c>
    </row>
    <row r="193" spans="1:13">
      <c r="A193" s="4989"/>
      <c r="B193" s="4992"/>
      <c r="C193" s="3056" t="s">
        <v>65</v>
      </c>
      <c r="D193" s="3043">
        <v>4</v>
      </c>
      <c r="E193" s="3058">
        <v>4</v>
      </c>
      <c r="F193" s="3058">
        <v>2</v>
      </c>
      <c r="G193" s="3059">
        <v>50</v>
      </c>
      <c r="H193" s="3052">
        <v>0</v>
      </c>
      <c r="I193" s="3052">
        <v>100</v>
      </c>
      <c r="J193" s="3055">
        <v>0</v>
      </c>
      <c r="K193" s="3055">
        <v>0</v>
      </c>
      <c r="L193" s="3055">
        <v>0</v>
      </c>
      <c r="M193" s="3055">
        <v>0</v>
      </c>
    </row>
    <row r="194" spans="1:13">
      <c r="A194" s="4990"/>
      <c r="B194" s="4993"/>
      <c r="C194" s="3056" t="s">
        <v>422</v>
      </c>
      <c r="D194" s="3043">
        <v>1</v>
      </c>
      <c r="E194" s="3058">
        <v>1</v>
      </c>
      <c r="F194" s="3058">
        <v>1</v>
      </c>
      <c r="G194" s="3059">
        <v>100</v>
      </c>
      <c r="H194" s="3052">
        <v>0</v>
      </c>
      <c r="I194" s="3052">
        <v>100</v>
      </c>
      <c r="J194" s="3055">
        <v>0</v>
      </c>
      <c r="K194" s="3055">
        <v>0</v>
      </c>
      <c r="L194" s="3055">
        <v>0</v>
      </c>
      <c r="M194" s="3055">
        <v>0</v>
      </c>
    </row>
    <row r="195" spans="1:13" ht="38.25">
      <c r="A195" s="4988" t="s">
        <v>249</v>
      </c>
      <c r="B195" s="3063" t="s">
        <v>2541</v>
      </c>
      <c r="C195" s="3064" t="s">
        <v>2542</v>
      </c>
      <c r="D195" s="3065">
        <v>30</v>
      </c>
      <c r="E195" s="2675">
        <v>30</v>
      </c>
      <c r="F195" s="3066">
        <v>27</v>
      </c>
      <c r="G195" s="3067">
        <f>F195*100/E195</f>
        <v>90</v>
      </c>
      <c r="H195" s="3051">
        <v>70.400000000000006</v>
      </c>
      <c r="I195" s="3051">
        <v>29.6</v>
      </c>
      <c r="J195" s="3051">
        <v>5.6</v>
      </c>
      <c r="K195" s="3051">
        <v>16.7</v>
      </c>
      <c r="L195" s="3051">
        <v>22.2</v>
      </c>
      <c r="M195" s="3051">
        <v>55.6</v>
      </c>
    </row>
    <row r="196" spans="1:13" ht="38.25">
      <c r="A196" s="4989"/>
      <c r="B196" s="3068" t="s">
        <v>2536</v>
      </c>
      <c r="C196" s="3064" t="s">
        <v>830</v>
      </c>
      <c r="D196" s="3065">
        <v>43</v>
      </c>
      <c r="E196" s="2675">
        <v>43</v>
      </c>
      <c r="F196" s="3066">
        <v>39</v>
      </c>
      <c r="G196" s="3067">
        <f t="shared" ref="G196:G197" si="3">F196*100/E196</f>
        <v>90.697674418604649</v>
      </c>
      <c r="H196" s="3051">
        <v>61.5</v>
      </c>
      <c r="I196" s="3051">
        <v>38.5</v>
      </c>
      <c r="J196" s="3051">
        <v>12.5</v>
      </c>
      <c r="K196" s="3051">
        <v>20.8</v>
      </c>
      <c r="L196" s="3051">
        <v>33.299999999999997</v>
      </c>
      <c r="M196" s="3051">
        <v>33.299999999999997</v>
      </c>
    </row>
    <row r="197" spans="1:13" ht="38.25">
      <c r="A197" s="4990"/>
      <c r="B197" s="3068" t="s">
        <v>2538</v>
      </c>
      <c r="C197" s="3064" t="s">
        <v>831</v>
      </c>
      <c r="D197" s="3065">
        <v>36</v>
      </c>
      <c r="E197" s="2675">
        <v>36</v>
      </c>
      <c r="F197" s="3066">
        <v>34</v>
      </c>
      <c r="G197" s="3067">
        <f t="shared" si="3"/>
        <v>94.444444444444443</v>
      </c>
      <c r="H197" s="2675">
        <v>47.1</v>
      </c>
      <c r="I197" s="2675">
        <v>52.9</v>
      </c>
      <c r="J197" s="2675">
        <v>26.7</v>
      </c>
      <c r="K197" s="2675">
        <v>33.299999999999997</v>
      </c>
      <c r="L197" s="2675">
        <v>20</v>
      </c>
      <c r="M197" s="2675">
        <v>20</v>
      </c>
    </row>
    <row r="198" spans="1:13">
      <c r="A198" s="107"/>
      <c r="B198" s="99"/>
      <c r="C198" s="3069" t="s">
        <v>15</v>
      </c>
      <c r="D198" s="3041">
        <f>SUM(D125:D197)</f>
        <v>4853</v>
      </c>
      <c r="E198" s="3041">
        <f>SUM(E125:E197)</f>
        <v>2192</v>
      </c>
      <c r="F198" s="3041">
        <f>SUM(F125:F197)</f>
        <v>2118</v>
      </c>
      <c r="G198" s="3070">
        <v>96.9</v>
      </c>
      <c r="H198" s="3071">
        <v>0.73499999999999999</v>
      </c>
      <c r="I198" s="3072">
        <v>0.26500000000000001</v>
      </c>
      <c r="J198" s="3073">
        <v>6.9000000000000006E-2</v>
      </c>
      <c r="K198" s="3073">
        <v>0.122</v>
      </c>
      <c r="L198" s="3073">
        <v>0.29199999999999998</v>
      </c>
      <c r="M198" s="3073">
        <v>0.51700000000000002</v>
      </c>
    </row>
    <row r="199" spans="1:13" ht="15.75">
      <c r="A199" s="384"/>
      <c r="B199" s="384"/>
      <c r="C199" s="384"/>
      <c r="D199" s="384"/>
      <c r="E199" s="374"/>
    </row>
    <row r="200" spans="1:13">
      <c r="A200" s="375"/>
      <c r="B200" s="375"/>
      <c r="C200" s="375"/>
      <c r="D200" s="375"/>
      <c r="E200" s="374"/>
    </row>
    <row r="201" spans="1:13">
      <c r="B201"/>
      <c r="C201" s="376">
        <v>2016</v>
      </c>
      <c r="D201" s="375"/>
      <c r="E201" s="375"/>
      <c r="F201" s="375"/>
      <c r="G201" s="375"/>
    </row>
    <row r="202" spans="1:13">
      <c r="A202" s="2761" t="s">
        <v>2221</v>
      </c>
      <c r="B202" s="54"/>
      <c r="C202" s="54"/>
      <c r="D202" s="2762"/>
      <c r="E202" s="2762"/>
      <c r="F202" s="2762"/>
      <c r="G202" s="54"/>
    </row>
    <row r="203" spans="1:13">
      <c r="A203" s="2763" t="s">
        <v>2222</v>
      </c>
      <c r="B203" s="2762"/>
      <c r="C203" s="54"/>
      <c r="D203" s="54"/>
      <c r="E203" s="54"/>
      <c r="F203" s="54"/>
      <c r="G203" s="54"/>
    </row>
    <row r="204" spans="1:13" ht="31.5" customHeight="1">
      <c r="A204" s="5017" t="s">
        <v>2177</v>
      </c>
      <c r="B204" s="5017"/>
      <c r="C204" s="5017"/>
      <c r="D204" s="5017"/>
      <c r="E204" s="5017"/>
      <c r="F204" s="5017"/>
      <c r="G204" s="5017"/>
    </row>
    <row r="205" spans="1:13" ht="53.25" customHeight="1">
      <c r="A205" s="5028" t="s">
        <v>2227</v>
      </c>
      <c r="B205" s="5028"/>
      <c r="C205" s="5028"/>
      <c r="D205" s="5028"/>
      <c r="E205" s="5028"/>
      <c r="F205" s="5028"/>
      <c r="G205" s="5028"/>
    </row>
    <row r="206" spans="1:13" ht="15" customHeight="1">
      <c r="A206" s="5018" t="s">
        <v>2178</v>
      </c>
      <c r="B206" s="5018"/>
      <c r="C206" s="5018"/>
      <c r="D206" s="5018"/>
      <c r="E206" s="5018"/>
      <c r="F206" s="5018"/>
      <c r="G206" s="5018"/>
    </row>
    <row r="207" spans="1:13" ht="22.5" customHeight="1">
      <c r="A207" s="5018"/>
      <c r="B207" s="5018"/>
      <c r="C207" s="5018"/>
      <c r="D207" s="5018"/>
      <c r="E207" s="5018"/>
      <c r="F207" s="5018"/>
      <c r="G207" s="5018"/>
    </row>
    <row r="208" spans="1:13">
      <c r="A208" s="388"/>
      <c r="B208" s="197"/>
      <c r="C208" s="197"/>
      <c r="D208" s="1690"/>
      <c r="E208" s="1690"/>
      <c r="F208" s="1690"/>
      <c r="G208" s="197"/>
    </row>
    <row r="209" spans="1:10">
      <c r="A209" s="5019" t="s">
        <v>1656</v>
      </c>
      <c r="B209" s="5020"/>
      <c r="C209" s="5020"/>
      <c r="D209" s="5020"/>
      <c r="E209" s="5021"/>
      <c r="F209" s="1690"/>
      <c r="G209" s="197"/>
    </row>
    <row r="210" spans="1:10" ht="25.5">
      <c r="A210" s="2738" t="s">
        <v>1657</v>
      </c>
      <c r="B210" s="2739" t="s">
        <v>2179</v>
      </c>
      <c r="C210" s="2739" t="s">
        <v>2180</v>
      </c>
      <c r="D210" s="2739" t="s">
        <v>2181</v>
      </c>
      <c r="E210" s="2739" t="s">
        <v>2182</v>
      </c>
      <c r="F210" s="1690"/>
      <c r="G210" s="197"/>
      <c r="H210" s="421"/>
      <c r="I210" s="421"/>
      <c r="J210" s="421"/>
    </row>
    <row r="211" spans="1:10">
      <c r="A211" s="2740">
        <v>2012</v>
      </c>
      <c r="B211" s="2740">
        <v>4744</v>
      </c>
      <c r="C211" s="2741">
        <v>2083</v>
      </c>
      <c r="D211" s="2742">
        <v>2015</v>
      </c>
      <c r="E211" s="2743">
        <f>D211*100/C211</f>
        <v>96.735477676428232</v>
      </c>
      <c r="F211" s="1690"/>
      <c r="G211" s="197"/>
      <c r="H211" s="2744"/>
      <c r="I211" s="2744"/>
      <c r="J211" s="2744"/>
    </row>
    <row r="212" spans="1:10">
      <c r="A212" s="2745"/>
      <c r="B212" s="2745"/>
      <c r="C212" s="2746"/>
      <c r="D212" s="1692"/>
      <c r="E212" s="1692"/>
      <c r="F212" s="1690"/>
      <c r="G212" s="197"/>
    </row>
    <row r="213" spans="1:10">
      <c r="A213" s="5022" t="s">
        <v>2183</v>
      </c>
      <c r="B213" s="5022"/>
      <c r="C213" s="5022"/>
      <c r="D213" s="5022"/>
      <c r="E213" s="5022"/>
      <c r="F213" s="1690"/>
      <c r="G213" s="197"/>
    </row>
    <row r="214" spans="1:10">
      <c r="A214" s="2747" t="s">
        <v>2184</v>
      </c>
      <c r="B214" s="2748" t="s">
        <v>2179</v>
      </c>
      <c r="C214" s="2748" t="s">
        <v>2180</v>
      </c>
      <c r="D214" s="2748" t="s">
        <v>2185</v>
      </c>
      <c r="E214" s="2748" t="s">
        <v>2186</v>
      </c>
      <c r="G214" s="197"/>
    </row>
    <row r="215" spans="1:10">
      <c r="A215" s="2749" t="s">
        <v>3</v>
      </c>
      <c r="B215" s="2750">
        <v>1191</v>
      </c>
      <c r="C215" s="2750">
        <v>599</v>
      </c>
      <c r="D215" s="2750">
        <v>597</v>
      </c>
      <c r="E215" s="2751">
        <f>D215*100/C215</f>
        <v>99.666110183639404</v>
      </c>
      <c r="G215" s="197"/>
    </row>
    <row r="216" spans="1:10">
      <c r="A216" s="2749" t="s">
        <v>25</v>
      </c>
      <c r="B216" s="2750">
        <v>1077</v>
      </c>
      <c r="C216" s="2750">
        <v>623</v>
      </c>
      <c r="D216" s="2750">
        <v>509</v>
      </c>
      <c r="E216" s="2751">
        <f>D216*100/C216</f>
        <v>81.701444622792934</v>
      </c>
      <c r="G216" s="197"/>
    </row>
    <row r="217" spans="1:10">
      <c r="A217" s="2749" t="s">
        <v>48</v>
      </c>
      <c r="B217" s="2750">
        <v>2352</v>
      </c>
      <c r="C217" s="2750">
        <v>737</v>
      </c>
      <c r="D217" s="2750">
        <v>824</v>
      </c>
      <c r="E217" s="2751">
        <f>D217*100/C217</f>
        <v>111.80461329715061</v>
      </c>
      <c r="G217" s="197"/>
    </row>
    <row r="218" spans="1:10">
      <c r="A218" s="2749" t="s">
        <v>59</v>
      </c>
      <c r="B218" s="2750">
        <v>124</v>
      </c>
      <c r="C218" s="2750">
        <v>124</v>
      </c>
      <c r="D218" s="2750">
        <v>85</v>
      </c>
      <c r="E218" s="2751">
        <f>D218*100/C218</f>
        <v>68.548387096774192</v>
      </c>
      <c r="G218" s="197"/>
    </row>
    <row r="219" spans="1:10">
      <c r="A219" s="2752" t="s">
        <v>15</v>
      </c>
      <c r="B219" s="2753">
        <v>4744</v>
      </c>
      <c r="C219" s="2753">
        <v>2083</v>
      </c>
      <c r="D219" s="2753">
        <f>SUM(D215:D218)</f>
        <v>2015</v>
      </c>
      <c r="E219" s="2754">
        <f>D219*100/C219</f>
        <v>96.735477676428232</v>
      </c>
      <c r="G219" s="197"/>
    </row>
    <row r="220" spans="1:10">
      <c r="A220" s="1690"/>
      <c r="B220" s="1690"/>
      <c r="C220" s="1690"/>
      <c r="D220" s="1690"/>
      <c r="E220" s="1690"/>
      <c r="F220" s="1690"/>
      <c r="G220" s="197"/>
    </row>
    <row r="221" spans="1:10">
      <c r="A221" s="5023" t="s">
        <v>1089</v>
      </c>
      <c r="B221" s="5024"/>
      <c r="C221" s="2755"/>
      <c r="D221" s="1692"/>
      <c r="F221" s="1690"/>
      <c r="G221" s="197"/>
    </row>
    <row r="222" spans="1:10">
      <c r="A222" s="2852" t="s">
        <v>1091</v>
      </c>
      <c r="B222" s="2756" t="s">
        <v>1092</v>
      </c>
      <c r="C222" s="2757" t="s">
        <v>2187</v>
      </c>
      <c r="D222" s="1691"/>
      <c r="E222" s="5025" t="s">
        <v>2188</v>
      </c>
      <c r="F222" s="5025"/>
      <c r="G222" s="5025"/>
      <c r="H222" s="5025"/>
      <c r="I222" s="5025"/>
      <c r="J222" s="5025"/>
    </row>
    <row r="223" spans="1:10">
      <c r="A223" s="2783">
        <v>0.74199999999999999</v>
      </c>
      <c r="B223" s="2758">
        <v>0.25800000000000001</v>
      </c>
      <c r="C223" s="2759">
        <f>SUM(A223:B223)</f>
        <v>1</v>
      </c>
      <c r="D223" s="2760"/>
      <c r="E223" s="5025"/>
      <c r="F223" s="5025"/>
      <c r="G223" s="5025"/>
      <c r="H223" s="5025"/>
      <c r="I223" s="5025"/>
      <c r="J223" s="5025"/>
    </row>
    <row r="224" spans="1:10">
      <c r="A224" s="191"/>
    </row>
    <row r="225" spans="1:10">
      <c r="A225" s="2764"/>
      <c r="B225" s="75"/>
      <c r="C225" s="75"/>
      <c r="D225" s="75"/>
      <c r="E225" s="75"/>
      <c r="F225" s="75"/>
      <c r="G225" s="75"/>
      <c r="H225" s="5026" t="s">
        <v>1089</v>
      </c>
      <c r="I225" s="5027"/>
      <c r="J225" s="75"/>
    </row>
    <row r="226" spans="1:10" ht="22.5">
      <c r="A226" s="2765" t="s">
        <v>0</v>
      </c>
      <c r="B226" s="2765" t="s">
        <v>1</v>
      </c>
      <c r="C226" s="2765" t="s">
        <v>1660</v>
      </c>
      <c r="D226" s="2765" t="s">
        <v>2189</v>
      </c>
      <c r="E226" s="2765" t="s">
        <v>2180</v>
      </c>
      <c r="F226" s="2766" t="s">
        <v>2190</v>
      </c>
      <c r="G226" s="2766" t="s">
        <v>2191</v>
      </c>
      <c r="H226" s="2765" t="s">
        <v>1091</v>
      </c>
      <c r="I226" s="2765" t="s">
        <v>1092</v>
      </c>
      <c r="J226" s="2766" t="s">
        <v>2187</v>
      </c>
    </row>
    <row r="227" spans="1:10">
      <c r="A227" s="2767" t="s">
        <v>3</v>
      </c>
      <c r="B227" s="2767" t="s">
        <v>4</v>
      </c>
      <c r="C227" s="2768" t="s">
        <v>554</v>
      </c>
      <c r="D227" s="2769">
        <v>42</v>
      </c>
      <c r="E227" s="2769">
        <v>21</v>
      </c>
      <c r="F227" s="2769">
        <v>25</v>
      </c>
      <c r="G227" s="2770">
        <v>119</v>
      </c>
      <c r="H227" s="2771">
        <v>64</v>
      </c>
      <c r="I227" s="2771">
        <v>36</v>
      </c>
      <c r="J227" s="2771">
        <f t="shared" ref="J227:J290" si="4">H227+I227</f>
        <v>100</v>
      </c>
    </row>
    <row r="228" spans="1:10">
      <c r="A228" s="2767" t="s">
        <v>3</v>
      </c>
      <c r="B228" s="2767" t="s">
        <v>4</v>
      </c>
      <c r="C228" s="2768" t="s">
        <v>2223</v>
      </c>
      <c r="D228" s="2769">
        <v>22</v>
      </c>
      <c r="E228" s="2769">
        <v>22</v>
      </c>
      <c r="F228" s="2769">
        <v>18</v>
      </c>
      <c r="G228" s="2770">
        <v>81.8</v>
      </c>
      <c r="H228" s="2771">
        <v>83.33</v>
      </c>
      <c r="I228" s="2771">
        <v>16.670000000000002</v>
      </c>
      <c r="J228" s="2771">
        <f t="shared" si="4"/>
        <v>100</v>
      </c>
    </row>
    <row r="229" spans="1:10">
      <c r="A229" s="2767" t="s">
        <v>3</v>
      </c>
      <c r="B229" s="2767" t="s">
        <v>4</v>
      </c>
      <c r="C229" s="2768" t="s">
        <v>2224</v>
      </c>
      <c r="D229" s="2769">
        <v>10</v>
      </c>
      <c r="E229" s="2769">
        <v>10</v>
      </c>
      <c r="F229" s="2769">
        <v>6</v>
      </c>
      <c r="G229" s="2770">
        <v>60</v>
      </c>
      <c r="H229" s="2771">
        <v>100</v>
      </c>
      <c r="I229" s="2771">
        <v>0</v>
      </c>
      <c r="J229" s="2771">
        <f t="shared" si="4"/>
        <v>100</v>
      </c>
    </row>
    <row r="230" spans="1:10">
      <c r="A230" s="2767" t="s">
        <v>3</v>
      </c>
      <c r="B230" s="2767" t="s">
        <v>4</v>
      </c>
      <c r="C230" s="2768" t="s">
        <v>2192</v>
      </c>
      <c r="D230" s="2769">
        <v>17</v>
      </c>
      <c r="E230" s="2769">
        <v>17</v>
      </c>
      <c r="F230" s="2769">
        <v>13</v>
      </c>
      <c r="G230" s="2770">
        <v>76.5</v>
      </c>
      <c r="H230" s="2771">
        <v>41.67</v>
      </c>
      <c r="I230" s="2771">
        <v>58.33</v>
      </c>
      <c r="J230" s="2771">
        <f t="shared" si="4"/>
        <v>100</v>
      </c>
    </row>
    <row r="231" spans="1:10">
      <c r="A231" s="2767" t="s">
        <v>3</v>
      </c>
      <c r="B231" s="2767" t="s">
        <v>4</v>
      </c>
      <c r="C231" s="2768" t="s">
        <v>823</v>
      </c>
      <c r="D231" s="2769">
        <v>77</v>
      </c>
      <c r="E231" s="2769">
        <v>38</v>
      </c>
      <c r="F231" s="2769">
        <v>38</v>
      </c>
      <c r="G231" s="2770">
        <v>100</v>
      </c>
      <c r="H231" s="2771">
        <v>94.74</v>
      </c>
      <c r="I231" s="2771">
        <v>5.26</v>
      </c>
      <c r="J231" s="2771">
        <f t="shared" si="4"/>
        <v>100</v>
      </c>
    </row>
    <row r="232" spans="1:10">
      <c r="A232" s="2767" t="s">
        <v>3</v>
      </c>
      <c r="B232" s="2767" t="s">
        <v>4</v>
      </c>
      <c r="C232" s="2768" t="s">
        <v>824</v>
      </c>
      <c r="D232" s="2769">
        <v>41</v>
      </c>
      <c r="E232" s="2769">
        <v>20</v>
      </c>
      <c r="F232" s="2769">
        <v>20</v>
      </c>
      <c r="G232" s="2770">
        <v>100</v>
      </c>
      <c r="H232" s="2771">
        <v>78.95</v>
      </c>
      <c r="I232" s="2771">
        <v>21.05</v>
      </c>
      <c r="J232" s="2771">
        <f t="shared" si="4"/>
        <v>100</v>
      </c>
    </row>
    <row r="233" spans="1:10">
      <c r="A233" s="2767" t="s">
        <v>3</v>
      </c>
      <c r="B233" s="2767" t="s">
        <v>4</v>
      </c>
      <c r="C233" s="2768" t="s">
        <v>2193</v>
      </c>
      <c r="D233" s="2769">
        <v>5</v>
      </c>
      <c r="E233" s="2769">
        <v>5</v>
      </c>
      <c r="F233" s="2769">
        <v>1</v>
      </c>
      <c r="G233" s="2770">
        <v>20</v>
      </c>
      <c r="H233" s="2771">
        <v>100</v>
      </c>
      <c r="I233" s="2771">
        <v>0</v>
      </c>
      <c r="J233" s="2771">
        <f t="shared" si="4"/>
        <v>100</v>
      </c>
    </row>
    <row r="234" spans="1:10">
      <c r="A234" s="2767" t="s">
        <v>3</v>
      </c>
      <c r="B234" s="2767" t="s">
        <v>4</v>
      </c>
      <c r="C234" s="2768" t="s">
        <v>558</v>
      </c>
      <c r="D234" s="2769">
        <v>38</v>
      </c>
      <c r="E234" s="2769">
        <v>19</v>
      </c>
      <c r="F234" s="2769">
        <v>19</v>
      </c>
      <c r="G234" s="2770">
        <v>100</v>
      </c>
      <c r="H234" s="2771">
        <v>64.709999999999994</v>
      </c>
      <c r="I234" s="2771">
        <v>35.29</v>
      </c>
      <c r="J234" s="2771">
        <f t="shared" si="4"/>
        <v>100</v>
      </c>
    </row>
    <row r="235" spans="1:10">
      <c r="A235" s="2767" t="s">
        <v>3</v>
      </c>
      <c r="B235" s="2767" t="s">
        <v>4</v>
      </c>
      <c r="C235" s="2768" t="s">
        <v>826</v>
      </c>
      <c r="D235" s="2769">
        <v>71</v>
      </c>
      <c r="E235" s="2769">
        <v>35</v>
      </c>
      <c r="F235" s="2769">
        <v>37</v>
      </c>
      <c r="G235" s="2770">
        <v>105.7</v>
      </c>
      <c r="H235" s="2771">
        <v>81.08</v>
      </c>
      <c r="I235" s="2771">
        <v>18.920000000000002</v>
      </c>
      <c r="J235" s="2771">
        <f t="shared" si="4"/>
        <v>100</v>
      </c>
    </row>
    <row r="236" spans="1:10">
      <c r="A236" s="2767" t="s">
        <v>3</v>
      </c>
      <c r="B236" s="2767" t="s">
        <v>4</v>
      </c>
      <c r="C236" s="2768" t="s">
        <v>556</v>
      </c>
      <c r="D236" s="2769">
        <v>63</v>
      </c>
      <c r="E236" s="2769">
        <v>31</v>
      </c>
      <c r="F236" s="2769">
        <v>34</v>
      </c>
      <c r="G236" s="2770">
        <v>109.7</v>
      </c>
      <c r="H236" s="2771">
        <v>91.18</v>
      </c>
      <c r="I236" s="2771">
        <v>8.82</v>
      </c>
      <c r="J236" s="2771">
        <f t="shared" si="4"/>
        <v>100</v>
      </c>
    </row>
    <row r="237" spans="1:10">
      <c r="A237" s="2767" t="s">
        <v>3</v>
      </c>
      <c r="B237" s="2772" t="s">
        <v>16</v>
      </c>
      <c r="C237" s="2768" t="s">
        <v>17</v>
      </c>
      <c r="D237" s="2769">
        <v>183</v>
      </c>
      <c r="E237" s="2769">
        <v>76</v>
      </c>
      <c r="F237" s="2769">
        <v>76</v>
      </c>
      <c r="G237" s="2770">
        <v>100</v>
      </c>
      <c r="H237" s="2773">
        <v>85.33</v>
      </c>
      <c r="I237" s="2773">
        <v>14.67</v>
      </c>
      <c r="J237" s="2771">
        <f t="shared" si="4"/>
        <v>100</v>
      </c>
    </row>
    <row r="238" spans="1:10">
      <c r="A238" s="2767" t="s">
        <v>3</v>
      </c>
      <c r="B238" s="2772" t="s">
        <v>16</v>
      </c>
      <c r="C238" s="2768" t="s">
        <v>18</v>
      </c>
      <c r="D238" s="2769">
        <v>233</v>
      </c>
      <c r="E238" s="2769">
        <v>96</v>
      </c>
      <c r="F238" s="2769">
        <v>101</v>
      </c>
      <c r="G238" s="2770">
        <v>105.2</v>
      </c>
      <c r="H238" s="2773">
        <v>79.209999999999994</v>
      </c>
      <c r="I238" s="2773">
        <v>20.79</v>
      </c>
      <c r="J238" s="2771">
        <f t="shared" si="4"/>
        <v>100</v>
      </c>
    </row>
    <row r="239" spans="1:10">
      <c r="A239" s="2767" t="s">
        <v>3</v>
      </c>
      <c r="B239" s="2772" t="s">
        <v>16</v>
      </c>
      <c r="C239" s="2768" t="s">
        <v>19</v>
      </c>
      <c r="D239" s="2769">
        <v>69</v>
      </c>
      <c r="E239" s="2769">
        <v>28</v>
      </c>
      <c r="F239" s="2769">
        <v>28</v>
      </c>
      <c r="G239" s="2770">
        <v>100</v>
      </c>
      <c r="H239" s="2773">
        <v>71.430000000000007</v>
      </c>
      <c r="I239" s="2773">
        <v>28.57</v>
      </c>
      <c r="J239" s="2771">
        <f t="shared" si="4"/>
        <v>100</v>
      </c>
    </row>
    <row r="240" spans="1:10">
      <c r="A240" s="2767" t="s">
        <v>3</v>
      </c>
      <c r="B240" s="2772" t="s">
        <v>16</v>
      </c>
      <c r="C240" s="2768" t="s">
        <v>20</v>
      </c>
      <c r="D240" s="2769">
        <v>65</v>
      </c>
      <c r="E240" s="2769">
        <v>28</v>
      </c>
      <c r="F240" s="2769">
        <v>32</v>
      </c>
      <c r="G240" s="2770">
        <v>114.3</v>
      </c>
      <c r="H240" s="2773">
        <v>59.38</v>
      </c>
      <c r="I240" s="2773">
        <v>40.619999999999997</v>
      </c>
      <c r="J240" s="2771">
        <f t="shared" si="4"/>
        <v>100</v>
      </c>
    </row>
    <row r="241" spans="1:10">
      <c r="A241" s="2767" t="s">
        <v>3</v>
      </c>
      <c r="B241" s="2772" t="s">
        <v>21</v>
      </c>
      <c r="C241" s="2774" t="s">
        <v>2194</v>
      </c>
      <c r="D241" s="2772">
        <v>86</v>
      </c>
      <c r="E241" s="2772">
        <v>52</v>
      </c>
      <c r="F241" s="2772">
        <v>47</v>
      </c>
      <c r="G241" s="2773">
        <v>90.4</v>
      </c>
      <c r="H241" s="2773">
        <v>85.11</v>
      </c>
      <c r="I241" s="2773">
        <v>14.89</v>
      </c>
      <c r="J241" s="2771">
        <f t="shared" si="4"/>
        <v>100</v>
      </c>
    </row>
    <row r="242" spans="1:10">
      <c r="A242" s="2767" t="s">
        <v>3</v>
      </c>
      <c r="B242" s="2772" t="s">
        <v>21</v>
      </c>
      <c r="C242" s="2774" t="s">
        <v>2195</v>
      </c>
      <c r="D242" s="2772">
        <v>105</v>
      </c>
      <c r="E242" s="2772">
        <v>63</v>
      </c>
      <c r="F242" s="2772">
        <v>64</v>
      </c>
      <c r="G242" s="2773">
        <v>101.6</v>
      </c>
      <c r="H242" s="2773">
        <v>78.13</v>
      </c>
      <c r="I242" s="2773">
        <v>21.87</v>
      </c>
      <c r="J242" s="2771">
        <f t="shared" si="4"/>
        <v>100</v>
      </c>
    </row>
    <row r="243" spans="1:10">
      <c r="A243" s="2767" t="s">
        <v>3</v>
      </c>
      <c r="B243" s="2772" t="s">
        <v>21</v>
      </c>
      <c r="C243" s="2774" t="s">
        <v>2196</v>
      </c>
      <c r="D243" s="2772">
        <v>64</v>
      </c>
      <c r="E243" s="2772">
        <v>38</v>
      </c>
      <c r="F243" s="2772">
        <v>38</v>
      </c>
      <c r="G243" s="2773">
        <v>100</v>
      </c>
      <c r="H243" s="2773">
        <v>68.42</v>
      </c>
      <c r="I243" s="2773">
        <v>31.58</v>
      </c>
      <c r="J243" s="2771">
        <f t="shared" si="4"/>
        <v>100</v>
      </c>
    </row>
    <row r="244" spans="1:10">
      <c r="A244" s="2767" t="s">
        <v>25</v>
      </c>
      <c r="B244" s="2772" t="s">
        <v>4</v>
      </c>
      <c r="C244" s="2774" t="s">
        <v>32</v>
      </c>
      <c r="D244" s="2772">
        <v>46</v>
      </c>
      <c r="E244" s="2772">
        <v>30</v>
      </c>
      <c r="F244" s="2772">
        <v>30</v>
      </c>
      <c r="G244" s="2773">
        <v>100</v>
      </c>
      <c r="H244" s="2772">
        <v>86.67</v>
      </c>
      <c r="I244" s="2772">
        <v>13.33</v>
      </c>
      <c r="J244" s="2771">
        <f t="shared" si="4"/>
        <v>100</v>
      </c>
    </row>
    <row r="245" spans="1:10">
      <c r="A245" s="2767" t="s">
        <v>25</v>
      </c>
      <c r="B245" s="2772" t="s">
        <v>4</v>
      </c>
      <c r="C245" s="2774" t="s">
        <v>2197</v>
      </c>
      <c r="D245" s="2772">
        <v>9</v>
      </c>
      <c r="E245" s="2772">
        <v>9</v>
      </c>
      <c r="F245" s="2772">
        <v>4</v>
      </c>
      <c r="G245" s="2773">
        <v>44.4</v>
      </c>
      <c r="H245" s="2775">
        <v>75</v>
      </c>
      <c r="I245" s="2775">
        <v>25</v>
      </c>
      <c r="J245" s="2771">
        <f t="shared" si="4"/>
        <v>100</v>
      </c>
    </row>
    <row r="246" spans="1:10">
      <c r="A246" s="2767" t="s">
        <v>25</v>
      </c>
      <c r="B246" s="2772" t="s">
        <v>4</v>
      </c>
      <c r="C246" s="2774" t="s">
        <v>2198</v>
      </c>
      <c r="D246" s="2772">
        <v>27</v>
      </c>
      <c r="E246" s="2772">
        <v>27</v>
      </c>
      <c r="F246" s="2772">
        <v>13</v>
      </c>
      <c r="G246" s="2773">
        <v>59.3</v>
      </c>
      <c r="H246" s="2775">
        <v>84.615384615384613</v>
      </c>
      <c r="I246" s="2775">
        <v>15.384615384615385</v>
      </c>
      <c r="J246" s="2771">
        <f t="shared" si="4"/>
        <v>100</v>
      </c>
    </row>
    <row r="247" spans="1:10">
      <c r="A247" s="2767" t="s">
        <v>25</v>
      </c>
      <c r="B247" s="2772" t="s">
        <v>4</v>
      </c>
      <c r="C247" s="2774" t="s">
        <v>2199</v>
      </c>
      <c r="D247" s="2772">
        <v>45</v>
      </c>
      <c r="E247" s="2772">
        <v>29</v>
      </c>
      <c r="F247" s="2772">
        <v>20</v>
      </c>
      <c r="G247" s="2773">
        <v>69</v>
      </c>
      <c r="H247" s="2775">
        <v>85</v>
      </c>
      <c r="I247" s="2775">
        <v>15</v>
      </c>
      <c r="J247" s="2771">
        <f t="shared" si="4"/>
        <v>100</v>
      </c>
    </row>
    <row r="248" spans="1:10">
      <c r="A248" s="2767" t="s">
        <v>25</v>
      </c>
      <c r="B248" s="2772" t="s">
        <v>4</v>
      </c>
      <c r="C248" s="2774" t="s">
        <v>2200</v>
      </c>
      <c r="D248" s="2772">
        <v>20</v>
      </c>
      <c r="E248" s="2772">
        <v>20</v>
      </c>
      <c r="F248" s="2772">
        <v>8</v>
      </c>
      <c r="G248" s="2773">
        <v>40</v>
      </c>
      <c r="H248" s="2775">
        <v>37.5</v>
      </c>
      <c r="I248" s="2775">
        <v>62.5</v>
      </c>
      <c r="J248" s="2771">
        <f t="shared" si="4"/>
        <v>100</v>
      </c>
    </row>
    <row r="249" spans="1:10">
      <c r="A249" s="2767" t="s">
        <v>25</v>
      </c>
      <c r="B249" s="2772" t="s">
        <v>4</v>
      </c>
      <c r="C249" s="2774" t="s">
        <v>2201</v>
      </c>
      <c r="D249" s="2772">
        <v>6</v>
      </c>
      <c r="E249" s="2772">
        <v>6</v>
      </c>
      <c r="F249" s="2772">
        <v>2</v>
      </c>
      <c r="G249" s="2773">
        <v>33.299999999999997</v>
      </c>
      <c r="H249" s="2775">
        <v>50</v>
      </c>
      <c r="I249" s="2775">
        <v>50</v>
      </c>
      <c r="J249" s="2771">
        <f t="shared" si="4"/>
        <v>100</v>
      </c>
    </row>
    <row r="250" spans="1:10">
      <c r="A250" s="2767" t="s">
        <v>25</v>
      </c>
      <c r="B250" s="2772" t="s">
        <v>4</v>
      </c>
      <c r="C250" s="2774" t="s">
        <v>2202</v>
      </c>
      <c r="D250" s="2772">
        <v>22</v>
      </c>
      <c r="E250" s="2772">
        <v>22</v>
      </c>
      <c r="F250" s="2772">
        <v>13</v>
      </c>
      <c r="G250" s="2773">
        <v>59.1</v>
      </c>
      <c r="H250" s="2775">
        <v>69.230769230769226</v>
      </c>
      <c r="I250" s="2775">
        <v>30.76923076923077</v>
      </c>
      <c r="J250" s="2771">
        <f t="shared" si="4"/>
        <v>100</v>
      </c>
    </row>
    <row r="251" spans="1:10">
      <c r="A251" s="2767" t="s">
        <v>25</v>
      </c>
      <c r="B251" s="2772" t="s">
        <v>4</v>
      </c>
      <c r="C251" s="2774" t="s">
        <v>2203</v>
      </c>
      <c r="D251" s="2772">
        <v>17</v>
      </c>
      <c r="E251" s="2772">
        <v>17</v>
      </c>
      <c r="F251" s="2772">
        <v>11</v>
      </c>
      <c r="G251" s="2773">
        <v>64.7</v>
      </c>
      <c r="H251" s="2775">
        <v>45.5</v>
      </c>
      <c r="I251" s="2775">
        <v>54.5</v>
      </c>
      <c r="J251" s="2771">
        <f t="shared" si="4"/>
        <v>100</v>
      </c>
    </row>
    <row r="252" spans="1:10">
      <c r="A252" s="2767" t="s">
        <v>25</v>
      </c>
      <c r="B252" s="2772" t="s">
        <v>4</v>
      </c>
      <c r="C252" s="2774" t="s">
        <v>2204</v>
      </c>
      <c r="D252" s="2772">
        <v>14</v>
      </c>
      <c r="E252" s="2772">
        <v>14</v>
      </c>
      <c r="F252" s="2772">
        <v>9</v>
      </c>
      <c r="G252" s="2773">
        <v>64.3</v>
      </c>
      <c r="H252" s="2775">
        <v>0</v>
      </c>
      <c r="I252" s="2775">
        <v>100</v>
      </c>
      <c r="J252" s="2771">
        <f t="shared" si="4"/>
        <v>100</v>
      </c>
    </row>
    <row r="253" spans="1:10">
      <c r="A253" s="2767" t="s">
        <v>25</v>
      </c>
      <c r="B253" s="2772" t="s">
        <v>16</v>
      </c>
      <c r="C253" s="2774" t="s">
        <v>2205</v>
      </c>
      <c r="D253" s="2772">
        <v>130</v>
      </c>
      <c r="E253" s="2772">
        <v>52</v>
      </c>
      <c r="F253" s="2772">
        <v>48</v>
      </c>
      <c r="G253" s="2773">
        <v>92.3</v>
      </c>
      <c r="H253" s="2775">
        <v>79.2</v>
      </c>
      <c r="I253" s="2775">
        <v>20.8</v>
      </c>
      <c r="J253" s="2771">
        <f t="shared" si="4"/>
        <v>100</v>
      </c>
    </row>
    <row r="254" spans="1:10">
      <c r="A254" s="2767" t="s">
        <v>25</v>
      </c>
      <c r="B254" s="2772" t="s">
        <v>16</v>
      </c>
      <c r="C254" s="2774" t="s">
        <v>33</v>
      </c>
      <c r="D254" s="2772">
        <v>40</v>
      </c>
      <c r="E254" s="2772">
        <v>16</v>
      </c>
      <c r="F254" s="2772">
        <v>16</v>
      </c>
      <c r="G254" s="2773">
        <v>100</v>
      </c>
      <c r="H254" s="2775">
        <v>56.25</v>
      </c>
      <c r="I254" s="2775">
        <v>43.75</v>
      </c>
      <c r="J254" s="2771">
        <f t="shared" si="4"/>
        <v>100</v>
      </c>
    </row>
    <row r="255" spans="1:10">
      <c r="A255" s="2767" t="s">
        <v>25</v>
      </c>
      <c r="B255" s="2772" t="s">
        <v>16</v>
      </c>
      <c r="C255" s="2774" t="s">
        <v>38</v>
      </c>
      <c r="D255" s="2772">
        <v>58</v>
      </c>
      <c r="E255" s="2772">
        <v>23</v>
      </c>
      <c r="F255" s="2772">
        <v>29</v>
      </c>
      <c r="G255" s="2773">
        <v>126.1</v>
      </c>
      <c r="H255" s="2775">
        <v>75</v>
      </c>
      <c r="I255" s="2775">
        <v>25</v>
      </c>
      <c r="J255" s="2771">
        <f t="shared" si="4"/>
        <v>100</v>
      </c>
    </row>
    <row r="256" spans="1:10">
      <c r="A256" s="2767" t="s">
        <v>25</v>
      </c>
      <c r="B256" s="2772" t="s">
        <v>16</v>
      </c>
      <c r="C256" s="2774" t="s">
        <v>19</v>
      </c>
      <c r="D256" s="2772">
        <v>38</v>
      </c>
      <c r="E256" s="2772">
        <v>15</v>
      </c>
      <c r="F256" s="2772">
        <v>15</v>
      </c>
      <c r="G256" s="2773">
        <v>100</v>
      </c>
      <c r="H256" s="2775">
        <v>66.666666666666671</v>
      </c>
      <c r="I256" s="2775">
        <v>33.333333333333336</v>
      </c>
      <c r="J256" s="2771">
        <f t="shared" si="4"/>
        <v>100</v>
      </c>
    </row>
    <row r="257" spans="1:10">
      <c r="A257" s="2767" t="s">
        <v>25</v>
      </c>
      <c r="B257" s="2772" t="s">
        <v>16</v>
      </c>
      <c r="C257" s="2774" t="s">
        <v>2206</v>
      </c>
      <c r="D257" s="2772">
        <v>26</v>
      </c>
      <c r="E257" s="2772">
        <v>26</v>
      </c>
      <c r="F257" s="2772">
        <v>13</v>
      </c>
      <c r="G257" s="2773">
        <v>50</v>
      </c>
      <c r="H257" s="2775">
        <v>76.92307692307692</v>
      </c>
      <c r="I257" s="2775">
        <v>23.076923076923077</v>
      </c>
      <c r="J257" s="2771">
        <f t="shared" si="4"/>
        <v>100</v>
      </c>
    </row>
    <row r="258" spans="1:10">
      <c r="A258" s="2767" t="s">
        <v>25</v>
      </c>
      <c r="B258" s="2772" t="s">
        <v>16</v>
      </c>
      <c r="C258" s="2774" t="s">
        <v>36</v>
      </c>
      <c r="D258" s="2772">
        <v>39</v>
      </c>
      <c r="E258" s="2772">
        <v>16</v>
      </c>
      <c r="F258" s="2772">
        <v>17</v>
      </c>
      <c r="G258" s="2773">
        <v>106.3</v>
      </c>
      <c r="H258" s="2775">
        <v>35.294117647058826</v>
      </c>
      <c r="I258" s="2775">
        <v>64.705882352941174</v>
      </c>
      <c r="J258" s="2771">
        <f t="shared" si="4"/>
        <v>100</v>
      </c>
    </row>
    <row r="259" spans="1:10">
      <c r="A259" s="2767" t="s">
        <v>25</v>
      </c>
      <c r="B259" s="2772" t="s">
        <v>16</v>
      </c>
      <c r="C259" s="2774" t="s">
        <v>34</v>
      </c>
      <c r="D259" s="2772">
        <v>40</v>
      </c>
      <c r="E259" s="2772">
        <v>16</v>
      </c>
      <c r="F259" s="2772">
        <v>20</v>
      </c>
      <c r="G259" s="2773">
        <v>125</v>
      </c>
      <c r="H259" s="2775">
        <v>70</v>
      </c>
      <c r="I259" s="2775">
        <v>30</v>
      </c>
      <c r="J259" s="2771">
        <f t="shared" si="4"/>
        <v>100</v>
      </c>
    </row>
    <row r="260" spans="1:10">
      <c r="A260" s="2767" t="s">
        <v>25</v>
      </c>
      <c r="B260" s="2772" t="s">
        <v>16</v>
      </c>
      <c r="C260" s="2774" t="s">
        <v>2207</v>
      </c>
      <c r="D260" s="2772">
        <v>17</v>
      </c>
      <c r="E260" s="2772">
        <v>17</v>
      </c>
      <c r="F260" s="2772">
        <v>8</v>
      </c>
      <c r="G260" s="2773">
        <v>47.1</v>
      </c>
      <c r="H260" s="2775">
        <v>75</v>
      </c>
      <c r="I260" s="2775">
        <v>25</v>
      </c>
      <c r="J260" s="2771">
        <f t="shared" si="4"/>
        <v>100</v>
      </c>
    </row>
    <row r="261" spans="1:10">
      <c r="A261" s="2767" t="s">
        <v>25</v>
      </c>
      <c r="B261" s="2772" t="s">
        <v>16</v>
      </c>
      <c r="C261" s="2774" t="s">
        <v>39</v>
      </c>
      <c r="D261" s="2772">
        <v>149</v>
      </c>
      <c r="E261" s="2772">
        <v>60</v>
      </c>
      <c r="F261" s="2772">
        <v>63</v>
      </c>
      <c r="G261" s="2773">
        <v>105</v>
      </c>
      <c r="H261" s="2775">
        <v>79.365079365079367</v>
      </c>
      <c r="I261" s="2775">
        <v>20.634920634920636</v>
      </c>
      <c r="J261" s="2771">
        <f t="shared" si="4"/>
        <v>100</v>
      </c>
    </row>
    <row r="262" spans="1:10">
      <c r="A262" s="2767" t="s">
        <v>25</v>
      </c>
      <c r="B262" s="2772" t="s">
        <v>16</v>
      </c>
      <c r="C262" s="2774" t="s">
        <v>2208</v>
      </c>
      <c r="D262" s="2772">
        <v>27</v>
      </c>
      <c r="E262" s="2772">
        <v>27</v>
      </c>
      <c r="F262" s="2772">
        <v>11</v>
      </c>
      <c r="G262" s="2773">
        <v>40.700000000000003</v>
      </c>
      <c r="H262" s="2775">
        <v>81.818181818181813</v>
      </c>
      <c r="I262" s="2775">
        <v>18.181818181818183</v>
      </c>
      <c r="J262" s="2771">
        <f t="shared" si="4"/>
        <v>100</v>
      </c>
    </row>
    <row r="263" spans="1:10">
      <c r="A263" s="2767" t="s">
        <v>25</v>
      </c>
      <c r="B263" s="2772" t="s">
        <v>16</v>
      </c>
      <c r="C263" s="2774" t="s">
        <v>2209</v>
      </c>
      <c r="D263" s="2772">
        <v>7</v>
      </c>
      <c r="E263" s="2772">
        <v>7</v>
      </c>
      <c r="F263" s="2772">
        <v>4</v>
      </c>
      <c r="G263" s="2773">
        <v>57.1</v>
      </c>
      <c r="H263" s="2775">
        <v>100</v>
      </c>
      <c r="I263" s="2775">
        <v>0</v>
      </c>
      <c r="J263" s="2771">
        <f t="shared" si="4"/>
        <v>100</v>
      </c>
    </row>
    <row r="264" spans="1:10">
      <c r="A264" s="2767" t="s">
        <v>25</v>
      </c>
      <c r="B264" s="2772" t="s">
        <v>41</v>
      </c>
      <c r="C264" s="2774" t="s">
        <v>2210</v>
      </c>
      <c r="D264" s="2772">
        <v>72</v>
      </c>
      <c r="E264" s="2772">
        <v>40</v>
      </c>
      <c r="F264" s="2772">
        <v>35</v>
      </c>
      <c r="G264" s="2773">
        <v>87.5</v>
      </c>
      <c r="H264" s="2775">
        <v>57.142857142857146</v>
      </c>
      <c r="I264" s="2775">
        <v>42.857142857142854</v>
      </c>
      <c r="J264" s="2771">
        <f t="shared" si="4"/>
        <v>100</v>
      </c>
    </row>
    <row r="265" spans="1:10">
      <c r="A265" s="2767" t="s">
        <v>25</v>
      </c>
      <c r="B265" s="2772" t="s">
        <v>41</v>
      </c>
      <c r="C265" s="2774" t="s">
        <v>43</v>
      </c>
      <c r="D265" s="2772">
        <v>41</v>
      </c>
      <c r="E265" s="2772">
        <v>23</v>
      </c>
      <c r="F265" s="2772">
        <v>23</v>
      </c>
      <c r="G265" s="2773">
        <v>100</v>
      </c>
      <c r="H265" s="2775">
        <v>21.739130434782609</v>
      </c>
      <c r="I265" s="2775">
        <v>78.260869565217391</v>
      </c>
      <c r="J265" s="2771">
        <f t="shared" si="4"/>
        <v>100</v>
      </c>
    </row>
    <row r="266" spans="1:10">
      <c r="A266" s="2767" t="s">
        <v>25</v>
      </c>
      <c r="B266" s="2772" t="s">
        <v>41</v>
      </c>
      <c r="C266" s="2774" t="s">
        <v>2211</v>
      </c>
      <c r="D266" s="2772">
        <v>31</v>
      </c>
      <c r="E266" s="2772">
        <v>17</v>
      </c>
      <c r="F266" s="2772">
        <v>14</v>
      </c>
      <c r="G266" s="2773">
        <v>82.4</v>
      </c>
      <c r="H266" s="2775">
        <v>35.714285714285715</v>
      </c>
      <c r="I266" s="2775">
        <v>64.285714285714292</v>
      </c>
      <c r="J266" s="2771">
        <f t="shared" si="4"/>
        <v>100</v>
      </c>
    </row>
    <row r="267" spans="1:10">
      <c r="A267" s="2767" t="s">
        <v>25</v>
      </c>
      <c r="B267" s="2772" t="s">
        <v>41</v>
      </c>
      <c r="C267" s="2774" t="s">
        <v>2212</v>
      </c>
      <c r="D267" s="2772">
        <v>69</v>
      </c>
      <c r="E267" s="2772">
        <v>39</v>
      </c>
      <c r="F267" s="2772">
        <v>35</v>
      </c>
      <c r="G267" s="2773">
        <v>79.5</v>
      </c>
      <c r="H267" s="2775">
        <v>57.142857142857146</v>
      </c>
      <c r="I267" s="2775">
        <v>42.857142857142854</v>
      </c>
      <c r="J267" s="2771">
        <f t="shared" si="4"/>
        <v>100</v>
      </c>
    </row>
    <row r="268" spans="1:10">
      <c r="A268" s="2767" t="s">
        <v>25</v>
      </c>
      <c r="B268" s="2772" t="s">
        <v>41</v>
      </c>
      <c r="C268" s="2774" t="s">
        <v>276</v>
      </c>
      <c r="D268" s="2772">
        <v>73</v>
      </c>
      <c r="E268" s="2772">
        <v>41</v>
      </c>
      <c r="F268" s="2772">
        <v>43</v>
      </c>
      <c r="G268" s="2773">
        <v>104.9</v>
      </c>
      <c r="H268" s="2775">
        <v>62.790697674418603</v>
      </c>
      <c r="I268" s="2775">
        <v>37.209302325581397</v>
      </c>
      <c r="J268" s="2771">
        <f t="shared" si="4"/>
        <v>100</v>
      </c>
    </row>
    <row r="269" spans="1:10">
      <c r="A269" s="2767" t="s">
        <v>25</v>
      </c>
      <c r="B269" s="2772" t="s">
        <v>41</v>
      </c>
      <c r="C269" s="2774" t="s">
        <v>2213</v>
      </c>
      <c r="D269" s="2772">
        <v>14</v>
      </c>
      <c r="E269" s="2772">
        <v>14</v>
      </c>
      <c r="F269" s="2772">
        <v>5</v>
      </c>
      <c r="G269" s="2773">
        <v>35.700000000000003</v>
      </c>
      <c r="H269" s="2775">
        <v>100</v>
      </c>
      <c r="I269" s="2775">
        <v>0</v>
      </c>
      <c r="J269" s="2771">
        <f t="shared" si="4"/>
        <v>100</v>
      </c>
    </row>
    <row r="270" spans="1:10">
      <c r="A270" s="2772" t="s">
        <v>48</v>
      </c>
      <c r="B270" s="2772" t="s">
        <v>16</v>
      </c>
      <c r="C270" s="2774" t="s">
        <v>17</v>
      </c>
      <c r="D270" s="2772">
        <v>130</v>
      </c>
      <c r="E270" s="2772">
        <v>42</v>
      </c>
      <c r="F270" s="2772">
        <v>46</v>
      </c>
      <c r="G270" s="2773">
        <v>109.5</v>
      </c>
      <c r="H270" s="2775">
        <v>82.608695652173907</v>
      </c>
      <c r="I270" s="2775">
        <v>17.391304347826086</v>
      </c>
      <c r="J270" s="2771">
        <f t="shared" si="4"/>
        <v>100</v>
      </c>
    </row>
    <row r="271" spans="1:10">
      <c r="A271" s="2772" t="s">
        <v>48</v>
      </c>
      <c r="B271" s="2772" t="s">
        <v>16</v>
      </c>
      <c r="C271" s="2774" t="s">
        <v>49</v>
      </c>
      <c r="D271" s="2772">
        <v>170</v>
      </c>
      <c r="E271" s="2772">
        <v>55</v>
      </c>
      <c r="F271" s="2772">
        <v>59</v>
      </c>
      <c r="G271" s="2773">
        <v>107.3</v>
      </c>
      <c r="H271" s="2775">
        <v>79.310344827586206</v>
      </c>
      <c r="I271" s="2775">
        <v>20.689655172413794</v>
      </c>
      <c r="J271" s="2771">
        <f t="shared" si="4"/>
        <v>100</v>
      </c>
    </row>
    <row r="272" spans="1:10">
      <c r="A272" s="2772" t="s">
        <v>48</v>
      </c>
      <c r="B272" s="2772" t="s">
        <v>16</v>
      </c>
      <c r="C272" s="2774" t="s">
        <v>19</v>
      </c>
      <c r="D272" s="2772">
        <v>81</v>
      </c>
      <c r="E272" s="2772">
        <v>26</v>
      </c>
      <c r="F272" s="2772">
        <v>26</v>
      </c>
      <c r="G272" s="2773">
        <v>100</v>
      </c>
      <c r="H272" s="2775">
        <v>73.07692307692308</v>
      </c>
      <c r="I272" s="2775">
        <v>26.923076923076923</v>
      </c>
      <c r="J272" s="2771">
        <f t="shared" si="4"/>
        <v>100</v>
      </c>
    </row>
    <row r="273" spans="1:10">
      <c r="A273" s="2772" t="s">
        <v>48</v>
      </c>
      <c r="B273" s="2772" t="s">
        <v>16</v>
      </c>
      <c r="C273" s="2774" t="s">
        <v>51</v>
      </c>
      <c r="D273" s="2772">
        <v>46</v>
      </c>
      <c r="E273" s="2772">
        <v>15</v>
      </c>
      <c r="F273" s="2772">
        <v>16</v>
      </c>
      <c r="G273" s="2773">
        <v>106.7</v>
      </c>
      <c r="H273" s="2775">
        <v>87.5</v>
      </c>
      <c r="I273" s="2775">
        <v>12.5</v>
      </c>
      <c r="J273" s="2771">
        <f t="shared" si="4"/>
        <v>100</v>
      </c>
    </row>
    <row r="274" spans="1:10">
      <c r="A274" s="2772" t="s">
        <v>48</v>
      </c>
      <c r="B274" s="2772" t="s">
        <v>16</v>
      </c>
      <c r="C274" s="2774" t="s">
        <v>50</v>
      </c>
      <c r="D274" s="2772">
        <v>260</v>
      </c>
      <c r="E274" s="2772">
        <v>85</v>
      </c>
      <c r="F274" s="2772">
        <v>89</v>
      </c>
      <c r="G274" s="2773">
        <v>104.7</v>
      </c>
      <c r="H274" s="2775">
        <v>77.272727272727266</v>
      </c>
      <c r="I274" s="2775">
        <v>22.727272727272727</v>
      </c>
      <c r="J274" s="2771">
        <f t="shared" si="4"/>
        <v>100</v>
      </c>
    </row>
    <row r="275" spans="1:10">
      <c r="A275" s="2772" t="s">
        <v>48</v>
      </c>
      <c r="B275" s="2772" t="s">
        <v>16</v>
      </c>
      <c r="C275" s="2774" t="s">
        <v>20</v>
      </c>
      <c r="D275" s="2772">
        <v>107</v>
      </c>
      <c r="E275" s="2772">
        <v>35</v>
      </c>
      <c r="F275" s="2772">
        <v>35</v>
      </c>
      <c r="G275" s="2773">
        <v>100</v>
      </c>
      <c r="H275" s="2775">
        <v>62.857142857142854</v>
      </c>
      <c r="I275" s="2775">
        <v>37.142857142857146</v>
      </c>
      <c r="J275" s="2771">
        <f t="shared" si="4"/>
        <v>100</v>
      </c>
    </row>
    <row r="276" spans="1:10">
      <c r="A276" s="2772" t="s">
        <v>48</v>
      </c>
      <c r="B276" s="2772" t="s">
        <v>41</v>
      </c>
      <c r="C276" s="2774" t="s">
        <v>56</v>
      </c>
      <c r="D276" s="2772">
        <v>111</v>
      </c>
      <c r="E276" s="2772">
        <v>27</v>
      </c>
      <c r="F276" s="2772">
        <v>39</v>
      </c>
      <c r="G276" s="2773">
        <v>144.4</v>
      </c>
      <c r="H276" s="2775">
        <v>68.421052631578945</v>
      </c>
      <c r="I276" s="2775">
        <v>31.578947368421051</v>
      </c>
      <c r="J276" s="2771">
        <f t="shared" si="4"/>
        <v>100</v>
      </c>
    </row>
    <row r="277" spans="1:10">
      <c r="A277" s="2772" t="s">
        <v>48</v>
      </c>
      <c r="B277" s="2772" t="s">
        <v>41</v>
      </c>
      <c r="C277" s="2774" t="s">
        <v>42</v>
      </c>
      <c r="D277" s="2772">
        <v>151</v>
      </c>
      <c r="E277" s="2772">
        <v>37</v>
      </c>
      <c r="F277" s="2772">
        <v>54</v>
      </c>
      <c r="G277" s="2773">
        <v>145.9</v>
      </c>
      <c r="H277" s="2775">
        <v>38.888888888888886</v>
      </c>
      <c r="I277" s="2775">
        <v>61.111111111111114</v>
      </c>
      <c r="J277" s="2771">
        <f t="shared" si="4"/>
        <v>100</v>
      </c>
    </row>
    <row r="278" spans="1:10">
      <c r="A278" s="2772" t="s">
        <v>48</v>
      </c>
      <c r="B278" s="2772" t="s">
        <v>41</v>
      </c>
      <c r="C278" s="2774" t="s">
        <v>52</v>
      </c>
      <c r="D278" s="2772">
        <v>140</v>
      </c>
      <c r="E278" s="2772">
        <v>34</v>
      </c>
      <c r="F278" s="2772">
        <v>43</v>
      </c>
      <c r="G278" s="2773">
        <v>126.5</v>
      </c>
      <c r="H278" s="2775">
        <v>83.720930232558146</v>
      </c>
      <c r="I278" s="2775">
        <v>16.279069767441861</v>
      </c>
      <c r="J278" s="2771">
        <f t="shared" si="4"/>
        <v>100</v>
      </c>
    </row>
    <row r="279" spans="1:10">
      <c r="A279" s="2772" t="s">
        <v>48</v>
      </c>
      <c r="B279" s="2772" t="s">
        <v>41</v>
      </c>
      <c r="C279" s="2774" t="s">
        <v>53</v>
      </c>
      <c r="D279" s="2772">
        <v>163</v>
      </c>
      <c r="E279" s="2772">
        <v>40</v>
      </c>
      <c r="F279" s="2772">
        <v>40</v>
      </c>
      <c r="G279" s="2773">
        <v>100</v>
      </c>
      <c r="H279" s="2775">
        <v>75</v>
      </c>
      <c r="I279" s="2775">
        <v>25</v>
      </c>
      <c r="J279" s="2771">
        <f t="shared" si="4"/>
        <v>100</v>
      </c>
    </row>
    <row r="280" spans="1:10">
      <c r="A280" s="2772" t="s">
        <v>48</v>
      </c>
      <c r="B280" s="2772" t="s">
        <v>41</v>
      </c>
      <c r="C280" s="2774" t="s">
        <v>264</v>
      </c>
      <c r="D280" s="2772">
        <v>134</v>
      </c>
      <c r="E280" s="2772">
        <v>33</v>
      </c>
      <c r="F280" s="2772">
        <v>36</v>
      </c>
      <c r="G280" s="2773">
        <v>109.1</v>
      </c>
      <c r="H280" s="2775">
        <v>62.857142857142854</v>
      </c>
      <c r="I280" s="2775">
        <v>37.142857142857146</v>
      </c>
      <c r="J280" s="2771">
        <f t="shared" si="4"/>
        <v>100</v>
      </c>
    </row>
    <row r="281" spans="1:10">
      <c r="A281" s="2772" t="s">
        <v>48</v>
      </c>
      <c r="B281" s="2772" t="s">
        <v>41</v>
      </c>
      <c r="C281" s="2774" t="s">
        <v>55</v>
      </c>
      <c r="D281" s="2772">
        <v>152</v>
      </c>
      <c r="E281" s="2772">
        <v>37</v>
      </c>
      <c r="F281" s="2772">
        <v>53</v>
      </c>
      <c r="G281" s="2773">
        <v>143.19999999999999</v>
      </c>
      <c r="H281" s="2775">
        <v>66.037735849056602</v>
      </c>
      <c r="I281" s="2775">
        <v>33.962264150943398</v>
      </c>
      <c r="J281" s="2771">
        <f t="shared" si="4"/>
        <v>100</v>
      </c>
    </row>
    <row r="282" spans="1:10">
      <c r="A282" s="2772" t="s">
        <v>48</v>
      </c>
      <c r="B282" s="2772" t="s">
        <v>41</v>
      </c>
      <c r="C282" s="2774" t="s">
        <v>54</v>
      </c>
      <c r="D282" s="2772">
        <v>228</v>
      </c>
      <c r="E282" s="2772">
        <v>56</v>
      </c>
      <c r="F282" s="2772">
        <v>65</v>
      </c>
      <c r="G282" s="2773">
        <v>116.1</v>
      </c>
      <c r="H282" s="2775">
        <v>76.92307692307692</v>
      </c>
      <c r="I282" s="2775">
        <v>23.076923076923077</v>
      </c>
      <c r="J282" s="2771">
        <f t="shared" si="4"/>
        <v>100</v>
      </c>
    </row>
    <row r="283" spans="1:10">
      <c r="A283" s="2772" t="s">
        <v>48</v>
      </c>
      <c r="B283" s="2772" t="s">
        <v>41</v>
      </c>
      <c r="C283" s="2774" t="s">
        <v>277</v>
      </c>
      <c r="D283" s="2772">
        <v>107</v>
      </c>
      <c r="E283" s="2772">
        <v>26</v>
      </c>
      <c r="F283" s="2772">
        <v>27</v>
      </c>
      <c r="G283" s="2773">
        <v>103.8</v>
      </c>
      <c r="H283" s="2775">
        <v>70.370370370370367</v>
      </c>
      <c r="I283" s="2775">
        <v>29.62962962962963</v>
      </c>
      <c r="J283" s="2771">
        <f t="shared" si="4"/>
        <v>100</v>
      </c>
    </row>
    <row r="284" spans="1:10">
      <c r="A284" s="2772" t="s">
        <v>48</v>
      </c>
      <c r="B284" s="2772" t="s">
        <v>21</v>
      </c>
      <c r="C284" s="2774" t="s">
        <v>22</v>
      </c>
      <c r="D284" s="2772">
        <v>181</v>
      </c>
      <c r="E284" s="2772">
        <v>92</v>
      </c>
      <c r="F284" s="2772">
        <v>96</v>
      </c>
      <c r="G284" s="2773">
        <v>104.3</v>
      </c>
      <c r="H284" s="2775">
        <v>84.375</v>
      </c>
      <c r="I284" s="2775">
        <v>15.625</v>
      </c>
      <c r="J284" s="2771">
        <f t="shared" si="4"/>
        <v>100</v>
      </c>
    </row>
    <row r="285" spans="1:10">
      <c r="A285" s="2772" t="s">
        <v>48</v>
      </c>
      <c r="B285" s="2772" t="s">
        <v>21</v>
      </c>
      <c r="C285" s="2774" t="s">
        <v>58</v>
      </c>
      <c r="D285" s="2772">
        <v>51</v>
      </c>
      <c r="E285" s="2772">
        <v>26</v>
      </c>
      <c r="F285" s="2772">
        <v>27</v>
      </c>
      <c r="G285" s="2773">
        <v>103.8</v>
      </c>
      <c r="H285" s="2775">
        <v>62.962962962962962</v>
      </c>
      <c r="I285" s="2775">
        <v>37.037037037037038</v>
      </c>
      <c r="J285" s="2771">
        <f t="shared" si="4"/>
        <v>100</v>
      </c>
    </row>
    <row r="286" spans="1:10">
      <c r="A286" s="2772" t="s">
        <v>48</v>
      </c>
      <c r="B286" s="2772" t="s">
        <v>21</v>
      </c>
      <c r="C286" s="2774" t="s">
        <v>23</v>
      </c>
      <c r="D286" s="2772">
        <v>94</v>
      </c>
      <c r="E286" s="2772">
        <v>48</v>
      </c>
      <c r="F286" s="2772">
        <v>50</v>
      </c>
      <c r="G286" s="2773">
        <v>104.2</v>
      </c>
      <c r="H286" s="2775">
        <v>76</v>
      </c>
      <c r="I286" s="2775">
        <v>24</v>
      </c>
      <c r="J286" s="2771">
        <f t="shared" si="4"/>
        <v>100</v>
      </c>
    </row>
    <row r="287" spans="1:10">
      <c r="A287" s="2772" t="s">
        <v>48</v>
      </c>
      <c r="B287" s="2772" t="s">
        <v>21</v>
      </c>
      <c r="C287" s="2774" t="s">
        <v>24</v>
      </c>
      <c r="D287" s="2776">
        <v>46</v>
      </c>
      <c r="E287" s="2776">
        <v>23</v>
      </c>
      <c r="F287" s="2776">
        <v>23</v>
      </c>
      <c r="G287" s="2777">
        <v>100</v>
      </c>
      <c r="H287" s="2778">
        <v>91.304347826086953</v>
      </c>
      <c r="I287" s="2778">
        <v>8.695652173913043</v>
      </c>
      <c r="J287" s="2771">
        <f t="shared" si="4"/>
        <v>100</v>
      </c>
    </row>
    <row r="288" spans="1:10">
      <c r="A288" s="2772" t="s">
        <v>59</v>
      </c>
      <c r="B288" s="2772" t="s">
        <v>16</v>
      </c>
      <c r="C288" s="2774" t="s">
        <v>2205</v>
      </c>
      <c r="D288" s="2772">
        <v>30</v>
      </c>
      <c r="E288" s="2772">
        <v>30</v>
      </c>
      <c r="F288" s="2772">
        <v>20</v>
      </c>
      <c r="G288" s="2773">
        <v>66.67</v>
      </c>
      <c r="H288" s="2775">
        <v>80</v>
      </c>
      <c r="I288" s="2775">
        <v>20</v>
      </c>
      <c r="J288" s="2771">
        <f t="shared" si="4"/>
        <v>100</v>
      </c>
    </row>
    <row r="289" spans="1:10">
      <c r="A289" s="2772" t="s">
        <v>59</v>
      </c>
      <c r="B289" s="2772" t="s">
        <v>16</v>
      </c>
      <c r="C289" s="2774" t="s">
        <v>2214</v>
      </c>
      <c r="D289" s="2772">
        <v>18</v>
      </c>
      <c r="E289" s="2772">
        <v>18</v>
      </c>
      <c r="F289" s="2772">
        <v>14</v>
      </c>
      <c r="G289" s="2773">
        <v>77.8</v>
      </c>
      <c r="H289" s="2775">
        <v>71.428571428571431</v>
      </c>
      <c r="I289" s="2775">
        <v>28.571428571428573</v>
      </c>
      <c r="J289" s="2771">
        <f t="shared" si="4"/>
        <v>100</v>
      </c>
    </row>
    <row r="290" spans="1:10">
      <c r="A290" s="2772" t="s">
        <v>59</v>
      </c>
      <c r="B290" s="2772" t="s">
        <v>16</v>
      </c>
      <c r="C290" s="2774" t="s">
        <v>2215</v>
      </c>
      <c r="D290" s="2772">
        <v>7</v>
      </c>
      <c r="E290" s="2772">
        <v>7</v>
      </c>
      <c r="F290" s="2772">
        <v>6</v>
      </c>
      <c r="G290" s="2773">
        <v>85.71</v>
      </c>
      <c r="H290" s="2775">
        <v>83.3</v>
      </c>
      <c r="I290" s="2775">
        <v>16.7</v>
      </c>
      <c r="J290" s="2771">
        <f t="shared" si="4"/>
        <v>100</v>
      </c>
    </row>
    <row r="291" spans="1:10">
      <c r="A291" s="2772" t="s">
        <v>59</v>
      </c>
      <c r="B291" s="2772" t="s">
        <v>61</v>
      </c>
      <c r="C291" s="2774" t="s">
        <v>2216</v>
      </c>
      <c r="D291" s="2772">
        <v>21</v>
      </c>
      <c r="E291" s="2772">
        <v>21</v>
      </c>
      <c r="F291" s="2772">
        <v>11</v>
      </c>
      <c r="G291" s="2773">
        <v>52.4</v>
      </c>
      <c r="H291" s="2775">
        <v>90</v>
      </c>
      <c r="I291" s="2775">
        <v>10</v>
      </c>
      <c r="J291" s="2771">
        <f t="shared" ref="J291:J296" si="5">H291+I291</f>
        <v>100</v>
      </c>
    </row>
    <row r="292" spans="1:10">
      <c r="A292" s="2772" t="s">
        <v>59</v>
      </c>
      <c r="B292" s="2772" t="s">
        <v>61</v>
      </c>
      <c r="C292" s="2774" t="s">
        <v>2217</v>
      </c>
      <c r="D292" s="2772">
        <v>3</v>
      </c>
      <c r="E292" s="2772">
        <v>3</v>
      </c>
      <c r="F292" s="2772">
        <v>3</v>
      </c>
      <c r="G292" s="2773">
        <v>100</v>
      </c>
      <c r="H292" s="2775">
        <v>100</v>
      </c>
      <c r="I292" s="2775">
        <v>0</v>
      </c>
      <c r="J292" s="2771">
        <f t="shared" si="5"/>
        <v>100</v>
      </c>
    </row>
    <row r="293" spans="1:10">
      <c r="A293" s="2772" t="s">
        <v>59</v>
      </c>
      <c r="B293" s="2772" t="s">
        <v>61</v>
      </c>
      <c r="C293" s="2774" t="s">
        <v>2218</v>
      </c>
      <c r="D293" s="2772">
        <v>27</v>
      </c>
      <c r="E293" s="2772">
        <v>27</v>
      </c>
      <c r="F293" s="2772">
        <v>17</v>
      </c>
      <c r="G293" s="2773">
        <v>63</v>
      </c>
      <c r="H293" s="2775">
        <v>82.352941176470594</v>
      </c>
      <c r="I293" s="2775">
        <v>17.647058823529413</v>
      </c>
      <c r="J293" s="2771">
        <f t="shared" si="5"/>
        <v>100</v>
      </c>
    </row>
    <row r="294" spans="1:10">
      <c r="A294" s="2772" t="s">
        <v>59</v>
      </c>
      <c r="B294" s="2772" t="s">
        <v>64</v>
      </c>
      <c r="C294" s="2774" t="s">
        <v>2219</v>
      </c>
      <c r="D294" s="2772">
        <v>13</v>
      </c>
      <c r="E294" s="2772">
        <v>13</v>
      </c>
      <c r="F294" s="2772">
        <v>11</v>
      </c>
      <c r="G294" s="2773">
        <v>84.6</v>
      </c>
      <c r="H294" s="2775">
        <v>90</v>
      </c>
      <c r="I294" s="2775">
        <v>10</v>
      </c>
      <c r="J294" s="2771">
        <f t="shared" si="5"/>
        <v>100</v>
      </c>
    </row>
    <row r="295" spans="1:10">
      <c r="A295" s="2772" t="s">
        <v>59</v>
      </c>
      <c r="B295" s="2772" t="s">
        <v>64</v>
      </c>
      <c r="C295" s="2774" t="s">
        <v>2220</v>
      </c>
      <c r="D295" s="2772">
        <v>4</v>
      </c>
      <c r="E295" s="2772">
        <v>4</v>
      </c>
      <c r="F295" s="2772">
        <v>2</v>
      </c>
      <c r="G295" s="2773">
        <v>50</v>
      </c>
      <c r="H295" s="2775">
        <v>0</v>
      </c>
      <c r="I295" s="2775">
        <v>100</v>
      </c>
      <c r="J295" s="2771">
        <f t="shared" si="5"/>
        <v>100</v>
      </c>
    </row>
    <row r="296" spans="1:10">
      <c r="A296" s="2772" t="s">
        <v>59</v>
      </c>
      <c r="B296" s="2772" t="s">
        <v>64</v>
      </c>
      <c r="C296" s="2774" t="s">
        <v>422</v>
      </c>
      <c r="D296" s="2772">
        <v>1</v>
      </c>
      <c r="E296" s="2772">
        <v>1</v>
      </c>
      <c r="F296" s="2772">
        <v>1</v>
      </c>
      <c r="G296" s="2773">
        <v>100</v>
      </c>
      <c r="H296" s="2775">
        <v>0</v>
      </c>
      <c r="I296" s="2775">
        <v>100</v>
      </c>
      <c r="J296" s="2771">
        <f t="shared" si="5"/>
        <v>100</v>
      </c>
    </row>
    <row r="297" spans="1:10">
      <c r="A297" s="2764"/>
      <c r="B297" s="75"/>
      <c r="C297" s="2779" t="s">
        <v>15</v>
      </c>
      <c r="D297" s="2765">
        <f>SUM(D227:D296)</f>
        <v>4744</v>
      </c>
      <c r="E297" s="2765">
        <f>SUM(E227:E296)</f>
        <v>2083</v>
      </c>
      <c r="F297" s="2765">
        <f>SUM(F227:F296)</f>
        <v>2015</v>
      </c>
      <c r="G297" s="2780">
        <v>96.7</v>
      </c>
      <c r="H297" s="2781">
        <v>0.74199999999999999</v>
      </c>
      <c r="I297" s="2782">
        <v>0.25800000000000001</v>
      </c>
      <c r="J297" s="2780">
        <v>100</v>
      </c>
    </row>
    <row r="298" spans="1:10">
      <c r="A298" s="375"/>
      <c r="B298" s="375"/>
      <c r="C298" s="375"/>
      <c r="D298" s="375"/>
      <c r="E298" s="374"/>
    </row>
    <row r="299" spans="1:10">
      <c r="A299" s="375"/>
      <c r="B299" s="375"/>
      <c r="C299" s="376">
        <v>2015</v>
      </c>
      <c r="D299" s="375"/>
      <c r="E299" s="375"/>
    </row>
    <row r="300" spans="1:10">
      <c r="A300" s="2784" t="s">
        <v>2225</v>
      </c>
      <c r="B300"/>
      <c r="D300" s="191"/>
      <c r="E300" s="191"/>
      <c r="F300" s="191"/>
      <c r="G300" s="191"/>
      <c r="H300" s="191"/>
    </row>
    <row r="301" spans="1:10">
      <c r="A301" s="2785" t="s">
        <v>2226</v>
      </c>
      <c r="B301" s="1698"/>
      <c r="C301" s="1698"/>
      <c r="D301" s="191"/>
      <c r="E301" s="191"/>
      <c r="F301" s="191"/>
      <c r="G301" s="191"/>
      <c r="H301" s="191"/>
    </row>
    <row r="302" spans="1:10">
      <c r="A302" s="5009" t="s">
        <v>1656</v>
      </c>
      <c r="B302" s="5010"/>
      <c r="C302" s="5010"/>
      <c r="D302" s="5011"/>
      <c r="E302" s="437"/>
      <c r="F302" s="191"/>
      <c r="G302" s="191"/>
      <c r="H302" s="191"/>
    </row>
    <row r="303" spans="1:10">
      <c r="A303" s="1693" t="s">
        <v>1657</v>
      </c>
      <c r="B303" s="1699" t="s">
        <v>1115</v>
      </c>
      <c r="C303" s="1699" t="s">
        <v>103</v>
      </c>
      <c r="D303" s="1699" t="s">
        <v>1116</v>
      </c>
      <c r="E303" s="1691"/>
      <c r="F303" s="191"/>
      <c r="G303" s="191"/>
      <c r="H303" s="191"/>
    </row>
    <row r="304" spans="1:10">
      <c r="A304" s="1700">
        <v>2005</v>
      </c>
      <c r="B304" s="1700">
        <v>1570</v>
      </c>
      <c r="C304" s="1701">
        <v>46.851686063861536</v>
      </c>
      <c r="D304" s="1707">
        <v>46.851686063861536</v>
      </c>
      <c r="E304" s="1692"/>
      <c r="F304" s="191"/>
      <c r="G304" s="191"/>
      <c r="H304" s="191"/>
    </row>
    <row r="305" spans="1:9">
      <c r="A305" s="1700">
        <v>2008</v>
      </c>
      <c r="B305" s="1700">
        <v>1781</v>
      </c>
      <c r="C305" s="1701">
        <v>53.148313936138464</v>
      </c>
      <c r="D305" s="1707">
        <v>53.148313936138464</v>
      </c>
      <c r="E305" s="1692"/>
      <c r="F305" s="191"/>
      <c r="G305" s="191"/>
      <c r="H305" s="191"/>
    </row>
    <row r="306" spans="1:9">
      <c r="A306" s="1702" t="s">
        <v>15</v>
      </c>
      <c r="B306" s="1702">
        <v>3351</v>
      </c>
      <c r="C306" s="1703">
        <f>SUM(C304:C305)</f>
        <v>100</v>
      </c>
      <c r="D306" s="1707">
        <v>100</v>
      </c>
      <c r="E306" s="1692"/>
      <c r="F306" s="191"/>
      <c r="G306" s="191"/>
      <c r="H306" s="191"/>
    </row>
    <row r="307" spans="1:9">
      <c r="A307" s="1697" t="s">
        <v>1658</v>
      </c>
      <c r="B307" s="1704"/>
      <c r="C307" s="1705"/>
      <c r="D307" s="1706"/>
      <c r="E307" s="1692"/>
      <c r="F307" s="191"/>
      <c r="G307" s="191"/>
      <c r="H307" s="191"/>
    </row>
    <row r="308" spans="1:9">
      <c r="B308"/>
      <c r="D308" s="191"/>
      <c r="E308" s="191"/>
      <c r="F308" s="191"/>
      <c r="G308" s="191"/>
      <c r="H308" s="191"/>
    </row>
    <row r="309" spans="1:9">
      <c r="A309" s="54"/>
      <c r="B309" s="54"/>
      <c r="C309" s="54"/>
      <c r="D309" s="5012" t="s">
        <v>1089</v>
      </c>
      <c r="E309" s="5013"/>
      <c r="F309" s="4998" t="s">
        <v>1659</v>
      </c>
      <c r="G309" s="4999"/>
      <c r="H309" s="4999"/>
      <c r="I309" s="5000"/>
    </row>
    <row r="310" spans="1:9" ht="21.75" customHeight="1">
      <c r="A310" s="2786" t="s">
        <v>0</v>
      </c>
      <c r="B310" s="2786" t="s">
        <v>1</v>
      </c>
      <c r="C310" s="2786" t="s">
        <v>1660</v>
      </c>
      <c r="D310" s="2787" t="s">
        <v>1091</v>
      </c>
      <c r="E310" s="2787" t="s">
        <v>1092</v>
      </c>
      <c r="F310" s="2788" t="s">
        <v>1661</v>
      </c>
      <c r="G310" s="2788" t="s">
        <v>1662</v>
      </c>
      <c r="H310" s="2788" t="s">
        <v>1663</v>
      </c>
      <c r="I310" s="2788" t="s">
        <v>1664</v>
      </c>
    </row>
    <row r="311" spans="1:9">
      <c r="A311" s="2789" t="s">
        <v>3</v>
      </c>
      <c r="B311" s="2789" t="s">
        <v>21</v>
      </c>
      <c r="C311" s="2790" t="s">
        <v>22</v>
      </c>
      <c r="D311" s="2791">
        <v>88.118811881188122</v>
      </c>
      <c r="E311" s="2791">
        <v>11.881188118811881</v>
      </c>
      <c r="F311" s="2792">
        <v>3.3707865168539324</v>
      </c>
      <c r="G311" s="2792">
        <v>15.730337078651685</v>
      </c>
      <c r="H311" s="2792">
        <v>34.831460674157306</v>
      </c>
      <c r="I311" s="2792">
        <v>46.067415730337082</v>
      </c>
    </row>
    <row r="312" spans="1:9">
      <c r="A312" s="2789" t="s">
        <v>3</v>
      </c>
      <c r="B312" s="2789" t="s">
        <v>21</v>
      </c>
      <c r="C312" s="2790" t="s">
        <v>1666</v>
      </c>
      <c r="D312" s="2791">
        <v>90.163934426229503</v>
      </c>
      <c r="E312" s="2791">
        <v>9.8360655737704921</v>
      </c>
      <c r="F312" s="2792">
        <v>3.6363636363636362</v>
      </c>
      <c r="G312" s="2792">
        <v>0.90909090909090906</v>
      </c>
      <c r="H312" s="2792">
        <v>15.454545454545455</v>
      </c>
      <c r="I312" s="2792">
        <v>80</v>
      </c>
    </row>
    <row r="313" spans="1:9">
      <c r="A313" s="2789" t="s">
        <v>3</v>
      </c>
      <c r="B313" s="2789" t="s">
        <v>21</v>
      </c>
      <c r="C313" s="2790" t="s">
        <v>24</v>
      </c>
      <c r="D313" s="2791">
        <v>85.714285714285708</v>
      </c>
      <c r="E313" s="2791">
        <v>14.285714285714286</v>
      </c>
      <c r="F313" s="2792">
        <v>5.5555555555555554</v>
      </c>
      <c r="G313" s="2792">
        <v>12.962962962962964</v>
      </c>
      <c r="H313" s="2792">
        <v>29.62962962962963</v>
      </c>
      <c r="I313" s="2792">
        <v>51.851851851851855</v>
      </c>
    </row>
    <row r="314" spans="1:9">
      <c r="A314" s="2789" t="s">
        <v>3</v>
      </c>
      <c r="B314" s="2789" t="s">
        <v>4</v>
      </c>
      <c r="C314" s="2790" t="s">
        <v>5</v>
      </c>
      <c r="D314" s="2791">
        <v>78.571428571428569</v>
      </c>
      <c r="E314" s="2791">
        <v>21.428571428571427</v>
      </c>
      <c r="F314" s="2792">
        <v>9.0909090909090917</v>
      </c>
      <c r="G314" s="2792">
        <v>0</v>
      </c>
      <c r="H314" s="2792">
        <v>27.272727272727273</v>
      </c>
      <c r="I314" s="2792">
        <v>63.636363636363633</v>
      </c>
    </row>
    <row r="315" spans="1:9">
      <c r="A315" s="2789" t="s">
        <v>3</v>
      </c>
      <c r="B315" s="2789" t="s">
        <v>4</v>
      </c>
      <c r="C315" s="2790" t="s">
        <v>6</v>
      </c>
      <c r="D315" s="2791">
        <v>85.714285714285708</v>
      </c>
      <c r="E315" s="2791">
        <v>14.285714285714286</v>
      </c>
      <c r="F315" s="2792">
        <v>5.5555555555555554</v>
      </c>
      <c r="G315" s="2792">
        <v>0</v>
      </c>
      <c r="H315" s="2792">
        <v>11.111111111111111</v>
      </c>
      <c r="I315" s="2792">
        <v>83.333333333333329</v>
      </c>
    </row>
    <row r="316" spans="1:9">
      <c r="A316" s="2789" t="s">
        <v>3</v>
      </c>
      <c r="B316" s="2789" t="s">
        <v>4</v>
      </c>
      <c r="C316" s="2790" t="s">
        <v>7</v>
      </c>
      <c r="D316" s="2791">
        <v>91.304347826086953</v>
      </c>
      <c r="E316" s="2791">
        <v>8.695652173913043</v>
      </c>
      <c r="F316" s="2792">
        <v>4.7619047619047619</v>
      </c>
      <c r="G316" s="2792">
        <v>4.7619047619047619</v>
      </c>
      <c r="H316" s="2792">
        <v>14.285714285714286</v>
      </c>
      <c r="I316" s="2792">
        <v>76.19047619047619</v>
      </c>
    </row>
    <row r="317" spans="1:9">
      <c r="A317" s="2789" t="s">
        <v>3</v>
      </c>
      <c r="B317" s="2789" t="s">
        <v>4</v>
      </c>
      <c r="C317" s="2790" t="s">
        <v>8</v>
      </c>
      <c r="D317" s="2791">
        <v>52.631578947368418</v>
      </c>
      <c r="E317" s="2791">
        <v>47.368421052631582</v>
      </c>
      <c r="F317" s="2792">
        <v>0</v>
      </c>
      <c r="G317" s="2792">
        <v>0</v>
      </c>
      <c r="H317" s="2792">
        <v>40</v>
      </c>
      <c r="I317" s="2792">
        <v>60</v>
      </c>
    </row>
    <row r="318" spans="1:9">
      <c r="A318" s="2789" t="s">
        <v>3</v>
      </c>
      <c r="B318" s="2789" t="s">
        <v>4</v>
      </c>
      <c r="C318" s="2790" t="s">
        <v>9</v>
      </c>
      <c r="D318" s="2791">
        <v>85.13513513513513</v>
      </c>
      <c r="E318" s="2791">
        <v>14.864864864864865</v>
      </c>
      <c r="F318" s="2792">
        <v>3.1746031746031744</v>
      </c>
      <c r="G318" s="2792">
        <v>14.285714285714286</v>
      </c>
      <c r="H318" s="2792">
        <v>42.857142857142854</v>
      </c>
      <c r="I318" s="2792">
        <v>39.682539682539684</v>
      </c>
    </row>
    <row r="319" spans="1:9">
      <c r="A319" s="2789" t="s">
        <v>3</v>
      </c>
      <c r="B319" s="2789" t="s">
        <v>4</v>
      </c>
      <c r="C319" s="2790" t="s">
        <v>10</v>
      </c>
      <c r="D319" s="2791">
        <v>84.615384615384613</v>
      </c>
      <c r="E319" s="2791">
        <v>15.384615384615385</v>
      </c>
      <c r="F319" s="2792">
        <v>4.5454545454545459</v>
      </c>
      <c r="G319" s="2792">
        <v>4.5454545454545459</v>
      </c>
      <c r="H319" s="2792">
        <v>40.909090909090907</v>
      </c>
      <c r="I319" s="2792">
        <v>50</v>
      </c>
    </row>
    <row r="320" spans="1:9">
      <c r="A320" s="2789" t="s">
        <v>3</v>
      </c>
      <c r="B320" s="2789" t="s">
        <v>4</v>
      </c>
      <c r="C320" s="2790" t="s">
        <v>11</v>
      </c>
      <c r="D320" s="2791">
        <v>77.777777777777771</v>
      </c>
      <c r="E320" s="2791">
        <v>22.222222222222221</v>
      </c>
      <c r="F320" s="2792">
        <v>0</v>
      </c>
      <c r="G320" s="2792">
        <v>0</v>
      </c>
      <c r="H320" s="2792">
        <v>71.428571428571431</v>
      </c>
      <c r="I320" s="2792">
        <v>28.571428571428573</v>
      </c>
    </row>
    <row r="321" spans="1:9">
      <c r="A321" s="2789" t="s">
        <v>3</v>
      </c>
      <c r="B321" s="2789" t="s">
        <v>4</v>
      </c>
      <c r="C321" s="2790" t="s">
        <v>12</v>
      </c>
      <c r="D321" s="2791">
        <v>63.46153846153846</v>
      </c>
      <c r="E321" s="2791">
        <v>36.53846153846154</v>
      </c>
      <c r="F321" s="2792">
        <v>3.0303030303030303</v>
      </c>
      <c r="G321" s="2792">
        <v>18.181818181818183</v>
      </c>
      <c r="H321" s="2792">
        <v>36.363636363636367</v>
      </c>
      <c r="I321" s="2792">
        <v>42.424242424242422</v>
      </c>
    </row>
    <row r="322" spans="1:9">
      <c r="A322" s="2789" t="s">
        <v>3</v>
      </c>
      <c r="B322" s="2789" t="s">
        <v>4</v>
      </c>
      <c r="C322" s="2790" t="s">
        <v>13</v>
      </c>
      <c r="D322" s="2791">
        <v>82.089552238805965</v>
      </c>
      <c r="E322" s="2791">
        <v>17.910447761194028</v>
      </c>
      <c r="F322" s="2792">
        <v>3.6363636363636362</v>
      </c>
      <c r="G322" s="2792">
        <v>12.727272727272727</v>
      </c>
      <c r="H322" s="2792">
        <v>30.90909090909091</v>
      </c>
      <c r="I322" s="2792">
        <v>52.727272727272727</v>
      </c>
    </row>
    <row r="323" spans="1:9">
      <c r="A323" s="2789" t="s">
        <v>3</v>
      </c>
      <c r="B323" s="2789" t="s">
        <v>4</v>
      </c>
      <c r="C323" s="2790" t="s">
        <v>14</v>
      </c>
      <c r="D323" s="2791">
        <v>85.714285714285708</v>
      </c>
      <c r="E323" s="2791">
        <v>14.285714285714286</v>
      </c>
      <c r="F323" s="2792">
        <v>0</v>
      </c>
      <c r="G323" s="2792">
        <v>0</v>
      </c>
      <c r="H323" s="2792">
        <v>16.666666666666668</v>
      </c>
      <c r="I323" s="2792">
        <v>83.333333333333329</v>
      </c>
    </row>
    <row r="324" spans="1:9">
      <c r="A324" s="2789" t="s">
        <v>3</v>
      </c>
      <c r="B324" s="2789" t="s">
        <v>16</v>
      </c>
      <c r="C324" s="2790" t="s">
        <v>17</v>
      </c>
      <c r="D324" s="2791">
        <v>76.13636363636364</v>
      </c>
      <c r="E324" s="2791">
        <v>23.863636363636363</v>
      </c>
      <c r="F324" s="2792">
        <v>2.9850746268656718</v>
      </c>
      <c r="G324" s="2792">
        <v>10.447761194029852</v>
      </c>
      <c r="H324" s="2792">
        <v>35.820895522388057</v>
      </c>
      <c r="I324" s="2792">
        <v>50.746268656716417</v>
      </c>
    </row>
    <row r="325" spans="1:9">
      <c r="A325" s="2789" t="s">
        <v>3</v>
      </c>
      <c r="B325" s="2789" t="s">
        <v>16</v>
      </c>
      <c r="C325" s="2790" t="s">
        <v>18</v>
      </c>
      <c r="D325" s="2791">
        <v>81.875</v>
      </c>
      <c r="E325" s="2791">
        <v>18.125</v>
      </c>
      <c r="F325" s="2792">
        <v>6.9230769230769234</v>
      </c>
      <c r="G325" s="2792">
        <v>7.6923076923076925</v>
      </c>
      <c r="H325" s="2792">
        <v>13.846153846153847</v>
      </c>
      <c r="I325" s="2792">
        <v>71.538461538461533</v>
      </c>
    </row>
    <row r="326" spans="1:9">
      <c r="A326" s="2789" t="s">
        <v>3</v>
      </c>
      <c r="B326" s="2789" t="s">
        <v>16</v>
      </c>
      <c r="C326" s="2790" t="s">
        <v>19</v>
      </c>
      <c r="D326" s="2791">
        <v>78</v>
      </c>
      <c r="E326" s="2791">
        <v>22</v>
      </c>
      <c r="F326" s="2792">
        <v>17.5</v>
      </c>
      <c r="G326" s="2792">
        <v>30</v>
      </c>
      <c r="H326" s="2792">
        <v>30</v>
      </c>
      <c r="I326" s="2792">
        <v>22.5</v>
      </c>
    </row>
    <row r="327" spans="1:9">
      <c r="A327" s="2789" t="s">
        <v>3</v>
      </c>
      <c r="B327" s="2789" t="s">
        <v>16</v>
      </c>
      <c r="C327" s="2790" t="s">
        <v>1665</v>
      </c>
      <c r="D327" s="2791">
        <v>61.016949152542374</v>
      </c>
      <c r="E327" s="2791">
        <v>38.983050847457626</v>
      </c>
      <c r="F327" s="2792">
        <v>11.111111111111111</v>
      </c>
      <c r="G327" s="2792">
        <v>5.5555555555555554</v>
      </c>
      <c r="H327" s="2792">
        <v>13.888888888888889</v>
      </c>
      <c r="I327" s="2792">
        <v>69.444444444444443</v>
      </c>
    </row>
    <row r="328" spans="1:9">
      <c r="A328" s="2789" t="s">
        <v>25</v>
      </c>
      <c r="B328" s="2789" t="s">
        <v>4</v>
      </c>
      <c r="C328" s="2790" t="s">
        <v>26</v>
      </c>
      <c r="D328" s="2791">
        <v>80.645161290322577</v>
      </c>
      <c r="E328" s="2791">
        <v>19.35483870967742</v>
      </c>
      <c r="F328" s="2792">
        <v>4</v>
      </c>
      <c r="G328" s="2792">
        <v>8</v>
      </c>
      <c r="H328" s="2792">
        <v>32</v>
      </c>
      <c r="I328" s="2792">
        <v>56</v>
      </c>
    </row>
    <row r="329" spans="1:9">
      <c r="A329" s="2789" t="s">
        <v>25</v>
      </c>
      <c r="B329" s="2789" t="s">
        <v>4</v>
      </c>
      <c r="C329" s="2790" t="s">
        <v>27</v>
      </c>
      <c r="D329" s="2791">
        <v>83.333333333333329</v>
      </c>
      <c r="E329" s="2791">
        <v>16.666666666666668</v>
      </c>
      <c r="F329" s="2792">
        <v>0</v>
      </c>
      <c r="G329" s="2792">
        <v>0</v>
      </c>
      <c r="H329" s="2792">
        <v>20</v>
      </c>
      <c r="I329" s="2792">
        <v>80</v>
      </c>
    </row>
    <row r="330" spans="1:9">
      <c r="A330" s="2789" t="s">
        <v>25</v>
      </c>
      <c r="B330" s="2789" t="s">
        <v>4</v>
      </c>
      <c r="C330" s="2790" t="s">
        <v>12</v>
      </c>
      <c r="D330" s="2791">
        <v>80.952380952380949</v>
      </c>
      <c r="E330" s="2791">
        <v>19.047619047619047</v>
      </c>
      <c r="F330" s="2792">
        <v>5.882352941176471</v>
      </c>
      <c r="G330" s="2792">
        <v>17.647058823529413</v>
      </c>
      <c r="H330" s="2792">
        <v>41.176470588235297</v>
      </c>
      <c r="I330" s="2792">
        <v>35.294117647058826</v>
      </c>
    </row>
    <row r="331" spans="1:9">
      <c r="A331" s="2789" t="s">
        <v>25</v>
      </c>
      <c r="B331" s="2789" t="s">
        <v>4</v>
      </c>
      <c r="C331" s="2790" t="s">
        <v>1667</v>
      </c>
      <c r="D331" s="2791">
        <v>87.5</v>
      </c>
      <c r="E331" s="2791">
        <v>12.5</v>
      </c>
      <c r="F331" s="2792">
        <v>0</v>
      </c>
      <c r="G331" s="2792">
        <v>14.285714285714286</v>
      </c>
      <c r="H331" s="2792">
        <v>57.142857142857146</v>
      </c>
      <c r="I331" s="2792">
        <v>28.571428571428573</v>
      </c>
    </row>
    <row r="332" spans="1:9">
      <c r="A332" s="2789" t="s">
        <v>25</v>
      </c>
      <c r="B332" s="2789" t="s">
        <v>4</v>
      </c>
      <c r="C332" s="2790" t="s">
        <v>29</v>
      </c>
      <c r="D332" s="2791">
        <v>25</v>
      </c>
      <c r="E332" s="2791">
        <v>75</v>
      </c>
      <c r="F332" s="2792">
        <v>50</v>
      </c>
      <c r="G332" s="2792">
        <v>0</v>
      </c>
      <c r="H332" s="2792">
        <v>0</v>
      </c>
      <c r="I332" s="2792">
        <v>50</v>
      </c>
    </row>
    <row r="333" spans="1:9">
      <c r="A333" s="2789" t="s">
        <v>25</v>
      </c>
      <c r="B333" s="2789" t="s">
        <v>4</v>
      </c>
      <c r="C333" s="2790" t="s">
        <v>13</v>
      </c>
      <c r="D333" s="2791">
        <v>79.487179487179489</v>
      </c>
      <c r="E333" s="2791">
        <v>20.512820512820515</v>
      </c>
      <c r="F333" s="2792">
        <v>6.4516129032258061</v>
      </c>
      <c r="G333" s="2792">
        <v>9.67741935483871</v>
      </c>
      <c r="H333" s="2792">
        <v>38.70967741935484</v>
      </c>
      <c r="I333" s="2792">
        <v>45.161290322580648</v>
      </c>
    </row>
    <row r="334" spans="1:9">
      <c r="A334" s="2789" t="s">
        <v>25</v>
      </c>
      <c r="B334" s="2789" t="s">
        <v>4</v>
      </c>
      <c r="C334" s="2790" t="s">
        <v>30</v>
      </c>
      <c r="D334" s="2791">
        <v>78.94736842105263</v>
      </c>
      <c r="E334" s="2791">
        <v>21.05263157894737</v>
      </c>
      <c r="F334" s="2792">
        <v>0</v>
      </c>
      <c r="G334" s="2792">
        <v>0</v>
      </c>
      <c r="H334" s="2792">
        <v>0</v>
      </c>
      <c r="I334" s="2792">
        <v>100</v>
      </c>
    </row>
    <row r="335" spans="1:9">
      <c r="A335" s="2789" t="s">
        <v>25</v>
      </c>
      <c r="B335" s="2789" t="s">
        <v>4</v>
      </c>
      <c r="C335" s="2790" t="s">
        <v>31</v>
      </c>
      <c r="D335" s="2791">
        <v>20</v>
      </c>
      <c r="E335" s="2791">
        <v>80</v>
      </c>
      <c r="F335" s="2792">
        <v>0</v>
      </c>
      <c r="G335" s="2792">
        <v>0</v>
      </c>
      <c r="H335" s="2792">
        <v>0</v>
      </c>
      <c r="I335" s="2792">
        <v>100</v>
      </c>
    </row>
    <row r="336" spans="1:9">
      <c r="A336" s="2789" t="s">
        <v>25</v>
      </c>
      <c r="B336" s="2789" t="s">
        <v>4</v>
      </c>
      <c r="C336" s="2790" t="s">
        <v>32</v>
      </c>
      <c r="D336" s="2791">
        <v>88.888888888888886</v>
      </c>
      <c r="E336" s="2791">
        <v>11.111111111111111</v>
      </c>
      <c r="F336" s="2792">
        <v>3.125</v>
      </c>
      <c r="G336" s="2792">
        <v>9.375</v>
      </c>
      <c r="H336" s="2792">
        <v>34.375</v>
      </c>
      <c r="I336" s="2792">
        <v>53.125</v>
      </c>
    </row>
    <row r="337" spans="1:9">
      <c r="A337" s="2789" t="s">
        <v>25</v>
      </c>
      <c r="B337" s="2789" t="s">
        <v>41</v>
      </c>
      <c r="C337" s="2790" t="s">
        <v>42</v>
      </c>
      <c r="D337" s="2791">
        <v>62.5</v>
      </c>
      <c r="E337" s="2791">
        <v>37.5</v>
      </c>
      <c r="F337" s="2792">
        <v>25</v>
      </c>
      <c r="G337" s="2792">
        <v>15</v>
      </c>
      <c r="H337" s="2792">
        <v>25</v>
      </c>
      <c r="I337" s="2792">
        <v>35</v>
      </c>
    </row>
    <row r="338" spans="1:9">
      <c r="A338" s="2789" t="s">
        <v>25</v>
      </c>
      <c r="B338" s="2789" t="s">
        <v>41</v>
      </c>
      <c r="C338" s="2790" t="s">
        <v>1671</v>
      </c>
      <c r="D338" s="2791">
        <v>41.463414634146339</v>
      </c>
      <c r="E338" s="2791">
        <v>58.536585365853661</v>
      </c>
      <c r="F338" s="2792">
        <v>17.647058823529413</v>
      </c>
      <c r="G338" s="2792">
        <v>17.647058823529413</v>
      </c>
      <c r="H338" s="2792">
        <v>29.411764705882351</v>
      </c>
      <c r="I338" s="2792">
        <v>35.294117647058826</v>
      </c>
    </row>
    <row r="339" spans="1:9">
      <c r="A339" s="2789" t="s">
        <v>25</v>
      </c>
      <c r="B339" s="2789" t="s">
        <v>41</v>
      </c>
      <c r="C339" s="2790" t="s">
        <v>44</v>
      </c>
      <c r="D339" s="2791">
        <v>52.38095238095238</v>
      </c>
      <c r="E339" s="2791">
        <v>47.61904761904762</v>
      </c>
      <c r="F339" s="2792">
        <v>18.181818181818183</v>
      </c>
      <c r="G339" s="2792">
        <v>9.0909090909090917</v>
      </c>
      <c r="H339" s="2792">
        <v>63.636363636363633</v>
      </c>
      <c r="I339" s="2792">
        <v>9.0909090909090917</v>
      </c>
    </row>
    <row r="340" spans="1:9">
      <c r="A340" s="2789" t="s">
        <v>25</v>
      </c>
      <c r="B340" s="2789" t="s">
        <v>41</v>
      </c>
      <c r="C340" s="2790" t="s">
        <v>1672</v>
      </c>
      <c r="D340" s="2791">
        <v>50</v>
      </c>
      <c r="E340" s="2791">
        <v>50</v>
      </c>
      <c r="F340" s="2792">
        <v>0</v>
      </c>
      <c r="G340" s="2792">
        <v>50</v>
      </c>
      <c r="H340" s="2792">
        <v>50</v>
      </c>
      <c r="I340" s="2792">
        <v>0</v>
      </c>
    </row>
    <row r="341" spans="1:9">
      <c r="A341" s="2789" t="s">
        <v>25</v>
      </c>
      <c r="B341" s="2789" t="s">
        <v>41</v>
      </c>
      <c r="C341" s="2790" t="s">
        <v>46</v>
      </c>
      <c r="D341" s="2791">
        <v>78.688524590163937</v>
      </c>
      <c r="E341" s="2791">
        <v>21.311475409836067</v>
      </c>
      <c r="F341" s="2792">
        <v>6.25</v>
      </c>
      <c r="G341" s="2792">
        <v>8.3333333333333339</v>
      </c>
      <c r="H341" s="2792">
        <v>35.416666666666664</v>
      </c>
      <c r="I341" s="2792">
        <v>50</v>
      </c>
    </row>
    <row r="342" spans="1:9">
      <c r="A342" s="2789" t="s">
        <v>25</v>
      </c>
      <c r="B342" s="2789" t="s">
        <v>41</v>
      </c>
      <c r="C342" s="2790" t="s">
        <v>1673</v>
      </c>
      <c r="D342" s="2791">
        <v>71.794871794871796</v>
      </c>
      <c r="E342" s="2791">
        <v>28.205128205128204</v>
      </c>
      <c r="F342" s="2792">
        <v>7.1428571428571432</v>
      </c>
      <c r="G342" s="2792">
        <v>14.285714285714286</v>
      </c>
      <c r="H342" s="2792">
        <v>23.214285714285715</v>
      </c>
      <c r="I342" s="2792">
        <v>55.357142857142854</v>
      </c>
    </row>
    <row r="343" spans="1:9">
      <c r="A343" s="2789" t="s">
        <v>25</v>
      </c>
      <c r="B343" s="2789" t="s">
        <v>16</v>
      </c>
      <c r="C343" s="2790" t="s">
        <v>17</v>
      </c>
      <c r="D343" s="2791">
        <v>77.333333333333329</v>
      </c>
      <c r="E343" s="2791">
        <v>22.666666666666668</v>
      </c>
      <c r="F343" s="2792">
        <v>7.0175438596491224</v>
      </c>
      <c r="G343" s="2792">
        <v>17.543859649122808</v>
      </c>
      <c r="H343" s="2792">
        <v>28.07017543859649</v>
      </c>
      <c r="I343" s="2792">
        <v>47.368421052631582</v>
      </c>
    </row>
    <row r="344" spans="1:9">
      <c r="A344" s="2789" t="s">
        <v>25</v>
      </c>
      <c r="B344" s="2789" t="s">
        <v>16</v>
      </c>
      <c r="C344" s="2790" t="s">
        <v>1668</v>
      </c>
      <c r="D344" s="2791">
        <v>68.181818181818187</v>
      </c>
      <c r="E344" s="2791">
        <v>31.818181818181817</v>
      </c>
      <c r="F344" s="2792">
        <v>6.666666666666667</v>
      </c>
      <c r="G344" s="2792">
        <v>33.333333333333336</v>
      </c>
      <c r="H344" s="2792">
        <v>40</v>
      </c>
      <c r="I344" s="2792">
        <v>20</v>
      </c>
    </row>
    <row r="345" spans="1:9">
      <c r="A345" s="2789" t="s">
        <v>25</v>
      </c>
      <c r="B345" s="2789" t="s">
        <v>16</v>
      </c>
      <c r="C345" s="2790" t="s">
        <v>1669</v>
      </c>
      <c r="D345" s="2791">
        <v>74.193548387096769</v>
      </c>
      <c r="E345" s="2791">
        <v>25.806451612903224</v>
      </c>
      <c r="F345" s="2792">
        <v>4.3478260869565215</v>
      </c>
      <c r="G345" s="2792">
        <v>4.3478260869565215</v>
      </c>
      <c r="H345" s="2792">
        <v>13.043478260869565</v>
      </c>
      <c r="I345" s="2792">
        <v>78.260869565217391</v>
      </c>
    </row>
    <row r="346" spans="1:9">
      <c r="A346" s="2789" t="s">
        <v>25</v>
      </c>
      <c r="B346" s="2789" t="s">
        <v>16</v>
      </c>
      <c r="C346" s="2790" t="s">
        <v>35</v>
      </c>
      <c r="D346" s="2791">
        <v>60</v>
      </c>
      <c r="E346" s="2791">
        <v>40</v>
      </c>
      <c r="F346" s="2792">
        <v>33.333333333333336</v>
      </c>
      <c r="G346" s="2792">
        <v>0</v>
      </c>
      <c r="H346" s="2792">
        <v>11.111111111111111</v>
      </c>
      <c r="I346" s="2792">
        <v>55.555555555555557</v>
      </c>
    </row>
    <row r="347" spans="1:9">
      <c r="A347" s="2789" t="s">
        <v>25</v>
      </c>
      <c r="B347" s="2789" t="s">
        <v>16</v>
      </c>
      <c r="C347" s="2790" t="s">
        <v>19</v>
      </c>
      <c r="D347" s="2791">
        <v>69.444444444444443</v>
      </c>
      <c r="E347" s="2791">
        <v>30.555555555555557</v>
      </c>
      <c r="F347" s="2792">
        <v>0</v>
      </c>
      <c r="G347" s="2792">
        <v>28</v>
      </c>
      <c r="H347" s="2792">
        <v>48</v>
      </c>
      <c r="I347" s="2792">
        <v>24</v>
      </c>
    </row>
    <row r="348" spans="1:9">
      <c r="A348" s="2789" t="s">
        <v>25</v>
      </c>
      <c r="B348" s="2789" t="s">
        <v>16</v>
      </c>
      <c r="C348" s="2790" t="s">
        <v>20</v>
      </c>
      <c r="D348" s="2791">
        <v>85.365853658536579</v>
      </c>
      <c r="E348" s="2791">
        <v>14.634146341463415</v>
      </c>
      <c r="F348" s="2792">
        <v>2.8571428571428572</v>
      </c>
      <c r="G348" s="2792">
        <v>25.714285714285715</v>
      </c>
      <c r="H348" s="2792">
        <v>28.571428571428573</v>
      </c>
      <c r="I348" s="2792">
        <v>42.857142857142854</v>
      </c>
    </row>
    <row r="349" spans="1:9">
      <c r="A349" s="2789" t="s">
        <v>25</v>
      </c>
      <c r="B349" s="2789" t="s">
        <v>16</v>
      </c>
      <c r="C349" s="2790" t="s">
        <v>36</v>
      </c>
      <c r="D349" s="2791">
        <v>70.370370370370367</v>
      </c>
      <c r="E349" s="2791">
        <v>29.62962962962963</v>
      </c>
      <c r="F349" s="2792">
        <v>22.222222222222221</v>
      </c>
      <c r="G349" s="2792">
        <v>0</v>
      </c>
      <c r="H349" s="2792">
        <v>11.111111111111111</v>
      </c>
      <c r="I349" s="2792">
        <v>66.666666666666671</v>
      </c>
    </row>
    <row r="350" spans="1:9">
      <c r="A350" s="2789" t="s">
        <v>25</v>
      </c>
      <c r="B350" s="2789" t="s">
        <v>16</v>
      </c>
      <c r="C350" s="2790" t="s">
        <v>560</v>
      </c>
      <c r="D350" s="2791">
        <v>66.666666666666671</v>
      </c>
      <c r="E350" s="2791">
        <v>33.333333333333336</v>
      </c>
      <c r="F350" s="2792">
        <v>8.3333333333333339</v>
      </c>
      <c r="G350" s="2792">
        <v>8.3333333333333339</v>
      </c>
      <c r="H350" s="2792">
        <v>8.3333333333333339</v>
      </c>
      <c r="I350" s="2792">
        <v>75</v>
      </c>
    </row>
    <row r="351" spans="1:9">
      <c r="A351" s="2789" t="s">
        <v>25</v>
      </c>
      <c r="B351" s="2789" t="s">
        <v>16</v>
      </c>
      <c r="C351" s="2790" t="s">
        <v>1670</v>
      </c>
      <c r="D351" s="2791">
        <v>68.421052631578945</v>
      </c>
      <c r="E351" s="2791">
        <v>31.578947368421051</v>
      </c>
      <c r="F351" s="2792">
        <v>23.076923076923077</v>
      </c>
      <c r="G351" s="2792">
        <v>7.6923076923076925</v>
      </c>
      <c r="H351" s="2792">
        <v>34.615384615384613</v>
      </c>
      <c r="I351" s="2792">
        <v>34.615384615384613</v>
      </c>
    </row>
    <row r="352" spans="1:9">
      <c r="A352" s="2789" t="s">
        <v>25</v>
      </c>
      <c r="B352" s="2789" t="s">
        <v>16</v>
      </c>
      <c r="C352" s="2790" t="s">
        <v>39</v>
      </c>
      <c r="D352" s="2791">
        <v>84.090909090909093</v>
      </c>
      <c r="E352" s="2791">
        <v>15.909090909090908</v>
      </c>
      <c r="F352" s="2792">
        <v>5.5555555555555554</v>
      </c>
      <c r="G352" s="2792">
        <v>8.3333333333333339</v>
      </c>
      <c r="H352" s="2792">
        <v>47.222222222222221</v>
      </c>
      <c r="I352" s="2792">
        <v>38.888888888888886</v>
      </c>
    </row>
    <row r="353" spans="1:9">
      <c r="A353" s="2789" t="s">
        <v>25</v>
      </c>
      <c r="B353" s="2789" t="s">
        <v>16</v>
      </c>
      <c r="C353" s="2790" t="s">
        <v>40</v>
      </c>
      <c r="D353" s="2791">
        <v>75</v>
      </c>
      <c r="E353" s="2791">
        <v>25</v>
      </c>
      <c r="F353" s="2792">
        <v>0</v>
      </c>
      <c r="G353" s="2792">
        <v>0</v>
      </c>
      <c r="H353" s="2792">
        <v>100</v>
      </c>
      <c r="I353" s="2792">
        <v>0</v>
      </c>
    </row>
    <row r="354" spans="1:9">
      <c r="A354" s="2789" t="s">
        <v>48</v>
      </c>
      <c r="B354" s="2789" t="s">
        <v>21</v>
      </c>
      <c r="C354" s="2790" t="s">
        <v>22</v>
      </c>
      <c r="D354" s="2791">
        <v>90.510948905109487</v>
      </c>
      <c r="E354" s="2791">
        <v>9.4890510948905114</v>
      </c>
      <c r="F354" s="2792">
        <v>4.8780487804878048</v>
      </c>
      <c r="G354" s="2792">
        <v>12.195121951219512</v>
      </c>
      <c r="H354" s="2792">
        <v>21.13821138211382</v>
      </c>
      <c r="I354" s="2792">
        <v>61.788617886178862</v>
      </c>
    </row>
    <row r="355" spans="1:9">
      <c r="A355" s="2789" t="s">
        <v>48</v>
      </c>
      <c r="B355" s="2789" t="s">
        <v>21</v>
      </c>
      <c r="C355" s="2790" t="s">
        <v>1666</v>
      </c>
      <c r="D355" s="2791">
        <v>90.099009900990097</v>
      </c>
      <c r="E355" s="2791">
        <v>9.9009900990099009</v>
      </c>
      <c r="F355" s="2792">
        <v>10.989010989010989</v>
      </c>
      <c r="G355" s="2792">
        <v>7.6923076923076925</v>
      </c>
      <c r="H355" s="2792">
        <v>13.186813186813186</v>
      </c>
      <c r="I355" s="2792">
        <v>68.131868131868131</v>
      </c>
    </row>
    <row r="356" spans="1:9">
      <c r="A356" s="2789" t="s">
        <v>48</v>
      </c>
      <c r="B356" s="2789" t="s">
        <v>21</v>
      </c>
      <c r="C356" s="2790" t="s">
        <v>1679</v>
      </c>
      <c r="D356" s="2791">
        <v>83.78378378378379</v>
      </c>
      <c r="E356" s="2791">
        <v>16.216216216216218</v>
      </c>
      <c r="F356" s="2792">
        <v>9.67741935483871</v>
      </c>
      <c r="G356" s="2792">
        <v>11.290322580645162</v>
      </c>
      <c r="H356" s="2792">
        <v>22.580645161290324</v>
      </c>
      <c r="I356" s="2792">
        <v>56.451612903225808</v>
      </c>
    </row>
    <row r="357" spans="1:9">
      <c r="A357" s="2789" t="s">
        <v>48</v>
      </c>
      <c r="B357" s="2789" t="s">
        <v>21</v>
      </c>
      <c r="C357" s="2790" t="s">
        <v>1680</v>
      </c>
      <c r="D357" s="2791">
        <v>70</v>
      </c>
      <c r="E357" s="2791">
        <v>30</v>
      </c>
      <c r="F357" s="2792">
        <v>7.1428571428571432</v>
      </c>
      <c r="G357" s="2792">
        <v>17.857142857142858</v>
      </c>
      <c r="H357" s="2792">
        <v>17.857142857142858</v>
      </c>
      <c r="I357" s="2792">
        <v>57.142857142857146</v>
      </c>
    </row>
    <row r="358" spans="1:9">
      <c r="A358" s="2789" t="s">
        <v>48</v>
      </c>
      <c r="B358" s="2789" t="s">
        <v>41</v>
      </c>
      <c r="C358" s="2790" t="s">
        <v>42</v>
      </c>
      <c r="D358" s="2791">
        <v>64.583333333333329</v>
      </c>
      <c r="E358" s="2791">
        <v>35.416666666666664</v>
      </c>
      <c r="F358" s="2792">
        <v>4.838709677419355</v>
      </c>
      <c r="G358" s="2792">
        <v>3.225806451612903</v>
      </c>
      <c r="H358" s="2792">
        <v>22.580645161290324</v>
      </c>
      <c r="I358" s="2792">
        <v>69.354838709677423</v>
      </c>
    </row>
    <row r="359" spans="1:9">
      <c r="A359" s="2789" t="s">
        <v>48</v>
      </c>
      <c r="B359" s="2789" t="s">
        <v>41</v>
      </c>
      <c r="C359" s="2790" t="s">
        <v>1675</v>
      </c>
      <c r="D359" s="2791">
        <v>82.352941176470594</v>
      </c>
      <c r="E359" s="2791">
        <v>17.647058823529413</v>
      </c>
      <c r="F359" s="2792">
        <v>1.7857142857142858</v>
      </c>
      <c r="G359" s="2792">
        <v>0</v>
      </c>
      <c r="H359" s="2792">
        <v>3.5714285714285716</v>
      </c>
      <c r="I359" s="2792">
        <v>94.642857142857139</v>
      </c>
    </row>
    <row r="360" spans="1:9">
      <c r="A360" s="2789" t="s">
        <v>48</v>
      </c>
      <c r="B360" s="2789" t="s">
        <v>41</v>
      </c>
      <c r="C360" s="2790" t="s">
        <v>53</v>
      </c>
      <c r="D360" s="2791">
        <v>87.128712871287135</v>
      </c>
      <c r="E360" s="2791">
        <v>12.871287128712872</v>
      </c>
      <c r="F360" s="2792">
        <v>2.3255813953488373</v>
      </c>
      <c r="G360" s="2792">
        <v>4.6511627906976747</v>
      </c>
      <c r="H360" s="2792">
        <v>4.6511627906976747</v>
      </c>
      <c r="I360" s="2792">
        <v>88.372093023255815</v>
      </c>
    </row>
    <row r="361" spans="1:9">
      <c r="A361" s="2789" t="s">
        <v>48</v>
      </c>
      <c r="B361" s="2789" t="s">
        <v>41</v>
      </c>
      <c r="C361" s="2790" t="s">
        <v>1676</v>
      </c>
      <c r="D361" s="2791">
        <v>80.898876404494388</v>
      </c>
      <c r="E361" s="2791">
        <v>19.101123595505619</v>
      </c>
      <c r="F361" s="2792">
        <v>1.3888888888888888</v>
      </c>
      <c r="G361" s="2792">
        <v>22.222222222222221</v>
      </c>
      <c r="H361" s="2792">
        <v>25</v>
      </c>
      <c r="I361" s="2792">
        <v>51.388888888888886</v>
      </c>
    </row>
    <row r="362" spans="1:9">
      <c r="A362" s="2789" t="s">
        <v>48</v>
      </c>
      <c r="B362" s="2789" t="s">
        <v>41</v>
      </c>
      <c r="C362" s="2790" t="s">
        <v>1677</v>
      </c>
      <c r="D362" s="2791">
        <v>73.831775700934585</v>
      </c>
      <c r="E362" s="2791">
        <v>26.168224299065422</v>
      </c>
      <c r="F362" s="2792">
        <v>12.5</v>
      </c>
      <c r="G362" s="2792">
        <v>12.5</v>
      </c>
      <c r="H362" s="2792">
        <v>20</v>
      </c>
      <c r="I362" s="2792">
        <v>55</v>
      </c>
    </row>
    <row r="363" spans="1:9">
      <c r="A363" s="2789" t="s">
        <v>48</v>
      </c>
      <c r="B363" s="2789" t="s">
        <v>41</v>
      </c>
      <c r="C363" s="2790" t="s">
        <v>56</v>
      </c>
      <c r="D363" s="2791">
        <v>61.53846153846154</v>
      </c>
      <c r="E363" s="2791">
        <v>38.46153846153846</v>
      </c>
      <c r="F363" s="2792">
        <v>6.25</v>
      </c>
      <c r="G363" s="2792">
        <v>12.5</v>
      </c>
      <c r="H363" s="2792">
        <v>31.25</v>
      </c>
      <c r="I363" s="2792">
        <v>50</v>
      </c>
    </row>
    <row r="364" spans="1:9">
      <c r="A364" s="2789" t="s">
        <v>48</v>
      </c>
      <c r="B364" s="2789" t="s">
        <v>41</v>
      </c>
      <c r="C364" s="2790" t="s">
        <v>264</v>
      </c>
      <c r="D364" s="2791">
        <v>77.777777777777771</v>
      </c>
      <c r="E364" s="2791">
        <v>22.222222222222221</v>
      </c>
      <c r="F364" s="2792">
        <v>7.5</v>
      </c>
      <c r="G364" s="2792">
        <v>0</v>
      </c>
      <c r="H364" s="2792">
        <v>20</v>
      </c>
      <c r="I364" s="2792">
        <v>72.5</v>
      </c>
    </row>
    <row r="365" spans="1:9">
      <c r="A365" s="2789" t="s">
        <v>48</v>
      </c>
      <c r="B365" s="2789" t="s">
        <v>41</v>
      </c>
      <c r="C365" s="2790" t="s">
        <v>1678</v>
      </c>
      <c r="D365" s="2791">
        <v>93.103448275862064</v>
      </c>
      <c r="E365" s="2791">
        <v>6.8965517241379306</v>
      </c>
      <c r="F365" s="2792">
        <v>5.5555555555555554</v>
      </c>
      <c r="G365" s="2792">
        <v>9.2592592592592595</v>
      </c>
      <c r="H365" s="2792">
        <v>18.518518518518519</v>
      </c>
      <c r="I365" s="2792">
        <v>66.666666666666671</v>
      </c>
    </row>
    <row r="366" spans="1:9">
      <c r="A366" s="2789" t="s">
        <v>48</v>
      </c>
      <c r="B366" s="2789" t="s">
        <v>16</v>
      </c>
      <c r="C366" s="2790" t="s">
        <v>17</v>
      </c>
      <c r="D366" s="2791">
        <v>91.011235955056179</v>
      </c>
      <c r="E366" s="2791">
        <v>8.9887640449438209</v>
      </c>
      <c r="F366" s="2792">
        <v>4.9382716049382713</v>
      </c>
      <c r="G366" s="2792">
        <v>8.6419753086419746</v>
      </c>
      <c r="H366" s="2792">
        <v>43.209876543209873</v>
      </c>
      <c r="I366" s="2792">
        <v>43.209876543209873</v>
      </c>
    </row>
    <row r="367" spans="1:9">
      <c r="A367" s="2789" t="s">
        <v>48</v>
      </c>
      <c r="B367" s="2789" t="s">
        <v>16</v>
      </c>
      <c r="C367" s="2790" t="s">
        <v>1674</v>
      </c>
      <c r="D367" s="2791">
        <v>76.229508196721312</v>
      </c>
      <c r="E367" s="2791">
        <v>23.770491803278688</v>
      </c>
      <c r="F367" s="2792">
        <v>8.695652173913043</v>
      </c>
      <c r="G367" s="2792">
        <v>11.956521739130435</v>
      </c>
      <c r="H367" s="2792">
        <v>32.608695652173914</v>
      </c>
      <c r="I367" s="2792">
        <v>46.739130434782609</v>
      </c>
    </row>
    <row r="368" spans="1:9">
      <c r="A368" s="2789" t="s">
        <v>48</v>
      </c>
      <c r="B368" s="2789" t="s">
        <v>16</v>
      </c>
      <c r="C368" s="2790" t="s">
        <v>19</v>
      </c>
      <c r="D368" s="2791">
        <v>85.483870967741936</v>
      </c>
      <c r="E368" s="2791">
        <v>14.516129032258064</v>
      </c>
      <c r="F368" s="2792">
        <v>7.6923076923076925</v>
      </c>
      <c r="G368" s="2792">
        <v>28.846153846153847</v>
      </c>
      <c r="H368" s="2792">
        <v>40.384615384615387</v>
      </c>
      <c r="I368" s="2792">
        <v>23.076923076923077</v>
      </c>
    </row>
    <row r="369" spans="1:9">
      <c r="A369" s="2789" t="s">
        <v>48</v>
      </c>
      <c r="B369" s="2789" t="s">
        <v>16</v>
      </c>
      <c r="C369" s="2790" t="s">
        <v>50</v>
      </c>
      <c r="D369" s="2791">
        <v>78.645833333333329</v>
      </c>
      <c r="E369" s="2791">
        <v>21.354166666666668</v>
      </c>
      <c r="F369" s="2792">
        <v>9.9337748344370862</v>
      </c>
      <c r="G369" s="2792">
        <v>11.920529801324504</v>
      </c>
      <c r="H369" s="2792">
        <v>42.384105960264904</v>
      </c>
      <c r="I369" s="2792">
        <v>35.76158940397351</v>
      </c>
    </row>
    <row r="370" spans="1:9">
      <c r="A370" s="2789" t="s">
        <v>48</v>
      </c>
      <c r="B370" s="2789" t="s">
        <v>16</v>
      </c>
      <c r="C370" s="2790" t="s">
        <v>20</v>
      </c>
      <c r="D370" s="2791">
        <v>74.358974358974365</v>
      </c>
      <c r="E370" s="2791">
        <v>25.641025641025642</v>
      </c>
      <c r="F370" s="2792">
        <v>22.988505747126435</v>
      </c>
      <c r="G370" s="2792">
        <v>13.793103448275861</v>
      </c>
      <c r="H370" s="2792">
        <v>27.586206896551722</v>
      </c>
      <c r="I370" s="2792">
        <v>35.632183908045974</v>
      </c>
    </row>
    <row r="371" spans="1:9">
      <c r="A371" s="2789" t="s">
        <v>48</v>
      </c>
      <c r="B371" s="2789" t="s">
        <v>16</v>
      </c>
      <c r="C371" s="2790" t="s">
        <v>1681</v>
      </c>
      <c r="D371" s="2791">
        <v>72.727272727272734</v>
      </c>
      <c r="E371" s="2791">
        <v>27.272727272727273</v>
      </c>
      <c r="F371" s="2792">
        <v>6.25</v>
      </c>
      <c r="G371" s="2792">
        <v>25</v>
      </c>
      <c r="H371" s="2792">
        <v>31.25</v>
      </c>
      <c r="I371" s="2792">
        <v>37.5</v>
      </c>
    </row>
    <row r="372" spans="1:9">
      <c r="A372" s="54"/>
      <c r="B372" s="54"/>
      <c r="C372" s="54"/>
      <c r="D372" s="54"/>
      <c r="E372" s="54"/>
      <c r="F372" s="54"/>
      <c r="G372" s="54"/>
      <c r="H372" s="54"/>
      <c r="I372" s="54"/>
    </row>
    <row r="373" spans="1:9">
      <c r="A373" s="5014" t="s">
        <v>15</v>
      </c>
      <c r="B373" s="5015"/>
      <c r="C373" s="5016"/>
      <c r="D373" s="2793">
        <v>78.607860786078604</v>
      </c>
      <c r="E373" s="2794">
        <v>21.392139213921393</v>
      </c>
      <c r="F373" s="2795">
        <v>7.3946360153256707</v>
      </c>
      <c r="G373" s="2795">
        <v>11.226053639846743</v>
      </c>
      <c r="H373" s="2795">
        <v>26.973180076628353</v>
      </c>
      <c r="I373" s="2795">
        <v>54.406130268199234</v>
      </c>
    </row>
    <row r="374" spans="1:9">
      <c r="A374" s="492"/>
      <c r="B374" s="305"/>
      <c r="C374" s="1694"/>
      <c r="D374" s="1695"/>
      <c r="E374" s="1695"/>
      <c r="F374" s="1696"/>
      <c r="G374" s="1696"/>
      <c r="H374" s="1696"/>
    </row>
    <row r="375" spans="1:9">
      <c r="A375" s="375"/>
      <c r="B375" s="375"/>
      <c r="C375" s="375"/>
      <c r="D375" s="375"/>
      <c r="E375" s="375"/>
    </row>
    <row r="376" spans="1:9">
      <c r="A376" s="375"/>
      <c r="B376" s="376">
        <v>2014</v>
      </c>
      <c r="C376" s="375"/>
      <c r="D376" s="375"/>
      <c r="E376" s="375"/>
    </row>
    <row r="377" spans="1:9">
      <c r="A377" s="5005" t="s">
        <v>1088</v>
      </c>
      <c r="B377" s="5006"/>
      <c r="C377" s="5007"/>
      <c r="D377" s="375"/>
      <c r="E377" s="375"/>
    </row>
    <row r="378" spans="1:9">
      <c r="A378" s="5004" t="s">
        <v>1089</v>
      </c>
      <c r="B378" s="5004" t="s">
        <v>1090</v>
      </c>
      <c r="C378" s="5004"/>
      <c r="D378" s="375"/>
      <c r="E378" s="375"/>
    </row>
    <row r="379" spans="1:9">
      <c r="A379" s="5004"/>
      <c r="B379" s="377">
        <v>2005</v>
      </c>
      <c r="C379" s="377">
        <v>2008</v>
      </c>
      <c r="D379" s="375"/>
      <c r="E379" s="375"/>
    </row>
    <row r="380" spans="1:9">
      <c r="A380" s="378" t="s">
        <v>1091</v>
      </c>
      <c r="B380" s="379">
        <v>0.84199999999999997</v>
      </c>
      <c r="C380" s="380">
        <v>0.73699999999999999</v>
      </c>
      <c r="D380" s="375"/>
      <c r="E380" s="375"/>
    </row>
    <row r="381" spans="1:9">
      <c r="A381" s="416" t="s">
        <v>1092</v>
      </c>
      <c r="B381" s="450">
        <v>0.158</v>
      </c>
      <c r="C381" s="392">
        <v>0.26300000000000001</v>
      </c>
      <c r="D381" s="375"/>
      <c r="E381" s="375"/>
    </row>
    <row r="382" spans="1:9" ht="15.75">
      <c r="A382" s="383" t="s">
        <v>1093</v>
      </c>
      <c r="B382" s="384"/>
      <c r="C382" s="384"/>
      <c r="D382" s="375"/>
      <c r="E382" s="375"/>
    </row>
    <row r="383" spans="1:9">
      <c r="A383" s="375"/>
      <c r="B383" s="375"/>
      <c r="C383" s="375"/>
      <c r="D383" s="375"/>
      <c r="E383" s="375"/>
    </row>
    <row r="384" spans="1:9" ht="15.75">
      <c r="A384" s="375"/>
      <c r="B384" s="385">
        <v>2013</v>
      </c>
      <c r="C384" s="375"/>
      <c r="D384" s="375"/>
      <c r="E384" s="375"/>
    </row>
    <row r="385" spans="1:5" ht="15.75">
      <c r="A385" s="386" t="s">
        <v>1094</v>
      </c>
      <c r="B385" s="387"/>
      <c r="C385" s="387"/>
      <c r="D385" s="384"/>
      <c r="E385" s="375"/>
    </row>
    <row r="386" spans="1:5" ht="15.75">
      <c r="A386" s="386" t="s">
        <v>1095</v>
      </c>
      <c r="B386" s="387"/>
      <c r="C386" s="387"/>
      <c r="D386" s="384"/>
      <c r="E386" s="375"/>
    </row>
    <row r="387" spans="1:5" ht="15.75">
      <c r="A387" s="388" t="s">
        <v>1096</v>
      </c>
      <c r="B387" s="387"/>
      <c r="C387" s="387"/>
      <c r="D387" s="384"/>
      <c r="E387" s="375"/>
    </row>
    <row r="388" spans="1:5" ht="15.75">
      <c r="A388" s="384"/>
      <c r="B388" s="384"/>
      <c r="C388" s="384"/>
      <c r="D388" s="384"/>
      <c r="E388" s="375"/>
    </row>
    <row r="389" spans="1:5" ht="15.75">
      <c r="A389" s="5005" t="s">
        <v>1088</v>
      </c>
      <c r="B389" s="5006"/>
      <c r="C389" s="5007"/>
      <c r="D389" s="384"/>
      <c r="E389" s="375"/>
    </row>
    <row r="390" spans="1:5" ht="15.75">
      <c r="A390" s="5004" t="s">
        <v>1089</v>
      </c>
      <c r="B390" s="5004" t="s">
        <v>1090</v>
      </c>
      <c r="C390" s="5004"/>
      <c r="D390" s="384"/>
      <c r="E390" s="375"/>
    </row>
    <row r="391" spans="1:5" ht="15.75">
      <c r="A391" s="5004"/>
      <c r="B391" s="377">
        <v>2005</v>
      </c>
      <c r="C391" s="377">
        <v>2008</v>
      </c>
      <c r="D391" s="384"/>
      <c r="E391" s="375"/>
    </row>
    <row r="392" spans="1:5" ht="20.25" customHeight="1">
      <c r="A392" s="389" t="s">
        <v>1091</v>
      </c>
      <c r="B392" s="390">
        <v>0.84199999999999997</v>
      </c>
      <c r="C392" s="391">
        <v>0.73699999999999999</v>
      </c>
      <c r="D392" s="384"/>
      <c r="E392" s="375"/>
    </row>
    <row r="393" spans="1:5" ht="20.25" customHeight="1">
      <c r="A393" s="378" t="s">
        <v>1092</v>
      </c>
      <c r="B393" s="392">
        <v>0.158</v>
      </c>
      <c r="C393" s="390">
        <v>0.26300000000000001</v>
      </c>
      <c r="D393" s="384"/>
      <c r="E393" s="375"/>
    </row>
    <row r="394" spans="1:5" ht="15.75">
      <c r="A394" s="383" t="s">
        <v>1097</v>
      </c>
      <c r="B394" s="384"/>
      <c r="C394" s="384"/>
      <c r="D394" s="384"/>
      <c r="E394" s="375"/>
    </row>
    <row r="395" spans="1:5" ht="15.75">
      <c r="A395" s="383"/>
      <c r="B395" s="384"/>
      <c r="C395" s="384"/>
      <c r="D395" s="384"/>
      <c r="E395" s="375"/>
    </row>
    <row r="396" spans="1:5">
      <c r="A396" s="375"/>
      <c r="B396" s="375"/>
      <c r="C396" s="375"/>
      <c r="D396" s="375"/>
      <c r="E396" s="375"/>
    </row>
    <row r="397" spans="1:5">
      <c r="A397" s="375"/>
      <c r="B397" s="376">
        <v>2012</v>
      </c>
      <c r="C397" s="375"/>
      <c r="D397" s="375"/>
      <c r="E397" s="375"/>
    </row>
    <row r="398" spans="1:5">
      <c r="A398" s="386" t="s">
        <v>1094</v>
      </c>
      <c r="B398" s="375"/>
      <c r="C398" s="375"/>
      <c r="D398" s="375"/>
      <c r="E398" s="375"/>
    </row>
    <row r="399" spans="1:5">
      <c r="A399" s="386" t="s">
        <v>1095</v>
      </c>
      <c r="B399" s="375"/>
      <c r="C399" s="375"/>
      <c r="D399" s="375"/>
      <c r="E399" s="375"/>
    </row>
    <row r="400" spans="1:5">
      <c r="A400" s="388" t="s">
        <v>1098</v>
      </c>
      <c r="B400" s="375"/>
      <c r="C400" s="375"/>
      <c r="D400" s="375"/>
      <c r="E400" s="375"/>
    </row>
    <row r="401" spans="1:5" ht="15.75">
      <c r="A401" s="384"/>
      <c r="B401" s="384"/>
      <c r="C401" s="393"/>
      <c r="D401" s="85"/>
      <c r="E401" s="375"/>
    </row>
    <row r="402" spans="1:5">
      <c r="A402" s="5005" t="s">
        <v>1088</v>
      </c>
      <c r="B402" s="5006"/>
      <c r="C402" s="5007"/>
      <c r="D402" s="85"/>
      <c r="E402" s="375"/>
    </row>
    <row r="403" spans="1:5" ht="15.75" customHeight="1">
      <c r="A403" s="5004" t="s">
        <v>1089</v>
      </c>
      <c r="B403" s="5004" t="s">
        <v>1090</v>
      </c>
      <c r="C403" s="5004"/>
      <c r="D403" s="85"/>
      <c r="E403" s="375"/>
    </row>
    <row r="404" spans="1:5">
      <c r="A404" s="5004"/>
      <c r="B404" s="377">
        <v>2005</v>
      </c>
      <c r="C404" s="377">
        <v>2008</v>
      </c>
      <c r="D404" s="85"/>
      <c r="E404" s="375"/>
    </row>
    <row r="405" spans="1:5">
      <c r="A405" s="5003" t="s">
        <v>1091</v>
      </c>
      <c r="B405" s="394">
        <v>1314</v>
      </c>
      <c r="C405" s="395">
        <v>1301</v>
      </c>
      <c r="D405" s="85"/>
      <c r="E405" s="375"/>
    </row>
    <row r="406" spans="1:5">
      <c r="A406" s="5003"/>
      <c r="B406" s="396">
        <v>0.84199999999999997</v>
      </c>
      <c r="C406" s="397">
        <v>0.73699999999999999</v>
      </c>
      <c r="D406" s="85"/>
      <c r="E406" s="375"/>
    </row>
    <row r="407" spans="1:5">
      <c r="A407" s="5003" t="s">
        <v>1092</v>
      </c>
      <c r="B407" s="394">
        <v>246</v>
      </c>
      <c r="C407" s="395">
        <v>464</v>
      </c>
      <c r="D407" s="85"/>
      <c r="E407" s="375"/>
    </row>
    <row r="408" spans="1:5">
      <c r="A408" s="5003"/>
      <c r="B408" s="396">
        <v>0.158</v>
      </c>
      <c r="C408" s="398">
        <v>0.26300000000000001</v>
      </c>
      <c r="D408" s="85"/>
      <c r="E408" s="375"/>
    </row>
    <row r="409" spans="1:5" ht="15.75">
      <c r="A409" s="383" t="s">
        <v>1093</v>
      </c>
      <c r="B409" s="384"/>
      <c r="C409" s="393"/>
      <c r="D409" s="85"/>
      <c r="E409" s="375"/>
    </row>
    <row r="410" spans="1:5">
      <c r="A410" s="375"/>
      <c r="B410" s="375"/>
      <c r="C410" s="375"/>
      <c r="D410" s="375"/>
      <c r="E410" s="375"/>
    </row>
    <row r="411" spans="1:5" ht="15.75">
      <c r="A411" s="384"/>
      <c r="B411" s="384"/>
      <c r="C411" s="384"/>
      <c r="D411" s="384"/>
      <c r="E411" s="384"/>
    </row>
    <row r="412" spans="1:5" ht="15.75">
      <c r="A412" s="384"/>
      <c r="B412" s="376">
        <v>2011</v>
      </c>
      <c r="C412" s="384"/>
      <c r="D412" s="384"/>
      <c r="E412" s="384"/>
    </row>
    <row r="413" spans="1:5" ht="15.75">
      <c r="A413" s="386" t="s">
        <v>1094</v>
      </c>
      <c r="B413" s="387"/>
      <c r="C413" s="387"/>
      <c r="D413" s="384"/>
      <c r="E413" s="384"/>
    </row>
    <row r="414" spans="1:5" ht="15.75">
      <c r="A414" s="386" t="s">
        <v>1095</v>
      </c>
      <c r="B414" s="387"/>
      <c r="C414" s="387"/>
      <c r="D414" s="384"/>
      <c r="E414" s="384"/>
    </row>
    <row r="415" spans="1:5" ht="15.75">
      <c r="A415" s="388" t="s">
        <v>1099</v>
      </c>
      <c r="B415" s="387"/>
      <c r="C415" s="387"/>
      <c r="D415" s="384"/>
      <c r="E415" s="384"/>
    </row>
    <row r="416" spans="1:5" ht="15.75">
      <c r="A416" s="384"/>
      <c r="B416" s="384"/>
      <c r="C416" s="384"/>
      <c r="D416" s="384"/>
      <c r="E416" s="384"/>
    </row>
    <row r="417" spans="1:5" ht="15.75">
      <c r="A417" s="5005" t="s">
        <v>1088</v>
      </c>
      <c r="B417" s="5006"/>
      <c r="C417" s="5007"/>
      <c r="D417" s="384"/>
      <c r="E417" s="384"/>
    </row>
    <row r="418" spans="1:5" ht="15.75">
      <c r="A418" s="5004" t="s">
        <v>1089</v>
      </c>
      <c r="B418" s="5004" t="s">
        <v>1090</v>
      </c>
      <c r="C418" s="5004"/>
      <c r="D418" s="384"/>
      <c r="E418" s="384"/>
    </row>
    <row r="419" spans="1:5" ht="15.75">
      <c r="A419" s="5004"/>
      <c r="B419" s="377">
        <v>2005</v>
      </c>
      <c r="C419" s="377">
        <v>2008</v>
      </c>
      <c r="D419" s="384"/>
      <c r="E419" s="384"/>
    </row>
    <row r="420" spans="1:5" ht="15.75">
      <c r="A420" s="5003" t="s">
        <v>1091</v>
      </c>
      <c r="B420" s="394">
        <v>714</v>
      </c>
      <c r="C420" s="395">
        <v>879</v>
      </c>
      <c r="D420" s="384"/>
      <c r="E420" s="384"/>
    </row>
    <row r="421" spans="1:5" ht="15.75">
      <c r="A421" s="5003"/>
      <c r="B421" s="381">
        <v>0.84</v>
      </c>
      <c r="C421" s="399">
        <v>0.75800000000000001</v>
      </c>
      <c r="D421" s="118"/>
      <c r="E421" s="384"/>
    </row>
    <row r="422" spans="1:5" ht="15.75">
      <c r="A422" s="5003" t="s">
        <v>1092</v>
      </c>
      <c r="B422" s="394">
        <v>136</v>
      </c>
      <c r="C422" s="395">
        <v>281</v>
      </c>
      <c r="D422" s="384"/>
      <c r="E422" s="384"/>
    </row>
    <row r="423" spans="1:5" ht="15.75">
      <c r="A423" s="5003"/>
      <c r="B423" s="381">
        <v>0.16</v>
      </c>
      <c r="C423" s="382">
        <v>0.24199999999999999</v>
      </c>
      <c r="D423" s="384"/>
      <c r="E423" s="384"/>
    </row>
    <row r="424" spans="1:5" ht="15.75">
      <c r="A424" s="383" t="s">
        <v>1093</v>
      </c>
      <c r="B424" s="384"/>
      <c r="C424" s="384"/>
      <c r="D424" s="384"/>
      <c r="E424" s="384"/>
    </row>
    <row r="425" spans="1:5" ht="15.75">
      <c r="A425" s="383"/>
      <c r="B425" s="384"/>
      <c r="C425" s="384"/>
      <c r="D425" s="384"/>
      <c r="E425" s="384"/>
    </row>
    <row r="426" spans="1:5" ht="18">
      <c r="B426"/>
      <c r="C426" s="400"/>
      <c r="D426" s="384"/>
      <c r="E426" s="384"/>
    </row>
    <row r="427" spans="1:5">
      <c r="B427" s="376">
        <v>2010</v>
      </c>
    </row>
    <row r="428" spans="1:5">
      <c r="A428" s="401" t="s">
        <v>1089</v>
      </c>
      <c r="B428" s="402" t="s">
        <v>272</v>
      </c>
      <c r="C428" s="402" t="s">
        <v>273</v>
      </c>
      <c r="D428" s="32"/>
      <c r="E428" s="32"/>
    </row>
    <row r="429" spans="1:5">
      <c r="A429" s="403" t="s">
        <v>1100</v>
      </c>
      <c r="B429" s="404">
        <v>0.79800000000000004</v>
      </c>
      <c r="C429" s="404">
        <v>0.20200000000000001</v>
      </c>
      <c r="D429" s="32"/>
      <c r="E429" s="32"/>
    </row>
    <row r="430" spans="1:5">
      <c r="A430" s="403" t="s">
        <v>1101</v>
      </c>
      <c r="B430" s="404">
        <v>0.74660000000000004</v>
      </c>
      <c r="C430" s="404">
        <v>0.25340000000000001</v>
      </c>
      <c r="D430" s="32"/>
      <c r="E430" s="32"/>
    </row>
    <row r="431" spans="1:5">
      <c r="A431" s="403" t="s">
        <v>1102</v>
      </c>
      <c r="B431" s="404">
        <v>0.84609999999999996</v>
      </c>
      <c r="C431" s="404">
        <v>0.15390000000000001</v>
      </c>
      <c r="D431" s="32"/>
      <c r="E431" s="32"/>
    </row>
    <row r="432" spans="1:5">
      <c r="A432" s="403" t="s">
        <v>1103</v>
      </c>
      <c r="B432" s="405">
        <v>0.78259999999999996</v>
      </c>
      <c r="C432" s="404">
        <v>0.21740000000000001</v>
      </c>
      <c r="D432" s="118"/>
      <c r="E432" s="32"/>
    </row>
    <row r="433" spans="1:5">
      <c r="A433" s="406" t="s">
        <v>1104</v>
      </c>
    </row>
    <row r="435" spans="1:5">
      <c r="A435" s="407" t="s">
        <v>1105</v>
      </c>
      <c r="B435" s="1"/>
      <c r="C435" s="1"/>
      <c r="D435" s="1"/>
      <c r="E435" s="1"/>
    </row>
    <row r="436" spans="1:5" ht="27" customHeight="1">
      <c r="A436" s="5001" t="s">
        <v>1106</v>
      </c>
      <c r="B436" s="5001"/>
      <c r="C436" s="5001"/>
      <c r="D436" s="5001"/>
      <c r="E436" s="5001"/>
    </row>
    <row r="437" spans="1:5" ht="28.15" customHeight="1">
      <c r="A437" s="5002" t="s">
        <v>1107</v>
      </c>
      <c r="B437" s="5002"/>
      <c r="C437" s="5002"/>
      <c r="D437" s="5002"/>
      <c r="E437" s="5002"/>
    </row>
    <row r="438" spans="1:5" ht="21.6" customHeight="1">
      <c r="A438" s="5002" t="s">
        <v>1108</v>
      </c>
      <c r="B438" s="5002"/>
      <c r="C438" s="5002"/>
      <c r="D438" s="5002"/>
      <c r="E438" s="5002"/>
    </row>
    <row r="439" spans="1:5">
      <c r="A439" s="407" t="s">
        <v>1109</v>
      </c>
      <c r="B439" s="1"/>
      <c r="C439" s="1"/>
      <c r="D439" s="1"/>
      <c r="E439" s="1"/>
    </row>
    <row r="440" spans="1:5">
      <c r="A440" s="407" t="s">
        <v>1110</v>
      </c>
      <c r="B440" s="1"/>
      <c r="C440" s="1"/>
      <c r="D440" s="1"/>
      <c r="E440" s="1"/>
    </row>
    <row r="441" spans="1:5" ht="25.15" customHeight="1">
      <c r="A441" s="5001" t="s">
        <v>1111</v>
      </c>
      <c r="B441" s="5001"/>
      <c r="C441" s="5001"/>
      <c r="D441" s="5001"/>
      <c r="E441" s="5001"/>
    </row>
  </sheetData>
  <sortState ref="A17:I77">
    <sortCondition ref="A17:A77"/>
    <sortCondition ref="B17:B77"/>
  </sortState>
  <mergeCells count="78">
    <mergeCell ref="A102:A104"/>
    <mergeCell ref="A105:C105"/>
    <mergeCell ref="A58:A83"/>
    <mergeCell ref="B58:B66"/>
    <mergeCell ref="B67:B77"/>
    <mergeCell ref="B78:B83"/>
    <mergeCell ref="A84:A101"/>
    <mergeCell ref="B84:B89"/>
    <mergeCell ref="B90:B97"/>
    <mergeCell ref="B98:B101"/>
    <mergeCell ref="A30:A46"/>
    <mergeCell ref="B30:B39"/>
    <mergeCell ref="B40:B43"/>
    <mergeCell ref="B44:B46"/>
    <mergeCell ref="A47:A57"/>
    <mergeCell ref="B47:B50"/>
    <mergeCell ref="B51:B53"/>
    <mergeCell ref="B54:B57"/>
    <mergeCell ref="A6:J8"/>
    <mergeCell ref="A10:B10"/>
    <mergeCell ref="F18:G18"/>
    <mergeCell ref="H18:K18"/>
    <mergeCell ref="H28:I28"/>
    <mergeCell ref="J28:M28"/>
    <mergeCell ref="A2:D2"/>
    <mergeCell ref="A377:C377"/>
    <mergeCell ref="A378:A379"/>
    <mergeCell ref="B378:C378"/>
    <mergeCell ref="A389:C389"/>
    <mergeCell ref="A302:D302"/>
    <mergeCell ref="D309:E309"/>
    <mergeCell ref="A373:C373"/>
    <mergeCell ref="A204:G204"/>
    <mergeCell ref="A206:G207"/>
    <mergeCell ref="A209:E209"/>
    <mergeCell ref="A213:E213"/>
    <mergeCell ref="A221:B221"/>
    <mergeCell ref="E222:J223"/>
    <mergeCell ref="H225:I225"/>
    <mergeCell ref="A205:G205"/>
    <mergeCell ref="A441:E441"/>
    <mergeCell ref="A407:A408"/>
    <mergeCell ref="A417:C417"/>
    <mergeCell ref="A418:A419"/>
    <mergeCell ref="B418:C418"/>
    <mergeCell ref="A420:A421"/>
    <mergeCell ref="A422:A423"/>
    <mergeCell ref="F309:I309"/>
    <mergeCell ref="A436:E436"/>
    <mergeCell ref="A437:E437"/>
    <mergeCell ref="A438:E438"/>
    <mergeCell ref="A405:A406"/>
    <mergeCell ref="A390:A391"/>
    <mergeCell ref="B390:C390"/>
    <mergeCell ref="A402:C402"/>
    <mergeCell ref="A403:A404"/>
    <mergeCell ref="B403:C403"/>
    <mergeCell ref="A195:A197"/>
    <mergeCell ref="A142:A167"/>
    <mergeCell ref="B142:B150"/>
    <mergeCell ref="B151:B161"/>
    <mergeCell ref="B162:B167"/>
    <mergeCell ref="A168:A185"/>
    <mergeCell ref="B168:B173"/>
    <mergeCell ref="B174:B181"/>
    <mergeCell ref="B182:B185"/>
    <mergeCell ref="A111:K111"/>
    <mergeCell ref="A186:A194"/>
    <mergeCell ref="B186:B188"/>
    <mergeCell ref="B189:B191"/>
    <mergeCell ref="B192:B194"/>
    <mergeCell ref="F114:G114"/>
    <mergeCell ref="H114:K114"/>
    <mergeCell ref="H123:I123"/>
    <mergeCell ref="A125:A141"/>
    <mergeCell ref="B125:B134"/>
    <mergeCell ref="B135:B138"/>
    <mergeCell ref="B139:B141"/>
  </mergeCells>
  <pageMargins left="0.70866141732283472" right="0.70866141732283472" top="0.74803149606299213" bottom="0.74803149606299213" header="0.31496062992125984" footer="0.31496062992125984"/>
  <pageSetup scale="77" orientation="portrait" r:id="rId1"/>
  <drawing r:id="rId2"/>
</worksheet>
</file>

<file path=xl/worksheets/sheet22.xml><?xml version="1.0" encoding="utf-8"?>
<worksheet xmlns="http://schemas.openxmlformats.org/spreadsheetml/2006/main" xmlns:r="http://schemas.openxmlformats.org/officeDocument/2006/relationships">
  <sheetPr>
    <tabColor theme="9" tint="-0.499984740745262"/>
  </sheetPr>
  <dimension ref="A2:O631"/>
  <sheetViews>
    <sheetView workbookViewId="0"/>
  </sheetViews>
  <sheetFormatPr baseColWidth="10" defaultRowHeight="15"/>
  <cols>
    <col min="1" max="1" width="25.28515625" customWidth="1"/>
    <col min="2" max="2" width="13.42578125" style="191" customWidth="1"/>
    <col min="3" max="3" width="82.140625" customWidth="1"/>
    <col min="4" max="4" width="17.140625" bestFit="1" customWidth="1"/>
    <col min="5" max="5" width="17.140625" customWidth="1"/>
    <col min="6" max="6" width="15" customWidth="1"/>
    <col min="7" max="11" width="15.7109375" customWidth="1"/>
    <col min="257" max="257" width="35.28515625" customWidth="1"/>
    <col min="258" max="258" width="29.42578125" customWidth="1"/>
    <col min="259" max="259" width="12.85546875" customWidth="1"/>
    <col min="262" max="262" width="16.42578125" bestFit="1" customWidth="1"/>
    <col min="513" max="513" width="35.28515625" customWidth="1"/>
    <col min="514" max="514" width="29.42578125" customWidth="1"/>
    <col min="515" max="515" width="12.85546875" customWidth="1"/>
    <col min="518" max="518" width="16.42578125" bestFit="1" customWidth="1"/>
    <col min="769" max="769" width="35.28515625" customWidth="1"/>
    <col min="770" max="770" width="29.42578125" customWidth="1"/>
    <col min="771" max="771" width="12.85546875" customWidth="1"/>
    <col min="774" max="774" width="16.42578125" bestFit="1" customWidth="1"/>
    <col min="1025" max="1025" width="35.28515625" customWidth="1"/>
    <col min="1026" max="1026" width="29.42578125" customWidth="1"/>
    <col min="1027" max="1027" width="12.85546875" customWidth="1"/>
    <col min="1030" max="1030" width="16.42578125" bestFit="1" customWidth="1"/>
    <col min="1281" max="1281" width="35.28515625" customWidth="1"/>
    <col min="1282" max="1282" width="29.42578125" customWidth="1"/>
    <col min="1283" max="1283" width="12.85546875" customWidth="1"/>
    <col min="1286" max="1286" width="16.42578125" bestFit="1" customWidth="1"/>
    <col min="1537" max="1537" width="35.28515625" customWidth="1"/>
    <col min="1538" max="1538" width="29.42578125" customWidth="1"/>
    <col min="1539" max="1539" width="12.85546875" customWidth="1"/>
    <col min="1542" max="1542" width="16.42578125" bestFit="1" customWidth="1"/>
    <col min="1793" max="1793" width="35.28515625" customWidth="1"/>
    <col min="1794" max="1794" width="29.42578125" customWidth="1"/>
    <col min="1795" max="1795" width="12.85546875" customWidth="1"/>
    <col min="1798" max="1798" width="16.42578125" bestFit="1" customWidth="1"/>
    <col min="2049" max="2049" width="35.28515625" customWidth="1"/>
    <col min="2050" max="2050" width="29.42578125" customWidth="1"/>
    <col min="2051" max="2051" width="12.85546875" customWidth="1"/>
    <col min="2054" max="2054" width="16.42578125" bestFit="1" customWidth="1"/>
    <col min="2305" max="2305" width="35.28515625" customWidth="1"/>
    <col min="2306" max="2306" width="29.42578125" customWidth="1"/>
    <col min="2307" max="2307" width="12.85546875" customWidth="1"/>
    <col min="2310" max="2310" width="16.42578125" bestFit="1" customWidth="1"/>
    <col min="2561" max="2561" width="35.28515625" customWidth="1"/>
    <col min="2562" max="2562" width="29.42578125" customWidth="1"/>
    <col min="2563" max="2563" width="12.85546875" customWidth="1"/>
    <col min="2566" max="2566" width="16.42578125" bestFit="1" customWidth="1"/>
    <col min="2817" max="2817" width="35.28515625" customWidth="1"/>
    <col min="2818" max="2818" width="29.42578125" customWidth="1"/>
    <col min="2819" max="2819" width="12.85546875" customWidth="1"/>
    <col min="2822" max="2822" width="16.42578125" bestFit="1" customWidth="1"/>
    <col min="3073" max="3073" width="35.28515625" customWidth="1"/>
    <col min="3074" max="3074" width="29.42578125" customWidth="1"/>
    <col min="3075" max="3075" width="12.85546875" customWidth="1"/>
    <col min="3078" max="3078" width="16.42578125" bestFit="1" customWidth="1"/>
    <col min="3329" max="3329" width="35.28515625" customWidth="1"/>
    <col min="3330" max="3330" width="29.42578125" customWidth="1"/>
    <col min="3331" max="3331" width="12.85546875" customWidth="1"/>
    <col min="3334" max="3334" width="16.42578125" bestFit="1" customWidth="1"/>
    <col min="3585" max="3585" width="35.28515625" customWidth="1"/>
    <col min="3586" max="3586" width="29.42578125" customWidth="1"/>
    <col min="3587" max="3587" width="12.85546875" customWidth="1"/>
    <col min="3590" max="3590" width="16.42578125" bestFit="1" customWidth="1"/>
    <col min="3841" max="3841" width="35.28515625" customWidth="1"/>
    <col min="3842" max="3842" width="29.42578125" customWidth="1"/>
    <col min="3843" max="3843" width="12.85546875" customWidth="1"/>
    <col min="3846" max="3846" width="16.42578125" bestFit="1" customWidth="1"/>
    <col min="4097" max="4097" width="35.28515625" customWidth="1"/>
    <col min="4098" max="4098" width="29.42578125" customWidth="1"/>
    <col min="4099" max="4099" width="12.85546875" customWidth="1"/>
    <col min="4102" max="4102" width="16.42578125" bestFit="1" customWidth="1"/>
    <col min="4353" max="4353" width="35.28515625" customWidth="1"/>
    <col min="4354" max="4354" width="29.42578125" customWidth="1"/>
    <col min="4355" max="4355" width="12.85546875" customWidth="1"/>
    <col min="4358" max="4358" width="16.42578125" bestFit="1" customWidth="1"/>
    <col min="4609" max="4609" width="35.28515625" customWidth="1"/>
    <col min="4610" max="4610" width="29.42578125" customWidth="1"/>
    <col min="4611" max="4611" width="12.85546875" customWidth="1"/>
    <col min="4614" max="4614" width="16.42578125" bestFit="1" customWidth="1"/>
    <col min="4865" max="4865" width="35.28515625" customWidth="1"/>
    <col min="4866" max="4866" width="29.42578125" customWidth="1"/>
    <col min="4867" max="4867" width="12.85546875" customWidth="1"/>
    <col min="4870" max="4870" width="16.42578125" bestFit="1" customWidth="1"/>
    <col min="5121" max="5121" width="35.28515625" customWidth="1"/>
    <col min="5122" max="5122" width="29.42578125" customWidth="1"/>
    <col min="5123" max="5123" width="12.85546875" customWidth="1"/>
    <col min="5126" max="5126" width="16.42578125" bestFit="1" customWidth="1"/>
    <col min="5377" max="5377" width="35.28515625" customWidth="1"/>
    <col min="5378" max="5378" width="29.42578125" customWidth="1"/>
    <col min="5379" max="5379" width="12.85546875" customWidth="1"/>
    <col min="5382" max="5382" width="16.42578125" bestFit="1" customWidth="1"/>
    <col min="5633" max="5633" width="35.28515625" customWidth="1"/>
    <col min="5634" max="5634" width="29.42578125" customWidth="1"/>
    <col min="5635" max="5635" width="12.85546875" customWidth="1"/>
    <col min="5638" max="5638" width="16.42578125" bestFit="1" customWidth="1"/>
    <col min="5889" max="5889" width="35.28515625" customWidth="1"/>
    <col min="5890" max="5890" width="29.42578125" customWidth="1"/>
    <col min="5891" max="5891" width="12.85546875" customWidth="1"/>
    <col min="5894" max="5894" width="16.42578125" bestFit="1" customWidth="1"/>
    <col min="6145" max="6145" width="35.28515625" customWidth="1"/>
    <col min="6146" max="6146" width="29.42578125" customWidth="1"/>
    <col min="6147" max="6147" width="12.85546875" customWidth="1"/>
    <col min="6150" max="6150" width="16.42578125" bestFit="1" customWidth="1"/>
    <col min="6401" max="6401" width="35.28515625" customWidth="1"/>
    <col min="6402" max="6402" width="29.42578125" customWidth="1"/>
    <col min="6403" max="6403" width="12.85546875" customWidth="1"/>
    <col min="6406" max="6406" width="16.42578125" bestFit="1" customWidth="1"/>
    <col min="6657" max="6657" width="35.28515625" customWidth="1"/>
    <col min="6658" max="6658" width="29.42578125" customWidth="1"/>
    <col min="6659" max="6659" width="12.85546875" customWidth="1"/>
    <col min="6662" max="6662" width="16.42578125" bestFit="1" customWidth="1"/>
    <col min="6913" max="6913" width="35.28515625" customWidth="1"/>
    <col min="6914" max="6914" width="29.42578125" customWidth="1"/>
    <col min="6915" max="6915" width="12.85546875" customWidth="1"/>
    <col min="6918" max="6918" width="16.42578125" bestFit="1" customWidth="1"/>
    <col min="7169" max="7169" width="35.28515625" customWidth="1"/>
    <col min="7170" max="7170" width="29.42578125" customWidth="1"/>
    <col min="7171" max="7171" width="12.85546875" customWidth="1"/>
    <col min="7174" max="7174" width="16.42578125" bestFit="1" customWidth="1"/>
    <col min="7425" max="7425" width="35.28515625" customWidth="1"/>
    <col min="7426" max="7426" width="29.42578125" customWidth="1"/>
    <col min="7427" max="7427" width="12.85546875" customWidth="1"/>
    <col min="7430" max="7430" width="16.42578125" bestFit="1" customWidth="1"/>
    <col min="7681" max="7681" width="35.28515625" customWidth="1"/>
    <col min="7682" max="7682" width="29.42578125" customWidth="1"/>
    <col min="7683" max="7683" width="12.85546875" customWidth="1"/>
    <col min="7686" max="7686" width="16.42578125" bestFit="1" customWidth="1"/>
    <col min="7937" max="7937" width="35.28515625" customWidth="1"/>
    <col min="7938" max="7938" width="29.42578125" customWidth="1"/>
    <col min="7939" max="7939" width="12.85546875" customWidth="1"/>
    <col min="7942" max="7942" width="16.42578125" bestFit="1" customWidth="1"/>
    <col min="8193" max="8193" width="35.28515625" customWidth="1"/>
    <col min="8194" max="8194" width="29.42578125" customWidth="1"/>
    <col min="8195" max="8195" width="12.85546875" customWidth="1"/>
    <col min="8198" max="8198" width="16.42578125" bestFit="1" customWidth="1"/>
    <col min="8449" max="8449" width="35.28515625" customWidth="1"/>
    <col min="8450" max="8450" width="29.42578125" customWidth="1"/>
    <col min="8451" max="8451" width="12.85546875" customWidth="1"/>
    <col min="8454" max="8454" width="16.42578125" bestFit="1" customWidth="1"/>
    <col min="8705" max="8705" width="35.28515625" customWidth="1"/>
    <col min="8706" max="8706" width="29.42578125" customWidth="1"/>
    <col min="8707" max="8707" width="12.85546875" customWidth="1"/>
    <col min="8710" max="8710" width="16.42578125" bestFit="1" customWidth="1"/>
    <col min="8961" max="8961" width="35.28515625" customWidth="1"/>
    <col min="8962" max="8962" width="29.42578125" customWidth="1"/>
    <col min="8963" max="8963" width="12.85546875" customWidth="1"/>
    <col min="8966" max="8966" width="16.42578125" bestFit="1" customWidth="1"/>
    <col min="9217" max="9217" width="35.28515625" customWidth="1"/>
    <col min="9218" max="9218" width="29.42578125" customWidth="1"/>
    <col min="9219" max="9219" width="12.85546875" customWidth="1"/>
    <col min="9222" max="9222" width="16.42578125" bestFit="1" customWidth="1"/>
    <col min="9473" max="9473" width="35.28515625" customWidth="1"/>
    <col min="9474" max="9474" width="29.42578125" customWidth="1"/>
    <col min="9475" max="9475" width="12.85546875" customWidth="1"/>
    <col min="9478" max="9478" width="16.42578125" bestFit="1" customWidth="1"/>
    <col min="9729" max="9729" width="35.28515625" customWidth="1"/>
    <col min="9730" max="9730" width="29.42578125" customWidth="1"/>
    <col min="9731" max="9731" width="12.85546875" customWidth="1"/>
    <col min="9734" max="9734" width="16.42578125" bestFit="1" customWidth="1"/>
    <col min="9985" max="9985" width="35.28515625" customWidth="1"/>
    <col min="9986" max="9986" width="29.42578125" customWidth="1"/>
    <col min="9987" max="9987" width="12.85546875" customWidth="1"/>
    <col min="9990" max="9990" width="16.42578125" bestFit="1" customWidth="1"/>
    <col min="10241" max="10241" width="35.28515625" customWidth="1"/>
    <col min="10242" max="10242" width="29.42578125" customWidth="1"/>
    <col min="10243" max="10243" width="12.85546875" customWidth="1"/>
    <col min="10246" max="10246" width="16.42578125" bestFit="1" customWidth="1"/>
    <col min="10497" max="10497" width="35.28515625" customWidth="1"/>
    <col min="10498" max="10498" width="29.42578125" customWidth="1"/>
    <col min="10499" max="10499" width="12.85546875" customWidth="1"/>
    <col min="10502" max="10502" width="16.42578125" bestFit="1" customWidth="1"/>
    <col min="10753" max="10753" width="35.28515625" customWidth="1"/>
    <col min="10754" max="10754" width="29.42578125" customWidth="1"/>
    <col min="10755" max="10755" width="12.85546875" customWidth="1"/>
    <col min="10758" max="10758" width="16.42578125" bestFit="1" customWidth="1"/>
    <col min="11009" max="11009" width="35.28515625" customWidth="1"/>
    <col min="11010" max="11010" width="29.42578125" customWidth="1"/>
    <col min="11011" max="11011" width="12.85546875" customWidth="1"/>
    <col min="11014" max="11014" width="16.42578125" bestFit="1" customWidth="1"/>
    <col min="11265" max="11265" width="35.28515625" customWidth="1"/>
    <col min="11266" max="11266" width="29.42578125" customWidth="1"/>
    <col min="11267" max="11267" width="12.85546875" customWidth="1"/>
    <col min="11270" max="11270" width="16.42578125" bestFit="1" customWidth="1"/>
    <col min="11521" max="11521" width="35.28515625" customWidth="1"/>
    <col min="11522" max="11522" width="29.42578125" customWidth="1"/>
    <col min="11523" max="11523" width="12.85546875" customWidth="1"/>
    <col min="11526" max="11526" width="16.42578125" bestFit="1" customWidth="1"/>
    <col min="11777" max="11777" width="35.28515625" customWidth="1"/>
    <col min="11778" max="11778" width="29.42578125" customWidth="1"/>
    <col min="11779" max="11779" width="12.85546875" customWidth="1"/>
    <col min="11782" max="11782" width="16.42578125" bestFit="1" customWidth="1"/>
    <col min="12033" max="12033" width="35.28515625" customWidth="1"/>
    <col min="12034" max="12034" width="29.42578125" customWidth="1"/>
    <col min="12035" max="12035" width="12.85546875" customWidth="1"/>
    <col min="12038" max="12038" width="16.42578125" bestFit="1" customWidth="1"/>
    <col min="12289" max="12289" width="35.28515625" customWidth="1"/>
    <col min="12290" max="12290" width="29.42578125" customWidth="1"/>
    <col min="12291" max="12291" width="12.85546875" customWidth="1"/>
    <col min="12294" max="12294" width="16.42578125" bestFit="1" customWidth="1"/>
    <col min="12545" max="12545" width="35.28515625" customWidth="1"/>
    <col min="12546" max="12546" width="29.42578125" customWidth="1"/>
    <col min="12547" max="12547" width="12.85546875" customWidth="1"/>
    <col min="12550" max="12550" width="16.42578125" bestFit="1" customWidth="1"/>
    <col min="12801" max="12801" width="35.28515625" customWidth="1"/>
    <col min="12802" max="12802" width="29.42578125" customWidth="1"/>
    <col min="12803" max="12803" width="12.85546875" customWidth="1"/>
    <col min="12806" max="12806" width="16.42578125" bestFit="1" customWidth="1"/>
    <col min="13057" max="13057" width="35.28515625" customWidth="1"/>
    <col min="13058" max="13058" width="29.42578125" customWidth="1"/>
    <col min="13059" max="13059" width="12.85546875" customWidth="1"/>
    <col min="13062" max="13062" width="16.42578125" bestFit="1" customWidth="1"/>
    <col min="13313" max="13313" width="35.28515625" customWidth="1"/>
    <col min="13314" max="13314" width="29.42578125" customWidth="1"/>
    <col min="13315" max="13315" width="12.85546875" customWidth="1"/>
    <col min="13318" max="13318" width="16.42578125" bestFit="1" customWidth="1"/>
    <col min="13569" max="13569" width="35.28515625" customWidth="1"/>
    <col min="13570" max="13570" width="29.42578125" customWidth="1"/>
    <col min="13571" max="13571" width="12.85546875" customWidth="1"/>
    <col min="13574" max="13574" width="16.42578125" bestFit="1" customWidth="1"/>
    <col min="13825" max="13825" width="35.28515625" customWidth="1"/>
    <col min="13826" max="13826" width="29.42578125" customWidth="1"/>
    <col min="13827" max="13827" width="12.85546875" customWidth="1"/>
    <col min="13830" max="13830" width="16.42578125" bestFit="1" customWidth="1"/>
    <col min="14081" max="14081" width="35.28515625" customWidth="1"/>
    <col min="14082" max="14082" width="29.42578125" customWidth="1"/>
    <col min="14083" max="14083" width="12.85546875" customWidth="1"/>
    <col min="14086" max="14086" width="16.42578125" bestFit="1" customWidth="1"/>
    <col min="14337" max="14337" width="35.28515625" customWidth="1"/>
    <col min="14338" max="14338" width="29.42578125" customWidth="1"/>
    <col min="14339" max="14339" width="12.85546875" customWidth="1"/>
    <col min="14342" max="14342" width="16.42578125" bestFit="1" customWidth="1"/>
    <col min="14593" max="14593" width="35.28515625" customWidth="1"/>
    <col min="14594" max="14594" width="29.42578125" customWidth="1"/>
    <col min="14595" max="14595" width="12.85546875" customWidth="1"/>
    <col min="14598" max="14598" width="16.42578125" bestFit="1" customWidth="1"/>
    <col min="14849" max="14849" width="35.28515625" customWidth="1"/>
    <col min="14850" max="14850" width="29.42578125" customWidth="1"/>
    <col min="14851" max="14851" width="12.85546875" customWidth="1"/>
    <col min="14854" max="14854" width="16.42578125" bestFit="1" customWidth="1"/>
    <col min="15105" max="15105" width="35.28515625" customWidth="1"/>
    <col min="15106" max="15106" width="29.42578125" customWidth="1"/>
    <col min="15107" max="15107" width="12.85546875" customWidth="1"/>
    <col min="15110" max="15110" width="16.42578125" bestFit="1" customWidth="1"/>
    <col min="15361" max="15361" width="35.28515625" customWidth="1"/>
    <col min="15362" max="15362" width="29.42578125" customWidth="1"/>
    <col min="15363" max="15363" width="12.85546875" customWidth="1"/>
    <col min="15366" max="15366" width="16.42578125" bestFit="1" customWidth="1"/>
    <col min="15617" max="15617" width="35.28515625" customWidth="1"/>
    <col min="15618" max="15618" width="29.42578125" customWidth="1"/>
    <col min="15619" max="15619" width="12.85546875" customWidth="1"/>
    <col min="15622" max="15622" width="16.42578125" bestFit="1" customWidth="1"/>
    <col min="15873" max="15873" width="35.28515625" customWidth="1"/>
    <col min="15874" max="15874" width="29.42578125" customWidth="1"/>
    <col min="15875" max="15875" width="12.85546875" customWidth="1"/>
    <col min="15878" max="15878" width="16.42578125" bestFit="1" customWidth="1"/>
    <col min="16129" max="16129" width="35.28515625" customWidth="1"/>
    <col min="16130" max="16130" width="29.42578125" customWidth="1"/>
    <col min="16131" max="16131" width="12.85546875" customWidth="1"/>
    <col min="16134" max="16134" width="16.42578125" bestFit="1" customWidth="1"/>
  </cols>
  <sheetData>
    <row r="2" spans="1:14" ht="18.75">
      <c r="B2" s="160" t="s">
        <v>1112</v>
      </c>
      <c r="C2" s="160"/>
      <c r="D2" s="160"/>
      <c r="E2" s="160"/>
      <c r="F2" s="160"/>
      <c r="G2" s="154"/>
    </row>
    <row r="3" spans="1:14" ht="18.75">
      <c r="B3" s="160"/>
      <c r="C3" s="160"/>
      <c r="D3" s="160"/>
      <c r="E3" s="160"/>
      <c r="F3" s="160"/>
      <c r="G3" s="154"/>
    </row>
    <row r="4" spans="1:14" ht="15.75">
      <c r="A4" s="3076" t="s">
        <v>2824</v>
      </c>
      <c r="B4"/>
      <c r="C4" s="375"/>
      <c r="D4" s="375"/>
      <c r="E4" s="375"/>
      <c r="F4" s="375"/>
      <c r="G4" s="375"/>
      <c r="H4" s="375"/>
      <c r="I4" s="3086"/>
      <c r="J4" s="3086"/>
      <c r="K4" s="3087"/>
      <c r="L4" s="3087"/>
      <c r="M4" s="3087"/>
      <c r="N4" s="3087"/>
    </row>
    <row r="5" spans="1:14" ht="15.75">
      <c r="A5" s="3088"/>
      <c r="B5" s="3088"/>
      <c r="C5" s="3086"/>
      <c r="D5" s="3086"/>
      <c r="E5" s="3086"/>
      <c r="F5" s="3086"/>
      <c r="G5" s="3086"/>
      <c r="H5" s="3086"/>
      <c r="I5" s="3086"/>
      <c r="J5" s="3086"/>
      <c r="K5" s="3087"/>
      <c r="L5" s="3087"/>
      <c r="M5" s="3087"/>
      <c r="N5" s="3087"/>
    </row>
    <row r="6" spans="1:14" ht="15.75" customHeight="1">
      <c r="A6" s="5063" t="s">
        <v>2546</v>
      </c>
      <c r="B6" s="5063"/>
      <c r="C6" s="5063"/>
      <c r="D6" s="5063"/>
      <c r="E6" s="5063"/>
      <c r="F6" s="5063"/>
      <c r="G6" s="5063"/>
      <c r="H6" s="5063"/>
      <c r="I6" s="5063"/>
      <c r="J6" s="5063"/>
      <c r="K6" s="5063"/>
      <c r="L6" s="3089"/>
      <c r="M6" s="3089"/>
      <c r="N6" s="3087"/>
    </row>
    <row r="7" spans="1:14" ht="15.75">
      <c r="A7" s="5063"/>
      <c r="B7" s="5063"/>
      <c r="C7" s="5063"/>
      <c r="D7" s="5063"/>
      <c r="E7" s="5063"/>
      <c r="F7" s="5063"/>
      <c r="G7" s="5063"/>
      <c r="H7" s="5063"/>
      <c r="I7" s="5063"/>
      <c r="J7" s="5063"/>
      <c r="K7" s="5063"/>
      <c r="L7" s="3089"/>
      <c r="M7" s="3089"/>
      <c r="N7" s="3087"/>
    </row>
    <row r="8" spans="1:14" ht="15.75">
      <c r="A8" s="3089"/>
      <c r="B8" s="3089"/>
      <c r="C8" s="3089"/>
      <c r="D8" s="3089"/>
      <c r="E8" s="3089"/>
      <c r="F8" s="3089"/>
      <c r="G8" s="3089"/>
      <c r="H8" s="3089"/>
      <c r="I8" s="3089"/>
      <c r="J8" s="3089"/>
      <c r="K8" s="3089"/>
      <c r="L8" s="3089"/>
      <c r="M8" s="34"/>
      <c r="N8" s="3087"/>
    </row>
    <row r="9" spans="1:14" ht="15.75">
      <c r="A9" s="3090" t="s">
        <v>2825</v>
      </c>
      <c r="B9" s="3091"/>
      <c r="C9" s="3091"/>
      <c r="D9" s="3091"/>
      <c r="E9" s="3091"/>
      <c r="F9" s="3091"/>
      <c r="G9" s="3091"/>
      <c r="H9" s="3091"/>
      <c r="I9" s="3091"/>
      <c r="J9" s="3091"/>
      <c r="K9" s="3091"/>
      <c r="L9" s="3091"/>
      <c r="M9" s="3091"/>
      <c r="N9" s="3087"/>
    </row>
    <row r="10" spans="1:14" ht="15.75">
      <c r="A10" s="3091"/>
      <c r="B10" s="3091"/>
      <c r="C10" s="3091"/>
      <c r="D10" s="3091"/>
      <c r="E10" s="3091"/>
      <c r="F10" s="3091"/>
      <c r="G10" s="3091"/>
      <c r="H10" s="3091"/>
      <c r="I10" s="3091"/>
      <c r="J10" s="3091"/>
      <c r="K10" s="3091"/>
      <c r="L10" s="3091"/>
      <c r="M10" s="3087"/>
      <c r="N10" s="3087"/>
    </row>
    <row r="11" spans="1:14" ht="15.75">
      <c r="A11" s="3090" t="s">
        <v>2549</v>
      </c>
      <c r="B11" s="3091"/>
      <c r="C11" s="3091"/>
      <c r="D11" s="3091"/>
      <c r="E11" s="3091"/>
      <c r="F11" s="3091"/>
      <c r="G11" s="3091"/>
      <c r="H11" s="3091"/>
      <c r="I11" s="3091"/>
      <c r="J11" s="3091"/>
      <c r="K11" s="3091"/>
      <c r="L11" s="3091"/>
      <c r="M11" s="3087"/>
      <c r="N11" s="3087"/>
    </row>
    <row r="12" spans="1:14" ht="15.75">
      <c r="A12" s="3088"/>
      <c r="B12" s="3088"/>
      <c r="C12" s="3086"/>
      <c r="D12" s="3086"/>
      <c r="E12" s="5087" t="s">
        <v>2550</v>
      </c>
      <c r="F12" s="5087"/>
      <c r="G12" s="5084" t="s">
        <v>1556</v>
      </c>
      <c r="H12" s="5084"/>
      <c r="I12" s="5084"/>
      <c r="J12" s="5084"/>
      <c r="K12" s="5084"/>
      <c r="L12" s="3087"/>
      <c r="M12" s="3087"/>
      <c r="N12" s="3087"/>
    </row>
    <row r="13" spans="1:14">
      <c r="A13" s="3954" t="s">
        <v>2184</v>
      </c>
      <c r="B13" s="3954" t="s">
        <v>2179</v>
      </c>
      <c r="C13" s="3954" t="s">
        <v>2185</v>
      </c>
      <c r="D13" s="3954" t="s">
        <v>2534</v>
      </c>
      <c r="E13" s="3986" t="s">
        <v>1091</v>
      </c>
      <c r="F13" s="3955" t="s">
        <v>1092</v>
      </c>
      <c r="G13" s="3956" t="s">
        <v>1557</v>
      </c>
      <c r="H13" s="3956" t="s">
        <v>1558</v>
      </c>
      <c r="I13" s="3957" t="s">
        <v>2551</v>
      </c>
      <c r="J13" s="3956" t="s">
        <v>1560</v>
      </c>
      <c r="K13" s="3958" t="s">
        <v>15</v>
      </c>
      <c r="L13" s="3092"/>
      <c r="M13" s="3092"/>
      <c r="N13" s="3092"/>
    </row>
    <row r="14" spans="1:14">
      <c r="A14" s="3959" t="s">
        <v>3</v>
      </c>
      <c r="B14" s="3959">
        <v>2545</v>
      </c>
      <c r="C14" s="3960">
        <v>1239</v>
      </c>
      <c r="D14" s="3961">
        <f>C14*100/B14</f>
        <v>48.683693516699414</v>
      </c>
      <c r="E14" s="3962">
        <v>0.80145278450363189</v>
      </c>
      <c r="F14" s="3962">
        <v>0.19854721549636803</v>
      </c>
      <c r="G14" s="3962">
        <v>4.1540020263424522E-2</v>
      </c>
      <c r="H14" s="3963">
        <v>4.0526849037487336E-2</v>
      </c>
      <c r="I14" s="3963">
        <v>0.13272543059777103</v>
      </c>
      <c r="J14" s="3964">
        <v>0.1773049645390071</v>
      </c>
      <c r="K14" s="3964">
        <v>0.60790273556231</v>
      </c>
      <c r="L14" s="3098"/>
      <c r="M14" s="3098"/>
      <c r="N14" s="3098"/>
    </row>
    <row r="15" spans="1:14">
      <c r="A15" s="3959" t="s">
        <v>25</v>
      </c>
      <c r="B15" s="3959">
        <v>6728</v>
      </c>
      <c r="C15" s="3960">
        <v>3228</v>
      </c>
      <c r="D15" s="3961">
        <f t="shared" ref="D15:D18" si="0">C15*100/B15</f>
        <v>47.978596908442327</v>
      </c>
      <c r="E15" s="3962">
        <v>0.75512075817792723</v>
      </c>
      <c r="F15" s="3962">
        <v>0.24487924182207277</v>
      </c>
      <c r="G15" s="3962">
        <v>2.9268292682926828E-2</v>
      </c>
      <c r="H15" s="3963">
        <v>4.2682926829268296E-2</v>
      </c>
      <c r="I15" s="3963">
        <v>0.10365853658536585</v>
      </c>
      <c r="J15" s="3965">
        <v>0.17195121951219514</v>
      </c>
      <c r="K15" s="3965">
        <v>0.65243902439024393</v>
      </c>
      <c r="L15" s="3100"/>
      <c r="M15" s="3101"/>
      <c r="N15" s="3101"/>
    </row>
    <row r="16" spans="1:14">
      <c r="A16" s="3959" t="s">
        <v>48</v>
      </c>
      <c r="B16" s="3959">
        <v>4210</v>
      </c>
      <c r="C16" s="3960">
        <v>2042</v>
      </c>
      <c r="D16" s="3961">
        <f t="shared" si="0"/>
        <v>48.503562945368174</v>
      </c>
      <c r="E16" s="3962">
        <v>0.82479919678714864</v>
      </c>
      <c r="F16" s="3962">
        <v>0.17520080321285139</v>
      </c>
      <c r="G16" s="3962">
        <v>2.3809523809523808E-2</v>
      </c>
      <c r="H16" s="3963">
        <v>3.724053724053724E-2</v>
      </c>
      <c r="I16" s="3963">
        <v>0.10622710622710622</v>
      </c>
      <c r="J16" s="3965">
        <v>0.18437118437118435</v>
      </c>
      <c r="K16" s="3965">
        <v>0.64835164835164827</v>
      </c>
      <c r="L16" s="3100"/>
      <c r="M16" s="3101"/>
      <c r="N16" s="3101"/>
    </row>
    <row r="17" spans="1:14">
      <c r="A17" s="3959" t="s">
        <v>59</v>
      </c>
      <c r="B17" s="3959">
        <v>180</v>
      </c>
      <c r="C17" s="3960">
        <v>62</v>
      </c>
      <c r="D17" s="3961">
        <f t="shared" si="0"/>
        <v>34.444444444444443</v>
      </c>
      <c r="E17" s="3962">
        <v>0.72131147540983609</v>
      </c>
      <c r="F17" s="3962">
        <v>0.27868852459016397</v>
      </c>
      <c r="G17" s="3962">
        <v>6.9767441860465115E-2</v>
      </c>
      <c r="H17" s="3963">
        <v>4.6511627906976744E-2</v>
      </c>
      <c r="I17" s="3963">
        <v>0.23255813953488372</v>
      </c>
      <c r="J17" s="3965">
        <v>0.32558139534883723</v>
      </c>
      <c r="K17" s="3965">
        <v>0.32558139534883723</v>
      </c>
      <c r="L17" s="3100"/>
      <c r="M17" s="3101"/>
      <c r="N17" s="3101"/>
    </row>
    <row r="18" spans="1:14">
      <c r="A18" s="3954" t="s">
        <v>15</v>
      </c>
      <c r="B18" s="3954">
        <v>13663</v>
      </c>
      <c r="C18" s="3966">
        <f>SUM(C14:C17)</f>
        <v>6571</v>
      </c>
      <c r="D18" s="3967">
        <f t="shared" si="0"/>
        <v>48.093390909756273</v>
      </c>
      <c r="E18" s="3987">
        <v>0.78470211793387168</v>
      </c>
      <c r="F18" s="3968">
        <v>0.21529788206612829</v>
      </c>
      <c r="G18" s="3968">
        <v>3.0226209048361933E-2</v>
      </c>
      <c r="H18" s="3969">
        <v>4.056162246489859E-2</v>
      </c>
      <c r="I18" s="3969">
        <v>0.1111544461778471</v>
      </c>
      <c r="J18" s="3970">
        <v>0.17823712948517939</v>
      </c>
      <c r="K18" s="3970">
        <v>0.63982059282371295</v>
      </c>
      <c r="L18" s="3100"/>
      <c r="M18" s="3101"/>
      <c r="N18" s="3101"/>
    </row>
    <row r="19" spans="1:14" ht="15.75">
      <c r="A19" s="3088"/>
      <c r="B19" s="3088"/>
      <c r="C19" s="3086"/>
      <c r="D19" s="3086"/>
      <c r="E19" s="3086"/>
      <c r="F19" s="3086"/>
      <c r="G19" s="3086"/>
      <c r="H19" s="3086"/>
      <c r="I19" s="3086"/>
      <c r="J19" s="3086"/>
      <c r="K19" s="3102"/>
      <c r="L19" s="3103"/>
      <c r="M19" s="3100"/>
      <c r="N19" s="3101"/>
    </row>
    <row r="20" spans="1:14" ht="15.75">
      <c r="A20" s="3104"/>
      <c r="B20" s="3088"/>
      <c r="C20" s="3086"/>
      <c r="D20" s="3086"/>
      <c r="E20" s="3086"/>
      <c r="F20" s="3086"/>
      <c r="G20" s="3086"/>
      <c r="H20" s="3086"/>
      <c r="I20" s="3086"/>
      <c r="J20" s="3086"/>
      <c r="K20" s="3087"/>
      <c r="L20" s="3087"/>
      <c r="M20" s="3087"/>
      <c r="N20" s="3087"/>
    </row>
    <row r="21" spans="1:14">
      <c r="A21" s="3909"/>
      <c r="B21" s="3971"/>
      <c r="C21" s="3909"/>
      <c r="D21" s="3909"/>
      <c r="E21" s="3909"/>
      <c r="F21" s="3909"/>
      <c r="G21" s="3909"/>
      <c r="H21" s="3972" t="s">
        <v>2550</v>
      </c>
      <c r="I21" s="3972"/>
      <c r="J21" s="3972" t="s">
        <v>1556</v>
      </c>
      <c r="K21" s="3972"/>
      <c r="L21" s="3972"/>
      <c r="M21" s="3972"/>
      <c r="N21" s="3972"/>
    </row>
    <row r="22" spans="1:14">
      <c r="A22" s="3920" t="s">
        <v>0</v>
      </c>
      <c r="B22" s="3939" t="s">
        <v>1</v>
      </c>
      <c r="C22" s="3972" t="s">
        <v>2552</v>
      </c>
      <c r="D22" s="3920" t="s">
        <v>1057</v>
      </c>
      <c r="E22" s="3931" t="s">
        <v>2826</v>
      </c>
      <c r="F22" s="3931" t="s">
        <v>2185</v>
      </c>
      <c r="G22" s="3939" t="s">
        <v>2534</v>
      </c>
      <c r="H22" s="3931" t="s">
        <v>1091</v>
      </c>
      <c r="I22" s="3931" t="s">
        <v>1092</v>
      </c>
      <c r="J22" s="3922" t="s">
        <v>1557</v>
      </c>
      <c r="K22" s="3922" t="s">
        <v>1558</v>
      </c>
      <c r="L22" s="3923" t="s">
        <v>2551</v>
      </c>
      <c r="M22" s="3922" t="s">
        <v>1560</v>
      </c>
      <c r="N22" s="3973" t="s">
        <v>15</v>
      </c>
    </row>
    <row r="23" spans="1:14">
      <c r="A23" s="5085" t="s">
        <v>3</v>
      </c>
      <c r="B23" s="5086"/>
      <c r="C23" s="3974" t="s">
        <v>278</v>
      </c>
      <c r="D23" s="5085" t="s">
        <v>252</v>
      </c>
      <c r="E23" s="3975">
        <v>97</v>
      </c>
      <c r="F23" s="3975">
        <v>35</v>
      </c>
      <c r="G23" s="3976">
        <f>F23*100/E23</f>
        <v>36.082474226804123</v>
      </c>
      <c r="H23" s="3977">
        <v>0.8</v>
      </c>
      <c r="I23" s="3977">
        <v>0.2</v>
      </c>
      <c r="J23" s="3978">
        <v>0</v>
      </c>
      <c r="K23" s="3977">
        <v>7.407407407407407E-2</v>
      </c>
      <c r="L23" s="3977">
        <v>3.7037037037037035E-2</v>
      </c>
      <c r="M23" s="3977">
        <v>3.7037037037037035E-2</v>
      </c>
      <c r="N23" s="3977">
        <v>0.85185185185185186</v>
      </c>
    </row>
    <row r="24" spans="1:14">
      <c r="A24" s="5085"/>
      <c r="B24" s="5086"/>
      <c r="C24" s="3974" t="s">
        <v>2553</v>
      </c>
      <c r="D24" s="5085"/>
      <c r="E24" s="3975">
        <v>284</v>
      </c>
      <c r="F24" s="3975">
        <v>197</v>
      </c>
      <c r="G24" s="3976">
        <f t="shared" ref="G24:G87" si="1">F24*100/E24</f>
        <v>69.366197183098592</v>
      </c>
      <c r="H24" s="3977">
        <v>0.77419354838709675</v>
      </c>
      <c r="I24" s="3977">
        <v>0.22580645161290325</v>
      </c>
      <c r="J24" s="3977">
        <v>7.4999999999999997E-2</v>
      </c>
      <c r="K24" s="3977">
        <v>6.6666666666666666E-2</v>
      </c>
      <c r="L24" s="3977">
        <v>0.15833333333333333</v>
      </c>
      <c r="M24" s="3977">
        <v>0.20833333333333331</v>
      </c>
      <c r="N24" s="3977">
        <v>0.49166666666666664</v>
      </c>
    </row>
    <row r="25" spans="1:14">
      <c r="A25" s="5085"/>
      <c r="B25" s="5086"/>
      <c r="C25" s="3974" t="s">
        <v>2827</v>
      </c>
      <c r="D25" s="5085"/>
      <c r="E25" s="3975">
        <v>108</v>
      </c>
      <c r="F25" s="3975">
        <v>64</v>
      </c>
      <c r="G25" s="3976">
        <f t="shared" si="1"/>
        <v>59.25925925925926</v>
      </c>
      <c r="H25" s="3977">
        <v>0.9375</v>
      </c>
      <c r="I25" s="3977">
        <v>6.25E-2</v>
      </c>
      <c r="J25" s="3977">
        <v>1.6949152542372881E-2</v>
      </c>
      <c r="K25" s="3978">
        <v>0</v>
      </c>
      <c r="L25" s="3977">
        <v>3.3898305084745763E-2</v>
      </c>
      <c r="M25" s="3977">
        <v>8.4745762711864417E-2</v>
      </c>
      <c r="N25" s="3977">
        <v>0.86440677966101687</v>
      </c>
    </row>
    <row r="26" spans="1:14">
      <c r="A26" s="5085"/>
      <c r="B26" s="5086"/>
      <c r="C26" s="3974" t="s">
        <v>708</v>
      </c>
      <c r="D26" s="5085"/>
      <c r="E26" s="3975">
        <v>40</v>
      </c>
      <c r="F26" s="3975">
        <v>33</v>
      </c>
      <c r="G26" s="3976">
        <f t="shared" si="1"/>
        <v>82.5</v>
      </c>
      <c r="H26" s="3977">
        <v>0.5757575757575758</v>
      </c>
      <c r="I26" s="3977">
        <v>0.4242424242424242</v>
      </c>
      <c r="J26" s="3977">
        <v>0.15</v>
      </c>
      <c r="K26" s="3977">
        <v>0.15</v>
      </c>
      <c r="L26" s="3977">
        <v>0.3</v>
      </c>
      <c r="M26" s="3977">
        <v>0.05</v>
      </c>
      <c r="N26" s="3977">
        <v>0.35</v>
      </c>
    </row>
    <row r="27" spans="1:14">
      <c r="A27" s="5085"/>
      <c r="B27" s="5086"/>
      <c r="C27" s="3974" t="s">
        <v>707</v>
      </c>
      <c r="D27" s="5085"/>
      <c r="E27" s="3975">
        <v>14</v>
      </c>
      <c r="F27" s="3975">
        <v>4</v>
      </c>
      <c r="G27" s="3976">
        <f t="shared" si="1"/>
        <v>28.571428571428573</v>
      </c>
      <c r="H27" s="3977">
        <v>0.75</v>
      </c>
      <c r="I27" s="3977">
        <v>0.25</v>
      </c>
      <c r="J27" s="3978">
        <v>0</v>
      </c>
      <c r="K27" s="3977">
        <v>0.33333333333333337</v>
      </c>
      <c r="L27" s="3978">
        <v>0</v>
      </c>
      <c r="M27" s="3978">
        <v>0</v>
      </c>
      <c r="N27" s="3977">
        <v>0.66666666666666674</v>
      </c>
    </row>
    <row r="28" spans="1:14">
      <c r="A28" s="5085"/>
      <c r="B28" s="5086"/>
      <c r="C28" s="3974" t="s">
        <v>2713</v>
      </c>
      <c r="D28" s="5085"/>
      <c r="E28" s="3975">
        <v>52</v>
      </c>
      <c r="F28" s="3975">
        <v>0</v>
      </c>
      <c r="G28" s="3976">
        <f t="shared" si="1"/>
        <v>0</v>
      </c>
      <c r="H28" s="3975" t="s">
        <v>656</v>
      </c>
      <c r="I28" s="3975" t="s">
        <v>656</v>
      </c>
      <c r="J28" s="3979" t="s">
        <v>656</v>
      </c>
      <c r="K28" s="3925" t="s">
        <v>656</v>
      </c>
      <c r="L28" s="3925" t="s">
        <v>656</v>
      </c>
      <c r="M28" s="3925" t="s">
        <v>656</v>
      </c>
      <c r="N28" s="3925"/>
    </row>
    <row r="29" spans="1:14">
      <c r="A29" s="5085"/>
      <c r="B29" s="5086"/>
      <c r="C29" s="3974" t="s">
        <v>2553</v>
      </c>
      <c r="D29" s="5085" t="s">
        <v>253</v>
      </c>
      <c r="E29" s="3975">
        <v>77</v>
      </c>
      <c r="F29" s="3975">
        <v>25</v>
      </c>
      <c r="G29" s="3976">
        <f t="shared" si="1"/>
        <v>32.467532467532465</v>
      </c>
      <c r="H29" s="3977">
        <v>0.8</v>
      </c>
      <c r="I29" s="3977">
        <v>0.2</v>
      </c>
      <c r="J29" s="3977">
        <v>0.05</v>
      </c>
      <c r="K29" s="3978">
        <v>0</v>
      </c>
      <c r="L29" s="3977">
        <v>0.15</v>
      </c>
      <c r="M29" s="3977">
        <v>0.05</v>
      </c>
      <c r="N29" s="3977">
        <v>0.75</v>
      </c>
    </row>
    <row r="30" spans="1:14">
      <c r="A30" s="5085"/>
      <c r="B30" s="5086"/>
      <c r="C30" s="3974" t="s">
        <v>2827</v>
      </c>
      <c r="D30" s="5085"/>
      <c r="E30" s="3975">
        <v>9</v>
      </c>
      <c r="F30" s="3975">
        <v>8</v>
      </c>
      <c r="G30" s="3976">
        <f t="shared" si="1"/>
        <v>88.888888888888886</v>
      </c>
      <c r="H30" s="3977">
        <v>1</v>
      </c>
      <c r="I30" s="3978">
        <v>0</v>
      </c>
      <c r="J30" s="3978">
        <v>0</v>
      </c>
      <c r="K30" s="3978">
        <v>0</v>
      </c>
      <c r="L30" s="3977">
        <v>0.125</v>
      </c>
      <c r="M30" s="3977">
        <v>0.25</v>
      </c>
      <c r="N30" s="3977">
        <v>0.625</v>
      </c>
    </row>
    <row r="31" spans="1:14">
      <c r="A31" s="5085"/>
      <c r="B31" s="5086"/>
      <c r="C31" s="3974" t="s">
        <v>708</v>
      </c>
      <c r="D31" s="5085"/>
      <c r="E31" s="3975">
        <v>2</v>
      </c>
      <c r="F31" s="3975">
        <v>0</v>
      </c>
      <c r="G31" s="3976">
        <f t="shared" si="1"/>
        <v>0</v>
      </c>
      <c r="H31" s="3975" t="s">
        <v>656</v>
      </c>
      <c r="I31" s="3975" t="s">
        <v>656</v>
      </c>
      <c r="J31" s="3979" t="s">
        <v>656</v>
      </c>
      <c r="K31" s="3925" t="s">
        <v>656</v>
      </c>
      <c r="L31" s="3925" t="s">
        <v>656</v>
      </c>
      <c r="M31" s="3925" t="s">
        <v>656</v>
      </c>
      <c r="N31" s="3925" t="s">
        <v>656</v>
      </c>
    </row>
    <row r="32" spans="1:14">
      <c r="A32" s="5085"/>
      <c r="B32" s="5086"/>
      <c r="C32" s="3974" t="s">
        <v>707</v>
      </c>
      <c r="D32" s="5085"/>
      <c r="E32" s="3975">
        <v>3</v>
      </c>
      <c r="F32" s="3975">
        <v>0</v>
      </c>
      <c r="G32" s="3976">
        <f t="shared" si="1"/>
        <v>0</v>
      </c>
      <c r="H32" s="3975" t="s">
        <v>656</v>
      </c>
      <c r="I32" s="3975" t="s">
        <v>656</v>
      </c>
      <c r="J32" s="3979" t="s">
        <v>656</v>
      </c>
      <c r="K32" s="3925" t="s">
        <v>656</v>
      </c>
      <c r="L32" s="3925" t="s">
        <v>656</v>
      </c>
      <c r="M32" s="3925" t="s">
        <v>656</v>
      </c>
      <c r="N32" s="3925" t="s">
        <v>656</v>
      </c>
    </row>
    <row r="33" spans="1:14">
      <c r="A33" s="5085"/>
      <c r="B33" s="5086"/>
      <c r="C33" s="3974" t="s">
        <v>2713</v>
      </c>
      <c r="D33" s="5085"/>
      <c r="E33" s="3975">
        <v>7</v>
      </c>
      <c r="F33" s="3975">
        <v>0</v>
      </c>
      <c r="G33" s="3976">
        <f t="shared" si="1"/>
        <v>0</v>
      </c>
      <c r="H33" s="3975" t="s">
        <v>656</v>
      </c>
      <c r="I33" s="3975" t="s">
        <v>656</v>
      </c>
      <c r="J33" s="3979" t="s">
        <v>656</v>
      </c>
      <c r="K33" s="3925" t="s">
        <v>656</v>
      </c>
      <c r="L33" s="3925" t="s">
        <v>656</v>
      </c>
      <c r="M33" s="3925" t="s">
        <v>656</v>
      </c>
      <c r="N33" s="3925" t="s">
        <v>656</v>
      </c>
    </row>
    <row r="34" spans="1:14" ht="15" customHeight="1">
      <c r="A34" s="5085"/>
      <c r="B34" s="5086" t="s">
        <v>2536</v>
      </c>
      <c r="C34" s="3974" t="s">
        <v>2383</v>
      </c>
      <c r="D34" s="5085" t="s">
        <v>270</v>
      </c>
      <c r="E34" s="3975">
        <v>325</v>
      </c>
      <c r="F34" s="3975">
        <v>214</v>
      </c>
      <c r="G34" s="3976">
        <f t="shared" si="1"/>
        <v>65.84615384615384</v>
      </c>
      <c r="H34" s="3977">
        <v>0.84112149532710279</v>
      </c>
      <c r="I34" s="3977">
        <v>0.15887850467289721</v>
      </c>
      <c r="J34" s="3977">
        <v>6.0773480662983423E-2</v>
      </c>
      <c r="K34" s="3977">
        <v>1.1049723756906079E-2</v>
      </c>
      <c r="L34" s="3977">
        <v>0.143646408839779</v>
      </c>
      <c r="M34" s="3977">
        <v>0.21546961325966851</v>
      </c>
      <c r="N34" s="3977">
        <v>0.56906077348066297</v>
      </c>
    </row>
    <row r="35" spans="1:14">
      <c r="A35" s="5085"/>
      <c r="B35" s="5086"/>
      <c r="C35" s="3974" t="s">
        <v>347</v>
      </c>
      <c r="D35" s="5085"/>
      <c r="E35" s="3975">
        <v>76</v>
      </c>
      <c r="F35" s="3975">
        <v>52</v>
      </c>
      <c r="G35" s="3976">
        <f t="shared" si="1"/>
        <v>68.421052631578945</v>
      </c>
      <c r="H35" s="3977">
        <v>0.86538461538461531</v>
      </c>
      <c r="I35" s="3977">
        <v>0.13461538461538461</v>
      </c>
      <c r="J35" s="3977">
        <v>2.2222222222222223E-2</v>
      </c>
      <c r="K35" s="3977">
        <v>6.6666666666666666E-2</v>
      </c>
      <c r="L35" s="3977">
        <v>6.6666666666666666E-2</v>
      </c>
      <c r="M35" s="3977">
        <v>0.22222222222222221</v>
      </c>
      <c r="N35" s="3977">
        <v>0.62222222222222223</v>
      </c>
    </row>
    <row r="36" spans="1:14">
      <c r="A36" s="5085"/>
      <c r="B36" s="5086"/>
      <c r="C36" s="3974" t="s">
        <v>120</v>
      </c>
      <c r="D36" s="5085"/>
      <c r="E36" s="3975">
        <v>1</v>
      </c>
      <c r="F36" s="3975">
        <v>0</v>
      </c>
      <c r="G36" s="3976">
        <f t="shared" si="1"/>
        <v>0</v>
      </c>
      <c r="H36" s="3975" t="s">
        <v>656</v>
      </c>
      <c r="I36" s="3975" t="s">
        <v>656</v>
      </c>
      <c r="J36" s="3979" t="s">
        <v>656</v>
      </c>
      <c r="K36" s="3925" t="s">
        <v>656</v>
      </c>
      <c r="L36" s="3925" t="s">
        <v>656</v>
      </c>
      <c r="M36" s="3925" t="s">
        <v>656</v>
      </c>
      <c r="N36" s="3925" t="s">
        <v>656</v>
      </c>
    </row>
    <row r="37" spans="1:14">
      <c r="A37" s="5085"/>
      <c r="B37" s="5086"/>
      <c r="C37" s="3974" t="s">
        <v>283</v>
      </c>
      <c r="D37" s="5085" t="s">
        <v>252</v>
      </c>
      <c r="E37" s="3975">
        <v>177</v>
      </c>
      <c r="F37" s="3975">
        <v>88</v>
      </c>
      <c r="G37" s="3976">
        <f t="shared" si="1"/>
        <v>49.717514124293785</v>
      </c>
      <c r="H37" s="3977">
        <v>0.84090909090909094</v>
      </c>
      <c r="I37" s="3977">
        <v>0.15909090909090909</v>
      </c>
      <c r="J37" s="3977">
        <v>2.6666666666666665E-2</v>
      </c>
      <c r="K37" s="3977">
        <v>0.04</v>
      </c>
      <c r="L37" s="3977">
        <v>0.21333333333333332</v>
      </c>
      <c r="M37" s="3977">
        <v>0.12</v>
      </c>
      <c r="N37" s="3977">
        <v>0.6</v>
      </c>
    </row>
    <row r="38" spans="1:14">
      <c r="A38" s="5085"/>
      <c r="B38" s="5086"/>
      <c r="C38" s="3974" t="s">
        <v>282</v>
      </c>
      <c r="D38" s="5085"/>
      <c r="E38" s="3975">
        <v>156</v>
      </c>
      <c r="F38" s="3975">
        <v>100</v>
      </c>
      <c r="G38" s="3976">
        <f t="shared" si="1"/>
        <v>64.102564102564102</v>
      </c>
      <c r="H38" s="3977">
        <v>0.79</v>
      </c>
      <c r="I38" s="3977">
        <v>0.21</v>
      </c>
      <c r="J38" s="3977">
        <v>3.8461538461538464E-2</v>
      </c>
      <c r="K38" s="3977">
        <v>3.8461538461538464E-2</v>
      </c>
      <c r="L38" s="3977">
        <v>0.19230769230769229</v>
      </c>
      <c r="M38" s="3977">
        <v>0.30769230769230771</v>
      </c>
      <c r="N38" s="3977">
        <v>0.42307692307692307</v>
      </c>
    </row>
    <row r="39" spans="1:14">
      <c r="A39" s="5085"/>
      <c r="B39" s="5086"/>
      <c r="C39" s="3974" t="s">
        <v>495</v>
      </c>
      <c r="D39" s="5085"/>
      <c r="E39" s="3975">
        <v>59</v>
      </c>
      <c r="F39" s="3975">
        <v>34</v>
      </c>
      <c r="G39" s="3976">
        <f t="shared" si="1"/>
        <v>57.627118644067799</v>
      </c>
      <c r="H39" s="3977">
        <v>0.73529411764705888</v>
      </c>
      <c r="I39" s="3977">
        <v>0.26470588235294118</v>
      </c>
      <c r="J39" s="3978">
        <v>0</v>
      </c>
      <c r="K39" s="3977">
        <v>4.1666666666666671E-2</v>
      </c>
      <c r="L39" s="3977">
        <v>0.16666666666666669</v>
      </c>
      <c r="M39" s="3977">
        <v>0.125</v>
      </c>
      <c r="N39" s="3977">
        <v>0.66666666666666674</v>
      </c>
    </row>
    <row r="40" spans="1:14">
      <c r="A40" s="5085"/>
      <c r="B40" s="5086"/>
      <c r="C40" s="3974" t="s">
        <v>2595</v>
      </c>
      <c r="D40" s="5085"/>
      <c r="E40" s="3975">
        <v>8</v>
      </c>
      <c r="F40" s="3975">
        <v>7</v>
      </c>
      <c r="G40" s="3976">
        <f t="shared" si="1"/>
        <v>87.5</v>
      </c>
      <c r="H40" s="3977">
        <v>0.42857142857142855</v>
      </c>
      <c r="I40" s="3977">
        <v>0.57142857142857151</v>
      </c>
      <c r="J40" s="3978">
        <v>0</v>
      </c>
      <c r="K40" s="3978">
        <v>0</v>
      </c>
      <c r="L40" s="3978">
        <v>0</v>
      </c>
      <c r="M40" s="3977">
        <v>0.33333333333333337</v>
      </c>
      <c r="N40" s="3977">
        <v>0.66666666666666674</v>
      </c>
    </row>
    <row r="41" spans="1:14">
      <c r="A41" s="5085"/>
      <c r="B41" s="5086"/>
      <c r="C41" s="3974" t="s">
        <v>2828</v>
      </c>
      <c r="D41" s="5085"/>
      <c r="E41" s="3975">
        <v>87</v>
      </c>
      <c r="F41" s="3975">
        <v>30</v>
      </c>
      <c r="G41" s="3976">
        <f t="shared" si="1"/>
        <v>34.482758620689658</v>
      </c>
      <c r="H41" s="3977">
        <v>0.73333333333333328</v>
      </c>
      <c r="I41" s="3977">
        <v>0.26666666666666666</v>
      </c>
      <c r="J41" s="3978">
        <v>0</v>
      </c>
      <c r="K41" s="3977">
        <v>4.5454545454545456E-2</v>
      </c>
      <c r="L41" s="3977">
        <v>9.0909090909090912E-2</v>
      </c>
      <c r="M41" s="3977">
        <v>0.40909090909090906</v>
      </c>
      <c r="N41" s="3977">
        <v>0.45454545454545453</v>
      </c>
    </row>
    <row r="42" spans="1:14">
      <c r="A42" s="5085"/>
      <c r="B42" s="5086"/>
      <c r="C42" s="3974" t="s">
        <v>120</v>
      </c>
      <c r="D42" s="5085"/>
      <c r="E42" s="3975">
        <v>27</v>
      </c>
      <c r="F42" s="3975">
        <v>20</v>
      </c>
      <c r="G42" s="3976">
        <f t="shared" si="1"/>
        <v>74.074074074074076</v>
      </c>
      <c r="H42" s="3977">
        <v>0.55000000000000004</v>
      </c>
      <c r="I42" s="3977">
        <v>0.45</v>
      </c>
      <c r="J42" s="3978">
        <v>0</v>
      </c>
      <c r="K42" s="3978">
        <v>0</v>
      </c>
      <c r="L42" s="3977">
        <v>0.1</v>
      </c>
      <c r="M42" s="3977">
        <v>0.4</v>
      </c>
      <c r="N42" s="3977">
        <v>0.5</v>
      </c>
    </row>
    <row r="43" spans="1:14">
      <c r="A43" s="5085"/>
      <c r="B43" s="5086"/>
      <c r="C43" s="3974" t="s">
        <v>1982</v>
      </c>
      <c r="D43" s="5085"/>
      <c r="E43" s="3975">
        <v>27</v>
      </c>
      <c r="F43" s="3975">
        <v>6</v>
      </c>
      <c r="G43" s="3976">
        <f t="shared" si="1"/>
        <v>22.222222222222221</v>
      </c>
      <c r="H43" s="3977">
        <v>0.83333333333333326</v>
      </c>
      <c r="I43" s="3977">
        <v>0.16666666666666669</v>
      </c>
      <c r="J43" s="3978">
        <v>0</v>
      </c>
      <c r="K43" s="3978">
        <v>0</v>
      </c>
      <c r="L43" s="3978">
        <v>0</v>
      </c>
      <c r="M43" s="3977">
        <v>0.2</v>
      </c>
      <c r="N43" s="3977">
        <v>0.8</v>
      </c>
    </row>
    <row r="44" spans="1:14">
      <c r="A44" s="5085"/>
      <c r="B44" s="5086"/>
      <c r="C44" s="3974" t="s">
        <v>2595</v>
      </c>
      <c r="D44" s="5085" t="s">
        <v>253</v>
      </c>
      <c r="E44" s="3975">
        <v>6</v>
      </c>
      <c r="F44" s="3975">
        <v>2</v>
      </c>
      <c r="G44" s="3976">
        <f t="shared" si="1"/>
        <v>33.333333333333336</v>
      </c>
      <c r="H44" s="3977">
        <v>1</v>
      </c>
      <c r="I44" s="3978">
        <v>0</v>
      </c>
      <c r="J44" s="3978">
        <v>0</v>
      </c>
      <c r="K44" s="3978">
        <v>0</v>
      </c>
      <c r="L44" s="3978">
        <v>0</v>
      </c>
      <c r="M44" s="3977">
        <v>0.5</v>
      </c>
      <c r="N44" s="3977">
        <v>0.5</v>
      </c>
    </row>
    <row r="45" spans="1:14">
      <c r="A45" s="5085"/>
      <c r="B45" s="5086"/>
      <c r="C45" s="3974" t="s">
        <v>2828</v>
      </c>
      <c r="D45" s="5085"/>
      <c r="E45" s="3975">
        <v>37</v>
      </c>
      <c r="F45" s="3975">
        <v>23</v>
      </c>
      <c r="G45" s="3976">
        <f t="shared" si="1"/>
        <v>62.162162162162161</v>
      </c>
      <c r="H45" s="3977">
        <v>0.73913043478260876</v>
      </c>
      <c r="I45" s="3977">
        <v>0.2608695652173913</v>
      </c>
      <c r="J45" s="3978">
        <v>0</v>
      </c>
      <c r="K45" s="3978">
        <v>0</v>
      </c>
      <c r="L45" s="3977">
        <v>5.8823529411764712E-2</v>
      </c>
      <c r="M45" s="3977">
        <v>0.17647058823529413</v>
      </c>
      <c r="N45" s="3977">
        <v>0.76470588235294112</v>
      </c>
    </row>
    <row r="46" spans="1:14">
      <c r="A46" s="5085"/>
      <c r="B46" s="5086"/>
      <c r="C46" s="3974" t="s">
        <v>120</v>
      </c>
      <c r="D46" s="5085"/>
      <c r="E46" s="3975">
        <v>26</v>
      </c>
      <c r="F46" s="3975">
        <v>11</v>
      </c>
      <c r="G46" s="3976">
        <f t="shared" si="1"/>
        <v>42.307692307692307</v>
      </c>
      <c r="H46" s="3977">
        <v>0.81818181818181812</v>
      </c>
      <c r="I46" s="3977">
        <v>0.18181818181818182</v>
      </c>
      <c r="J46" s="3978">
        <v>0</v>
      </c>
      <c r="K46" s="3978">
        <v>0</v>
      </c>
      <c r="L46" s="3977">
        <v>0.22222222222222221</v>
      </c>
      <c r="M46" s="3977">
        <v>0.22222222222222221</v>
      </c>
      <c r="N46" s="3977">
        <v>0.55555555555555558</v>
      </c>
    </row>
    <row r="47" spans="1:14" ht="15" customHeight="1">
      <c r="A47" s="5085"/>
      <c r="B47" s="5086" t="s">
        <v>2537</v>
      </c>
      <c r="C47" s="3974" t="s">
        <v>2365</v>
      </c>
      <c r="D47" s="5085" t="s">
        <v>270</v>
      </c>
      <c r="E47" s="3975">
        <v>38</v>
      </c>
      <c r="F47" s="3975">
        <v>16</v>
      </c>
      <c r="G47" s="3976">
        <f t="shared" si="1"/>
        <v>42.10526315789474</v>
      </c>
      <c r="H47" s="3977">
        <v>0.8125</v>
      </c>
      <c r="I47" s="3977">
        <v>0.1875</v>
      </c>
      <c r="J47" s="3978">
        <v>0</v>
      </c>
      <c r="K47" s="3978">
        <v>0</v>
      </c>
      <c r="L47" s="3977">
        <v>0.15384615384615385</v>
      </c>
      <c r="M47" s="3977">
        <v>7.6923076923076927E-2</v>
      </c>
      <c r="N47" s="3977">
        <v>0.76923076923076916</v>
      </c>
    </row>
    <row r="48" spans="1:14">
      <c r="A48" s="5085"/>
      <c r="B48" s="5086"/>
      <c r="C48" s="3974" t="s">
        <v>2829</v>
      </c>
      <c r="D48" s="5085"/>
      <c r="E48" s="3975">
        <v>374</v>
      </c>
      <c r="F48" s="3975">
        <v>158</v>
      </c>
      <c r="G48" s="3976">
        <f t="shared" si="1"/>
        <v>42.245989304812831</v>
      </c>
      <c r="H48" s="3977">
        <v>0.88148148148148153</v>
      </c>
      <c r="I48" s="3977">
        <v>0.11851851851851851</v>
      </c>
      <c r="J48" s="3977">
        <v>4.2735042735042736E-2</v>
      </c>
      <c r="K48" s="3977">
        <v>2.5641025641025644E-2</v>
      </c>
      <c r="L48" s="3977">
        <v>9.4017094017094016E-2</v>
      </c>
      <c r="M48" s="3977">
        <v>0.12820512820512822</v>
      </c>
      <c r="N48" s="3977">
        <v>0.70940170940170943</v>
      </c>
    </row>
    <row r="49" spans="1:14">
      <c r="A49" s="5085"/>
      <c r="B49" s="5086"/>
      <c r="C49" s="3974" t="s">
        <v>1692</v>
      </c>
      <c r="D49" s="5085"/>
      <c r="E49" s="3975">
        <v>13</v>
      </c>
      <c r="F49" s="3975">
        <v>0</v>
      </c>
      <c r="G49" s="3976">
        <f t="shared" si="1"/>
        <v>0</v>
      </c>
      <c r="H49" s="3975" t="s">
        <v>656</v>
      </c>
      <c r="I49" s="3975" t="s">
        <v>656</v>
      </c>
      <c r="J49" s="3979" t="s">
        <v>656</v>
      </c>
      <c r="K49" s="3925" t="s">
        <v>656</v>
      </c>
      <c r="L49" s="3925" t="s">
        <v>656</v>
      </c>
      <c r="M49" s="3925" t="s">
        <v>656</v>
      </c>
      <c r="N49" s="3925" t="s">
        <v>656</v>
      </c>
    </row>
    <row r="50" spans="1:14">
      <c r="A50" s="5085"/>
      <c r="B50" s="5086"/>
      <c r="C50" s="3974" t="s">
        <v>1693</v>
      </c>
      <c r="D50" s="5085"/>
      <c r="E50" s="3975">
        <v>1</v>
      </c>
      <c r="F50" s="3975">
        <v>0</v>
      </c>
      <c r="G50" s="3976">
        <f t="shared" si="1"/>
        <v>0</v>
      </c>
      <c r="H50" s="3975" t="s">
        <v>656</v>
      </c>
      <c r="I50" s="3975" t="s">
        <v>656</v>
      </c>
      <c r="J50" s="3979" t="s">
        <v>656</v>
      </c>
      <c r="K50" s="3925" t="s">
        <v>656</v>
      </c>
      <c r="L50" s="3925" t="s">
        <v>656</v>
      </c>
      <c r="M50" s="3925" t="s">
        <v>656</v>
      </c>
      <c r="N50" s="3925" t="s">
        <v>656</v>
      </c>
    </row>
    <row r="51" spans="1:14">
      <c r="A51" s="5085"/>
      <c r="B51" s="5086"/>
      <c r="C51" s="3974" t="s">
        <v>1694</v>
      </c>
      <c r="D51" s="5085"/>
      <c r="E51" s="3975">
        <v>4</v>
      </c>
      <c r="F51" s="3975">
        <v>0</v>
      </c>
      <c r="G51" s="3976">
        <f t="shared" si="1"/>
        <v>0</v>
      </c>
      <c r="H51" s="3975" t="s">
        <v>656</v>
      </c>
      <c r="I51" s="3975" t="s">
        <v>656</v>
      </c>
      <c r="J51" s="3979" t="s">
        <v>656</v>
      </c>
      <c r="K51" s="3925" t="s">
        <v>656</v>
      </c>
      <c r="L51" s="3925" t="s">
        <v>656</v>
      </c>
      <c r="M51" s="3925" t="s">
        <v>656</v>
      </c>
      <c r="N51" s="3925" t="s">
        <v>656</v>
      </c>
    </row>
    <row r="52" spans="1:14">
      <c r="A52" s="5085"/>
      <c r="B52" s="5086"/>
      <c r="C52" s="3974" t="s">
        <v>1691</v>
      </c>
      <c r="D52" s="5085"/>
      <c r="E52" s="3975">
        <v>14</v>
      </c>
      <c r="F52" s="3975">
        <v>4</v>
      </c>
      <c r="G52" s="3976">
        <f t="shared" si="1"/>
        <v>28.571428571428573</v>
      </c>
      <c r="H52" s="3977">
        <v>0.74074074074074081</v>
      </c>
      <c r="I52" s="3977">
        <v>0.2592592592592593</v>
      </c>
      <c r="J52" s="3977">
        <v>0.05</v>
      </c>
      <c r="K52" s="3977">
        <v>0.05</v>
      </c>
      <c r="L52" s="3977">
        <v>0.15</v>
      </c>
      <c r="M52" s="3977">
        <v>0.2</v>
      </c>
      <c r="N52" s="3977">
        <v>0.55000000000000004</v>
      </c>
    </row>
    <row r="53" spans="1:14">
      <c r="A53" s="5085"/>
      <c r="B53" s="5086"/>
      <c r="C53" s="3974" t="s">
        <v>1695</v>
      </c>
      <c r="D53" s="5085"/>
      <c r="E53" s="3975">
        <v>2</v>
      </c>
      <c r="F53" s="3975">
        <v>0</v>
      </c>
      <c r="G53" s="3976">
        <f t="shared" si="1"/>
        <v>0</v>
      </c>
      <c r="H53" s="3975" t="s">
        <v>656</v>
      </c>
      <c r="I53" s="3975" t="s">
        <v>656</v>
      </c>
      <c r="J53" s="3979" t="s">
        <v>656</v>
      </c>
      <c r="K53" s="3925" t="s">
        <v>656</v>
      </c>
      <c r="L53" s="3925" t="s">
        <v>656</v>
      </c>
      <c r="M53" s="3925" t="s">
        <v>656</v>
      </c>
      <c r="N53" s="3925" t="s">
        <v>656</v>
      </c>
    </row>
    <row r="54" spans="1:14">
      <c r="A54" s="5085"/>
      <c r="B54" s="5086"/>
      <c r="C54" s="3974" t="s">
        <v>2830</v>
      </c>
      <c r="D54" s="5085" t="s">
        <v>252</v>
      </c>
      <c r="E54" s="3975">
        <v>3</v>
      </c>
      <c r="F54" s="3975">
        <v>0</v>
      </c>
      <c r="G54" s="3976">
        <f t="shared" si="1"/>
        <v>0</v>
      </c>
      <c r="H54" s="3975" t="s">
        <v>656</v>
      </c>
      <c r="I54" s="3975" t="s">
        <v>656</v>
      </c>
      <c r="J54" s="3979" t="s">
        <v>656</v>
      </c>
      <c r="K54" s="3925" t="s">
        <v>656</v>
      </c>
      <c r="L54" s="3925" t="s">
        <v>656</v>
      </c>
      <c r="M54" s="3925" t="s">
        <v>656</v>
      </c>
      <c r="N54" s="3925" t="s">
        <v>656</v>
      </c>
    </row>
    <row r="55" spans="1:14">
      <c r="A55" s="5085"/>
      <c r="B55" s="5086"/>
      <c r="C55" s="3974" t="s">
        <v>2829</v>
      </c>
      <c r="D55" s="5085"/>
      <c r="E55" s="3975">
        <v>200</v>
      </c>
      <c r="F55" s="3975">
        <v>59</v>
      </c>
      <c r="G55" s="3976">
        <f t="shared" si="1"/>
        <v>29.5</v>
      </c>
      <c r="H55" s="3977">
        <v>0.76</v>
      </c>
      <c r="I55" s="3977">
        <v>0.24</v>
      </c>
      <c r="J55" s="3977">
        <v>2.5641025641025644E-2</v>
      </c>
      <c r="K55" s="3977">
        <v>7.6923076923076927E-2</v>
      </c>
      <c r="L55" s="3977">
        <v>0.10256410256410257</v>
      </c>
      <c r="M55" s="3977">
        <v>0.20512820512820515</v>
      </c>
      <c r="N55" s="3977">
        <v>0.58974358974358976</v>
      </c>
    </row>
    <row r="56" spans="1:14">
      <c r="A56" s="5085"/>
      <c r="B56" s="5086"/>
      <c r="C56" s="3974" t="s">
        <v>1692</v>
      </c>
      <c r="D56" s="5085"/>
      <c r="E56" s="3975">
        <v>23</v>
      </c>
      <c r="F56" s="3975">
        <v>0</v>
      </c>
      <c r="G56" s="3976">
        <f t="shared" si="1"/>
        <v>0</v>
      </c>
      <c r="H56" s="3975" t="s">
        <v>656</v>
      </c>
      <c r="I56" s="3975" t="s">
        <v>656</v>
      </c>
      <c r="J56" s="3979" t="s">
        <v>656</v>
      </c>
      <c r="K56" s="3925" t="s">
        <v>656</v>
      </c>
      <c r="L56" s="3925" t="s">
        <v>656</v>
      </c>
      <c r="M56" s="3925" t="s">
        <v>656</v>
      </c>
      <c r="N56" s="3925" t="s">
        <v>656</v>
      </c>
    </row>
    <row r="57" spans="1:14">
      <c r="A57" s="5085"/>
      <c r="B57" s="5086"/>
      <c r="C57" s="3974" t="s">
        <v>1693</v>
      </c>
      <c r="D57" s="5085"/>
      <c r="E57" s="3975">
        <v>14</v>
      </c>
      <c r="F57" s="3975">
        <v>0</v>
      </c>
      <c r="G57" s="3976">
        <f t="shared" si="1"/>
        <v>0</v>
      </c>
      <c r="H57" s="3975" t="s">
        <v>656</v>
      </c>
      <c r="I57" s="3975" t="s">
        <v>656</v>
      </c>
      <c r="J57" s="3979" t="s">
        <v>656</v>
      </c>
      <c r="K57" s="3925" t="s">
        <v>656</v>
      </c>
      <c r="L57" s="3925" t="s">
        <v>656</v>
      </c>
      <c r="M57" s="3925" t="s">
        <v>656</v>
      </c>
      <c r="N57" s="3925" t="s">
        <v>656</v>
      </c>
    </row>
    <row r="58" spans="1:14">
      <c r="A58" s="5085"/>
      <c r="B58" s="5086"/>
      <c r="C58" s="3974" t="s">
        <v>1694</v>
      </c>
      <c r="D58" s="5085"/>
      <c r="E58" s="3975">
        <v>25</v>
      </c>
      <c r="F58" s="3975">
        <v>24</v>
      </c>
      <c r="G58" s="3976">
        <f t="shared" si="1"/>
        <v>96</v>
      </c>
      <c r="H58" s="3977">
        <v>0.5</v>
      </c>
      <c r="I58" s="3977">
        <v>0.5</v>
      </c>
      <c r="J58" s="3978">
        <v>0</v>
      </c>
      <c r="K58" s="3977">
        <v>0.16666666666666669</v>
      </c>
      <c r="L58" s="3977">
        <v>0.16666666666666669</v>
      </c>
      <c r="M58" s="3977">
        <v>0.16666666666666669</v>
      </c>
      <c r="N58" s="3977">
        <v>0.5</v>
      </c>
    </row>
    <row r="59" spans="1:14">
      <c r="A59" s="5085"/>
      <c r="B59" s="5086"/>
      <c r="C59" s="3974" t="s">
        <v>1691</v>
      </c>
      <c r="D59" s="5085"/>
      <c r="E59" s="3975">
        <v>9</v>
      </c>
      <c r="F59" s="3975">
        <v>1</v>
      </c>
      <c r="G59" s="3976">
        <f t="shared" si="1"/>
        <v>11.111111111111111</v>
      </c>
      <c r="H59" s="3977">
        <v>0.3</v>
      </c>
      <c r="I59" s="3977">
        <v>0.7</v>
      </c>
      <c r="J59" s="3978">
        <v>0</v>
      </c>
      <c r="K59" s="3978">
        <v>0</v>
      </c>
      <c r="L59" s="3977">
        <v>0.33333333333333337</v>
      </c>
      <c r="M59" s="3978">
        <v>0</v>
      </c>
      <c r="N59" s="3977">
        <v>0.66666666666666674</v>
      </c>
    </row>
    <row r="60" spans="1:14">
      <c r="A60" s="5085"/>
      <c r="B60" s="5086"/>
      <c r="C60" s="3974" t="s">
        <v>1695</v>
      </c>
      <c r="D60" s="5085"/>
      <c r="E60" s="3975">
        <v>19</v>
      </c>
      <c r="F60" s="3975">
        <v>0</v>
      </c>
      <c r="G60" s="3976">
        <f t="shared" si="1"/>
        <v>0</v>
      </c>
      <c r="H60" s="3975" t="s">
        <v>656</v>
      </c>
      <c r="I60" s="3975" t="s">
        <v>656</v>
      </c>
      <c r="J60" s="3979" t="s">
        <v>656</v>
      </c>
      <c r="K60" s="3925" t="s">
        <v>656</v>
      </c>
      <c r="L60" s="3925" t="s">
        <v>656</v>
      </c>
      <c r="M60" s="3925" t="s">
        <v>656</v>
      </c>
      <c r="N60" s="3925" t="s">
        <v>656</v>
      </c>
    </row>
    <row r="61" spans="1:14">
      <c r="A61" s="5085"/>
      <c r="B61" s="5086"/>
      <c r="C61" s="3974" t="s">
        <v>1790</v>
      </c>
      <c r="D61" s="5085"/>
      <c r="E61" s="3975">
        <v>6</v>
      </c>
      <c r="F61" s="3975">
        <v>0</v>
      </c>
      <c r="G61" s="3976">
        <f t="shared" si="1"/>
        <v>0</v>
      </c>
      <c r="H61" s="3975" t="s">
        <v>656</v>
      </c>
      <c r="I61" s="3975" t="s">
        <v>656</v>
      </c>
      <c r="J61" s="3979" t="s">
        <v>656</v>
      </c>
      <c r="K61" s="3925" t="s">
        <v>656</v>
      </c>
      <c r="L61" s="3925" t="s">
        <v>656</v>
      </c>
      <c r="M61" s="3925" t="s">
        <v>656</v>
      </c>
      <c r="N61" s="3925" t="s">
        <v>656</v>
      </c>
    </row>
    <row r="62" spans="1:14">
      <c r="A62" s="5085"/>
      <c r="B62" s="5086"/>
      <c r="C62" s="3974" t="s">
        <v>2829</v>
      </c>
      <c r="D62" s="5085" t="s">
        <v>253</v>
      </c>
      <c r="E62" s="3975">
        <v>68</v>
      </c>
      <c r="F62" s="3975">
        <v>22</v>
      </c>
      <c r="G62" s="3976">
        <f t="shared" si="1"/>
        <v>32.352941176470587</v>
      </c>
      <c r="H62" s="3977">
        <v>0.90909090909090906</v>
      </c>
      <c r="I62" s="3977">
        <v>9.0909090909090912E-2</v>
      </c>
      <c r="J62" s="3977">
        <v>5.2631578947368425E-2</v>
      </c>
      <c r="K62" s="3977">
        <v>5.2631578947368425E-2</v>
      </c>
      <c r="L62" s="3977">
        <v>0.15789473684210525</v>
      </c>
      <c r="M62" s="3977">
        <v>5.2631578947368425E-2</v>
      </c>
      <c r="N62" s="3977">
        <v>0.68421052631578949</v>
      </c>
    </row>
    <row r="63" spans="1:14">
      <c r="A63" s="5085"/>
      <c r="B63" s="5086"/>
      <c r="C63" s="3974" t="s">
        <v>1692</v>
      </c>
      <c r="D63" s="5085"/>
      <c r="E63" s="3975">
        <v>2</v>
      </c>
      <c r="F63" s="3975">
        <v>0</v>
      </c>
      <c r="G63" s="3976">
        <f t="shared" si="1"/>
        <v>0</v>
      </c>
      <c r="H63" s="3975" t="s">
        <v>656</v>
      </c>
      <c r="I63" s="3975" t="s">
        <v>656</v>
      </c>
      <c r="J63" s="3979" t="s">
        <v>656</v>
      </c>
      <c r="K63" s="3925" t="s">
        <v>656</v>
      </c>
      <c r="L63" s="3925" t="s">
        <v>656</v>
      </c>
      <c r="M63" s="3925" t="s">
        <v>656</v>
      </c>
      <c r="N63" s="3925" t="s">
        <v>656</v>
      </c>
    </row>
    <row r="64" spans="1:14">
      <c r="A64" s="5085"/>
      <c r="B64" s="5086"/>
      <c r="C64" s="3974" t="s">
        <v>1693</v>
      </c>
      <c r="D64" s="5085"/>
      <c r="E64" s="3975">
        <v>3</v>
      </c>
      <c r="F64" s="3975">
        <v>0</v>
      </c>
      <c r="G64" s="3976">
        <f t="shared" si="1"/>
        <v>0</v>
      </c>
      <c r="H64" s="3975" t="s">
        <v>656</v>
      </c>
      <c r="I64" s="3975" t="s">
        <v>656</v>
      </c>
      <c r="J64" s="3979" t="s">
        <v>656</v>
      </c>
      <c r="K64" s="3925" t="s">
        <v>656</v>
      </c>
      <c r="L64" s="3925" t="s">
        <v>656</v>
      </c>
      <c r="M64" s="3925" t="s">
        <v>656</v>
      </c>
      <c r="N64" s="3925" t="s">
        <v>656</v>
      </c>
    </row>
    <row r="65" spans="1:14">
      <c r="A65" s="5085"/>
      <c r="B65" s="5086"/>
      <c r="C65" s="3974" t="s">
        <v>1694</v>
      </c>
      <c r="D65" s="5085"/>
      <c r="E65" s="3975">
        <v>13</v>
      </c>
      <c r="F65" s="3975">
        <v>2</v>
      </c>
      <c r="G65" s="3976">
        <f t="shared" si="1"/>
        <v>15.384615384615385</v>
      </c>
      <c r="H65" s="3977">
        <v>1</v>
      </c>
      <c r="I65" s="3978">
        <v>0</v>
      </c>
      <c r="J65" s="3978">
        <v>0</v>
      </c>
      <c r="K65" s="3977">
        <v>0.5</v>
      </c>
      <c r="L65" s="3977">
        <v>0.5</v>
      </c>
      <c r="M65" s="3980" t="s">
        <v>656</v>
      </c>
      <c r="N65" s="3980" t="s">
        <v>656</v>
      </c>
    </row>
    <row r="66" spans="1:14">
      <c r="A66" s="5085"/>
      <c r="B66" s="5086"/>
      <c r="C66" s="3974" t="s">
        <v>1691</v>
      </c>
      <c r="D66" s="5085"/>
      <c r="E66" s="3975">
        <v>1</v>
      </c>
      <c r="F66" s="3975">
        <v>0</v>
      </c>
      <c r="G66" s="3976">
        <f t="shared" si="1"/>
        <v>0</v>
      </c>
      <c r="H66" s="3975" t="s">
        <v>656</v>
      </c>
      <c r="I66" s="3975" t="s">
        <v>656</v>
      </c>
      <c r="J66" s="3979" t="s">
        <v>656</v>
      </c>
      <c r="K66" s="3925" t="s">
        <v>656</v>
      </c>
      <c r="L66" s="3925" t="s">
        <v>656</v>
      </c>
      <c r="M66" s="3925" t="s">
        <v>656</v>
      </c>
      <c r="N66" s="3925" t="s">
        <v>656</v>
      </c>
    </row>
    <row r="67" spans="1:14">
      <c r="A67" s="5085"/>
      <c r="B67" s="5086"/>
      <c r="C67" s="3974" t="s">
        <v>1695</v>
      </c>
      <c r="D67" s="5085"/>
      <c r="E67" s="3975">
        <v>8</v>
      </c>
      <c r="F67" s="3975">
        <v>0</v>
      </c>
      <c r="G67" s="3976">
        <f t="shared" si="1"/>
        <v>0</v>
      </c>
      <c r="H67" s="3975" t="s">
        <v>656</v>
      </c>
      <c r="I67" s="3975" t="s">
        <v>656</v>
      </c>
      <c r="J67" s="3979" t="s">
        <v>656</v>
      </c>
      <c r="K67" s="3925" t="s">
        <v>656</v>
      </c>
      <c r="L67" s="3925" t="s">
        <v>656</v>
      </c>
      <c r="M67" s="3925" t="s">
        <v>656</v>
      </c>
      <c r="N67" s="3925" t="s">
        <v>656</v>
      </c>
    </row>
    <row r="68" spans="1:14" ht="15" customHeight="1">
      <c r="A68" s="5085" t="s">
        <v>25</v>
      </c>
      <c r="B68" s="5086" t="s">
        <v>2541</v>
      </c>
      <c r="C68" s="3974" t="s">
        <v>2559</v>
      </c>
      <c r="D68" s="5085" t="s">
        <v>252</v>
      </c>
      <c r="E68" s="3975">
        <v>78</v>
      </c>
      <c r="F68" s="3975">
        <v>27</v>
      </c>
      <c r="G68" s="3976">
        <f t="shared" si="1"/>
        <v>34.615384615384613</v>
      </c>
      <c r="H68" s="3977">
        <v>0.74074074074074081</v>
      </c>
      <c r="I68" s="3977">
        <v>0.2592592592592593</v>
      </c>
      <c r="J68" s="3978">
        <v>0</v>
      </c>
      <c r="K68" s="3977">
        <v>0.05</v>
      </c>
      <c r="L68" s="3977">
        <v>0.05</v>
      </c>
      <c r="M68" s="3977">
        <v>0.3</v>
      </c>
      <c r="N68" s="3977">
        <v>0.6</v>
      </c>
    </row>
    <row r="69" spans="1:14">
      <c r="A69" s="5085"/>
      <c r="B69" s="5086"/>
      <c r="C69" s="3974" t="s">
        <v>2560</v>
      </c>
      <c r="D69" s="5085"/>
      <c r="E69" s="3975">
        <v>159</v>
      </c>
      <c r="F69" s="3975">
        <v>71</v>
      </c>
      <c r="G69" s="3976">
        <f t="shared" si="1"/>
        <v>44.654088050314463</v>
      </c>
      <c r="H69" s="3977">
        <v>0.88732394366197187</v>
      </c>
      <c r="I69" s="3977">
        <v>0.11267605633802816</v>
      </c>
      <c r="J69" s="3977">
        <v>3.1746031746031744E-2</v>
      </c>
      <c r="K69" s="3977">
        <v>6.3492063492063489E-2</v>
      </c>
      <c r="L69" s="3977">
        <v>0.12698412698412698</v>
      </c>
      <c r="M69" s="3977">
        <v>6.3492063492063489E-2</v>
      </c>
      <c r="N69" s="3977">
        <v>0.7142857142857143</v>
      </c>
    </row>
    <row r="70" spans="1:14">
      <c r="A70" s="5085"/>
      <c r="B70" s="5086"/>
      <c r="C70" s="3974" t="s">
        <v>2561</v>
      </c>
      <c r="D70" s="5085"/>
      <c r="E70" s="3975">
        <v>58</v>
      </c>
      <c r="F70" s="3975">
        <v>9</v>
      </c>
      <c r="G70" s="3976">
        <f t="shared" si="1"/>
        <v>15.517241379310345</v>
      </c>
      <c r="H70" s="3977">
        <v>0.77777777777777768</v>
      </c>
      <c r="I70" s="3977">
        <v>0.22222222222222221</v>
      </c>
      <c r="J70" s="3978">
        <v>0</v>
      </c>
      <c r="K70" s="3978">
        <v>0</v>
      </c>
      <c r="L70" s="3978">
        <v>0</v>
      </c>
      <c r="M70" s="3978">
        <v>0</v>
      </c>
      <c r="N70" s="3977">
        <v>1</v>
      </c>
    </row>
    <row r="71" spans="1:14">
      <c r="A71" s="5085"/>
      <c r="B71" s="5086"/>
      <c r="C71" s="3974" t="s">
        <v>2562</v>
      </c>
      <c r="D71" s="5085"/>
      <c r="E71" s="3975">
        <v>112</v>
      </c>
      <c r="F71" s="3975">
        <v>45</v>
      </c>
      <c r="G71" s="3976">
        <f t="shared" si="1"/>
        <v>40.178571428571431</v>
      </c>
      <c r="H71" s="3977">
        <v>0.84444444444444444</v>
      </c>
      <c r="I71" s="3977">
        <v>0.15555555555555556</v>
      </c>
      <c r="J71" s="3978">
        <v>0</v>
      </c>
      <c r="K71" s="3978">
        <v>0</v>
      </c>
      <c r="L71" s="3977">
        <v>0.1081081081081081</v>
      </c>
      <c r="M71" s="3977">
        <v>8.1081081081081086E-2</v>
      </c>
      <c r="N71" s="3977">
        <v>0.81081081081081086</v>
      </c>
    </row>
    <row r="72" spans="1:14">
      <c r="A72" s="5085"/>
      <c r="B72" s="5086"/>
      <c r="C72" s="3974" t="s">
        <v>2563</v>
      </c>
      <c r="D72" s="5085"/>
      <c r="E72" s="3975">
        <v>36</v>
      </c>
      <c r="F72" s="3975">
        <v>25</v>
      </c>
      <c r="G72" s="3976">
        <f t="shared" si="1"/>
        <v>69.444444444444443</v>
      </c>
      <c r="H72" s="3977">
        <v>0.76</v>
      </c>
      <c r="I72" s="3977">
        <v>0.24</v>
      </c>
      <c r="J72" s="3977">
        <v>5.2631578947368425E-2</v>
      </c>
      <c r="K72" s="3978">
        <v>0</v>
      </c>
      <c r="L72" s="3977">
        <v>5.2631578947368425E-2</v>
      </c>
      <c r="M72" s="3977">
        <v>0.2105263157894737</v>
      </c>
      <c r="N72" s="3977">
        <v>0.68421052631578949</v>
      </c>
    </row>
    <row r="73" spans="1:14">
      <c r="A73" s="5085"/>
      <c r="B73" s="5086"/>
      <c r="C73" s="3974" t="s">
        <v>2569</v>
      </c>
      <c r="D73" s="5085"/>
      <c r="E73" s="3975">
        <v>1</v>
      </c>
      <c r="F73" s="3975">
        <v>0</v>
      </c>
      <c r="G73" s="3976">
        <f t="shared" si="1"/>
        <v>0</v>
      </c>
      <c r="H73" s="3975" t="s">
        <v>656</v>
      </c>
      <c r="I73" s="3975" t="s">
        <v>656</v>
      </c>
      <c r="J73" s="3979" t="s">
        <v>656</v>
      </c>
      <c r="K73" s="3925" t="s">
        <v>656</v>
      </c>
      <c r="L73" s="3925" t="s">
        <v>656</v>
      </c>
      <c r="M73" s="3925" t="s">
        <v>656</v>
      </c>
      <c r="N73" s="3925" t="s">
        <v>656</v>
      </c>
    </row>
    <row r="74" spans="1:14">
      <c r="A74" s="5085"/>
      <c r="B74" s="5086"/>
      <c r="C74" s="3974" t="s">
        <v>121</v>
      </c>
      <c r="D74" s="5085"/>
      <c r="E74" s="3975">
        <v>72</v>
      </c>
      <c r="F74" s="3975">
        <v>39</v>
      </c>
      <c r="G74" s="3976">
        <f t="shared" si="1"/>
        <v>54.166666666666664</v>
      </c>
      <c r="H74" s="3977">
        <v>0.66666666666666674</v>
      </c>
      <c r="I74" s="3977">
        <v>0.33333333333333337</v>
      </c>
      <c r="J74" s="3977">
        <v>7.6923076923076927E-2</v>
      </c>
      <c r="K74" s="3977">
        <v>7.6923076923076927E-2</v>
      </c>
      <c r="L74" s="3977">
        <v>0.15384615384615385</v>
      </c>
      <c r="M74" s="3977">
        <v>0.15384615384615385</v>
      </c>
      <c r="N74" s="3977">
        <v>0.53846153846153844</v>
      </c>
    </row>
    <row r="75" spans="1:14">
      <c r="A75" s="5085"/>
      <c r="B75" s="5086"/>
      <c r="C75" s="3974" t="s">
        <v>122</v>
      </c>
      <c r="D75" s="5085"/>
      <c r="E75" s="3975">
        <v>193</v>
      </c>
      <c r="F75" s="3975">
        <v>127</v>
      </c>
      <c r="G75" s="3976">
        <f t="shared" si="1"/>
        <v>65.803108808290162</v>
      </c>
      <c r="H75" s="3977">
        <v>0.77165354330708669</v>
      </c>
      <c r="I75" s="3977">
        <v>0.22834645669291337</v>
      </c>
      <c r="J75" s="3977">
        <v>4.1237113402061848E-2</v>
      </c>
      <c r="K75" s="3977">
        <v>5.1546391752577324E-2</v>
      </c>
      <c r="L75" s="3977">
        <v>0.18556701030927836</v>
      </c>
      <c r="M75" s="3977">
        <v>0.2061855670103093</v>
      </c>
      <c r="N75" s="3977">
        <v>0.51546391752577325</v>
      </c>
    </row>
    <row r="76" spans="1:14">
      <c r="A76" s="5085"/>
      <c r="B76" s="5086"/>
      <c r="C76" s="3974" t="s">
        <v>123</v>
      </c>
      <c r="D76" s="5085"/>
      <c r="E76" s="3975">
        <v>119</v>
      </c>
      <c r="F76" s="3975">
        <v>97</v>
      </c>
      <c r="G76" s="3976">
        <f t="shared" si="1"/>
        <v>81.512605042016801</v>
      </c>
      <c r="H76" s="3977">
        <v>0.55670103092783507</v>
      </c>
      <c r="I76" s="3977">
        <v>0.44329896907216493</v>
      </c>
      <c r="J76" s="3977">
        <v>8.9285714285714288E-2</v>
      </c>
      <c r="K76" s="3977">
        <v>8.9285714285714288E-2</v>
      </c>
      <c r="L76" s="3977">
        <v>0.14285714285714288</v>
      </c>
      <c r="M76" s="3977">
        <v>0.17857142857142858</v>
      </c>
      <c r="N76" s="3977">
        <v>0.5</v>
      </c>
    </row>
    <row r="77" spans="1:14">
      <c r="A77" s="5085"/>
      <c r="B77" s="5086"/>
      <c r="C77" s="3974" t="s">
        <v>124</v>
      </c>
      <c r="D77" s="5085"/>
      <c r="E77" s="3975">
        <v>179</v>
      </c>
      <c r="F77" s="3975">
        <v>76</v>
      </c>
      <c r="G77" s="3976">
        <f t="shared" si="1"/>
        <v>42.458100558659218</v>
      </c>
      <c r="H77" s="3977">
        <v>0.63157894736842102</v>
      </c>
      <c r="I77" s="3977">
        <v>0.36842105263157898</v>
      </c>
      <c r="J77" s="3977">
        <v>2.0833333333333336E-2</v>
      </c>
      <c r="K77" s="3977">
        <v>8.3333333333333343E-2</v>
      </c>
      <c r="L77" s="3977">
        <v>0.125</v>
      </c>
      <c r="M77" s="3977">
        <v>0.20833333333333331</v>
      </c>
      <c r="N77" s="3977">
        <v>0.5625</v>
      </c>
    </row>
    <row r="78" spans="1:14">
      <c r="A78" s="5085"/>
      <c r="B78" s="5086"/>
      <c r="C78" s="3974" t="s">
        <v>125</v>
      </c>
      <c r="D78" s="5085"/>
      <c r="E78" s="3975">
        <v>145</v>
      </c>
      <c r="F78" s="3975">
        <v>107</v>
      </c>
      <c r="G78" s="3976">
        <f t="shared" si="1"/>
        <v>73.793103448275858</v>
      </c>
      <c r="H78" s="3977">
        <v>0.7289719626168224</v>
      </c>
      <c r="I78" s="3977">
        <v>0.27102803738317754</v>
      </c>
      <c r="J78" s="3977">
        <v>6.4102564102564111E-2</v>
      </c>
      <c r="K78" s="3977">
        <v>3.8461538461538464E-2</v>
      </c>
      <c r="L78" s="3977">
        <v>0.16666666666666669</v>
      </c>
      <c r="M78" s="3977">
        <v>0.21794871794871795</v>
      </c>
      <c r="N78" s="3977">
        <v>0.51282051282051289</v>
      </c>
    </row>
    <row r="79" spans="1:14">
      <c r="A79" s="5085"/>
      <c r="B79" s="5086"/>
      <c r="C79" s="3974" t="s">
        <v>286</v>
      </c>
      <c r="D79" s="5085"/>
      <c r="E79" s="3975">
        <v>90</v>
      </c>
      <c r="F79" s="3975">
        <v>88</v>
      </c>
      <c r="G79" s="3976">
        <f t="shared" si="1"/>
        <v>97.777777777777771</v>
      </c>
      <c r="H79" s="3977">
        <v>0.88888888888888884</v>
      </c>
      <c r="I79" s="3977">
        <v>0.1111111111111111</v>
      </c>
      <c r="J79" s="3978">
        <v>0</v>
      </c>
      <c r="K79" s="3977">
        <v>6.25E-2</v>
      </c>
      <c r="L79" s="3977">
        <v>0.125</v>
      </c>
      <c r="M79" s="3977">
        <v>0.1875</v>
      </c>
      <c r="N79" s="3977">
        <v>0.625</v>
      </c>
    </row>
    <row r="80" spans="1:14">
      <c r="A80" s="5085"/>
      <c r="B80" s="5086"/>
      <c r="C80" s="3974" t="s">
        <v>834</v>
      </c>
      <c r="D80" s="5085"/>
      <c r="E80" s="3975">
        <v>47</v>
      </c>
      <c r="F80" s="3975">
        <v>8</v>
      </c>
      <c r="G80" s="3976">
        <f t="shared" si="1"/>
        <v>17.021276595744681</v>
      </c>
      <c r="H80" s="3977">
        <v>0.625</v>
      </c>
      <c r="I80" s="3977">
        <v>0.375</v>
      </c>
      <c r="J80" s="3978">
        <v>0</v>
      </c>
      <c r="K80" s="3977">
        <v>0.4</v>
      </c>
      <c r="L80" s="3977">
        <v>0.2</v>
      </c>
      <c r="M80" s="3978">
        <v>0</v>
      </c>
      <c r="N80" s="3977">
        <v>0.4</v>
      </c>
    </row>
    <row r="81" spans="1:14">
      <c r="A81" s="5085"/>
      <c r="B81" s="5086"/>
      <c r="C81" s="3974" t="s">
        <v>2569</v>
      </c>
      <c r="D81" s="5085" t="s">
        <v>253</v>
      </c>
      <c r="E81" s="3975">
        <v>302</v>
      </c>
      <c r="F81" s="3975">
        <v>180</v>
      </c>
      <c r="G81" s="3976">
        <f t="shared" si="1"/>
        <v>59.602649006622514</v>
      </c>
      <c r="H81" s="3977">
        <v>0.77222222222222225</v>
      </c>
      <c r="I81" s="3977">
        <v>0.22777777777777777</v>
      </c>
      <c r="J81" s="3977">
        <v>2.9197080291970802E-2</v>
      </c>
      <c r="K81" s="3977">
        <v>5.1094890510948912E-2</v>
      </c>
      <c r="L81" s="3977">
        <v>8.7591240875912413E-2</v>
      </c>
      <c r="M81" s="3977">
        <v>0.16788321167883211</v>
      </c>
      <c r="N81" s="3977">
        <v>0.66423357664233573</v>
      </c>
    </row>
    <row r="82" spans="1:14">
      <c r="A82" s="5085"/>
      <c r="B82" s="5086"/>
      <c r="C82" s="3974" t="s">
        <v>121</v>
      </c>
      <c r="D82" s="5085"/>
      <c r="E82" s="3975">
        <v>45</v>
      </c>
      <c r="F82" s="3975">
        <v>0</v>
      </c>
      <c r="G82" s="3976">
        <f t="shared" si="1"/>
        <v>0</v>
      </c>
      <c r="H82" s="3975" t="s">
        <v>656</v>
      </c>
      <c r="I82" s="3975" t="s">
        <v>656</v>
      </c>
      <c r="J82" s="3979" t="s">
        <v>656</v>
      </c>
      <c r="K82" s="3925" t="s">
        <v>656</v>
      </c>
      <c r="L82" s="3925" t="s">
        <v>656</v>
      </c>
      <c r="M82" s="3925" t="s">
        <v>656</v>
      </c>
      <c r="N82" s="3925" t="s">
        <v>656</v>
      </c>
    </row>
    <row r="83" spans="1:14">
      <c r="A83" s="5085"/>
      <c r="B83" s="5086"/>
      <c r="C83" s="3974" t="s">
        <v>122</v>
      </c>
      <c r="D83" s="5085"/>
      <c r="E83" s="3975">
        <v>58</v>
      </c>
      <c r="F83" s="3975">
        <v>10</v>
      </c>
      <c r="G83" s="3976">
        <f t="shared" si="1"/>
        <v>17.241379310344829</v>
      </c>
      <c r="H83" s="3977">
        <v>0.7</v>
      </c>
      <c r="I83" s="3977">
        <v>0.3</v>
      </c>
      <c r="J83" s="3978">
        <v>0</v>
      </c>
      <c r="K83" s="3977">
        <v>0.16666666666666669</v>
      </c>
      <c r="L83" s="3978">
        <v>0</v>
      </c>
      <c r="M83" s="3977">
        <v>0.16666666666666669</v>
      </c>
      <c r="N83" s="3977">
        <v>0.66666666666666674</v>
      </c>
    </row>
    <row r="84" spans="1:14">
      <c r="A84" s="5085"/>
      <c r="B84" s="5086"/>
      <c r="C84" s="3974" t="s">
        <v>123</v>
      </c>
      <c r="D84" s="5085"/>
      <c r="E84" s="3975">
        <v>157</v>
      </c>
      <c r="F84" s="3975">
        <v>132</v>
      </c>
      <c r="G84" s="3976">
        <f t="shared" si="1"/>
        <v>84.076433121019107</v>
      </c>
      <c r="H84" s="3977">
        <v>0.83969465648854968</v>
      </c>
      <c r="I84" s="3977">
        <v>0.1603053435114504</v>
      </c>
      <c r="J84" s="3977">
        <v>2.6548672566371681E-2</v>
      </c>
      <c r="K84" s="3977">
        <v>8.8495575221238937E-3</v>
      </c>
      <c r="L84" s="3977">
        <v>6.1946902654867256E-2</v>
      </c>
      <c r="M84" s="3977">
        <v>0.20353982300884954</v>
      </c>
      <c r="N84" s="3977">
        <v>0.69911504424778759</v>
      </c>
    </row>
    <row r="85" spans="1:14">
      <c r="A85" s="5085"/>
      <c r="B85" s="5086"/>
      <c r="C85" s="3974" t="s">
        <v>124</v>
      </c>
      <c r="D85" s="5085"/>
      <c r="E85" s="3975">
        <v>72</v>
      </c>
      <c r="F85" s="3975">
        <v>32</v>
      </c>
      <c r="G85" s="3976">
        <f t="shared" si="1"/>
        <v>44.444444444444443</v>
      </c>
      <c r="H85" s="3977">
        <v>0.875</v>
      </c>
      <c r="I85" s="3977">
        <v>0.125</v>
      </c>
      <c r="J85" s="3978">
        <v>0</v>
      </c>
      <c r="K85" s="3977">
        <v>3.5714285714285719E-2</v>
      </c>
      <c r="L85" s="3977">
        <v>7.1428571428571438E-2</v>
      </c>
      <c r="M85" s="3977">
        <v>0.10714285714285714</v>
      </c>
      <c r="N85" s="3977">
        <v>0.7857142857142857</v>
      </c>
    </row>
    <row r="86" spans="1:14">
      <c r="A86" s="5085"/>
      <c r="B86" s="5086"/>
      <c r="C86" s="3974" t="s">
        <v>125</v>
      </c>
      <c r="D86" s="5085"/>
      <c r="E86" s="3975">
        <v>35</v>
      </c>
      <c r="F86" s="3975">
        <v>24</v>
      </c>
      <c r="G86" s="3976">
        <f t="shared" si="1"/>
        <v>68.571428571428569</v>
      </c>
      <c r="H86" s="3977">
        <v>1</v>
      </c>
      <c r="I86" s="3978">
        <v>0</v>
      </c>
      <c r="J86" s="3978">
        <v>0</v>
      </c>
      <c r="K86" s="3978">
        <v>0</v>
      </c>
      <c r="L86" s="3977">
        <v>4.1666666666666671E-2</v>
      </c>
      <c r="M86" s="3977">
        <v>0.25</v>
      </c>
      <c r="N86" s="3977">
        <v>0.70833333333333326</v>
      </c>
    </row>
    <row r="87" spans="1:14">
      <c r="A87" s="5085"/>
      <c r="B87" s="5086"/>
      <c r="C87" s="3974" t="s">
        <v>424</v>
      </c>
      <c r="D87" s="5085"/>
      <c r="E87" s="3975">
        <v>8</v>
      </c>
      <c r="F87" s="3975">
        <v>7</v>
      </c>
      <c r="G87" s="3976">
        <f t="shared" si="1"/>
        <v>87.5</v>
      </c>
      <c r="H87" s="3977">
        <v>1</v>
      </c>
      <c r="I87" s="3978">
        <v>0</v>
      </c>
      <c r="J87" s="3978">
        <v>0</v>
      </c>
      <c r="K87" s="3978">
        <v>0</v>
      </c>
      <c r="L87" s="3978">
        <v>0</v>
      </c>
      <c r="M87" s="3978">
        <v>0</v>
      </c>
      <c r="N87" s="3977">
        <v>1</v>
      </c>
    </row>
    <row r="88" spans="1:14">
      <c r="A88" s="5085"/>
      <c r="B88" s="5086"/>
      <c r="C88" s="3974" t="s">
        <v>834</v>
      </c>
      <c r="D88" s="5085"/>
      <c r="E88" s="3975">
        <v>1</v>
      </c>
      <c r="F88" s="3975">
        <v>0</v>
      </c>
      <c r="G88" s="3976">
        <f t="shared" ref="G88:G151" si="2">F88*100/E88</f>
        <v>0</v>
      </c>
      <c r="H88" s="3975" t="s">
        <v>656</v>
      </c>
      <c r="I88" s="3975" t="s">
        <v>656</v>
      </c>
      <c r="J88" s="3979" t="s">
        <v>656</v>
      </c>
      <c r="K88" s="3925" t="s">
        <v>656</v>
      </c>
      <c r="L88" s="3925" t="s">
        <v>656</v>
      </c>
      <c r="M88" s="3925" t="s">
        <v>656</v>
      </c>
      <c r="N88" s="3925" t="s">
        <v>656</v>
      </c>
    </row>
    <row r="89" spans="1:14" ht="15" customHeight="1">
      <c r="A89" s="5085"/>
      <c r="B89" s="5086" t="s">
        <v>2536</v>
      </c>
      <c r="C89" s="3974" t="s">
        <v>2571</v>
      </c>
      <c r="D89" s="5085" t="s">
        <v>270</v>
      </c>
      <c r="E89" s="3975">
        <v>6</v>
      </c>
      <c r="F89" s="3975">
        <v>0</v>
      </c>
      <c r="G89" s="3976">
        <f t="shared" si="2"/>
        <v>0</v>
      </c>
      <c r="H89" s="3925" t="s">
        <v>656</v>
      </c>
      <c r="I89" s="3925" t="s">
        <v>656</v>
      </c>
      <c r="J89" s="3979" t="s">
        <v>656</v>
      </c>
      <c r="K89" s="3925" t="s">
        <v>656</v>
      </c>
      <c r="L89" s="3925" t="s">
        <v>656</v>
      </c>
      <c r="M89" s="3925" t="s">
        <v>656</v>
      </c>
      <c r="N89" s="3925" t="s">
        <v>656</v>
      </c>
    </row>
    <row r="90" spans="1:14">
      <c r="A90" s="5085"/>
      <c r="B90" s="5086"/>
      <c r="C90" s="3974" t="s">
        <v>2578</v>
      </c>
      <c r="D90" s="5085"/>
      <c r="E90" s="3975">
        <v>769</v>
      </c>
      <c r="F90" s="3975">
        <v>130</v>
      </c>
      <c r="G90" s="3976">
        <f t="shared" si="2"/>
        <v>16.905071521456438</v>
      </c>
      <c r="H90" s="3977">
        <v>0.90769230769230769</v>
      </c>
      <c r="I90" s="3977">
        <v>9.2307692307692299E-2</v>
      </c>
      <c r="J90" s="3977">
        <v>4.2372881355932208E-2</v>
      </c>
      <c r="K90" s="3977">
        <v>4.2372881355932208E-2</v>
      </c>
      <c r="L90" s="3977">
        <v>0.1440677966101695</v>
      </c>
      <c r="M90" s="3977">
        <v>0.11016949152542374</v>
      </c>
      <c r="N90" s="3977">
        <v>0.66101694915254239</v>
      </c>
    </row>
    <row r="91" spans="1:14">
      <c r="A91" s="5085"/>
      <c r="B91" s="5086"/>
      <c r="C91" s="3974" t="s">
        <v>2571</v>
      </c>
      <c r="D91" s="5085" t="s">
        <v>252</v>
      </c>
      <c r="E91" s="3975">
        <v>80</v>
      </c>
      <c r="F91" s="3975">
        <v>22</v>
      </c>
      <c r="G91" s="3976">
        <f t="shared" si="2"/>
        <v>27.5</v>
      </c>
      <c r="H91" s="3977">
        <v>0.72727272727272729</v>
      </c>
      <c r="I91" s="3977">
        <v>0.27272727272727271</v>
      </c>
      <c r="J91" s="3978">
        <v>0</v>
      </c>
      <c r="K91" s="3977">
        <v>6.25E-2</v>
      </c>
      <c r="L91" s="3977">
        <v>0.125</v>
      </c>
      <c r="M91" s="3978">
        <v>0</v>
      </c>
      <c r="N91" s="3977">
        <v>0.8125</v>
      </c>
    </row>
    <row r="92" spans="1:14">
      <c r="A92" s="5085"/>
      <c r="B92" s="5086"/>
      <c r="C92" s="3974" t="s">
        <v>501</v>
      </c>
      <c r="D92" s="5085"/>
      <c r="E92" s="3975">
        <v>53</v>
      </c>
      <c r="F92" s="3975">
        <v>18</v>
      </c>
      <c r="G92" s="3976">
        <f t="shared" si="2"/>
        <v>33.962264150943398</v>
      </c>
      <c r="H92" s="3977">
        <v>0.88888888888888884</v>
      </c>
      <c r="I92" s="3977">
        <v>0.1111111111111111</v>
      </c>
      <c r="J92" s="3978">
        <v>0</v>
      </c>
      <c r="K92" s="3978">
        <v>0</v>
      </c>
      <c r="L92" s="3977">
        <v>0.1875</v>
      </c>
      <c r="M92" s="3977">
        <v>6.25E-2</v>
      </c>
      <c r="N92" s="3977">
        <v>0.75</v>
      </c>
    </row>
    <row r="93" spans="1:14">
      <c r="A93" s="5085"/>
      <c r="B93" s="5086"/>
      <c r="C93" s="3974" t="s">
        <v>2572</v>
      </c>
      <c r="D93" s="5085"/>
      <c r="E93" s="3975">
        <v>38</v>
      </c>
      <c r="F93" s="3975">
        <v>10</v>
      </c>
      <c r="G93" s="3976">
        <f t="shared" si="2"/>
        <v>26.315789473684209</v>
      </c>
      <c r="H93" s="3977">
        <v>0.9</v>
      </c>
      <c r="I93" s="3977">
        <v>0.1</v>
      </c>
      <c r="J93" s="3977">
        <v>0.1111111111111111</v>
      </c>
      <c r="K93" s="3978">
        <v>0</v>
      </c>
      <c r="L93" s="3977">
        <v>0.22222222222222221</v>
      </c>
      <c r="M93" s="3978">
        <v>0</v>
      </c>
      <c r="N93" s="3977">
        <v>0.66666666666666674</v>
      </c>
    </row>
    <row r="94" spans="1:14">
      <c r="A94" s="5085"/>
      <c r="B94" s="5086"/>
      <c r="C94" s="3974" t="s">
        <v>2578</v>
      </c>
      <c r="D94" s="5085"/>
      <c r="E94" s="3975">
        <v>273</v>
      </c>
      <c r="F94" s="3975">
        <v>199</v>
      </c>
      <c r="G94" s="3976">
        <f t="shared" si="2"/>
        <v>72.893772893772891</v>
      </c>
      <c r="H94" s="3977">
        <v>0.7587939698492463</v>
      </c>
      <c r="I94" s="3977">
        <v>0.24120603015075379</v>
      </c>
      <c r="J94" s="3977">
        <v>1.3333333333333332E-2</v>
      </c>
      <c r="K94" s="3977">
        <v>1.3333333333333332E-2</v>
      </c>
      <c r="L94" s="3977">
        <v>6.6666666666666666E-2</v>
      </c>
      <c r="M94" s="3977">
        <v>0.24666666666666667</v>
      </c>
      <c r="N94" s="3977">
        <v>0.66</v>
      </c>
    </row>
    <row r="95" spans="1:14">
      <c r="A95" s="5085"/>
      <c r="B95" s="5086"/>
      <c r="C95" s="3974" t="s">
        <v>2579</v>
      </c>
      <c r="D95" s="5085"/>
      <c r="E95" s="3975">
        <v>170</v>
      </c>
      <c r="F95" s="3975">
        <v>85</v>
      </c>
      <c r="G95" s="3976">
        <f t="shared" si="2"/>
        <v>50</v>
      </c>
      <c r="H95" s="3977">
        <v>0.7857142857142857</v>
      </c>
      <c r="I95" s="3977">
        <v>0.21428571428571427</v>
      </c>
      <c r="J95" s="3977">
        <v>1.492537313432836E-2</v>
      </c>
      <c r="K95" s="3977">
        <v>5.9701492537313439E-2</v>
      </c>
      <c r="L95" s="3977">
        <v>0.1492537313432836</v>
      </c>
      <c r="M95" s="3977">
        <v>0.19402985074626866</v>
      </c>
      <c r="N95" s="3977">
        <v>0.58208955223880599</v>
      </c>
    </row>
    <row r="96" spans="1:14">
      <c r="A96" s="5085"/>
      <c r="B96" s="5086"/>
      <c r="C96" s="3974" t="s">
        <v>2580</v>
      </c>
      <c r="D96" s="5085"/>
      <c r="E96" s="3975">
        <v>398</v>
      </c>
      <c r="F96" s="3975">
        <v>162</v>
      </c>
      <c r="G96" s="3976">
        <f t="shared" si="2"/>
        <v>40.7035175879397</v>
      </c>
      <c r="H96" s="3977">
        <v>0.63124999999999998</v>
      </c>
      <c r="I96" s="3977">
        <v>0.36875000000000002</v>
      </c>
      <c r="J96" s="3977">
        <v>1.0101010101010102E-2</v>
      </c>
      <c r="K96" s="3977">
        <v>0.1111111111111111</v>
      </c>
      <c r="L96" s="3977">
        <v>0.13131313131313133</v>
      </c>
      <c r="M96" s="3977">
        <v>0.31313131313131309</v>
      </c>
      <c r="N96" s="3977">
        <v>0.43434343434343431</v>
      </c>
    </row>
    <row r="97" spans="1:14">
      <c r="A97" s="5085"/>
      <c r="B97" s="5086"/>
      <c r="C97" s="3974" t="s">
        <v>2581</v>
      </c>
      <c r="D97" s="5085"/>
      <c r="E97" s="3975">
        <v>232</v>
      </c>
      <c r="F97" s="3975">
        <v>165</v>
      </c>
      <c r="G97" s="3976">
        <f t="shared" si="2"/>
        <v>71.120689655172413</v>
      </c>
      <c r="H97" s="3977">
        <v>0.7151515151515152</v>
      </c>
      <c r="I97" s="3977">
        <v>0.28484848484848485</v>
      </c>
      <c r="J97" s="3977">
        <v>5.9322033898305086E-2</v>
      </c>
      <c r="K97" s="3977">
        <v>4.2372881355932208E-2</v>
      </c>
      <c r="L97" s="3977">
        <v>0.11016949152542374</v>
      </c>
      <c r="M97" s="3977">
        <v>0.1864406779661017</v>
      </c>
      <c r="N97" s="3977">
        <v>0.60169491525423735</v>
      </c>
    </row>
    <row r="98" spans="1:14">
      <c r="A98" s="5085"/>
      <c r="B98" s="5086"/>
      <c r="C98" s="3974" t="s">
        <v>2595</v>
      </c>
      <c r="D98" s="5085"/>
      <c r="E98" s="3975">
        <v>62</v>
      </c>
      <c r="F98" s="3975">
        <v>45</v>
      </c>
      <c r="G98" s="3976">
        <f t="shared" si="2"/>
        <v>72.58064516129032</v>
      </c>
      <c r="H98" s="3977">
        <v>0.22222222222222221</v>
      </c>
      <c r="I98" s="3977">
        <v>0.77777777777777768</v>
      </c>
      <c r="J98" s="3978">
        <v>0</v>
      </c>
      <c r="K98" s="3978">
        <v>0</v>
      </c>
      <c r="L98" s="3977">
        <v>0.1</v>
      </c>
      <c r="M98" s="3977">
        <v>0.3</v>
      </c>
      <c r="N98" s="3977">
        <v>0.6</v>
      </c>
    </row>
    <row r="99" spans="1:14">
      <c r="A99" s="5085"/>
      <c r="B99" s="5086"/>
      <c r="C99" s="3974" t="s">
        <v>285</v>
      </c>
      <c r="D99" s="5085" t="s">
        <v>253</v>
      </c>
      <c r="E99" s="3975">
        <v>19</v>
      </c>
      <c r="F99" s="3975">
        <v>4</v>
      </c>
      <c r="G99" s="3976">
        <f t="shared" si="2"/>
        <v>21.05263157894737</v>
      </c>
      <c r="H99" s="3977">
        <v>0.25</v>
      </c>
      <c r="I99" s="3977">
        <v>0.75</v>
      </c>
      <c r="J99" s="3978">
        <v>0</v>
      </c>
      <c r="K99" s="3978">
        <v>0</v>
      </c>
      <c r="L99" s="3977">
        <v>1</v>
      </c>
      <c r="M99" s="3978">
        <v>0</v>
      </c>
      <c r="N99" s="3978">
        <v>0</v>
      </c>
    </row>
    <row r="100" spans="1:14">
      <c r="A100" s="5085"/>
      <c r="B100" s="5086"/>
      <c r="C100" s="3974" t="s">
        <v>2578</v>
      </c>
      <c r="D100" s="5085"/>
      <c r="E100" s="3975">
        <v>194</v>
      </c>
      <c r="F100" s="3975">
        <v>123</v>
      </c>
      <c r="G100" s="3976">
        <f t="shared" si="2"/>
        <v>63.402061855670105</v>
      </c>
      <c r="H100" s="3977">
        <v>0.92622950819672123</v>
      </c>
      <c r="I100" s="3977">
        <v>7.3770491803278687E-2</v>
      </c>
      <c r="J100" s="3978">
        <v>0</v>
      </c>
      <c r="K100" s="3977">
        <v>8.8495575221238937E-3</v>
      </c>
      <c r="L100" s="3977">
        <v>4.4247787610619468E-2</v>
      </c>
      <c r="M100" s="3977">
        <v>0.21238938053097345</v>
      </c>
      <c r="N100" s="3977">
        <v>0.73451327433628322</v>
      </c>
    </row>
    <row r="101" spans="1:14">
      <c r="A101" s="5085"/>
      <c r="B101" s="5086"/>
      <c r="C101" s="3974" t="s">
        <v>2579</v>
      </c>
      <c r="D101" s="5085"/>
      <c r="E101" s="3975">
        <v>234</v>
      </c>
      <c r="F101" s="3975">
        <v>108</v>
      </c>
      <c r="G101" s="3976">
        <f t="shared" si="2"/>
        <v>46.153846153846153</v>
      </c>
      <c r="H101" s="3977">
        <v>0.98148148148148151</v>
      </c>
      <c r="I101" s="3977">
        <v>1.8518518518518517E-2</v>
      </c>
      <c r="J101" s="3977">
        <v>9.7087378640776708E-3</v>
      </c>
      <c r="K101" s="3977">
        <v>1.9417475728155342E-2</v>
      </c>
      <c r="L101" s="3977">
        <v>6.7961165048543687E-2</v>
      </c>
      <c r="M101" s="3977">
        <v>0.21359223300970875</v>
      </c>
      <c r="N101" s="3977">
        <v>0.68932038834951459</v>
      </c>
    </row>
    <row r="102" spans="1:14">
      <c r="A102" s="5085"/>
      <c r="B102" s="5086"/>
      <c r="C102" s="3974" t="s">
        <v>2580</v>
      </c>
      <c r="D102" s="5085"/>
      <c r="E102" s="3975">
        <v>223</v>
      </c>
      <c r="F102" s="3975">
        <v>79</v>
      </c>
      <c r="G102" s="3976">
        <f t="shared" si="2"/>
        <v>35.426008968609864</v>
      </c>
      <c r="H102" s="3977">
        <v>0.88607594936708867</v>
      </c>
      <c r="I102" s="3977">
        <v>0.11392405063291139</v>
      </c>
      <c r="J102" s="3978">
        <v>0</v>
      </c>
      <c r="K102" s="3977">
        <v>2.8169014084507039E-2</v>
      </c>
      <c r="L102" s="3977">
        <v>8.4507042253521125E-2</v>
      </c>
      <c r="M102" s="3977">
        <v>0.18309859154929575</v>
      </c>
      <c r="N102" s="3977">
        <v>0.70422535211267601</v>
      </c>
    </row>
    <row r="103" spans="1:14">
      <c r="A103" s="5085"/>
      <c r="B103" s="5086"/>
      <c r="C103" s="3974" t="s">
        <v>2581</v>
      </c>
      <c r="D103" s="5085"/>
      <c r="E103" s="3975">
        <v>147</v>
      </c>
      <c r="F103" s="3975">
        <v>25</v>
      </c>
      <c r="G103" s="3976">
        <f t="shared" si="2"/>
        <v>17.006802721088434</v>
      </c>
      <c r="H103" s="3977">
        <v>0.88</v>
      </c>
      <c r="I103" s="3977">
        <v>0.12</v>
      </c>
      <c r="J103" s="3978">
        <v>0</v>
      </c>
      <c r="K103" s="3977">
        <v>4.5454545454545456E-2</v>
      </c>
      <c r="L103" s="3977">
        <v>0.13636363636363635</v>
      </c>
      <c r="M103" s="3977">
        <v>9.0909090909090912E-2</v>
      </c>
      <c r="N103" s="3977">
        <v>0.72727272727272729</v>
      </c>
    </row>
    <row r="104" spans="1:14">
      <c r="A104" s="5085"/>
      <c r="B104" s="5086"/>
      <c r="C104" s="3974" t="s">
        <v>2595</v>
      </c>
      <c r="D104" s="5085"/>
      <c r="E104" s="3975">
        <v>39</v>
      </c>
      <c r="F104" s="3975">
        <v>24</v>
      </c>
      <c r="G104" s="3976">
        <f t="shared" si="2"/>
        <v>61.53846153846154</v>
      </c>
      <c r="H104" s="3977">
        <v>0.79166666666666674</v>
      </c>
      <c r="I104" s="3977">
        <v>0.20833333333333331</v>
      </c>
      <c r="J104" s="3978">
        <v>0</v>
      </c>
      <c r="K104" s="3977">
        <v>5.2631578947368425E-2</v>
      </c>
      <c r="L104" s="3977">
        <v>5.2631578947368425E-2</v>
      </c>
      <c r="M104" s="3977">
        <v>0.31578947368421051</v>
      </c>
      <c r="N104" s="3977">
        <v>0.57894736842105265</v>
      </c>
    </row>
    <row r="105" spans="1:14" ht="15" customHeight="1">
      <c r="A105" s="5085"/>
      <c r="B105" s="5086" t="s">
        <v>2538</v>
      </c>
      <c r="C105" s="3974" t="s">
        <v>297</v>
      </c>
      <c r="D105" s="5085" t="s">
        <v>270</v>
      </c>
      <c r="E105" s="3975">
        <v>217</v>
      </c>
      <c r="F105" s="3975">
        <v>54</v>
      </c>
      <c r="G105" s="3976">
        <f t="shared" si="2"/>
        <v>24.88479262672811</v>
      </c>
      <c r="H105" s="3977">
        <v>0.66666666666666674</v>
      </c>
      <c r="I105" s="3977">
        <v>0.33333333333333337</v>
      </c>
      <c r="J105" s="3977">
        <v>8.3333333333333343E-2</v>
      </c>
      <c r="K105" s="3977">
        <v>0.1388888888888889</v>
      </c>
      <c r="L105" s="3977">
        <v>8.3333333333333343E-2</v>
      </c>
      <c r="M105" s="3978">
        <v>0</v>
      </c>
      <c r="N105" s="3977">
        <v>0.69444444444444442</v>
      </c>
    </row>
    <row r="106" spans="1:14">
      <c r="A106" s="5085"/>
      <c r="B106" s="5086"/>
      <c r="C106" s="3974" t="s">
        <v>298</v>
      </c>
      <c r="D106" s="5085"/>
      <c r="E106" s="3975">
        <v>105</v>
      </c>
      <c r="F106" s="3975">
        <v>32</v>
      </c>
      <c r="G106" s="3976">
        <f t="shared" si="2"/>
        <v>30.476190476190474</v>
      </c>
      <c r="H106" s="3977">
        <v>0.875</v>
      </c>
      <c r="I106" s="3977">
        <v>0.125</v>
      </c>
      <c r="J106" s="3978">
        <v>0</v>
      </c>
      <c r="K106" s="3977">
        <v>7.1428571428571438E-2</v>
      </c>
      <c r="L106" s="3977">
        <v>0.14285714285714288</v>
      </c>
      <c r="M106" s="3978">
        <v>0</v>
      </c>
      <c r="N106" s="3977">
        <v>0.7857142857142857</v>
      </c>
    </row>
    <row r="107" spans="1:14">
      <c r="A107" s="5085"/>
      <c r="B107" s="5086"/>
      <c r="C107" s="3974" t="s">
        <v>2411</v>
      </c>
      <c r="D107" s="5085" t="s">
        <v>252</v>
      </c>
      <c r="E107" s="3975">
        <v>89</v>
      </c>
      <c r="F107" s="3975">
        <v>55</v>
      </c>
      <c r="G107" s="3976">
        <f t="shared" si="2"/>
        <v>61.797752808988761</v>
      </c>
      <c r="H107" s="3977">
        <v>0.87272727272727268</v>
      </c>
      <c r="I107" s="3977">
        <v>0.12727272727272726</v>
      </c>
      <c r="J107" s="3977">
        <v>6.25E-2</v>
      </c>
      <c r="K107" s="3977">
        <v>6.25E-2</v>
      </c>
      <c r="L107" s="3977">
        <v>0.10416666666666666</v>
      </c>
      <c r="M107" s="3977">
        <v>0.1875</v>
      </c>
      <c r="N107" s="3977">
        <v>0.58333333333333337</v>
      </c>
    </row>
    <row r="108" spans="1:14">
      <c r="A108" s="5085"/>
      <c r="B108" s="5086"/>
      <c r="C108" s="3974" t="s">
        <v>2583</v>
      </c>
      <c r="D108" s="5085"/>
      <c r="E108" s="3975">
        <v>109</v>
      </c>
      <c r="F108" s="3975">
        <v>48</v>
      </c>
      <c r="G108" s="3976">
        <f t="shared" si="2"/>
        <v>44.036697247706421</v>
      </c>
      <c r="H108" s="3977">
        <v>0.64583333333333326</v>
      </c>
      <c r="I108" s="3977">
        <v>0.35416666666666663</v>
      </c>
      <c r="J108" s="3977">
        <v>3.3333333333333333E-2</v>
      </c>
      <c r="K108" s="3977">
        <v>6.6666666666666666E-2</v>
      </c>
      <c r="L108" s="3977">
        <v>0.33333333333333337</v>
      </c>
      <c r="M108" s="3977">
        <v>6.6666666666666666E-2</v>
      </c>
      <c r="N108" s="3977">
        <v>0.5</v>
      </c>
    </row>
    <row r="109" spans="1:14">
      <c r="A109" s="5085"/>
      <c r="B109" s="5086"/>
      <c r="C109" s="3974" t="s">
        <v>2584</v>
      </c>
      <c r="D109" s="5085"/>
      <c r="E109" s="3975">
        <v>22</v>
      </c>
      <c r="F109" s="3975">
        <v>7</v>
      </c>
      <c r="G109" s="3976">
        <f t="shared" si="2"/>
        <v>31.818181818181817</v>
      </c>
      <c r="H109" s="3977">
        <v>0.8571428571428571</v>
      </c>
      <c r="I109" s="3977">
        <v>0.14285714285714288</v>
      </c>
      <c r="J109" s="3977">
        <v>0.16666666666666669</v>
      </c>
      <c r="K109" s="3978">
        <v>0</v>
      </c>
      <c r="L109" s="3978">
        <v>0</v>
      </c>
      <c r="M109" s="3977">
        <v>0.16666666666666669</v>
      </c>
      <c r="N109" s="3977">
        <v>0.66666666666666674</v>
      </c>
    </row>
    <row r="110" spans="1:14">
      <c r="A110" s="5085"/>
      <c r="B110" s="5086"/>
      <c r="C110" s="3974" t="s">
        <v>130</v>
      </c>
      <c r="D110" s="5085"/>
      <c r="E110" s="3975">
        <v>358</v>
      </c>
      <c r="F110" s="3975">
        <v>265</v>
      </c>
      <c r="G110" s="3976">
        <f t="shared" si="2"/>
        <v>74.022346368715077</v>
      </c>
      <c r="H110" s="3977">
        <v>0.6452830188679245</v>
      </c>
      <c r="I110" s="3977">
        <v>0.35471698113207545</v>
      </c>
      <c r="J110" s="3977">
        <v>1.8072289156626505E-2</v>
      </c>
      <c r="K110" s="3977">
        <v>3.0120481927710843E-2</v>
      </c>
      <c r="L110" s="3977">
        <v>0.10843373493975904</v>
      </c>
      <c r="M110" s="3977">
        <v>0.13855421686746988</v>
      </c>
      <c r="N110" s="3977">
        <v>0.70481927710843384</v>
      </c>
    </row>
    <row r="111" spans="1:14">
      <c r="A111" s="5085"/>
      <c r="B111" s="5086"/>
      <c r="C111" s="3974" t="s">
        <v>131</v>
      </c>
      <c r="D111" s="5085"/>
      <c r="E111" s="3975">
        <v>220</v>
      </c>
      <c r="F111" s="3975">
        <v>106</v>
      </c>
      <c r="G111" s="3976">
        <f t="shared" si="2"/>
        <v>48.18181818181818</v>
      </c>
      <c r="H111" s="3977">
        <v>0.51886792452830188</v>
      </c>
      <c r="I111" s="3977">
        <v>0.48113207547169812</v>
      </c>
      <c r="J111" s="3977">
        <v>1.8181818181818181E-2</v>
      </c>
      <c r="K111" s="3977">
        <v>0.10909090909090909</v>
      </c>
      <c r="L111" s="3977">
        <v>3.6363636363636362E-2</v>
      </c>
      <c r="M111" s="3977">
        <v>0.10909090909090909</v>
      </c>
      <c r="N111" s="3977">
        <v>0.72727272727272729</v>
      </c>
    </row>
    <row r="112" spans="1:14">
      <c r="A112" s="5085"/>
      <c r="B112" s="5086"/>
      <c r="C112" s="3974" t="s">
        <v>300</v>
      </c>
      <c r="D112" s="5085"/>
      <c r="E112" s="3975">
        <v>180</v>
      </c>
      <c r="F112" s="3975">
        <v>105</v>
      </c>
      <c r="G112" s="3976">
        <f t="shared" si="2"/>
        <v>58.333333333333336</v>
      </c>
      <c r="H112" s="3977">
        <v>0.61538461538461542</v>
      </c>
      <c r="I112" s="3977">
        <v>0.38461538461538458</v>
      </c>
      <c r="J112" s="3977">
        <v>0.11594202898550725</v>
      </c>
      <c r="K112" s="3977">
        <v>5.7971014492753624E-2</v>
      </c>
      <c r="L112" s="3977">
        <v>0.13043478260869565</v>
      </c>
      <c r="M112" s="3977">
        <v>0.17391304347826086</v>
      </c>
      <c r="N112" s="3977">
        <v>0.52173913043478259</v>
      </c>
    </row>
    <row r="113" spans="1:14">
      <c r="A113" s="5085"/>
      <c r="B113" s="5086"/>
      <c r="C113" s="3974" t="s">
        <v>130</v>
      </c>
      <c r="D113" s="5085" t="s">
        <v>253</v>
      </c>
      <c r="E113" s="3975">
        <v>213</v>
      </c>
      <c r="F113" s="3975">
        <v>63</v>
      </c>
      <c r="G113" s="3976">
        <f t="shared" si="2"/>
        <v>29.577464788732396</v>
      </c>
      <c r="H113" s="3977">
        <v>0.77777777777777768</v>
      </c>
      <c r="I113" s="3977">
        <v>0.22222222222222221</v>
      </c>
      <c r="J113" s="3977">
        <v>4.0816326530612249E-2</v>
      </c>
      <c r="K113" s="3977">
        <v>4.0816326530612249E-2</v>
      </c>
      <c r="L113" s="3977">
        <v>0.10204081632653061</v>
      </c>
      <c r="M113" s="3977">
        <v>0.14285714285714288</v>
      </c>
      <c r="N113" s="3977">
        <v>0.67346938775510212</v>
      </c>
    </row>
    <row r="114" spans="1:14">
      <c r="A114" s="5085"/>
      <c r="B114" s="5086"/>
      <c r="C114" s="3974" t="s">
        <v>506</v>
      </c>
      <c r="D114" s="5085"/>
      <c r="E114" s="3975">
        <v>141</v>
      </c>
      <c r="F114" s="3975">
        <v>103</v>
      </c>
      <c r="G114" s="3976">
        <f t="shared" si="2"/>
        <v>73.049645390070921</v>
      </c>
      <c r="H114" s="3975" t="s">
        <v>656</v>
      </c>
      <c r="I114" s="3975" t="s">
        <v>656</v>
      </c>
      <c r="J114" s="3979" t="s">
        <v>656</v>
      </c>
      <c r="K114" s="3925" t="s">
        <v>656</v>
      </c>
      <c r="L114" s="3925" t="s">
        <v>656</v>
      </c>
      <c r="M114" s="3925" t="s">
        <v>656</v>
      </c>
      <c r="N114" s="3925" t="s">
        <v>656</v>
      </c>
    </row>
    <row r="115" spans="1:14">
      <c r="A115" s="5085"/>
      <c r="B115" s="5086"/>
      <c r="C115" s="3974" t="s">
        <v>131</v>
      </c>
      <c r="D115" s="5085"/>
      <c r="E115" s="3975">
        <v>105</v>
      </c>
      <c r="F115" s="3975">
        <v>82</v>
      </c>
      <c r="G115" s="3976">
        <f t="shared" si="2"/>
        <v>78.095238095238102</v>
      </c>
      <c r="H115" s="3977">
        <v>0.87804878048780499</v>
      </c>
      <c r="I115" s="3977">
        <v>0.12195121951219512</v>
      </c>
      <c r="J115" s="3977">
        <v>2.8571428571428571E-2</v>
      </c>
      <c r="K115" s="3977">
        <v>1.4285714285714285E-2</v>
      </c>
      <c r="L115" s="3977">
        <v>7.1428571428571438E-2</v>
      </c>
      <c r="M115" s="3977">
        <v>0.21428571428571427</v>
      </c>
      <c r="N115" s="3977">
        <v>0.67142857142857137</v>
      </c>
    </row>
    <row r="116" spans="1:14">
      <c r="A116" s="5085"/>
      <c r="B116" s="5086"/>
      <c r="C116" s="3974" t="s">
        <v>417</v>
      </c>
      <c r="D116" s="5085"/>
      <c r="E116" s="3975">
        <v>65</v>
      </c>
      <c r="F116" s="3975">
        <v>5</v>
      </c>
      <c r="G116" s="3976">
        <f t="shared" si="2"/>
        <v>7.6923076923076925</v>
      </c>
      <c r="H116" s="3977">
        <v>0.98148148148148151</v>
      </c>
      <c r="I116" s="3977">
        <v>1.8518518518518517E-2</v>
      </c>
      <c r="J116" s="3978">
        <v>0</v>
      </c>
      <c r="K116" s="3978">
        <v>0</v>
      </c>
      <c r="L116" s="3977">
        <v>2.8846153846153844E-2</v>
      </c>
      <c r="M116" s="3977">
        <v>6.7307692307692304E-2</v>
      </c>
      <c r="N116" s="3977">
        <v>0.90384615384615385</v>
      </c>
    </row>
    <row r="117" spans="1:14" ht="15" customHeight="1">
      <c r="A117" s="5085" t="s">
        <v>48</v>
      </c>
      <c r="B117" s="5086" t="s">
        <v>2536</v>
      </c>
      <c r="C117" s="3974" t="s">
        <v>2591</v>
      </c>
      <c r="D117" s="5085" t="s">
        <v>270</v>
      </c>
      <c r="E117" s="3975">
        <v>170</v>
      </c>
      <c r="F117" s="3975">
        <v>78</v>
      </c>
      <c r="G117" s="3976">
        <f t="shared" si="2"/>
        <v>45.882352941176471</v>
      </c>
      <c r="H117" s="3977">
        <v>0.80769230769230771</v>
      </c>
      <c r="I117" s="3977">
        <v>0.19230769230769229</v>
      </c>
      <c r="J117" s="3978">
        <v>0</v>
      </c>
      <c r="K117" s="3977">
        <v>1.5625E-2</v>
      </c>
      <c r="L117" s="3977">
        <v>4.6875E-2</v>
      </c>
      <c r="M117" s="3977">
        <v>0.109375</v>
      </c>
      <c r="N117" s="3977">
        <v>0.828125</v>
      </c>
    </row>
    <row r="118" spans="1:14">
      <c r="A118" s="5085"/>
      <c r="B118" s="5086"/>
      <c r="C118" s="3974" t="s">
        <v>2596</v>
      </c>
      <c r="D118" s="5085"/>
      <c r="E118" s="3975">
        <v>245</v>
      </c>
      <c r="F118" s="3975">
        <v>129</v>
      </c>
      <c r="G118" s="3976">
        <f t="shared" si="2"/>
        <v>52.653061224489797</v>
      </c>
      <c r="H118" s="3977">
        <v>0.76744186046511631</v>
      </c>
      <c r="I118" s="3977">
        <v>0.23255813953488372</v>
      </c>
      <c r="J118" s="3977">
        <v>2.0408163265306124E-2</v>
      </c>
      <c r="K118" s="3977">
        <v>4.0816326530612249E-2</v>
      </c>
      <c r="L118" s="3977">
        <v>7.1428571428571438E-2</v>
      </c>
      <c r="M118" s="3977">
        <v>0.10204081632653061</v>
      </c>
      <c r="N118" s="3977">
        <v>0.76530612244897955</v>
      </c>
    </row>
    <row r="119" spans="1:14">
      <c r="A119" s="5085"/>
      <c r="B119" s="5086"/>
      <c r="C119" s="3974" t="s">
        <v>2589</v>
      </c>
      <c r="D119" s="5085" t="s">
        <v>252</v>
      </c>
      <c r="E119" s="3975">
        <v>86</v>
      </c>
      <c r="F119" s="3975">
        <v>22</v>
      </c>
      <c r="G119" s="3976">
        <f t="shared" si="2"/>
        <v>25.581395348837209</v>
      </c>
      <c r="H119" s="3977">
        <v>0.81818181818181812</v>
      </c>
      <c r="I119" s="3977">
        <v>0.18181818181818182</v>
      </c>
      <c r="J119" s="3978">
        <v>0</v>
      </c>
      <c r="K119" s="3977">
        <v>5.8823529411764712E-2</v>
      </c>
      <c r="L119" s="3977">
        <v>0.11764705882352942</v>
      </c>
      <c r="M119" s="3977">
        <v>5.8823529411764712E-2</v>
      </c>
      <c r="N119" s="3977">
        <v>0.76470588235294112</v>
      </c>
    </row>
    <row r="120" spans="1:14">
      <c r="A120" s="5085"/>
      <c r="B120" s="5086"/>
      <c r="C120" s="3974" t="s">
        <v>508</v>
      </c>
      <c r="D120" s="5085"/>
      <c r="E120" s="3975">
        <v>115</v>
      </c>
      <c r="F120" s="3975">
        <v>37</v>
      </c>
      <c r="G120" s="3976">
        <f t="shared" si="2"/>
        <v>32.173913043478258</v>
      </c>
      <c r="H120" s="3977">
        <v>0.78378378378378377</v>
      </c>
      <c r="I120" s="3977">
        <v>0.2162162162162162</v>
      </c>
      <c r="J120" s="3977">
        <v>6.8965517241379309E-2</v>
      </c>
      <c r="K120" s="3978">
        <v>0</v>
      </c>
      <c r="L120" s="3977">
        <v>6.8965517241379309E-2</v>
      </c>
      <c r="M120" s="3977">
        <v>6.8965517241379309E-2</v>
      </c>
      <c r="N120" s="3977">
        <v>0.7931034482758621</v>
      </c>
    </row>
    <row r="121" spans="1:14">
      <c r="A121" s="5085"/>
      <c r="B121" s="5086"/>
      <c r="C121" s="3974" t="s">
        <v>418</v>
      </c>
      <c r="D121" s="5085"/>
      <c r="E121" s="3975">
        <v>154</v>
      </c>
      <c r="F121" s="3975">
        <v>76</v>
      </c>
      <c r="G121" s="3976">
        <f t="shared" si="2"/>
        <v>49.350649350649348</v>
      </c>
      <c r="H121" s="3977">
        <v>0.86842105263157887</v>
      </c>
      <c r="I121" s="3977">
        <v>0.13157894736842105</v>
      </c>
      <c r="J121" s="3977">
        <v>1.5151515151515152E-2</v>
      </c>
      <c r="K121" s="3978">
        <v>0</v>
      </c>
      <c r="L121" s="3977">
        <v>0.13636363636363635</v>
      </c>
      <c r="M121" s="3977">
        <v>0.22727272727272727</v>
      </c>
      <c r="N121" s="3977">
        <v>0.62121212121212122</v>
      </c>
    </row>
    <row r="122" spans="1:14">
      <c r="A122" s="5085"/>
      <c r="B122" s="5086"/>
      <c r="C122" s="3974" t="s">
        <v>2591</v>
      </c>
      <c r="D122" s="5085"/>
      <c r="E122" s="3975">
        <v>101</v>
      </c>
      <c r="F122" s="3975">
        <v>2</v>
      </c>
      <c r="G122" s="3976">
        <f t="shared" si="2"/>
        <v>1.9801980198019802</v>
      </c>
      <c r="H122" s="3977">
        <v>1</v>
      </c>
      <c r="I122" s="3975" t="s">
        <v>656</v>
      </c>
      <c r="J122" s="3978">
        <v>0</v>
      </c>
      <c r="K122" s="3977">
        <v>0.5</v>
      </c>
      <c r="L122" s="3977">
        <v>0.5</v>
      </c>
      <c r="M122" s="3978">
        <v>0</v>
      </c>
      <c r="N122" s="3978">
        <v>0</v>
      </c>
    </row>
    <row r="123" spans="1:14">
      <c r="A123" s="5085"/>
      <c r="B123" s="5086"/>
      <c r="C123" s="3974" t="s">
        <v>302</v>
      </c>
      <c r="D123" s="5085"/>
      <c r="E123" s="3975">
        <v>144</v>
      </c>
      <c r="F123" s="3975">
        <v>95</v>
      </c>
      <c r="G123" s="3976">
        <f t="shared" si="2"/>
        <v>65.972222222222229</v>
      </c>
      <c r="H123" s="3977">
        <v>0.83157894736842108</v>
      </c>
      <c r="I123" s="3977">
        <v>0.16842105263157894</v>
      </c>
      <c r="J123" s="3978">
        <v>0</v>
      </c>
      <c r="K123" s="3977">
        <v>2.5316455696202535E-2</v>
      </c>
      <c r="L123" s="3977">
        <v>0.13924050632911392</v>
      </c>
      <c r="M123" s="3977">
        <v>0.25316455696202533</v>
      </c>
      <c r="N123" s="3977">
        <v>0.58227848101265822</v>
      </c>
    </row>
    <row r="124" spans="1:14">
      <c r="A124" s="5085"/>
      <c r="B124" s="5086"/>
      <c r="C124" s="3974" t="s">
        <v>2592</v>
      </c>
      <c r="D124" s="5085"/>
      <c r="E124" s="3975">
        <v>21</v>
      </c>
      <c r="F124" s="3975">
        <v>4</v>
      </c>
      <c r="G124" s="3976">
        <f t="shared" si="2"/>
        <v>19.047619047619047</v>
      </c>
      <c r="H124" s="3977">
        <v>1</v>
      </c>
      <c r="I124" s="3978">
        <v>0</v>
      </c>
      <c r="J124" s="3978">
        <v>0</v>
      </c>
      <c r="K124" s="3978">
        <v>0</v>
      </c>
      <c r="L124" s="3978">
        <v>0</v>
      </c>
      <c r="M124" s="3978">
        <v>0</v>
      </c>
      <c r="N124" s="3977">
        <v>1</v>
      </c>
    </row>
    <row r="125" spans="1:14">
      <c r="A125" s="5085"/>
      <c r="B125" s="5086"/>
      <c r="C125" s="3974" t="s">
        <v>303</v>
      </c>
      <c r="D125" s="5085"/>
      <c r="E125" s="3975">
        <v>125</v>
      </c>
      <c r="F125" s="3975">
        <v>93</v>
      </c>
      <c r="G125" s="3976">
        <f t="shared" si="2"/>
        <v>74.400000000000006</v>
      </c>
      <c r="H125" s="3977">
        <v>0.89247311827956988</v>
      </c>
      <c r="I125" s="3977">
        <v>0.1075268817204301</v>
      </c>
      <c r="J125" s="3977">
        <v>4.8192771084337352E-2</v>
      </c>
      <c r="K125" s="3977">
        <v>2.4096385542168676E-2</v>
      </c>
      <c r="L125" s="3977">
        <v>0.12048192771084337</v>
      </c>
      <c r="M125" s="3977">
        <v>0.24096385542168675</v>
      </c>
      <c r="N125" s="3977">
        <v>0.5662650602409639</v>
      </c>
    </row>
    <row r="126" spans="1:14">
      <c r="A126" s="5085"/>
      <c r="B126" s="5086"/>
      <c r="C126" s="3974" t="s">
        <v>509</v>
      </c>
      <c r="D126" s="5085"/>
      <c r="E126" s="3975">
        <v>96</v>
      </c>
      <c r="F126" s="3975">
        <v>65</v>
      </c>
      <c r="G126" s="3976">
        <f t="shared" si="2"/>
        <v>67.708333333333329</v>
      </c>
      <c r="H126" s="3977">
        <v>0.76923076923076916</v>
      </c>
      <c r="I126" s="3977">
        <v>0.23076923076923075</v>
      </c>
      <c r="J126" s="3977">
        <v>2.0408163265306124E-2</v>
      </c>
      <c r="K126" s="3977">
        <v>2.0408163265306124E-2</v>
      </c>
      <c r="L126" s="3977">
        <v>0.14285714285714288</v>
      </c>
      <c r="M126" s="3977">
        <v>0.24489795918367346</v>
      </c>
      <c r="N126" s="3977">
        <v>0.57142857142857151</v>
      </c>
    </row>
    <row r="127" spans="1:14">
      <c r="A127" s="5085"/>
      <c r="B127" s="5086"/>
      <c r="C127" s="3974" t="s">
        <v>2595</v>
      </c>
      <c r="D127" s="5085"/>
      <c r="E127" s="3975">
        <v>60</v>
      </c>
      <c r="F127" s="3975">
        <v>12</v>
      </c>
      <c r="G127" s="3976">
        <f t="shared" si="2"/>
        <v>20</v>
      </c>
      <c r="H127" s="3977">
        <v>0.58333333333333337</v>
      </c>
      <c r="I127" s="3977">
        <v>0.41666666666666663</v>
      </c>
      <c r="J127" s="3978">
        <v>0</v>
      </c>
      <c r="K127" s="3977">
        <v>0.14285714285714288</v>
      </c>
      <c r="L127" s="3978">
        <v>0</v>
      </c>
      <c r="M127" s="3978">
        <v>0</v>
      </c>
      <c r="N127" s="3977">
        <v>0.8571428571428571</v>
      </c>
    </row>
    <row r="128" spans="1:14">
      <c r="A128" s="5085"/>
      <c r="B128" s="5086"/>
      <c r="C128" s="3974" t="s">
        <v>2596</v>
      </c>
      <c r="D128" s="5085"/>
      <c r="E128" s="3975">
        <v>294</v>
      </c>
      <c r="F128" s="3975">
        <v>115</v>
      </c>
      <c r="G128" s="3976">
        <f t="shared" si="2"/>
        <v>39.115646258503403</v>
      </c>
      <c r="H128" s="3977">
        <v>0.64035087719298245</v>
      </c>
      <c r="I128" s="3977">
        <v>0.35964912280701755</v>
      </c>
      <c r="J128" s="3977">
        <v>1.3698630136986301E-2</v>
      </c>
      <c r="K128" s="3977">
        <v>6.8493150684931503E-2</v>
      </c>
      <c r="L128" s="3977">
        <v>9.5890410958904104E-2</v>
      </c>
      <c r="M128" s="3977">
        <v>0.26027397260273971</v>
      </c>
      <c r="N128" s="3977">
        <v>0.56164383561643838</v>
      </c>
    </row>
    <row r="129" spans="1:14">
      <c r="A129" s="5085"/>
      <c r="B129" s="5086"/>
      <c r="C129" s="3974" t="s">
        <v>2417</v>
      </c>
      <c r="D129" s="5085"/>
      <c r="E129" s="3975">
        <v>34</v>
      </c>
      <c r="F129" s="3975">
        <v>22</v>
      </c>
      <c r="G129" s="3976">
        <f t="shared" si="2"/>
        <v>64.705882352941174</v>
      </c>
      <c r="H129" s="3977">
        <v>0.54545454545454541</v>
      </c>
      <c r="I129" s="3977">
        <v>0.45454545454545453</v>
      </c>
      <c r="J129" s="3978">
        <v>0</v>
      </c>
      <c r="K129" s="3978">
        <v>0</v>
      </c>
      <c r="L129" s="3977">
        <v>0.38461538461538458</v>
      </c>
      <c r="M129" s="3977">
        <v>0.38461538461538458</v>
      </c>
      <c r="N129" s="3977">
        <v>0.23076923076923075</v>
      </c>
    </row>
    <row r="130" spans="1:14">
      <c r="A130" s="5085"/>
      <c r="B130" s="5086"/>
      <c r="C130" s="3974" t="s">
        <v>304</v>
      </c>
      <c r="D130" s="5085"/>
      <c r="E130" s="3975">
        <v>54</v>
      </c>
      <c r="F130" s="3975">
        <v>17</v>
      </c>
      <c r="G130" s="3976">
        <f t="shared" si="2"/>
        <v>31.481481481481481</v>
      </c>
      <c r="H130" s="3977">
        <v>0.82352941176470595</v>
      </c>
      <c r="I130" s="3977">
        <v>0.17647058823529413</v>
      </c>
      <c r="J130" s="3977">
        <v>7.1428571428571438E-2</v>
      </c>
      <c r="K130" s="3977">
        <v>0.14285714285714288</v>
      </c>
      <c r="L130" s="3977">
        <v>7.1428571428571438E-2</v>
      </c>
      <c r="M130" s="3977">
        <v>0.14285714285714288</v>
      </c>
      <c r="N130" s="3977">
        <v>0.57142857142857151</v>
      </c>
    </row>
    <row r="131" spans="1:14">
      <c r="A131" s="5085"/>
      <c r="B131" s="5086"/>
      <c r="C131" s="3974" t="s">
        <v>2368</v>
      </c>
      <c r="D131" s="5085"/>
      <c r="E131" s="3975">
        <v>161</v>
      </c>
      <c r="F131" s="3975">
        <v>99</v>
      </c>
      <c r="G131" s="3976">
        <f t="shared" si="2"/>
        <v>61.490683229813662</v>
      </c>
      <c r="H131" s="3977">
        <v>0.81818181818181812</v>
      </c>
      <c r="I131" s="3977">
        <v>0.18181818181818182</v>
      </c>
      <c r="J131" s="3978">
        <v>0</v>
      </c>
      <c r="K131" s="3977">
        <v>5.0632911392405069E-2</v>
      </c>
      <c r="L131" s="3977">
        <v>8.8607594936708847E-2</v>
      </c>
      <c r="M131" s="3977">
        <v>0.21518987341772153</v>
      </c>
      <c r="N131" s="3977">
        <v>0.64556962025316456</v>
      </c>
    </row>
    <row r="132" spans="1:14">
      <c r="A132" s="5085"/>
      <c r="B132" s="5086"/>
      <c r="C132" s="3974" t="s">
        <v>307</v>
      </c>
      <c r="D132" s="5085" t="s">
        <v>253</v>
      </c>
      <c r="E132" s="3975">
        <v>356</v>
      </c>
      <c r="F132" s="3975">
        <v>103</v>
      </c>
      <c r="G132" s="3976">
        <f t="shared" si="2"/>
        <v>28.932584269662922</v>
      </c>
      <c r="H132" s="3977">
        <v>0.96116504854368923</v>
      </c>
      <c r="I132" s="3977">
        <v>3.8834951456310683E-2</v>
      </c>
      <c r="J132" s="3977">
        <v>2.9702970297029702E-2</v>
      </c>
      <c r="K132" s="3978">
        <v>0</v>
      </c>
      <c r="L132" s="3977">
        <v>9.9009900990099011E-3</v>
      </c>
      <c r="M132" s="3977">
        <v>0.11881188118811881</v>
      </c>
      <c r="N132" s="3977">
        <v>0.84158415841584155</v>
      </c>
    </row>
    <row r="133" spans="1:14">
      <c r="A133" s="5085"/>
      <c r="B133" s="5086"/>
      <c r="C133" s="3974" t="s">
        <v>2595</v>
      </c>
      <c r="D133" s="5085"/>
      <c r="E133" s="3975">
        <v>21</v>
      </c>
      <c r="F133" s="3975">
        <v>17</v>
      </c>
      <c r="G133" s="3976">
        <f t="shared" si="2"/>
        <v>80.952380952380949</v>
      </c>
      <c r="H133" s="3977">
        <v>0.94117647058823539</v>
      </c>
      <c r="I133" s="3977">
        <v>5.8823529411764712E-2</v>
      </c>
      <c r="J133" s="3978">
        <v>0</v>
      </c>
      <c r="K133" s="3978">
        <v>0</v>
      </c>
      <c r="L133" s="3978">
        <v>0</v>
      </c>
      <c r="M133" s="3977">
        <v>0.1875</v>
      </c>
      <c r="N133" s="3977">
        <v>0.8125</v>
      </c>
    </row>
    <row r="134" spans="1:14">
      <c r="A134" s="5085"/>
      <c r="B134" s="5086"/>
      <c r="C134" s="3974" t="s">
        <v>2596</v>
      </c>
      <c r="D134" s="5085"/>
      <c r="E134" s="3975">
        <v>68</v>
      </c>
      <c r="F134" s="3975">
        <v>20</v>
      </c>
      <c r="G134" s="3976">
        <f t="shared" si="2"/>
        <v>29.411764705882351</v>
      </c>
      <c r="H134" s="3977">
        <v>0.95</v>
      </c>
      <c r="I134" s="3977">
        <v>0.05</v>
      </c>
      <c r="J134" s="3978">
        <v>0</v>
      </c>
      <c r="K134" s="3978">
        <v>0</v>
      </c>
      <c r="L134" s="3977">
        <v>0.26315789473684209</v>
      </c>
      <c r="M134" s="3977">
        <v>0.15789473684210525</v>
      </c>
      <c r="N134" s="3977">
        <v>0.57894736842105265</v>
      </c>
    </row>
    <row r="135" spans="1:14" ht="15" customHeight="1">
      <c r="A135" s="5085"/>
      <c r="B135" s="5086" t="s">
        <v>2538</v>
      </c>
      <c r="C135" s="3974" t="s">
        <v>2600</v>
      </c>
      <c r="D135" s="5085" t="s">
        <v>270</v>
      </c>
      <c r="E135" s="3975">
        <v>103</v>
      </c>
      <c r="F135" s="3975">
        <v>78</v>
      </c>
      <c r="G135" s="3976">
        <f t="shared" si="2"/>
        <v>75.728155339805824</v>
      </c>
      <c r="H135" s="3977">
        <v>0.8205128205128206</v>
      </c>
      <c r="I135" s="3977">
        <v>0.17948717948717949</v>
      </c>
      <c r="J135" s="3978">
        <v>0</v>
      </c>
      <c r="K135" s="3977">
        <v>3.0769230769230771E-2</v>
      </c>
      <c r="L135" s="3977">
        <v>0.12307692307692308</v>
      </c>
      <c r="M135" s="3977">
        <v>9.2307692307692299E-2</v>
      </c>
      <c r="N135" s="3977">
        <v>0.75384615384615383</v>
      </c>
    </row>
    <row r="136" spans="1:14">
      <c r="A136" s="5085"/>
      <c r="B136" s="5086"/>
      <c r="C136" s="3974" t="s">
        <v>512</v>
      </c>
      <c r="D136" s="5085"/>
      <c r="E136" s="3975">
        <v>76</v>
      </c>
      <c r="F136" s="3975">
        <v>6</v>
      </c>
      <c r="G136" s="3976">
        <f t="shared" si="2"/>
        <v>7.8947368421052628</v>
      </c>
      <c r="H136" s="3977">
        <v>1</v>
      </c>
      <c r="I136" s="3978">
        <v>0</v>
      </c>
      <c r="J136" s="3978">
        <v>0</v>
      </c>
      <c r="K136" s="3978">
        <v>0</v>
      </c>
      <c r="L136" s="3977">
        <v>0.16666666666666669</v>
      </c>
      <c r="M136" s="3977">
        <v>0.16666666666666669</v>
      </c>
      <c r="N136" s="3977">
        <v>0.66666666666666674</v>
      </c>
    </row>
    <row r="137" spans="1:14">
      <c r="A137" s="5085"/>
      <c r="B137" s="5086"/>
      <c r="C137" s="3974" t="s">
        <v>2598</v>
      </c>
      <c r="D137" s="5085"/>
      <c r="E137" s="3975">
        <v>45</v>
      </c>
      <c r="F137" s="3975">
        <v>30</v>
      </c>
      <c r="G137" s="3976">
        <f t="shared" si="2"/>
        <v>66.666666666666671</v>
      </c>
      <c r="H137" s="3977">
        <v>1</v>
      </c>
      <c r="I137" s="3978">
        <v>0</v>
      </c>
      <c r="J137" s="3977">
        <v>6.6666666666666666E-2</v>
      </c>
      <c r="K137" s="3977">
        <v>6.6666666666666666E-2</v>
      </c>
      <c r="L137" s="3977">
        <v>3.3333333333333333E-2</v>
      </c>
      <c r="M137" s="3977">
        <v>0.13333333333333333</v>
      </c>
      <c r="N137" s="3977">
        <v>0.7</v>
      </c>
    </row>
    <row r="138" spans="1:14">
      <c r="A138" s="5085"/>
      <c r="B138" s="5086"/>
      <c r="C138" s="3974" t="s">
        <v>2599</v>
      </c>
      <c r="D138" s="5085"/>
      <c r="E138" s="3975">
        <v>30</v>
      </c>
      <c r="F138" s="3975">
        <v>12</v>
      </c>
      <c r="G138" s="3976">
        <f t="shared" si="2"/>
        <v>40</v>
      </c>
      <c r="H138" s="3977">
        <v>0.83333333333333326</v>
      </c>
      <c r="I138" s="3977">
        <v>0.16666666666666669</v>
      </c>
      <c r="J138" s="3977">
        <v>0.1</v>
      </c>
      <c r="K138" s="3978">
        <v>0</v>
      </c>
      <c r="L138" s="3978">
        <v>0</v>
      </c>
      <c r="M138" s="3978">
        <v>0</v>
      </c>
      <c r="N138" s="3977">
        <v>0.9</v>
      </c>
    </row>
    <row r="139" spans="1:14">
      <c r="A139" s="5085"/>
      <c r="B139" s="5086"/>
      <c r="C139" s="3974" t="s">
        <v>2420</v>
      </c>
      <c r="D139" s="5085"/>
      <c r="E139" s="3975">
        <v>10</v>
      </c>
      <c r="F139" s="3975">
        <v>0</v>
      </c>
      <c r="G139" s="3976">
        <f t="shared" si="2"/>
        <v>0</v>
      </c>
      <c r="H139" s="3975" t="s">
        <v>656</v>
      </c>
      <c r="I139" s="3975" t="s">
        <v>656</v>
      </c>
      <c r="J139" s="3979" t="s">
        <v>656</v>
      </c>
      <c r="K139" s="3925" t="s">
        <v>656</v>
      </c>
      <c r="L139" s="3925" t="s">
        <v>656</v>
      </c>
      <c r="M139" s="3925" t="s">
        <v>656</v>
      </c>
      <c r="N139" s="3925" t="s">
        <v>656</v>
      </c>
    </row>
    <row r="140" spans="1:14">
      <c r="A140" s="5085"/>
      <c r="B140" s="5086"/>
      <c r="C140" s="3974" t="s">
        <v>2600</v>
      </c>
      <c r="D140" s="5085" t="s">
        <v>252</v>
      </c>
      <c r="E140" s="3975">
        <v>201</v>
      </c>
      <c r="F140" s="3975">
        <v>121</v>
      </c>
      <c r="G140" s="3976">
        <f t="shared" si="2"/>
        <v>60.199004975124382</v>
      </c>
      <c r="H140" s="3977">
        <v>0.85833333333333328</v>
      </c>
      <c r="I140" s="3977">
        <v>0.14166666666666666</v>
      </c>
      <c r="J140" s="3977">
        <v>2.9126213592233011E-2</v>
      </c>
      <c r="K140" s="3977">
        <v>8.7378640776699032E-2</v>
      </c>
      <c r="L140" s="3977">
        <v>0.13592233009708737</v>
      </c>
      <c r="M140" s="3977">
        <v>0.22330097087378639</v>
      </c>
      <c r="N140" s="3977">
        <v>0.52427184466019416</v>
      </c>
    </row>
    <row r="141" spans="1:14">
      <c r="A141" s="5085"/>
      <c r="B141" s="5086"/>
      <c r="C141" s="3974" t="s">
        <v>310</v>
      </c>
      <c r="D141" s="5085"/>
      <c r="E141" s="3975">
        <v>211</v>
      </c>
      <c r="F141" s="3975">
        <v>142</v>
      </c>
      <c r="G141" s="3976">
        <f t="shared" si="2"/>
        <v>67.29857819905213</v>
      </c>
      <c r="H141" s="3977">
        <v>0.8936170212765957</v>
      </c>
      <c r="I141" s="3977">
        <v>0.10638297872340426</v>
      </c>
      <c r="J141" s="3977">
        <v>3.1746031746031744E-2</v>
      </c>
      <c r="K141" s="3977">
        <v>3.968253968253968E-2</v>
      </c>
      <c r="L141" s="3977">
        <v>0.16666666666666669</v>
      </c>
      <c r="M141" s="3977">
        <v>0.23015873015873015</v>
      </c>
      <c r="N141" s="3977">
        <v>0.53174603174603174</v>
      </c>
    </row>
    <row r="142" spans="1:14">
      <c r="A142" s="5085"/>
      <c r="B142" s="5086"/>
      <c r="C142" s="3974" t="s">
        <v>797</v>
      </c>
      <c r="D142" s="5085"/>
      <c r="E142" s="3975">
        <v>119</v>
      </c>
      <c r="F142" s="3975">
        <v>109</v>
      </c>
      <c r="G142" s="3976">
        <f t="shared" si="2"/>
        <v>91.596638655462186</v>
      </c>
      <c r="H142" s="3977">
        <v>0.75229357798165142</v>
      </c>
      <c r="I142" s="3977">
        <v>0.24770642201834864</v>
      </c>
      <c r="J142" s="3977">
        <v>3.7499999999999999E-2</v>
      </c>
      <c r="K142" s="3977">
        <v>7.4999999999999997E-2</v>
      </c>
      <c r="L142" s="3977">
        <v>0.17499999999999999</v>
      </c>
      <c r="M142" s="3977">
        <v>0.23749999999999999</v>
      </c>
      <c r="N142" s="3977">
        <v>0.47499999999999998</v>
      </c>
    </row>
    <row r="143" spans="1:14">
      <c r="A143" s="5085"/>
      <c r="B143" s="5086"/>
      <c r="C143" s="3974" t="s">
        <v>348</v>
      </c>
      <c r="D143" s="5085"/>
      <c r="E143" s="3975">
        <v>24</v>
      </c>
      <c r="F143" s="3975">
        <v>3</v>
      </c>
      <c r="G143" s="3976">
        <f t="shared" si="2"/>
        <v>12.5</v>
      </c>
      <c r="H143" s="3977">
        <v>0.66666666666666674</v>
      </c>
      <c r="I143" s="3977">
        <v>0.33333333333333337</v>
      </c>
      <c r="J143" s="3978">
        <v>0</v>
      </c>
      <c r="K143" s="3978">
        <v>0</v>
      </c>
      <c r="L143" s="3978">
        <v>0</v>
      </c>
      <c r="M143" s="3978">
        <v>0</v>
      </c>
      <c r="N143" s="3977">
        <v>1</v>
      </c>
    </row>
    <row r="144" spans="1:14">
      <c r="A144" s="5085"/>
      <c r="B144" s="5086"/>
      <c r="C144" s="3974" t="s">
        <v>312</v>
      </c>
      <c r="D144" s="5085"/>
      <c r="E144" s="3975">
        <v>169</v>
      </c>
      <c r="F144" s="3975">
        <v>108</v>
      </c>
      <c r="G144" s="3976">
        <f t="shared" si="2"/>
        <v>63.905325443786985</v>
      </c>
      <c r="H144" s="3977">
        <v>0.77777777777777768</v>
      </c>
      <c r="I144" s="3977">
        <v>0.22222222222222221</v>
      </c>
      <c r="J144" s="3977">
        <v>1.1904761904761904E-2</v>
      </c>
      <c r="K144" s="3977">
        <v>1.1904761904761904E-2</v>
      </c>
      <c r="L144" s="3977">
        <v>9.5238095238095233E-2</v>
      </c>
      <c r="M144" s="3977">
        <v>0.28571428571428575</v>
      </c>
      <c r="N144" s="3977">
        <v>0.59523809523809523</v>
      </c>
    </row>
    <row r="145" spans="1:14">
      <c r="A145" s="5085"/>
      <c r="B145" s="5086"/>
      <c r="C145" s="3974" t="s">
        <v>309</v>
      </c>
      <c r="D145" s="5085"/>
      <c r="E145" s="3975">
        <v>190</v>
      </c>
      <c r="F145" s="3975">
        <v>118</v>
      </c>
      <c r="G145" s="3976">
        <f t="shared" si="2"/>
        <v>62.10526315789474</v>
      </c>
      <c r="H145" s="3977">
        <v>0.65217391304347827</v>
      </c>
      <c r="I145" s="3977">
        <v>0.34782608695652173</v>
      </c>
      <c r="J145" s="3977">
        <v>9.0909090909090912E-2</v>
      </c>
      <c r="K145" s="3977">
        <v>6.8181818181818177E-2</v>
      </c>
      <c r="L145" s="3977">
        <v>0.18181818181818182</v>
      </c>
      <c r="M145" s="3977">
        <v>0.29545454545454547</v>
      </c>
      <c r="N145" s="3977">
        <v>0.36363636363636365</v>
      </c>
    </row>
    <row r="146" spans="1:14">
      <c r="A146" s="5085"/>
      <c r="B146" s="5086"/>
      <c r="C146" s="3974" t="s">
        <v>2599</v>
      </c>
      <c r="D146" s="5085"/>
      <c r="E146" s="3975">
        <v>10</v>
      </c>
      <c r="F146" s="3975">
        <v>0</v>
      </c>
      <c r="G146" s="3976">
        <f t="shared" si="2"/>
        <v>0</v>
      </c>
      <c r="H146" s="3975" t="s">
        <v>656</v>
      </c>
      <c r="I146" s="3975" t="s">
        <v>656</v>
      </c>
      <c r="J146" s="3979" t="s">
        <v>656</v>
      </c>
      <c r="K146" s="3925" t="s">
        <v>656</v>
      </c>
      <c r="L146" s="3925" t="s">
        <v>656</v>
      </c>
      <c r="M146" s="3925" t="s">
        <v>656</v>
      </c>
      <c r="N146" s="3925" t="s">
        <v>656</v>
      </c>
    </row>
    <row r="147" spans="1:14">
      <c r="A147" s="5085"/>
      <c r="B147" s="5086"/>
      <c r="C147" s="3974" t="s">
        <v>711</v>
      </c>
      <c r="D147" s="5085"/>
      <c r="E147" s="3975">
        <v>14</v>
      </c>
      <c r="F147" s="3975">
        <v>0</v>
      </c>
      <c r="G147" s="3976">
        <f t="shared" si="2"/>
        <v>0</v>
      </c>
      <c r="H147" s="3975" t="s">
        <v>656</v>
      </c>
      <c r="I147" s="3975" t="s">
        <v>656</v>
      </c>
      <c r="J147" s="3979" t="s">
        <v>656</v>
      </c>
      <c r="K147" s="3925" t="s">
        <v>656</v>
      </c>
      <c r="L147" s="3925" t="s">
        <v>656</v>
      </c>
      <c r="M147" s="3925" t="s">
        <v>656</v>
      </c>
      <c r="N147" s="3925" t="s">
        <v>656</v>
      </c>
    </row>
    <row r="148" spans="1:14">
      <c r="A148" s="5085"/>
      <c r="B148" s="5086"/>
      <c r="C148" s="3974" t="s">
        <v>2420</v>
      </c>
      <c r="D148" s="5085"/>
      <c r="E148" s="3975">
        <v>14</v>
      </c>
      <c r="F148" s="3975">
        <v>0</v>
      </c>
      <c r="G148" s="3976">
        <f t="shared" si="2"/>
        <v>0</v>
      </c>
      <c r="H148" s="3975" t="s">
        <v>656</v>
      </c>
      <c r="I148" s="3975" t="s">
        <v>656</v>
      </c>
      <c r="J148" s="3979" t="s">
        <v>656</v>
      </c>
      <c r="K148" s="3925" t="s">
        <v>656</v>
      </c>
      <c r="L148" s="3925" t="s">
        <v>656</v>
      </c>
      <c r="M148" s="3925" t="s">
        <v>656</v>
      </c>
      <c r="N148" s="3925" t="s">
        <v>656</v>
      </c>
    </row>
    <row r="149" spans="1:14">
      <c r="A149" s="5085"/>
      <c r="B149" s="5086"/>
      <c r="C149" s="3974" t="s">
        <v>311</v>
      </c>
      <c r="D149" s="5085"/>
      <c r="E149" s="3975">
        <v>5</v>
      </c>
      <c r="F149" s="3975">
        <v>0</v>
      </c>
      <c r="G149" s="3976">
        <f t="shared" si="2"/>
        <v>0</v>
      </c>
      <c r="H149" s="3975" t="s">
        <v>656</v>
      </c>
      <c r="I149" s="3975" t="s">
        <v>656</v>
      </c>
      <c r="J149" s="3979" t="s">
        <v>656</v>
      </c>
      <c r="K149" s="3925" t="s">
        <v>656</v>
      </c>
      <c r="L149" s="3925" t="s">
        <v>656</v>
      </c>
      <c r="M149" s="3925" t="s">
        <v>656</v>
      </c>
      <c r="N149" s="3925" t="s">
        <v>656</v>
      </c>
    </row>
    <row r="150" spans="1:14">
      <c r="A150" s="5085"/>
      <c r="B150" s="5086"/>
      <c r="C150" s="3974" t="s">
        <v>506</v>
      </c>
      <c r="D150" s="5085" t="s">
        <v>253</v>
      </c>
      <c r="E150" s="3975">
        <v>86</v>
      </c>
      <c r="F150" s="3975">
        <v>64</v>
      </c>
      <c r="G150" s="3976">
        <f t="shared" si="2"/>
        <v>74.418604651162795</v>
      </c>
      <c r="H150" s="3975" t="s">
        <v>656</v>
      </c>
      <c r="I150" s="3975" t="s">
        <v>656</v>
      </c>
      <c r="J150" s="3979" t="s">
        <v>656</v>
      </c>
      <c r="K150" s="3925" t="s">
        <v>656</v>
      </c>
      <c r="L150" s="3925" t="s">
        <v>656</v>
      </c>
      <c r="M150" s="3925" t="s">
        <v>656</v>
      </c>
      <c r="N150" s="3925" t="s">
        <v>656</v>
      </c>
    </row>
    <row r="151" spans="1:14">
      <c r="A151" s="5085"/>
      <c r="B151" s="5086"/>
      <c r="C151" s="3974" t="s">
        <v>313</v>
      </c>
      <c r="D151" s="5085"/>
      <c r="E151" s="3975">
        <v>67</v>
      </c>
      <c r="F151" s="3975">
        <v>32</v>
      </c>
      <c r="G151" s="3976">
        <f t="shared" si="2"/>
        <v>47.761194029850749</v>
      </c>
      <c r="H151" s="3977">
        <v>0.96875</v>
      </c>
      <c r="I151" s="3977">
        <v>3.125E-2</v>
      </c>
      <c r="J151" s="3978">
        <v>0</v>
      </c>
      <c r="K151" s="3978">
        <v>0</v>
      </c>
      <c r="L151" s="3977">
        <v>1</v>
      </c>
      <c r="M151" s="3978">
        <v>0</v>
      </c>
      <c r="N151" s="3978">
        <v>0</v>
      </c>
    </row>
    <row r="152" spans="1:14">
      <c r="A152" s="5085"/>
      <c r="B152" s="5086"/>
      <c r="C152" s="3974" t="s">
        <v>417</v>
      </c>
      <c r="D152" s="5085"/>
      <c r="E152" s="3975">
        <v>84</v>
      </c>
      <c r="F152" s="3975">
        <v>18</v>
      </c>
      <c r="G152" s="3976">
        <f t="shared" ref="G152:G164" si="3">F152*100/E152</f>
        <v>21.428571428571427</v>
      </c>
      <c r="H152" s="3977">
        <v>0.96341463414634143</v>
      </c>
      <c r="I152" s="3977">
        <v>3.6585365853658541E-2</v>
      </c>
      <c r="J152" s="3978">
        <v>0</v>
      </c>
      <c r="K152" s="3977">
        <v>3.4482758620689655E-2</v>
      </c>
      <c r="L152" s="3977">
        <v>3.4482758620689655E-2</v>
      </c>
      <c r="M152" s="3977">
        <v>0.20689655172413793</v>
      </c>
      <c r="N152" s="3977">
        <v>0.72413793103448265</v>
      </c>
    </row>
    <row r="153" spans="1:14">
      <c r="A153" s="5085"/>
      <c r="B153" s="5086"/>
      <c r="C153" s="3974" t="s">
        <v>615</v>
      </c>
      <c r="D153" s="5085"/>
      <c r="E153" s="3975">
        <v>7</v>
      </c>
      <c r="F153" s="3975">
        <v>5</v>
      </c>
      <c r="G153" s="3976">
        <f t="shared" si="3"/>
        <v>71.428571428571431</v>
      </c>
      <c r="H153" s="3977">
        <v>1</v>
      </c>
      <c r="I153" s="3978">
        <v>0</v>
      </c>
      <c r="J153" s="3978">
        <v>0</v>
      </c>
      <c r="K153" s="3978">
        <v>0</v>
      </c>
      <c r="L153" s="3978">
        <v>0</v>
      </c>
      <c r="M153" s="3977">
        <v>6.25E-2</v>
      </c>
      <c r="N153" s="3977">
        <v>0.9375</v>
      </c>
    </row>
    <row r="154" spans="1:14" ht="15" customHeight="1">
      <c r="A154" s="5085"/>
      <c r="B154" s="5086" t="s">
        <v>2537</v>
      </c>
      <c r="C154" s="3974" t="s">
        <v>314</v>
      </c>
      <c r="D154" s="5085" t="s">
        <v>252</v>
      </c>
      <c r="E154" s="3975">
        <v>279</v>
      </c>
      <c r="F154" s="3975">
        <v>130</v>
      </c>
      <c r="G154" s="3976">
        <f t="shared" si="3"/>
        <v>46.594982078853043</v>
      </c>
      <c r="H154" s="3977">
        <v>0.79230769230769227</v>
      </c>
      <c r="I154" s="3977">
        <v>0.2076923076923077</v>
      </c>
      <c r="J154" s="3977">
        <v>2.9411764705882356E-2</v>
      </c>
      <c r="K154" s="3977">
        <v>3.9215686274509803E-2</v>
      </c>
      <c r="L154" s="3977">
        <v>8.8235294117647065E-2</v>
      </c>
      <c r="M154" s="3977">
        <v>0.10784313725490197</v>
      </c>
      <c r="N154" s="3977">
        <v>0.73529411764705888</v>
      </c>
    </row>
    <row r="155" spans="1:14">
      <c r="A155" s="5085"/>
      <c r="B155" s="5086"/>
      <c r="C155" s="3974" t="s">
        <v>2422</v>
      </c>
      <c r="D155" s="5085"/>
      <c r="E155" s="3975">
        <v>55</v>
      </c>
      <c r="F155" s="3975">
        <v>31</v>
      </c>
      <c r="G155" s="3976">
        <f t="shared" si="3"/>
        <v>56.363636363636367</v>
      </c>
      <c r="H155" s="3977">
        <v>0.93548387096774188</v>
      </c>
      <c r="I155" s="3977">
        <v>6.4516129032258063E-2</v>
      </c>
      <c r="J155" s="3977">
        <v>6.8965517241379309E-2</v>
      </c>
      <c r="K155" s="3977">
        <v>6.8965517241379309E-2</v>
      </c>
      <c r="L155" s="3977">
        <v>0.17241379310344829</v>
      </c>
      <c r="M155" s="3977">
        <v>0.20689655172413793</v>
      </c>
      <c r="N155" s="3977">
        <v>0.48275862068965514</v>
      </c>
    </row>
    <row r="156" spans="1:14">
      <c r="A156" s="5085"/>
      <c r="B156" s="5086"/>
      <c r="C156" s="3974" t="s">
        <v>2423</v>
      </c>
      <c r="D156" s="5085"/>
      <c r="E156" s="3975">
        <v>61</v>
      </c>
      <c r="F156" s="3975">
        <v>0</v>
      </c>
      <c r="G156" s="3976">
        <f t="shared" si="3"/>
        <v>0</v>
      </c>
      <c r="H156" s="3975" t="s">
        <v>656</v>
      </c>
      <c r="I156" s="3975" t="s">
        <v>656</v>
      </c>
      <c r="J156" s="3979" t="s">
        <v>656</v>
      </c>
      <c r="K156" s="3925" t="s">
        <v>656</v>
      </c>
      <c r="L156" s="3925" t="s">
        <v>656</v>
      </c>
      <c r="M156" s="3925" t="s">
        <v>656</v>
      </c>
      <c r="N156" s="3925"/>
    </row>
    <row r="157" spans="1:14">
      <c r="A157" s="5085"/>
      <c r="B157" s="5086"/>
      <c r="C157" s="3974" t="s">
        <v>315</v>
      </c>
      <c r="D157" s="3979" t="s">
        <v>253</v>
      </c>
      <c r="E157" s="3975">
        <v>45</v>
      </c>
      <c r="F157" s="3975">
        <v>29</v>
      </c>
      <c r="G157" s="3976">
        <f t="shared" si="3"/>
        <v>64.444444444444443</v>
      </c>
      <c r="H157" s="3977">
        <v>0.96551724137931028</v>
      </c>
      <c r="I157" s="3977">
        <v>3.4482758620689655E-2</v>
      </c>
      <c r="J157" s="3977">
        <v>3.5714285714285719E-2</v>
      </c>
      <c r="K157" s="3977">
        <v>7.1428571428571438E-2</v>
      </c>
      <c r="L157" s="3977">
        <v>0.17857142857142858</v>
      </c>
      <c r="M157" s="3977">
        <v>0.25</v>
      </c>
      <c r="N157" s="3977">
        <v>0.4642857142857143</v>
      </c>
    </row>
    <row r="158" spans="1:14" ht="15" customHeight="1">
      <c r="A158" s="5085" t="s">
        <v>59</v>
      </c>
      <c r="B158" s="5086" t="s">
        <v>2536</v>
      </c>
      <c r="C158" s="3974" t="s">
        <v>709</v>
      </c>
      <c r="D158" s="3979" t="s">
        <v>252</v>
      </c>
      <c r="E158" s="3975">
        <v>52</v>
      </c>
      <c r="F158" s="3975">
        <v>35</v>
      </c>
      <c r="G158" s="3976">
        <f t="shared" si="3"/>
        <v>67.307692307692307</v>
      </c>
      <c r="H158" s="3977">
        <v>0.62857142857142856</v>
      </c>
      <c r="I158" s="3977">
        <v>0.37142857142857144</v>
      </c>
      <c r="J158" s="3977">
        <v>9.0909090909090912E-2</v>
      </c>
      <c r="K158" s="3977">
        <v>4.5454545454545456E-2</v>
      </c>
      <c r="L158" s="3977">
        <v>0.27272727272727271</v>
      </c>
      <c r="M158" s="3977">
        <v>0.27272727272727271</v>
      </c>
      <c r="N158" s="3977">
        <v>0.31818181818181818</v>
      </c>
    </row>
    <row r="159" spans="1:14">
      <c r="A159" s="5085"/>
      <c r="B159" s="5086"/>
      <c r="C159" s="3974" t="s">
        <v>709</v>
      </c>
      <c r="D159" s="3979" t="s">
        <v>253</v>
      </c>
      <c r="E159" s="3975">
        <v>23</v>
      </c>
      <c r="F159" s="3975">
        <v>5</v>
      </c>
      <c r="G159" s="3976">
        <f t="shared" si="3"/>
        <v>21.739130434782609</v>
      </c>
      <c r="H159" s="3977">
        <v>1</v>
      </c>
      <c r="I159" s="3978">
        <v>0</v>
      </c>
      <c r="J159" s="3978">
        <v>0</v>
      </c>
      <c r="K159" s="3978">
        <v>0</v>
      </c>
      <c r="L159" s="3978">
        <v>0</v>
      </c>
      <c r="M159" s="3977">
        <v>0.25</v>
      </c>
      <c r="N159" s="3977">
        <v>0.75</v>
      </c>
    </row>
    <row r="160" spans="1:14" ht="36">
      <c r="A160" s="5085"/>
      <c r="B160" s="3981" t="s">
        <v>2539</v>
      </c>
      <c r="C160" s="3982" t="s">
        <v>419</v>
      </c>
      <c r="D160" s="3979" t="s">
        <v>252</v>
      </c>
      <c r="E160" s="3975">
        <v>59</v>
      </c>
      <c r="F160" s="3975">
        <v>14</v>
      </c>
      <c r="G160" s="3976">
        <f t="shared" si="3"/>
        <v>23.728813559322035</v>
      </c>
      <c r="H160" s="3977">
        <v>0.9285714285714286</v>
      </c>
      <c r="I160" s="3977">
        <v>7.1428571428571438E-2</v>
      </c>
      <c r="J160" s="3978">
        <v>0</v>
      </c>
      <c r="K160" s="3978">
        <v>0</v>
      </c>
      <c r="L160" s="3977">
        <v>0.16666666666666669</v>
      </c>
      <c r="M160" s="3977">
        <v>0.5</v>
      </c>
      <c r="N160" s="3977">
        <v>0.33333333333333337</v>
      </c>
    </row>
    <row r="161" spans="1:15" ht="15" customHeight="1">
      <c r="A161" s="5085"/>
      <c r="B161" s="5086" t="s">
        <v>2540</v>
      </c>
      <c r="C161" s="3974" t="s">
        <v>710</v>
      </c>
      <c r="D161" s="3979" t="s">
        <v>270</v>
      </c>
      <c r="E161" s="3975">
        <v>9</v>
      </c>
      <c r="F161" s="3975">
        <v>0</v>
      </c>
      <c r="G161" s="3976">
        <f t="shared" si="3"/>
        <v>0</v>
      </c>
      <c r="H161" s="3975" t="s">
        <v>656</v>
      </c>
      <c r="I161" s="3975" t="s">
        <v>656</v>
      </c>
      <c r="J161" s="3979" t="s">
        <v>656</v>
      </c>
      <c r="K161" s="3925" t="s">
        <v>656</v>
      </c>
      <c r="L161" s="3925" t="s">
        <v>656</v>
      </c>
      <c r="M161" s="3978" t="s">
        <v>656</v>
      </c>
      <c r="N161" s="3925" t="s">
        <v>656</v>
      </c>
    </row>
    <row r="162" spans="1:15">
      <c r="A162" s="5085"/>
      <c r="B162" s="5086"/>
      <c r="C162" s="3974" t="s">
        <v>710</v>
      </c>
      <c r="D162" s="3979" t="s">
        <v>252</v>
      </c>
      <c r="E162" s="3975">
        <v>29</v>
      </c>
      <c r="F162" s="3975">
        <v>7</v>
      </c>
      <c r="G162" s="3976">
        <f t="shared" si="3"/>
        <v>24.137931034482758</v>
      </c>
      <c r="H162" s="3977">
        <v>0.57142857142857151</v>
      </c>
      <c r="I162" s="3977">
        <v>0.42857142857142855</v>
      </c>
      <c r="J162" s="3977">
        <v>0.25</v>
      </c>
      <c r="K162" s="3977">
        <v>0.25</v>
      </c>
      <c r="L162" s="3977">
        <v>0.5</v>
      </c>
      <c r="M162" s="3978">
        <v>0</v>
      </c>
      <c r="N162" s="3978">
        <v>0</v>
      </c>
    </row>
    <row r="163" spans="1:15">
      <c r="A163" s="5085"/>
      <c r="B163" s="5086"/>
      <c r="C163" s="3974" t="s">
        <v>417</v>
      </c>
      <c r="D163" s="5085" t="s">
        <v>253</v>
      </c>
      <c r="E163" s="3975">
        <v>1</v>
      </c>
      <c r="F163" s="3975">
        <v>0</v>
      </c>
      <c r="G163" s="3976">
        <f t="shared" si="3"/>
        <v>0</v>
      </c>
      <c r="H163" s="3975" t="s">
        <v>656</v>
      </c>
      <c r="I163" s="3975" t="s">
        <v>656</v>
      </c>
      <c r="J163" s="3979" t="s">
        <v>656</v>
      </c>
      <c r="K163" s="3925" t="s">
        <v>656</v>
      </c>
      <c r="L163" s="3925" t="s">
        <v>656</v>
      </c>
      <c r="M163" s="3925" t="s">
        <v>656</v>
      </c>
      <c r="N163" s="3925" t="s">
        <v>656</v>
      </c>
    </row>
    <row r="164" spans="1:15">
      <c r="A164" s="5085"/>
      <c r="B164" s="5086"/>
      <c r="C164" s="3974" t="s">
        <v>710</v>
      </c>
      <c r="D164" s="5085"/>
      <c r="E164" s="3975">
        <v>7</v>
      </c>
      <c r="F164" s="3975">
        <v>1</v>
      </c>
      <c r="G164" s="3976">
        <f t="shared" si="3"/>
        <v>14.285714285714286</v>
      </c>
      <c r="H164" s="3977">
        <v>1</v>
      </c>
      <c r="I164" s="3978">
        <v>0</v>
      </c>
      <c r="J164" s="3978">
        <v>0</v>
      </c>
      <c r="K164" s="3978">
        <v>0</v>
      </c>
      <c r="L164" s="3978">
        <v>0</v>
      </c>
      <c r="M164" s="3977">
        <v>1</v>
      </c>
      <c r="N164" s="3978">
        <v>0</v>
      </c>
    </row>
    <row r="165" spans="1:15">
      <c r="A165" s="5088" t="s">
        <v>15</v>
      </c>
      <c r="B165" s="5089"/>
      <c r="C165" s="5089"/>
      <c r="D165" s="5090"/>
      <c r="E165" s="3983">
        <f>SUM(E23:E164)</f>
        <v>13663</v>
      </c>
      <c r="F165" s="3983">
        <f>SUM(F23:F164)</f>
        <v>6571</v>
      </c>
      <c r="G165" s="3984">
        <f>F165*100/E165</f>
        <v>48.093390909756273</v>
      </c>
      <c r="H165" s="3985">
        <v>0.78500000000000003</v>
      </c>
      <c r="I165" s="3985">
        <v>0.215</v>
      </c>
      <c r="J165" s="3985">
        <v>0.03</v>
      </c>
      <c r="K165" s="3985">
        <v>4.1000000000000002E-2</v>
      </c>
      <c r="L165" s="3985">
        <v>0.111</v>
      </c>
      <c r="M165" s="3985">
        <v>0.17799999999999999</v>
      </c>
      <c r="N165" s="3985">
        <v>0.64</v>
      </c>
    </row>
    <row r="166" spans="1:15" ht="18.75">
      <c r="B166" s="160"/>
      <c r="C166" s="160"/>
      <c r="D166" s="160"/>
      <c r="E166" s="160"/>
      <c r="F166" s="160"/>
      <c r="G166" s="154"/>
    </row>
    <row r="167" spans="1:15" ht="18.75">
      <c r="B167" s="160"/>
      <c r="C167" s="160"/>
      <c r="D167" s="160"/>
      <c r="E167" s="160"/>
      <c r="F167" s="160"/>
      <c r="G167" s="154"/>
    </row>
    <row r="168" spans="1:15" ht="18.75">
      <c r="B168" s="160"/>
      <c r="C168" s="160"/>
      <c r="D168" s="160"/>
      <c r="E168" s="160"/>
      <c r="F168" s="160"/>
      <c r="G168" s="154"/>
    </row>
    <row r="169" spans="1:15" ht="15.75">
      <c r="A169" s="3074" t="s">
        <v>2545</v>
      </c>
      <c r="B169"/>
      <c r="C169" s="375"/>
      <c r="D169" s="375"/>
      <c r="E169" s="375"/>
      <c r="F169" s="375"/>
      <c r="G169" s="375"/>
      <c r="H169" s="375"/>
      <c r="I169" s="3086"/>
      <c r="J169" s="3086"/>
      <c r="K169" s="3087"/>
      <c r="L169" s="3087"/>
      <c r="M169" s="3087"/>
      <c r="N169" s="3087"/>
      <c r="O169" s="3087"/>
    </row>
    <row r="170" spans="1:15" ht="15.75">
      <c r="A170" s="3088"/>
      <c r="B170" s="3088"/>
      <c r="C170" s="3086"/>
      <c r="D170" s="3086"/>
      <c r="E170" s="3086"/>
      <c r="F170" s="3086"/>
      <c r="G170" s="3086"/>
      <c r="H170" s="3086"/>
      <c r="I170" s="3086"/>
      <c r="J170" s="3086"/>
      <c r="K170" s="3087"/>
      <c r="L170" s="3087"/>
      <c r="M170" s="3087"/>
      <c r="N170" s="3087"/>
      <c r="O170" s="3087"/>
    </row>
    <row r="171" spans="1:15" ht="15.75">
      <c r="A171" s="5063" t="s">
        <v>2546</v>
      </c>
      <c r="B171" s="5063"/>
      <c r="C171" s="5063"/>
      <c r="D171" s="5063"/>
      <c r="E171" s="5063"/>
      <c r="F171" s="5063"/>
      <c r="G171" s="5063"/>
      <c r="H171" s="5063"/>
      <c r="I171" s="5063"/>
      <c r="J171" s="5063"/>
      <c r="K171" s="5063"/>
      <c r="L171" s="3089"/>
      <c r="M171" s="3089"/>
      <c r="N171" s="3087"/>
      <c r="O171" s="3087"/>
    </row>
    <row r="172" spans="1:15" ht="15.75">
      <c r="A172" s="5063"/>
      <c r="B172" s="5063"/>
      <c r="C172" s="5063"/>
      <c r="D172" s="5063"/>
      <c r="E172" s="5063"/>
      <c r="F172" s="5063"/>
      <c r="G172" s="5063"/>
      <c r="H172" s="5063"/>
      <c r="I172" s="5063"/>
      <c r="J172" s="5063"/>
      <c r="K172" s="5063"/>
      <c r="L172" s="3089"/>
      <c r="M172" s="3089"/>
      <c r="N172" s="3087"/>
      <c r="O172" s="3087"/>
    </row>
    <row r="173" spans="1:15" ht="15.75">
      <c r="A173" s="3089"/>
      <c r="B173" s="3089"/>
      <c r="C173" s="3089"/>
      <c r="D173" s="3089"/>
      <c r="E173" s="3089"/>
      <c r="F173" s="3089"/>
      <c r="G173" s="3089"/>
      <c r="H173" s="3089"/>
      <c r="I173" s="3089"/>
      <c r="J173" s="3089"/>
      <c r="K173" s="3089"/>
      <c r="L173" s="3089"/>
      <c r="M173" s="34" t="s">
        <v>2547</v>
      </c>
      <c r="N173" s="3087"/>
      <c r="O173" s="3087"/>
    </row>
    <row r="174" spans="1:15" ht="15.75">
      <c r="A174" s="3090" t="s">
        <v>2548</v>
      </c>
      <c r="B174" s="3091"/>
      <c r="C174" s="3091"/>
      <c r="D174" s="3091"/>
      <c r="E174" s="3091"/>
      <c r="F174" s="3091"/>
      <c r="G174" s="3091"/>
      <c r="H174" s="3091"/>
      <c r="I174" s="3091"/>
      <c r="J174" s="3091"/>
      <c r="K174" s="3091"/>
      <c r="L174" s="3091"/>
      <c r="M174" s="3091"/>
      <c r="N174" s="3087"/>
      <c r="O174" s="3087"/>
    </row>
    <row r="175" spans="1:15" ht="15.75">
      <c r="A175" s="3091"/>
      <c r="B175" s="3091"/>
      <c r="C175" s="3091"/>
      <c r="D175" s="3091"/>
      <c r="E175" s="3091"/>
      <c r="F175" s="3091"/>
      <c r="G175" s="3091"/>
      <c r="H175" s="3091"/>
      <c r="I175" s="3091"/>
      <c r="J175" s="3091"/>
      <c r="K175" s="3091"/>
      <c r="L175" s="3091"/>
      <c r="M175" s="3091"/>
      <c r="N175" s="3087"/>
      <c r="O175" s="3087"/>
    </row>
    <row r="176" spans="1:15" ht="15.75">
      <c r="A176" s="3090" t="s">
        <v>2549</v>
      </c>
      <c r="B176" s="3091"/>
      <c r="C176" s="3091"/>
      <c r="D176" s="3091"/>
      <c r="E176" s="3091"/>
      <c r="F176" s="3091"/>
      <c r="G176" s="3091"/>
      <c r="H176" s="3091"/>
      <c r="I176" s="3091"/>
      <c r="J176" s="3091"/>
      <c r="K176" s="3091"/>
      <c r="L176" s="3091"/>
      <c r="M176" s="3091"/>
      <c r="N176" s="3087"/>
      <c r="O176" s="3087"/>
    </row>
    <row r="177" spans="1:14" ht="15.75">
      <c r="A177" s="3088"/>
      <c r="B177" s="3088"/>
      <c r="C177" s="3086"/>
      <c r="D177" s="3086"/>
      <c r="E177" s="5038" t="s">
        <v>2550</v>
      </c>
      <c r="F177" s="5039"/>
      <c r="G177" s="5040" t="s">
        <v>1556</v>
      </c>
      <c r="H177" s="5041"/>
      <c r="I177" s="5041"/>
      <c r="J177" s="5041"/>
      <c r="K177" s="5042"/>
      <c r="L177" s="3087"/>
      <c r="M177" s="3087"/>
      <c r="N177" s="3087"/>
    </row>
    <row r="178" spans="1:14">
      <c r="A178" s="3145" t="s">
        <v>2184</v>
      </c>
      <c r="B178" s="3145" t="s">
        <v>2179</v>
      </c>
      <c r="C178" s="3145" t="s">
        <v>2185</v>
      </c>
      <c r="D178" s="3145" t="s">
        <v>2534</v>
      </c>
      <c r="E178" s="3082" t="s">
        <v>1091</v>
      </c>
      <c r="F178" s="3082" t="s">
        <v>1092</v>
      </c>
      <c r="G178" s="3146" t="s">
        <v>1557</v>
      </c>
      <c r="H178" s="3146" t="s">
        <v>1558</v>
      </c>
      <c r="I178" s="3147" t="s">
        <v>2551</v>
      </c>
      <c r="J178" s="3146" t="s">
        <v>1560</v>
      </c>
      <c r="K178" s="3148" t="s">
        <v>15</v>
      </c>
      <c r="L178" s="3092"/>
      <c r="M178" s="3092"/>
      <c r="N178" s="3092"/>
    </row>
    <row r="179" spans="1:14">
      <c r="A179" s="3093" t="s">
        <v>3</v>
      </c>
      <c r="B179" s="3093">
        <v>2346</v>
      </c>
      <c r="C179" s="3094">
        <v>1117</v>
      </c>
      <c r="D179" s="3095">
        <f>C179*100/B179</f>
        <v>47.612958226768967</v>
      </c>
      <c r="E179" s="3095">
        <v>79.3</v>
      </c>
      <c r="F179" s="3095">
        <v>20.7</v>
      </c>
      <c r="G179" s="3095">
        <v>3.5</v>
      </c>
      <c r="H179" s="3096">
        <v>4.7</v>
      </c>
      <c r="I179" s="3096">
        <v>11.9</v>
      </c>
      <c r="J179" s="3097">
        <v>17.5</v>
      </c>
      <c r="K179" s="3097">
        <v>62.3</v>
      </c>
      <c r="L179" s="3098"/>
      <c r="M179" s="3098"/>
      <c r="N179" s="3098"/>
    </row>
    <row r="180" spans="1:14">
      <c r="A180" s="3093" t="s">
        <v>59</v>
      </c>
      <c r="B180" s="3093">
        <v>124</v>
      </c>
      <c r="C180" s="3094">
        <v>61</v>
      </c>
      <c r="D180" s="3095">
        <f t="shared" ref="D180:D183" si="4">C180*100/B180</f>
        <v>49.193548387096776</v>
      </c>
      <c r="E180" s="3095">
        <v>72.099999999999994</v>
      </c>
      <c r="F180" s="3095">
        <v>27.9</v>
      </c>
      <c r="G180" s="3095">
        <v>7</v>
      </c>
      <c r="H180" s="3096">
        <v>4.7</v>
      </c>
      <c r="I180" s="3096">
        <v>23.3</v>
      </c>
      <c r="J180" s="3099">
        <v>32.6</v>
      </c>
      <c r="K180" s="3099">
        <v>32.6</v>
      </c>
      <c r="L180" s="3100"/>
      <c r="M180" s="3101"/>
      <c r="N180" s="3101"/>
    </row>
    <row r="181" spans="1:14">
      <c r="A181" s="3093" t="s">
        <v>25</v>
      </c>
      <c r="B181" s="3093">
        <v>6485</v>
      </c>
      <c r="C181" s="3094">
        <v>3057</v>
      </c>
      <c r="D181" s="3095">
        <f t="shared" si="4"/>
        <v>47.139552814186587</v>
      </c>
      <c r="E181" s="3095">
        <v>75.8</v>
      </c>
      <c r="F181" s="3095">
        <v>24.2</v>
      </c>
      <c r="G181" s="3095">
        <v>2.7</v>
      </c>
      <c r="H181" s="3096">
        <v>4</v>
      </c>
      <c r="I181" s="3096">
        <v>10.1</v>
      </c>
      <c r="J181" s="3099">
        <v>16.8</v>
      </c>
      <c r="K181" s="3099">
        <v>66.5</v>
      </c>
      <c r="L181" s="3100"/>
      <c r="M181" s="3101"/>
      <c r="N181" s="3101"/>
    </row>
    <row r="182" spans="1:14">
      <c r="A182" s="3093" t="s">
        <v>48</v>
      </c>
      <c r="B182" s="3093">
        <v>3649</v>
      </c>
      <c r="C182" s="3094">
        <v>1670</v>
      </c>
      <c r="D182" s="3095">
        <f t="shared" si="4"/>
        <v>45.765963277610304</v>
      </c>
      <c r="E182" s="3095">
        <v>83.1</v>
      </c>
      <c r="F182" s="3095">
        <v>16.899999999999999</v>
      </c>
      <c r="G182" s="3095">
        <v>2.5</v>
      </c>
      <c r="H182" s="3096">
        <v>3.3</v>
      </c>
      <c r="I182" s="3096">
        <v>10.199999999999999</v>
      </c>
      <c r="J182" s="3099">
        <v>18</v>
      </c>
      <c r="K182" s="3099">
        <v>66</v>
      </c>
      <c r="L182" s="3100"/>
      <c r="M182" s="3101"/>
      <c r="N182" s="3101"/>
    </row>
    <row r="183" spans="1:14">
      <c r="A183" s="3145" t="s">
        <v>15</v>
      </c>
      <c r="B183" s="3145">
        <f>SUM(B179:B182)</f>
        <v>12604</v>
      </c>
      <c r="C183" s="3145">
        <f>SUM(C179:C182)</f>
        <v>5905</v>
      </c>
      <c r="D183" s="3151">
        <f t="shared" si="4"/>
        <v>46.850206283719452</v>
      </c>
      <c r="E183" s="3160">
        <v>78.599999999999994</v>
      </c>
      <c r="F183" s="3151">
        <v>21.4</v>
      </c>
      <c r="G183" s="3151">
        <v>2.8</v>
      </c>
      <c r="H183" s="3152">
        <v>3.9</v>
      </c>
      <c r="I183" s="3152">
        <v>10.6</v>
      </c>
      <c r="J183" s="3153">
        <v>17.399999999999999</v>
      </c>
      <c r="K183" s="3153">
        <v>65.2</v>
      </c>
      <c r="L183" s="3100"/>
      <c r="M183" s="3101"/>
      <c r="N183" s="3101"/>
    </row>
    <row r="184" spans="1:14" ht="15.75">
      <c r="A184" s="3088"/>
      <c r="B184" s="3088"/>
      <c r="C184" s="3086"/>
      <c r="D184" s="3086"/>
      <c r="E184" s="3086"/>
      <c r="F184" s="3086"/>
      <c r="G184" s="3086"/>
      <c r="H184" s="3086"/>
      <c r="I184" s="3086"/>
      <c r="J184" s="3102"/>
      <c r="K184" s="3103"/>
      <c r="L184" s="3100"/>
      <c r="M184" s="3101"/>
      <c r="N184" s="3101"/>
    </row>
    <row r="185" spans="1:14" ht="15.75">
      <c r="A185" s="3104"/>
      <c r="B185" s="3088"/>
      <c r="C185" s="3086"/>
      <c r="D185" s="3086"/>
      <c r="E185" s="3086"/>
      <c r="F185" s="3086"/>
      <c r="G185" s="3086"/>
      <c r="H185" s="3086"/>
      <c r="I185" s="3086"/>
      <c r="J185" s="3087"/>
      <c r="K185" s="3087"/>
      <c r="L185" s="3087"/>
      <c r="M185" s="3087"/>
      <c r="N185" s="3087"/>
    </row>
    <row r="186" spans="1:14" ht="15" customHeight="1">
      <c r="A186" s="5048" t="s">
        <v>0</v>
      </c>
      <c r="B186" s="5048" t="s">
        <v>1</v>
      </c>
      <c r="C186" s="5048" t="s">
        <v>2552</v>
      </c>
      <c r="D186" s="5048" t="s">
        <v>1057</v>
      </c>
      <c r="E186" s="5048" t="s">
        <v>2179</v>
      </c>
      <c r="F186" s="5050" t="s">
        <v>2185</v>
      </c>
      <c r="G186" s="5050" t="s">
        <v>2534</v>
      </c>
      <c r="H186" s="5043" t="s">
        <v>2550</v>
      </c>
      <c r="I186" s="5044"/>
      <c r="J186" s="5045" t="s">
        <v>1556</v>
      </c>
      <c r="K186" s="5046"/>
      <c r="L186" s="5046"/>
      <c r="M186" s="5046"/>
      <c r="N186" s="5047"/>
    </row>
    <row r="187" spans="1:14">
      <c r="A187" s="5049"/>
      <c r="B187" s="5049"/>
      <c r="C187" s="5049"/>
      <c r="D187" s="5049"/>
      <c r="E187" s="5049"/>
      <c r="F187" s="5051"/>
      <c r="G187" s="5051"/>
      <c r="H187" s="3149" t="s">
        <v>1125</v>
      </c>
      <c r="I187" s="3149" t="s">
        <v>1092</v>
      </c>
      <c r="J187" s="3150" t="s">
        <v>1557</v>
      </c>
      <c r="K187" s="3150" t="s">
        <v>1558</v>
      </c>
      <c r="L187" s="3150" t="s">
        <v>1559</v>
      </c>
      <c r="M187" s="3150" t="s">
        <v>1560</v>
      </c>
      <c r="N187" s="3150" t="s">
        <v>15</v>
      </c>
    </row>
    <row r="188" spans="1:14" ht="15" customHeight="1">
      <c r="A188" s="5052" t="s">
        <v>3</v>
      </c>
      <c r="B188" s="5055" t="s">
        <v>2541</v>
      </c>
      <c r="C188" s="3105" t="s">
        <v>278</v>
      </c>
      <c r="D188" s="5058" t="s">
        <v>252</v>
      </c>
      <c r="E188" s="3106">
        <v>96</v>
      </c>
      <c r="F188" s="3107">
        <v>35</v>
      </c>
      <c r="G188" s="3108">
        <f>F188*100/E188</f>
        <v>36.458333333333336</v>
      </c>
      <c r="H188" s="3109">
        <v>0.8</v>
      </c>
      <c r="I188" s="3109">
        <v>0.2</v>
      </c>
      <c r="J188" s="3110">
        <v>0</v>
      </c>
      <c r="K188" s="3111">
        <v>7.407407407407407E-2</v>
      </c>
      <c r="L188" s="3111">
        <v>3.7037037037037035E-2</v>
      </c>
      <c r="M188" s="3111">
        <v>3.7037037037037035E-2</v>
      </c>
      <c r="N188" s="3111">
        <v>0.85185185185185186</v>
      </c>
    </row>
    <row r="189" spans="1:14">
      <c r="A189" s="5053"/>
      <c r="B189" s="5057"/>
      <c r="C189" s="3105" t="s">
        <v>279</v>
      </c>
      <c r="D189" s="5060"/>
      <c r="E189" s="3106">
        <v>101</v>
      </c>
      <c r="F189" s="3107">
        <v>62</v>
      </c>
      <c r="G189" s="3108">
        <f t="shared" ref="G189:G252" si="5">F189*100/E189</f>
        <v>61.386138613861384</v>
      </c>
      <c r="H189" s="3109">
        <v>0.93548387096774188</v>
      </c>
      <c r="I189" s="3109">
        <v>6.4516129032258063E-2</v>
      </c>
      <c r="J189" s="3111">
        <v>1.7543859649122806E-2</v>
      </c>
      <c r="K189" s="3111">
        <v>1.7543859649122806E-2</v>
      </c>
      <c r="L189" s="3111">
        <v>8.7719298245614044E-2</v>
      </c>
      <c r="M189" s="3111">
        <v>0.12280701754385966</v>
      </c>
      <c r="N189" s="3111">
        <v>0.75438596491228072</v>
      </c>
    </row>
    <row r="190" spans="1:14">
      <c r="A190" s="5053"/>
      <c r="B190" s="5057"/>
      <c r="C190" s="3105" t="s">
        <v>708</v>
      </c>
      <c r="D190" s="5060"/>
      <c r="E190" s="3106">
        <v>30</v>
      </c>
      <c r="F190" s="3107">
        <v>10</v>
      </c>
      <c r="G190" s="3108">
        <f t="shared" si="5"/>
        <v>33.333333333333336</v>
      </c>
      <c r="H190" s="3109">
        <v>0.3</v>
      </c>
      <c r="I190" s="3109">
        <v>0.7</v>
      </c>
      <c r="J190" s="3110">
        <v>0</v>
      </c>
      <c r="K190" s="3110">
        <v>0</v>
      </c>
      <c r="L190" s="3111">
        <v>0.33333333333333337</v>
      </c>
      <c r="M190" s="3111">
        <v>0.33333333333333337</v>
      </c>
      <c r="N190" s="3111">
        <v>0.33333333333333337</v>
      </c>
    </row>
    <row r="191" spans="1:14">
      <c r="A191" s="5053"/>
      <c r="B191" s="5057"/>
      <c r="C191" s="3105" t="s">
        <v>707</v>
      </c>
      <c r="D191" s="5059"/>
      <c r="E191" s="3106">
        <v>10</v>
      </c>
      <c r="F191" s="3107">
        <v>4</v>
      </c>
      <c r="G191" s="3108">
        <f t="shared" si="5"/>
        <v>40</v>
      </c>
      <c r="H191" s="3109">
        <v>0.75</v>
      </c>
      <c r="I191" s="3109">
        <v>0.25</v>
      </c>
      <c r="J191" s="3110">
        <v>0</v>
      </c>
      <c r="K191" s="3111">
        <v>0.33333333333333337</v>
      </c>
      <c r="L191" s="3110">
        <v>0</v>
      </c>
      <c r="M191" s="3110">
        <v>0</v>
      </c>
      <c r="N191" s="3111">
        <v>0.66666666666666674</v>
      </c>
    </row>
    <row r="192" spans="1:14">
      <c r="A192" s="5053"/>
      <c r="B192" s="5057"/>
      <c r="C192" s="3105" t="s">
        <v>2553</v>
      </c>
      <c r="D192" s="5058" t="s">
        <v>253</v>
      </c>
      <c r="E192" s="3106">
        <v>362</v>
      </c>
      <c r="F192" s="3107">
        <v>222</v>
      </c>
      <c r="G192" s="3108">
        <f t="shared" si="5"/>
        <v>61.325966850828728</v>
      </c>
      <c r="H192" s="3109">
        <v>0.79200000000000004</v>
      </c>
      <c r="I192" s="3109">
        <v>0.20799999999999999</v>
      </c>
      <c r="J192" s="3111">
        <v>6.9000000000000006E-2</v>
      </c>
      <c r="K192" s="3110">
        <v>5.7000000000000002E-2</v>
      </c>
      <c r="L192" s="3111">
        <v>0.13800000000000001</v>
      </c>
      <c r="M192" s="3111">
        <v>0.16700000000000001</v>
      </c>
      <c r="N192" s="3111">
        <v>0.56899999999999995</v>
      </c>
    </row>
    <row r="193" spans="1:14">
      <c r="A193" s="5053"/>
      <c r="B193" s="5056"/>
      <c r="C193" s="3105" t="s">
        <v>280</v>
      </c>
      <c r="D193" s="5059"/>
      <c r="E193" s="3106">
        <v>9</v>
      </c>
      <c r="F193" s="3107">
        <v>8</v>
      </c>
      <c r="G193" s="3108">
        <f t="shared" si="5"/>
        <v>88.888888888888886</v>
      </c>
      <c r="H193" s="3109">
        <v>1</v>
      </c>
      <c r="I193" s="3112">
        <v>0</v>
      </c>
      <c r="J193" s="3110">
        <v>0</v>
      </c>
      <c r="K193" s="3110">
        <v>0</v>
      </c>
      <c r="L193" s="3111">
        <v>0.125</v>
      </c>
      <c r="M193" s="3111">
        <v>0.25</v>
      </c>
      <c r="N193" s="3111">
        <v>0.625</v>
      </c>
    </row>
    <row r="194" spans="1:14" ht="15" customHeight="1">
      <c r="A194" s="5053"/>
      <c r="B194" s="5055" t="s">
        <v>2536</v>
      </c>
      <c r="C194" s="3105" t="s">
        <v>2383</v>
      </c>
      <c r="D194" s="5058" t="s">
        <v>270</v>
      </c>
      <c r="E194" s="3106">
        <v>306</v>
      </c>
      <c r="F194" s="3107">
        <v>132</v>
      </c>
      <c r="G194" s="3108">
        <f t="shared" si="5"/>
        <v>43.137254901960787</v>
      </c>
      <c r="H194" s="3109">
        <v>0.80303030303030298</v>
      </c>
      <c r="I194" s="3109">
        <v>0.19696969696969696</v>
      </c>
      <c r="J194" s="3111">
        <v>3.7735849056603772E-2</v>
      </c>
      <c r="K194" s="3111">
        <v>3.7735849056603772E-2</v>
      </c>
      <c r="L194" s="3111">
        <v>7.5471698113207544E-2</v>
      </c>
      <c r="M194" s="3111">
        <v>0.20754716981132076</v>
      </c>
      <c r="N194" s="3111">
        <v>0.64150943396226412</v>
      </c>
    </row>
    <row r="195" spans="1:14">
      <c r="A195" s="5053"/>
      <c r="B195" s="5057"/>
      <c r="C195" s="3105" t="s">
        <v>347</v>
      </c>
      <c r="D195" s="5059"/>
      <c r="E195" s="3106">
        <v>76</v>
      </c>
      <c r="F195" s="3107">
        <v>52</v>
      </c>
      <c r="G195" s="3108">
        <f t="shared" si="5"/>
        <v>68.421052631578945</v>
      </c>
      <c r="H195" s="3109">
        <v>0.86538461538461531</v>
      </c>
      <c r="I195" s="3109">
        <v>0.13461538461538461</v>
      </c>
      <c r="J195" s="3111">
        <v>2.2222222222222223E-2</v>
      </c>
      <c r="K195" s="3111">
        <v>6.6666666666666666E-2</v>
      </c>
      <c r="L195" s="3111">
        <v>6.6666666666666666E-2</v>
      </c>
      <c r="M195" s="3111">
        <v>0.22222222222222221</v>
      </c>
      <c r="N195" s="3111">
        <v>0.62222222222222223</v>
      </c>
    </row>
    <row r="196" spans="1:14">
      <c r="A196" s="5053"/>
      <c r="B196" s="5057"/>
      <c r="C196" s="3105" t="s">
        <v>283</v>
      </c>
      <c r="D196" s="5058" t="s">
        <v>252</v>
      </c>
      <c r="E196" s="3106">
        <v>175</v>
      </c>
      <c r="F196" s="3107">
        <v>88</v>
      </c>
      <c r="G196" s="3108">
        <f t="shared" si="5"/>
        <v>50.285714285714285</v>
      </c>
      <c r="H196" s="3109">
        <v>0.84090909090909094</v>
      </c>
      <c r="I196" s="3109">
        <v>0.15909090909090909</v>
      </c>
      <c r="J196" s="3111">
        <v>2.6666666666666665E-2</v>
      </c>
      <c r="K196" s="3111">
        <v>0.04</v>
      </c>
      <c r="L196" s="3111">
        <v>0.21333333333333332</v>
      </c>
      <c r="M196" s="3111">
        <v>0.12</v>
      </c>
      <c r="N196" s="3111">
        <v>0.6</v>
      </c>
    </row>
    <row r="197" spans="1:14">
      <c r="A197" s="5053"/>
      <c r="B197" s="5057"/>
      <c r="C197" s="3105" t="s">
        <v>282</v>
      </c>
      <c r="D197" s="5060"/>
      <c r="E197" s="3106">
        <v>147</v>
      </c>
      <c r="F197" s="3107">
        <v>85</v>
      </c>
      <c r="G197" s="3108">
        <f t="shared" si="5"/>
        <v>57.823129251700678</v>
      </c>
      <c r="H197" s="3109">
        <v>0.75294117647058822</v>
      </c>
      <c r="I197" s="3109">
        <v>0.24705882352941178</v>
      </c>
      <c r="J197" s="3111">
        <v>4.6875E-2</v>
      </c>
      <c r="K197" s="3111">
        <v>6.25E-2</v>
      </c>
      <c r="L197" s="3111">
        <v>0.140625</v>
      </c>
      <c r="M197" s="3111">
        <v>0.28125</v>
      </c>
      <c r="N197" s="3111">
        <v>0.46875</v>
      </c>
    </row>
    <row r="198" spans="1:14">
      <c r="A198" s="5053"/>
      <c r="B198" s="5057"/>
      <c r="C198" s="3105" t="s">
        <v>495</v>
      </c>
      <c r="D198" s="5060"/>
      <c r="E198" s="3106">
        <v>59</v>
      </c>
      <c r="F198" s="3107">
        <v>34</v>
      </c>
      <c r="G198" s="3108">
        <f t="shared" si="5"/>
        <v>57.627118644067799</v>
      </c>
      <c r="H198" s="3109">
        <v>0.73529411764705888</v>
      </c>
      <c r="I198" s="3109">
        <v>0.26470588235294118</v>
      </c>
      <c r="J198" s="3110">
        <v>0</v>
      </c>
      <c r="K198" s="3111">
        <v>4.1666666666666671E-2</v>
      </c>
      <c r="L198" s="3111">
        <v>0.16666666666666669</v>
      </c>
      <c r="M198" s="3111">
        <v>0.125</v>
      </c>
      <c r="N198" s="3111">
        <v>0.66666666666666674</v>
      </c>
    </row>
    <row r="199" spans="1:14">
      <c r="A199" s="5053"/>
      <c r="B199" s="5057"/>
      <c r="C199" s="3105" t="s">
        <v>281</v>
      </c>
      <c r="D199" s="5060"/>
      <c r="E199" s="3106">
        <v>7</v>
      </c>
      <c r="F199" s="3107">
        <v>7</v>
      </c>
      <c r="G199" s="3108">
        <f t="shared" si="5"/>
        <v>100</v>
      </c>
      <c r="H199" s="3109">
        <v>0.42857142857142855</v>
      </c>
      <c r="I199" s="3109">
        <v>0.57142857142857151</v>
      </c>
      <c r="J199" s="3110">
        <v>0</v>
      </c>
      <c r="K199" s="3110">
        <v>0</v>
      </c>
      <c r="L199" s="3110">
        <v>0</v>
      </c>
      <c r="M199" s="3111">
        <v>0.33333333333333337</v>
      </c>
      <c r="N199" s="3111">
        <v>0.66666666666666674</v>
      </c>
    </row>
    <row r="200" spans="1:14">
      <c r="A200" s="5053"/>
      <c r="B200" s="5057"/>
      <c r="C200" s="3105" t="s">
        <v>496</v>
      </c>
      <c r="D200" s="5060"/>
      <c r="E200" s="3106">
        <v>75</v>
      </c>
      <c r="F200" s="3107">
        <v>30</v>
      </c>
      <c r="G200" s="3108">
        <f t="shared" si="5"/>
        <v>40</v>
      </c>
      <c r="H200" s="3109">
        <v>0.73333333333333328</v>
      </c>
      <c r="I200" s="3109">
        <v>0.26666666666666666</v>
      </c>
      <c r="J200" s="3110">
        <v>0</v>
      </c>
      <c r="K200" s="3111">
        <v>4.5454545454545456E-2</v>
      </c>
      <c r="L200" s="3111">
        <v>9.0909090909090912E-2</v>
      </c>
      <c r="M200" s="3111">
        <v>0.40909090909090906</v>
      </c>
      <c r="N200" s="3111">
        <v>0.45454545454545453</v>
      </c>
    </row>
    <row r="201" spans="1:14">
      <c r="A201" s="5053"/>
      <c r="B201" s="5057"/>
      <c r="C201" s="3105" t="s">
        <v>120</v>
      </c>
      <c r="D201" s="5060"/>
      <c r="E201" s="3106">
        <v>26</v>
      </c>
      <c r="F201" s="3107">
        <v>20</v>
      </c>
      <c r="G201" s="3108">
        <f t="shared" si="5"/>
        <v>76.92307692307692</v>
      </c>
      <c r="H201" s="3109">
        <v>0.55000000000000004</v>
      </c>
      <c r="I201" s="3109">
        <v>0.45</v>
      </c>
      <c r="J201" s="3110">
        <v>0</v>
      </c>
      <c r="K201" s="3110">
        <v>0</v>
      </c>
      <c r="L201" s="3111">
        <v>0.1</v>
      </c>
      <c r="M201" s="3111">
        <v>0.4</v>
      </c>
      <c r="N201" s="3111">
        <v>0.5</v>
      </c>
    </row>
    <row r="202" spans="1:14">
      <c r="A202" s="5053"/>
      <c r="B202" s="5057"/>
      <c r="C202" s="3105" t="s">
        <v>1982</v>
      </c>
      <c r="D202" s="5059"/>
      <c r="E202" s="3106">
        <v>22</v>
      </c>
      <c r="F202" s="3107">
        <v>6</v>
      </c>
      <c r="G202" s="3108">
        <f t="shared" si="5"/>
        <v>27.272727272727273</v>
      </c>
      <c r="H202" s="3109">
        <v>0.83333333333333326</v>
      </c>
      <c r="I202" s="3109">
        <v>0.16666666666666669</v>
      </c>
      <c r="J202" s="3110">
        <v>0</v>
      </c>
      <c r="K202" s="3110">
        <v>0</v>
      </c>
      <c r="L202" s="3110">
        <v>0</v>
      </c>
      <c r="M202" s="3111">
        <v>0.2</v>
      </c>
      <c r="N202" s="3111">
        <v>0.8</v>
      </c>
    </row>
    <row r="203" spans="1:14">
      <c r="A203" s="5053"/>
      <c r="B203" s="5057"/>
      <c r="C203" s="3105" t="s">
        <v>2554</v>
      </c>
      <c r="D203" s="5058" t="s">
        <v>253</v>
      </c>
      <c r="E203" s="3106">
        <v>23</v>
      </c>
      <c r="F203" s="3107">
        <v>11</v>
      </c>
      <c r="G203" s="3108">
        <f t="shared" si="5"/>
        <v>47.826086956521742</v>
      </c>
      <c r="H203" s="3109">
        <v>0.81799999999999995</v>
      </c>
      <c r="I203" s="3109">
        <v>0.182</v>
      </c>
      <c r="J203" s="3110">
        <v>0</v>
      </c>
      <c r="K203" s="3110">
        <v>0</v>
      </c>
      <c r="L203" s="3113">
        <v>0.222</v>
      </c>
      <c r="M203" s="3111">
        <v>0.222</v>
      </c>
      <c r="N203" s="3111">
        <v>0.55600000000000005</v>
      </c>
    </row>
    <row r="204" spans="1:14">
      <c r="A204" s="5053"/>
      <c r="B204" s="5057"/>
      <c r="C204" s="3105" t="s">
        <v>2555</v>
      </c>
      <c r="D204" s="5060"/>
      <c r="E204" s="3106">
        <v>6</v>
      </c>
      <c r="F204" s="3107">
        <v>2</v>
      </c>
      <c r="G204" s="3108">
        <f t="shared" si="5"/>
        <v>33.333333333333336</v>
      </c>
      <c r="H204" s="3109">
        <v>1</v>
      </c>
      <c r="I204" s="3112">
        <v>0</v>
      </c>
      <c r="J204" s="3110">
        <v>0</v>
      </c>
      <c r="K204" s="3110">
        <v>0</v>
      </c>
      <c r="L204" s="3110">
        <v>0</v>
      </c>
      <c r="M204" s="3111">
        <v>0.5</v>
      </c>
      <c r="N204" s="3111">
        <v>0.5</v>
      </c>
    </row>
    <row r="205" spans="1:14">
      <c r="A205" s="5053"/>
      <c r="B205" s="5056"/>
      <c r="C205" s="3105" t="s">
        <v>284</v>
      </c>
      <c r="D205" s="5059"/>
      <c r="E205" s="3106">
        <v>34</v>
      </c>
      <c r="F205" s="3107">
        <v>23</v>
      </c>
      <c r="G205" s="3108">
        <f t="shared" si="5"/>
        <v>67.647058823529406</v>
      </c>
      <c r="H205" s="3109">
        <v>0.73913043478260876</v>
      </c>
      <c r="I205" s="3109">
        <v>0.2608695652173913</v>
      </c>
      <c r="J205" s="3110">
        <v>0</v>
      </c>
      <c r="K205" s="3110">
        <v>0</v>
      </c>
      <c r="L205" s="3111">
        <v>5.8823529411764712E-2</v>
      </c>
      <c r="M205" s="3111">
        <v>0.17647058823529413</v>
      </c>
      <c r="N205" s="3111">
        <v>0.76470588235294112</v>
      </c>
    </row>
    <row r="206" spans="1:14" ht="15" customHeight="1">
      <c r="A206" s="5053"/>
      <c r="B206" s="5055" t="s">
        <v>2537</v>
      </c>
      <c r="C206" s="3105" t="s">
        <v>2365</v>
      </c>
      <c r="D206" s="5058" t="s">
        <v>270</v>
      </c>
      <c r="E206" s="3106">
        <v>36</v>
      </c>
      <c r="F206" s="3107">
        <v>16</v>
      </c>
      <c r="G206" s="3108">
        <f t="shared" si="5"/>
        <v>44.444444444444443</v>
      </c>
      <c r="H206" s="3109">
        <v>0.8125</v>
      </c>
      <c r="I206" s="3109">
        <v>0.1875</v>
      </c>
      <c r="J206" s="3110">
        <v>0</v>
      </c>
      <c r="K206" s="3110">
        <v>0</v>
      </c>
      <c r="L206" s="3111">
        <v>0.15384615384615385</v>
      </c>
      <c r="M206" s="3111">
        <v>7.6923076923076927E-2</v>
      </c>
      <c r="N206" s="3111">
        <v>0.76923076923076916</v>
      </c>
    </row>
    <row r="207" spans="1:14">
      <c r="A207" s="5053"/>
      <c r="B207" s="5057"/>
      <c r="C207" s="3105" t="s">
        <v>2556</v>
      </c>
      <c r="D207" s="5059"/>
      <c r="E207" s="3106">
        <v>373</v>
      </c>
      <c r="F207" s="3107">
        <v>135</v>
      </c>
      <c r="G207" s="3108">
        <f t="shared" si="5"/>
        <v>36.193029490616624</v>
      </c>
      <c r="H207" s="3109">
        <v>0.88148148148148153</v>
      </c>
      <c r="I207" s="3109">
        <v>0.11851851851851851</v>
      </c>
      <c r="J207" s="3111">
        <v>4.2735042735042736E-2</v>
      </c>
      <c r="K207" s="3111">
        <v>2.5641025641025644E-2</v>
      </c>
      <c r="L207" s="3111">
        <v>9.4017094017094016E-2</v>
      </c>
      <c r="M207" s="3111">
        <v>0.12820512820512822</v>
      </c>
      <c r="N207" s="3111">
        <v>0.70940170940170943</v>
      </c>
    </row>
    <row r="208" spans="1:14">
      <c r="A208" s="5053"/>
      <c r="B208" s="5057"/>
      <c r="C208" s="3105" t="s">
        <v>2557</v>
      </c>
      <c r="D208" s="5058" t="s">
        <v>252</v>
      </c>
      <c r="E208" s="3106">
        <v>200</v>
      </c>
      <c r="F208" s="3107">
        <v>50</v>
      </c>
      <c r="G208" s="3108">
        <f t="shared" si="5"/>
        <v>25</v>
      </c>
      <c r="H208" s="3109">
        <v>0.76</v>
      </c>
      <c r="I208" s="3109">
        <v>0.24</v>
      </c>
      <c r="J208" s="3111">
        <v>2.5641025641025644E-2</v>
      </c>
      <c r="K208" s="3111">
        <v>7.6923076923076927E-2</v>
      </c>
      <c r="L208" s="3111">
        <v>0.10256410256410257</v>
      </c>
      <c r="M208" s="3111">
        <v>0.20512820512820515</v>
      </c>
      <c r="N208" s="3111">
        <v>0.58974358974358976</v>
      </c>
    </row>
    <row r="209" spans="1:14">
      <c r="A209" s="5053"/>
      <c r="B209" s="5057"/>
      <c r="C209" s="3105" t="s">
        <v>1694</v>
      </c>
      <c r="D209" s="5059"/>
      <c r="E209" s="3106">
        <v>42</v>
      </c>
      <c r="F209" s="3107">
        <v>26</v>
      </c>
      <c r="G209" s="3108">
        <f t="shared" si="5"/>
        <v>61.904761904761905</v>
      </c>
      <c r="H209" s="3109">
        <v>0.53800000000000003</v>
      </c>
      <c r="I209" s="3109">
        <v>0.46200000000000002</v>
      </c>
      <c r="J209" s="3110">
        <v>0</v>
      </c>
      <c r="K209" s="3111">
        <v>0.214</v>
      </c>
      <c r="L209" s="3111">
        <v>0.214</v>
      </c>
      <c r="M209" s="3111">
        <v>0.14299999999999999</v>
      </c>
      <c r="N209" s="3111">
        <v>0.42899999999999999</v>
      </c>
    </row>
    <row r="210" spans="1:14">
      <c r="A210" s="5053"/>
      <c r="B210" s="5057"/>
      <c r="C210" s="3105" t="s">
        <v>1691</v>
      </c>
      <c r="D210" s="5058" t="s">
        <v>253</v>
      </c>
      <c r="E210" s="3106">
        <v>63</v>
      </c>
      <c r="F210" s="3107">
        <v>37</v>
      </c>
      <c r="G210" s="3108">
        <f t="shared" si="5"/>
        <v>58.730158730158728</v>
      </c>
      <c r="H210" s="3109">
        <v>0.622</v>
      </c>
      <c r="I210" s="3114">
        <v>0.378</v>
      </c>
      <c r="J210" s="3113">
        <v>4.36E-2</v>
      </c>
      <c r="K210" s="3113">
        <v>4.2999999999999997E-2</v>
      </c>
      <c r="L210" s="3113">
        <v>0.17399999999999999</v>
      </c>
      <c r="M210" s="3113">
        <v>0.17399999999999999</v>
      </c>
      <c r="N210" s="3113">
        <v>0.56499999999999995</v>
      </c>
    </row>
    <row r="211" spans="1:14">
      <c r="A211" s="5054"/>
      <c r="B211" s="5056"/>
      <c r="C211" s="3105" t="s">
        <v>2558</v>
      </c>
      <c r="D211" s="5059"/>
      <c r="E211" s="3106">
        <v>68</v>
      </c>
      <c r="F211" s="3107">
        <v>22</v>
      </c>
      <c r="G211" s="3108">
        <f t="shared" si="5"/>
        <v>32.352941176470587</v>
      </c>
      <c r="H211" s="3109">
        <v>0.90909090909090906</v>
      </c>
      <c r="I211" s="3109">
        <v>9.0909090909090912E-2</v>
      </c>
      <c r="J211" s="3111">
        <v>5.2631578947368425E-2</v>
      </c>
      <c r="K211" s="3111">
        <v>5.2631578947368425E-2</v>
      </c>
      <c r="L211" s="3111">
        <v>0.15789473684210525</v>
      </c>
      <c r="M211" s="3111">
        <v>5.2631578947368425E-2</v>
      </c>
      <c r="N211" s="3111">
        <v>0.68421052631578949</v>
      </c>
    </row>
    <row r="212" spans="1:14" ht="15" customHeight="1">
      <c r="A212" s="5052" t="s">
        <v>25</v>
      </c>
      <c r="B212" s="5055" t="s">
        <v>2541</v>
      </c>
      <c r="C212" s="3105" t="s">
        <v>2559</v>
      </c>
      <c r="D212" s="5058" t="s">
        <v>252</v>
      </c>
      <c r="E212" s="3106">
        <v>78</v>
      </c>
      <c r="F212" s="3107">
        <v>27</v>
      </c>
      <c r="G212" s="3108">
        <f t="shared" si="5"/>
        <v>34.615384615384613</v>
      </c>
      <c r="H212" s="3109">
        <v>0.74074074074074081</v>
      </c>
      <c r="I212" s="3109">
        <v>0.2592592592592593</v>
      </c>
      <c r="J212" s="3110">
        <v>0</v>
      </c>
      <c r="K212" s="3111">
        <v>0.05</v>
      </c>
      <c r="L212" s="3111">
        <v>0.05</v>
      </c>
      <c r="M212" s="3111">
        <v>0.3</v>
      </c>
      <c r="N212" s="3111">
        <v>0.6</v>
      </c>
    </row>
    <row r="213" spans="1:14">
      <c r="A213" s="5053"/>
      <c r="B213" s="5057"/>
      <c r="C213" s="3105" t="s">
        <v>2560</v>
      </c>
      <c r="D213" s="5060"/>
      <c r="E213" s="3106">
        <v>159</v>
      </c>
      <c r="F213" s="3107">
        <v>71</v>
      </c>
      <c r="G213" s="3108">
        <f t="shared" si="5"/>
        <v>44.654088050314463</v>
      </c>
      <c r="H213" s="3109">
        <v>0.88732394366197187</v>
      </c>
      <c r="I213" s="3109">
        <v>0.11267605633802816</v>
      </c>
      <c r="J213" s="3111">
        <v>3.1746031746031744E-2</v>
      </c>
      <c r="K213" s="3111">
        <v>6.3492063492063489E-2</v>
      </c>
      <c r="L213" s="3111">
        <v>0.12698412698412698</v>
      </c>
      <c r="M213" s="3111">
        <v>6.3492063492063489E-2</v>
      </c>
      <c r="N213" s="3111">
        <v>0.7142857142857143</v>
      </c>
    </row>
    <row r="214" spans="1:14">
      <c r="A214" s="5053"/>
      <c r="B214" s="5057"/>
      <c r="C214" s="3105" t="s">
        <v>2561</v>
      </c>
      <c r="D214" s="5060"/>
      <c r="E214" s="3106">
        <v>58</v>
      </c>
      <c r="F214" s="3107">
        <v>9</v>
      </c>
      <c r="G214" s="3108">
        <f t="shared" si="5"/>
        <v>15.517241379310345</v>
      </c>
      <c r="H214" s="3109">
        <v>0.77777777777777768</v>
      </c>
      <c r="I214" s="3109">
        <v>0.22222222222222221</v>
      </c>
      <c r="J214" s="3110">
        <v>0</v>
      </c>
      <c r="K214" s="3110">
        <v>0</v>
      </c>
      <c r="L214" s="3110">
        <v>0</v>
      </c>
      <c r="M214" s="3110">
        <v>0</v>
      </c>
      <c r="N214" s="3111">
        <v>1</v>
      </c>
    </row>
    <row r="215" spans="1:14">
      <c r="A215" s="5053"/>
      <c r="B215" s="5057"/>
      <c r="C215" s="3105" t="s">
        <v>2562</v>
      </c>
      <c r="D215" s="5060"/>
      <c r="E215" s="3106">
        <v>112</v>
      </c>
      <c r="F215" s="3107">
        <v>45</v>
      </c>
      <c r="G215" s="3108">
        <f t="shared" si="5"/>
        <v>40.178571428571431</v>
      </c>
      <c r="H215" s="3109">
        <v>0.84444444444444444</v>
      </c>
      <c r="I215" s="3109">
        <v>0.15555555555555556</v>
      </c>
      <c r="J215" s="3110">
        <v>0</v>
      </c>
      <c r="K215" s="3110">
        <v>0</v>
      </c>
      <c r="L215" s="3111">
        <v>0.1081081081081081</v>
      </c>
      <c r="M215" s="3111">
        <v>8.1081081081081086E-2</v>
      </c>
      <c r="N215" s="3111">
        <v>0.81081081081081086</v>
      </c>
    </row>
    <row r="216" spans="1:14">
      <c r="A216" s="5053"/>
      <c r="B216" s="5057"/>
      <c r="C216" s="3105" t="s">
        <v>2563</v>
      </c>
      <c r="D216" s="5060"/>
      <c r="E216" s="3106">
        <v>36</v>
      </c>
      <c r="F216" s="3107">
        <v>25</v>
      </c>
      <c r="G216" s="3108">
        <f t="shared" si="5"/>
        <v>69.444444444444443</v>
      </c>
      <c r="H216" s="3109">
        <v>0.76</v>
      </c>
      <c r="I216" s="3109">
        <v>0.24</v>
      </c>
      <c r="J216" s="3111">
        <v>5.2631578947368425E-2</v>
      </c>
      <c r="K216" s="3110">
        <v>0</v>
      </c>
      <c r="L216" s="3111">
        <v>5.2631578947368425E-2</v>
      </c>
      <c r="M216" s="3111">
        <v>0.2105263157894737</v>
      </c>
      <c r="N216" s="3111">
        <v>0.68421052631578949</v>
      </c>
    </row>
    <row r="217" spans="1:14">
      <c r="A217" s="5053"/>
      <c r="B217" s="5057"/>
      <c r="C217" s="3105" t="s">
        <v>121</v>
      </c>
      <c r="D217" s="5060"/>
      <c r="E217" s="3106">
        <v>63</v>
      </c>
      <c r="F217" s="3107">
        <v>39</v>
      </c>
      <c r="G217" s="3108">
        <f t="shared" si="5"/>
        <v>61.904761904761905</v>
      </c>
      <c r="H217" s="3109">
        <v>0.66666666666666674</v>
      </c>
      <c r="I217" s="3109">
        <v>0.33333333333333337</v>
      </c>
      <c r="J217" s="3111">
        <v>7.6923076923076927E-2</v>
      </c>
      <c r="K217" s="3111">
        <v>7.6923076923076927E-2</v>
      </c>
      <c r="L217" s="3111">
        <v>0.15384615384615385</v>
      </c>
      <c r="M217" s="3111">
        <v>0.15384615384615385</v>
      </c>
      <c r="N217" s="3111">
        <v>0.53846153846153844</v>
      </c>
    </row>
    <row r="218" spans="1:14">
      <c r="A218" s="5053"/>
      <c r="B218" s="5057"/>
      <c r="C218" s="3105" t="s">
        <v>2564</v>
      </c>
      <c r="D218" s="5060"/>
      <c r="E218" s="3106">
        <v>182</v>
      </c>
      <c r="F218" s="3107">
        <v>127</v>
      </c>
      <c r="G218" s="3108">
        <f t="shared" si="5"/>
        <v>69.780219780219781</v>
      </c>
      <c r="H218" s="3109">
        <v>0.77200000000000002</v>
      </c>
      <c r="I218" s="3109">
        <v>0.22800000000000001</v>
      </c>
      <c r="J218" s="3111">
        <v>3.1E-2</v>
      </c>
      <c r="K218" s="3111">
        <v>3.9E-2</v>
      </c>
      <c r="L218" s="3111">
        <v>0.14199999999999999</v>
      </c>
      <c r="M218" s="3111">
        <v>0.157</v>
      </c>
      <c r="N218" s="3111">
        <v>0.39400000000000002</v>
      </c>
    </row>
    <row r="219" spans="1:14">
      <c r="A219" s="5053"/>
      <c r="B219" s="5057"/>
      <c r="C219" s="3105" t="s">
        <v>2565</v>
      </c>
      <c r="D219" s="5060"/>
      <c r="E219" s="3106">
        <v>106</v>
      </c>
      <c r="F219" s="3107">
        <v>43</v>
      </c>
      <c r="G219" s="3108">
        <f t="shared" si="5"/>
        <v>40.566037735849058</v>
      </c>
      <c r="H219" s="3109">
        <v>0.86046511627906985</v>
      </c>
      <c r="I219" s="3109">
        <v>0.13953488372093023</v>
      </c>
      <c r="J219" s="3111">
        <v>5.5555555555555552E-2</v>
      </c>
      <c r="K219" s="3111">
        <v>5.5555555555555552E-2</v>
      </c>
      <c r="L219" s="3111">
        <v>5.5555555555555552E-2</v>
      </c>
      <c r="M219" s="3111">
        <v>0.19444444444444442</v>
      </c>
      <c r="N219" s="3111">
        <v>0.63888888888888884</v>
      </c>
    </row>
    <row r="220" spans="1:14">
      <c r="A220" s="5053"/>
      <c r="B220" s="5057"/>
      <c r="C220" s="3105" t="s">
        <v>2566</v>
      </c>
      <c r="D220" s="5060"/>
      <c r="E220" s="3106">
        <v>169</v>
      </c>
      <c r="F220" s="3107">
        <v>76</v>
      </c>
      <c r="G220" s="3108">
        <f t="shared" si="5"/>
        <v>44.970414201183431</v>
      </c>
      <c r="H220" s="3109">
        <v>0.63157894736842102</v>
      </c>
      <c r="I220" s="3109">
        <v>0.36842105263157898</v>
      </c>
      <c r="J220" s="3111">
        <v>2.0833333333333336E-2</v>
      </c>
      <c r="K220" s="3111">
        <v>8.3333333333333343E-2</v>
      </c>
      <c r="L220" s="3111">
        <v>0.125</v>
      </c>
      <c r="M220" s="3111">
        <v>0.20833333333333331</v>
      </c>
      <c r="N220" s="3111">
        <v>0.5625</v>
      </c>
    </row>
    <row r="221" spans="1:14">
      <c r="A221" s="5053"/>
      <c r="B221" s="5057"/>
      <c r="C221" s="3105" t="s">
        <v>2567</v>
      </c>
      <c r="D221" s="5060"/>
      <c r="E221" s="3106">
        <v>140</v>
      </c>
      <c r="F221" s="3107">
        <v>107</v>
      </c>
      <c r="G221" s="3108">
        <f t="shared" si="5"/>
        <v>76.428571428571431</v>
      </c>
      <c r="H221" s="3109">
        <v>0.7289719626168224</v>
      </c>
      <c r="I221" s="3109">
        <v>0.27102803738317754</v>
      </c>
      <c r="J221" s="3111">
        <v>6.4102564102564111E-2</v>
      </c>
      <c r="K221" s="3111">
        <v>3.8461538461538464E-2</v>
      </c>
      <c r="L221" s="3111">
        <v>0.16666666666666669</v>
      </c>
      <c r="M221" s="3111">
        <v>0.21794871794871795</v>
      </c>
      <c r="N221" s="3111">
        <v>0.51282051282051289</v>
      </c>
    </row>
    <row r="222" spans="1:14">
      <c r="A222" s="5053"/>
      <c r="B222" s="5057"/>
      <c r="C222" s="3105" t="s">
        <v>286</v>
      </c>
      <c r="D222" s="5060"/>
      <c r="E222" s="3106">
        <v>17</v>
      </c>
      <c r="F222" s="3107">
        <v>18</v>
      </c>
      <c r="G222" s="3108">
        <f t="shared" si="5"/>
        <v>105.88235294117646</v>
      </c>
      <c r="H222" s="3109">
        <v>0.88888888888888884</v>
      </c>
      <c r="I222" s="3109">
        <v>0.1111111111111111</v>
      </c>
      <c r="J222" s="3110">
        <v>0</v>
      </c>
      <c r="K222" s="3111">
        <v>6.25E-2</v>
      </c>
      <c r="L222" s="3111">
        <v>0.125</v>
      </c>
      <c r="M222" s="3111">
        <v>0.1875</v>
      </c>
      <c r="N222" s="3111">
        <v>0.625</v>
      </c>
    </row>
    <row r="223" spans="1:14">
      <c r="A223" s="5053"/>
      <c r="B223" s="5057"/>
      <c r="C223" s="3105" t="s">
        <v>2568</v>
      </c>
      <c r="D223" s="5060"/>
      <c r="E223" s="3106">
        <v>65</v>
      </c>
      <c r="F223" s="3107">
        <v>39</v>
      </c>
      <c r="G223" s="3108">
        <f t="shared" si="5"/>
        <v>60</v>
      </c>
      <c r="H223" s="3109">
        <v>0.61538461538461542</v>
      </c>
      <c r="I223" s="3109">
        <v>0.38461538461538458</v>
      </c>
      <c r="J223" s="3110">
        <v>0</v>
      </c>
      <c r="K223" s="3111">
        <v>4.3478260869565216E-2</v>
      </c>
      <c r="L223" s="3111">
        <v>0.21739130434782608</v>
      </c>
      <c r="M223" s="3111">
        <v>0.30434782608695654</v>
      </c>
      <c r="N223" s="3111">
        <v>0.43478260869565216</v>
      </c>
    </row>
    <row r="224" spans="1:14">
      <c r="A224" s="5053"/>
      <c r="B224" s="5057"/>
      <c r="C224" s="3105" t="s">
        <v>834</v>
      </c>
      <c r="D224" s="5059"/>
      <c r="E224" s="3106">
        <v>22</v>
      </c>
      <c r="F224" s="3107">
        <v>8</v>
      </c>
      <c r="G224" s="3108">
        <f t="shared" si="5"/>
        <v>36.363636363636367</v>
      </c>
      <c r="H224" s="3109">
        <v>0.625</v>
      </c>
      <c r="I224" s="3109">
        <v>0.375</v>
      </c>
      <c r="J224" s="3110">
        <v>0</v>
      </c>
      <c r="K224" s="3111">
        <v>0.4</v>
      </c>
      <c r="L224" s="3111">
        <v>0.2</v>
      </c>
      <c r="M224" s="3110">
        <v>0</v>
      </c>
      <c r="N224" s="3111">
        <v>0.4</v>
      </c>
    </row>
    <row r="225" spans="1:14">
      <c r="A225" s="5053"/>
      <c r="B225" s="5057"/>
      <c r="C225" s="3105" t="s">
        <v>2569</v>
      </c>
      <c r="D225" s="5058" t="s">
        <v>253</v>
      </c>
      <c r="E225" s="3106">
        <v>302</v>
      </c>
      <c r="F225" s="3107">
        <v>180</v>
      </c>
      <c r="G225" s="3108">
        <f t="shared" si="5"/>
        <v>59.602649006622514</v>
      </c>
      <c r="H225" s="3109">
        <v>0.77222222222222225</v>
      </c>
      <c r="I225" s="3109">
        <v>0.22777777777777777</v>
      </c>
      <c r="J225" s="3111">
        <v>2.9197080291970802E-2</v>
      </c>
      <c r="K225" s="3111">
        <v>5.1094890510948912E-2</v>
      </c>
      <c r="L225" s="3111">
        <v>8.7591240875912413E-2</v>
      </c>
      <c r="M225" s="3111">
        <v>0.16788321167883211</v>
      </c>
      <c r="N225" s="3111">
        <v>0.66423357664233573</v>
      </c>
    </row>
    <row r="226" spans="1:14">
      <c r="A226" s="5053"/>
      <c r="B226" s="5057"/>
      <c r="C226" s="3105" t="s">
        <v>122</v>
      </c>
      <c r="D226" s="5060"/>
      <c r="E226" s="3106">
        <v>52</v>
      </c>
      <c r="F226" s="3107">
        <v>10</v>
      </c>
      <c r="G226" s="3108">
        <f t="shared" si="5"/>
        <v>19.23076923076923</v>
      </c>
      <c r="H226" s="3109">
        <v>0.7</v>
      </c>
      <c r="I226" s="3109">
        <v>0.3</v>
      </c>
      <c r="J226" s="3110">
        <v>0</v>
      </c>
      <c r="K226" s="3111">
        <v>0.16700000000000001</v>
      </c>
      <c r="L226" s="3110">
        <v>0</v>
      </c>
      <c r="M226" s="3111">
        <v>0.16700000000000001</v>
      </c>
      <c r="N226" s="3111">
        <v>0.66700000000000004</v>
      </c>
    </row>
    <row r="227" spans="1:14">
      <c r="A227" s="5053"/>
      <c r="B227" s="5057"/>
      <c r="C227" s="3105" t="s">
        <v>123</v>
      </c>
      <c r="D227" s="5060"/>
      <c r="E227" s="3106">
        <v>144</v>
      </c>
      <c r="F227" s="3107">
        <v>97</v>
      </c>
      <c r="G227" s="3108">
        <f t="shared" si="5"/>
        <v>67.361111111111114</v>
      </c>
      <c r="H227" s="3109">
        <v>0.78350515463917536</v>
      </c>
      <c r="I227" s="3109">
        <v>0.21649484536082475</v>
      </c>
      <c r="J227" s="3111">
        <v>1.2195121951219513E-2</v>
      </c>
      <c r="K227" s="3110">
        <v>0</v>
      </c>
      <c r="L227" s="3111">
        <v>2.4390243902439025E-2</v>
      </c>
      <c r="M227" s="3111">
        <v>0.28048780487804875</v>
      </c>
      <c r="N227" s="3111">
        <v>0.68292682926829273</v>
      </c>
    </row>
    <row r="228" spans="1:14">
      <c r="A228" s="5053"/>
      <c r="B228" s="5057"/>
      <c r="C228" s="3105" t="s">
        <v>124</v>
      </c>
      <c r="D228" s="5060"/>
      <c r="E228" s="3106">
        <v>70</v>
      </c>
      <c r="F228" s="3107">
        <v>32</v>
      </c>
      <c r="G228" s="3108">
        <f t="shared" si="5"/>
        <v>45.714285714285715</v>
      </c>
      <c r="H228" s="3109">
        <v>0.875</v>
      </c>
      <c r="I228" s="3109">
        <v>0.125</v>
      </c>
      <c r="J228" s="3110">
        <v>0</v>
      </c>
      <c r="K228" s="3111">
        <v>3.5714285714285719E-2</v>
      </c>
      <c r="L228" s="3111">
        <v>7.1428571428571438E-2</v>
      </c>
      <c r="M228" s="3111">
        <v>0.10714285714285714</v>
      </c>
      <c r="N228" s="3111">
        <v>0.7857142857142857</v>
      </c>
    </row>
    <row r="229" spans="1:14">
      <c r="A229" s="5053"/>
      <c r="B229" s="5057"/>
      <c r="C229" s="3105" t="s">
        <v>125</v>
      </c>
      <c r="D229" s="5060"/>
      <c r="E229" s="3106">
        <v>30</v>
      </c>
      <c r="F229" s="3107">
        <v>24</v>
      </c>
      <c r="G229" s="3108">
        <f t="shared" si="5"/>
        <v>80</v>
      </c>
      <c r="H229" s="3109">
        <v>1</v>
      </c>
      <c r="I229" s="3112">
        <v>0</v>
      </c>
      <c r="J229" s="3110">
        <v>0</v>
      </c>
      <c r="K229" s="3110">
        <v>0</v>
      </c>
      <c r="L229" s="3111">
        <v>4.1666666666666671E-2</v>
      </c>
      <c r="M229" s="3111">
        <v>0.25</v>
      </c>
      <c r="N229" s="3111">
        <v>0.70833333333333326</v>
      </c>
    </row>
    <row r="230" spans="1:14">
      <c r="A230" s="5053"/>
      <c r="B230" s="5056"/>
      <c r="C230" s="3105" t="s">
        <v>424</v>
      </c>
      <c r="D230" s="5059"/>
      <c r="E230" s="3106">
        <v>5</v>
      </c>
      <c r="F230" s="3107">
        <v>7</v>
      </c>
      <c r="G230" s="3108">
        <f t="shared" si="5"/>
        <v>140</v>
      </c>
      <c r="H230" s="3109">
        <v>1</v>
      </c>
      <c r="I230" s="3112">
        <v>0</v>
      </c>
      <c r="J230" s="3110">
        <v>0</v>
      </c>
      <c r="K230" s="3110">
        <v>0</v>
      </c>
      <c r="L230" s="3110">
        <v>0</v>
      </c>
      <c r="M230" s="3110">
        <v>0</v>
      </c>
      <c r="N230" s="3111">
        <v>1</v>
      </c>
    </row>
    <row r="231" spans="1:14" ht="15" customHeight="1">
      <c r="A231" s="5053"/>
      <c r="B231" s="5055" t="s">
        <v>2536</v>
      </c>
      <c r="C231" s="3105" t="s">
        <v>2570</v>
      </c>
      <c r="D231" s="3115" t="s">
        <v>270</v>
      </c>
      <c r="E231" s="3106">
        <v>717</v>
      </c>
      <c r="F231" s="3107">
        <v>130</v>
      </c>
      <c r="G231" s="3108">
        <f t="shared" si="5"/>
        <v>18.131101813110181</v>
      </c>
      <c r="H231" s="3109">
        <v>0.90769230769230769</v>
      </c>
      <c r="I231" s="3109">
        <v>9.2307692307692299E-2</v>
      </c>
      <c r="J231" s="3111">
        <v>4.2372881355932208E-2</v>
      </c>
      <c r="K231" s="3111">
        <v>4.2372881355932208E-2</v>
      </c>
      <c r="L231" s="3111">
        <v>0.1440677966101695</v>
      </c>
      <c r="M231" s="3111">
        <v>0.11016949152542374</v>
      </c>
      <c r="N231" s="3111">
        <v>0.66101694915254239</v>
      </c>
    </row>
    <row r="232" spans="1:14">
      <c r="A232" s="5053"/>
      <c r="B232" s="5057"/>
      <c r="C232" s="3105" t="s">
        <v>2571</v>
      </c>
      <c r="D232" s="5058" t="s">
        <v>252</v>
      </c>
      <c r="E232" s="3106">
        <v>80</v>
      </c>
      <c r="F232" s="3107">
        <v>22</v>
      </c>
      <c r="G232" s="3108">
        <f t="shared" si="5"/>
        <v>27.5</v>
      </c>
      <c r="H232" s="3109">
        <v>0.72727272727272729</v>
      </c>
      <c r="I232" s="3109">
        <v>0.27272727272727271</v>
      </c>
      <c r="J232" s="3110">
        <v>0</v>
      </c>
      <c r="K232" s="3111">
        <v>6.25E-2</v>
      </c>
      <c r="L232" s="3111">
        <v>0.125</v>
      </c>
      <c r="M232" s="3110">
        <v>0</v>
      </c>
      <c r="N232" s="3111">
        <v>0.8125</v>
      </c>
    </row>
    <row r="233" spans="1:14">
      <c r="A233" s="5053"/>
      <c r="B233" s="5057"/>
      <c r="C233" s="3105" t="s">
        <v>501</v>
      </c>
      <c r="D233" s="5060"/>
      <c r="E233" s="3106">
        <v>53</v>
      </c>
      <c r="F233" s="3107">
        <v>18</v>
      </c>
      <c r="G233" s="3108">
        <f t="shared" si="5"/>
        <v>33.962264150943398</v>
      </c>
      <c r="H233" s="3109">
        <v>0.88888888888888884</v>
      </c>
      <c r="I233" s="3109">
        <v>0.1111111111111111</v>
      </c>
      <c r="J233" s="3110">
        <v>0</v>
      </c>
      <c r="K233" s="3110">
        <v>0</v>
      </c>
      <c r="L233" s="3111">
        <v>0.1875</v>
      </c>
      <c r="M233" s="3111">
        <v>6.25E-2</v>
      </c>
      <c r="N233" s="3111">
        <v>0.75</v>
      </c>
    </row>
    <row r="234" spans="1:14">
      <c r="A234" s="5053"/>
      <c r="B234" s="5057"/>
      <c r="C234" s="3105" t="s">
        <v>2572</v>
      </c>
      <c r="D234" s="5060"/>
      <c r="E234" s="3106">
        <v>38</v>
      </c>
      <c r="F234" s="3107">
        <v>10</v>
      </c>
      <c r="G234" s="3108">
        <f t="shared" si="5"/>
        <v>26.315789473684209</v>
      </c>
      <c r="H234" s="3109">
        <v>0.9</v>
      </c>
      <c r="I234" s="3109">
        <v>0.1</v>
      </c>
      <c r="J234" s="3111">
        <v>0.1111111111111111</v>
      </c>
      <c r="K234" s="3110">
        <v>0</v>
      </c>
      <c r="L234" s="3111">
        <v>0.22222222222222221</v>
      </c>
      <c r="M234" s="3110">
        <v>0</v>
      </c>
      <c r="N234" s="3111">
        <v>0.66666666666666674</v>
      </c>
    </row>
    <row r="235" spans="1:14">
      <c r="A235" s="5053"/>
      <c r="B235" s="5057"/>
      <c r="C235" s="3105" t="s">
        <v>2573</v>
      </c>
      <c r="D235" s="5060"/>
      <c r="E235" s="3106">
        <v>263</v>
      </c>
      <c r="F235" s="3107">
        <v>199</v>
      </c>
      <c r="G235" s="3108">
        <f t="shared" si="5"/>
        <v>75.665399239543731</v>
      </c>
      <c r="H235" s="3109">
        <v>0.7587939698492463</v>
      </c>
      <c r="I235" s="3109">
        <v>0.24120603015075379</v>
      </c>
      <c r="J235" s="3111">
        <v>1.3333333333333332E-2</v>
      </c>
      <c r="K235" s="3111">
        <v>1.3333333333333332E-2</v>
      </c>
      <c r="L235" s="3111">
        <v>6.6666666666666666E-2</v>
      </c>
      <c r="M235" s="3111">
        <v>0.24666666666666667</v>
      </c>
      <c r="N235" s="3111">
        <v>0.66</v>
      </c>
    </row>
    <row r="236" spans="1:14">
      <c r="A236" s="5053"/>
      <c r="B236" s="5057"/>
      <c r="C236" s="3105" t="s">
        <v>2574</v>
      </c>
      <c r="D236" s="5060"/>
      <c r="E236" s="3106">
        <v>152</v>
      </c>
      <c r="F236" s="3107">
        <v>63</v>
      </c>
      <c r="G236" s="3108">
        <f t="shared" si="5"/>
        <v>41.44736842105263</v>
      </c>
      <c r="H236" s="3109">
        <v>0.82539682539682546</v>
      </c>
      <c r="I236" s="3109">
        <v>0.17460317460317459</v>
      </c>
      <c r="J236" s="3111">
        <v>1.8867924528301886E-2</v>
      </c>
      <c r="K236" s="3110">
        <v>0</v>
      </c>
      <c r="L236" s="3111">
        <v>7.5471698113207544E-2</v>
      </c>
      <c r="M236" s="3111">
        <v>0.13207547169811321</v>
      </c>
      <c r="N236" s="3111">
        <v>0.7735849056603773</v>
      </c>
    </row>
    <row r="237" spans="1:14">
      <c r="A237" s="5053"/>
      <c r="B237" s="5057"/>
      <c r="C237" s="3105" t="s">
        <v>2575</v>
      </c>
      <c r="D237" s="5060"/>
      <c r="E237" s="3106">
        <v>389</v>
      </c>
      <c r="F237" s="3107">
        <v>160</v>
      </c>
      <c r="G237" s="3108">
        <f t="shared" si="5"/>
        <v>41.131105398457585</v>
      </c>
      <c r="H237" s="3109">
        <v>0.63124999999999998</v>
      </c>
      <c r="I237" s="3109">
        <v>0.36875000000000002</v>
      </c>
      <c r="J237" s="3111">
        <v>1.0101010101010102E-2</v>
      </c>
      <c r="K237" s="3111">
        <v>0.1111111111111111</v>
      </c>
      <c r="L237" s="3111">
        <v>0.13131313131313133</v>
      </c>
      <c r="M237" s="3111">
        <v>0.31313131313131309</v>
      </c>
      <c r="N237" s="3111">
        <v>0.43434343434343431</v>
      </c>
    </row>
    <row r="238" spans="1:14">
      <c r="A238" s="5053"/>
      <c r="B238" s="5057"/>
      <c r="C238" s="3105" t="s">
        <v>2576</v>
      </c>
      <c r="D238" s="5060"/>
      <c r="E238" s="3106">
        <v>219</v>
      </c>
      <c r="F238" s="3107">
        <v>165</v>
      </c>
      <c r="G238" s="3108">
        <f t="shared" si="5"/>
        <v>75.342465753424662</v>
      </c>
      <c r="H238" s="3109">
        <v>0.7151515151515152</v>
      </c>
      <c r="I238" s="3109">
        <v>0.28484848484848485</v>
      </c>
      <c r="J238" s="3111">
        <v>5.9322033898305086E-2</v>
      </c>
      <c r="K238" s="3111">
        <v>4.2372881355932208E-2</v>
      </c>
      <c r="L238" s="3111">
        <v>0.11016949152542374</v>
      </c>
      <c r="M238" s="3111">
        <v>0.1864406779661017</v>
      </c>
      <c r="N238" s="3111">
        <v>0.60169491525423735</v>
      </c>
    </row>
    <row r="239" spans="1:14">
      <c r="A239" s="5053"/>
      <c r="B239" s="5057"/>
      <c r="C239" s="3105" t="s">
        <v>2577</v>
      </c>
      <c r="D239" s="5059"/>
      <c r="E239" s="3106">
        <v>96</v>
      </c>
      <c r="F239" s="3107">
        <v>45</v>
      </c>
      <c r="G239" s="3108">
        <f t="shared" si="5"/>
        <v>46.875</v>
      </c>
      <c r="H239" s="3109">
        <v>0.22222222222222221</v>
      </c>
      <c r="I239" s="3109">
        <v>0.77777777777777768</v>
      </c>
      <c r="J239" s="3110">
        <v>0</v>
      </c>
      <c r="K239" s="3110">
        <v>0</v>
      </c>
      <c r="L239" s="3111">
        <v>0.1</v>
      </c>
      <c r="M239" s="3111">
        <v>0.3</v>
      </c>
      <c r="N239" s="3111">
        <v>0.6</v>
      </c>
    </row>
    <row r="240" spans="1:14">
      <c r="A240" s="5053"/>
      <c r="B240" s="5057"/>
      <c r="C240" s="3105" t="s">
        <v>285</v>
      </c>
      <c r="D240" s="5058" t="s">
        <v>253</v>
      </c>
      <c r="E240" s="3106">
        <v>19</v>
      </c>
      <c r="F240" s="3107">
        <v>4</v>
      </c>
      <c r="G240" s="3108">
        <f t="shared" si="5"/>
        <v>21.05263157894737</v>
      </c>
      <c r="H240" s="3109">
        <v>0.25</v>
      </c>
      <c r="I240" s="3109">
        <v>0.75</v>
      </c>
      <c r="J240" s="3110">
        <v>0</v>
      </c>
      <c r="K240" s="3110">
        <v>0</v>
      </c>
      <c r="L240" s="3111">
        <v>1</v>
      </c>
      <c r="M240" s="3110">
        <v>0</v>
      </c>
      <c r="N240" s="3110">
        <v>0</v>
      </c>
    </row>
    <row r="241" spans="1:14">
      <c r="A241" s="5053"/>
      <c r="B241" s="5057"/>
      <c r="C241" s="3105" t="s">
        <v>2578</v>
      </c>
      <c r="D241" s="5060"/>
      <c r="E241" s="3106">
        <v>189</v>
      </c>
      <c r="F241" s="3107">
        <v>122</v>
      </c>
      <c r="G241" s="3108">
        <f t="shared" si="5"/>
        <v>64.550264550264544</v>
      </c>
      <c r="H241" s="3109">
        <v>0.92622950819672123</v>
      </c>
      <c r="I241" s="3109">
        <v>7.3770491803278687E-2</v>
      </c>
      <c r="J241" s="3110">
        <v>0</v>
      </c>
      <c r="K241" s="3116">
        <v>8.8495575221238937E-3</v>
      </c>
      <c r="L241" s="3111">
        <v>4.4247787610619468E-2</v>
      </c>
      <c r="M241" s="3111">
        <v>0.21238938053097345</v>
      </c>
      <c r="N241" s="3111">
        <v>0.73451327433628322</v>
      </c>
    </row>
    <row r="242" spans="1:14">
      <c r="A242" s="5053"/>
      <c r="B242" s="5057"/>
      <c r="C242" s="3105" t="s">
        <v>2579</v>
      </c>
      <c r="D242" s="5060"/>
      <c r="E242" s="3106">
        <v>213</v>
      </c>
      <c r="F242" s="3107">
        <v>68</v>
      </c>
      <c r="G242" s="3108">
        <f t="shared" si="5"/>
        <v>31.92488262910798</v>
      </c>
      <c r="H242" s="3109">
        <v>0.85294117647058831</v>
      </c>
      <c r="I242" s="3109">
        <v>0.14705882352941177</v>
      </c>
      <c r="J242" s="3111">
        <v>3.5087719298245612E-2</v>
      </c>
      <c r="K242" s="3110">
        <v>0</v>
      </c>
      <c r="L242" s="3111">
        <v>8.7719298245614044E-2</v>
      </c>
      <c r="M242" s="3111">
        <v>0.10526315789473685</v>
      </c>
      <c r="N242" s="3111">
        <v>0.77192982456140358</v>
      </c>
    </row>
    <row r="243" spans="1:14">
      <c r="A243" s="5053"/>
      <c r="B243" s="5057"/>
      <c r="C243" s="3105" t="s">
        <v>2580</v>
      </c>
      <c r="D243" s="5060"/>
      <c r="E243" s="3106">
        <v>217</v>
      </c>
      <c r="F243" s="3107">
        <v>79</v>
      </c>
      <c r="G243" s="3108">
        <f t="shared" si="5"/>
        <v>36.405529953917053</v>
      </c>
      <c r="H243" s="3109">
        <v>0.88607594936708867</v>
      </c>
      <c r="I243" s="3109">
        <v>0.11392405063291139</v>
      </c>
      <c r="J243" s="3110">
        <v>0</v>
      </c>
      <c r="K243" s="3111">
        <v>2.8169014084507039E-2</v>
      </c>
      <c r="L243" s="3111">
        <v>8.4507042253521125E-2</v>
      </c>
      <c r="M243" s="3111">
        <v>0.18309859154929575</v>
      </c>
      <c r="N243" s="3111">
        <v>0.70422535211267601</v>
      </c>
    </row>
    <row r="244" spans="1:14">
      <c r="A244" s="5053"/>
      <c r="B244" s="5057"/>
      <c r="C244" s="3105" t="s">
        <v>2581</v>
      </c>
      <c r="D244" s="5060"/>
      <c r="E244" s="3106">
        <v>138</v>
      </c>
      <c r="F244" s="3107">
        <v>25</v>
      </c>
      <c r="G244" s="3108">
        <f t="shared" si="5"/>
        <v>18.115942028985508</v>
      </c>
      <c r="H244" s="3109">
        <v>0.88</v>
      </c>
      <c r="I244" s="3109">
        <v>0.12</v>
      </c>
      <c r="J244" s="3110">
        <v>0</v>
      </c>
      <c r="K244" s="3111">
        <v>4.5454545454545456E-2</v>
      </c>
      <c r="L244" s="3111">
        <v>0.13636363636363635</v>
      </c>
      <c r="M244" s="3111">
        <v>9.0909090909090912E-2</v>
      </c>
      <c r="N244" s="3111">
        <v>0.72727272727272729</v>
      </c>
    </row>
    <row r="245" spans="1:14">
      <c r="A245" s="5053"/>
      <c r="B245" s="5056"/>
      <c r="C245" s="3105" t="s">
        <v>2582</v>
      </c>
      <c r="D245" s="5059"/>
      <c r="E245" s="3106">
        <v>32</v>
      </c>
      <c r="F245" s="3107">
        <v>24</v>
      </c>
      <c r="G245" s="3108">
        <f t="shared" si="5"/>
        <v>75</v>
      </c>
      <c r="H245" s="3109">
        <v>0.79166666666666674</v>
      </c>
      <c r="I245" s="3109">
        <v>0.20833333333333331</v>
      </c>
      <c r="J245" s="3110">
        <v>0</v>
      </c>
      <c r="K245" s="3111">
        <v>5.2631578947368425E-2</v>
      </c>
      <c r="L245" s="3111">
        <v>5.2631578947368425E-2</v>
      </c>
      <c r="M245" s="3111">
        <v>0.31578947368421051</v>
      </c>
      <c r="N245" s="3111">
        <v>0.57894736842105265</v>
      </c>
    </row>
    <row r="246" spans="1:14" ht="15" customHeight="1">
      <c r="A246" s="5053"/>
      <c r="B246" s="5055" t="s">
        <v>2538</v>
      </c>
      <c r="C246" s="3105" t="s">
        <v>297</v>
      </c>
      <c r="D246" s="5058" t="s">
        <v>270</v>
      </c>
      <c r="E246" s="3106">
        <v>210</v>
      </c>
      <c r="F246" s="3107">
        <v>54</v>
      </c>
      <c r="G246" s="3108">
        <f t="shared" si="5"/>
        <v>25.714285714285715</v>
      </c>
      <c r="H246" s="3109">
        <v>0.66666666666666674</v>
      </c>
      <c r="I246" s="3109">
        <v>0.33333333333333337</v>
      </c>
      <c r="J246" s="3111">
        <v>8.3333333333333343E-2</v>
      </c>
      <c r="K246" s="3111">
        <v>0.1388888888888889</v>
      </c>
      <c r="L246" s="3111">
        <v>8.3333333333333343E-2</v>
      </c>
      <c r="M246" s="3110">
        <v>0</v>
      </c>
      <c r="N246" s="3111">
        <v>0.69444444444444442</v>
      </c>
    </row>
    <row r="247" spans="1:14">
      <c r="A247" s="5053"/>
      <c r="B247" s="5057"/>
      <c r="C247" s="3105" t="s">
        <v>298</v>
      </c>
      <c r="D247" s="5059"/>
      <c r="E247" s="3106">
        <v>99</v>
      </c>
      <c r="F247" s="3107">
        <v>32</v>
      </c>
      <c r="G247" s="3108">
        <f t="shared" si="5"/>
        <v>32.323232323232325</v>
      </c>
      <c r="H247" s="3109">
        <v>0.875</v>
      </c>
      <c r="I247" s="3109">
        <v>0.125</v>
      </c>
      <c r="J247" s="3110">
        <v>0</v>
      </c>
      <c r="K247" s="3111">
        <v>7.1428571428571438E-2</v>
      </c>
      <c r="L247" s="3111">
        <v>0.14285714285714288</v>
      </c>
      <c r="M247" s="3110">
        <v>0</v>
      </c>
      <c r="N247" s="3111">
        <v>0.7857142857142857</v>
      </c>
    </row>
    <row r="248" spans="1:14">
      <c r="A248" s="5053"/>
      <c r="B248" s="5057"/>
      <c r="C248" s="3105" t="s">
        <v>2411</v>
      </c>
      <c r="D248" s="5058" t="s">
        <v>252</v>
      </c>
      <c r="E248" s="3106">
        <v>89</v>
      </c>
      <c r="F248" s="3107">
        <v>55</v>
      </c>
      <c r="G248" s="3108">
        <f t="shared" si="5"/>
        <v>61.797752808988761</v>
      </c>
      <c r="H248" s="3109">
        <v>0.87272727272727268</v>
      </c>
      <c r="I248" s="3109">
        <v>0.12727272727272726</v>
      </c>
      <c r="J248" s="3111">
        <v>6.25E-2</v>
      </c>
      <c r="K248" s="3111">
        <v>6.25E-2</v>
      </c>
      <c r="L248" s="3111">
        <v>0.10416666666666666</v>
      </c>
      <c r="M248" s="3111">
        <v>0.1875</v>
      </c>
      <c r="N248" s="3111">
        <v>0.58333333333333337</v>
      </c>
    </row>
    <row r="249" spans="1:14">
      <c r="A249" s="5053"/>
      <c r="B249" s="5057"/>
      <c r="C249" s="3105" t="s">
        <v>2583</v>
      </c>
      <c r="D249" s="5060"/>
      <c r="E249" s="3106">
        <v>100</v>
      </c>
      <c r="F249" s="3107">
        <v>48</v>
      </c>
      <c r="G249" s="3108">
        <f t="shared" si="5"/>
        <v>48</v>
      </c>
      <c r="H249" s="3109">
        <v>0.64583333333333326</v>
      </c>
      <c r="I249" s="3109">
        <v>0.35416666666666663</v>
      </c>
      <c r="J249" s="3111">
        <v>3.3333333333333333E-2</v>
      </c>
      <c r="K249" s="3111">
        <v>6.6666666666666666E-2</v>
      </c>
      <c r="L249" s="3111">
        <v>0.33333333333333337</v>
      </c>
      <c r="M249" s="3111">
        <v>6.6666666666666666E-2</v>
      </c>
      <c r="N249" s="3111">
        <v>0.5</v>
      </c>
    </row>
    <row r="250" spans="1:14">
      <c r="A250" s="5053"/>
      <c r="B250" s="5057"/>
      <c r="C250" s="3105" t="s">
        <v>2584</v>
      </c>
      <c r="D250" s="5060"/>
      <c r="E250" s="3106">
        <v>22</v>
      </c>
      <c r="F250" s="3107">
        <v>7</v>
      </c>
      <c r="G250" s="3108">
        <f t="shared" si="5"/>
        <v>31.818181818181817</v>
      </c>
      <c r="H250" s="3109">
        <v>0.8571428571428571</v>
      </c>
      <c r="I250" s="3109">
        <v>0.14285714285714288</v>
      </c>
      <c r="J250" s="3111">
        <v>0.16666666666666669</v>
      </c>
      <c r="K250" s="3110">
        <v>0</v>
      </c>
      <c r="L250" s="3110">
        <v>0</v>
      </c>
      <c r="M250" s="3111">
        <v>0.16666666666666669</v>
      </c>
      <c r="N250" s="3111">
        <v>0.66666666666666674</v>
      </c>
    </row>
    <row r="251" spans="1:14">
      <c r="A251" s="5053"/>
      <c r="B251" s="5057"/>
      <c r="C251" s="3105" t="s">
        <v>2585</v>
      </c>
      <c r="D251" s="5060"/>
      <c r="E251" s="3106">
        <v>345</v>
      </c>
      <c r="F251" s="3107">
        <v>265</v>
      </c>
      <c r="G251" s="3108">
        <f t="shared" si="5"/>
        <v>76.811594202898547</v>
      </c>
      <c r="H251" s="3109">
        <v>0.6452830188679245</v>
      </c>
      <c r="I251" s="3109">
        <v>0.35471698113207545</v>
      </c>
      <c r="J251" s="3111">
        <v>1.8072289156626505E-2</v>
      </c>
      <c r="K251" s="3111">
        <v>3.0120481927710843E-2</v>
      </c>
      <c r="L251" s="3111">
        <v>0.10843373493975904</v>
      </c>
      <c r="M251" s="3111">
        <v>0.13855421686746988</v>
      </c>
      <c r="N251" s="3111">
        <v>0.70481927710843384</v>
      </c>
    </row>
    <row r="252" spans="1:14">
      <c r="A252" s="5053"/>
      <c r="B252" s="5057"/>
      <c r="C252" s="3105" t="s">
        <v>2586</v>
      </c>
      <c r="D252" s="5060"/>
      <c r="E252" s="3106">
        <v>202</v>
      </c>
      <c r="F252" s="3107">
        <v>106</v>
      </c>
      <c r="G252" s="3108">
        <f t="shared" si="5"/>
        <v>52.475247524752476</v>
      </c>
      <c r="H252" s="3109">
        <v>0.51886792452830188</v>
      </c>
      <c r="I252" s="3109">
        <v>0.48113207547169812</v>
      </c>
      <c r="J252" s="3111">
        <v>1.8181818181818181E-2</v>
      </c>
      <c r="K252" s="3111">
        <v>0.10909090909090909</v>
      </c>
      <c r="L252" s="3111">
        <v>3.6363636363636362E-2</v>
      </c>
      <c r="M252" s="3111">
        <v>0.10909090909090909</v>
      </c>
      <c r="N252" s="3111">
        <v>0.72727272727272729</v>
      </c>
    </row>
    <row r="253" spans="1:14">
      <c r="A253" s="5053"/>
      <c r="B253" s="5057"/>
      <c r="C253" s="3105" t="s">
        <v>300</v>
      </c>
      <c r="D253" s="5059"/>
      <c r="E253" s="3106">
        <v>166</v>
      </c>
      <c r="F253" s="3107">
        <v>65</v>
      </c>
      <c r="G253" s="3108">
        <f t="shared" ref="G253:G294" si="6">F253*100/E253</f>
        <v>39.156626506024097</v>
      </c>
      <c r="H253" s="3109">
        <v>0.78461538461538471</v>
      </c>
      <c r="I253" s="3109">
        <v>0.2153846153846154</v>
      </c>
      <c r="J253" s="3111">
        <v>3.9215686274509803E-2</v>
      </c>
      <c r="K253" s="3111">
        <v>7.8431372549019607E-2</v>
      </c>
      <c r="L253" s="3111">
        <v>7.8431372549019607E-2</v>
      </c>
      <c r="M253" s="3111">
        <v>0.17647058823529413</v>
      </c>
      <c r="N253" s="3111">
        <v>0.62745098039215685</v>
      </c>
    </row>
    <row r="254" spans="1:14">
      <c r="A254" s="5053"/>
      <c r="B254" s="5057"/>
      <c r="C254" s="3105" t="s">
        <v>130</v>
      </c>
      <c r="D254" s="5058" t="s">
        <v>253</v>
      </c>
      <c r="E254" s="3106">
        <v>198</v>
      </c>
      <c r="F254" s="3107">
        <v>63</v>
      </c>
      <c r="G254" s="3108">
        <f t="shared" si="6"/>
        <v>31.818181818181817</v>
      </c>
      <c r="H254" s="3109">
        <v>0.77777777777777768</v>
      </c>
      <c r="I254" s="3109">
        <v>0.22222222222222221</v>
      </c>
      <c r="J254" s="3111">
        <v>4.0816326530612249E-2</v>
      </c>
      <c r="K254" s="3111">
        <v>4.0816326530612249E-2</v>
      </c>
      <c r="L254" s="3111">
        <v>0.10204081632653061</v>
      </c>
      <c r="M254" s="3111">
        <v>0.14285714285714288</v>
      </c>
      <c r="N254" s="3111">
        <v>0.67346938775510212</v>
      </c>
    </row>
    <row r="255" spans="1:14">
      <c r="A255" s="5053"/>
      <c r="B255" s="5057"/>
      <c r="C255" s="3105" t="s">
        <v>131</v>
      </c>
      <c r="D255" s="5060"/>
      <c r="E255" s="3106">
        <v>95</v>
      </c>
      <c r="F255" s="3107">
        <v>54</v>
      </c>
      <c r="G255" s="3108">
        <f t="shared" si="6"/>
        <v>56.842105263157897</v>
      </c>
      <c r="H255" s="3109">
        <v>0.88888888888888884</v>
      </c>
      <c r="I255" s="3109">
        <v>0.1111111111111111</v>
      </c>
      <c r="J255" s="3111">
        <v>2.1739130434782608E-2</v>
      </c>
      <c r="K255" s="3110">
        <v>0</v>
      </c>
      <c r="L255" s="3111">
        <v>0.10869565217391304</v>
      </c>
      <c r="M255" s="3111">
        <v>0.17391304347826086</v>
      </c>
      <c r="N255" s="3111">
        <v>0.69565217391304346</v>
      </c>
    </row>
    <row r="256" spans="1:14">
      <c r="A256" s="5054"/>
      <c r="B256" s="5056"/>
      <c r="C256" s="3105" t="s">
        <v>417</v>
      </c>
      <c r="D256" s="5059"/>
      <c r="E256" s="3106">
        <v>334</v>
      </c>
      <c r="F256" s="3107">
        <v>190</v>
      </c>
      <c r="G256" s="3108">
        <f t="shared" si="6"/>
        <v>56.886227544910177</v>
      </c>
      <c r="H256" s="3109">
        <v>0.97399999999999998</v>
      </c>
      <c r="I256" s="3109">
        <v>2.5999999999999999E-2</v>
      </c>
      <c r="J256" s="3110">
        <v>0</v>
      </c>
      <c r="K256" s="3113">
        <v>1.6E-2</v>
      </c>
      <c r="L256" s="3113">
        <v>0</v>
      </c>
      <c r="M256" s="3113">
        <v>6.5000000000000002E-2</v>
      </c>
      <c r="N256" s="3113">
        <v>0.91800000000000004</v>
      </c>
    </row>
    <row r="257" spans="1:14" ht="15" customHeight="1">
      <c r="A257" s="5052" t="s">
        <v>48</v>
      </c>
      <c r="B257" s="5055" t="s">
        <v>2536</v>
      </c>
      <c r="C257" s="3105" t="s">
        <v>2587</v>
      </c>
      <c r="D257" s="5058" t="s">
        <v>270</v>
      </c>
      <c r="E257" s="3106">
        <v>154</v>
      </c>
      <c r="F257" s="3107">
        <v>78</v>
      </c>
      <c r="G257" s="3108">
        <f t="shared" si="6"/>
        <v>50.649350649350652</v>
      </c>
      <c r="H257" s="3109">
        <v>0.80769230769230771</v>
      </c>
      <c r="I257" s="3109">
        <v>0.19230769230769229</v>
      </c>
      <c r="J257" s="3110">
        <v>0</v>
      </c>
      <c r="K257" s="3111">
        <v>1.5625E-2</v>
      </c>
      <c r="L257" s="3111">
        <v>4.6875E-2</v>
      </c>
      <c r="M257" s="3111">
        <v>0.109375</v>
      </c>
      <c r="N257" s="3111">
        <v>0.828125</v>
      </c>
    </row>
    <row r="258" spans="1:14">
      <c r="A258" s="5053"/>
      <c r="B258" s="5057"/>
      <c r="C258" s="3105" t="s">
        <v>2588</v>
      </c>
      <c r="D258" s="5059"/>
      <c r="E258" s="3106">
        <v>245</v>
      </c>
      <c r="F258" s="3107">
        <v>129</v>
      </c>
      <c r="G258" s="3108">
        <f t="shared" si="6"/>
        <v>52.653061224489797</v>
      </c>
      <c r="H258" s="3109">
        <v>0.76744186046511631</v>
      </c>
      <c r="I258" s="3109">
        <v>0.23255813953488372</v>
      </c>
      <c r="J258" s="3111">
        <v>2.0408163265306124E-2</v>
      </c>
      <c r="K258" s="3111">
        <v>4.0816326530612249E-2</v>
      </c>
      <c r="L258" s="3111">
        <v>7.1428571428571438E-2</v>
      </c>
      <c r="M258" s="3111">
        <v>0.10204081632653061</v>
      </c>
      <c r="N258" s="3111">
        <v>0.76530612244897955</v>
      </c>
    </row>
    <row r="259" spans="1:14">
      <c r="A259" s="5053"/>
      <c r="B259" s="5057"/>
      <c r="C259" s="3105" t="s">
        <v>2589</v>
      </c>
      <c r="D259" s="5058" t="s">
        <v>252</v>
      </c>
      <c r="E259" s="3106">
        <v>86</v>
      </c>
      <c r="F259" s="3107">
        <v>22</v>
      </c>
      <c r="G259" s="3108">
        <f t="shared" si="6"/>
        <v>25.581395348837209</v>
      </c>
      <c r="H259" s="3109">
        <v>0.81818181818181812</v>
      </c>
      <c r="I259" s="3109">
        <v>0.18181818181818182</v>
      </c>
      <c r="J259" s="3110">
        <v>0</v>
      </c>
      <c r="K259" s="3111">
        <v>5.8823529411764712E-2</v>
      </c>
      <c r="L259" s="3111">
        <v>0.11764705882352942</v>
      </c>
      <c r="M259" s="3111">
        <v>5.8823529411764712E-2</v>
      </c>
      <c r="N259" s="3111">
        <v>0.76470588235294112</v>
      </c>
    </row>
    <row r="260" spans="1:14">
      <c r="A260" s="5053"/>
      <c r="B260" s="5057"/>
      <c r="C260" s="3105" t="s">
        <v>508</v>
      </c>
      <c r="D260" s="5060"/>
      <c r="E260" s="3106">
        <v>115</v>
      </c>
      <c r="F260" s="3107">
        <v>37</v>
      </c>
      <c r="G260" s="3108">
        <f t="shared" si="6"/>
        <v>32.173913043478258</v>
      </c>
      <c r="H260" s="3109">
        <v>0.78378378378378377</v>
      </c>
      <c r="I260" s="3109">
        <v>0.2162162162162162</v>
      </c>
      <c r="J260" s="3111">
        <v>6.8965517241379309E-2</v>
      </c>
      <c r="K260" s="3110">
        <v>0</v>
      </c>
      <c r="L260" s="3111">
        <v>6.8965517241379309E-2</v>
      </c>
      <c r="M260" s="3111">
        <v>6.8965517241379309E-2</v>
      </c>
      <c r="N260" s="3111">
        <v>0.7931034482758621</v>
      </c>
    </row>
    <row r="261" spans="1:14">
      <c r="A261" s="5053"/>
      <c r="B261" s="5057"/>
      <c r="C261" s="3105" t="s">
        <v>418</v>
      </c>
      <c r="D261" s="5060"/>
      <c r="E261" s="3106">
        <v>142</v>
      </c>
      <c r="F261" s="3107">
        <v>76</v>
      </c>
      <c r="G261" s="3108">
        <f t="shared" si="6"/>
        <v>53.521126760563384</v>
      </c>
      <c r="H261" s="3109">
        <v>0.86842105263157887</v>
      </c>
      <c r="I261" s="3109">
        <v>0.13157894736842105</v>
      </c>
      <c r="J261" s="3111">
        <v>1.5151515151515152E-2</v>
      </c>
      <c r="K261" s="3110">
        <v>0</v>
      </c>
      <c r="L261" s="3111">
        <v>0.13636363636363635</v>
      </c>
      <c r="M261" s="3111">
        <v>0.22727272727272727</v>
      </c>
      <c r="N261" s="3111">
        <v>0.62121212121212122</v>
      </c>
    </row>
    <row r="262" spans="1:14">
      <c r="A262" s="5053"/>
      <c r="B262" s="5057"/>
      <c r="C262" s="3105" t="s">
        <v>2590</v>
      </c>
      <c r="D262" s="5060"/>
      <c r="E262" s="3106">
        <v>141</v>
      </c>
      <c r="F262" s="3107">
        <v>78</v>
      </c>
      <c r="G262" s="3108">
        <f t="shared" si="6"/>
        <v>55.319148936170215</v>
      </c>
      <c r="H262" s="3109">
        <v>0.84615384615384615</v>
      </c>
      <c r="I262" s="3109">
        <v>0.15384615384615385</v>
      </c>
      <c r="J262" s="3110">
        <v>0</v>
      </c>
      <c r="K262" s="3111">
        <v>3.0769230769230771E-2</v>
      </c>
      <c r="L262" s="3111">
        <v>6.1538461538461542E-2</v>
      </c>
      <c r="M262" s="3111">
        <v>0.2153846153846154</v>
      </c>
      <c r="N262" s="3111">
        <v>0.69230769230769229</v>
      </c>
    </row>
    <row r="263" spans="1:14">
      <c r="A263" s="5053"/>
      <c r="B263" s="5057"/>
      <c r="C263" s="3105" t="s">
        <v>2591</v>
      </c>
      <c r="D263" s="5060"/>
      <c r="E263" s="3106">
        <v>101</v>
      </c>
      <c r="F263" s="3107">
        <v>2</v>
      </c>
      <c r="G263" s="3108">
        <f t="shared" si="6"/>
        <v>1.9801980198019802</v>
      </c>
      <c r="H263" s="3109">
        <v>1</v>
      </c>
      <c r="I263" s="3112">
        <v>0</v>
      </c>
      <c r="J263" s="3110">
        <v>0</v>
      </c>
      <c r="K263" s="3111">
        <v>0.5</v>
      </c>
      <c r="L263" s="3111">
        <v>0.5</v>
      </c>
      <c r="M263" s="3110">
        <v>0</v>
      </c>
      <c r="N263" s="3110">
        <v>0</v>
      </c>
    </row>
    <row r="264" spans="1:14">
      <c r="A264" s="5053"/>
      <c r="B264" s="5057"/>
      <c r="C264" s="3105" t="s">
        <v>302</v>
      </c>
      <c r="D264" s="5060"/>
      <c r="E264" s="3106">
        <v>140</v>
      </c>
      <c r="F264" s="3107">
        <v>95</v>
      </c>
      <c r="G264" s="3108">
        <f t="shared" si="6"/>
        <v>67.857142857142861</v>
      </c>
      <c r="H264" s="3109">
        <v>0.83157894736842108</v>
      </c>
      <c r="I264" s="3109">
        <v>0.16842105263157894</v>
      </c>
      <c r="J264" s="3110">
        <v>0</v>
      </c>
      <c r="K264" s="3111">
        <v>2.5316455696202535E-2</v>
      </c>
      <c r="L264" s="3111">
        <v>0.13924050632911392</v>
      </c>
      <c r="M264" s="3111">
        <v>0.25316455696202533</v>
      </c>
      <c r="N264" s="3111">
        <v>0.58227848101265822</v>
      </c>
    </row>
    <row r="265" spans="1:14">
      <c r="A265" s="5053"/>
      <c r="B265" s="5057"/>
      <c r="C265" s="3105" t="s">
        <v>2592</v>
      </c>
      <c r="D265" s="5060"/>
      <c r="E265" s="3106">
        <v>21</v>
      </c>
      <c r="F265" s="3107">
        <v>4</v>
      </c>
      <c r="G265" s="3108">
        <f t="shared" si="6"/>
        <v>19.047619047619047</v>
      </c>
      <c r="H265" s="3109">
        <v>1</v>
      </c>
      <c r="I265" s="3112">
        <v>0</v>
      </c>
      <c r="J265" s="3110">
        <v>0</v>
      </c>
      <c r="K265" s="3110">
        <v>0</v>
      </c>
      <c r="L265" s="3110">
        <v>0</v>
      </c>
      <c r="M265" s="3110">
        <v>0</v>
      </c>
      <c r="N265" s="3111">
        <v>1</v>
      </c>
    </row>
    <row r="266" spans="1:14">
      <c r="A266" s="5053"/>
      <c r="B266" s="5057"/>
      <c r="C266" s="3105" t="s">
        <v>303</v>
      </c>
      <c r="D266" s="5060"/>
      <c r="E266" s="3106">
        <v>123</v>
      </c>
      <c r="F266" s="3107">
        <v>93</v>
      </c>
      <c r="G266" s="3108">
        <f t="shared" si="6"/>
        <v>75.609756097560975</v>
      </c>
      <c r="H266" s="3109">
        <v>0.89247311827956988</v>
      </c>
      <c r="I266" s="3109">
        <v>0.1075268817204301</v>
      </c>
      <c r="J266" s="3111">
        <v>4.8192771084337352E-2</v>
      </c>
      <c r="K266" s="3111">
        <v>2.4096385542168676E-2</v>
      </c>
      <c r="L266" s="3111">
        <v>0.12048192771084337</v>
      </c>
      <c r="M266" s="3111">
        <v>0.24096385542168675</v>
      </c>
      <c r="N266" s="3111">
        <v>0.5662650602409639</v>
      </c>
    </row>
    <row r="267" spans="1:14">
      <c r="A267" s="5053"/>
      <c r="B267" s="5057"/>
      <c r="C267" s="3105" t="s">
        <v>509</v>
      </c>
      <c r="D267" s="5060"/>
      <c r="E267" s="3106">
        <v>95</v>
      </c>
      <c r="F267" s="3107">
        <v>82</v>
      </c>
      <c r="G267" s="3108">
        <f t="shared" si="6"/>
        <v>86.315789473684205</v>
      </c>
      <c r="H267" s="3109">
        <v>0.74399999999999999</v>
      </c>
      <c r="I267" s="3109">
        <v>0.25600000000000001</v>
      </c>
      <c r="J267" s="3111">
        <v>3.4000000000000002E-2</v>
      </c>
      <c r="K267" s="3111">
        <v>3.4000000000000002E-2</v>
      </c>
      <c r="L267" s="3111">
        <v>0.13600000000000001</v>
      </c>
      <c r="M267" s="3111">
        <v>0.254</v>
      </c>
      <c r="N267" s="3111">
        <v>0.54200000000000004</v>
      </c>
    </row>
    <row r="268" spans="1:14">
      <c r="A268" s="5053"/>
      <c r="B268" s="5057"/>
      <c r="C268" s="3105" t="s">
        <v>2593</v>
      </c>
      <c r="D268" s="5060"/>
      <c r="E268" s="3106">
        <v>18</v>
      </c>
      <c r="F268" s="3107">
        <v>12</v>
      </c>
      <c r="G268" s="3108">
        <f t="shared" si="6"/>
        <v>66.666666666666671</v>
      </c>
      <c r="H268" s="3109">
        <v>0.58333333333333337</v>
      </c>
      <c r="I268" s="3109">
        <v>0.41666666666666663</v>
      </c>
      <c r="J268" s="3110">
        <v>0</v>
      </c>
      <c r="K268" s="3111">
        <v>0.14285714285714288</v>
      </c>
      <c r="L268" s="3110">
        <v>0</v>
      </c>
      <c r="M268" s="3110">
        <v>0</v>
      </c>
      <c r="N268" s="3111">
        <v>0.8571428571428571</v>
      </c>
    </row>
    <row r="269" spans="1:14">
      <c r="A269" s="5053"/>
      <c r="B269" s="5057"/>
      <c r="C269" s="3105" t="s">
        <v>2594</v>
      </c>
      <c r="D269" s="5060"/>
      <c r="E269" s="3106">
        <v>266</v>
      </c>
      <c r="F269" s="3107">
        <v>2</v>
      </c>
      <c r="G269" s="3108">
        <f t="shared" si="6"/>
        <v>0.75187969924812026</v>
      </c>
      <c r="H269" s="3112">
        <v>0</v>
      </c>
      <c r="I269" s="3109">
        <v>1</v>
      </c>
      <c r="J269" s="3110">
        <v>0</v>
      </c>
      <c r="K269" s="3110">
        <v>0</v>
      </c>
      <c r="L269" s="3110">
        <v>0</v>
      </c>
      <c r="M269" s="3110">
        <v>0</v>
      </c>
      <c r="N269" s="3110">
        <v>0</v>
      </c>
    </row>
    <row r="270" spans="1:14">
      <c r="A270" s="5053"/>
      <c r="B270" s="5057"/>
      <c r="C270" s="3105" t="s">
        <v>2417</v>
      </c>
      <c r="D270" s="5060"/>
      <c r="E270" s="3106">
        <v>23</v>
      </c>
      <c r="F270" s="3107">
        <v>10</v>
      </c>
      <c r="G270" s="3108">
        <f t="shared" si="6"/>
        <v>43.478260869565219</v>
      </c>
      <c r="H270" s="3109">
        <v>0.7</v>
      </c>
      <c r="I270" s="3109">
        <v>0.3</v>
      </c>
      <c r="J270" s="3110">
        <v>0</v>
      </c>
      <c r="K270" s="3111">
        <v>0.125</v>
      </c>
      <c r="L270" s="3110">
        <v>0</v>
      </c>
      <c r="M270" s="3111">
        <v>0.75</v>
      </c>
      <c r="N270" s="3111">
        <v>0.125</v>
      </c>
    </row>
    <row r="271" spans="1:14">
      <c r="A271" s="5053"/>
      <c r="B271" s="5057"/>
      <c r="C271" s="3105" t="s">
        <v>304</v>
      </c>
      <c r="D271" s="5059"/>
      <c r="E271" s="3106">
        <v>53</v>
      </c>
      <c r="F271" s="3107">
        <v>17</v>
      </c>
      <c r="G271" s="3108">
        <f t="shared" si="6"/>
        <v>32.075471698113205</v>
      </c>
      <c r="H271" s="3109">
        <v>0.82352941176470595</v>
      </c>
      <c r="I271" s="3109">
        <v>0.17647058823529413</v>
      </c>
      <c r="J271" s="3111">
        <v>7.1428571428571438E-2</v>
      </c>
      <c r="K271" s="3111">
        <v>0.14285714285714288</v>
      </c>
      <c r="L271" s="3111">
        <v>7.1428571428571438E-2</v>
      </c>
      <c r="M271" s="3111">
        <v>0.14285714285714288</v>
      </c>
      <c r="N271" s="3111">
        <v>0.57142857142857151</v>
      </c>
    </row>
    <row r="272" spans="1:14">
      <c r="A272" s="5053"/>
      <c r="B272" s="5057"/>
      <c r="C272" s="3105" t="s">
        <v>307</v>
      </c>
      <c r="D272" s="5058" t="s">
        <v>253</v>
      </c>
      <c r="E272" s="3106">
        <v>344</v>
      </c>
      <c r="F272" s="3107">
        <v>103</v>
      </c>
      <c r="G272" s="3108">
        <f t="shared" si="6"/>
        <v>29.941860465116278</v>
      </c>
      <c r="H272" s="3114">
        <v>0.96099999999999997</v>
      </c>
      <c r="I272" s="3114">
        <v>3.9E-2</v>
      </c>
      <c r="J272" s="3113">
        <v>0.03</v>
      </c>
      <c r="K272" s="3113">
        <v>0</v>
      </c>
      <c r="L272" s="3113">
        <v>0.01</v>
      </c>
      <c r="M272" s="3113">
        <v>0.11899999999999999</v>
      </c>
      <c r="N272" s="3113">
        <v>0.84199999999999997</v>
      </c>
    </row>
    <row r="273" spans="1:14">
      <c r="A273" s="5053"/>
      <c r="B273" s="5057"/>
      <c r="C273" s="3105" t="s">
        <v>2595</v>
      </c>
      <c r="D273" s="5060"/>
      <c r="E273" s="3106">
        <v>18</v>
      </c>
      <c r="F273" s="3107">
        <v>17</v>
      </c>
      <c r="G273" s="3108">
        <f t="shared" si="6"/>
        <v>94.444444444444443</v>
      </c>
      <c r="H273" s="3109">
        <v>0.94117647058823539</v>
      </c>
      <c r="I273" s="3109">
        <v>5.8823529411764712E-2</v>
      </c>
      <c r="J273" s="3110">
        <v>0</v>
      </c>
      <c r="K273" s="3110">
        <v>0</v>
      </c>
      <c r="L273" s="3110">
        <v>0</v>
      </c>
      <c r="M273" s="3111">
        <v>0.1875</v>
      </c>
      <c r="N273" s="3111">
        <v>0.8125</v>
      </c>
    </row>
    <row r="274" spans="1:14">
      <c r="A274" s="5053"/>
      <c r="B274" s="5056"/>
      <c r="C274" s="3105" t="s">
        <v>2596</v>
      </c>
      <c r="D274" s="5059"/>
      <c r="E274" s="3106">
        <v>61</v>
      </c>
      <c r="F274" s="3107">
        <v>20</v>
      </c>
      <c r="G274" s="3108">
        <f t="shared" si="6"/>
        <v>32.786885245901637</v>
      </c>
      <c r="H274" s="3109">
        <v>0.95</v>
      </c>
      <c r="I274" s="3109">
        <v>0.05</v>
      </c>
      <c r="J274" s="3110">
        <v>0</v>
      </c>
      <c r="K274" s="3110">
        <v>0</v>
      </c>
      <c r="L274" s="3111">
        <v>0.26315789473684209</v>
      </c>
      <c r="M274" s="3111">
        <v>0.15789473684210525</v>
      </c>
      <c r="N274" s="3111">
        <v>0.57894736842105265</v>
      </c>
    </row>
    <row r="275" spans="1:14" ht="15" customHeight="1">
      <c r="A275" s="5053"/>
      <c r="B275" s="5055" t="s">
        <v>2538</v>
      </c>
      <c r="C275" s="3105" t="s">
        <v>2597</v>
      </c>
      <c r="D275" s="5058" t="s">
        <v>270</v>
      </c>
      <c r="E275" s="3106">
        <v>108</v>
      </c>
      <c r="F275" s="3107">
        <v>78</v>
      </c>
      <c r="G275" s="3108">
        <f t="shared" si="6"/>
        <v>72.222222222222229</v>
      </c>
      <c r="H275" s="3109">
        <v>0.8205128205128206</v>
      </c>
      <c r="I275" s="3109">
        <v>0.17948717948717949</v>
      </c>
      <c r="J275" s="3110">
        <v>0</v>
      </c>
      <c r="K275" s="3111">
        <v>3.0769230769230771E-2</v>
      </c>
      <c r="L275" s="3111">
        <v>0.12307692307692308</v>
      </c>
      <c r="M275" s="3111">
        <v>9.2307692307692299E-2</v>
      </c>
      <c r="N275" s="3111">
        <v>0.75384615384615383</v>
      </c>
    </row>
    <row r="276" spans="1:14">
      <c r="A276" s="5053"/>
      <c r="B276" s="5057"/>
      <c r="C276" s="3105" t="s">
        <v>512</v>
      </c>
      <c r="D276" s="5060"/>
      <c r="E276" s="3106">
        <v>76</v>
      </c>
      <c r="F276" s="3107">
        <v>6</v>
      </c>
      <c r="G276" s="3108">
        <f t="shared" si="6"/>
        <v>7.8947368421052628</v>
      </c>
      <c r="H276" s="3109">
        <v>1</v>
      </c>
      <c r="I276" s="3112">
        <v>0</v>
      </c>
      <c r="J276" s="3110">
        <v>0</v>
      </c>
      <c r="K276" s="3110">
        <v>0</v>
      </c>
      <c r="L276" s="3111">
        <v>0.16666666666666669</v>
      </c>
      <c r="M276" s="3111">
        <v>0.16666666666666669</v>
      </c>
      <c r="N276" s="3111">
        <v>0.66666666666666674</v>
      </c>
    </row>
    <row r="277" spans="1:14">
      <c r="A277" s="5053"/>
      <c r="B277" s="5057"/>
      <c r="C277" s="3105" t="s">
        <v>2598</v>
      </c>
      <c r="D277" s="5060"/>
      <c r="E277" s="3106">
        <v>45</v>
      </c>
      <c r="F277" s="3107">
        <v>30</v>
      </c>
      <c r="G277" s="3108">
        <f t="shared" si="6"/>
        <v>66.666666666666671</v>
      </c>
      <c r="H277" s="3109">
        <v>1</v>
      </c>
      <c r="I277" s="3112">
        <v>0</v>
      </c>
      <c r="J277" s="3111">
        <v>6.6666666666666666E-2</v>
      </c>
      <c r="K277" s="3111">
        <v>6.6666666666666666E-2</v>
      </c>
      <c r="L277" s="3111">
        <v>3.3333333333333333E-2</v>
      </c>
      <c r="M277" s="3111">
        <v>0.13333333333333333</v>
      </c>
      <c r="N277" s="3111">
        <v>0.7</v>
      </c>
    </row>
    <row r="278" spans="1:14">
      <c r="A278" s="5053"/>
      <c r="B278" s="5057"/>
      <c r="C278" s="3105" t="s">
        <v>2599</v>
      </c>
      <c r="D278" s="5059"/>
      <c r="E278" s="3106">
        <v>30</v>
      </c>
      <c r="F278" s="3107">
        <v>12</v>
      </c>
      <c r="G278" s="3108">
        <f t="shared" si="6"/>
        <v>40</v>
      </c>
      <c r="H278" s="3109">
        <v>0.83333333333333326</v>
      </c>
      <c r="I278" s="3109">
        <v>0.16666666666666669</v>
      </c>
      <c r="J278" s="3111">
        <v>0.1</v>
      </c>
      <c r="K278" s="3110">
        <v>0</v>
      </c>
      <c r="L278" s="3110">
        <v>0</v>
      </c>
      <c r="M278" s="3110">
        <v>0</v>
      </c>
      <c r="N278" s="3111">
        <v>0.9</v>
      </c>
    </row>
    <row r="279" spans="1:14">
      <c r="A279" s="5053"/>
      <c r="B279" s="5057"/>
      <c r="C279" s="3105" t="s">
        <v>2600</v>
      </c>
      <c r="D279" s="5058" t="s">
        <v>252</v>
      </c>
      <c r="E279" s="3106">
        <v>197</v>
      </c>
      <c r="F279" s="3107">
        <v>40</v>
      </c>
      <c r="G279" s="3108">
        <f t="shared" si="6"/>
        <v>20.304568527918782</v>
      </c>
      <c r="H279" s="3109">
        <v>0.8</v>
      </c>
      <c r="I279" s="3109">
        <v>0.2</v>
      </c>
      <c r="J279" s="3110">
        <v>0</v>
      </c>
      <c r="K279" s="3111">
        <v>6.0606060606060608E-2</v>
      </c>
      <c r="L279" s="3111">
        <v>6.0606060606060608E-2</v>
      </c>
      <c r="M279" s="3111">
        <v>0.2121212121212121</v>
      </c>
      <c r="N279" s="3111">
        <v>0.66666666666666674</v>
      </c>
    </row>
    <row r="280" spans="1:14">
      <c r="A280" s="5053"/>
      <c r="B280" s="5057"/>
      <c r="C280" s="3105" t="s">
        <v>310</v>
      </c>
      <c r="D280" s="5060"/>
      <c r="E280" s="3106">
        <v>203</v>
      </c>
      <c r="F280" s="3107">
        <v>142</v>
      </c>
      <c r="G280" s="3108">
        <f t="shared" si="6"/>
        <v>69.950738916256157</v>
      </c>
      <c r="H280" s="3109">
        <v>0.89400000000000002</v>
      </c>
      <c r="I280" s="3109">
        <v>0.106</v>
      </c>
      <c r="J280" s="3111">
        <v>3.1E-2</v>
      </c>
      <c r="K280" s="3111">
        <v>3.9E-2</v>
      </c>
      <c r="L280" s="3111">
        <v>0.17299999999999999</v>
      </c>
      <c r="M280" s="3111">
        <v>0.22800000000000001</v>
      </c>
      <c r="N280" s="3111">
        <v>0.52800000000000002</v>
      </c>
    </row>
    <row r="281" spans="1:14">
      <c r="A281" s="5053"/>
      <c r="B281" s="5057"/>
      <c r="C281" s="3105" t="s">
        <v>797</v>
      </c>
      <c r="D281" s="5060"/>
      <c r="E281" s="3106">
        <v>117</v>
      </c>
      <c r="F281" s="3107">
        <v>109</v>
      </c>
      <c r="G281" s="3108">
        <f t="shared" si="6"/>
        <v>93.162393162393158</v>
      </c>
      <c r="H281" s="3109">
        <v>0.75229357798165142</v>
      </c>
      <c r="I281" s="3109">
        <v>0.24770642201834864</v>
      </c>
      <c r="J281" s="3111">
        <v>3.7499999999999999E-2</v>
      </c>
      <c r="K281" s="3111">
        <v>7.4999999999999997E-2</v>
      </c>
      <c r="L281" s="3111">
        <v>0.17499999999999999</v>
      </c>
      <c r="M281" s="3111">
        <v>0.23749999999999999</v>
      </c>
      <c r="N281" s="3111">
        <v>0.47499999999999998</v>
      </c>
    </row>
    <row r="282" spans="1:14">
      <c r="A282" s="5053"/>
      <c r="B282" s="5057"/>
      <c r="C282" s="3105" t="s">
        <v>348</v>
      </c>
      <c r="D282" s="5060"/>
      <c r="E282" s="3106">
        <v>24</v>
      </c>
      <c r="F282" s="3107">
        <v>3</v>
      </c>
      <c r="G282" s="3108">
        <f t="shared" si="6"/>
        <v>12.5</v>
      </c>
      <c r="H282" s="3109">
        <v>0.66666666666666674</v>
      </c>
      <c r="I282" s="3109">
        <v>0.33333333333333337</v>
      </c>
      <c r="J282" s="3110">
        <v>0</v>
      </c>
      <c r="K282" s="3110">
        <v>0</v>
      </c>
      <c r="L282" s="3110">
        <v>0</v>
      </c>
      <c r="M282" s="3110">
        <v>0</v>
      </c>
      <c r="N282" s="3111">
        <v>1</v>
      </c>
    </row>
    <row r="283" spans="1:14">
      <c r="A283" s="5053"/>
      <c r="B283" s="5057"/>
      <c r="C283" s="3105" t="s">
        <v>312</v>
      </c>
      <c r="D283" s="5060"/>
      <c r="E283" s="3106">
        <v>157</v>
      </c>
      <c r="F283" s="3107">
        <v>108</v>
      </c>
      <c r="G283" s="3108">
        <f t="shared" si="6"/>
        <v>68.789808917197448</v>
      </c>
      <c r="H283" s="3109">
        <v>0.77777777777777768</v>
      </c>
      <c r="I283" s="3109">
        <v>0.22222222222222221</v>
      </c>
      <c r="J283" s="3111">
        <v>1.1904761904761904E-2</v>
      </c>
      <c r="K283" s="3111">
        <v>1.1904761904761904E-2</v>
      </c>
      <c r="L283" s="3111">
        <v>9.5238095238095233E-2</v>
      </c>
      <c r="M283" s="3111">
        <v>0.28571428571428575</v>
      </c>
      <c r="N283" s="3111">
        <v>0.59523809523809523</v>
      </c>
    </row>
    <row r="284" spans="1:14">
      <c r="A284" s="5053"/>
      <c r="B284" s="5057"/>
      <c r="C284" s="3105" t="s">
        <v>309</v>
      </c>
      <c r="D284" s="5060"/>
      <c r="E284" s="3106">
        <v>179</v>
      </c>
      <c r="F284" s="3107">
        <v>69</v>
      </c>
      <c r="G284" s="3108">
        <f t="shared" si="6"/>
        <v>38.547486033519554</v>
      </c>
      <c r="H284" s="3109">
        <v>0.65217391304347827</v>
      </c>
      <c r="I284" s="3109">
        <v>0.34782608695652173</v>
      </c>
      <c r="J284" s="3111">
        <v>9.0909090909090912E-2</v>
      </c>
      <c r="K284" s="3111">
        <v>6.8181818181818177E-2</v>
      </c>
      <c r="L284" s="3111">
        <v>0.18181818181818182</v>
      </c>
      <c r="M284" s="3111">
        <v>0.29545454545454547</v>
      </c>
      <c r="N284" s="3111">
        <v>0.36363636363636365</v>
      </c>
    </row>
    <row r="285" spans="1:14">
      <c r="A285" s="5053"/>
      <c r="B285" s="5056"/>
      <c r="C285" s="3105" t="s">
        <v>711</v>
      </c>
      <c r="D285" s="5059"/>
      <c r="E285" s="3106">
        <v>8</v>
      </c>
      <c r="F285" s="3107">
        <v>6</v>
      </c>
      <c r="G285" s="3108">
        <f t="shared" si="6"/>
        <v>75</v>
      </c>
      <c r="H285" s="3109">
        <v>0.33333333333333337</v>
      </c>
      <c r="I285" s="3109">
        <v>0.66666666666666674</v>
      </c>
      <c r="J285" s="3110">
        <v>0</v>
      </c>
      <c r="K285" s="3110">
        <v>0</v>
      </c>
      <c r="L285" s="3111">
        <v>1</v>
      </c>
      <c r="M285" s="3110">
        <v>0</v>
      </c>
      <c r="N285" s="3110">
        <v>0</v>
      </c>
    </row>
    <row r="286" spans="1:14" ht="15" customHeight="1">
      <c r="A286" s="5053"/>
      <c r="B286" s="5055" t="s">
        <v>2537</v>
      </c>
      <c r="C286" s="3105" t="s">
        <v>314</v>
      </c>
      <c r="D286" s="5058" t="s">
        <v>252</v>
      </c>
      <c r="E286" s="3106">
        <v>265</v>
      </c>
      <c r="F286" s="3107">
        <v>130</v>
      </c>
      <c r="G286" s="3108">
        <f t="shared" si="6"/>
        <v>49.056603773584904</v>
      </c>
      <c r="H286" s="3109">
        <v>0.79230769230769227</v>
      </c>
      <c r="I286" s="3109">
        <v>0.2076923076923077</v>
      </c>
      <c r="J286" s="3111">
        <v>2.9411764705882356E-2</v>
      </c>
      <c r="K286" s="3111">
        <v>3.9215686274509803E-2</v>
      </c>
      <c r="L286" s="3111">
        <v>8.8235294117647065E-2</v>
      </c>
      <c r="M286" s="3111">
        <v>0.10784313725490197</v>
      </c>
      <c r="N286" s="3111">
        <v>0.73529411764705888</v>
      </c>
    </row>
    <row r="287" spans="1:14">
      <c r="A287" s="5053"/>
      <c r="B287" s="5057"/>
      <c r="C287" s="3105" t="s">
        <v>2422</v>
      </c>
      <c r="D287" s="5059"/>
      <c r="E287" s="3106">
        <v>53</v>
      </c>
      <c r="F287" s="3107">
        <v>31</v>
      </c>
      <c r="G287" s="3108">
        <f t="shared" si="6"/>
        <v>58.490566037735846</v>
      </c>
      <c r="H287" s="3109">
        <v>0.93548387096774188</v>
      </c>
      <c r="I287" s="3109">
        <v>6.4516129032258063E-2</v>
      </c>
      <c r="J287" s="3111">
        <v>6.8965517241379309E-2</v>
      </c>
      <c r="K287" s="3111">
        <v>6.8965517241379309E-2</v>
      </c>
      <c r="L287" s="3111">
        <v>0.17241379310344829</v>
      </c>
      <c r="M287" s="3111">
        <v>0.20689655172413793</v>
      </c>
      <c r="N287" s="3111">
        <v>0.48275862068965514</v>
      </c>
    </row>
    <row r="288" spans="1:14">
      <c r="A288" s="5054"/>
      <c r="B288" s="5056"/>
      <c r="C288" s="3105" t="s">
        <v>315</v>
      </c>
      <c r="D288" s="3115" t="s">
        <v>253</v>
      </c>
      <c r="E288" s="3106">
        <v>41</v>
      </c>
      <c r="F288" s="3107">
        <v>29</v>
      </c>
      <c r="G288" s="3108">
        <f t="shared" si="6"/>
        <v>70.731707317073173</v>
      </c>
      <c r="H288" s="3109">
        <v>0.96551724137931028</v>
      </c>
      <c r="I288" s="3109">
        <v>3.4482758620689655E-2</v>
      </c>
      <c r="J288" s="3111">
        <v>3.5714285714285719E-2</v>
      </c>
      <c r="K288" s="3111">
        <v>7.1428571428571438E-2</v>
      </c>
      <c r="L288" s="3111">
        <v>0.17857142857142858</v>
      </c>
      <c r="M288" s="3111">
        <v>0.25</v>
      </c>
      <c r="N288" s="3111">
        <v>0.4642857142857143</v>
      </c>
    </row>
    <row r="289" spans="1:15" ht="15" customHeight="1">
      <c r="A289" s="5052" t="s">
        <v>59</v>
      </c>
      <c r="B289" s="5055" t="s">
        <v>2536</v>
      </c>
      <c r="C289" s="3105" t="s">
        <v>2601</v>
      </c>
      <c r="D289" s="3115" t="s">
        <v>252</v>
      </c>
      <c r="E289" s="3106">
        <v>42</v>
      </c>
      <c r="F289" s="3107">
        <v>35</v>
      </c>
      <c r="G289" s="3108">
        <f t="shared" si="6"/>
        <v>83.333333333333329</v>
      </c>
      <c r="H289" s="3109">
        <v>0.62857142857142856</v>
      </c>
      <c r="I289" s="3109">
        <v>0.37142857142857144</v>
      </c>
      <c r="J289" s="3111">
        <v>9.0909090909090912E-2</v>
      </c>
      <c r="K289" s="3111">
        <v>4.5454545454545456E-2</v>
      </c>
      <c r="L289" s="3111">
        <v>0.27272727272727271</v>
      </c>
      <c r="M289" s="3111">
        <v>0.27272727272727271</v>
      </c>
      <c r="N289" s="3111">
        <v>0.31818181818181818</v>
      </c>
    </row>
    <row r="290" spans="1:15">
      <c r="A290" s="5053"/>
      <c r="B290" s="5056"/>
      <c r="C290" s="3105" t="s">
        <v>709</v>
      </c>
      <c r="D290" s="3115" t="s">
        <v>253</v>
      </c>
      <c r="E290" s="3106">
        <v>15</v>
      </c>
      <c r="F290" s="3107">
        <v>4</v>
      </c>
      <c r="G290" s="3108">
        <f t="shared" si="6"/>
        <v>26.666666666666668</v>
      </c>
      <c r="H290" s="3109">
        <v>1</v>
      </c>
      <c r="I290" s="3112">
        <v>0</v>
      </c>
      <c r="J290" s="3110">
        <v>0</v>
      </c>
      <c r="K290" s="3110">
        <v>0</v>
      </c>
      <c r="L290" s="3110">
        <v>0</v>
      </c>
      <c r="M290" s="3111">
        <v>0.25</v>
      </c>
      <c r="N290" s="3111">
        <v>0.75</v>
      </c>
    </row>
    <row r="291" spans="1:15" ht="15" customHeight="1">
      <c r="A291" s="5053"/>
      <c r="B291" s="5055" t="s">
        <v>2540</v>
      </c>
      <c r="C291" s="3105" t="s">
        <v>2602</v>
      </c>
      <c r="D291" s="5058" t="s">
        <v>252</v>
      </c>
      <c r="E291" s="3106">
        <v>23</v>
      </c>
      <c r="F291" s="3107">
        <v>7</v>
      </c>
      <c r="G291" s="3108">
        <f t="shared" si="6"/>
        <v>30.434782608695652</v>
      </c>
      <c r="H291" s="3109">
        <v>0.57142857142857151</v>
      </c>
      <c r="I291" s="3109">
        <v>0.42857142857142855</v>
      </c>
      <c r="J291" s="3111">
        <v>0.25</v>
      </c>
      <c r="K291" s="3111">
        <v>0.25</v>
      </c>
      <c r="L291" s="3111">
        <v>0.5</v>
      </c>
      <c r="M291" s="3110">
        <v>0</v>
      </c>
      <c r="N291" s="3110">
        <v>0</v>
      </c>
    </row>
    <row r="292" spans="1:15">
      <c r="A292" s="5053"/>
      <c r="B292" s="5057"/>
      <c r="C292" s="3105" t="s">
        <v>419</v>
      </c>
      <c r="D292" s="5059"/>
      <c r="E292" s="3106">
        <v>42</v>
      </c>
      <c r="F292" s="3107">
        <v>14</v>
      </c>
      <c r="G292" s="3108">
        <f t="shared" si="6"/>
        <v>33.333333333333336</v>
      </c>
      <c r="H292" s="3109">
        <v>0.9285714285714286</v>
      </c>
      <c r="I292" s="3109">
        <v>7.1428571428571438E-2</v>
      </c>
      <c r="J292" s="3110">
        <v>0</v>
      </c>
      <c r="K292" s="3110">
        <v>0</v>
      </c>
      <c r="L292" s="3111">
        <v>0.16666666666666669</v>
      </c>
      <c r="M292" s="3111">
        <v>0.5</v>
      </c>
      <c r="N292" s="3111">
        <v>0.33333333333333337</v>
      </c>
    </row>
    <row r="293" spans="1:15">
      <c r="A293" s="5054"/>
      <c r="B293" s="5056"/>
      <c r="C293" s="3105" t="s">
        <v>710</v>
      </c>
      <c r="D293" s="3115" t="s">
        <v>253</v>
      </c>
      <c r="E293" s="3106">
        <v>2</v>
      </c>
      <c r="F293" s="3107">
        <v>1</v>
      </c>
      <c r="G293" s="3108">
        <f t="shared" si="6"/>
        <v>50</v>
      </c>
      <c r="H293" s="3109">
        <v>1</v>
      </c>
      <c r="I293" s="3112">
        <v>0</v>
      </c>
      <c r="J293" s="3110">
        <v>0</v>
      </c>
      <c r="K293" s="3110">
        <v>0</v>
      </c>
      <c r="L293" s="3110">
        <v>0</v>
      </c>
      <c r="M293" s="3111">
        <v>1</v>
      </c>
      <c r="N293" s="3110">
        <v>0</v>
      </c>
    </row>
    <row r="294" spans="1:15" ht="15.75">
      <c r="A294" s="3088"/>
      <c r="B294" s="3088"/>
      <c r="C294" s="3154" t="s">
        <v>15</v>
      </c>
      <c r="D294" s="3155"/>
      <c r="E294" s="3156">
        <f>SUM(E188:E293)</f>
        <v>12604</v>
      </c>
      <c r="F294" s="3157">
        <f>SUM(F188:F293)</f>
        <v>5905</v>
      </c>
      <c r="G294" s="3158">
        <f t="shared" si="6"/>
        <v>46.850206283719452</v>
      </c>
      <c r="H294" s="3159">
        <v>0.78600000000000003</v>
      </c>
      <c r="I294" s="3159">
        <v>0.214</v>
      </c>
      <c r="J294" s="3159">
        <v>2.8000000000000001E-2</v>
      </c>
      <c r="K294" s="3159">
        <v>3.9E-2</v>
      </c>
      <c r="L294" s="3159">
        <v>0.106</v>
      </c>
      <c r="M294" s="3159">
        <v>0.17399999999999999</v>
      </c>
      <c r="N294" s="3159">
        <v>0.65200000000000002</v>
      </c>
    </row>
    <row r="295" spans="1:15" ht="18.75">
      <c r="B295" s="160"/>
      <c r="C295" s="160"/>
      <c r="D295" s="160"/>
      <c r="E295" s="160"/>
      <c r="F295" s="160"/>
      <c r="G295" s="154"/>
    </row>
    <row r="296" spans="1:15">
      <c r="A296" s="363"/>
      <c r="B296" s="363"/>
      <c r="C296" s="363"/>
      <c r="D296" s="363"/>
      <c r="E296" s="363"/>
      <c r="F296" s="363"/>
      <c r="G296" s="363"/>
    </row>
    <row r="297" spans="1:15" ht="18">
      <c r="A297" s="363"/>
      <c r="B297" s="409">
        <v>2016</v>
      </c>
      <c r="C297" s="363"/>
      <c r="D297" s="363"/>
      <c r="E297" s="363"/>
      <c r="F297" s="363"/>
      <c r="G297" s="363"/>
    </row>
    <row r="298" spans="1:15">
      <c r="A298" s="2805"/>
      <c r="B298" s="2806" t="s">
        <v>2228</v>
      </c>
      <c r="C298" s="2807" t="s">
        <v>2229</v>
      </c>
      <c r="D298" s="2805"/>
      <c r="E298" s="2805"/>
      <c r="F298" s="2805"/>
      <c r="G298" s="2805"/>
      <c r="H298" s="2808"/>
      <c r="I298" s="2808"/>
      <c r="J298" s="2808"/>
      <c r="K298" s="2805"/>
      <c r="L298" s="2805"/>
      <c r="M298" s="2805"/>
      <c r="N298" s="2805"/>
      <c r="O298" s="2805"/>
    </row>
    <row r="299" spans="1:15">
      <c r="A299" s="2807"/>
      <c r="B299" s="2805"/>
      <c r="C299" s="2807" t="s">
        <v>2230</v>
      </c>
      <c r="D299" s="2805"/>
      <c r="E299" s="2805"/>
      <c r="F299" s="2805"/>
      <c r="G299" s="2805"/>
      <c r="H299" s="2808"/>
      <c r="I299" s="2808"/>
      <c r="J299" s="2808"/>
      <c r="K299" s="2805"/>
      <c r="L299" s="2805"/>
      <c r="M299" s="2805"/>
      <c r="N299" s="2805"/>
      <c r="O299" s="2805"/>
    </row>
    <row r="300" spans="1:15">
      <c r="A300" s="2807"/>
      <c r="B300" s="2805"/>
      <c r="C300" s="2807"/>
      <c r="D300" s="2805"/>
      <c r="E300" s="2805"/>
      <c r="F300" s="2805"/>
      <c r="G300" s="2805"/>
      <c r="H300" s="2808"/>
      <c r="I300" s="2808"/>
      <c r="J300" s="2808"/>
      <c r="K300" s="2805"/>
      <c r="L300" s="2805"/>
      <c r="M300" s="2805"/>
      <c r="N300" s="2805"/>
      <c r="O300" s="2805"/>
    </row>
    <row r="301" spans="1:15" ht="15" customHeight="1">
      <c r="A301" s="2805"/>
      <c r="B301" s="5067" t="s">
        <v>2231</v>
      </c>
      <c r="C301" s="5067"/>
      <c r="D301" s="5067"/>
      <c r="E301" s="5067"/>
      <c r="F301" s="5067"/>
      <c r="G301" s="5067"/>
      <c r="H301" s="5067"/>
      <c r="I301" s="5067"/>
      <c r="J301" s="5067"/>
      <c r="K301" s="5067"/>
      <c r="L301" s="5067"/>
      <c r="M301" s="2805"/>
      <c r="N301" s="2805"/>
      <c r="O301" s="2805"/>
    </row>
    <row r="302" spans="1:15">
      <c r="A302" s="2809"/>
      <c r="B302" s="2848"/>
      <c r="C302" s="2848"/>
      <c r="D302" s="2848"/>
      <c r="E302" s="2848"/>
      <c r="F302" s="2848"/>
      <c r="G302" s="2805"/>
      <c r="H302" s="2808"/>
      <c r="I302" s="2808"/>
      <c r="J302" s="2808"/>
      <c r="K302" s="2805"/>
      <c r="L302" s="2805"/>
      <c r="M302" s="2805"/>
      <c r="N302" s="2805"/>
      <c r="O302" s="2805"/>
    </row>
    <row r="303" spans="1:15" ht="25.5">
      <c r="A303" s="2810"/>
      <c r="B303" s="2739" t="s">
        <v>2184</v>
      </c>
      <c r="C303" s="2739" t="s">
        <v>2232</v>
      </c>
      <c r="D303" s="2739" t="s">
        <v>2233</v>
      </c>
      <c r="E303" s="3117"/>
      <c r="F303" s="2739" t="s">
        <v>2234</v>
      </c>
      <c r="G303" s="2811"/>
      <c r="H303" s="2812"/>
      <c r="I303" s="2812"/>
      <c r="J303" s="2812"/>
      <c r="K303" s="2805"/>
      <c r="L303" s="2805"/>
      <c r="M303" s="2805"/>
      <c r="N303" s="2805"/>
      <c r="O303" s="2805"/>
    </row>
    <row r="304" spans="1:15">
      <c r="A304" s="2810"/>
      <c r="B304" s="2813" t="s">
        <v>3</v>
      </c>
      <c r="C304" s="2813">
        <v>2212</v>
      </c>
      <c r="D304" s="2813">
        <v>1018</v>
      </c>
      <c r="E304" s="3118"/>
      <c r="F304" s="2814">
        <f>D304*100/C304</f>
        <v>46.021699819168177</v>
      </c>
      <c r="G304" s="2811"/>
      <c r="H304" s="2812"/>
      <c r="I304" s="2812"/>
      <c r="J304" s="2812"/>
      <c r="K304" s="2805"/>
      <c r="L304" s="2805"/>
      <c r="M304" s="2805"/>
      <c r="N304" s="2805"/>
      <c r="O304" s="2805"/>
    </row>
    <row r="305" spans="1:15">
      <c r="A305" s="2810"/>
      <c r="B305" s="2813" t="s">
        <v>59</v>
      </c>
      <c r="C305" s="2813">
        <v>82</v>
      </c>
      <c r="D305" s="2813">
        <v>39</v>
      </c>
      <c r="E305" s="3118"/>
      <c r="F305" s="2814">
        <f t="shared" ref="F305:F308" si="7">D305*100/C305</f>
        <v>47.560975609756099</v>
      </c>
      <c r="G305" s="2811"/>
      <c r="H305" s="2812"/>
      <c r="I305" s="2812"/>
      <c r="J305" s="2812"/>
      <c r="K305" s="2805"/>
      <c r="L305" s="2805"/>
      <c r="M305" s="2805"/>
      <c r="N305" s="2805"/>
      <c r="O305" s="2805"/>
    </row>
    <row r="306" spans="1:15">
      <c r="A306" s="2810"/>
      <c r="B306" s="2813" t="s">
        <v>25</v>
      </c>
      <c r="C306" s="2813">
        <v>5979</v>
      </c>
      <c r="D306" s="2813">
        <v>2822</v>
      </c>
      <c r="E306" s="3118"/>
      <c r="F306" s="2814">
        <f t="shared" si="7"/>
        <v>47.198528181970232</v>
      </c>
      <c r="G306" s="2805"/>
      <c r="H306" s="2808"/>
      <c r="I306" s="2808"/>
      <c r="J306" s="2808"/>
      <c r="K306" s="2805"/>
      <c r="L306" s="2805"/>
      <c r="M306" s="2805"/>
      <c r="N306" s="2805"/>
      <c r="O306" s="2805"/>
    </row>
    <row r="307" spans="1:15">
      <c r="A307" s="2815"/>
      <c r="B307" s="2813" t="s">
        <v>48</v>
      </c>
      <c r="C307" s="2813">
        <v>3644</v>
      </c>
      <c r="D307" s="2813">
        <v>1475</v>
      </c>
      <c r="E307" s="3118"/>
      <c r="F307" s="2814">
        <f t="shared" si="7"/>
        <v>40.477497255762898</v>
      </c>
      <c r="G307" s="2805"/>
      <c r="H307" s="2808"/>
      <c r="I307" s="2808"/>
      <c r="J307" s="2808"/>
      <c r="K307" s="2805"/>
      <c r="L307" s="2805"/>
      <c r="M307" s="2805"/>
      <c r="N307" s="2805"/>
      <c r="O307" s="2805"/>
    </row>
    <row r="308" spans="1:15">
      <c r="A308" s="2815"/>
      <c r="B308" s="2739" t="s">
        <v>15</v>
      </c>
      <c r="C308" s="2739">
        <v>11917</v>
      </c>
      <c r="D308" s="2739">
        <f>SUM(D304:D307)</f>
        <v>5354</v>
      </c>
      <c r="E308" s="3117"/>
      <c r="F308" s="2816">
        <f t="shared" si="7"/>
        <v>44.927414617772932</v>
      </c>
      <c r="G308" s="2810"/>
      <c r="H308" s="2817"/>
      <c r="I308" s="2817"/>
      <c r="J308" s="2817"/>
      <c r="K308" s="2805"/>
      <c r="L308" s="2805"/>
      <c r="M308" s="2805"/>
      <c r="N308" s="2805"/>
      <c r="O308" s="2805"/>
    </row>
    <row r="309" spans="1:15">
      <c r="A309" s="2815"/>
      <c r="B309" s="1691"/>
      <c r="C309" s="2760"/>
      <c r="D309" s="2760"/>
      <c r="E309" s="2760"/>
      <c r="F309" s="2760"/>
      <c r="G309" s="2810"/>
      <c r="H309" s="2817"/>
      <c r="I309" s="2817"/>
      <c r="J309" s="2817"/>
      <c r="K309" s="2805"/>
      <c r="L309" s="2805"/>
      <c r="M309" s="2805"/>
      <c r="N309" s="2805"/>
      <c r="O309" s="2805"/>
    </row>
    <row r="310" spans="1:15">
      <c r="A310" s="2815"/>
      <c r="B310" s="1691"/>
      <c r="C310" s="2760"/>
      <c r="D310" s="2818"/>
      <c r="E310" s="2818"/>
      <c r="F310" s="2760"/>
      <c r="G310" s="2810"/>
      <c r="H310" s="2817"/>
      <c r="I310" s="2817"/>
      <c r="J310" s="2817"/>
      <c r="K310" s="2805"/>
      <c r="L310" s="2805"/>
      <c r="M310" s="2805"/>
      <c r="N310" s="2805"/>
      <c r="O310" s="2805"/>
    </row>
    <row r="311" spans="1:15" ht="25.5">
      <c r="A311" s="2810"/>
      <c r="B311" s="2850" t="s">
        <v>1089</v>
      </c>
      <c r="C311" s="2739" t="s">
        <v>103</v>
      </c>
      <c r="D311" s="2818"/>
      <c r="E311" s="2818"/>
      <c r="F311" s="5076" t="s">
        <v>1659</v>
      </c>
      <c r="G311" s="5076"/>
      <c r="H311" s="5076"/>
      <c r="I311" s="5076"/>
      <c r="J311" s="5076"/>
      <c r="K311" s="2805"/>
      <c r="L311" s="2805"/>
      <c r="M311" s="2805"/>
      <c r="N311" s="2805"/>
      <c r="O311" s="2805"/>
    </row>
    <row r="312" spans="1:15">
      <c r="A312" s="2810"/>
      <c r="B312" s="2851" t="s">
        <v>1091</v>
      </c>
      <c r="C312" s="2849">
        <v>79.52</v>
      </c>
      <c r="D312" s="2818"/>
      <c r="E312" s="2818"/>
      <c r="F312" s="2821" t="s">
        <v>1557</v>
      </c>
      <c r="G312" s="2821" t="s">
        <v>1558</v>
      </c>
      <c r="H312" s="2821" t="s">
        <v>1559</v>
      </c>
      <c r="I312" s="2821" t="s">
        <v>1560</v>
      </c>
      <c r="J312" s="2821" t="s">
        <v>15</v>
      </c>
      <c r="K312" s="2853" t="s">
        <v>2187</v>
      </c>
      <c r="L312" s="2805"/>
      <c r="M312" s="2805"/>
      <c r="N312" s="2805"/>
      <c r="O312" s="2805"/>
    </row>
    <row r="313" spans="1:15">
      <c r="A313" s="2810"/>
      <c r="B313" s="2819" t="s">
        <v>1092</v>
      </c>
      <c r="C313" s="2820">
        <v>20.48</v>
      </c>
      <c r="D313" s="2818"/>
      <c r="E313" s="2818"/>
      <c r="F313" s="2822">
        <v>2.53E-2</v>
      </c>
      <c r="G313" s="2822">
        <v>7.4899999999999994E-2</v>
      </c>
      <c r="H313" s="2822">
        <v>9.9699999999999997E-2</v>
      </c>
      <c r="I313" s="2822">
        <v>0.1537</v>
      </c>
      <c r="J313" s="2822">
        <v>0.64639999999999997</v>
      </c>
      <c r="K313" s="2823">
        <f>SUM(F313:J313)</f>
        <v>1</v>
      </c>
      <c r="L313" s="2805"/>
      <c r="M313" s="2805"/>
      <c r="N313" s="2805"/>
      <c r="O313" s="2805"/>
    </row>
    <row r="314" spans="1:15">
      <c r="A314" s="2810"/>
      <c r="B314" s="2739" t="s">
        <v>15</v>
      </c>
      <c r="C314" s="2739">
        <f>SUM(C312:C313)</f>
        <v>100</v>
      </c>
      <c r="D314" s="2818"/>
      <c r="E314" s="2818"/>
      <c r="F314" s="2824"/>
      <c r="G314" s="2811"/>
      <c r="H314" s="2812"/>
      <c r="I314" s="2812"/>
      <c r="J314" s="2812"/>
      <c r="K314" s="2805"/>
      <c r="L314" s="2805"/>
      <c r="M314" s="2805"/>
      <c r="N314" s="2805"/>
      <c r="O314" s="2805"/>
    </row>
    <row r="315" spans="1:15">
      <c r="A315" s="2810"/>
      <c r="B315" s="2810"/>
      <c r="C315" s="2825"/>
      <c r="D315" s="2805"/>
      <c r="E315" s="2805"/>
      <c r="F315" s="2811"/>
      <c r="G315" s="2811"/>
      <c r="H315" s="2812"/>
      <c r="I315" s="2812"/>
      <c r="J315" s="2812"/>
      <c r="K315" s="2805"/>
      <c r="L315" s="2805"/>
      <c r="M315" s="2805"/>
      <c r="N315" s="2805"/>
      <c r="O315" s="2805"/>
    </row>
    <row r="316" spans="1:15">
      <c r="A316" s="2810"/>
      <c r="B316" s="2810"/>
      <c r="C316" s="2805"/>
      <c r="D316" s="2805"/>
      <c r="E316" s="2805"/>
      <c r="F316" s="2805"/>
      <c r="G316" s="2805"/>
      <c r="H316" s="2808"/>
      <c r="I316" s="2808"/>
      <c r="J316" s="2808"/>
      <c r="K316" s="2805"/>
      <c r="L316" s="2805"/>
      <c r="M316" s="2805"/>
      <c r="N316" s="2805"/>
      <c r="O316" s="2805"/>
    </row>
    <row r="317" spans="1:15">
      <c r="A317" s="5062" t="s">
        <v>1</v>
      </c>
      <c r="B317" s="5062" t="s">
        <v>2235</v>
      </c>
      <c r="C317" s="5062" t="s">
        <v>2236</v>
      </c>
      <c r="D317" s="5062" t="s">
        <v>1057</v>
      </c>
      <c r="E317" s="3119"/>
      <c r="F317" s="5068" t="s">
        <v>2232</v>
      </c>
      <c r="G317" s="5068" t="s">
        <v>2233</v>
      </c>
      <c r="H317" s="5070" t="s">
        <v>2234</v>
      </c>
      <c r="I317" s="5072" t="s">
        <v>1555</v>
      </c>
      <c r="J317" s="5072"/>
      <c r="K317" s="5064" t="s">
        <v>1556</v>
      </c>
      <c r="L317" s="5065"/>
      <c r="M317" s="5065"/>
      <c r="N317" s="5065"/>
      <c r="O317" s="5066"/>
    </row>
    <row r="318" spans="1:15">
      <c r="A318" s="5062"/>
      <c r="B318" s="5062"/>
      <c r="C318" s="5062"/>
      <c r="D318" s="5062"/>
      <c r="E318" s="3120"/>
      <c r="F318" s="5069"/>
      <c r="G318" s="5069"/>
      <c r="H318" s="5071"/>
      <c r="I318" s="2827" t="s">
        <v>272</v>
      </c>
      <c r="J318" s="2827" t="s">
        <v>273</v>
      </c>
      <c r="K318" s="2828" t="s">
        <v>1557</v>
      </c>
      <c r="L318" s="2828" t="s">
        <v>1558</v>
      </c>
      <c r="M318" s="2828" t="s">
        <v>1559</v>
      </c>
      <c r="N318" s="2828" t="s">
        <v>1560</v>
      </c>
      <c r="O318" s="2828" t="s">
        <v>15</v>
      </c>
    </row>
    <row r="319" spans="1:15">
      <c r="A319" s="2829" t="s">
        <v>70</v>
      </c>
      <c r="B319" s="2830"/>
      <c r="C319" s="2830"/>
      <c r="D319" s="2830"/>
      <c r="E319" s="3121"/>
      <c r="F319" s="2830"/>
      <c r="G319" s="2830"/>
      <c r="H319" s="2830"/>
      <c r="I319" s="2830"/>
      <c r="J319" s="2830"/>
      <c r="K319" s="2831"/>
      <c r="L319" s="2831"/>
      <c r="M319" s="2831"/>
      <c r="N319" s="2831"/>
      <c r="O319" s="2831"/>
    </row>
    <row r="320" spans="1:15">
      <c r="A320" s="5077" t="s">
        <v>4</v>
      </c>
      <c r="B320" s="2832">
        <v>10</v>
      </c>
      <c r="C320" s="2833" t="s">
        <v>1563</v>
      </c>
      <c r="D320" s="2834" t="s">
        <v>2237</v>
      </c>
      <c r="E320" s="3122"/>
      <c r="F320" s="2832">
        <v>93</v>
      </c>
      <c r="G320" s="2832">
        <v>35</v>
      </c>
      <c r="H320" s="2835">
        <f>G320*100/F320</f>
        <v>37.634408602150536</v>
      </c>
      <c r="I320" s="2836">
        <v>80</v>
      </c>
      <c r="J320" s="2836">
        <v>20</v>
      </c>
      <c r="K320" s="2835">
        <v>0</v>
      </c>
      <c r="L320" s="2835">
        <v>7.4074074074074074</v>
      </c>
      <c r="M320" s="2835">
        <v>3.7037037037037037</v>
      </c>
      <c r="N320" s="2835">
        <v>3.7037037037037037</v>
      </c>
      <c r="O320" s="2835">
        <v>85.18518518518519</v>
      </c>
    </row>
    <row r="321" spans="1:15">
      <c r="A321" s="5077"/>
      <c r="B321" s="2772">
        <v>118</v>
      </c>
      <c r="C321" s="2774" t="s">
        <v>2238</v>
      </c>
      <c r="D321" s="2774" t="s">
        <v>2237</v>
      </c>
      <c r="E321" s="3123"/>
      <c r="F321" s="2772">
        <v>82</v>
      </c>
      <c r="G321" s="2772">
        <v>62</v>
      </c>
      <c r="H321" s="2835">
        <f t="shared" ref="H321:H358" si="8">G321*100/F321</f>
        <v>75.609756097560975</v>
      </c>
      <c r="I321" s="2836">
        <v>93.442622950819668</v>
      </c>
      <c r="J321" s="2836">
        <v>6.557377049180328</v>
      </c>
      <c r="K321" s="2835">
        <v>1.7857142857142858</v>
      </c>
      <c r="L321" s="2835">
        <v>1.7857142857142858</v>
      </c>
      <c r="M321" s="2835">
        <v>8.9285714285714288</v>
      </c>
      <c r="N321" s="2835">
        <v>12.5</v>
      </c>
      <c r="O321" s="2835">
        <v>75</v>
      </c>
    </row>
    <row r="322" spans="1:15">
      <c r="A322" s="5077"/>
      <c r="B322" s="2772">
        <v>118</v>
      </c>
      <c r="C322" s="2774" t="s">
        <v>2238</v>
      </c>
      <c r="D322" s="2774" t="s">
        <v>1568</v>
      </c>
      <c r="E322" s="3123"/>
      <c r="F322" s="2772">
        <v>8</v>
      </c>
      <c r="G322" s="2772">
        <v>8</v>
      </c>
      <c r="H322" s="2835">
        <f t="shared" si="8"/>
        <v>100</v>
      </c>
      <c r="I322" s="2836">
        <v>100</v>
      </c>
      <c r="J322" s="2836">
        <v>0</v>
      </c>
      <c r="K322" s="2835">
        <v>0</v>
      </c>
      <c r="L322" s="2835">
        <v>0</v>
      </c>
      <c r="M322" s="2835">
        <v>11.111111111111111</v>
      </c>
      <c r="N322" s="2835">
        <v>22.222222222222221</v>
      </c>
      <c r="O322" s="2835">
        <v>66.666666666666671</v>
      </c>
    </row>
    <row r="323" spans="1:15">
      <c r="A323" s="5077"/>
      <c r="B323" s="2772">
        <v>152</v>
      </c>
      <c r="C323" s="2774" t="s">
        <v>2239</v>
      </c>
      <c r="D323" s="2774" t="s">
        <v>2237</v>
      </c>
      <c r="E323" s="3123"/>
      <c r="F323" s="2772">
        <v>18</v>
      </c>
      <c r="G323" s="2772">
        <v>10</v>
      </c>
      <c r="H323" s="2835">
        <f t="shared" si="8"/>
        <v>55.555555555555557</v>
      </c>
      <c r="I323" s="2836">
        <v>30</v>
      </c>
      <c r="J323" s="2836">
        <v>70</v>
      </c>
      <c r="K323" s="2835">
        <v>0</v>
      </c>
      <c r="L323" s="2835">
        <v>0</v>
      </c>
      <c r="M323" s="2835">
        <v>33.333333333333336</v>
      </c>
      <c r="N323" s="2835">
        <v>33.333333333333336</v>
      </c>
      <c r="O323" s="2835">
        <v>33.333333333333336</v>
      </c>
    </row>
    <row r="324" spans="1:15">
      <c r="A324" s="5077"/>
      <c r="B324" s="2772">
        <v>152</v>
      </c>
      <c r="C324" s="2774" t="s">
        <v>2239</v>
      </c>
      <c r="D324" s="2774" t="s">
        <v>1568</v>
      </c>
      <c r="E324" s="3123"/>
      <c r="F324" s="2772">
        <v>0</v>
      </c>
      <c r="G324" s="2772">
        <v>0</v>
      </c>
      <c r="H324" s="2835">
        <v>0</v>
      </c>
      <c r="I324" s="2836">
        <v>0</v>
      </c>
      <c r="J324" s="2836">
        <v>0</v>
      </c>
      <c r="K324" s="2835">
        <v>0</v>
      </c>
      <c r="L324" s="2835">
        <v>0</v>
      </c>
      <c r="M324" s="2835">
        <v>0</v>
      </c>
      <c r="N324" s="2835">
        <v>0</v>
      </c>
      <c r="O324" s="2835">
        <v>0</v>
      </c>
    </row>
    <row r="325" spans="1:15">
      <c r="A325" s="5077"/>
      <c r="B325" s="2772">
        <v>154</v>
      </c>
      <c r="C325" s="2774" t="s">
        <v>2240</v>
      </c>
      <c r="D325" s="2774" t="s">
        <v>2237</v>
      </c>
      <c r="E325" s="3123"/>
      <c r="F325" s="2772">
        <v>7</v>
      </c>
      <c r="G325" s="2772">
        <v>4</v>
      </c>
      <c r="H325" s="2835">
        <f t="shared" si="8"/>
        <v>57.142857142857146</v>
      </c>
      <c r="I325" s="2836">
        <v>75</v>
      </c>
      <c r="J325" s="2836">
        <v>25</v>
      </c>
      <c r="K325" s="2835">
        <v>0</v>
      </c>
      <c r="L325" s="2835">
        <v>33.333333333333336</v>
      </c>
      <c r="M325" s="2835">
        <v>0</v>
      </c>
      <c r="N325" s="2835">
        <v>0</v>
      </c>
      <c r="O325" s="2835">
        <v>66.666666666666671</v>
      </c>
    </row>
    <row r="326" spans="1:15">
      <c r="A326" s="5077"/>
      <c r="B326" s="2772">
        <v>154</v>
      </c>
      <c r="C326" s="2774" t="s">
        <v>2240</v>
      </c>
      <c r="D326" s="2774" t="s">
        <v>1568</v>
      </c>
      <c r="E326" s="3123"/>
      <c r="F326" s="2772">
        <v>0</v>
      </c>
      <c r="G326" s="2772">
        <v>0</v>
      </c>
      <c r="H326" s="2835">
        <v>0</v>
      </c>
      <c r="I326" s="2836">
        <v>0</v>
      </c>
      <c r="J326" s="2836">
        <v>0</v>
      </c>
      <c r="K326" s="2835">
        <v>0</v>
      </c>
      <c r="L326" s="2835">
        <v>0</v>
      </c>
      <c r="M326" s="2835">
        <v>0</v>
      </c>
      <c r="N326" s="2835">
        <v>0</v>
      </c>
      <c r="O326" s="2835">
        <v>0</v>
      </c>
    </row>
    <row r="327" spans="1:15">
      <c r="A327" s="5077"/>
      <c r="B327" s="2772">
        <v>105</v>
      </c>
      <c r="C327" s="2774" t="s">
        <v>2241</v>
      </c>
      <c r="D327" s="2774" t="s">
        <v>2242</v>
      </c>
      <c r="E327" s="3123"/>
      <c r="F327" s="2772">
        <v>4</v>
      </c>
      <c r="G327" s="2772">
        <v>3</v>
      </c>
      <c r="H327" s="2835">
        <f>G327*100/F327</f>
        <v>75</v>
      </c>
      <c r="I327" s="2836">
        <v>100</v>
      </c>
      <c r="J327" s="2836">
        <v>0</v>
      </c>
      <c r="K327" s="2835">
        <v>0</v>
      </c>
      <c r="L327" s="2835">
        <v>0</v>
      </c>
      <c r="M327" s="2835">
        <v>0</v>
      </c>
      <c r="N327" s="2835">
        <v>66.67</v>
      </c>
      <c r="O327" s="2835">
        <v>33.33</v>
      </c>
    </row>
    <row r="328" spans="1:15">
      <c r="A328" s="5077"/>
      <c r="B328" s="2772">
        <v>105</v>
      </c>
      <c r="C328" s="2774" t="s">
        <v>2241</v>
      </c>
      <c r="D328" s="2774" t="s">
        <v>2237</v>
      </c>
      <c r="E328" s="3123"/>
      <c r="F328" s="2772">
        <v>273</v>
      </c>
      <c r="G328" s="2772">
        <v>176</v>
      </c>
      <c r="H328" s="2835">
        <f t="shared" si="8"/>
        <v>64.468864468864467</v>
      </c>
      <c r="I328" s="2836">
        <v>77.14</v>
      </c>
      <c r="J328" s="2836">
        <v>22.86</v>
      </c>
      <c r="K328" s="2835">
        <v>5.26</v>
      </c>
      <c r="L328" s="2835">
        <v>6.77</v>
      </c>
      <c r="M328" s="2835">
        <v>14.29</v>
      </c>
      <c r="N328" s="2835">
        <v>15.04</v>
      </c>
      <c r="O328" s="2835">
        <v>58.65</v>
      </c>
    </row>
    <row r="329" spans="1:15">
      <c r="A329" s="5077"/>
      <c r="B329" s="2772">
        <v>105</v>
      </c>
      <c r="C329" s="2774" t="s">
        <v>2241</v>
      </c>
      <c r="D329" s="2774" t="s">
        <v>1568</v>
      </c>
      <c r="E329" s="3123"/>
      <c r="F329" s="2772">
        <v>74</v>
      </c>
      <c r="G329" s="2772">
        <v>25</v>
      </c>
      <c r="H329" s="2835">
        <f t="shared" si="8"/>
        <v>33.783783783783782</v>
      </c>
      <c r="I329" s="2836">
        <v>80</v>
      </c>
      <c r="J329" s="2836">
        <v>20</v>
      </c>
      <c r="K329" s="2835">
        <v>5</v>
      </c>
      <c r="L329" s="2835">
        <v>0</v>
      </c>
      <c r="M329" s="2835">
        <v>15</v>
      </c>
      <c r="N329" s="2835">
        <v>5</v>
      </c>
      <c r="O329" s="2835">
        <v>75</v>
      </c>
    </row>
    <row r="330" spans="1:15">
      <c r="A330" s="5078" t="s">
        <v>16</v>
      </c>
      <c r="B330" s="2772">
        <v>95</v>
      </c>
      <c r="C330" s="2774" t="s">
        <v>2243</v>
      </c>
      <c r="D330" s="2774" t="s">
        <v>2242</v>
      </c>
      <c r="E330" s="3123"/>
      <c r="F330" s="2772">
        <v>279</v>
      </c>
      <c r="G330" s="2772">
        <v>132</v>
      </c>
      <c r="H330" s="2835">
        <f t="shared" si="8"/>
        <v>47.311827956989248</v>
      </c>
      <c r="I330" s="2836">
        <v>80.303030303030297</v>
      </c>
      <c r="J330" s="2836">
        <v>19.696969696969695</v>
      </c>
      <c r="K330" s="2835">
        <v>3.7735849056603774</v>
      </c>
      <c r="L330" s="2835">
        <v>3.7735849056603774</v>
      </c>
      <c r="M330" s="2835">
        <v>7.5471698113207548</v>
      </c>
      <c r="N330" s="2835">
        <v>20.754716981132077</v>
      </c>
      <c r="O330" s="2835">
        <v>64.15094339622641</v>
      </c>
    </row>
    <row r="331" spans="1:15">
      <c r="A331" s="5079"/>
      <c r="B331" s="2772">
        <v>126</v>
      </c>
      <c r="C331" s="2774" t="s">
        <v>2244</v>
      </c>
      <c r="D331" s="2774" t="s">
        <v>2242</v>
      </c>
      <c r="E331" s="3123"/>
      <c r="F331" s="2772">
        <v>72</v>
      </c>
      <c r="G331" s="2772">
        <v>52</v>
      </c>
      <c r="H331" s="2835">
        <f t="shared" si="8"/>
        <v>72.222222222222229</v>
      </c>
      <c r="I331" s="2836">
        <v>86.538461538461533</v>
      </c>
      <c r="J331" s="2836">
        <v>13.461538461538462</v>
      </c>
      <c r="K331" s="2835">
        <v>2.2222222222222223</v>
      </c>
      <c r="L331" s="2835">
        <v>6.666666666666667</v>
      </c>
      <c r="M331" s="2835">
        <v>6.666666666666667</v>
      </c>
      <c r="N331" s="2835">
        <v>22.222222222222221</v>
      </c>
      <c r="O331" s="2835">
        <v>62.222222222222221</v>
      </c>
    </row>
    <row r="332" spans="1:15">
      <c r="A332" s="5079"/>
      <c r="B332" s="2772">
        <v>15</v>
      </c>
      <c r="C332" s="2774" t="s">
        <v>2245</v>
      </c>
      <c r="D332" s="2774" t="s">
        <v>2237</v>
      </c>
      <c r="E332" s="3123"/>
      <c r="F332" s="2772">
        <v>165</v>
      </c>
      <c r="G332" s="2772">
        <v>88</v>
      </c>
      <c r="H332" s="2835">
        <f t="shared" si="8"/>
        <v>53.333333333333336</v>
      </c>
      <c r="I332" s="2836">
        <v>84.090909090909093</v>
      </c>
      <c r="J332" s="2836">
        <v>15.909090909090908</v>
      </c>
      <c r="K332" s="2835">
        <v>2.6666666666666665</v>
      </c>
      <c r="L332" s="2835">
        <v>4</v>
      </c>
      <c r="M332" s="2835">
        <v>21.333333333333332</v>
      </c>
      <c r="N332" s="2835">
        <v>12</v>
      </c>
      <c r="O332" s="2835">
        <v>60</v>
      </c>
    </row>
    <row r="333" spans="1:15">
      <c r="A333" s="5079"/>
      <c r="B333" s="2772">
        <v>16</v>
      </c>
      <c r="C333" s="2774" t="s">
        <v>2246</v>
      </c>
      <c r="D333" s="2774" t="s">
        <v>2237</v>
      </c>
      <c r="E333" s="3123"/>
      <c r="F333" s="2772">
        <v>145</v>
      </c>
      <c r="G333" s="2772">
        <v>85</v>
      </c>
      <c r="H333" s="2835">
        <f t="shared" si="8"/>
        <v>58.620689655172413</v>
      </c>
      <c r="I333" s="2836">
        <v>75.294117647058826</v>
      </c>
      <c r="J333" s="2836">
        <v>24.705882352941178</v>
      </c>
      <c r="K333" s="2835">
        <v>4.6875</v>
      </c>
      <c r="L333" s="2835">
        <v>6.25</v>
      </c>
      <c r="M333" s="2835">
        <v>14.0625</v>
      </c>
      <c r="N333" s="2835">
        <v>28.125</v>
      </c>
      <c r="O333" s="2835">
        <v>46.875</v>
      </c>
    </row>
    <row r="334" spans="1:15">
      <c r="A334" s="5079"/>
      <c r="B334" s="2772">
        <v>96</v>
      </c>
      <c r="C334" s="2774" t="s">
        <v>1574</v>
      </c>
      <c r="D334" s="2774" t="s">
        <v>2237</v>
      </c>
      <c r="E334" s="3123"/>
      <c r="F334" s="2772">
        <v>59</v>
      </c>
      <c r="G334" s="2772">
        <v>34</v>
      </c>
      <c r="H334" s="2835">
        <f t="shared" si="8"/>
        <v>57.627118644067799</v>
      </c>
      <c r="I334" s="2836">
        <v>73.529411764705884</v>
      </c>
      <c r="J334" s="2836">
        <v>26.470588235294116</v>
      </c>
      <c r="K334" s="2835">
        <v>0</v>
      </c>
      <c r="L334" s="2835">
        <v>4.166666666666667</v>
      </c>
      <c r="M334" s="2835">
        <v>16.666666666666668</v>
      </c>
      <c r="N334" s="2835">
        <v>12.5</v>
      </c>
      <c r="O334" s="2835">
        <v>66.666666666666671</v>
      </c>
    </row>
    <row r="335" spans="1:15">
      <c r="A335" s="5079"/>
      <c r="B335" s="2772">
        <v>151</v>
      </c>
      <c r="C335" s="2774" t="s">
        <v>2247</v>
      </c>
      <c r="D335" s="2774" t="s">
        <v>2237</v>
      </c>
      <c r="E335" s="3123"/>
      <c r="F335" s="2772">
        <v>9</v>
      </c>
      <c r="G335" s="2772">
        <v>6</v>
      </c>
      <c r="H335" s="2835">
        <f t="shared" si="8"/>
        <v>66.666666666666671</v>
      </c>
      <c r="I335" s="2836">
        <v>83.333333333333329</v>
      </c>
      <c r="J335" s="2836">
        <v>16.666666666666668</v>
      </c>
      <c r="K335" s="2835">
        <v>0</v>
      </c>
      <c r="L335" s="2835">
        <v>0</v>
      </c>
      <c r="M335" s="2835">
        <v>0</v>
      </c>
      <c r="N335" s="2835">
        <v>20</v>
      </c>
      <c r="O335" s="2835">
        <v>80</v>
      </c>
    </row>
    <row r="336" spans="1:15">
      <c r="A336" s="5079"/>
      <c r="B336" s="2772">
        <v>127</v>
      </c>
      <c r="C336" s="2774" t="s">
        <v>2248</v>
      </c>
      <c r="D336" s="2774" t="s">
        <v>2237</v>
      </c>
      <c r="E336" s="3123"/>
      <c r="F336" s="2772">
        <v>72</v>
      </c>
      <c r="G336" s="2772">
        <v>30</v>
      </c>
      <c r="H336" s="2835">
        <f t="shared" si="8"/>
        <v>41.666666666666664</v>
      </c>
      <c r="I336" s="2836">
        <v>73.333333333333329</v>
      </c>
      <c r="J336" s="2836">
        <v>26.666666666666668</v>
      </c>
      <c r="K336" s="2835">
        <v>0</v>
      </c>
      <c r="L336" s="2835">
        <v>4.5454545454545459</v>
      </c>
      <c r="M336" s="2835">
        <v>9.0909090909090917</v>
      </c>
      <c r="N336" s="2835">
        <v>40.909090909090907</v>
      </c>
      <c r="O336" s="2835">
        <v>45.454545454545453</v>
      </c>
    </row>
    <row r="337" spans="1:15">
      <c r="A337" s="5079"/>
      <c r="B337" s="2772">
        <v>127</v>
      </c>
      <c r="C337" s="2774" t="s">
        <v>2248</v>
      </c>
      <c r="D337" s="2774" t="s">
        <v>1568</v>
      </c>
      <c r="E337" s="3123"/>
      <c r="F337" s="2772">
        <v>31</v>
      </c>
      <c r="G337" s="2772">
        <v>8</v>
      </c>
      <c r="H337" s="2835">
        <f t="shared" si="8"/>
        <v>25.806451612903224</v>
      </c>
      <c r="I337" s="2836">
        <v>87.5</v>
      </c>
      <c r="J337" s="2836">
        <v>12.5</v>
      </c>
      <c r="K337" s="2835">
        <v>0</v>
      </c>
      <c r="L337" s="2835">
        <v>0</v>
      </c>
      <c r="M337" s="2835">
        <v>14.285714285714286</v>
      </c>
      <c r="N337" s="2835">
        <v>14.285714285714286</v>
      </c>
      <c r="O337" s="2835">
        <v>71.428571428571431</v>
      </c>
    </row>
    <row r="338" spans="1:15">
      <c r="A338" s="5079"/>
      <c r="B338" s="2772">
        <v>134</v>
      </c>
      <c r="C338" s="2774" t="s">
        <v>2249</v>
      </c>
      <c r="D338" s="2774" t="s">
        <v>2242</v>
      </c>
      <c r="E338" s="3123"/>
      <c r="F338" s="2772">
        <v>1</v>
      </c>
      <c r="G338" s="2772">
        <v>0</v>
      </c>
      <c r="H338" s="2835">
        <f t="shared" si="8"/>
        <v>0</v>
      </c>
      <c r="I338" s="2836">
        <v>0</v>
      </c>
      <c r="J338" s="2836">
        <v>0</v>
      </c>
      <c r="K338" s="2835">
        <v>0</v>
      </c>
      <c r="L338" s="2835">
        <v>0</v>
      </c>
      <c r="M338" s="2835">
        <v>0</v>
      </c>
      <c r="N338" s="2835">
        <v>0</v>
      </c>
      <c r="O338" s="2835">
        <v>0</v>
      </c>
    </row>
    <row r="339" spans="1:15">
      <c r="A339" s="5079"/>
      <c r="B339" s="2772">
        <v>134</v>
      </c>
      <c r="C339" s="2774" t="s">
        <v>2249</v>
      </c>
      <c r="D339" s="2774" t="s">
        <v>2237</v>
      </c>
      <c r="E339" s="3123"/>
      <c r="F339" s="2772">
        <v>20</v>
      </c>
      <c r="G339" s="2772">
        <v>11</v>
      </c>
      <c r="H339" s="2835">
        <f t="shared" si="8"/>
        <v>55</v>
      </c>
      <c r="I339" s="2836">
        <v>36.363636363636367</v>
      </c>
      <c r="J339" s="2836">
        <v>63.636363636363633</v>
      </c>
      <c r="K339" s="2835">
        <v>0</v>
      </c>
      <c r="L339" s="2835">
        <v>0</v>
      </c>
      <c r="M339" s="2835">
        <v>0</v>
      </c>
      <c r="N339" s="2835">
        <v>25</v>
      </c>
      <c r="O339" s="2835">
        <v>75</v>
      </c>
    </row>
    <row r="340" spans="1:15">
      <c r="A340" s="5080"/>
      <c r="B340" s="2772">
        <v>134</v>
      </c>
      <c r="C340" s="2774" t="s">
        <v>2249</v>
      </c>
      <c r="D340" s="2774" t="s">
        <v>1568</v>
      </c>
      <c r="E340" s="3123"/>
      <c r="F340" s="2772">
        <v>21</v>
      </c>
      <c r="G340" s="2772">
        <v>11</v>
      </c>
      <c r="H340" s="2835">
        <f t="shared" si="8"/>
        <v>52.38095238095238</v>
      </c>
      <c r="I340" s="2836">
        <v>81.818181818181813</v>
      </c>
      <c r="J340" s="2836">
        <v>18.181818181818183</v>
      </c>
      <c r="K340" s="2835">
        <v>0</v>
      </c>
      <c r="L340" s="2835">
        <v>0</v>
      </c>
      <c r="M340" s="2835">
        <v>22.222222222222221</v>
      </c>
      <c r="N340" s="2835">
        <v>22.222222222222221</v>
      </c>
      <c r="O340" s="2835">
        <v>55.555555555555557</v>
      </c>
    </row>
    <row r="341" spans="1:15">
      <c r="A341" s="5061" t="s">
        <v>21</v>
      </c>
      <c r="B341" s="2772">
        <v>21</v>
      </c>
      <c r="C341" s="2774" t="s">
        <v>2250</v>
      </c>
      <c r="D341" s="2774" t="s">
        <v>2242</v>
      </c>
      <c r="E341" s="3123"/>
      <c r="F341" s="2772">
        <v>36</v>
      </c>
      <c r="G341" s="2772">
        <v>16</v>
      </c>
      <c r="H341" s="2835">
        <f t="shared" si="8"/>
        <v>44.444444444444443</v>
      </c>
      <c r="I341" s="2836">
        <v>81.25</v>
      </c>
      <c r="J341" s="2836">
        <v>18.75</v>
      </c>
      <c r="K341" s="2835">
        <v>0</v>
      </c>
      <c r="L341" s="2835">
        <v>0</v>
      </c>
      <c r="M341" s="2835">
        <v>15.384615384615385</v>
      </c>
      <c r="N341" s="2835">
        <v>7.6923076923076925</v>
      </c>
      <c r="O341" s="2835">
        <v>76.92307692307692</v>
      </c>
    </row>
    <row r="342" spans="1:15">
      <c r="A342" s="5061"/>
      <c r="B342" s="2772">
        <v>20</v>
      </c>
      <c r="C342" s="2774" t="s">
        <v>2251</v>
      </c>
      <c r="D342" s="2774" t="s">
        <v>2237</v>
      </c>
      <c r="E342" s="3123"/>
      <c r="F342" s="2772">
        <v>3</v>
      </c>
      <c r="G342" s="2772">
        <v>0</v>
      </c>
      <c r="H342" s="2835">
        <f t="shared" si="8"/>
        <v>0</v>
      </c>
      <c r="I342" s="2836">
        <v>0</v>
      </c>
      <c r="J342" s="2836">
        <v>0</v>
      </c>
      <c r="K342" s="2835">
        <v>0</v>
      </c>
      <c r="L342" s="2835">
        <v>0</v>
      </c>
      <c r="M342" s="2835">
        <v>0</v>
      </c>
      <c r="N342" s="2835">
        <v>0</v>
      </c>
      <c r="O342" s="2835">
        <v>0</v>
      </c>
    </row>
    <row r="343" spans="1:15">
      <c r="A343" s="5061"/>
      <c r="B343" s="2772">
        <v>97</v>
      </c>
      <c r="C343" s="2774" t="s">
        <v>2252</v>
      </c>
      <c r="D343" s="2774" t="s">
        <v>2253</v>
      </c>
      <c r="E343" s="3123"/>
      <c r="F343" s="2772">
        <v>652</v>
      </c>
      <c r="G343" s="2772">
        <v>215</v>
      </c>
      <c r="H343" s="2835">
        <f t="shared" si="8"/>
        <v>32.975460122699388</v>
      </c>
      <c r="I343" s="2836">
        <v>86.04651162790698</v>
      </c>
      <c r="J343" s="2836">
        <v>13.953488372093023</v>
      </c>
      <c r="K343" s="2835">
        <v>3.8251366120218577</v>
      </c>
      <c r="L343" s="2835">
        <v>3.8251366120218577</v>
      </c>
      <c r="M343" s="2835">
        <v>10.928961748633879</v>
      </c>
      <c r="N343" s="2835">
        <v>13.66120218579235</v>
      </c>
      <c r="O343" s="2835">
        <v>67.759562841530055</v>
      </c>
    </row>
    <row r="344" spans="1:15">
      <c r="A344" s="5061"/>
      <c r="B344" s="2772">
        <v>164</v>
      </c>
      <c r="C344" s="2774" t="s">
        <v>2254</v>
      </c>
      <c r="D344" s="2774" t="s">
        <v>2242</v>
      </c>
      <c r="E344" s="3123"/>
      <c r="F344" s="2772">
        <v>10</v>
      </c>
      <c r="G344" s="2772">
        <v>0</v>
      </c>
      <c r="H344" s="2835">
        <f t="shared" si="8"/>
        <v>0</v>
      </c>
      <c r="I344" s="2836">
        <v>0</v>
      </c>
      <c r="J344" s="2836">
        <v>0</v>
      </c>
      <c r="K344" s="2835">
        <v>0</v>
      </c>
      <c r="L344" s="2835">
        <v>0</v>
      </c>
      <c r="M344" s="2835">
        <v>0</v>
      </c>
      <c r="N344" s="2835">
        <v>0</v>
      </c>
      <c r="O344" s="2835">
        <v>0</v>
      </c>
    </row>
    <row r="345" spans="1:15">
      <c r="A345" s="5061"/>
      <c r="B345" s="2772">
        <v>164</v>
      </c>
      <c r="C345" s="2774" t="s">
        <v>2254</v>
      </c>
      <c r="D345" s="2774" t="s">
        <v>2237</v>
      </c>
      <c r="E345" s="3123"/>
      <c r="F345" s="2772">
        <v>10</v>
      </c>
      <c r="G345" s="2772">
        <v>0</v>
      </c>
      <c r="H345" s="2835">
        <f t="shared" si="8"/>
        <v>0</v>
      </c>
      <c r="I345" s="2836">
        <v>0</v>
      </c>
      <c r="J345" s="2836">
        <v>0</v>
      </c>
      <c r="K345" s="2835">
        <v>0</v>
      </c>
      <c r="L345" s="2835">
        <v>0</v>
      </c>
      <c r="M345" s="2835">
        <v>0</v>
      </c>
      <c r="N345" s="2835">
        <v>0</v>
      </c>
      <c r="O345" s="2835">
        <v>0</v>
      </c>
    </row>
    <row r="346" spans="1:15">
      <c r="A346" s="5061"/>
      <c r="B346" s="2772">
        <v>165</v>
      </c>
      <c r="C346" s="2774" t="s">
        <v>2255</v>
      </c>
      <c r="D346" s="2774" t="s">
        <v>2242</v>
      </c>
      <c r="E346" s="3123"/>
      <c r="F346" s="2772">
        <v>1</v>
      </c>
      <c r="G346" s="2772">
        <v>0</v>
      </c>
      <c r="H346" s="2835">
        <f t="shared" si="8"/>
        <v>0</v>
      </c>
      <c r="I346" s="2836">
        <v>0</v>
      </c>
      <c r="J346" s="2836">
        <v>0</v>
      </c>
      <c r="K346" s="2835">
        <v>0</v>
      </c>
      <c r="L346" s="2835">
        <v>0</v>
      </c>
      <c r="M346" s="2835">
        <v>0</v>
      </c>
      <c r="N346" s="2835">
        <v>0</v>
      </c>
      <c r="O346" s="2835">
        <v>0</v>
      </c>
    </row>
    <row r="347" spans="1:15">
      <c r="A347" s="5061"/>
      <c r="B347" s="2772">
        <v>165</v>
      </c>
      <c r="C347" s="2774" t="s">
        <v>2255</v>
      </c>
      <c r="D347" s="2774" t="s">
        <v>2237</v>
      </c>
      <c r="E347" s="3123"/>
      <c r="F347" s="2772">
        <v>10</v>
      </c>
      <c r="G347" s="2772">
        <v>0</v>
      </c>
      <c r="H347" s="2835">
        <f t="shared" si="8"/>
        <v>0</v>
      </c>
      <c r="I347" s="2836">
        <v>0</v>
      </c>
      <c r="J347" s="2836">
        <v>0</v>
      </c>
      <c r="K347" s="2835">
        <v>0</v>
      </c>
      <c r="L347" s="2835">
        <v>0</v>
      </c>
      <c r="M347" s="2835">
        <v>0</v>
      </c>
      <c r="N347" s="2835">
        <v>0</v>
      </c>
      <c r="O347" s="2835">
        <v>0</v>
      </c>
    </row>
    <row r="348" spans="1:15">
      <c r="A348" s="5061"/>
      <c r="B348" s="2772">
        <v>166</v>
      </c>
      <c r="C348" s="2774" t="s">
        <v>2256</v>
      </c>
      <c r="D348" s="2774" t="s">
        <v>2242</v>
      </c>
      <c r="E348" s="3123"/>
      <c r="F348" s="2772">
        <v>1</v>
      </c>
      <c r="G348" s="2772">
        <v>0</v>
      </c>
      <c r="H348" s="2835">
        <f t="shared" si="8"/>
        <v>0</v>
      </c>
      <c r="I348" s="2836">
        <v>0</v>
      </c>
      <c r="J348" s="2836">
        <v>0</v>
      </c>
      <c r="K348" s="2835">
        <v>0</v>
      </c>
      <c r="L348" s="2835">
        <v>0</v>
      </c>
      <c r="M348" s="2835">
        <v>0</v>
      </c>
      <c r="N348" s="2835">
        <v>0</v>
      </c>
      <c r="O348" s="2835">
        <v>0</v>
      </c>
    </row>
    <row r="349" spans="1:15">
      <c r="A349" s="5061"/>
      <c r="B349" s="2772">
        <v>166</v>
      </c>
      <c r="C349" s="2774" t="s">
        <v>2256</v>
      </c>
      <c r="D349" s="2774" t="s">
        <v>2237</v>
      </c>
      <c r="E349" s="3123"/>
      <c r="F349" s="2772">
        <v>10</v>
      </c>
      <c r="G349" s="2772">
        <v>5</v>
      </c>
      <c r="H349" s="2835">
        <f t="shared" si="8"/>
        <v>50</v>
      </c>
      <c r="I349" s="2836">
        <v>20</v>
      </c>
      <c r="J349" s="2836">
        <v>80</v>
      </c>
      <c r="K349" s="2835">
        <v>0</v>
      </c>
      <c r="L349" s="2835">
        <v>0</v>
      </c>
      <c r="M349" s="2835">
        <v>100</v>
      </c>
      <c r="N349" s="2835">
        <v>0</v>
      </c>
      <c r="O349" s="2835">
        <v>0</v>
      </c>
    </row>
    <row r="350" spans="1:15">
      <c r="A350" s="5061"/>
      <c r="B350" s="2772">
        <v>166</v>
      </c>
      <c r="C350" s="2774" t="s">
        <v>2256</v>
      </c>
      <c r="D350" s="2774" t="s">
        <v>1568</v>
      </c>
      <c r="E350" s="3123"/>
      <c r="F350" s="2772">
        <v>5</v>
      </c>
      <c r="G350" s="2772">
        <v>2</v>
      </c>
      <c r="H350" s="2835">
        <f t="shared" si="8"/>
        <v>40</v>
      </c>
      <c r="I350" s="2836">
        <v>100</v>
      </c>
      <c r="J350" s="2836">
        <v>0</v>
      </c>
      <c r="K350" s="2835">
        <v>0</v>
      </c>
      <c r="L350" s="2835">
        <v>50</v>
      </c>
      <c r="M350" s="2835">
        <v>50</v>
      </c>
      <c r="N350" s="2835">
        <v>0</v>
      </c>
      <c r="O350" s="2835">
        <v>0</v>
      </c>
    </row>
    <row r="351" spans="1:15">
      <c r="A351" s="5061"/>
      <c r="B351" s="2772">
        <v>168</v>
      </c>
      <c r="C351" s="2774" t="s">
        <v>2257</v>
      </c>
      <c r="D351" s="2774" t="s">
        <v>2242</v>
      </c>
      <c r="E351" s="3123"/>
      <c r="F351" s="2772">
        <v>2</v>
      </c>
      <c r="G351" s="2772">
        <v>0</v>
      </c>
      <c r="H351" s="2835">
        <f t="shared" si="8"/>
        <v>0</v>
      </c>
      <c r="I351" s="2836">
        <v>0</v>
      </c>
      <c r="J351" s="2836">
        <v>0</v>
      </c>
      <c r="K351" s="2835">
        <v>0</v>
      </c>
      <c r="L351" s="2835">
        <v>0</v>
      </c>
      <c r="M351" s="2835">
        <v>0</v>
      </c>
      <c r="N351" s="2835">
        <v>0</v>
      </c>
      <c r="O351" s="2835">
        <v>0</v>
      </c>
    </row>
    <row r="352" spans="1:15">
      <c r="A352" s="5061"/>
      <c r="B352" s="2772">
        <v>168</v>
      </c>
      <c r="C352" s="2774" t="s">
        <v>2257</v>
      </c>
      <c r="D352" s="2774" t="s">
        <v>2237</v>
      </c>
      <c r="E352" s="3123"/>
      <c r="F352" s="2772">
        <v>8</v>
      </c>
      <c r="G352" s="2772">
        <v>0</v>
      </c>
      <c r="H352" s="2835">
        <f t="shared" si="8"/>
        <v>0</v>
      </c>
      <c r="I352" s="2836">
        <v>0</v>
      </c>
      <c r="J352" s="2836">
        <v>0</v>
      </c>
      <c r="K352" s="2835">
        <v>0</v>
      </c>
      <c r="L352" s="2835">
        <v>0</v>
      </c>
      <c r="M352" s="2835">
        <v>0</v>
      </c>
      <c r="N352" s="2835">
        <v>0</v>
      </c>
      <c r="O352" s="2835">
        <v>0</v>
      </c>
    </row>
    <row r="353" spans="1:15">
      <c r="A353" s="5061"/>
      <c r="B353" s="2772">
        <v>168</v>
      </c>
      <c r="C353" s="2774" t="s">
        <v>2257</v>
      </c>
      <c r="D353" s="2774" t="s">
        <v>1568</v>
      </c>
      <c r="E353" s="3123"/>
      <c r="F353" s="2772">
        <v>2</v>
      </c>
      <c r="G353" s="2772">
        <v>0</v>
      </c>
      <c r="H353" s="2835">
        <f t="shared" si="8"/>
        <v>0</v>
      </c>
      <c r="I353" s="2836">
        <v>0</v>
      </c>
      <c r="J353" s="2836">
        <v>0</v>
      </c>
      <c r="K353" s="2835">
        <v>0</v>
      </c>
      <c r="L353" s="2835">
        <v>0</v>
      </c>
      <c r="M353" s="2835">
        <v>0</v>
      </c>
      <c r="N353" s="2835">
        <v>0</v>
      </c>
      <c r="O353" s="2835">
        <v>0</v>
      </c>
    </row>
    <row r="354" spans="1:15">
      <c r="A354" s="5061"/>
      <c r="B354" s="2772">
        <v>169</v>
      </c>
      <c r="C354" s="2774" t="s">
        <v>2258</v>
      </c>
      <c r="D354" s="2774" t="s">
        <v>2237</v>
      </c>
      <c r="E354" s="3123"/>
      <c r="F354" s="2772">
        <v>0</v>
      </c>
      <c r="G354" s="2772">
        <v>0</v>
      </c>
      <c r="H354" s="2835">
        <v>0</v>
      </c>
      <c r="I354" s="2836">
        <v>0</v>
      </c>
      <c r="J354" s="2836">
        <v>0</v>
      </c>
      <c r="K354" s="2835">
        <v>0</v>
      </c>
      <c r="L354" s="2835">
        <v>0</v>
      </c>
      <c r="M354" s="2835">
        <v>0</v>
      </c>
      <c r="N354" s="2835">
        <v>0</v>
      </c>
      <c r="O354" s="2835">
        <v>0</v>
      </c>
    </row>
    <row r="355" spans="1:15">
      <c r="A355" s="5061"/>
      <c r="B355" s="2772">
        <v>169</v>
      </c>
      <c r="C355" s="2774" t="s">
        <v>2258</v>
      </c>
      <c r="D355" s="2774" t="s">
        <v>1568</v>
      </c>
      <c r="E355" s="3123"/>
      <c r="F355" s="2772">
        <v>0</v>
      </c>
      <c r="G355" s="2772">
        <v>0</v>
      </c>
      <c r="H355" s="2835">
        <v>0</v>
      </c>
      <c r="I355" s="2836">
        <v>0</v>
      </c>
      <c r="J355" s="2836">
        <v>0</v>
      </c>
      <c r="K355" s="2835">
        <v>0</v>
      </c>
      <c r="L355" s="2835">
        <v>0</v>
      </c>
      <c r="M355" s="2835">
        <v>0</v>
      </c>
      <c r="N355" s="2835">
        <v>0</v>
      </c>
      <c r="O355" s="2835">
        <v>0</v>
      </c>
    </row>
    <row r="356" spans="1:15">
      <c r="A356" s="5061"/>
      <c r="B356" s="2772">
        <v>167</v>
      </c>
      <c r="C356" s="2774" t="s">
        <v>2259</v>
      </c>
      <c r="D356" s="2774" t="s">
        <v>2242</v>
      </c>
      <c r="E356" s="3123"/>
      <c r="F356" s="2772">
        <v>7</v>
      </c>
      <c r="G356" s="2772">
        <v>0</v>
      </c>
      <c r="H356" s="2835">
        <f t="shared" si="8"/>
        <v>0</v>
      </c>
      <c r="I356" s="2836">
        <v>0</v>
      </c>
      <c r="J356" s="2836">
        <v>0</v>
      </c>
      <c r="K356" s="2835">
        <v>0</v>
      </c>
      <c r="L356" s="2835">
        <v>0</v>
      </c>
      <c r="M356" s="2835">
        <v>0</v>
      </c>
      <c r="N356" s="2835">
        <v>0</v>
      </c>
      <c r="O356" s="2835">
        <v>0</v>
      </c>
    </row>
    <row r="357" spans="1:15">
      <c r="A357" s="5061"/>
      <c r="B357" s="2772">
        <v>167</v>
      </c>
      <c r="C357" s="2774" t="s">
        <v>2259</v>
      </c>
      <c r="D357" s="2774" t="s">
        <v>2237</v>
      </c>
      <c r="E357" s="3123"/>
      <c r="F357" s="2772">
        <v>7</v>
      </c>
      <c r="G357" s="2772">
        <v>0</v>
      </c>
      <c r="H357" s="2835">
        <f t="shared" si="8"/>
        <v>0</v>
      </c>
      <c r="I357" s="2836">
        <v>0</v>
      </c>
      <c r="J357" s="2836">
        <v>0</v>
      </c>
      <c r="K357" s="2835">
        <v>0</v>
      </c>
      <c r="L357" s="2835">
        <v>0</v>
      </c>
      <c r="M357" s="2835">
        <v>0</v>
      </c>
      <c r="N357" s="2835">
        <v>0</v>
      </c>
      <c r="O357" s="2835">
        <v>0</v>
      </c>
    </row>
    <row r="358" spans="1:15">
      <c r="A358" s="5061"/>
      <c r="B358" s="2772">
        <v>167</v>
      </c>
      <c r="C358" s="2774" t="s">
        <v>2259</v>
      </c>
      <c r="D358" s="2774" t="s">
        <v>1568</v>
      </c>
      <c r="E358" s="3123"/>
      <c r="F358" s="2772">
        <v>1</v>
      </c>
      <c r="G358" s="2772">
        <v>0</v>
      </c>
      <c r="H358" s="2835">
        <f t="shared" si="8"/>
        <v>0</v>
      </c>
      <c r="I358" s="2836">
        <v>0</v>
      </c>
      <c r="J358" s="2836">
        <v>0</v>
      </c>
      <c r="K358" s="2835">
        <v>0</v>
      </c>
      <c r="L358" s="2835">
        <v>0</v>
      </c>
      <c r="M358" s="2835">
        <v>0</v>
      </c>
      <c r="N358" s="2835">
        <v>0</v>
      </c>
      <c r="O358" s="2835">
        <v>0</v>
      </c>
    </row>
    <row r="359" spans="1:15">
      <c r="A359" s="2837" t="s">
        <v>72</v>
      </c>
      <c r="B359" s="2838"/>
      <c r="C359" s="2838"/>
      <c r="D359" s="2838"/>
      <c r="E359" s="3124"/>
      <c r="F359" s="2838"/>
      <c r="G359" s="2838"/>
      <c r="H359" s="2838"/>
      <c r="I359" s="2838"/>
      <c r="J359" s="2838"/>
      <c r="K359" s="2831"/>
      <c r="L359" s="2831"/>
      <c r="M359" s="2831"/>
      <c r="N359" s="2831"/>
      <c r="O359" s="2831"/>
    </row>
    <row r="360" spans="1:15">
      <c r="A360" s="5079"/>
      <c r="B360" s="2772">
        <v>145</v>
      </c>
      <c r="C360" s="2774" t="s">
        <v>1643</v>
      </c>
      <c r="D360" s="2774" t="s">
        <v>2237</v>
      </c>
      <c r="E360" s="3123"/>
      <c r="F360" s="2772">
        <v>29</v>
      </c>
      <c r="G360" s="2772">
        <v>13</v>
      </c>
      <c r="H360" s="2773">
        <f>G360*100/F360</f>
        <v>44.827586206896555</v>
      </c>
      <c r="I360" s="2836">
        <v>46.153846153846153</v>
      </c>
      <c r="J360" s="2836">
        <v>53.846153846153847</v>
      </c>
      <c r="K360" s="2835">
        <v>16.666666666666668</v>
      </c>
      <c r="L360" s="2835">
        <v>0</v>
      </c>
      <c r="M360" s="2835">
        <v>0</v>
      </c>
      <c r="N360" s="2835">
        <v>16.666666666666668</v>
      </c>
      <c r="O360" s="2835">
        <v>66.666666666666671</v>
      </c>
    </row>
    <row r="361" spans="1:15">
      <c r="A361" s="5079"/>
      <c r="B361" s="2772">
        <v>145</v>
      </c>
      <c r="C361" s="2774" t="s">
        <v>1643</v>
      </c>
      <c r="D361" s="2774" t="s">
        <v>1568</v>
      </c>
      <c r="E361" s="3123"/>
      <c r="F361" s="2772">
        <v>6</v>
      </c>
      <c r="G361" s="2772">
        <v>5</v>
      </c>
      <c r="H361" s="2773">
        <f t="shared" ref="H361:H365" si="9">G361*100/F361</f>
        <v>83.333333333333329</v>
      </c>
      <c r="I361" s="2836">
        <v>100</v>
      </c>
      <c r="J361" s="2836">
        <v>0</v>
      </c>
      <c r="K361" s="2835">
        <v>0</v>
      </c>
      <c r="L361" s="2835">
        <v>0</v>
      </c>
      <c r="M361" s="2835">
        <v>0</v>
      </c>
      <c r="N361" s="2835">
        <v>25</v>
      </c>
      <c r="O361" s="2835">
        <v>75</v>
      </c>
    </row>
    <row r="362" spans="1:15">
      <c r="A362" s="5079"/>
      <c r="B362" s="2772">
        <v>155</v>
      </c>
      <c r="C362" s="2774" t="s">
        <v>2260</v>
      </c>
      <c r="D362" s="2774" t="s">
        <v>2237</v>
      </c>
      <c r="E362" s="3123"/>
      <c r="F362" s="2772">
        <v>24</v>
      </c>
      <c r="G362" s="2772">
        <v>14</v>
      </c>
      <c r="H362" s="2773">
        <f t="shared" si="9"/>
        <v>58.333333333333336</v>
      </c>
      <c r="I362" s="2836">
        <v>92.857142857142861</v>
      </c>
      <c r="J362" s="2836">
        <v>7.1428571428571432</v>
      </c>
      <c r="K362" s="2835">
        <v>0</v>
      </c>
      <c r="L362" s="2835">
        <v>0</v>
      </c>
      <c r="M362" s="2835">
        <v>16.666666666666668</v>
      </c>
      <c r="N362" s="2835">
        <v>50</v>
      </c>
      <c r="O362" s="2835">
        <v>33.333333333333336</v>
      </c>
    </row>
    <row r="363" spans="1:15">
      <c r="A363" s="5079"/>
      <c r="B363" s="2772">
        <v>153</v>
      </c>
      <c r="C363" s="2774" t="s">
        <v>2261</v>
      </c>
      <c r="D363" s="2774" t="s">
        <v>2242</v>
      </c>
      <c r="E363" s="3123"/>
      <c r="F363" s="2772">
        <v>8</v>
      </c>
      <c r="G363" s="2772">
        <v>0</v>
      </c>
      <c r="H363" s="2773">
        <f t="shared" si="9"/>
        <v>0</v>
      </c>
      <c r="I363" s="2836">
        <v>0</v>
      </c>
      <c r="J363" s="2836">
        <v>0</v>
      </c>
      <c r="K363" s="2835">
        <v>0</v>
      </c>
      <c r="L363" s="2835">
        <v>0</v>
      </c>
      <c r="M363" s="2835">
        <v>0</v>
      </c>
      <c r="N363" s="2835">
        <v>0</v>
      </c>
      <c r="O363" s="2835">
        <v>0</v>
      </c>
    </row>
    <row r="364" spans="1:15">
      <c r="A364" s="5079"/>
      <c r="B364" s="2772">
        <v>153</v>
      </c>
      <c r="C364" s="2774" t="s">
        <v>2261</v>
      </c>
      <c r="D364" s="2774" t="s">
        <v>2237</v>
      </c>
      <c r="E364" s="3123"/>
      <c r="F364" s="2772">
        <v>13</v>
      </c>
      <c r="G364" s="2772">
        <v>7</v>
      </c>
      <c r="H364" s="2773">
        <f t="shared" si="9"/>
        <v>53.846153846153847</v>
      </c>
      <c r="I364" s="2836">
        <v>57.142857142857146</v>
      </c>
      <c r="J364" s="2836">
        <v>42.857142857142854</v>
      </c>
      <c r="K364" s="2835">
        <v>25</v>
      </c>
      <c r="L364" s="2835">
        <v>25</v>
      </c>
      <c r="M364" s="2835">
        <v>50</v>
      </c>
      <c r="N364" s="2835">
        <v>0</v>
      </c>
      <c r="O364" s="2835">
        <v>0</v>
      </c>
    </row>
    <row r="365" spans="1:15">
      <c r="A365" s="5080"/>
      <c r="B365" s="2772">
        <v>153</v>
      </c>
      <c r="C365" s="2774" t="s">
        <v>2261</v>
      </c>
      <c r="D365" s="2774" t="s">
        <v>1568</v>
      </c>
      <c r="E365" s="3123"/>
      <c r="F365" s="2772">
        <v>1</v>
      </c>
      <c r="G365" s="2772">
        <v>0</v>
      </c>
      <c r="H365" s="2773">
        <f t="shared" si="9"/>
        <v>0</v>
      </c>
      <c r="I365" s="2836">
        <v>0</v>
      </c>
      <c r="J365" s="2836">
        <v>0</v>
      </c>
      <c r="K365" s="2835">
        <v>0</v>
      </c>
      <c r="L365" s="2835">
        <v>0</v>
      </c>
      <c r="M365" s="2835">
        <v>0</v>
      </c>
      <c r="N365" s="2835">
        <v>0</v>
      </c>
      <c r="O365" s="2835">
        <v>0</v>
      </c>
    </row>
    <row r="366" spans="1:15">
      <c r="A366" s="2837" t="s">
        <v>73</v>
      </c>
      <c r="B366" s="2838"/>
      <c r="C366" s="2838"/>
      <c r="D366" s="2838"/>
      <c r="E366" s="3124"/>
      <c r="F366" s="2838"/>
      <c r="G366" s="2838"/>
      <c r="H366" s="2838"/>
      <c r="I366" s="2838"/>
      <c r="J366" s="2838"/>
      <c r="K366" s="2831"/>
      <c r="L366" s="2831"/>
      <c r="M366" s="2831"/>
      <c r="N366" s="2831"/>
      <c r="O366" s="2831"/>
    </row>
    <row r="367" spans="1:15">
      <c r="A367" s="5078" t="s">
        <v>4</v>
      </c>
      <c r="B367" s="2772">
        <v>36</v>
      </c>
      <c r="C367" s="2774" t="s">
        <v>1612</v>
      </c>
      <c r="D367" s="2774" t="s">
        <v>1568</v>
      </c>
      <c r="E367" s="3123"/>
      <c r="F367" s="2772">
        <v>302</v>
      </c>
      <c r="G367" s="2772">
        <v>180</v>
      </c>
      <c r="H367" s="2773">
        <f>G367*100/F367</f>
        <v>59.602649006622514</v>
      </c>
      <c r="I367" s="2836">
        <v>77.222222222222229</v>
      </c>
      <c r="J367" s="2836">
        <v>22.777777777777779</v>
      </c>
      <c r="K367" s="2835">
        <v>2.9197080291970803</v>
      </c>
      <c r="L367" s="2835">
        <v>5.1094890510948909</v>
      </c>
      <c r="M367" s="2835">
        <v>8.7591240875912408</v>
      </c>
      <c r="N367" s="2835">
        <v>16.788321167883211</v>
      </c>
      <c r="O367" s="2835">
        <v>66.423357664233578</v>
      </c>
    </row>
    <row r="368" spans="1:15">
      <c r="A368" s="5079"/>
      <c r="B368" s="2772">
        <v>111</v>
      </c>
      <c r="C368" s="2774" t="s">
        <v>1603</v>
      </c>
      <c r="D368" s="2774" t="s">
        <v>2237</v>
      </c>
      <c r="E368" s="3123"/>
      <c r="F368" s="2772">
        <v>52</v>
      </c>
      <c r="G368" s="2772">
        <v>39</v>
      </c>
      <c r="H368" s="2773">
        <f t="shared" ref="H368:H406" si="10">G368*100/F368</f>
        <v>75</v>
      </c>
      <c r="I368" s="2836">
        <v>66.666666666666671</v>
      </c>
      <c r="J368" s="2836">
        <v>33.333333333333336</v>
      </c>
      <c r="K368" s="2835">
        <v>7.6923076923076925</v>
      </c>
      <c r="L368" s="2835">
        <v>7.6923076923076925</v>
      </c>
      <c r="M368" s="2835">
        <v>15.384615384615385</v>
      </c>
      <c r="N368" s="2835">
        <v>15.384615384615385</v>
      </c>
      <c r="O368" s="2835">
        <v>53.846153846153847</v>
      </c>
    </row>
    <row r="369" spans="1:15">
      <c r="A369" s="5079"/>
      <c r="B369" s="2772">
        <v>111</v>
      </c>
      <c r="C369" s="2774" t="s">
        <v>1603</v>
      </c>
      <c r="D369" s="2774" t="s">
        <v>1568</v>
      </c>
      <c r="E369" s="3123"/>
      <c r="F369" s="2772">
        <v>43</v>
      </c>
      <c r="G369" s="2772">
        <v>0</v>
      </c>
      <c r="H369" s="2773">
        <f t="shared" si="10"/>
        <v>0</v>
      </c>
      <c r="I369" s="2836">
        <v>0</v>
      </c>
      <c r="J369" s="2836">
        <v>0</v>
      </c>
      <c r="K369" s="2835">
        <v>0</v>
      </c>
      <c r="L369" s="2835">
        <v>0</v>
      </c>
      <c r="M369" s="2835">
        <v>0</v>
      </c>
      <c r="N369" s="2835">
        <v>0</v>
      </c>
      <c r="O369" s="2835">
        <v>0</v>
      </c>
    </row>
    <row r="370" spans="1:15">
      <c r="A370" s="5079"/>
      <c r="B370" s="2772">
        <v>112</v>
      </c>
      <c r="C370" s="2774" t="s">
        <v>1604</v>
      </c>
      <c r="D370" s="2774" t="s">
        <v>2242</v>
      </c>
      <c r="E370" s="3123"/>
      <c r="F370" s="2772">
        <v>3</v>
      </c>
      <c r="G370" s="2772">
        <v>3</v>
      </c>
      <c r="H370" s="2773">
        <f t="shared" si="10"/>
        <v>100</v>
      </c>
      <c r="I370" s="2836">
        <v>66.666666666666671</v>
      </c>
      <c r="J370" s="2836">
        <v>33.333333333333336</v>
      </c>
      <c r="K370" s="2835">
        <v>0</v>
      </c>
      <c r="L370" s="2835">
        <v>0</v>
      </c>
      <c r="M370" s="2835">
        <v>0</v>
      </c>
      <c r="N370" s="2835">
        <v>0</v>
      </c>
      <c r="O370" s="2835">
        <v>100</v>
      </c>
    </row>
    <row r="371" spans="1:15">
      <c r="A371" s="5079"/>
      <c r="B371" s="2772">
        <v>112</v>
      </c>
      <c r="C371" s="2774" t="s">
        <v>1604</v>
      </c>
      <c r="D371" s="2774" t="s">
        <v>2237</v>
      </c>
      <c r="E371" s="3123"/>
      <c r="F371" s="2772">
        <v>160</v>
      </c>
      <c r="G371" s="2772">
        <v>106</v>
      </c>
      <c r="H371" s="2773">
        <f t="shared" si="10"/>
        <v>66.25</v>
      </c>
      <c r="I371" s="2836">
        <v>81.132075471698116</v>
      </c>
      <c r="J371" s="2836">
        <v>18.867924528301888</v>
      </c>
      <c r="K371" s="2835">
        <v>2.2988505747126435</v>
      </c>
      <c r="L371" s="2835">
        <v>2.2988505747126435</v>
      </c>
      <c r="M371" s="2835">
        <v>12.64367816091954</v>
      </c>
      <c r="N371" s="2835">
        <v>19.540229885057471</v>
      </c>
      <c r="O371" s="2835">
        <v>63.218390804597703</v>
      </c>
    </row>
    <row r="372" spans="1:15">
      <c r="A372" s="5079"/>
      <c r="B372" s="2772">
        <v>112</v>
      </c>
      <c r="C372" s="2774" t="s">
        <v>1604</v>
      </c>
      <c r="D372" s="2774" t="s">
        <v>1568</v>
      </c>
      <c r="E372" s="3123"/>
      <c r="F372" s="2772">
        <v>43</v>
      </c>
      <c r="G372" s="2772">
        <v>9</v>
      </c>
      <c r="H372" s="2773">
        <f t="shared" si="10"/>
        <v>20.930232558139537</v>
      </c>
      <c r="I372" s="2836">
        <v>77.777777777777771</v>
      </c>
      <c r="J372" s="2836">
        <v>22.222222222222221</v>
      </c>
      <c r="K372" s="2835">
        <v>0</v>
      </c>
      <c r="L372" s="2835">
        <v>16.666666666666668</v>
      </c>
      <c r="M372" s="2835">
        <v>0</v>
      </c>
      <c r="N372" s="2835">
        <v>16.666666666666668</v>
      </c>
      <c r="O372" s="2835">
        <v>66.666666666666671</v>
      </c>
    </row>
    <row r="373" spans="1:15">
      <c r="A373" s="5079"/>
      <c r="B373" s="2772">
        <v>113</v>
      </c>
      <c r="C373" s="2774" t="s">
        <v>1605</v>
      </c>
      <c r="D373" s="2774" t="s">
        <v>2237</v>
      </c>
      <c r="E373" s="3123"/>
      <c r="F373" s="2772">
        <v>97</v>
      </c>
      <c r="G373" s="2772">
        <v>43</v>
      </c>
      <c r="H373" s="2773">
        <f t="shared" si="10"/>
        <v>44.329896907216494</v>
      </c>
      <c r="I373" s="2836">
        <v>86.04651162790698</v>
      </c>
      <c r="J373" s="2836">
        <v>13.953488372093023</v>
      </c>
      <c r="K373" s="2835">
        <v>5.5555555555555554</v>
      </c>
      <c r="L373" s="2835">
        <v>5.5555555555555554</v>
      </c>
      <c r="M373" s="2835">
        <v>5.5555555555555554</v>
      </c>
      <c r="N373" s="2835">
        <v>19.444444444444443</v>
      </c>
      <c r="O373" s="2835">
        <v>63.888888888888886</v>
      </c>
    </row>
    <row r="374" spans="1:15">
      <c r="A374" s="5079"/>
      <c r="B374" s="2772">
        <v>113</v>
      </c>
      <c r="C374" s="2774" t="s">
        <v>1605</v>
      </c>
      <c r="D374" s="2774" t="s">
        <v>1568</v>
      </c>
      <c r="E374" s="3123"/>
      <c r="F374" s="2772">
        <v>129</v>
      </c>
      <c r="G374" s="2772">
        <v>97</v>
      </c>
      <c r="H374" s="2773">
        <f t="shared" si="10"/>
        <v>75.193798449612402</v>
      </c>
      <c r="I374" s="2836">
        <v>78.350515463917532</v>
      </c>
      <c r="J374" s="2836">
        <v>21.649484536082475</v>
      </c>
      <c r="K374" s="2835">
        <v>1.2195121951219512</v>
      </c>
      <c r="L374" s="2835">
        <v>0</v>
      </c>
      <c r="M374" s="2835">
        <v>2.4390243902439024</v>
      </c>
      <c r="N374" s="2835">
        <v>28.048780487804876</v>
      </c>
      <c r="O374" s="2835">
        <v>68.292682926829272</v>
      </c>
    </row>
    <row r="375" spans="1:15">
      <c r="A375" s="5079"/>
      <c r="B375" s="2772">
        <v>114</v>
      </c>
      <c r="C375" s="2774" t="s">
        <v>2262</v>
      </c>
      <c r="D375" s="2774" t="s">
        <v>2237</v>
      </c>
      <c r="E375" s="3123"/>
      <c r="F375" s="2772">
        <v>159</v>
      </c>
      <c r="G375" s="2772">
        <v>76</v>
      </c>
      <c r="H375" s="2773">
        <f t="shared" si="10"/>
        <v>47.79874213836478</v>
      </c>
      <c r="I375" s="2836">
        <v>63.157894736842103</v>
      </c>
      <c r="J375" s="2836">
        <v>36.842105263157897</v>
      </c>
      <c r="K375" s="2835">
        <v>2.0833333333333335</v>
      </c>
      <c r="L375" s="2835">
        <v>8.3333333333333339</v>
      </c>
      <c r="M375" s="2835">
        <v>12.5</v>
      </c>
      <c r="N375" s="2835">
        <v>20.833333333333332</v>
      </c>
      <c r="O375" s="2835">
        <v>56.25</v>
      </c>
    </row>
    <row r="376" spans="1:15">
      <c r="A376" s="5079"/>
      <c r="B376" s="2772">
        <v>114</v>
      </c>
      <c r="C376" s="2774" t="s">
        <v>2262</v>
      </c>
      <c r="D376" s="2774" t="s">
        <v>1568</v>
      </c>
      <c r="E376" s="3123"/>
      <c r="F376" s="2772">
        <v>64</v>
      </c>
      <c r="G376" s="2772">
        <v>32</v>
      </c>
      <c r="H376" s="2773">
        <f t="shared" si="10"/>
        <v>50</v>
      </c>
      <c r="I376" s="2836">
        <v>87.5</v>
      </c>
      <c r="J376" s="2836">
        <v>12.5</v>
      </c>
      <c r="K376" s="2835">
        <v>0</v>
      </c>
      <c r="L376" s="2835">
        <v>3.5714285714285716</v>
      </c>
      <c r="M376" s="2835">
        <v>7.1428571428571432</v>
      </c>
      <c r="N376" s="2835">
        <v>10.714285714285714</v>
      </c>
      <c r="O376" s="2835">
        <v>78.571428571428569</v>
      </c>
    </row>
    <row r="377" spans="1:15">
      <c r="A377" s="5079"/>
      <c r="B377" s="2772">
        <v>115</v>
      </c>
      <c r="C377" s="2774" t="s">
        <v>1607</v>
      </c>
      <c r="D377" s="2774" t="s">
        <v>2237</v>
      </c>
      <c r="E377" s="3123"/>
      <c r="F377" s="2772">
        <v>136</v>
      </c>
      <c r="G377" s="2772">
        <v>71</v>
      </c>
      <c r="H377" s="2773">
        <f t="shared" si="10"/>
        <v>52.205882352941174</v>
      </c>
      <c r="I377" s="2836">
        <v>76.056338028169009</v>
      </c>
      <c r="J377" s="2836">
        <v>23.943661971830984</v>
      </c>
      <c r="K377" s="2835">
        <v>5.4545454545454541</v>
      </c>
      <c r="L377" s="2835">
        <v>7.2727272727272725</v>
      </c>
      <c r="M377" s="2835">
        <v>16.363636363636363</v>
      </c>
      <c r="N377" s="2835">
        <v>12.727272727272727</v>
      </c>
      <c r="O377" s="2835">
        <v>58.18181818181818</v>
      </c>
    </row>
    <row r="378" spans="1:15">
      <c r="A378" s="5079"/>
      <c r="B378" s="2772">
        <v>115</v>
      </c>
      <c r="C378" s="2774" t="s">
        <v>1607</v>
      </c>
      <c r="D378" s="2774" t="s">
        <v>1568</v>
      </c>
      <c r="E378" s="3123"/>
      <c r="F378" s="2772">
        <v>25</v>
      </c>
      <c r="G378" s="2772">
        <v>5</v>
      </c>
      <c r="H378" s="2773">
        <f t="shared" si="10"/>
        <v>20</v>
      </c>
      <c r="I378" s="2836">
        <v>100</v>
      </c>
      <c r="J378" s="2836">
        <v>0</v>
      </c>
      <c r="K378" s="2835">
        <v>0</v>
      </c>
      <c r="L378" s="2835">
        <v>0</v>
      </c>
      <c r="M378" s="2835">
        <v>0</v>
      </c>
      <c r="N378" s="2835">
        <v>20</v>
      </c>
      <c r="O378" s="2835">
        <v>80</v>
      </c>
    </row>
    <row r="379" spans="1:15">
      <c r="A379" s="5079"/>
      <c r="B379" s="2772">
        <v>143</v>
      </c>
      <c r="C379" s="2774" t="s">
        <v>1611</v>
      </c>
      <c r="D379" s="2774" t="s">
        <v>2237</v>
      </c>
      <c r="E379" s="3123"/>
      <c r="F379" s="2772">
        <v>56</v>
      </c>
      <c r="G379" s="2772">
        <v>45</v>
      </c>
      <c r="H379" s="2773">
        <f>G379*100/F379</f>
        <v>80.357142857142861</v>
      </c>
      <c r="I379" s="2836">
        <v>66.67</v>
      </c>
      <c r="J379" s="2836">
        <v>33.33</v>
      </c>
      <c r="K379" s="2835">
        <v>0</v>
      </c>
      <c r="L379" s="2835">
        <v>3.45</v>
      </c>
      <c r="M379" s="2835">
        <v>17.239999999999998</v>
      </c>
      <c r="N379" s="2835">
        <v>27.59</v>
      </c>
      <c r="O379" s="2835">
        <v>51.72</v>
      </c>
    </row>
    <row r="380" spans="1:15">
      <c r="A380" s="5079"/>
      <c r="B380" s="2772">
        <v>143</v>
      </c>
      <c r="C380" s="2774" t="s">
        <v>1611</v>
      </c>
      <c r="D380" s="2774" t="s">
        <v>1568</v>
      </c>
      <c r="E380" s="3123"/>
      <c r="F380" s="2772">
        <v>2</v>
      </c>
      <c r="G380" s="2772">
        <v>1</v>
      </c>
      <c r="H380" s="2773">
        <f t="shared" si="10"/>
        <v>50</v>
      </c>
      <c r="I380" s="2836">
        <v>100</v>
      </c>
      <c r="J380" s="2836">
        <v>0</v>
      </c>
      <c r="K380" s="2835">
        <v>0</v>
      </c>
      <c r="L380" s="2835">
        <v>0</v>
      </c>
      <c r="M380" s="2835">
        <v>0</v>
      </c>
      <c r="N380" s="2835">
        <v>0</v>
      </c>
      <c r="O380" s="2835">
        <v>100</v>
      </c>
    </row>
    <row r="381" spans="1:15">
      <c r="A381" s="5079"/>
      <c r="B381" s="2772">
        <v>157</v>
      </c>
      <c r="C381" s="2774" t="s">
        <v>2263</v>
      </c>
      <c r="D381" s="2774" t="s">
        <v>2237</v>
      </c>
      <c r="E381" s="3123"/>
      <c r="F381" s="2772">
        <v>10</v>
      </c>
      <c r="G381" s="2772">
        <v>8</v>
      </c>
      <c r="H381" s="2773">
        <f t="shared" si="10"/>
        <v>80</v>
      </c>
      <c r="I381" s="2836">
        <v>62.5</v>
      </c>
      <c r="J381" s="2836">
        <v>37.5</v>
      </c>
      <c r="K381" s="2835">
        <v>0</v>
      </c>
      <c r="L381" s="2835">
        <v>40</v>
      </c>
      <c r="M381" s="2835">
        <v>20</v>
      </c>
      <c r="N381" s="2835">
        <v>0</v>
      </c>
      <c r="O381" s="2835">
        <v>40</v>
      </c>
    </row>
    <row r="382" spans="1:15">
      <c r="A382" s="5080"/>
      <c r="B382" s="2772">
        <v>157</v>
      </c>
      <c r="C382" s="2774" t="s">
        <v>2263</v>
      </c>
      <c r="D382" s="2774" t="s">
        <v>1568</v>
      </c>
      <c r="E382" s="3123"/>
      <c r="F382" s="2772">
        <v>0</v>
      </c>
      <c r="G382" s="2772">
        <v>0</v>
      </c>
      <c r="H382" s="2773">
        <v>0</v>
      </c>
      <c r="I382" s="2836">
        <v>0</v>
      </c>
      <c r="J382" s="2836">
        <v>0</v>
      </c>
      <c r="K382" s="2835">
        <v>0</v>
      </c>
      <c r="L382" s="2835">
        <v>0</v>
      </c>
      <c r="M382" s="2835">
        <v>0</v>
      </c>
      <c r="N382" s="2835">
        <v>0</v>
      </c>
      <c r="O382" s="2835">
        <v>0</v>
      </c>
    </row>
    <row r="383" spans="1:15">
      <c r="A383" s="5061" t="s">
        <v>16</v>
      </c>
      <c r="B383" s="2772">
        <v>47</v>
      </c>
      <c r="C383" s="2774" t="s">
        <v>2264</v>
      </c>
      <c r="D383" s="2774" t="s">
        <v>2237</v>
      </c>
      <c r="E383" s="3123"/>
      <c r="F383" s="2772">
        <v>80</v>
      </c>
      <c r="G383" s="2772">
        <v>22</v>
      </c>
      <c r="H383" s="2773">
        <f t="shared" si="10"/>
        <v>27.5</v>
      </c>
      <c r="I383" s="2836">
        <v>72.727272727272734</v>
      </c>
      <c r="J383" s="2836">
        <v>27.272727272727273</v>
      </c>
      <c r="K383" s="2835">
        <v>0</v>
      </c>
      <c r="L383" s="2835">
        <v>6.25</v>
      </c>
      <c r="M383" s="2835">
        <v>12.5</v>
      </c>
      <c r="N383" s="2835">
        <v>0</v>
      </c>
      <c r="O383" s="2835">
        <v>81.25</v>
      </c>
    </row>
    <row r="384" spans="1:15">
      <c r="A384" s="5061"/>
      <c r="B384" s="2772">
        <v>48</v>
      </c>
      <c r="C384" s="2774" t="s">
        <v>2265</v>
      </c>
      <c r="D384" s="2774" t="s">
        <v>2237</v>
      </c>
      <c r="E384" s="3123"/>
      <c r="F384" s="2772">
        <v>53</v>
      </c>
      <c r="G384" s="2772">
        <v>18</v>
      </c>
      <c r="H384" s="2773">
        <f t="shared" si="10"/>
        <v>33.962264150943398</v>
      </c>
      <c r="I384" s="2836">
        <v>88.888888888888886</v>
      </c>
      <c r="J384" s="2836">
        <v>11.111111111111111</v>
      </c>
      <c r="K384" s="2835">
        <v>0</v>
      </c>
      <c r="L384" s="2835">
        <v>0</v>
      </c>
      <c r="M384" s="2835">
        <v>18.75</v>
      </c>
      <c r="N384" s="2835">
        <v>6.25</v>
      </c>
      <c r="O384" s="2835">
        <v>75</v>
      </c>
    </row>
    <row r="385" spans="1:15">
      <c r="A385" s="5061"/>
      <c r="B385" s="2772">
        <v>49</v>
      </c>
      <c r="C385" s="2774" t="s">
        <v>1594</v>
      </c>
      <c r="D385" s="2774" t="s">
        <v>2237</v>
      </c>
      <c r="E385" s="3123"/>
      <c r="F385" s="2772">
        <v>38</v>
      </c>
      <c r="G385" s="2772">
        <v>10</v>
      </c>
      <c r="H385" s="2773">
        <f t="shared" si="10"/>
        <v>26.315789473684209</v>
      </c>
      <c r="I385" s="2836">
        <v>90</v>
      </c>
      <c r="J385" s="2836">
        <v>10</v>
      </c>
      <c r="K385" s="2835">
        <v>11.111111111111111</v>
      </c>
      <c r="L385" s="2835">
        <v>0</v>
      </c>
      <c r="M385" s="2835">
        <v>22.222222222222221</v>
      </c>
      <c r="N385" s="2835">
        <v>0</v>
      </c>
      <c r="O385" s="2835">
        <v>66.666666666666671</v>
      </c>
    </row>
    <row r="386" spans="1:15">
      <c r="A386" s="5061"/>
      <c r="B386" s="2772">
        <v>50</v>
      </c>
      <c r="C386" s="2774" t="s">
        <v>2266</v>
      </c>
      <c r="D386" s="2774" t="s">
        <v>1568</v>
      </c>
      <c r="E386" s="3123"/>
      <c r="F386" s="2772">
        <v>19</v>
      </c>
      <c r="G386" s="2772">
        <v>4</v>
      </c>
      <c r="H386" s="2773">
        <f t="shared" si="10"/>
        <v>21.05263157894737</v>
      </c>
      <c r="I386" s="2836">
        <v>25</v>
      </c>
      <c r="J386" s="2836">
        <v>75</v>
      </c>
      <c r="K386" s="2835">
        <v>0</v>
      </c>
      <c r="L386" s="2835">
        <v>0</v>
      </c>
      <c r="M386" s="2835">
        <v>100</v>
      </c>
      <c r="N386" s="2835">
        <v>0</v>
      </c>
      <c r="O386" s="2835">
        <v>0</v>
      </c>
    </row>
    <row r="387" spans="1:15">
      <c r="A387" s="5061"/>
      <c r="B387" s="2772">
        <v>98</v>
      </c>
      <c r="C387" s="2774" t="s">
        <v>2267</v>
      </c>
      <c r="D387" s="2774" t="s">
        <v>2237</v>
      </c>
      <c r="E387" s="3123"/>
      <c r="F387" s="2772">
        <v>135</v>
      </c>
      <c r="G387" s="2772">
        <v>63</v>
      </c>
      <c r="H387" s="2773">
        <f t="shared" si="10"/>
        <v>46.666666666666664</v>
      </c>
      <c r="I387" s="2836">
        <v>82.539682539682545</v>
      </c>
      <c r="J387" s="2836">
        <v>17.460317460317459</v>
      </c>
      <c r="K387" s="2835">
        <v>1.8867924528301887</v>
      </c>
      <c r="L387" s="2835">
        <v>0</v>
      </c>
      <c r="M387" s="2835">
        <v>7.5471698113207548</v>
      </c>
      <c r="N387" s="2835">
        <v>13.20754716981132</v>
      </c>
      <c r="O387" s="2835">
        <v>77.35849056603773</v>
      </c>
    </row>
    <row r="388" spans="1:15">
      <c r="A388" s="5061"/>
      <c r="B388" s="2772">
        <v>98</v>
      </c>
      <c r="C388" s="2774" t="s">
        <v>2267</v>
      </c>
      <c r="D388" s="2774" t="s">
        <v>1568</v>
      </c>
      <c r="E388" s="3123"/>
      <c r="F388" s="2772">
        <v>208</v>
      </c>
      <c r="G388" s="2772">
        <v>68</v>
      </c>
      <c r="H388" s="2773">
        <f t="shared" si="10"/>
        <v>32.692307692307693</v>
      </c>
      <c r="I388" s="2836">
        <v>85.294117647058826</v>
      </c>
      <c r="J388" s="2836">
        <v>14.705882352941176</v>
      </c>
      <c r="K388" s="2835">
        <v>3.5087719298245612</v>
      </c>
      <c r="L388" s="2835">
        <v>0</v>
      </c>
      <c r="M388" s="2835">
        <v>8.7719298245614041</v>
      </c>
      <c r="N388" s="2835">
        <v>10.526315789473685</v>
      </c>
      <c r="O388" s="2835">
        <v>77.192982456140356</v>
      </c>
    </row>
    <row r="389" spans="1:15">
      <c r="A389" s="5061"/>
      <c r="B389" s="2772">
        <v>99</v>
      </c>
      <c r="C389" s="2774" t="s">
        <v>2268</v>
      </c>
      <c r="D389" s="2774" t="s">
        <v>2237</v>
      </c>
      <c r="E389" s="3123"/>
      <c r="F389" s="2772">
        <v>347</v>
      </c>
      <c r="G389" s="2772">
        <v>162</v>
      </c>
      <c r="H389" s="2773">
        <f t="shared" si="10"/>
        <v>46.685878962536023</v>
      </c>
      <c r="I389" s="2836">
        <v>63.125</v>
      </c>
      <c r="J389" s="2836">
        <v>36.875</v>
      </c>
      <c r="K389" s="2835">
        <v>1.0101010101010102</v>
      </c>
      <c r="L389" s="2835">
        <v>11.111111111111111</v>
      </c>
      <c r="M389" s="2835">
        <v>13.131313131313131</v>
      </c>
      <c r="N389" s="2835">
        <v>31.313131313131311</v>
      </c>
      <c r="O389" s="2835">
        <v>43.434343434343432</v>
      </c>
    </row>
    <row r="390" spans="1:15">
      <c r="A390" s="5061"/>
      <c r="B390" s="2772">
        <v>99</v>
      </c>
      <c r="C390" s="2774" t="s">
        <v>2268</v>
      </c>
      <c r="D390" s="2774" t="s">
        <v>1568</v>
      </c>
      <c r="E390" s="3123"/>
      <c r="F390" s="2772">
        <v>188</v>
      </c>
      <c r="G390" s="2772">
        <v>79</v>
      </c>
      <c r="H390" s="2773">
        <f t="shared" si="10"/>
        <v>42.021276595744681</v>
      </c>
      <c r="I390" s="2836">
        <v>88.607594936708864</v>
      </c>
      <c r="J390" s="2836">
        <v>11.39240506329114</v>
      </c>
      <c r="K390" s="2835">
        <v>0</v>
      </c>
      <c r="L390" s="2835">
        <v>2.816901408450704</v>
      </c>
      <c r="M390" s="2835">
        <v>8.4507042253521121</v>
      </c>
      <c r="N390" s="2835">
        <v>18.309859154929576</v>
      </c>
      <c r="O390" s="2835">
        <v>70.422535211267601</v>
      </c>
    </row>
    <row r="391" spans="1:15">
      <c r="A391" s="5061"/>
      <c r="B391" s="2772">
        <v>104</v>
      </c>
      <c r="C391" s="2774" t="s">
        <v>2269</v>
      </c>
      <c r="D391" s="2774" t="s">
        <v>2237</v>
      </c>
      <c r="E391" s="3123"/>
      <c r="F391" s="2772">
        <v>211</v>
      </c>
      <c r="G391" s="2772">
        <v>96</v>
      </c>
      <c r="H391" s="2773">
        <f t="shared" si="10"/>
        <v>45.497630331753555</v>
      </c>
      <c r="I391" s="2836">
        <v>86.458333333333329</v>
      </c>
      <c r="J391" s="2836">
        <v>13.541666666666666</v>
      </c>
      <c r="K391" s="2835">
        <v>7.4074074074074074</v>
      </c>
      <c r="L391" s="2835">
        <v>3.7037037037037037</v>
      </c>
      <c r="M391" s="2835">
        <v>11.111111111111111</v>
      </c>
      <c r="N391" s="2835">
        <v>9.8765432098765427</v>
      </c>
      <c r="O391" s="2835">
        <v>67.901234567901241</v>
      </c>
    </row>
    <row r="392" spans="1:15">
      <c r="A392" s="5061"/>
      <c r="B392" s="2772">
        <v>104</v>
      </c>
      <c r="C392" s="2774" t="s">
        <v>2269</v>
      </c>
      <c r="D392" s="2774" t="s">
        <v>1568</v>
      </c>
      <c r="E392" s="3123"/>
      <c r="F392" s="2772">
        <v>123</v>
      </c>
      <c r="G392" s="2772">
        <v>25</v>
      </c>
      <c r="H392" s="2773">
        <f t="shared" si="10"/>
        <v>20.325203252032519</v>
      </c>
      <c r="I392" s="2836">
        <v>88</v>
      </c>
      <c r="J392" s="2836">
        <v>12</v>
      </c>
      <c r="K392" s="2835">
        <v>0</v>
      </c>
      <c r="L392" s="2835">
        <v>4.5454545454545459</v>
      </c>
      <c r="M392" s="2835">
        <v>13.636363636363637</v>
      </c>
      <c r="N392" s="2835">
        <v>9.0909090909090917</v>
      </c>
      <c r="O392" s="2835">
        <v>72.727272727272734</v>
      </c>
    </row>
    <row r="393" spans="1:15">
      <c r="A393" s="5061"/>
      <c r="B393" s="2772">
        <v>110</v>
      </c>
      <c r="C393" s="2774" t="s">
        <v>2270</v>
      </c>
      <c r="D393" s="2774" t="s">
        <v>2237</v>
      </c>
      <c r="E393" s="3123"/>
      <c r="F393" s="2772">
        <v>113</v>
      </c>
      <c r="G393" s="2772">
        <v>64</v>
      </c>
      <c r="H393" s="2773">
        <f t="shared" si="10"/>
        <v>56.637168141592923</v>
      </c>
      <c r="I393" s="2836">
        <v>31.25</v>
      </c>
      <c r="J393" s="2836">
        <v>68.75</v>
      </c>
      <c r="K393" s="2835">
        <v>0</v>
      </c>
      <c r="L393" s="2835">
        <v>5</v>
      </c>
      <c r="M393" s="2835">
        <v>5</v>
      </c>
      <c r="N393" s="2835">
        <v>20</v>
      </c>
      <c r="O393" s="2835">
        <v>70</v>
      </c>
    </row>
    <row r="394" spans="1:15">
      <c r="A394" s="5061"/>
      <c r="B394" s="2772">
        <v>110</v>
      </c>
      <c r="C394" s="2774" t="s">
        <v>2270</v>
      </c>
      <c r="D394" s="2774" t="s">
        <v>1568</v>
      </c>
      <c r="E394" s="3123"/>
      <c r="F394" s="2772">
        <v>44</v>
      </c>
      <c r="G394" s="2772">
        <v>9</v>
      </c>
      <c r="H394" s="2773">
        <f t="shared" si="10"/>
        <v>20.454545454545453</v>
      </c>
      <c r="I394" s="2836">
        <v>88.888888888888886</v>
      </c>
      <c r="J394" s="2836">
        <v>11.111111111111111</v>
      </c>
      <c r="K394" s="2835">
        <v>0</v>
      </c>
      <c r="L394" s="2835">
        <v>0</v>
      </c>
      <c r="M394" s="2835">
        <v>12.5</v>
      </c>
      <c r="N394" s="2835">
        <v>25</v>
      </c>
      <c r="O394" s="2835">
        <v>62.5</v>
      </c>
    </row>
    <row r="395" spans="1:15">
      <c r="A395" s="5061"/>
      <c r="B395" s="2772">
        <v>51</v>
      </c>
      <c r="C395" s="2774" t="s">
        <v>2271</v>
      </c>
      <c r="D395" s="2774" t="s">
        <v>2242</v>
      </c>
      <c r="E395" s="3123"/>
      <c r="F395" s="2772">
        <v>694</v>
      </c>
      <c r="G395" s="2772">
        <v>130</v>
      </c>
      <c r="H395" s="2773">
        <f t="shared" si="10"/>
        <v>18.731988472622479</v>
      </c>
      <c r="I395" s="2836">
        <v>90.769230769230774</v>
      </c>
      <c r="J395" s="2836">
        <v>9.2307692307692299</v>
      </c>
      <c r="K395" s="2835">
        <v>4.2372881355932206</v>
      </c>
      <c r="L395" s="2835">
        <v>4.2372881355932206</v>
      </c>
      <c r="M395" s="2835">
        <v>14.40677966101695</v>
      </c>
      <c r="N395" s="2835">
        <v>11.016949152542374</v>
      </c>
      <c r="O395" s="2835">
        <v>66.101694915254242</v>
      </c>
    </row>
    <row r="396" spans="1:15">
      <c r="A396" s="5061"/>
      <c r="B396" s="2772">
        <v>51</v>
      </c>
      <c r="C396" s="2774" t="s">
        <v>2271</v>
      </c>
      <c r="D396" s="2774" t="s">
        <v>2237</v>
      </c>
      <c r="E396" s="3123"/>
      <c r="F396" s="2772">
        <v>259</v>
      </c>
      <c r="G396" s="2772">
        <v>199</v>
      </c>
      <c r="H396" s="2773">
        <f t="shared" si="10"/>
        <v>76.833976833976834</v>
      </c>
      <c r="I396" s="2836">
        <v>75.879396984924625</v>
      </c>
      <c r="J396" s="2836">
        <v>24.120603015075378</v>
      </c>
      <c r="K396" s="2835">
        <v>1.3333333333333333</v>
      </c>
      <c r="L396" s="2835">
        <v>1.3333333333333333</v>
      </c>
      <c r="M396" s="2835">
        <v>6.666666666666667</v>
      </c>
      <c r="N396" s="2835">
        <v>24.666666666666668</v>
      </c>
      <c r="O396" s="2835">
        <v>66</v>
      </c>
    </row>
    <row r="397" spans="1:15">
      <c r="A397" s="5061"/>
      <c r="B397" s="2772">
        <v>51</v>
      </c>
      <c r="C397" s="2774" t="s">
        <v>2271</v>
      </c>
      <c r="D397" s="2774" t="s">
        <v>1568</v>
      </c>
      <c r="E397" s="3123"/>
      <c r="F397" s="2772">
        <v>180</v>
      </c>
      <c r="G397" s="2772">
        <v>123</v>
      </c>
      <c r="H397" s="2773">
        <f t="shared" si="10"/>
        <v>68.333333333333329</v>
      </c>
      <c r="I397" s="2836">
        <v>92.622950819672127</v>
      </c>
      <c r="J397" s="2836">
        <v>7.3770491803278686</v>
      </c>
      <c r="K397" s="2835">
        <v>0</v>
      </c>
      <c r="L397" s="2835">
        <v>0.88495575221238942</v>
      </c>
      <c r="M397" s="2835">
        <v>4.4247787610619467</v>
      </c>
      <c r="N397" s="2835">
        <v>21.238938053097346</v>
      </c>
      <c r="O397" s="2835">
        <v>73.451327433628322</v>
      </c>
    </row>
    <row r="398" spans="1:15">
      <c r="A398" s="5061" t="s">
        <v>41</v>
      </c>
      <c r="B398" s="2772">
        <v>62</v>
      </c>
      <c r="C398" s="2774" t="s">
        <v>2272</v>
      </c>
      <c r="D398" s="2774" t="s">
        <v>2242</v>
      </c>
      <c r="E398" s="3123"/>
      <c r="F398" s="2772">
        <v>190</v>
      </c>
      <c r="G398" s="2772">
        <v>54</v>
      </c>
      <c r="H398" s="2773">
        <f t="shared" si="10"/>
        <v>28.421052631578949</v>
      </c>
      <c r="I398" s="2836">
        <v>66.666666666666671</v>
      </c>
      <c r="J398" s="2836">
        <v>33.333333333333336</v>
      </c>
      <c r="K398" s="2835">
        <v>8.3333333333333339</v>
      </c>
      <c r="L398" s="2835">
        <v>13.888888888888889</v>
      </c>
      <c r="M398" s="2835">
        <v>8.3333333333333339</v>
      </c>
      <c r="N398" s="2835">
        <v>0</v>
      </c>
      <c r="O398" s="2835">
        <v>69.444444444444443</v>
      </c>
    </row>
    <row r="399" spans="1:15">
      <c r="A399" s="5061"/>
      <c r="B399" s="2772">
        <v>107</v>
      </c>
      <c r="C399" s="2774" t="s">
        <v>2273</v>
      </c>
      <c r="D399" s="2774" t="s">
        <v>2242</v>
      </c>
      <c r="E399" s="3123"/>
      <c r="F399" s="2772">
        <v>96</v>
      </c>
      <c r="G399" s="2772">
        <v>32</v>
      </c>
      <c r="H399" s="2773">
        <f t="shared" si="10"/>
        <v>33.333333333333336</v>
      </c>
      <c r="I399" s="2836">
        <v>87.5</v>
      </c>
      <c r="J399" s="2836">
        <v>12.5</v>
      </c>
      <c r="K399" s="2835">
        <v>0</v>
      </c>
      <c r="L399" s="2835">
        <v>7.1428571428571432</v>
      </c>
      <c r="M399" s="2835">
        <v>14.285714285714286</v>
      </c>
      <c r="N399" s="2835">
        <v>0</v>
      </c>
      <c r="O399" s="2835">
        <v>78.571428571428569</v>
      </c>
    </row>
    <row r="400" spans="1:15">
      <c r="A400" s="5061"/>
      <c r="B400" s="2772">
        <v>59</v>
      </c>
      <c r="C400" s="2774" t="s">
        <v>2274</v>
      </c>
      <c r="D400" s="2774" t="s">
        <v>2237</v>
      </c>
      <c r="E400" s="3123"/>
      <c r="F400" s="2772">
        <v>82</v>
      </c>
      <c r="G400" s="2772">
        <v>37</v>
      </c>
      <c r="H400" s="2773">
        <f t="shared" si="10"/>
        <v>45.121951219512198</v>
      </c>
      <c r="I400" s="2836">
        <v>72.972972972972968</v>
      </c>
      <c r="J400" s="2836">
        <v>27.027027027027028</v>
      </c>
      <c r="K400" s="2835">
        <v>3.8461538461538463</v>
      </c>
      <c r="L400" s="2835">
        <v>3.8461538461538463</v>
      </c>
      <c r="M400" s="2835">
        <v>34.615384615384613</v>
      </c>
      <c r="N400" s="2835">
        <v>7.6923076923076925</v>
      </c>
      <c r="O400" s="2835">
        <v>50</v>
      </c>
    </row>
    <row r="401" spans="1:15">
      <c r="A401" s="5061"/>
      <c r="B401" s="2772">
        <v>117</v>
      </c>
      <c r="C401" s="2774" t="s">
        <v>2275</v>
      </c>
      <c r="D401" s="2774" t="s">
        <v>2237</v>
      </c>
      <c r="E401" s="3123"/>
      <c r="F401" s="2772">
        <v>147</v>
      </c>
      <c r="G401" s="2772">
        <v>65</v>
      </c>
      <c r="H401" s="2773">
        <f t="shared" si="10"/>
        <v>44.217687074829932</v>
      </c>
      <c r="I401" s="2836">
        <v>78.461538461538467</v>
      </c>
      <c r="J401" s="2836">
        <v>21.53846153846154</v>
      </c>
      <c r="K401" s="2835">
        <v>3.9215686274509802</v>
      </c>
      <c r="L401" s="2835">
        <v>7.8431372549019605</v>
      </c>
      <c r="M401" s="2835">
        <v>7.8431372549019605</v>
      </c>
      <c r="N401" s="2835">
        <v>17.647058823529413</v>
      </c>
      <c r="O401" s="2835">
        <v>62.745098039215684</v>
      </c>
    </row>
    <row r="402" spans="1:15">
      <c r="A402" s="5061"/>
      <c r="B402" s="2772">
        <v>146</v>
      </c>
      <c r="C402" s="2774" t="s">
        <v>2276</v>
      </c>
      <c r="D402" s="2774" t="s">
        <v>1568</v>
      </c>
      <c r="E402" s="3123"/>
      <c r="F402" s="2772">
        <v>115</v>
      </c>
      <c r="G402" s="2772">
        <v>190</v>
      </c>
      <c r="H402" s="2773">
        <f t="shared" si="10"/>
        <v>165.21739130434781</v>
      </c>
      <c r="I402" s="2836">
        <v>97.368421052631575</v>
      </c>
      <c r="J402" s="2836">
        <v>2.6315789473684212</v>
      </c>
      <c r="K402" s="2835">
        <v>0</v>
      </c>
      <c r="L402" s="2835">
        <v>0</v>
      </c>
      <c r="M402" s="2835">
        <v>1.6304347826086956</v>
      </c>
      <c r="N402" s="2835">
        <v>6.5217391304347823</v>
      </c>
      <c r="O402" s="2835">
        <v>91.847826086956516</v>
      </c>
    </row>
    <row r="403" spans="1:15">
      <c r="A403" s="5061"/>
      <c r="B403" s="2772">
        <v>61</v>
      </c>
      <c r="C403" s="2774" t="s">
        <v>1599</v>
      </c>
      <c r="D403" s="2774" t="s">
        <v>2237</v>
      </c>
      <c r="E403" s="3123"/>
      <c r="F403" s="2772">
        <v>329</v>
      </c>
      <c r="G403" s="2772">
        <v>193</v>
      </c>
      <c r="H403" s="2773">
        <f t="shared" si="10"/>
        <v>58.662613981762917</v>
      </c>
      <c r="I403" s="2836">
        <v>63.212435233160619</v>
      </c>
      <c r="J403" s="2836">
        <v>36.787564766839381</v>
      </c>
      <c r="K403" s="2835">
        <v>2.5423728813559321</v>
      </c>
      <c r="L403" s="2835">
        <v>3.3898305084745761</v>
      </c>
      <c r="M403" s="2835">
        <v>8.4745762711864412</v>
      </c>
      <c r="N403" s="2835">
        <v>11.864406779661017</v>
      </c>
      <c r="O403" s="2835">
        <v>73.728813559322035</v>
      </c>
    </row>
    <row r="404" spans="1:15">
      <c r="A404" s="5061"/>
      <c r="B404" s="2772">
        <v>61</v>
      </c>
      <c r="C404" s="2774" t="s">
        <v>1599</v>
      </c>
      <c r="D404" s="2774" t="s">
        <v>1568</v>
      </c>
      <c r="E404" s="3123"/>
      <c r="F404" s="2772">
        <v>181</v>
      </c>
      <c r="G404" s="2772">
        <v>63</v>
      </c>
      <c r="H404" s="2773">
        <f t="shared" si="10"/>
        <v>34.806629834254146</v>
      </c>
      <c r="I404" s="2836">
        <v>77.777777777777771</v>
      </c>
      <c r="J404" s="2836">
        <v>22.222222222222221</v>
      </c>
      <c r="K404" s="2835">
        <v>4.0816326530612246</v>
      </c>
      <c r="L404" s="2835">
        <v>4.0816326530612246</v>
      </c>
      <c r="M404" s="2835">
        <v>10.204081632653061</v>
      </c>
      <c r="N404" s="2835">
        <v>14.285714285714286</v>
      </c>
      <c r="O404" s="2835">
        <v>67.34693877551021</v>
      </c>
    </row>
    <row r="405" spans="1:15">
      <c r="A405" s="5061"/>
      <c r="B405" s="2772">
        <v>116</v>
      </c>
      <c r="C405" s="2774" t="s">
        <v>2277</v>
      </c>
      <c r="D405" s="2774" t="s">
        <v>2237</v>
      </c>
      <c r="E405" s="3123"/>
      <c r="F405" s="2772">
        <v>188</v>
      </c>
      <c r="G405" s="2772">
        <v>108</v>
      </c>
      <c r="H405" s="2773">
        <f t="shared" si="10"/>
        <v>57.446808510638299</v>
      </c>
      <c r="I405" s="2836">
        <v>50.925925925925924</v>
      </c>
      <c r="J405" s="2836">
        <v>49.074074074074076</v>
      </c>
      <c r="K405" s="2835">
        <v>1.8181818181818181</v>
      </c>
      <c r="L405" s="2835">
        <v>10.909090909090908</v>
      </c>
      <c r="M405" s="2835">
        <v>3.6363636363636362</v>
      </c>
      <c r="N405" s="2835">
        <v>10.909090909090908</v>
      </c>
      <c r="O405" s="2835">
        <v>72.727272727272734</v>
      </c>
    </row>
    <row r="406" spans="1:15">
      <c r="A406" s="5061"/>
      <c r="B406" s="2772">
        <v>116</v>
      </c>
      <c r="C406" s="2774" t="s">
        <v>2277</v>
      </c>
      <c r="D406" s="2774" t="s">
        <v>1568</v>
      </c>
      <c r="E406" s="3123"/>
      <c r="F406" s="2772">
        <v>77</v>
      </c>
      <c r="G406" s="2772">
        <v>54</v>
      </c>
      <c r="H406" s="2773">
        <f t="shared" si="10"/>
        <v>70.129870129870127</v>
      </c>
      <c r="I406" s="2836">
        <v>88.888888888888886</v>
      </c>
      <c r="J406" s="2836">
        <v>11.111111111111111</v>
      </c>
      <c r="K406" s="2835">
        <v>2.1739130434782608</v>
      </c>
      <c r="L406" s="2835">
        <v>0</v>
      </c>
      <c r="M406" s="2835">
        <v>10.869565217391305</v>
      </c>
      <c r="N406" s="2835">
        <v>17.391304347826086</v>
      </c>
      <c r="O406" s="2835">
        <v>69.565217391304344</v>
      </c>
    </row>
    <row r="407" spans="1:15">
      <c r="A407" s="2837" t="s">
        <v>74</v>
      </c>
      <c r="B407" s="2838"/>
      <c r="C407" s="2838"/>
      <c r="D407" s="2838"/>
      <c r="E407" s="3124"/>
      <c r="F407" s="2838"/>
      <c r="G407" s="2838"/>
      <c r="H407" s="2838"/>
      <c r="I407" s="2838"/>
      <c r="J407" s="2838"/>
      <c r="K407" s="2831"/>
      <c r="L407" s="2831"/>
      <c r="M407" s="2831"/>
      <c r="N407" s="2831"/>
      <c r="O407" s="2831"/>
    </row>
    <row r="408" spans="1:15">
      <c r="A408" s="5078" t="s">
        <v>16</v>
      </c>
      <c r="B408" s="2772" t="s">
        <v>2278</v>
      </c>
      <c r="C408" s="2839" t="s">
        <v>1623</v>
      </c>
      <c r="D408" s="2839" t="s">
        <v>2237</v>
      </c>
      <c r="E408" s="3125"/>
      <c r="F408" s="2772">
        <v>85</v>
      </c>
      <c r="G408" s="2772">
        <v>22</v>
      </c>
      <c r="H408" s="2773">
        <f>G408*100/F408</f>
        <v>25.882352941176471</v>
      </c>
      <c r="I408" s="2773">
        <v>22.222222222222221</v>
      </c>
      <c r="J408" s="2773">
        <v>18.181818181818183</v>
      </c>
      <c r="K408" s="2835">
        <v>0</v>
      </c>
      <c r="L408" s="2835">
        <v>5.882352941176471</v>
      </c>
      <c r="M408" s="2835">
        <v>11.764705882352942</v>
      </c>
      <c r="N408" s="2835">
        <v>5.882352941176471</v>
      </c>
      <c r="O408" s="2835">
        <v>76.470588235294116</v>
      </c>
    </row>
    <row r="409" spans="1:15">
      <c r="A409" s="5079"/>
      <c r="B409" s="2772">
        <v>70</v>
      </c>
      <c r="C409" s="2774" t="s">
        <v>2279</v>
      </c>
      <c r="D409" s="2774" t="s">
        <v>2237</v>
      </c>
      <c r="E409" s="3123"/>
      <c r="F409" s="2772">
        <v>132</v>
      </c>
      <c r="G409" s="2772">
        <v>76</v>
      </c>
      <c r="H409" s="2773">
        <f t="shared" ref="H409:H438" si="11">G409*100/F409</f>
        <v>57.575757575757578</v>
      </c>
      <c r="I409" s="2773">
        <v>15.151515151515152</v>
      </c>
      <c r="J409" s="2773">
        <v>13.157894736842104</v>
      </c>
      <c r="K409" s="2835">
        <v>1.5151515151515151</v>
      </c>
      <c r="L409" s="2835">
        <v>0</v>
      </c>
      <c r="M409" s="2835">
        <v>13.636363636363637</v>
      </c>
      <c r="N409" s="2835">
        <v>22.727272727272727</v>
      </c>
      <c r="O409" s="2835">
        <v>62.121212121212125</v>
      </c>
    </row>
    <row r="410" spans="1:15">
      <c r="A410" s="5079"/>
      <c r="B410" s="2772" t="s">
        <v>2280</v>
      </c>
      <c r="C410" s="2774" t="s">
        <v>2281</v>
      </c>
      <c r="D410" s="2774" t="s">
        <v>2242</v>
      </c>
      <c r="E410" s="3123"/>
      <c r="F410" s="2772">
        <v>154</v>
      </c>
      <c r="G410" s="2772">
        <v>78</v>
      </c>
      <c r="H410" s="2773">
        <f t="shared" si="11"/>
        <v>50.649350649350652</v>
      </c>
      <c r="I410" s="2773">
        <v>23.80952380952381</v>
      </c>
      <c r="J410" s="2773">
        <v>19.23076923076923</v>
      </c>
      <c r="K410" s="2835">
        <v>0</v>
      </c>
      <c r="L410" s="2835">
        <v>1.5625</v>
      </c>
      <c r="M410" s="2835">
        <v>4.6875</v>
      </c>
      <c r="N410" s="2835">
        <v>10.9375</v>
      </c>
      <c r="O410" s="2835">
        <v>82.8125</v>
      </c>
    </row>
    <row r="411" spans="1:15">
      <c r="A411" s="5079"/>
      <c r="B411" s="2772">
        <v>90</v>
      </c>
      <c r="C411" s="2774" t="s">
        <v>2281</v>
      </c>
      <c r="D411" s="2774" t="s">
        <v>2237</v>
      </c>
      <c r="E411" s="3123"/>
      <c r="F411" s="2772">
        <v>101</v>
      </c>
      <c r="G411" s="2772">
        <v>2</v>
      </c>
      <c r="H411" s="2773">
        <f t="shared" si="11"/>
        <v>1.9801980198019802</v>
      </c>
      <c r="I411" s="2773">
        <v>0</v>
      </c>
      <c r="J411" s="2773">
        <v>0</v>
      </c>
      <c r="K411" s="2835">
        <v>0</v>
      </c>
      <c r="L411" s="2835">
        <v>50</v>
      </c>
      <c r="M411" s="2835">
        <v>50</v>
      </c>
      <c r="N411" s="2835">
        <v>0</v>
      </c>
      <c r="O411" s="2835">
        <v>0</v>
      </c>
    </row>
    <row r="412" spans="1:15">
      <c r="A412" s="5079"/>
      <c r="B412" s="2772">
        <v>91</v>
      </c>
      <c r="C412" s="2774" t="s">
        <v>2282</v>
      </c>
      <c r="D412" s="2774" t="s">
        <v>2237</v>
      </c>
      <c r="E412" s="3123"/>
      <c r="F412" s="2772">
        <v>130</v>
      </c>
      <c r="G412" s="2772">
        <v>61</v>
      </c>
      <c r="H412" s="2773">
        <f t="shared" si="11"/>
        <v>46.92307692307692</v>
      </c>
      <c r="I412" s="2773">
        <v>15.09433962264151</v>
      </c>
      <c r="J412" s="2773">
        <v>13.114754098360656</v>
      </c>
      <c r="K412" s="2835">
        <v>0</v>
      </c>
      <c r="L412" s="2835">
        <v>3.7735849056603774</v>
      </c>
      <c r="M412" s="2835">
        <v>7.5471698113207548</v>
      </c>
      <c r="N412" s="2835">
        <v>30.188679245283019</v>
      </c>
      <c r="O412" s="2835">
        <v>58.490566037735846</v>
      </c>
    </row>
    <row r="413" spans="1:15">
      <c r="A413" s="5079"/>
      <c r="B413" s="2772">
        <v>93</v>
      </c>
      <c r="C413" s="2774" t="s">
        <v>2283</v>
      </c>
      <c r="D413" s="2774" t="s">
        <v>2237</v>
      </c>
      <c r="E413" s="3123"/>
      <c r="F413" s="2772">
        <v>111</v>
      </c>
      <c r="G413" s="2772">
        <v>71</v>
      </c>
      <c r="H413" s="2773">
        <f t="shared" si="11"/>
        <v>63.963963963963963</v>
      </c>
      <c r="I413" s="2773">
        <v>10.9375</v>
      </c>
      <c r="J413" s="2773">
        <v>9.8591549295774641</v>
      </c>
      <c r="K413" s="2835">
        <v>4.6875</v>
      </c>
      <c r="L413" s="2835">
        <v>1.5625</v>
      </c>
      <c r="M413" s="2835">
        <v>15.625</v>
      </c>
      <c r="N413" s="2835">
        <v>6.25</v>
      </c>
      <c r="O413" s="2835">
        <v>71.875</v>
      </c>
    </row>
    <row r="414" spans="1:15">
      <c r="A414" s="5079"/>
      <c r="B414" s="2772">
        <v>103</v>
      </c>
      <c r="C414" s="2774" t="s">
        <v>1635</v>
      </c>
      <c r="D414" s="2774" t="s">
        <v>2237</v>
      </c>
      <c r="E414" s="3123"/>
      <c r="F414" s="2772">
        <v>82</v>
      </c>
      <c r="G414" s="2772">
        <v>46</v>
      </c>
      <c r="H414" s="2773">
        <f t="shared" si="11"/>
        <v>56.097560975609753</v>
      </c>
      <c r="I414" s="2773">
        <v>31.428571428571427</v>
      </c>
      <c r="J414" s="2773">
        <v>23.913043478260871</v>
      </c>
      <c r="K414" s="2835">
        <v>2.9411764705882355</v>
      </c>
      <c r="L414" s="2835">
        <v>5.882352941176471</v>
      </c>
      <c r="M414" s="2835">
        <v>14.705882352941176</v>
      </c>
      <c r="N414" s="2835">
        <v>14.705882352941176</v>
      </c>
      <c r="O414" s="2835">
        <v>61.764705882352942</v>
      </c>
    </row>
    <row r="415" spans="1:15">
      <c r="A415" s="5079"/>
      <c r="B415" s="2772">
        <v>150</v>
      </c>
      <c r="C415" s="2774" t="s">
        <v>2284</v>
      </c>
      <c r="D415" s="2774" t="s">
        <v>2237</v>
      </c>
      <c r="E415" s="3123"/>
      <c r="F415" s="2772">
        <v>21</v>
      </c>
      <c r="G415" s="2772">
        <v>10</v>
      </c>
      <c r="H415" s="2773">
        <f t="shared" si="11"/>
        <v>47.61904761904762</v>
      </c>
      <c r="I415" s="2773">
        <v>42.857142857142854</v>
      </c>
      <c r="J415" s="2773">
        <v>30</v>
      </c>
      <c r="K415" s="2835">
        <v>0</v>
      </c>
      <c r="L415" s="2835">
        <v>12.5</v>
      </c>
      <c r="M415" s="2835">
        <v>0</v>
      </c>
      <c r="N415" s="2835">
        <v>75</v>
      </c>
      <c r="O415" s="2835">
        <v>12.5</v>
      </c>
    </row>
    <row r="416" spans="1:15">
      <c r="A416" s="5079"/>
      <c r="B416" s="2772">
        <v>156</v>
      </c>
      <c r="C416" s="2774" t="s">
        <v>1620</v>
      </c>
      <c r="D416" s="2774" t="s">
        <v>2242</v>
      </c>
      <c r="E416" s="3123"/>
      <c r="F416" s="2772">
        <v>16</v>
      </c>
      <c r="G416" s="2772">
        <v>0</v>
      </c>
      <c r="H416" s="2773">
        <f t="shared" si="11"/>
        <v>0</v>
      </c>
      <c r="I416" s="2773">
        <v>0</v>
      </c>
      <c r="J416" s="2773">
        <v>0</v>
      </c>
      <c r="K416" s="2835">
        <v>0</v>
      </c>
      <c r="L416" s="2835">
        <v>0</v>
      </c>
      <c r="M416" s="2835">
        <v>0</v>
      </c>
      <c r="N416" s="2835">
        <v>0</v>
      </c>
      <c r="O416" s="2835">
        <v>0</v>
      </c>
    </row>
    <row r="417" spans="1:15">
      <c r="A417" s="5079"/>
      <c r="B417" s="2772">
        <v>156</v>
      </c>
      <c r="C417" s="2774" t="s">
        <v>2285</v>
      </c>
      <c r="D417" s="2774" t="s">
        <v>2237</v>
      </c>
      <c r="E417" s="3123"/>
      <c r="F417" s="2772">
        <v>35</v>
      </c>
      <c r="G417" s="2772">
        <v>17</v>
      </c>
      <c r="H417" s="2773">
        <f t="shared" si="11"/>
        <v>48.571428571428569</v>
      </c>
      <c r="I417" s="2773">
        <v>21.428571428571427</v>
      </c>
      <c r="J417" s="2773">
        <v>17.647058823529413</v>
      </c>
      <c r="K417" s="2835">
        <v>7.6923076923076925</v>
      </c>
      <c r="L417" s="2835">
        <v>15.384615384615385</v>
      </c>
      <c r="M417" s="2835">
        <v>7.6923076923076925</v>
      </c>
      <c r="N417" s="2835">
        <v>7.6923076923076925</v>
      </c>
      <c r="O417" s="2835">
        <v>61.53846153846154</v>
      </c>
    </row>
    <row r="418" spans="1:15">
      <c r="A418" s="5079"/>
      <c r="B418" s="2772">
        <v>71</v>
      </c>
      <c r="C418" s="2774" t="s">
        <v>2286</v>
      </c>
      <c r="D418" s="2774" t="s">
        <v>2237</v>
      </c>
      <c r="E418" s="3123"/>
      <c r="F418" s="2772">
        <v>141</v>
      </c>
      <c r="G418" s="2772">
        <v>78</v>
      </c>
      <c r="H418" s="2773">
        <f>G418*100/F418</f>
        <v>55.319148936170215</v>
      </c>
      <c r="I418" s="2773">
        <v>84.62</v>
      </c>
      <c r="J418" s="2773">
        <v>15.38</v>
      </c>
      <c r="K418" s="2835">
        <v>0</v>
      </c>
      <c r="L418" s="2835">
        <v>3.08</v>
      </c>
      <c r="M418" s="2835">
        <v>6.15</v>
      </c>
      <c r="N418" s="2835">
        <v>21.54</v>
      </c>
      <c r="O418" s="2835">
        <v>69.23</v>
      </c>
    </row>
    <row r="419" spans="1:15">
      <c r="A419" s="5079"/>
      <c r="B419" s="2772">
        <v>72</v>
      </c>
      <c r="C419" s="2774" t="s">
        <v>2287</v>
      </c>
      <c r="D419" s="2774" t="s">
        <v>1568</v>
      </c>
      <c r="E419" s="3123"/>
      <c r="F419" s="2772">
        <v>314</v>
      </c>
      <c r="G419" s="2772">
        <v>103</v>
      </c>
      <c r="H419" s="2773">
        <f t="shared" si="11"/>
        <v>32.802547770700635</v>
      </c>
      <c r="I419" s="2773">
        <v>4.0404040404040407</v>
      </c>
      <c r="J419" s="2773">
        <v>3.883495145631068</v>
      </c>
      <c r="K419" s="2835">
        <v>2.9702970297029703</v>
      </c>
      <c r="L419" s="2835">
        <v>0</v>
      </c>
      <c r="M419" s="2835">
        <v>0.99009900990099009</v>
      </c>
      <c r="N419" s="2835">
        <v>11.881188118811881</v>
      </c>
      <c r="O419" s="2835">
        <v>84.158415841584159</v>
      </c>
    </row>
    <row r="420" spans="1:15">
      <c r="A420" s="5079"/>
      <c r="B420" s="2772">
        <v>119</v>
      </c>
      <c r="C420" s="2774" t="s">
        <v>2288</v>
      </c>
      <c r="D420" s="2774" t="s">
        <v>2242</v>
      </c>
      <c r="E420" s="3123"/>
      <c r="F420" s="2772">
        <v>210</v>
      </c>
      <c r="G420" s="2772">
        <v>129</v>
      </c>
      <c r="H420" s="2773">
        <f t="shared" si="11"/>
        <v>61.428571428571431</v>
      </c>
      <c r="I420" s="2773">
        <v>30.303030303030305</v>
      </c>
      <c r="J420" s="2773">
        <v>23.255813953488371</v>
      </c>
      <c r="K420" s="2835">
        <v>2.0408163265306123</v>
      </c>
      <c r="L420" s="2835">
        <v>4.0816326530612246</v>
      </c>
      <c r="M420" s="2835">
        <v>7.1428571428571432</v>
      </c>
      <c r="N420" s="2835">
        <v>10.204081632653061</v>
      </c>
      <c r="O420" s="2835">
        <v>76.530612244897952</v>
      </c>
    </row>
    <row r="421" spans="1:15">
      <c r="A421" s="5079"/>
      <c r="B421" s="2772">
        <v>119</v>
      </c>
      <c r="C421" s="2774" t="s">
        <v>2288</v>
      </c>
      <c r="D421" s="2774" t="s">
        <v>2237</v>
      </c>
      <c r="E421" s="3123"/>
      <c r="F421" s="2772">
        <v>258</v>
      </c>
      <c r="G421" s="2772">
        <v>2</v>
      </c>
      <c r="H421" s="2773">
        <f t="shared" si="11"/>
        <v>0.77519379844961245</v>
      </c>
      <c r="I421" s="2773">
        <v>0</v>
      </c>
      <c r="J421" s="2773">
        <v>100</v>
      </c>
      <c r="K421" s="2835">
        <v>0</v>
      </c>
      <c r="L421" s="2835">
        <v>0</v>
      </c>
      <c r="M421" s="2835">
        <v>0</v>
      </c>
      <c r="N421" s="2835">
        <v>0</v>
      </c>
      <c r="O421" s="2835">
        <v>0</v>
      </c>
    </row>
    <row r="422" spans="1:15">
      <c r="A422" s="5080"/>
      <c r="B422" s="2772">
        <v>119</v>
      </c>
      <c r="C422" s="2774" t="s">
        <v>2288</v>
      </c>
      <c r="D422" s="2774" t="s">
        <v>1568</v>
      </c>
      <c r="E422" s="3123"/>
      <c r="F422" s="2772">
        <v>55</v>
      </c>
      <c r="G422" s="2772">
        <v>20</v>
      </c>
      <c r="H422" s="2773">
        <f t="shared" si="11"/>
        <v>36.363636363636367</v>
      </c>
      <c r="I422" s="2773">
        <v>5.2631578947368425</v>
      </c>
      <c r="J422" s="2773">
        <v>5</v>
      </c>
      <c r="K422" s="2835">
        <v>0</v>
      </c>
      <c r="L422" s="2835">
        <v>0</v>
      </c>
      <c r="M422" s="2835">
        <v>26.315789473684209</v>
      </c>
      <c r="N422" s="2835">
        <v>15.789473684210526</v>
      </c>
      <c r="O422" s="2835">
        <v>57.89473684210526</v>
      </c>
    </row>
    <row r="423" spans="1:15">
      <c r="A423" s="5061" t="s">
        <v>41</v>
      </c>
      <c r="B423" s="2772">
        <v>102</v>
      </c>
      <c r="C423" s="2774" t="s">
        <v>2289</v>
      </c>
      <c r="D423" s="2774" t="s">
        <v>2242</v>
      </c>
      <c r="E423" s="3123"/>
      <c r="F423" s="2772">
        <v>0</v>
      </c>
      <c r="G423" s="2772">
        <v>0</v>
      </c>
      <c r="H423" s="2773">
        <v>0</v>
      </c>
      <c r="I423" s="2773">
        <v>0</v>
      </c>
      <c r="J423" s="2773">
        <v>0</v>
      </c>
      <c r="K423" s="2835">
        <v>0</v>
      </c>
      <c r="L423" s="2835">
        <v>0</v>
      </c>
      <c r="M423" s="2835">
        <v>0</v>
      </c>
      <c r="N423" s="2835">
        <v>0</v>
      </c>
      <c r="O423" s="2835">
        <v>0</v>
      </c>
    </row>
    <row r="424" spans="1:15">
      <c r="A424" s="5061"/>
      <c r="B424" s="2772">
        <v>82</v>
      </c>
      <c r="C424" s="2774" t="s">
        <v>1628</v>
      </c>
      <c r="D424" s="2774" t="s">
        <v>2237</v>
      </c>
      <c r="E424" s="3123"/>
      <c r="F424" s="2772">
        <v>189</v>
      </c>
      <c r="G424" s="2772">
        <v>142</v>
      </c>
      <c r="H424" s="2773">
        <f t="shared" si="11"/>
        <v>75.132275132275126</v>
      </c>
      <c r="I424" s="2773">
        <v>11.904761904761905</v>
      </c>
      <c r="J424" s="2773">
        <v>10.638297872340425</v>
      </c>
      <c r="K424" s="2835">
        <v>3.1746031746031744</v>
      </c>
      <c r="L424" s="2835">
        <v>3.9682539682539684</v>
      </c>
      <c r="M424" s="2835">
        <v>16.666666666666668</v>
      </c>
      <c r="N424" s="2835">
        <v>23.015873015873016</v>
      </c>
      <c r="O424" s="2835">
        <v>53.174603174603178</v>
      </c>
    </row>
    <row r="425" spans="1:15">
      <c r="A425" s="5061"/>
      <c r="B425" s="2772">
        <v>83</v>
      </c>
      <c r="C425" s="2774" t="s">
        <v>2290</v>
      </c>
      <c r="D425" s="2774" t="s">
        <v>2237</v>
      </c>
      <c r="E425" s="3123"/>
      <c r="F425" s="2772">
        <v>104</v>
      </c>
      <c r="G425" s="2772">
        <v>81</v>
      </c>
      <c r="H425" s="2773">
        <f t="shared" si="11"/>
        <v>77.884615384615387</v>
      </c>
      <c r="I425" s="2773">
        <v>20.895522388059703</v>
      </c>
      <c r="J425" s="2773">
        <v>17.283950617283949</v>
      </c>
      <c r="K425" s="2835">
        <v>1.5151515151515151</v>
      </c>
      <c r="L425" s="2835">
        <v>9.0909090909090917</v>
      </c>
      <c r="M425" s="2835">
        <v>16.666666666666668</v>
      </c>
      <c r="N425" s="2835">
        <v>15.151515151515152</v>
      </c>
      <c r="O425" s="2835">
        <v>57.575757575757578</v>
      </c>
    </row>
    <row r="426" spans="1:15">
      <c r="A426" s="5061"/>
      <c r="B426" s="2772">
        <v>100</v>
      </c>
      <c r="C426" s="2774" t="s">
        <v>2291</v>
      </c>
      <c r="D426" s="2774" t="s">
        <v>2237</v>
      </c>
      <c r="E426" s="3123"/>
      <c r="F426" s="2772">
        <v>20</v>
      </c>
      <c r="G426" s="2772">
        <v>3</v>
      </c>
      <c r="H426" s="2773">
        <f t="shared" si="11"/>
        <v>15</v>
      </c>
      <c r="I426" s="2773">
        <v>50</v>
      </c>
      <c r="J426" s="2773">
        <v>33.333333333333336</v>
      </c>
      <c r="K426" s="2835">
        <v>0</v>
      </c>
      <c r="L426" s="2835">
        <v>0</v>
      </c>
      <c r="M426" s="2835">
        <v>0</v>
      </c>
      <c r="N426" s="2835">
        <v>0</v>
      </c>
      <c r="O426" s="2835">
        <v>100</v>
      </c>
    </row>
    <row r="427" spans="1:15">
      <c r="A427" s="5061"/>
      <c r="B427" s="2772">
        <v>106</v>
      </c>
      <c r="C427" s="2774" t="s">
        <v>2292</v>
      </c>
      <c r="D427" s="2774" t="s">
        <v>2237</v>
      </c>
      <c r="E427" s="3123"/>
      <c r="F427" s="2772">
        <v>145</v>
      </c>
      <c r="G427" s="2772">
        <v>70</v>
      </c>
      <c r="H427" s="2773">
        <f t="shared" si="11"/>
        <v>48.275862068965516</v>
      </c>
      <c r="I427" s="2773">
        <v>34.615384615384613</v>
      </c>
      <c r="J427" s="2773">
        <v>25.714285714285715</v>
      </c>
      <c r="K427" s="2835">
        <v>1.9230769230769231</v>
      </c>
      <c r="L427" s="2835">
        <v>3.8461538461538463</v>
      </c>
      <c r="M427" s="2835">
        <v>15.384615384615385</v>
      </c>
      <c r="N427" s="2835">
        <v>25</v>
      </c>
      <c r="O427" s="2835">
        <v>53.846153846153847</v>
      </c>
    </row>
    <row r="428" spans="1:15">
      <c r="A428" s="5061"/>
      <c r="B428" s="2772">
        <v>120</v>
      </c>
      <c r="C428" s="2774" t="s">
        <v>2293</v>
      </c>
      <c r="D428" s="2774" t="s">
        <v>2237</v>
      </c>
      <c r="E428" s="3123"/>
      <c r="F428" s="2772">
        <v>159</v>
      </c>
      <c r="G428" s="2772">
        <v>90</v>
      </c>
      <c r="H428" s="2773">
        <f t="shared" si="11"/>
        <v>56.60377358490566</v>
      </c>
      <c r="I428" s="2773">
        <v>66.037735849056602</v>
      </c>
      <c r="J428" s="2773">
        <v>39.772727272727273</v>
      </c>
      <c r="K428" s="2835">
        <v>9.8039215686274517</v>
      </c>
      <c r="L428" s="2835">
        <v>1.9607843137254901</v>
      </c>
      <c r="M428" s="2835">
        <v>13.725490196078431</v>
      </c>
      <c r="N428" s="2835">
        <v>13.725490196078431</v>
      </c>
      <c r="O428" s="2835">
        <v>60.784313725490193</v>
      </c>
    </row>
    <row r="429" spans="1:15">
      <c r="A429" s="5061"/>
      <c r="B429" s="2772">
        <v>162</v>
      </c>
      <c r="C429" s="2774" t="s">
        <v>2294</v>
      </c>
      <c r="D429" s="2774" t="s">
        <v>2237</v>
      </c>
      <c r="E429" s="3123"/>
      <c r="F429" s="2772">
        <v>2</v>
      </c>
      <c r="G429" s="2772">
        <v>0</v>
      </c>
      <c r="H429" s="2773">
        <f t="shared" si="11"/>
        <v>0</v>
      </c>
      <c r="I429" s="2773">
        <v>0</v>
      </c>
      <c r="J429" s="2773">
        <v>0</v>
      </c>
      <c r="K429" s="2835">
        <v>0</v>
      </c>
      <c r="L429" s="2835">
        <v>0</v>
      </c>
      <c r="M429" s="2835">
        <v>0</v>
      </c>
      <c r="N429" s="2835">
        <v>0</v>
      </c>
      <c r="O429" s="2835">
        <v>0</v>
      </c>
    </row>
    <row r="430" spans="1:15">
      <c r="A430" s="5061"/>
      <c r="B430" s="2772">
        <v>163</v>
      </c>
      <c r="C430" s="2774" t="s">
        <v>2295</v>
      </c>
      <c r="D430" s="2774" t="s">
        <v>2237</v>
      </c>
      <c r="E430" s="3123"/>
      <c r="F430" s="2772">
        <v>16</v>
      </c>
      <c r="G430" s="2772">
        <v>0</v>
      </c>
      <c r="H430" s="2773">
        <f t="shared" si="11"/>
        <v>0</v>
      </c>
      <c r="I430" s="2773">
        <v>0</v>
      </c>
      <c r="J430" s="2773">
        <v>0</v>
      </c>
      <c r="K430" s="2835">
        <v>0</v>
      </c>
      <c r="L430" s="2835">
        <v>0</v>
      </c>
      <c r="M430" s="2835">
        <v>0</v>
      </c>
      <c r="N430" s="2835">
        <v>0</v>
      </c>
      <c r="O430" s="2835">
        <v>0</v>
      </c>
    </row>
    <row r="431" spans="1:15">
      <c r="A431" s="5061"/>
      <c r="B431" s="2772">
        <v>123</v>
      </c>
      <c r="C431" s="2774" t="s">
        <v>2296</v>
      </c>
      <c r="D431" s="2774" t="s">
        <v>1568</v>
      </c>
      <c r="E431" s="3123"/>
      <c r="F431" s="2772">
        <v>47</v>
      </c>
      <c r="G431" s="2772">
        <v>0</v>
      </c>
      <c r="H431" s="2773">
        <f t="shared" si="11"/>
        <v>0</v>
      </c>
      <c r="I431" s="2773">
        <v>0</v>
      </c>
      <c r="J431" s="2773">
        <v>0</v>
      </c>
      <c r="K431" s="2835">
        <v>0</v>
      </c>
      <c r="L431" s="2835">
        <v>0</v>
      </c>
      <c r="M431" s="2835">
        <v>0</v>
      </c>
      <c r="N431" s="2835">
        <v>0</v>
      </c>
      <c r="O431" s="2835">
        <v>0</v>
      </c>
    </row>
    <row r="432" spans="1:15">
      <c r="A432" s="5061"/>
      <c r="B432" s="2772">
        <v>158</v>
      </c>
      <c r="C432" s="2774" t="s">
        <v>2297</v>
      </c>
      <c r="D432" s="2774" t="s">
        <v>1568</v>
      </c>
      <c r="E432" s="3123"/>
      <c r="F432" s="2772">
        <v>0</v>
      </c>
      <c r="G432" s="2772">
        <v>0</v>
      </c>
      <c r="H432" s="2773">
        <v>0</v>
      </c>
      <c r="I432" s="2773">
        <v>0</v>
      </c>
      <c r="J432" s="2773">
        <v>0</v>
      </c>
      <c r="K432" s="2835">
        <v>0</v>
      </c>
      <c r="L432" s="2835">
        <v>0</v>
      </c>
      <c r="M432" s="2835">
        <v>0</v>
      </c>
      <c r="N432" s="2835">
        <v>0</v>
      </c>
      <c r="O432" s="2835">
        <v>0</v>
      </c>
    </row>
    <row r="433" spans="1:15">
      <c r="A433" s="5061"/>
      <c r="B433" s="2772">
        <v>81</v>
      </c>
      <c r="C433" s="2774" t="s">
        <v>2298</v>
      </c>
      <c r="D433" s="2774" t="s">
        <v>2242</v>
      </c>
      <c r="E433" s="3123"/>
      <c r="F433" s="2772">
        <v>94</v>
      </c>
      <c r="G433" s="2772">
        <v>79</v>
      </c>
      <c r="H433" s="2773">
        <f t="shared" si="11"/>
        <v>84.042553191489361</v>
      </c>
      <c r="I433" s="2773">
        <v>21.53846153846154</v>
      </c>
      <c r="J433" s="2773">
        <v>17.721518987341771</v>
      </c>
      <c r="K433" s="2835">
        <v>0</v>
      </c>
      <c r="L433" s="2835">
        <v>3.0303030303030303</v>
      </c>
      <c r="M433" s="2835">
        <v>12.121212121212121</v>
      </c>
      <c r="N433" s="2835">
        <v>9.0909090909090917</v>
      </c>
      <c r="O433" s="2835">
        <v>75.757575757575751</v>
      </c>
    </row>
    <row r="434" spans="1:15">
      <c r="A434" s="5061"/>
      <c r="B434" s="2772">
        <v>81</v>
      </c>
      <c r="C434" s="2774" t="s">
        <v>2298</v>
      </c>
      <c r="D434" s="2774" t="s">
        <v>2237</v>
      </c>
      <c r="E434" s="3123"/>
      <c r="F434" s="2772">
        <v>185</v>
      </c>
      <c r="G434" s="2772">
        <v>40</v>
      </c>
      <c r="H434" s="2773">
        <f t="shared" si="11"/>
        <v>21.621621621621621</v>
      </c>
      <c r="I434" s="2773">
        <v>25</v>
      </c>
      <c r="J434" s="2773">
        <v>20</v>
      </c>
      <c r="K434" s="2835">
        <v>0</v>
      </c>
      <c r="L434" s="2835">
        <v>6.0606060606060606</v>
      </c>
      <c r="M434" s="2835">
        <v>6.0606060606060606</v>
      </c>
      <c r="N434" s="2835">
        <v>21.212121212121211</v>
      </c>
      <c r="O434" s="2835">
        <v>66.666666666666671</v>
      </c>
    </row>
    <row r="435" spans="1:15">
      <c r="A435" s="5061" t="s">
        <v>21</v>
      </c>
      <c r="B435" s="2772">
        <v>108</v>
      </c>
      <c r="C435" s="2774" t="s">
        <v>2299</v>
      </c>
      <c r="D435" s="2774" t="s">
        <v>2237</v>
      </c>
      <c r="E435" s="3123"/>
      <c r="F435" s="2772">
        <v>238</v>
      </c>
      <c r="G435" s="2772">
        <v>130</v>
      </c>
      <c r="H435" s="2773">
        <f t="shared" si="11"/>
        <v>54.621848739495796</v>
      </c>
      <c r="I435" s="2773">
        <v>26.21359223300971</v>
      </c>
      <c r="J435" s="2773">
        <v>20.76923076923077</v>
      </c>
      <c r="K435" s="2835">
        <v>2.9411764705882355</v>
      </c>
      <c r="L435" s="2835">
        <v>3.9215686274509802</v>
      </c>
      <c r="M435" s="2835">
        <v>8.8235294117647065</v>
      </c>
      <c r="N435" s="2835">
        <v>10.784313725490197</v>
      </c>
      <c r="O435" s="2835">
        <v>73.529411764705884</v>
      </c>
    </row>
    <row r="436" spans="1:15">
      <c r="A436" s="5061"/>
      <c r="B436" s="2772">
        <v>139</v>
      </c>
      <c r="C436" s="2774" t="s">
        <v>1582</v>
      </c>
      <c r="D436" s="2774" t="s">
        <v>2237</v>
      </c>
      <c r="E436" s="3123"/>
      <c r="F436" s="2772">
        <v>38</v>
      </c>
      <c r="G436" s="2772">
        <v>25</v>
      </c>
      <c r="H436" s="2773">
        <f t="shared" si="11"/>
        <v>65.78947368421052</v>
      </c>
      <c r="I436" s="2773">
        <v>4.166666666666667</v>
      </c>
      <c r="J436" s="2773">
        <v>4</v>
      </c>
      <c r="K436" s="2835">
        <v>4.166666666666667</v>
      </c>
      <c r="L436" s="2835">
        <v>8.3333333333333339</v>
      </c>
      <c r="M436" s="2835">
        <v>20.833333333333332</v>
      </c>
      <c r="N436" s="2835">
        <v>4.166666666666667</v>
      </c>
      <c r="O436" s="2835">
        <v>62.5</v>
      </c>
    </row>
    <row r="437" spans="1:15">
      <c r="A437" s="5061"/>
      <c r="B437" s="2772">
        <v>142</v>
      </c>
      <c r="C437" s="2774" t="s">
        <v>2300</v>
      </c>
      <c r="D437" s="2774" t="s">
        <v>2237</v>
      </c>
      <c r="E437" s="3123"/>
      <c r="F437" s="2772">
        <v>51</v>
      </c>
      <c r="G437" s="2772">
        <v>0</v>
      </c>
      <c r="H437" s="2773">
        <f t="shared" si="11"/>
        <v>0</v>
      </c>
      <c r="I437" s="2773">
        <v>0</v>
      </c>
      <c r="J437" s="2773">
        <v>0</v>
      </c>
      <c r="K437" s="2835">
        <v>0</v>
      </c>
      <c r="L437" s="2835">
        <v>0</v>
      </c>
      <c r="M437" s="2835">
        <v>0</v>
      </c>
      <c r="N437" s="2835">
        <v>0</v>
      </c>
      <c r="O437" s="2835">
        <v>0</v>
      </c>
    </row>
    <row r="438" spans="1:15">
      <c r="A438" s="5061"/>
      <c r="B438" s="2772">
        <v>109</v>
      </c>
      <c r="C438" s="2774" t="s">
        <v>2301</v>
      </c>
      <c r="D438" s="2774" t="s">
        <v>1568</v>
      </c>
      <c r="E438" s="3123"/>
      <c r="F438" s="2772">
        <v>34</v>
      </c>
      <c r="G438" s="2772">
        <v>29</v>
      </c>
      <c r="H438" s="2773">
        <f t="shared" si="11"/>
        <v>85.294117647058826</v>
      </c>
      <c r="I438" s="2773">
        <v>0</v>
      </c>
      <c r="J438" s="2773">
        <v>0</v>
      </c>
      <c r="K438" s="2835">
        <v>3.5714285714285716</v>
      </c>
      <c r="L438" s="2835">
        <v>7.1428571428571432</v>
      </c>
      <c r="M438" s="2835">
        <v>17.857142857142858</v>
      </c>
      <c r="N438" s="2835">
        <v>25</v>
      </c>
      <c r="O438" s="2835">
        <v>46.428571428571431</v>
      </c>
    </row>
    <row r="439" spans="1:15">
      <c r="A439" s="2840"/>
      <c r="B439" s="2840"/>
      <c r="C439" s="2831"/>
      <c r="D439" s="2831"/>
      <c r="E439" s="2831"/>
      <c r="F439" s="2831"/>
      <c r="G439" s="2831"/>
      <c r="H439" s="2841"/>
      <c r="I439" s="2841"/>
      <c r="J439" s="2841"/>
      <c r="K439" s="2831"/>
      <c r="L439" s="2831"/>
      <c r="M439" s="2831"/>
      <c r="N439" s="2831"/>
      <c r="O439" s="2831"/>
    </row>
    <row r="440" spans="1:15">
      <c r="A440" s="2826" t="s">
        <v>2303</v>
      </c>
      <c r="B440" s="2840"/>
      <c r="C440" s="2831"/>
      <c r="D440" s="2831"/>
      <c r="E440" s="2831"/>
      <c r="F440" s="2831"/>
      <c r="G440" s="2831"/>
      <c r="H440" s="2841"/>
      <c r="I440" s="2841"/>
      <c r="J440" s="2841"/>
      <c r="K440" s="2831"/>
      <c r="L440" s="2831"/>
      <c r="M440" s="2831"/>
      <c r="N440" s="2831"/>
      <c r="O440" s="2831"/>
    </row>
    <row r="441" spans="1:15">
      <c r="A441" s="5062" t="s">
        <v>1</v>
      </c>
      <c r="B441" s="5062" t="s">
        <v>2235</v>
      </c>
      <c r="C441" s="5062" t="s">
        <v>2236</v>
      </c>
      <c r="D441" s="5062" t="s">
        <v>1057</v>
      </c>
      <c r="E441" s="3119"/>
      <c r="F441" s="5068" t="s">
        <v>2232</v>
      </c>
      <c r="G441" s="5068" t="s">
        <v>2233</v>
      </c>
      <c r="H441" s="5070" t="s">
        <v>2234</v>
      </c>
      <c r="I441" s="5072" t="s">
        <v>1555</v>
      </c>
      <c r="J441" s="5072"/>
      <c r="K441" s="5064" t="s">
        <v>1556</v>
      </c>
      <c r="L441" s="5065"/>
      <c r="M441" s="5065"/>
      <c r="N441" s="5065"/>
      <c r="O441" s="5066"/>
    </row>
    <row r="442" spans="1:15">
      <c r="A442" s="5062"/>
      <c r="B442" s="5062"/>
      <c r="C442" s="5062"/>
      <c r="D442" s="5062"/>
      <c r="E442" s="3120"/>
      <c r="F442" s="5069"/>
      <c r="G442" s="5069"/>
      <c r="H442" s="5071"/>
      <c r="I442" s="2827" t="s">
        <v>272</v>
      </c>
      <c r="J442" s="2827" t="s">
        <v>273</v>
      </c>
      <c r="K442" s="2828" t="s">
        <v>1557</v>
      </c>
      <c r="L442" s="2828" t="s">
        <v>1558</v>
      </c>
      <c r="M442" s="2828" t="s">
        <v>1559</v>
      </c>
      <c r="N442" s="2828" t="s">
        <v>1560</v>
      </c>
      <c r="O442" s="2828" t="s">
        <v>15</v>
      </c>
    </row>
    <row r="443" spans="1:15">
      <c r="A443" s="2847" t="s">
        <v>73</v>
      </c>
      <c r="B443" s="2772">
        <v>31</v>
      </c>
      <c r="C443" s="2774" t="s">
        <v>1587</v>
      </c>
      <c r="D443" s="2774" t="s">
        <v>2237</v>
      </c>
      <c r="E443" s="3126"/>
      <c r="F443" s="2842">
        <v>78</v>
      </c>
      <c r="G443" s="2772">
        <v>27</v>
      </c>
      <c r="H443" s="2773">
        <v>34.615384615384613</v>
      </c>
      <c r="I443" s="2843">
        <v>74.074074074074076</v>
      </c>
      <c r="J443" s="2843">
        <v>25.925925925925927</v>
      </c>
      <c r="K443" s="2843">
        <v>0</v>
      </c>
      <c r="L443" s="2843">
        <v>11.111111111111111</v>
      </c>
      <c r="M443" s="2843">
        <v>11.111111111111111</v>
      </c>
      <c r="N443" s="2843">
        <v>66.666666666666671</v>
      </c>
      <c r="O443" s="2843">
        <v>11.111111111111111</v>
      </c>
    </row>
    <row r="444" spans="1:15">
      <c r="A444" s="2847" t="s">
        <v>73</v>
      </c>
      <c r="B444" s="2772">
        <v>32</v>
      </c>
      <c r="C444" s="2774" t="s">
        <v>1588</v>
      </c>
      <c r="D444" s="2774" t="s">
        <v>2237</v>
      </c>
      <c r="E444" s="3126"/>
      <c r="F444" s="2842">
        <v>159</v>
      </c>
      <c r="G444" s="2772">
        <v>71</v>
      </c>
      <c r="H444" s="2773">
        <v>44.654088050314463</v>
      </c>
      <c r="I444" s="2843">
        <v>88.732394366197184</v>
      </c>
      <c r="J444" s="2843">
        <v>11.267605633802816</v>
      </c>
      <c r="K444" s="2843">
        <v>9.0909090909090917</v>
      </c>
      <c r="L444" s="2843">
        <v>18.181818181818183</v>
      </c>
      <c r="M444" s="2843">
        <v>36.363636363636367</v>
      </c>
      <c r="N444" s="2843">
        <v>18.181818181818183</v>
      </c>
      <c r="O444" s="2843">
        <v>18.181818181818183</v>
      </c>
    </row>
    <row r="445" spans="1:15">
      <c r="A445" s="2847" t="s">
        <v>73</v>
      </c>
      <c r="B445" s="2772">
        <v>33</v>
      </c>
      <c r="C445" s="2774" t="s">
        <v>1589</v>
      </c>
      <c r="D445" s="2774" t="s">
        <v>2237</v>
      </c>
      <c r="E445" s="3126"/>
      <c r="F445" s="2842">
        <v>58</v>
      </c>
      <c r="G445" s="2772">
        <v>9</v>
      </c>
      <c r="H445" s="2773">
        <v>15.517241379310345</v>
      </c>
      <c r="I445" s="2843">
        <v>77.777777777777771</v>
      </c>
      <c r="J445" s="2843">
        <v>22.222222222222221</v>
      </c>
      <c r="K445" s="2843">
        <v>0</v>
      </c>
      <c r="L445" s="2843">
        <v>0</v>
      </c>
      <c r="M445" s="2843">
        <v>0</v>
      </c>
      <c r="N445" s="2843">
        <v>0</v>
      </c>
      <c r="O445" s="2843">
        <v>100</v>
      </c>
    </row>
    <row r="446" spans="1:15">
      <c r="A446" s="2847" t="s">
        <v>73</v>
      </c>
      <c r="B446" s="2772">
        <v>34</v>
      </c>
      <c r="C446" s="2774" t="s">
        <v>1590</v>
      </c>
      <c r="D446" s="2774" t="s">
        <v>2237</v>
      </c>
      <c r="E446" s="3126"/>
      <c r="F446" s="2842">
        <v>112</v>
      </c>
      <c r="G446" s="2772">
        <v>45</v>
      </c>
      <c r="H446" s="2773">
        <v>40.178571428571431</v>
      </c>
      <c r="I446" s="2843">
        <v>84.444444444444443</v>
      </c>
      <c r="J446" s="2843">
        <v>15.555555555555555</v>
      </c>
      <c r="K446" s="2843">
        <v>0</v>
      </c>
      <c r="L446" s="2843">
        <v>0</v>
      </c>
      <c r="M446" s="2843">
        <v>10.810810810810811</v>
      </c>
      <c r="N446" s="2843">
        <v>8.1081081081081088</v>
      </c>
      <c r="O446" s="2843">
        <v>81.081081081081081</v>
      </c>
    </row>
    <row r="447" spans="1:15">
      <c r="A447" s="2847" t="s">
        <v>73</v>
      </c>
      <c r="B447" s="2772">
        <v>35</v>
      </c>
      <c r="C447" s="2774" t="s">
        <v>1591</v>
      </c>
      <c r="D447" s="2774" t="s">
        <v>2237</v>
      </c>
      <c r="E447" s="3126"/>
      <c r="F447" s="2842">
        <v>36</v>
      </c>
      <c r="G447" s="2772">
        <v>25</v>
      </c>
      <c r="H447" s="2773">
        <v>69.444444444444443</v>
      </c>
      <c r="I447" s="2843">
        <v>76</v>
      </c>
      <c r="J447" s="2843">
        <v>24</v>
      </c>
      <c r="K447" s="2843">
        <v>5.2631578947368425</v>
      </c>
      <c r="L447" s="2843">
        <v>0</v>
      </c>
      <c r="M447" s="2843">
        <v>5.2631578947368425</v>
      </c>
      <c r="N447" s="2843">
        <v>21.05263157894737</v>
      </c>
      <c r="O447" s="2843">
        <v>68.421052631578945</v>
      </c>
    </row>
    <row r="448" spans="1:15">
      <c r="A448" s="2847" t="s">
        <v>73</v>
      </c>
      <c r="B448" s="2772">
        <v>58</v>
      </c>
      <c r="C448" s="2774" t="s">
        <v>1596</v>
      </c>
      <c r="D448" s="2774" t="s">
        <v>2237</v>
      </c>
      <c r="E448" s="3126"/>
      <c r="F448" s="2842">
        <v>90</v>
      </c>
      <c r="G448" s="2772">
        <v>55</v>
      </c>
      <c r="H448" s="2773">
        <v>61.111111111111114</v>
      </c>
      <c r="I448" s="2843">
        <v>87.272727272727266</v>
      </c>
      <c r="J448" s="2843">
        <v>12.727272727272727</v>
      </c>
      <c r="K448" s="2843">
        <v>6.25</v>
      </c>
      <c r="L448" s="2843">
        <v>6.25</v>
      </c>
      <c r="M448" s="2843">
        <v>10.416666666666666</v>
      </c>
      <c r="N448" s="2843">
        <v>18.75</v>
      </c>
      <c r="O448" s="2843">
        <v>58.333333333333336</v>
      </c>
    </row>
    <row r="449" spans="1:15">
      <c r="A449" s="2847" t="s">
        <v>73</v>
      </c>
      <c r="B449" s="2772">
        <v>60</v>
      </c>
      <c r="C449" s="2774" t="s">
        <v>1598</v>
      </c>
      <c r="D449" s="2774" t="s">
        <v>2237</v>
      </c>
      <c r="E449" s="3126"/>
      <c r="F449" s="2842">
        <v>22</v>
      </c>
      <c r="G449" s="2772">
        <v>7</v>
      </c>
      <c r="H449" s="2773">
        <v>31.818181818181817</v>
      </c>
      <c r="I449" s="2844">
        <v>85.714285714285708</v>
      </c>
      <c r="J449" s="2844">
        <v>14.285714285714286</v>
      </c>
      <c r="K449" s="2844">
        <v>16.666666666666668</v>
      </c>
      <c r="L449" s="2844">
        <v>0</v>
      </c>
      <c r="M449" s="2844">
        <v>0</v>
      </c>
      <c r="N449" s="2844">
        <v>16.666666666666668</v>
      </c>
      <c r="O449" s="2844">
        <v>66.666666666666671</v>
      </c>
    </row>
    <row r="450" spans="1:15">
      <c r="A450" s="2847" t="s">
        <v>74</v>
      </c>
      <c r="B450" s="2772">
        <v>92</v>
      </c>
      <c r="C450" s="2774" t="s">
        <v>2302</v>
      </c>
      <c r="D450" s="2774" t="s">
        <v>2237</v>
      </c>
      <c r="E450" s="3126"/>
      <c r="F450" s="2842">
        <v>18</v>
      </c>
      <c r="G450" s="2772">
        <v>4</v>
      </c>
      <c r="H450" s="2845">
        <v>22.222222222222221</v>
      </c>
      <c r="I450" s="2846">
        <v>100</v>
      </c>
      <c r="J450" s="2846">
        <v>0</v>
      </c>
      <c r="K450" s="2846">
        <v>0</v>
      </c>
      <c r="L450" s="2846">
        <v>0</v>
      </c>
      <c r="M450" s="2846">
        <v>0</v>
      </c>
      <c r="N450" s="2846">
        <v>0</v>
      </c>
      <c r="O450" s="2846">
        <v>100</v>
      </c>
    </row>
    <row r="451" spans="1:15">
      <c r="A451" s="2847" t="s">
        <v>74</v>
      </c>
      <c r="B451" s="2772">
        <v>69</v>
      </c>
      <c r="C451" s="2774" t="s">
        <v>1624</v>
      </c>
      <c r="D451" s="2774" t="s">
        <v>2237</v>
      </c>
      <c r="E451" s="3126"/>
      <c r="F451" s="2842">
        <v>115</v>
      </c>
      <c r="G451" s="2772">
        <v>37</v>
      </c>
      <c r="H451" s="2845">
        <v>32.173913043478258</v>
      </c>
      <c r="I451" s="2843">
        <v>78.378378378378372</v>
      </c>
      <c r="J451" s="2843">
        <v>21.621621621621621</v>
      </c>
      <c r="K451" s="2843">
        <v>6.8965517241379306</v>
      </c>
      <c r="L451" s="2843">
        <v>0</v>
      </c>
      <c r="M451" s="2843">
        <v>6.8965517241379306</v>
      </c>
      <c r="N451" s="2843">
        <v>6.8965517241379306</v>
      </c>
      <c r="O451" s="2843">
        <v>79.310344827586206</v>
      </c>
    </row>
    <row r="452" spans="1:15">
      <c r="A452" s="2847" t="s">
        <v>74</v>
      </c>
      <c r="B452" s="2772">
        <v>84</v>
      </c>
      <c r="C452" s="2774" t="s">
        <v>1619</v>
      </c>
      <c r="D452" s="2774" t="s">
        <v>2242</v>
      </c>
      <c r="E452" s="3126"/>
      <c r="F452" s="2842">
        <v>76</v>
      </c>
      <c r="G452" s="2772">
        <v>30</v>
      </c>
      <c r="H452" s="2845">
        <v>39.473684210526315</v>
      </c>
      <c r="I452" s="2843">
        <v>100</v>
      </c>
      <c r="J452" s="2843">
        <v>0</v>
      </c>
      <c r="K452" s="2843">
        <v>3.4482758620689653</v>
      </c>
      <c r="L452" s="2843">
        <v>0</v>
      </c>
      <c r="M452" s="2843">
        <v>13.793103448275861</v>
      </c>
      <c r="N452" s="2843">
        <v>20.689655172413794</v>
      </c>
      <c r="O452" s="2843">
        <v>62.068965517241381</v>
      </c>
    </row>
    <row r="453" spans="1:15">
      <c r="A453" s="719"/>
      <c r="B453" s="363"/>
      <c r="C453" s="363"/>
      <c r="D453" s="363"/>
      <c r="E453" s="363"/>
      <c r="F453" s="363"/>
      <c r="G453" s="363"/>
    </row>
    <row r="454" spans="1:15">
      <c r="A454" s="408"/>
      <c r="C454" s="410"/>
      <c r="D454" s="410"/>
      <c r="E454" s="410"/>
      <c r="F454" s="408"/>
      <c r="G454" s="408"/>
    </row>
    <row r="455" spans="1:15" ht="18">
      <c r="A455" s="408"/>
      <c r="B455" s="409">
        <v>2015</v>
      </c>
      <c r="C455" s="410"/>
      <c r="D455" s="410"/>
      <c r="E455" s="410"/>
      <c r="F455" s="408"/>
      <c r="G455" s="408"/>
    </row>
    <row r="456" spans="1:15" ht="18">
      <c r="A456" s="1738" t="s">
        <v>1696</v>
      </c>
      <c r="B456" s="409"/>
      <c r="C456" s="410"/>
      <c r="D456" s="410"/>
      <c r="E456" s="410"/>
      <c r="F456" s="408"/>
      <c r="G456" s="408"/>
    </row>
    <row r="457" spans="1:15" ht="18">
      <c r="A457" s="1738" t="s">
        <v>1697</v>
      </c>
      <c r="B457" s="409"/>
      <c r="C457" s="410"/>
      <c r="D457" s="410"/>
      <c r="E457" s="410"/>
      <c r="F457" s="408"/>
      <c r="G457" s="408"/>
    </row>
    <row r="458" spans="1:15" ht="27.75" customHeight="1">
      <c r="A458" s="5075" t="s">
        <v>1698</v>
      </c>
      <c r="B458" s="5075"/>
      <c r="C458" s="5075"/>
      <c r="D458" s="5075"/>
      <c r="E458" s="5075"/>
      <c r="F458" s="5075"/>
      <c r="G458" s="5075"/>
    </row>
    <row r="459" spans="1:15">
      <c r="A459" s="411"/>
      <c r="B459" s="108"/>
      <c r="C459" s="412"/>
      <c r="D459" s="412"/>
      <c r="E459" s="412"/>
      <c r="F459" s="408"/>
      <c r="G459" s="408"/>
    </row>
    <row r="460" spans="1:15">
      <c r="A460" s="1739" t="s">
        <v>1089</v>
      </c>
      <c r="B460" s="1740" t="s">
        <v>1115</v>
      </c>
      <c r="C460" s="1741" t="s">
        <v>103</v>
      </c>
      <c r="D460" s="1741" t="s">
        <v>1116</v>
      </c>
      <c r="E460" s="3127"/>
      <c r="F460" s="408"/>
      <c r="G460" s="408"/>
    </row>
    <row r="461" spans="1:15">
      <c r="A461" s="1742" t="s">
        <v>1091</v>
      </c>
      <c r="B461" s="1742">
        <v>3755</v>
      </c>
      <c r="C461" s="1743">
        <v>80.329270900149666</v>
      </c>
      <c r="D461" s="1744">
        <v>0.80300000000000005</v>
      </c>
      <c r="E461" s="3128"/>
      <c r="F461" s="118"/>
      <c r="G461" s="408"/>
    </row>
    <row r="462" spans="1:15">
      <c r="A462" s="1742" t="s">
        <v>1092</v>
      </c>
      <c r="B462" s="1742">
        <v>922</v>
      </c>
      <c r="C462" s="1743">
        <v>19.67072909985033</v>
      </c>
      <c r="D462" s="1745">
        <v>0.19700000000000001</v>
      </c>
      <c r="E462" s="3129"/>
      <c r="F462" s="408"/>
      <c r="G462" s="408"/>
    </row>
    <row r="463" spans="1:15">
      <c r="A463" s="1746" t="s">
        <v>15</v>
      </c>
      <c r="B463" s="1746">
        <v>4677</v>
      </c>
      <c r="C463" s="1743">
        <v>100</v>
      </c>
      <c r="D463" s="1747">
        <v>100</v>
      </c>
      <c r="E463" s="2824"/>
      <c r="F463" s="408"/>
      <c r="G463" s="408"/>
    </row>
    <row r="464" spans="1:15">
      <c r="A464" s="363"/>
      <c r="B464" s="363"/>
      <c r="C464" s="363"/>
      <c r="D464" s="363"/>
      <c r="E464" s="363"/>
      <c r="F464" s="363"/>
      <c r="G464" s="363"/>
    </row>
    <row r="465" spans="1:12">
      <c r="A465" s="363"/>
      <c r="B465" s="363"/>
      <c r="C465" s="363"/>
      <c r="D465" s="363"/>
      <c r="E465" s="363"/>
      <c r="F465" s="363"/>
      <c r="G465" s="363"/>
    </row>
    <row r="466" spans="1:12" ht="18">
      <c r="A466" s="408"/>
      <c r="B466" s="409">
        <v>2014</v>
      </c>
      <c r="C466" s="410"/>
      <c r="D466" s="410"/>
      <c r="E466" s="410"/>
      <c r="F466" s="408"/>
      <c r="G466" s="408"/>
      <c r="H466" s="99"/>
    </row>
    <row r="467" spans="1:12">
      <c r="A467" s="411" t="s">
        <v>1113</v>
      </c>
      <c r="B467" s="411"/>
      <c r="C467" s="411"/>
      <c r="D467" s="411"/>
      <c r="E467" s="411"/>
      <c r="F467" s="411"/>
      <c r="G467" s="411"/>
      <c r="H467" s="411"/>
    </row>
    <row r="468" spans="1:12">
      <c r="A468" s="411"/>
      <c r="B468" s="108"/>
      <c r="C468" s="412"/>
      <c r="D468" s="412"/>
      <c r="E468" s="412"/>
      <c r="F468" s="408"/>
      <c r="G468" s="408"/>
      <c r="H468" s="99"/>
    </row>
    <row r="469" spans="1:12">
      <c r="A469" s="413" t="s">
        <v>1114</v>
      </c>
      <c r="B469" s="414" t="s">
        <v>1115</v>
      </c>
      <c r="C469" s="415" t="s">
        <v>103</v>
      </c>
      <c r="D469" s="415" t="s">
        <v>1116</v>
      </c>
      <c r="E469" s="3127"/>
      <c r="F469" s="408"/>
      <c r="G469" s="388"/>
      <c r="H469" s="99"/>
    </row>
    <row r="470" spans="1:12">
      <c r="A470" s="416" t="s">
        <v>1091</v>
      </c>
      <c r="B470" s="416">
        <v>3683</v>
      </c>
      <c r="C470" s="417">
        <f>B470*100/B$474</f>
        <v>83.495805939696211</v>
      </c>
      <c r="D470" s="418">
        <f>B470*100/B$472</f>
        <v>83.914331282752329</v>
      </c>
      <c r="E470" s="3130"/>
      <c r="F470" s="118"/>
      <c r="G470" s="408"/>
      <c r="H470" s="99"/>
    </row>
    <row r="471" spans="1:12">
      <c r="A471" s="416" t="s">
        <v>1092</v>
      </c>
      <c r="B471" s="416">
        <v>706</v>
      </c>
      <c r="C471" s="417">
        <f t="shared" ref="C471:C474" si="12">B471*100/B$474</f>
        <v>16.005440943096804</v>
      </c>
      <c r="D471" s="419">
        <f>B471*100/B$472</f>
        <v>16.085668717247664</v>
      </c>
      <c r="E471" s="3131"/>
      <c r="F471" s="408"/>
      <c r="G471" s="408"/>
      <c r="H471" s="99"/>
    </row>
    <row r="472" spans="1:12">
      <c r="A472" s="420" t="s">
        <v>15</v>
      </c>
      <c r="B472" s="420">
        <v>4389</v>
      </c>
      <c r="C472" s="417">
        <f t="shared" si="12"/>
        <v>99.501246882793012</v>
      </c>
      <c r="D472" s="419">
        <f>B472*100/B$472</f>
        <v>100</v>
      </c>
      <c r="E472" s="3131"/>
      <c r="F472" s="408"/>
      <c r="G472" s="408"/>
      <c r="H472" s="99"/>
    </row>
    <row r="473" spans="1:12">
      <c r="A473" s="416" t="s">
        <v>1117</v>
      </c>
      <c r="B473" s="416">
        <v>22</v>
      </c>
      <c r="C473" s="417">
        <f t="shared" si="12"/>
        <v>0.49875311720698257</v>
      </c>
      <c r="D473" s="419"/>
      <c r="E473" s="3131"/>
      <c r="F473" s="408"/>
      <c r="G473" s="408"/>
      <c r="H473" s="99"/>
    </row>
    <row r="474" spans="1:12">
      <c r="A474" s="420" t="s">
        <v>15</v>
      </c>
      <c r="B474" s="420">
        <v>4411</v>
      </c>
      <c r="C474" s="417">
        <f t="shared" si="12"/>
        <v>100</v>
      </c>
      <c r="D474" s="419"/>
      <c r="E474" s="3131"/>
      <c r="F474" s="408"/>
      <c r="G474" s="408"/>
      <c r="H474" s="99"/>
    </row>
    <row r="475" spans="1:12">
      <c r="A475" s="363"/>
      <c r="B475" s="363"/>
      <c r="C475" s="363"/>
      <c r="D475" s="363"/>
      <c r="E475" s="363"/>
      <c r="F475" s="363"/>
      <c r="G475" s="363"/>
    </row>
    <row r="476" spans="1:12">
      <c r="A476" s="54"/>
      <c r="B476" s="54"/>
      <c r="C476" s="54"/>
      <c r="D476" s="54"/>
      <c r="E476" s="54"/>
      <c r="F476" s="5074" t="s">
        <v>1555</v>
      </c>
      <c r="G476" s="5074"/>
      <c r="H476" s="5081" t="s">
        <v>1556</v>
      </c>
      <c r="I476" s="5082"/>
      <c r="J476" s="5082"/>
      <c r="K476" s="5082"/>
      <c r="L476" s="5083"/>
    </row>
    <row r="477" spans="1:12">
      <c r="A477" s="2796" t="s">
        <v>0</v>
      </c>
      <c r="B477" s="2796" t="s">
        <v>1</v>
      </c>
      <c r="C477" s="2796" t="s">
        <v>1554</v>
      </c>
      <c r="D477" s="2796" t="s">
        <v>1057</v>
      </c>
      <c r="E477" s="3132"/>
      <c r="F477" s="2797" t="s">
        <v>272</v>
      </c>
      <c r="G477" s="2797" t="s">
        <v>273</v>
      </c>
      <c r="H477" s="2798" t="s">
        <v>1557</v>
      </c>
      <c r="I477" s="2798" t="s">
        <v>1558</v>
      </c>
      <c r="J477" s="2798" t="s">
        <v>1559</v>
      </c>
      <c r="K477" s="2798" t="s">
        <v>1560</v>
      </c>
      <c r="L477" s="2798" t="s">
        <v>15</v>
      </c>
    </row>
    <row r="478" spans="1:12">
      <c r="A478" s="2799" t="s">
        <v>70</v>
      </c>
      <c r="B478" s="2800" t="s">
        <v>21</v>
      </c>
      <c r="C478" s="2801" t="s">
        <v>1583</v>
      </c>
      <c r="D478" s="2802" t="s">
        <v>1568</v>
      </c>
      <c r="E478" s="3133"/>
      <c r="F478" s="2803">
        <v>90.9</v>
      </c>
      <c r="G478" s="2803">
        <v>9.1</v>
      </c>
      <c r="H478" s="2804">
        <v>5.3</v>
      </c>
      <c r="I478" s="2804">
        <v>5.3</v>
      </c>
      <c r="J478" s="2804">
        <v>15.7</v>
      </c>
      <c r="K478" s="2804">
        <v>5.3</v>
      </c>
      <c r="L478" s="2804">
        <v>68.400000000000006</v>
      </c>
    </row>
    <row r="479" spans="1:12">
      <c r="A479" s="2799" t="s">
        <v>70</v>
      </c>
      <c r="B479" s="2800" t="s">
        <v>21</v>
      </c>
      <c r="C479" s="2801" t="s">
        <v>1579</v>
      </c>
      <c r="D479" s="2802" t="s">
        <v>1562</v>
      </c>
      <c r="E479" s="3133"/>
      <c r="F479" s="2803">
        <v>81.3</v>
      </c>
      <c r="G479" s="2803">
        <v>18.8</v>
      </c>
      <c r="H479" s="2804">
        <v>0</v>
      </c>
      <c r="I479" s="2804">
        <v>0</v>
      </c>
      <c r="J479" s="2804">
        <v>15.4</v>
      </c>
      <c r="K479" s="2804">
        <v>7.7</v>
      </c>
      <c r="L479" s="2804">
        <v>76.900000000000006</v>
      </c>
    </row>
    <row r="480" spans="1:12">
      <c r="A480" s="2799" t="s">
        <v>70</v>
      </c>
      <c r="B480" s="2800" t="s">
        <v>21</v>
      </c>
      <c r="C480" s="2801" t="s">
        <v>1580</v>
      </c>
      <c r="D480" s="2802" t="s">
        <v>1562</v>
      </c>
      <c r="E480" s="3133"/>
      <c r="F480" s="2803">
        <v>88.8</v>
      </c>
      <c r="G480" s="2803">
        <v>11.200000000000001</v>
      </c>
      <c r="H480" s="2804">
        <v>4</v>
      </c>
      <c r="I480" s="2804">
        <v>2.4</v>
      </c>
      <c r="J480" s="2804">
        <v>10.4</v>
      </c>
      <c r="K480" s="2804">
        <v>12.8</v>
      </c>
      <c r="L480" s="2804">
        <v>70.399999999999991</v>
      </c>
    </row>
    <row r="481" spans="1:12">
      <c r="A481" s="2799" t="s">
        <v>70</v>
      </c>
      <c r="B481" s="2800" t="s">
        <v>21</v>
      </c>
      <c r="C481" s="2801" t="s">
        <v>1581</v>
      </c>
      <c r="D481" s="2802" t="s">
        <v>1564</v>
      </c>
      <c r="E481" s="3133"/>
      <c r="F481" s="2803">
        <v>76</v>
      </c>
      <c r="G481" s="2803">
        <v>24</v>
      </c>
      <c r="H481" s="2804">
        <v>2.5</v>
      </c>
      <c r="I481" s="2804">
        <v>7.7</v>
      </c>
      <c r="J481" s="2804">
        <v>10.299999999999999</v>
      </c>
      <c r="K481" s="2804">
        <v>20.5</v>
      </c>
      <c r="L481" s="2804">
        <v>59</v>
      </c>
    </row>
    <row r="482" spans="1:12">
      <c r="A482" s="2799" t="s">
        <v>70</v>
      </c>
      <c r="B482" s="2800" t="s">
        <v>21</v>
      </c>
      <c r="C482" s="2801" t="s">
        <v>1582</v>
      </c>
      <c r="D482" s="2802" t="s">
        <v>1564</v>
      </c>
      <c r="E482" s="3133"/>
      <c r="F482" s="2803">
        <v>92.300000000000011</v>
      </c>
      <c r="G482" s="2803">
        <v>7.7</v>
      </c>
      <c r="H482" s="2804">
        <v>8.3000000000000007</v>
      </c>
      <c r="I482" s="2804">
        <v>16.7</v>
      </c>
      <c r="J482" s="2804">
        <v>0</v>
      </c>
      <c r="K482" s="2804">
        <v>0</v>
      </c>
      <c r="L482" s="2804">
        <v>75</v>
      </c>
    </row>
    <row r="483" spans="1:12">
      <c r="A483" s="2799" t="s">
        <v>70</v>
      </c>
      <c r="B483" s="2800" t="s">
        <v>4</v>
      </c>
      <c r="C483" s="2801" t="s">
        <v>1567</v>
      </c>
      <c r="D483" s="2802" t="s">
        <v>1568</v>
      </c>
      <c r="E483" s="3133"/>
      <c r="F483" s="2803">
        <v>80</v>
      </c>
      <c r="G483" s="2803">
        <v>20</v>
      </c>
      <c r="H483" s="2804">
        <v>5</v>
      </c>
      <c r="I483" s="2804">
        <v>0</v>
      </c>
      <c r="J483" s="2804">
        <v>15</v>
      </c>
      <c r="K483" s="2804">
        <v>5</v>
      </c>
      <c r="L483" s="2804">
        <v>75</v>
      </c>
    </row>
    <row r="484" spans="1:12">
      <c r="A484" s="2799" t="s">
        <v>70</v>
      </c>
      <c r="B484" s="2800" t="s">
        <v>4</v>
      </c>
      <c r="C484" s="2801" t="s">
        <v>1569</v>
      </c>
      <c r="D484" s="2802" t="s">
        <v>1568</v>
      </c>
      <c r="E484" s="3133"/>
      <c r="F484" s="2803">
        <v>100</v>
      </c>
      <c r="G484" s="2803">
        <v>0</v>
      </c>
      <c r="H484" s="2804">
        <v>0</v>
      </c>
      <c r="I484" s="2804">
        <v>0</v>
      </c>
      <c r="J484" s="2804">
        <v>0</v>
      </c>
      <c r="K484" s="2804">
        <v>0</v>
      </c>
      <c r="L484" s="2804">
        <v>100</v>
      </c>
    </row>
    <row r="485" spans="1:12">
      <c r="A485" s="2799" t="s">
        <v>70</v>
      </c>
      <c r="B485" s="2800" t="s">
        <v>4</v>
      </c>
      <c r="C485" s="2801" t="s">
        <v>1561</v>
      </c>
      <c r="D485" s="2802" t="s">
        <v>1562</v>
      </c>
      <c r="E485" s="3133"/>
      <c r="F485" s="2803">
        <v>83.3</v>
      </c>
      <c r="G485" s="2803">
        <v>16.7</v>
      </c>
      <c r="H485" s="2804">
        <v>0</v>
      </c>
      <c r="I485" s="2804">
        <v>10</v>
      </c>
      <c r="J485" s="2804">
        <v>10</v>
      </c>
      <c r="K485" s="2804">
        <v>10</v>
      </c>
      <c r="L485" s="2804">
        <v>70</v>
      </c>
    </row>
    <row r="486" spans="1:12">
      <c r="A486" s="2799" t="s">
        <v>70</v>
      </c>
      <c r="B486" s="2800" t="s">
        <v>4</v>
      </c>
      <c r="C486" s="2801" t="s">
        <v>1563</v>
      </c>
      <c r="D486" s="2802" t="s">
        <v>1564</v>
      </c>
      <c r="E486" s="3133"/>
      <c r="F486" s="2803">
        <v>80</v>
      </c>
      <c r="G486" s="2803">
        <v>20</v>
      </c>
      <c r="H486" s="2804">
        <v>0</v>
      </c>
      <c r="I486" s="2804">
        <v>7.3999999999999995</v>
      </c>
      <c r="J486" s="2804">
        <v>3.6999999999999997</v>
      </c>
      <c r="K486" s="2804">
        <v>3.6999999999999997</v>
      </c>
      <c r="L486" s="2804">
        <v>85.2</v>
      </c>
    </row>
    <row r="487" spans="1:12">
      <c r="A487" s="2799" t="s">
        <v>70</v>
      </c>
      <c r="B487" s="2800" t="s">
        <v>4</v>
      </c>
      <c r="C487" s="2801" t="s">
        <v>1565</v>
      </c>
      <c r="D487" s="2802" t="s">
        <v>1564</v>
      </c>
      <c r="E487" s="3133"/>
      <c r="F487" s="2803">
        <v>94.699999999999989</v>
      </c>
      <c r="G487" s="2803">
        <v>5.3</v>
      </c>
      <c r="H487" s="2804">
        <v>5.7</v>
      </c>
      <c r="I487" s="2804">
        <v>7.5</v>
      </c>
      <c r="J487" s="2804">
        <v>5.7</v>
      </c>
      <c r="K487" s="2804">
        <v>9.4</v>
      </c>
      <c r="L487" s="2804">
        <v>71.7</v>
      </c>
    </row>
    <row r="488" spans="1:12">
      <c r="A488" s="2799" t="s">
        <v>70</v>
      </c>
      <c r="B488" s="2800" t="s">
        <v>4</v>
      </c>
      <c r="C488" s="2801" t="s">
        <v>1566</v>
      </c>
      <c r="D488" s="2802" t="s">
        <v>1564</v>
      </c>
      <c r="E488" s="3133"/>
      <c r="F488" s="2803">
        <v>90.9</v>
      </c>
      <c r="G488" s="2803">
        <v>9.1</v>
      </c>
      <c r="H488" s="2804">
        <v>5.3</v>
      </c>
      <c r="I488" s="2804">
        <v>5.3</v>
      </c>
      <c r="J488" s="2804">
        <v>5.3</v>
      </c>
      <c r="K488" s="2804">
        <v>0</v>
      </c>
      <c r="L488" s="2804">
        <v>84.1</v>
      </c>
    </row>
    <row r="489" spans="1:12">
      <c r="A489" s="2799" t="s">
        <v>70</v>
      </c>
      <c r="B489" s="2800" t="s">
        <v>16</v>
      </c>
      <c r="C489" s="2801" t="s">
        <v>1577</v>
      </c>
      <c r="D489" s="2802" t="s">
        <v>1568</v>
      </c>
      <c r="E489" s="3133"/>
      <c r="F489" s="2803">
        <v>100</v>
      </c>
      <c r="G489" s="2803">
        <v>0</v>
      </c>
      <c r="H489" s="2804">
        <v>0</v>
      </c>
      <c r="I489" s="2804">
        <v>0</v>
      </c>
      <c r="J489" s="2804">
        <v>0</v>
      </c>
      <c r="K489" s="2804">
        <v>100</v>
      </c>
      <c r="L489" s="2804">
        <v>0</v>
      </c>
    </row>
    <row r="490" spans="1:12">
      <c r="A490" s="2799" t="s">
        <v>70</v>
      </c>
      <c r="B490" s="2800" t="s">
        <v>16</v>
      </c>
      <c r="C490" s="2801" t="s">
        <v>1578</v>
      </c>
      <c r="D490" s="2802" t="s">
        <v>1568</v>
      </c>
      <c r="E490" s="3133"/>
      <c r="F490" s="2803">
        <v>87.5</v>
      </c>
      <c r="G490" s="2803">
        <v>12.5</v>
      </c>
      <c r="H490" s="2804">
        <v>0</v>
      </c>
      <c r="I490" s="2804">
        <v>0</v>
      </c>
      <c r="J490" s="2804">
        <v>14.299999999999999</v>
      </c>
      <c r="K490" s="2804">
        <v>14.299999999999999</v>
      </c>
      <c r="L490" s="2804">
        <v>71.399999999999991</v>
      </c>
    </row>
    <row r="491" spans="1:12">
      <c r="A491" s="2799" t="s">
        <v>70</v>
      </c>
      <c r="B491" s="2800" t="s">
        <v>16</v>
      </c>
      <c r="C491" s="2801" t="s">
        <v>1570</v>
      </c>
      <c r="D491" s="2802" t="s">
        <v>1562</v>
      </c>
      <c r="E491" s="3133"/>
      <c r="F491" s="2803">
        <v>81.8</v>
      </c>
      <c r="G491" s="2803">
        <v>18.2</v>
      </c>
      <c r="H491" s="2804">
        <v>3.8</v>
      </c>
      <c r="I491" s="2804">
        <v>3.8</v>
      </c>
      <c r="J491" s="2804">
        <v>7.4</v>
      </c>
      <c r="K491" s="2804">
        <v>20.8</v>
      </c>
      <c r="L491" s="2804">
        <v>64.2</v>
      </c>
    </row>
    <row r="492" spans="1:12">
      <c r="A492" s="2799" t="s">
        <v>70</v>
      </c>
      <c r="B492" s="2800" t="s">
        <v>16</v>
      </c>
      <c r="C492" s="2801" t="s">
        <v>1571</v>
      </c>
      <c r="D492" s="2802" t="s">
        <v>1562</v>
      </c>
      <c r="E492" s="3133"/>
      <c r="F492" s="2803">
        <v>86.5</v>
      </c>
      <c r="G492" s="2803">
        <v>13.5</v>
      </c>
      <c r="H492" s="2804">
        <v>2.1999999999999997</v>
      </c>
      <c r="I492" s="2804">
        <v>6.7</v>
      </c>
      <c r="J492" s="2804">
        <v>6.7</v>
      </c>
      <c r="K492" s="2804">
        <v>22.2</v>
      </c>
      <c r="L492" s="2804">
        <v>62.2</v>
      </c>
    </row>
    <row r="493" spans="1:12">
      <c r="A493" s="2799" t="s">
        <v>70</v>
      </c>
      <c r="B493" s="2800" t="s">
        <v>16</v>
      </c>
      <c r="C493" s="2801" t="s">
        <v>1572</v>
      </c>
      <c r="D493" s="2802" t="s">
        <v>1564</v>
      </c>
      <c r="E493" s="3133"/>
      <c r="F493" s="2803">
        <v>84.1</v>
      </c>
      <c r="G493" s="2803">
        <v>15.9</v>
      </c>
      <c r="H493" s="2804">
        <v>2.7</v>
      </c>
      <c r="I493" s="2804">
        <v>4</v>
      </c>
      <c r="J493" s="2804">
        <v>21.3</v>
      </c>
      <c r="K493" s="2804">
        <v>12</v>
      </c>
      <c r="L493" s="2804">
        <v>60</v>
      </c>
    </row>
    <row r="494" spans="1:12">
      <c r="A494" s="2799" t="s">
        <v>70</v>
      </c>
      <c r="B494" s="2800" t="s">
        <v>16</v>
      </c>
      <c r="C494" s="2801" t="s">
        <v>1573</v>
      </c>
      <c r="D494" s="2802" t="s">
        <v>1564</v>
      </c>
      <c r="E494" s="3133"/>
      <c r="F494" s="2803">
        <v>82.899999999999991</v>
      </c>
      <c r="G494" s="2803">
        <v>17.100000000000001</v>
      </c>
      <c r="H494" s="2804">
        <v>0</v>
      </c>
      <c r="I494" s="2804">
        <v>6.1</v>
      </c>
      <c r="J494" s="2804">
        <v>24.2</v>
      </c>
      <c r="K494" s="2804">
        <v>15.2</v>
      </c>
      <c r="L494" s="2804">
        <v>54.500000000000007</v>
      </c>
    </row>
    <row r="495" spans="1:12">
      <c r="A495" s="2799" t="s">
        <v>70</v>
      </c>
      <c r="B495" s="2800" t="s">
        <v>16</v>
      </c>
      <c r="C495" s="2801" t="s">
        <v>1574</v>
      </c>
      <c r="D495" s="2802" t="s">
        <v>1564</v>
      </c>
      <c r="E495" s="3133"/>
      <c r="F495" s="2803">
        <v>73.5</v>
      </c>
      <c r="G495" s="2803">
        <v>26.5</v>
      </c>
      <c r="H495" s="2804">
        <v>0</v>
      </c>
      <c r="I495" s="2804">
        <v>4.0999999999999996</v>
      </c>
      <c r="J495" s="2804">
        <v>16.7</v>
      </c>
      <c r="K495" s="2804">
        <v>12.5</v>
      </c>
      <c r="L495" s="2804">
        <v>66.7</v>
      </c>
    </row>
    <row r="496" spans="1:12">
      <c r="A496" s="2799" t="s">
        <v>70</v>
      </c>
      <c r="B496" s="2800" t="s">
        <v>16</v>
      </c>
      <c r="C496" s="2801" t="s">
        <v>1575</v>
      </c>
      <c r="D496" s="2802" t="s">
        <v>1564</v>
      </c>
      <c r="E496" s="3133"/>
      <c r="F496" s="2803">
        <v>75.599999999999994</v>
      </c>
      <c r="G496" s="2803">
        <v>24.4</v>
      </c>
      <c r="H496" s="2804">
        <v>3</v>
      </c>
      <c r="I496" s="2804">
        <v>0</v>
      </c>
      <c r="J496" s="2804">
        <v>15.2</v>
      </c>
      <c r="K496" s="2804">
        <v>9.1</v>
      </c>
      <c r="L496" s="2804">
        <v>72.7</v>
      </c>
    </row>
    <row r="497" spans="1:12">
      <c r="A497" s="2799" t="s">
        <v>70</v>
      </c>
      <c r="B497" s="2800" t="s">
        <v>16</v>
      </c>
      <c r="C497" s="2801" t="s">
        <v>1576</v>
      </c>
      <c r="D497" s="2802" t="s">
        <v>1564</v>
      </c>
      <c r="E497" s="3133"/>
      <c r="F497" s="2803">
        <v>36.4</v>
      </c>
      <c r="G497" s="2803">
        <v>63.6</v>
      </c>
      <c r="H497" s="2804">
        <v>0</v>
      </c>
      <c r="I497" s="2804">
        <v>0</v>
      </c>
      <c r="J497" s="2804">
        <v>0</v>
      </c>
      <c r="K497" s="2804">
        <v>25</v>
      </c>
      <c r="L497" s="2804">
        <v>75</v>
      </c>
    </row>
    <row r="498" spans="1:12">
      <c r="A498" s="2799" t="s">
        <v>72</v>
      </c>
      <c r="B498" s="2800" t="s">
        <v>16</v>
      </c>
      <c r="C498" s="2801" t="s">
        <v>1643</v>
      </c>
      <c r="D498" s="2802" t="s">
        <v>1564</v>
      </c>
      <c r="E498" s="3133"/>
      <c r="F498" s="2803">
        <v>46.2</v>
      </c>
      <c r="G498" s="2803">
        <v>53.800000000000004</v>
      </c>
      <c r="H498" s="2804">
        <v>16.600000000000001</v>
      </c>
      <c r="I498" s="2804">
        <v>0</v>
      </c>
      <c r="J498" s="2804">
        <v>0</v>
      </c>
      <c r="K498" s="2804">
        <v>16.7</v>
      </c>
      <c r="L498" s="2804">
        <v>66.7</v>
      </c>
    </row>
    <row r="499" spans="1:12">
      <c r="A499" s="2799" t="s">
        <v>73</v>
      </c>
      <c r="B499" s="2800" t="s">
        <v>4</v>
      </c>
      <c r="C499" s="2801" t="s">
        <v>1612</v>
      </c>
      <c r="D499" s="2802" t="s">
        <v>1568</v>
      </c>
      <c r="E499" s="3133"/>
      <c r="F499" s="2803">
        <v>77.2</v>
      </c>
      <c r="G499" s="2803">
        <v>22.8</v>
      </c>
      <c r="H499" s="2804">
        <v>2.9000000000000004</v>
      </c>
      <c r="I499" s="2804">
        <v>5.0999999999999996</v>
      </c>
      <c r="J499" s="2804">
        <v>8.7999999999999989</v>
      </c>
      <c r="K499" s="2804">
        <v>16.8</v>
      </c>
      <c r="L499" s="2804">
        <v>66.400000000000006</v>
      </c>
    </row>
    <row r="500" spans="1:12">
      <c r="A500" s="2799" t="s">
        <v>73</v>
      </c>
      <c r="B500" s="2800" t="s">
        <v>4</v>
      </c>
      <c r="C500" s="2801" t="s">
        <v>1605</v>
      </c>
      <c r="D500" s="2802" t="s">
        <v>1568</v>
      </c>
      <c r="E500" s="3133"/>
      <c r="F500" s="2803">
        <v>76.900000000000006</v>
      </c>
      <c r="G500" s="2803">
        <v>23.1</v>
      </c>
      <c r="H500" s="2804">
        <v>1.2</v>
      </c>
      <c r="I500" s="2804">
        <v>0</v>
      </c>
      <c r="J500" s="2804">
        <v>2.4</v>
      </c>
      <c r="K500" s="2804">
        <v>23.799999999999997</v>
      </c>
      <c r="L500" s="2804">
        <v>72.599999999999994</v>
      </c>
    </row>
    <row r="501" spans="1:12">
      <c r="A501" s="2799" t="s">
        <v>73</v>
      </c>
      <c r="B501" s="2800" t="s">
        <v>4</v>
      </c>
      <c r="C501" s="2801" t="s">
        <v>1607</v>
      </c>
      <c r="D501" s="2802" t="s">
        <v>1568</v>
      </c>
      <c r="E501" s="3133"/>
      <c r="F501" s="2803">
        <v>100</v>
      </c>
      <c r="G501" s="2803">
        <v>0</v>
      </c>
      <c r="H501" s="2804">
        <v>0</v>
      </c>
      <c r="I501" s="2804">
        <v>0</v>
      </c>
      <c r="J501" s="2804">
        <v>0</v>
      </c>
      <c r="K501" s="2804">
        <v>20</v>
      </c>
      <c r="L501" s="2804">
        <v>80</v>
      </c>
    </row>
    <row r="502" spans="1:12">
      <c r="A502" s="2799" t="s">
        <v>73</v>
      </c>
      <c r="B502" s="2800" t="s">
        <v>4</v>
      </c>
      <c r="C502" s="2801" t="s">
        <v>1587</v>
      </c>
      <c r="D502" s="2802" t="s">
        <v>1564</v>
      </c>
      <c r="E502" s="3133"/>
      <c r="F502" s="2803">
        <v>74.099999999999994</v>
      </c>
      <c r="G502" s="2803">
        <v>25.900000000000002</v>
      </c>
      <c r="H502" s="2804">
        <v>0</v>
      </c>
      <c r="I502" s="2804">
        <v>5</v>
      </c>
      <c r="J502" s="2804">
        <v>5</v>
      </c>
      <c r="K502" s="2804">
        <v>30</v>
      </c>
      <c r="L502" s="2804">
        <v>60</v>
      </c>
    </row>
    <row r="503" spans="1:12">
      <c r="A503" s="2799" t="s">
        <v>73</v>
      </c>
      <c r="B503" s="2800" t="s">
        <v>4</v>
      </c>
      <c r="C503" s="2801" t="s">
        <v>1588</v>
      </c>
      <c r="D503" s="2802" t="s">
        <v>1564</v>
      </c>
      <c r="E503" s="3133"/>
      <c r="F503" s="2803">
        <v>90.100000000000009</v>
      </c>
      <c r="G503" s="2803">
        <v>9.9</v>
      </c>
      <c r="H503" s="2804">
        <v>3.2</v>
      </c>
      <c r="I503" s="2804">
        <v>6.3</v>
      </c>
      <c r="J503" s="2804">
        <v>12.7</v>
      </c>
      <c r="K503" s="2804">
        <v>6.3</v>
      </c>
      <c r="L503" s="2804">
        <v>71.5</v>
      </c>
    </row>
    <row r="504" spans="1:12">
      <c r="A504" s="2799" t="s">
        <v>73</v>
      </c>
      <c r="B504" s="2800" t="s">
        <v>4</v>
      </c>
      <c r="C504" s="2801" t="s">
        <v>1589</v>
      </c>
      <c r="D504" s="2802" t="s">
        <v>1564</v>
      </c>
      <c r="E504" s="3133"/>
      <c r="F504" s="2803">
        <v>77.8</v>
      </c>
      <c r="G504" s="2803">
        <v>22.2</v>
      </c>
      <c r="H504" s="2804">
        <v>0</v>
      </c>
      <c r="I504" s="2804">
        <v>0</v>
      </c>
      <c r="J504" s="2804">
        <v>0</v>
      </c>
      <c r="K504" s="2804">
        <v>0</v>
      </c>
      <c r="L504" s="2804">
        <v>100</v>
      </c>
    </row>
    <row r="505" spans="1:12">
      <c r="A505" s="2799" t="s">
        <v>73</v>
      </c>
      <c r="B505" s="2800" t="s">
        <v>4</v>
      </c>
      <c r="C505" s="2801" t="s">
        <v>1590</v>
      </c>
      <c r="D505" s="2802" t="s">
        <v>1564</v>
      </c>
      <c r="E505" s="3133"/>
      <c r="F505" s="2803">
        <v>84.399999999999991</v>
      </c>
      <c r="G505" s="2803">
        <v>15.6</v>
      </c>
      <c r="H505" s="2804">
        <v>0</v>
      </c>
      <c r="I505" s="2804">
        <v>0</v>
      </c>
      <c r="J505" s="2804">
        <v>10.8</v>
      </c>
      <c r="K505" s="2804">
        <v>8.1</v>
      </c>
      <c r="L505" s="2804">
        <v>81.100000000000009</v>
      </c>
    </row>
    <row r="506" spans="1:12">
      <c r="A506" s="2799" t="s">
        <v>73</v>
      </c>
      <c r="B506" s="2800" t="s">
        <v>4</v>
      </c>
      <c r="C506" s="2801" t="s">
        <v>1591</v>
      </c>
      <c r="D506" s="2802" t="s">
        <v>1564</v>
      </c>
      <c r="E506" s="3133"/>
      <c r="F506" s="2803">
        <v>76</v>
      </c>
      <c r="G506" s="2803">
        <v>24</v>
      </c>
      <c r="H506" s="2804">
        <v>5.2</v>
      </c>
      <c r="I506" s="2804">
        <v>0</v>
      </c>
      <c r="J506" s="2804">
        <v>5.3</v>
      </c>
      <c r="K506" s="2804">
        <v>21.099999999999998</v>
      </c>
      <c r="L506" s="2804">
        <v>68.400000000000006</v>
      </c>
    </row>
    <row r="507" spans="1:12">
      <c r="A507" s="2799" t="s">
        <v>73</v>
      </c>
      <c r="B507" s="2800" t="s">
        <v>4</v>
      </c>
      <c r="C507" s="2801" t="s">
        <v>1603</v>
      </c>
      <c r="D507" s="2802" t="s">
        <v>1564</v>
      </c>
      <c r="E507" s="3133"/>
      <c r="F507" s="2803">
        <v>82.399999999999991</v>
      </c>
      <c r="G507" s="2803">
        <v>17.599999999999998</v>
      </c>
      <c r="H507" s="2804">
        <v>0</v>
      </c>
      <c r="I507" s="2804">
        <v>7.3999999999999995</v>
      </c>
      <c r="J507" s="2804">
        <v>0</v>
      </c>
      <c r="K507" s="2804">
        <v>11.1</v>
      </c>
      <c r="L507" s="2804">
        <v>81.5</v>
      </c>
    </row>
    <row r="508" spans="1:12">
      <c r="A508" s="2799" t="s">
        <v>73</v>
      </c>
      <c r="B508" s="2800" t="s">
        <v>4</v>
      </c>
      <c r="C508" s="2801" t="s">
        <v>1604</v>
      </c>
      <c r="D508" s="2802" t="s">
        <v>1564</v>
      </c>
      <c r="E508" s="3133"/>
      <c r="F508" s="2803">
        <v>92.2</v>
      </c>
      <c r="G508" s="2803">
        <v>7.8</v>
      </c>
      <c r="H508" s="2804">
        <v>3.4000000000000004</v>
      </c>
      <c r="I508" s="2804">
        <v>3.4000000000000004</v>
      </c>
      <c r="J508" s="2804">
        <v>10.1</v>
      </c>
      <c r="K508" s="2804">
        <v>6.8000000000000007</v>
      </c>
      <c r="L508" s="2804">
        <v>76.3</v>
      </c>
    </row>
    <row r="509" spans="1:12">
      <c r="A509" s="2799" t="s">
        <v>73</v>
      </c>
      <c r="B509" s="2800" t="s">
        <v>4</v>
      </c>
      <c r="C509" s="2801" t="s">
        <v>1605</v>
      </c>
      <c r="D509" s="2802" t="s">
        <v>1564</v>
      </c>
      <c r="E509" s="3133"/>
      <c r="F509" s="2803">
        <v>89</v>
      </c>
      <c r="G509" s="2803">
        <v>11</v>
      </c>
      <c r="H509" s="2804">
        <v>3.2</v>
      </c>
      <c r="I509" s="2804">
        <v>9.5</v>
      </c>
      <c r="J509" s="2804">
        <v>7.9</v>
      </c>
      <c r="K509" s="2804">
        <v>11.1</v>
      </c>
      <c r="L509" s="2804">
        <v>68.300000000000011</v>
      </c>
    </row>
    <row r="510" spans="1:12">
      <c r="A510" s="2799" t="s">
        <v>73</v>
      </c>
      <c r="B510" s="2800" t="s">
        <v>4</v>
      </c>
      <c r="C510" s="2801" t="s">
        <v>1606</v>
      </c>
      <c r="D510" s="2802" t="s">
        <v>1564</v>
      </c>
      <c r="E510" s="3133"/>
      <c r="F510" s="2803">
        <v>82</v>
      </c>
      <c r="G510" s="2803">
        <v>18</v>
      </c>
      <c r="H510" s="2804">
        <v>0</v>
      </c>
      <c r="I510" s="2804">
        <v>6</v>
      </c>
      <c r="J510" s="2804">
        <v>8</v>
      </c>
      <c r="K510" s="2804">
        <v>12</v>
      </c>
      <c r="L510" s="2804">
        <v>74</v>
      </c>
    </row>
    <row r="511" spans="1:12">
      <c r="A511" s="2799" t="s">
        <v>73</v>
      </c>
      <c r="B511" s="2800" t="s">
        <v>4</v>
      </c>
      <c r="C511" s="2801" t="s">
        <v>1607</v>
      </c>
      <c r="D511" s="2802" t="s">
        <v>1564</v>
      </c>
      <c r="E511" s="3133"/>
      <c r="F511" s="2803">
        <v>76.099999999999994</v>
      </c>
      <c r="G511" s="2803">
        <v>23.9</v>
      </c>
      <c r="H511" s="2804">
        <v>5.4</v>
      </c>
      <c r="I511" s="2804">
        <v>7.3</v>
      </c>
      <c r="J511" s="2804">
        <v>16.400000000000002</v>
      </c>
      <c r="K511" s="2804">
        <v>12.7</v>
      </c>
      <c r="L511" s="2804">
        <v>58.199999999999996</v>
      </c>
    </row>
    <row r="512" spans="1:12">
      <c r="A512" s="2799" t="s">
        <v>73</v>
      </c>
      <c r="B512" s="2800" t="s">
        <v>4</v>
      </c>
      <c r="C512" s="2801" t="s">
        <v>1610</v>
      </c>
      <c r="D512" s="2802" t="s">
        <v>1564</v>
      </c>
      <c r="E512" s="3133"/>
      <c r="F512" s="2803">
        <v>84.2</v>
      </c>
      <c r="G512" s="2803">
        <v>15.8</v>
      </c>
      <c r="H512" s="2804">
        <v>0</v>
      </c>
      <c r="I512" s="2804">
        <v>6.3</v>
      </c>
      <c r="J512" s="2804">
        <v>18.7</v>
      </c>
      <c r="K512" s="2804">
        <v>12.5</v>
      </c>
      <c r="L512" s="2804">
        <v>62.5</v>
      </c>
    </row>
    <row r="513" spans="1:12">
      <c r="A513" s="2799" t="s">
        <v>73</v>
      </c>
      <c r="B513" s="2800" t="s">
        <v>4</v>
      </c>
      <c r="C513" s="2801" t="s">
        <v>1611</v>
      </c>
      <c r="D513" s="2802" t="s">
        <v>1564</v>
      </c>
      <c r="E513" s="3133"/>
      <c r="F513" s="2803">
        <v>83.3</v>
      </c>
      <c r="G513" s="2803">
        <v>16.7</v>
      </c>
      <c r="H513" s="2804">
        <v>0</v>
      </c>
      <c r="I513" s="2804">
        <v>20</v>
      </c>
      <c r="J513" s="2804">
        <v>20</v>
      </c>
      <c r="K513" s="2804">
        <v>0</v>
      </c>
      <c r="L513" s="2804">
        <v>60</v>
      </c>
    </row>
    <row r="514" spans="1:12">
      <c r="A514" s="2799" t="s">
        <v>73</v>
      </c>
      <c r="B514" s="2800" t="s">
        <v>41</v>
      </c>
      <c r="C514" s="2801" t="s">
        <v>1599</v>
      </c>
      <c r="D514" s="2802" t="s">
        <v>1568</v>
      </c>
      <c r="E514" s="3133"/>
      <c r="F514" s="2803">
        <v>77.8</v>
      </c>
      <c r="G514" s="2803">
        <v>22.2</v>
      </c>
      <c r="H514" s="2804">
        <v>4.1000000000000005</v>
      </c>
      <c r="I514" s="2804">
        <v>4.1000000000000005</v>
      </c>
      <c r="J514" s="2804">
        <v>10.199999999999999</v>
      </c>
      <c r="K514" s="2804">
        <v>14.299999999999999</v>
      </c>
      <c r="L514" s="2804">
        <v>67.300000000000011</v>
      </c>
    </row>
    <row r="515" spans="1:12">
      <c r="A515" s="2799" t="s">
        <v>73</v>
      </c>
      <c r="B515" s="2800" t="s">
        <v>41</v>
      </c>
      <c r="C515" s="2801" t="s">
        <v>1614</v>
      </c>
      <c r="D515" s="2802" t="s">
        <v>1568</v>
      </c>
      <c r="E515" s="3133"/>
      <c r="F515" s="2803">
        <v>76.7</v>
      </c>
      <c r="G515" s="2803">
        <v>23.3</v>
      </c>
      <c r="H515" s="2804">
        <v>3.6</v>
      </c>
      <c r="I515" s="2804">
        <v>4.9000000000000004</v>
      </c>
      <c r="J515" s="2804">
        <v>11</v>
      </c>
      <c r="K515" s="2804">
        <v>7.3</v>
      </c>
      <c r="L515" s="2804">
        <v>73.2</v>
      </c>
    </row>
    <row r="516" spans="1:12">
      <c r="A516" s="2799" t="s">
        <v>73</v>
      </c>
      <c r="B516" s="2800" t="s">
        <v>41</v>
      </c>
      <c r="C516" s="2801" t="s">
        <v>1608</v>
      </c>
      <c r="D516" s="2802" t="s">
        <v>1568</v>
      </c>
      <c r="E516" s="3133"/>
      <c r="F516" s="2803">
        <v>94.1</v>
      </c>
      <c r="G516" s="2803">
        <v>5.8999999999999995</v>
      </c>
      <c r="H516" s="2804">
        <v>6.2</v>
      </c>
      <c r="I516" s="2804">
        <v>0</v>
      </c>
      <c r="J516" s="2804">
        <v>12.5</v>
      </c>
      <c r="K516" s="2804">
        <v>12.5</v>
      </c>
      <c r="L516" s="2804">
        <v>68.8</v>
      </c>
    </row>
    <row r="517" spans="1:12">
      <c r="A517" s="2799" t="s">
        <v>73</v>
      </c>
      <c r="B517" s="2800" t="s">
        <v>41</v>
      </c>
      <c r="C517" s="2801" t="s">
        <v>1586</v>
      </c>
      <c r="D517" s="2802" t="s">
        <v>1562</v>
      </c>
      <c r="E517" s="3133"/>
      <c r="F517" s="2803">
        <v>87.5</v>
      </c>
      <c r="G517" s="2803">
        <v>12.5</v>
      </c>
      <c r="H517" s="2804">
        <v>0</v>
      </c>
      <c r="I517" s="2804">
        <v>7.1</v>
      </c>
      <c r="J517" s="2804">
        <v>14.299999999999999</v>
      </c>
      <c r="K517" s="2804">
        <v>0</v>
      </c>
      <c r="L517" s="2804">
        <v>78.600000000000009</v>
      </c>
    </row>
    <row r="518" spans="1:12">
      <c r="A518" s="2799" t="s">
        <v>73</v>
      </c>
      <c r="B518" s="2800" t="s">
        <v>41</v>
      </c>
      <c r="C518" s="2801" t="s">
        <v>1596</v>
      </c>
      <c r="D518" s="2802" t="s">
        <v>1564</v>
      </c>
      <c r="E518" s="3133"/>
      <c r="F518" s="2803">
        <v>87.3</v>
      </c>
      <c r="G518" s="2803">
        <v>12.7</v>
      </c>
      <c r="H518" s="2804">
        <v>6.3</v>
      </c>
      <c r="I518" s="2804">
        <v>6.3</v>
      </c>
      <c r="J518" s="2804">
        <v>10.3</v>
      </c>
      <c r="K518" s="2804">
        <v>18.8</v>
      </c>
      <c r="L518" s="2804">
        <v>58.3</v>
      </c>
    </row>
    <row r="519" spans="1:12">
      <c r="A519" s="2799" t="s">
        <v>73</v>
      </c>
      <c r="B519" s="2800" t="s">
        <v>41</v>
      </c>
      <c r="C519" s="2801" t="s">
        <v>1597</v>
      </c>
      <c r="D519" s="2802" t="s">
        <v>1564</v>
      </c>
      <c r="E519" s="3133"/>
      <c r="F519" s="2803">
        <v>100</v>
      </c>
      <c r="G519" s="2803">
        <v>0</v>
      </c>
      <c r="H519" s="2804">
        <v>4.7</v>
      </c>
      <c r="I519" s="2804">
        <v>0</v>
      </c>
      <c r="J519" s="2804">
        <v>28.599999999999998</v>
      </c>
      <c r="K519" s="2804">
        <v>4.8</v>
      </c>
      <c r="L519" s="2804">
        <v>61.9</v>
      </c>
    </row>
    <row r="520" spans="1:12">
      <c r="A520" s="2799" t="s">
        <v>73</v>
      </c>
      <c r="B520" s="2800" t="s">
        <v>41</v>
      </c>
      <c r="C520" s="2801" t="s">
        <v>1598</v>
      </c>
      <c r="D520" s="2802" t="s">
        <v>1564</v>
      </c>
      <c r="E520" s="3133"/>
      <c r="F520" s="2803">
        <v>85.7</v>
      </c>
      <c r="G520" s="2803">
        <v>14.299999999999999</v>
      </c>
      <c r="H520" s="2804">
        <v>16.600000000000001</v>
      </c>
      <c r="I520" s="2804">
        <v>0</v>
      </c>
      <c r="J520" s="2804">
        <v>0</v>
      </c>
      <c r="K520" s="2804">
        <v>16.7</v>
      </c>
      <c r="L520" s="2804">
        <v>66.7</v>
      </c>
    </row>
    <row r="521" spans="1:12">
      <c r="A521" s="2799" t="s">
        <v>73</v>
      </c>
      <c r="B521" s="2800" t="s">
        <v>41</v>
      </c>
      <c r="C521" s="2801" t="s">
        <v>1599</v>
      </c>
      <c r="D521" s="2802" t="s">
        <v>1564</v>
      </c>
      <c r="E521" s="3133"/>
      <c r="F521" s="2803">
        <v>65.3</v>
      </c>
      <c r="G521" s="2803">
        <v>34.699999999999996</v>
      </c>
      <c r="H521" s="2804">
        <v>2.2999999999999998</v>
      </c>
      <c r="I521" s="2804">
        <v>3.3000000000000003</v>
      </c>
      <c r="J521" s="2804">
        <v>9.8000000000000007</v>
      </c>
      <c r="K521" s="2804">
        <v>11.4</v>
      </c>
      <c r="L521" s="2804">
        <v>73.2</v>
      </c>
    </row>
    <row r="522" spans="1:12">
      <c r="A522" s="2799" t="s">
        <v>73</v>
      </c>
      <c r="B522" s="2800" t="s">
        <v>41</v>
      </c>
      <c r="C522" s="2801" t="s">
        <v>1608</v>
      </c>
      <c r="D522" s="2802" t="s">
        <v>1564</v>
      </c>
      <c r="E522" s="3133"/>
      <c r="F522" s="2803">
        <v>78.400000000000006</v>
      </c>
      <c r="G522" s="2803">
        <v>21.6</v>
      </c>
      <c r="H522" s="2804">
        <v>0</v>
      </c>
      <c r="I522" s="2804">
        <v>10.299999999999999</v>
      </c>
      <c r="J522" s="2804">
        <v>0</v>
      </c>
      <c r="K522" s="2804">
        <v>3.4000000000000004</v>
      </c>
      <c r="L522" s="2804">
        <v>86.3</v>
      </c>
    </row>
    <row r="523" spans="1:12">
      <c r="A523" s="2799" t="s">
        <v>73</v>
      </c>
      <c r="B523" s="2800" t="s">
        <v>41</v>
      </c>
      <c r="C523" s="2801" t="s">
        <v>1609</v>
      </c>
      <c r="D523" s="2802" t="s">
        <v>1564</v>
      </c>
      <c r="E523" s="3133"/>
      <c r="F523" s="2803">
        <v>94.1</v>
      </c>
      <c r="G523" s="2803">
        <v>5.8999999999999995</v>
      </c>
      <c r="H523" s="2804">
        <v>3</v>
      </c>
      <c r="I523" s="2804">
        <v>6.3</v>
      </c>
      <c r="J523" s="2804">
        <v>3.1</v>
      </c>
      <c r="K523" s="2804">
        <v>6.3</v>
      </c>
      <c r="L523" s="2804">
        <v>81.3</v>
      </c>
    </row>
    <row r="524" spans="1:12">
      <c r="A524" s="2799" t="s">
        <v>73</v>
      </c>
      <c r="B524" s="2800" t="s">
        <v>16</v>
      </c>
      <c r="C524" s="2801" t="s">
        <v>1577</v>
      </c>
      <c r="D524" s="2802" t="s">
        <v>1568</v>
      </c>
      <c r="E524" s="3133"/>
      <c r="F524" s="2803">
        <v>25</v>
      </c>
      <c r="G524" s="2803">
        <v>75</v>
      </c>
      <c r="H524" s="2804">
        <v>0</v>
      </c>
      <c r="I524" s="2804">
        <v>0</v>
      </c>
      <c r="J524" s="2804">
        <v>100</v>
      </c>
      <c r="K524" s="2804">
        <v>0</v>
      </c>
      <c r="L524" s="2804">
        <v>0</v>
      </c>
    </row>
    <row r="525" spans="1:12">
      <c r="A525" s="2799" t="s">
        <v>73</v>
      </c>
      <c r="B525" s="2800" t="s">
        <v>16</v>
      </c>
      <c r="C525" s="2801" t="s">
        <v>1613</v>
      </c>
      <c r="D525" s="2802" t="s">
        <v>1568</v>
      </c>
      <c r="E525" s="3133"/>
      <c r="F525" s="2803">
        <v>71.399999999999991</v>
      </c>
      <c r="G525" s="2803">
        <v>28.599999999999998</v>
      </c>
      <c r="H525" s="2804">
        <v>0</v>
      </c>
      <c r="I525" s="2804">
        <v>0</v>
      </c>
      <c r="J525" s="2804">
        <v>25</v>
      </c>
      <c r="K525" s="2804">
        <v>0</v>
      </c>
      <c r="L525" s="2804">
        <v>75</v>
      </c>
    </row>
    <row r="526" spans="1:12">
      <c r="A526" s="2799" t="s">
        <v>73</v>
      </c>
      <c r="B526" s="2800" t="s">
        <v>16</v>
      </c>
      <c r="C526" s="2801" t="s">
        <v>1615</v>
      </c>
      <c r="D526" s="2802" t="s">
        <v>1568</v>
      </c>
      <c r="E526" s="3133"/>
      <c r="F526" s="2803">
        <v>85.3</v>
      </c>
      <c r="G526" s="2803">
        <v>14.7</v>
      </c>
      <c r="H526" s="2804">
        <v>3.5000000000000004</v>
      </c>
      <c r="I526" s="2804">
        <v>0</v>
      </c>
      <c r="J526" s="2804">
        <v>8.7999999999999989</v>
      </c>
      <c r="K526" s="2804">
        <v>10.5</v>
      </c>
      <c r="L526" s="2804">
        <v>77.2</v>
      </c>
    </row>
    <row r="527" spans="1:12">
      <c r="A527" s="2799" t="s">
        <v>73</v>
      </c>
      <c r="B527" s="2800" t="s">
        <v>16</v>
      </c>
      <c r="C527" s="2801" t="s">
        <v>1616</v>
      </c>
      <c r="D527" s="2802" t="s">
        <v>1568</v>
      </c>
      <c r="E527" s="3133"/>
      <c r="F527" s="2803">
        <v>79.2</v>
      </c>
      <c r="G527" s="2803">
        <v>20.8</v>
      </c>
      <c r="H527" s="2804">
        <v>2.8000000000000003</v>
      </c>
      <c r="I527" s="2804">
        <v>5.6000000000000005</v>
      </c>
      <c r="J527" s="2804">
        <v>13.900000000000002</v>
      </c>
      <c r="K527" s="2804">
        <v>8.3000000000000007</v>
      </c>
      <c r="L527" s="2804">
        <v>69.399999999999991</v>
      </c>
    </row>
    <row r="528" spans="1:12">
      <c r="A528" s="2799" t="s">
        <v>73</v>
      </c>
      <c r="B528" s="2800" t="s">
        <v>16</v>
      </c>
      <c r="C528" s="2801" t="s">
        <v>1617</v>
      </c>
      <c r="D528" s="2802" t="s">
        <v>1568</v>
      </c>
      <c r="E528" s="3133"/>
      <c r="F528" s="2803">
        <v>88</v>
      </c>
      <c r="G528" s="2803">
        <v>12</v>
      </c>
      <c r="H528" s="2804">
        <v>0</v>
      </c>
      <c r="I528" s="2804">
        <v>4.5</v>
      </c>
      <c r="J528" s="2804">
        <v>13.600000000000001</v>
      </c>
      <c r="K528" s="2804">
        <v>9.1</v>
      </c>
      <c r="L528" s="2804">
        <v>72.8</v>
      </c>
    </row>
    <row r="529" spans="1:12">
      <c r="A529" s="2799" t="s">
        <v>73</v>
      </c>
      <c r="B529" s="2800" t="s">
        <v>16</v>
      </c>
      <c r="C529" s="2801" t="s">
        <v>1584</v>
      </c>
      <c r="D529" s="2802" t="s">
        <v>1562</v>
      </c>
      <c r="E529" s="3133"/>
      <c r="F529" s="2803">
        <v>90.8</v>
      </c>
      <c r="G529" s="2803">
        <v>9.1999999999999993</v>
      </c>
      <c r="H529" s="2804">
        <v>4.2</v>
      </c>
      <c r="I529" s="2804">
        <v>4.2</v>
      </c>
      <c r="J529" s="2804">
        <v>14.399999999999999</v>
      </c>
      <c r="K529" s="2804">
        <v>11</v>
      </c>
      <c r="L529" s="2804">
        <v>66.2</v>
      </c>
    </row>
    <row r="530" spans="1:12">
      <c r="A530" s="2799" t="s">
        <v>73</v>
      </c>
      <c r="B530" s="2800" t="s">
        <v>16</v>
      </c>
      <c r="C530" s="2801" t="s">
        <v>1585</v>
      </c>
      <c r="D530" s="2802" t="s">
        <v>1562</v>
      </c>
      <c r="E530" s="3133"/>
      <c r="F530" s="2803">
        <v>66.7</v>
      </c>
      <c r="G530" s="2803">
        <v>33.300000000000004</v>
      </c>
      <c r="H530" s="2804">
        <v>8.3000000000000007</v>
      </c>
      <c r="I530" s="2804">
        <v>13.900000000000002</v>
      </c>
      <c r="J530" s="2804">
        <v>8.3000000000000007</v>
      </c>
      <c r="K530" s="2804">
        <v>0</v>
      </c>
      <c r="L530" s="2804">
        <v>69.5</v>
      </c>
    </row>
    <row r="531" spans="1:12">
      <c r="A531" s="2799" t="s">
        <v>73</v>
      </c>
      <c r="B531" s="2800" t="s">
        <v>16</v>
      </c>
      <c r="C531" s="2801" t="s">
        <v>1592</v>
      </c>
      <c r="D531" s="2802" t="s">
        <v>1564</v>
      </c>
      <c r="E531" s="3133"/>
      <c r="F531" s="2803">
        <v>72.7</v>
      </c>
      <c r="G531" s="2803">
        <v>27.3</v>
      </c>
      <c r="H531" s="2804">
        <v>0</v>
      </c>
      <c r="I531" s="2804">
        <v>6.2</v>
      </c>
      <c r="J531" s="2804">
        <v>12.5</v>
      </c>
      <c r="K531" s="2804">
        <v>0</v>
      </c>
      <c r="L531" s="2804">
        <v>81.3</v>
      </c>
    </row>
    <row r="532" spans="1:12">
      <c r="A532" s="2799" t="s">
        <v>73</v>
      </c>
      <c r="B532" s="2800" t="s">
        <v>16</v>
      </c>
      <c r="C532" s="2801" t="s">
        <v>1593</v>
      </c>
      <c r="D532" s="2802" t="s">
        <v>1564</v>
      </c>
      <c r="E532" s="3133"/>
      <c r="F532" s="2803">
        <v>88.9</v>
      </c>
      <c r="G532" s="2803">
        <v>11.1</v>
      </c>
      <c r="H532" s="2804">
        <v>0</v>
      </c>
      <c r="I532" s="2804">
        <v>0</v>
      </c>
      <c r="J532" s="2804">
        <v>18.7</v>
      </c>
      <c r="K532" s="2804">
        <v>6.3</v>
      </c>
      <c r="L532" s="2804">
        <v>75</v>
      </c>
    </row>
    <row r="533" spans="1:12">
      <c r="A533" s="2799" t="s">
        <v>73</v>
      </c>
      <c r="B533" s="2800" t="s">
        <v>16</v>
      </c>
      <c r="C533" s="2801" t="s">
        <v>1594</v>
      </c>
      <c r="D533" s="2802" t="s">
        <v>1564</v>
      </c>
      <c r="E533" s="3133"/>
      <c r="F533" s="2803">
        <v>90</v>
      </c>
      <c r="G533" s="2803">
        <v>10</v>
      </c>
      <c r="H533" s="2804">
        <v>11.1</v>
      </c>
      <c r="I533" s="2804">
        <v>0</v>
      </c>
      <c r="J533" s="2804">
        <v>22.2</v>
      </c>
      <c r="K533" s="2804">
        <v>0</v>
      </c>
      <c r="L533" s="2804">
        <v>66.7</v>
      </c>
    </row>
    <row r="534" spans="1:12">
      <c r="A534" s="2799" t="s">
        <v>73</v>
      </c>
      <c r="B534" s="2800" t="s">
        <v>16</v>
      </c>
      <c r="C534" s="2801" t="s">
        <v>1595</v>
      </c>
      <c r="D534" s="2802" t="s">
        <v>1564</v>
      </c>
      <c r="E534" s="3133"/>
      <c r="F534" s="2803">
        <v>70.3</v>
      </c>
      <c r="G534" s="2803">
        <v>29.7</v>
      </c>
      <c r="H534" s="2804">
        <v>0</v>
      </c>
      <c r="I534" s="2804">
        <v>6.5</v>
      </c>
      <c r="J534" s="2804">
        <v>8.6999999999999993</v>
      </c>
      <c r="K534" s="2804">
        <v>6.5</v>
      </c>
      <c r="L534" s="2804">
        <v>78.3</v>
      </c>
    </row>
    <row r="535" spans="1:12">
      <c r="A535" s="2799" t="s">
        <v>73</v>
      </c>
      <c r="B535" s="2800" t="s">
        <v>16</v>
      </c>
      <c r="C535" s="2801" t="s">
        <v>1600</v>
      </c>
      <c r="D535" s="2802" t="s">
        <v>1564</v>
      </c>
      <c r="E535" s="3133"/>
      <c r="F535" s="2803">
        <v>83.1</v>
      </c>
      <c r="G535" s="2803">
        <v>16.900000000000002</v>
      </c>
      <c r="H535" s="2804">
        <v>1.7999999999999998</v>
      </c>
      <c r="I535" s="2804">
        <v>0</v>
      </c>
      <c r="J535" s="2804">
        <v>7.3</v>
      </c>
      <c r="K535" s="2804">
        <v>12.7</v>
      </c>
      <c r="L535" s="2804">
        <v>78.2</v>
      </c>
    </row>
    <row r="536" spans="1:12">
      <c r="A536" s="2799" t="s">
        <v>73</v>
      </c>
      <c r="B536" s="2800" t="s">
        <v>16</v>
      </c>
      <c r="C536" s="2801" t="s">
        <v>1601</v>
      </c>
      <c r="D536" s="2802" t="s">
        <v>1564</v>
      </c>
      <c r="E536" s="3133"/>
      <c r="F536" s="2803">
        <v>85.8</v>
      </c>
      <c r="G536" s="2803">
        <v>14.2</v>
      </c>
      <c r="H536" s="2804">
        <v>0.89999999999999991</v>
      </c>
      <c r="I536" s="2804">
        <v>3.6999999999999997</v>
      </c>
      <c r="J536" s="2804">
        <v>7.5</v>
      </c>
      <c r="K536" s="2804">
        <v>10.299999999999999</v>
      </c>
      <c r="L536" s="2804">
        <v>77.600000000000009</v>
      </c>
    </row>
    <row r="537" spans="1:12">
      <c r="A537" s="2799" t="s">
        <v>73</v>
      </c>
      <c r="B537" s="2800" t="s">
        <v>16</v>
      </c>
      <c r="C537" s="2801" t="s">
        <v>1602</v>
      </c>
      <c r="D537" s="2802" t="s">
        <v>1564</v>
      </c>
      <c r="E537" s="3133"/>
      <c r="F537" s="2803">
        <v>86.5</v>
      </c>
      <c r="G537" s="2803">
        <v>13.5</v>
      </c>
      <c r="H537" s="2804">
        <v>7.3999999999999995</v>
      </c>
      <c r="I537" s="2804">
        <v>3.6999999999999997</v>
      </c>
      <c r="J537" s="2804">
        <v>11.1</v>
      </c>
      <c r="K537" s="2804">
        <v>9.9</v>
      </c>
      <c r="L537" s="2804">
        <v>67.900000000000006</v>
      </c>
    </row>
    <row r="538" spans="1:12">
      <c r="A538" s="2799" t="s">
        <v>74</v>
      </c>
      <c r="B538" s="2800" t="s">
        <v>21</v>
      </c>
      <c r="C538" s="2801" t="s">
        <v>1641</v>
      </c>
      <c r="D538" s="2802" t="s">
        <v>1568</v>
      </c>
      <c r="E538" s="3133"/>
      <c r="F538" s="2803">
        <v>100</v>
      </c>
      <c r="G538" s="2803">
        <v>0</v>
      </c>
      <c r="H538" s="2804">
        <v>8.3000000000000007</v>
      </c>
      <c r="I538" s="2804">
        <v>16.7</v>
      </c>
      <c r="J538" s="2804">
        <v>8.3000000000000007</v>
      </c>
      <c r="K538" s="2804">
        <v>33.300000000000004</v>
      </c>
      <c r="L538" s="2804">
        <v>33.4</v>
      </c>
    </row>
    <row r="539" spans="1:12">
      <c r="A539" s="2799" t="s">
        <v>74</v>
      </c>
      <c r="B539" s="2800" t="s">
        <v>21</v>
      </c>
      <c r="C539" s="2801" t="s">
        <v>1637</v>
      </c>
      <c r="D539" s="2802" t="s">
        <v>1564</v>
      </c>
      <c r="E539" s="3133"/>
      <c r="F539" s="2803">
        <v>79.5</v>
      </c>
      <c r="G539" s="2803">
        <v>20.5</v>
      </c>
      <c r="H539" s="2804">
        <v>2.9000000000000004</v>
      </c>
      <c r="I539" s="2804">
        <v>3.8</v>
      </c>
      <c r="J539" s="2804">
        <v>8.6999999999999993</v>
      </c>
      <c r="K539" s="2804">
        <v>11.5</v>
      </c>
      <c r="L539" s="2804">
        <v>73.099999999999994</v>
      </c>
    </row>
    <row r="540" spans="1:12">
      <c r="A540" s="2799" t="s">
        <v>74</v>
      </c>
      <c r="B540" s="2800" t="s">
        <v>41</v>
      </c>
      <c r="C540" s="2801" t="s">
        <v>1614</v>
      </c>
      <c r="D540" s="2802" t="s">
        <v>1568</v>
      </c>
      <c r="E540" s="3133"/>
      <c r="F540" s="2803">
        <v>85.9</v>
      </c>
      <c r="G540" s="2803">
        <v>14.099999999999998</v>
      </c>
      <c r="H540" s="2804">
        <v>0</v>
      </c>
      <c r="I540" s="2804">
        <v>8.7999999999999989</v>
      </c>
      <c r="J540" s="2804">
        <v>8.7999999999999989</v>
      </c>
      <c r="K540" s="2804">
        <v>8.7999999999999989</v>
      </c>
      <c r="L540" s="2804">
        <v>73.599999999999994</v>
      </c>
    </row>
    <row r="541" spans="1:12">
      <c r="A541" s="2799" t="s">
        <v>74</v>
      </c>
      <c r="B541" s="2800" t="s">
        <v>41</v>
      </c>
      <c r="C541" s="2801" t="s">
        <v>1618</v>
      </c>
      <c r="D541" s="2802" t="s">
        <v>1562</v>
      </c>
      <c r="E541" s="3133"/>
      <c r="F541" s="2803">
        <v>82.3</v>
      </c>
      <c r="G541" s="2803">
        <v>17.7</v>
      </c>
      <c r="H541" s="2804">
        <v>0</v>
      </c>
      <c r="I541" s="2804">
        <v>3</v>
      </c>
      <c r="J541" s="2804">
        <v>12.1</v>
      </c>
      <c r="K541" s="2804">
        <v>9.1</v>
      </c>
      <c r="L541" s="2804">
        <v>75.8</v>
      </c>
    </row>
    <row r="542" spans="1:12">
      <c r="A542" s="2799" t="s">
        <v>74</v>
      </c>
      <c r="B542" s="2800" t="s">
        <v>41</v>
      </c>
      <c r="C542" s="2801" t="s">
        <v>1619</v>
      </c>
      <c r="D542" s="2802" t="s">
        <v>1562</v>
      </c>
      <c r="E542" s="3133"/>
      <c r="F542" s="2803">
        <v>100</v>
      </c>
      <c r="G542" s="2803">
        <v>0</v>
      </c>
      <c r="H542" s="2804">
        <v>3.4000000000000004</v>
      </c>
      <c r="I542" s="2804">
        <v>0</v>
      </c>
      <c r="J542" s="2804">
        <v>13.8</v>
      </c>
      <c r="K542" s="2804">
        <v>20.7</v>
      </c>
      <c r="L542" s="2804">
        <v>62.1</v>
      </c>
    </row>
    <row r="543" spans="1:12">
      <c r="A543" s="2799" t="s">
        <v>74</v>
      </c>
      <c r="B543" s="2800" t="s">
        <v>41</v>
      </c>
      <c r="C543" s="2801" t="s">
        <v>1622</v>
      </c>
      <c r="D543" s="2802" t="s">
        <v>1562</v>
      </c>
      <c r="E543" s="3133"/>
      <c r="F543" s="2803">
        <v>92.300000000000011</v>
      </c>
      <c r="G543" s="2803">
        <v>7.7</v>
      </c>
      <c r="H543" s="2804">
        <v>5.5</v>
      </c>
      <c r="I543" s="2804">
        <v>4.2</v>
      </c>
      <c r="J543" s="2804">
        <v>11.1</v>
      </c>
      <c r="K543" s="2804">
        <v>11.1</v>
      </c>
      <c r="L543" s="2804">
        <v>68.100000000000009</v>
      </c>
    </row>
    <row r="544" spans="1:12">
      <c r="A544" s="2799" t="s">
        <v>74</v>
      </c>
      <c r="B544" s="2800" t="s">
        <v>41</v>
      </c>
      <c r="C544" s="2801" t="s">
        <v>1627</v>
      </c>
      <c r="D544" s="2802" t="s">
        <v>1564</v>
      </c>
      <c r="E544" s="3133"/>
      <c r="F544" s="2803">
        <v>76</v>
      </c>
      <c r="G544" s="2803">
        <v>24</v>
      </c>
      <c r="H544" s="2804">
        <v>0</v>
      </c>
      <c r="I544" s="2804">
        <v>0</v>
      </c>
      <c r="J544" s="2804">
        <v>10</v>
      </c>
      <c r="K544" s="2804">
        <v>10</v>
      </c>
      <c r="L544" s="2804">
        <v>80</v>
      </c>
    </row>
    <row r="545" spans="1:12">
      <c r="A545" s="2799" t="s">
        <v>74</v>
      </c>
      <c r="B545" s="2800" t="s">
        <v>41</v>
      </c>
      <c r="C545" s="2801" t="s">
        <v>1628</v>
      </c>
      <c r="D545" s="2802" t="s">
        <v>1564</v>
      </c>
      <c r="E545" s="3133"/>
      <c r="F545" s="2803">
        <v>83.899999999999991</v>
      </c>
      <c r="G545" s="2803">
        <v>16.100000000000001</v>
      </c>
      <c r="H545" s="2804">
        <v>5.3</v>
      </c>
      <c r="I545" s="2804">
        <v>5.3</v>
      </c>
      <c r="J545" s="2804">
        <v>12.5</v>
      </c>
      <c r="K545" s="2804">
        <v>7.3999999999999995</v>
      </c>
      <c r="L545" s="2804">
        <v>69.5</v>
      </c>
    </row>
    <row r="546" spans="1:12">
      <c r="A546" s="2799" t="s">
        <v>74</v>
      </c>
      <c r="B546" s="2800" t="s">
        <v>41</v>
      </c>
      <c r="C546" s="2801" t="s">
        <v>1634</v>
      </c>
      <c r="D546" s="2802" t="s">
        <v>1564</v>
      </c>
      <c r="E546" s="3133"/>
      <c r="F546" s="2803">
        <v>66.7</v>
      </c>
      <c r="G546" s="2803">
        <v>33.300000000000004</v>
      </c>
      <c r="H546" s="2804">
        <v>0</v>
      </c>
      <c r="I546" s="2804">
        <v>0</v>
      </c>
      <c r="J546" s="2804">
        <v>0</v>
      </c>
      <c r="K546" s="2804">
        <v>0</v>
      </c>
      <c r="L546" s="2804">
        <v>100</v>
      </c>
    </row>
    <row r="547" spans="1:12">
      <c r="A547" s="2799" t="s">
        <v>74</v>
      </c>
      <c r="B547" s="2800" t="s">
        <v>41</v>
      </c>
      <c r="C547" s="2801" t="s">
        <v>1636</v>
      </c>
      <c r="D547" s="2802" t="s">
        <v>1564</v>
      </c>
      <c r="E547" s="3133"/>
      <c r="F547" s="2803">
        <v>74.3</v>
      </c>
      <c r="G547" s="2803">
        <v>25.7</v>
      </c>
      <c r="H547" s="2804">
        <v>1.9</v>
      </c>
      <c r="I547" s="2804">
        <v>3.8</v>
      </c>
      <c r="J547" s="2804">
        <v>15.4</v>
      </c>
      <c r="K547" s="2804">
        <v>25</v>
      </c>
      <c r="L547" s="2804">
        <v>53.9</v>
      </c>
    </row>
    <row r="548" spans="1:12">
      <c r="A548" s="2799" t="s">
        <v>74</v>
      </c>
      <c r="B548" s="2800" t="s">
        <v>41</v>
      </c>
      <c r="C548" s="2801" t="s">
        <v>1638</v>
      </c>
      <c r="D548" s="2802" t="s">
        <v>1564</v>
      </c>
      <c r="E548" s="3133"/>
      <c r="F548" s="2803">
        <v>86.6</v>
      </c>
      <c r="G548" s="2803">
        <v>13.4</v>
      </c>
      <c r="H548" s="2804">
        <v>1.7999999999999998</v>
      </c>
      <c r="I548" s="2804">
        <v>1.7999999999999998</v>
      </c>
      <c r="J548" s="2804">
        <v>10.4</v>
      </c>
      <c r="K548" s="2804">
        <v>8.7999999999999989</v>
      </c>
      <c r="L548" s="2804">
        <v>77.2</v>
      </c>
    </row>
    <row r="549" spans="1:12">
      <c r="A549" s="2799" t="s">
        <v>74</v>
      </c>
      <c r="B549" s="2800" t="s">
        <v>16</v>
      </c>
      <c r="C549" s="2801" t="s">
        <v>1640</v>
      </c>
      <c r="D549" s="2802" t="s">
        <v>1568</v>
      </c>
      <c r="E549" s="3133"/>
      <c r="F549" s="2803">
        <v>80.5</v>
      </c>
      <c r="G549" s="2803">
        <v>19.5</v>
      </c>
      <c r="H549" s="2804">
        <v>0</v>
      </c>
      <c r="I549" s="2804">
        <v>9</v>
      </c>
      <c r="J549" s="2804">
        <v>7.5</v>
      </c>
      <c r="K549" s="2804">
        <v>13.4</v>
      </c>
      <c r="L549" s="2804">
        <v>70.099999999999994</v>
      </c>
    </row>
    <row r="550" spans="1:12">
      <c r="A550" s="2799" t="s">
        <v>74</v>
      </c>
      <c r="B550" s="2800" t="s">
        <v>16</v>
      </c>
      <c r="C550" s="2801" t="s">
        <v>1642</v>
      </c>
      <c r="D550" s="2802" t="s">
        <v>1568</v>
      </c>
      <c r="E550" s="3133"/>
      <c r="F550" s="2803">
        <v>87.5</v>
      </c>
      <c r="G550" s="2803">
        <v>12.5</v>
      </c>
      <c r="H550" s="2804">
        <v>0</v>
      </c>
      <c r="I550" s="2804">
        <v>0</v>
      </c>
      <c r="J550" s="2804">
        <v>14.299999999999999</v>
      </c>
      <c r="K550" s="2804">
        <v>14.299999999999999</v>
      </c>
      <c r="L550" s="2804">
        <v>71.399999999999991</v>
      </c>
    </row>
    <row r="551" spans="1:12">
      <c r="A551" s="2799" t="s">
        <v>74</v>
      </c>
      <c r="B551" s="2800" t="s">
        <v>16</v>
      </c>
      <c r="C551" s="2801" t="s">
        <v>1621</v>
      </c>
      <c r="D551" s="2802" t="s">
        <v>1568</v>
      </c>
      <c r="E551" s="3133"/>
      <c r="F551" s="2803">
        <v>94.1</v>
      </c>
      <c r="G551" s="2803">
        <v>5.8999999999999995</v>
      </c>
      <c r="H551" s="2804">
        <v>0</v>
      </c>
      <c r="I551" s="2804">
        <v>0</v>
      </c>
      <c r="J551" s="2804">
        <v>31.2</v>
      </c>
      <c r="K551" s="2804">
        <v>6.3</v>
      </c>
      <c r="L551" s="2804">
        <v>62.5</v>
      </c>
    </row>
    <row r="552" spans="1:12">
      <c r="A552" s="2799" t="s">
        <v>74</v>
      </c>
      <c r="B552" s="2800" t="s">
        <v>16</v>
      </c>
      <c r="C552" s="2801" t="s">
        <v>1620</v>
      </c>
      <c r="D552" s="2802" t="s">
        <v>1562</v>
      </c>
      <c r="E552" s="3133"/>
      <c r="F552" s="2803">
        <v>80.800000000000011</v>
      </c>
      <c r="G552" s="2803">
        <v>19.2</v>
      </c>
      <c r="H552" s="2804">
        <v>0</v>
      </c>
      <c r="I552" s="2804">
        <v>1.6</v>
      </c>
      <c r="J552" s="2804">
        <v>4.7</v>
      </c>
      <c r="K552" s="2804">
        <v>10.9</v>
      </c>
      <c r="L552" s="2804">
        <v>82.8</v>
      </c>
    </row>
    <row r="553" spans="1:12">
      <c r="A553" s="2799" t="s">
        <v>74</v>
      </c>
      <c r="B553" s="2800" t="s">
        <v>16</v>
      </c>
      <c r="C553" s="2801" t="s">
        <v>1621</v>
      </c>
      <c r="D553" s="2802" t="s">
        <v>1562</v>
      </c>
      <c r="E553" s="3133"/>
      <c r="F553" s="2803">
        <v>77.5</v>
      </c>
      <c r="G553" s="2803">
        <v>22.5</v>
      </c>
      <c r="H553" s="2804">
        <v>2</v>
      </c>
      <c r="I553" s="2804">
        <v>4.1000000000000005</v>
      </c>
      <c r="J553" s="2804">
        <v>7.1</v>
      </c>
      <c r="K553" s="2804">
        <v>10.199999999999999</v>
      </c>
      <c r="L553" s="2804">
        <v>76.599999999999994</v>
      </c>
    </row>
    <row r="554" spans="1:12">
      <c r="A554" s="2799" t="s">
        <v>74</v>
      </c>
      <c r="B554" s="2800" t="s">
        <v>16</v>
      </c>
      <c r="C554" s="2801" t="s">
        <v>1623</v>
      </c>
      <c r="D554" s="2802" t="s">
        <v>1564</v>
      </c>
      <c r="E554" s="3133"/>
      <c r="F554" s="2803">
        <v>81.8</v>
      </c>
      <c r="G554" s="2803">
        <v>18.2</v>
      </c>
      <c r="H554" s="2804">
        <v>0</v>
      </c>
      <c r="I554" s="2804">
        <v>5.8</v>
      </c>
      <c r="J554" s="2804">
        <v>11.799999999999999</v>
      </c>
      <c r="K554" s="2804">
        <v>5.8999999999999995</v>
      </c>
      <c r="L554" s="2804">
        <v>76.5</v>
      </c>
    </row>
    <row r="555" spans="1:12">
      <c r="A555" s="2799" t="s">
        <v>74</v>
      </c>
      <c r="B555" s="2800" t="s">
        <v>16</v>
      </c>
      <c r="C555" s="2801" t="s">
        <v>1624</v>
      </c>
      <c r="D555" s="2802" t="s">
        <v>1564</v>
      </c>
      <c r="E555" s="3133"/>
      <c r="F555" s="2803">
        <v>78.400000000000006</v>
      </c>
      <c r="G555" s="2803">
        <v>21.6</v>
      </c>
      <c r="H555" s="2804">
        <v>6.9</v>
      </c>
      <c r="I555" s="2804">
        <v>0</v>
      </c>
      <c r="J555" s="2804">
        <v>6.9</v>
      </c>
      <c r="K555" s="2804">
        <v>6.9</v>
      </c>
      <c r="L555" s="2804">
        <v>79.3</v>
      </c>
    </row>
    <row r="556" spans="1:12">
      <c r="A556" s="2799" t="s">
        <v>74</v>
      </c>
      <c r="B556" s="2800" t="s">
        <v>16</v>
      </c>
      <c r="C556" s="2801" t="s">
        <v>1625</v>
      </c>
      <c r="D556" s="2802" t="s">
        <v>1564</v>
      </c>
      <c r="E556" s="3133"/>
      <c r="F556" s="2803">
        <v>79.400000000000006</v>
      </c>
      <c r="G556" s="2803">
        <v>20.599999999999998</v>
      </c>
      <c r="H556" s="2804">
        <v>2</v>
      </c>
      <c r="I556" s="2804">
        <v>2</v>
      </c>
      <c r="J556" s="2804">
        <v>13.6</v>
      </c>
      <c r="K556" s="2804">
        <v>5.8999999999999995</v>
      </c>
      <c r="L556" s="2804">
        <v>76.5</v>
      </c>
    </row>
    <row r="557" spans="1:12">
      <c r="A557" s="2799" t="s">
        <v>74</v>
      </c>
      <c r="B557" s="2800" t="s">
        <v>16</v>
      </c>
      <c r="C557" s="2801" t="s">
        <v>1626</v>
      </c>
      <c r="D557" s="2802" t="s">
        <v>1564</v>
      </c>
      <c r="E557" s="3133"/>
      <c r="F557" s="2803">
        <v>88.3</v>
      </c>
      <c r="G557" s="2803">
        <v>11.799999999999999</v>
      </c>
      <c r="H557" s="2804">
        <v>0</v>
      </c>
      <c r="I557" s="2804">
        <v>2.4</v>
      </c>
      <c r="J557" s="2804">
        <v>7.1</v>
      </c>
      <c r="K557" s="2804">
        <v>9.5</v>
      </c>
      <c r="L557" s="2804">
        <v>81</v>
      </c>
    </row>
    <row r="558" spans="1:12">
      <c r="A558" s="2799" t="s">
        <v>74</v>
      </c>
      <c r="B558" s="2800" t="s">
        <v>16</v>
      </c>
      <c r="C558" s="2801" t="s">
        <v>1629</v>
      </c>
      <c r="D558" s="2802" t="s">
        <v>1564</v>
      </c>
      <c r="E558" s="3133"/>
      <c r="F558" s="2803">
        <v>83.1</v>
      </c>
      <c r="G558" s="2803">
        <v>16.900000000000002</v>
      </c>
      <c r="H558" s="2804">
        <v>1.5</v>
      </c>
      <c r="I558" s="2804">
        <v>8.7999999999999989</v>
      </c>
      <c r="J558" s="2804">
        <v>17.599999999999998</v>
      </c>
      <c r="K558" s="2804">
        <v>16.2</v>
      </c>
      <c r="L558" s="2804">
        <v>55.900000000000006</v>
      </c>
    </row>
    <row r="559" spans="1:12">
      <c r="A559" s="2799" t="s">
        <v>74</v>
      </c>
      <c r="B559" s="2800" t="s">
        <v>16</v>
      </c>
      <c r="C559" s="2801" t="s">
        <v>1630</v>
      </c>
      <c r="D559" s="2802" t="s">
        <v>1564</v>
      </c>
      <c r="E559" s="3133"/>
      <c r="F559" s="2803">
        <v>100</v>
      </c>
      <c r="G559" s="2803">
        <v>0</v>
      </c>
      <c r="H559" s="2804">
        <v>0</v>
      </c>
      <c r="I559" s="2804">
        <v>50</v>
      </c>
      <c r="J559" s="2804">
        <v>50</v>
      </c>
      <c r="K559" s="2804">
        <v>0</v>
      </c>
      <c r="L559" s="2804">
        <v>0</v>
      </c>
    </row>
    <row r="560" spans="1:12">
      <c r="A560" s="2799" t="s">
        <v>74</v>
      </c>
      <c r="B560" s="2800" t="s">
        <v>16</v>
      </c>
      <c r="C560" s="2801" t="s">
        <v>1631</v>
      </c>
      <c r="D560" s="2802" t="s">
        <v>1564</v>
      </c>
      <c r="E560" s="3133"/>
      <c r="F560" s="2803">
        <v>73.7</v>
      </c>
      <c r="G560" s="2803">
        <v>26.3</v>
      </c>
      <c r="H560" s="2804">
        <v>2.4</v>
      </c>
      <c r="I560" s="2804">
        <v>7.3</v>
      </c>
      <c r="J560" s="2804">
        <v>9.8000000000000007</v>
      </c>
      <c r="K560" s="2804">
        <v>19.5</v>
      </c>
      <c r="L560" s="2804">
        <v>61</v>
      </c>
    </row>
    <row r="561" spans="1:12">
      <c r="A561" s="2799" t="s">
        <v>74</v>
      </c>
      <c r="B561" s="2800" t="s">
        <v>16</v>
      </c>
      <c r="C561" s="2801" t="s">
        <v>1632</v>
      </c>
      <c r="D561" s="2802" t="s">
        <v>1564</v>
      </c>
      <c r="E561" s="3133"/>
      <c r="F561" s="2803">
        <v>100</v>
      </c>
      <c r="G561" s="2803">
        <v>0</v>
      </c>
      <c r="H561" s="2804">
        <v>0</v>
      </c>
      <c r="I561" s="2804">
        <v>0</v>
      </c>
      <c r="J561" s="2804">
        <v>0</v>
      </c>
      <c r="K561" s="2804">
        <v>0</v>
      </c>
      <c r="L561" s="2804">
        <v>100</v>
      </c>
    </row>
    <row r="562" spans="1:12">
      <c r="A562" s="2799" t="s">
        <v>74</v>
      </c>
      <c r="B562" s="2800" t="s">
        <v>16</v>
      </c>
      <c r="C562" s="2801" t="s">
        <v>1633</v>
      </c>
      <c r="D562" s="2802" t="s">
        <v>1564</v>
      </c>
      <c r="E562" s="3133"/>
      <c r="F562" s="2803">
        <v>90.100000000000009</v>
      </c>
      <c r="G562" s="2803">
        <v>9.9</v>
      </c>
      <c r="H562" s="2804">
        <v>4.5999999999999996</v>
      </c>
      <c r="I562" s="2804">
        <v>1.6</v>
      </c>
      <c r="J562" s="2804">
        <v>15.6</v>
      </c>
      <c r="K562" s="2804">
        <v>6.3</v>
      </c>
      <c r="L562" s="2804">
        <v>71.899999999999991</v>
      </c>
    </row>
    <row r="563" spans="1:12">
      <c r="A563" s="2799" t="s">
        <v>74</v>
      </c>
      <c r="B563" s="2800" t="s">
        <v>16</v>
      </c>
      <c r="C563" s="2801" t="s">
        <v>1635</v>
      </c>
      <c r="D563" s="2802" t="s">
        <v>1564</v>
      </c>
      <c r="E563" s="3133"/>
      <c r="F563" s="2803">
        <v>80.400000000000006</v>
      </c>
      <c r="G563" s="2803">
        <v>19.600000000000001</v>
      </c>
      <c r="H563" s="2804">
        <v>2.9000000000000004</v>
      </c>
      <c r="I563" s="2804">
        <v>5.8999999999999995</v>
      </c>
      <c r="J563" s="2804">
        <v>14.7</v>
      </c>
      <c r="K563" s="2804">
        <v>14.7</v>
      </c>
      <c r="L563" s="2804">
        <v>61.8</v>
      </c>
    </row>
    <row r="564" spans="1:12">
      <c r="A564" s="2799" t="s">
        <v>74</v>
      </c>
      <c r="B564" s="2800" t="s">
        <v>16</v>
      </c>
      <c r="C564" s="2801" t="s">
        <v>1639</v>
      </c>
      <c r="D564" s="2802" t="s">
        <v>1564</v>
      </c>
      <c r="E564" s="3133"/>
      <c r="F564" s="2803">
        <v>70</v>
      </c>
      <c r="G564" s="2803">
        <v>30</v>
      </c>
      <c r="H564" s="2804">
        <v>0</v>
      </c>
      <c r="I564" s="2804">
        <v>12.5</v>
      </c>
      <c r="J564" s="2804">
        <v>0</v>
      </c>
      <c r="K564" s="2804">
        <v>75</v>
      </c>
      <c r="L564" s="2804">
        <v>12.5</v>
      </c>
    </row>
    <row r="565" spans="1:12">
      <c r="A565" s="363"/>
      <c r="B565" s="363"/>
      <c r="C565" s="363"/>
      <c r="D565" s="363"/>
      <c r="E565" s="363"/>
      <c r="F565" s="363"/>
      <c r="G565" s="363"/>
    </row>
    <row r="566" spans="1:12">
      <c r="A566" s="363"/>
      <c r="B566" s="363"/>
      <c r="C566" s="363"/>
      <c r="D566" s="363"/>
      <c r="E566" s="363"/>
      <c r="F566" s="363"/>
      <c r="G566" s="363"/>
    </row>
    <row r="567" spans="1:12" ht="15.75">
      <c r="A567" s="363"/>
      <c r="B567" s="385">
        <v>2013</v>
      </c>
      <c r="C567" s="363"/>
      <c r="D567" s="363"/>
      <c r="E567" s="363"/>
      <c r="F567" s="363"/>
      <c r="G567" s="363"/>
    </row>
    <row r="568" spans="1:12" ht="36.75" customHeight="1">
      <c r="A568" s="5073" t="s">
        <v>1113</v>
      </c>
      <c r="B568" s="5073"/>
      <c r="C568" s="5073"/>
      <c r="D568" s="5073"/>
      <c r="E568" s="3024"/>
      <c r="F568" s="421"/>
      <c r="G568" s="421"/>
      <c r="H568" s="421"/>
    </row>
    <row r="569" spans="1:12">
      <c r="A569" s="408"/>
      <c r="B569" s="408" t="s">
        <v>1118</v>
      </c>
      <c r="C569" s="408"/>
      <c r="D569" s="408"/>
      <c r="E569" s="408"/>
      <c r="F569" s="363"/>
      <c r="G569" s="363"/>
    </row>
    <row r="570" spans="1:12">
      <c r="A570" s="413" t="s">
        <v>1114</v>
      </c>
      <c r="B570" s="377" t="s">
        <v>1115</v>
      </c>
      <c r="C570" s="377" t="s">
        <v>103</v>
      </c>
      <c r="D570" s="377" t="s">
        <v>1116</v>
      </c>
      <c r="E570" s="3134"/>
      <c r="F570" s="363"/>
      <c r="G570" s="363"/>
    </row>
    <row r="571" spans="1:12">
      <c r="A571" s="378" t="s">
        <v>1091</v>
      </c>
      <c r="B571" s="422">
        <v>3361</v>
      </c>
      <c r="C571" s="423">
        <v>82.155952089953558</v>
      </c>
      <c r="D571" s="424">
        <f>B571/B573</f>
        <v>0.82722126507506766</v>
      </c>
      <c r="E571" s="3135"/>
      <c r="F571" s="363"/>
      <c r="G571" s="363"/>
    </row>
    <row r="572" spans="1:12">
      <c r="A572" s="378" t="s">
        <v>1092</v>
      </c>
      <c r="B572" s="422">
        <v>702</v>
      </c>
      <c r="C572" s="423">
        <v>17.159618675140553</v>
      </c>
      <c r="D572" s="425">
        <v>17.277873492493232</v>
      </c>
      <c r="E572" s="3136"/>
      <c r="F572" s="363"/>
      <c r="G572" s="363"/>
    </row>
    <row r="573" spans="1:12">
      <c r="A573" s="426" t="s">
        <v>15</v>
      </c>
      <c r="B573" s="422">
        <v>4063</v>
      </c>
      <c r="C573" s="423">
        <v>99.315570765094108</v>
      </c>
      <c r="D573" s="423">
        <v>100</v>
      </c>
      <c r="E573" s="3137"/>
      <c r="F573" s="363"/>
      <c r="G573" s="363"/>
    </row>
    <row r="574" spans="1:12">
      <c r="A574" s="378" t="s">
        <v>1117</v>
      </c>
      <c r="B574" s="422">
        <v>28</v>
      </c>
      <c r="C574" s="427">
        <v>0.68442923490589103</v>
      </c>
      <c r="D574" s="428"/>
      <c r="E574" s="3138"/>
      <c r="F574" s="363"/>
      <c r="G574" s="363"/>
    </row>
    <row r="575" spans="1:12">
      <c r="A575" s="426" t="s">
        <v>15</v>
      </c>
      <c r="B575" s="422">
        <v>4091</v>
      </c>
      <c r="C575" s="423">
        <v>100</v>
      </c>
      <c r="D575" s="429"/>
      <c r="E575" s="3139"/>
      <c r="F575" s="363"/>
      <c r="G575" s="363"/>
    </row>
    <row r="576" spans="1:12">
      <c r="A576" s="363"/>
      <c r="B576" s="363"/>
      <c r="C576" s="363"/>
      <c r="D576" s="363"/>
      <c r="E576" s="363"/>
      <c r="F576" s="363"/>
      <c r="G576" s="363"/>
    </row>
    <row r="577" spans="1:10" ht="15.75">
      <c r="A577" s="364"/>
      <c r="B577" s="364"/>
      <c r="C577" s="364"/>
      <c r="D577" s="364"/>
      <c r="E577" s="364"/>
      <c r="F577" s="364"/>
      <c r="G577" s="364"/>
    </row>
    <row r="578" spans="1:10">
      <c r="A578" s="408"/>
      <c r="B578" s="376">
        <v>2012</v>
      </c>
      <c r="C578" s="408"/>
      <c r="D578" s="408"/>
      <c r="E578" s="408"/>
      <c r="F578" s="408"/>
      <c r="G578" s="408"/>
      <c r="H578" s="99"/>
    </row>
    <row r="579" spans="1:10" ht="30.75" customHeight="1">
      <c r="A579" s="5073" t="s">
        <v>1113</v>
      </c>
      <c r="B579" s="5073"/>
      <c r="C579" s="5073"/>
      <c r="D579" s="5073"/>
      <c r="E579" s="5073"/>
      <c r="F579" s="5073"/>
      <c r="G579" s="421"/>
      <c r="H579" s="421"/>
    </row>
    <row r="580" spans="1:10">
      <c r="A580" s="411"/>
      <c r="B580" s="108"/>
      <c r="C580" s="108"/>
      <c r="D580" s="108"/>
      <c r="E580" s="108"/>
      <c r="F580" s="408"/>
      <c r="G580" s="408"/>
      <c r="H580" s="99"/>
    </row>
    <row r="581" spans="1:10">
      <c r="A581" s="408"/>
      <c r="B581" s="408" t="s">
        <v>1118</v>
      </c>
      <c r="C581" s="408"/>
      <c r="D581" s="408"/>
      <c r="E581" s="408"/>
      <c r="F581" s="408"/>
      <c r="G581" s="408"/>
      <c r="H581" s="99"/>
    </row>
    <row r="582" spans="1:10">
      <c r="A582" s="413" t="s">
        <v>1114</v>
      </c>
      <c r="B582" s="414" t="s">
        <v>1115</v>
      </c>
      <c r="C582" s="414" t="s">
        <v>103</v>
      </c>
      <c r="D582" s="414" t="s">
        <v>1116</v>
      </c>
      <c r="E582" s="3134"/>
      <c r="F582" s="99"/>
      <c r="G582" s="99"/>
      <c r="H582" s="99"/>
    </row>
    <row r="583" spans="1:10">
      <c r="A583" s="416" t="s">
        <v>1091</v>
      </c>
      <c r="B583" s="416">
        <v>2966</v>
      </c>
      <c r="C583" s="430">
        <f>B582:B583/B587</f>
        <v>0.85426267281105994</v>
      </c>
      <c r="D583" s="431">
        <v>0.85871453387376995</v>
      </c>
      <c r="E583" s="3140"/>
      <c r="F583" s="99"/>
      <c r="G583" s="99"/>
      <c r="H583" s="99"/>
    </row>
    <row r="584" spans="1:10">
      <c r="A584" s="416" t="s">
        <v>1092</v>
      </c>
      <c r="B584" s="416">
        <v>488</v>
      </c>
      <c r="C584" s="432">
        <f>B584/B587</f>
        <v>0.14055299539170507</v>
      </c>
      <c r="D584" s="433">
        <f>(B584*100)/B585</f>
        <v>14.128546612623046</v>
      </c>
      <c r="E584" s="3141"/>
      <c r="F584" s="99"/>
      <c r="G584" s="99"/>
      <c r="H584" s="99"/>
    </row>
    <row r="585" spans="1:10">
      <c r="A585" s="420" t="s">
        <v>15</v>
      </c>
      <c r="B585" s="420">
        <f>SUM(B583:B584)</f>
        <v>3454</v>
      </c>
      <c r="C585" s="434">
        <f>SUM(C583:C584)</f>
        <v>0.99481566820276501</v>
      </c>
      <c r="D585" s="435">
        <v>1</v>
      </c>
      <c r="E585" s="3142"/>
      <c r="F585" s="99"/>
      <c r="G585" s="99"/>
      <c r="H585" s="99"/>
    </row>
    <row r="586" spans="1:10">
      <c r="A586" s="416" t="s">
        <v>1117</v>
      </c>
      <c r="B586" s="416">
        <v>18</v>
      </c>
      <c r="C586" s="430">
        <f>B586/B587</f>
        <v>5.1843317972350231E-3</v>
      </c>
      <c r="D586" s="428"/>
      <c r="E586" s="3138"/>
      <c r="F586" s="99"/>
      <c r="G586" s="99"/>
      <c r="H586" s="99"/>
    </row>
    <row r="587" spans="1:10">
      <c r="A587" s="420" t="s">
        <v>15</v>
      </c>
      <c r="B587" s="420">
        <f>SUM(B585:B586)</f>
        <v>3472</v>
      </c>
      <c r="C587" s="435">
        <f>SUM(C585:C586)</f>
        <v>1</v>
      </c>
      <c r="D587" s="429"/>
      <c r="E587" s="3139"/>
      <c r="F587" s="99"/>
      <c r="G587" s="99"/>
      <c r="H587" s="99"/>
    </row>
    <row r="588" spans="1:10">
      <c r="A588" s="383" t="s">
        <v>1119</v>
      </c>
    </row>
    <row r="589" spans="1:10" ht="15.75">
      <c r="A589" s="364"/>
      <c r="B589" s="364"/>
      <c r="C589" s="364"/>
      <c r="D589" s="364"/>
      <c r="E589" s="364"/>
      <c r="F589" s="364"/>
      <c r="G589" s="364"/>
    </row>
    <row r="590" spans="1:10" ht="15.75">
      <c r="A590" s="364"/>
      <c r="B590" s="364"/>
      <c r="C590" s="364"/>
      <c r="D590" s="364"/>
      <c r="E590" s="364"/>
      <c r="F590" s="364"/>
      <c r="G590" s="364"/>
    </row>
    <row r="591" spans="1:10">
      <c r="A591" s="408"/>
      <c r="B591" s="376">
        <v>2011</v>
      </c>
      <c r="C591" s="408"/>
      <c r="D591" s="408"/>
      <c r="E591" s="408"/>
      <c r="F591" s="408"/>
      <c r="G591" s="408"/>
      <c r="H591" s="99"/>
      <c r="I591" s="99"/>
      <c r="J591" s="42"/>
    </row>
    <row r="592" spans="1:10" ht="28.5" customHeight="1">
      <c r="A592" s="5073" t="s">
        <v>1113</v>
      </c>
      <c r="B592" s="5073"/>
      <c r="C592" s="5073"/>
      <c r="D592" s="5073"/>
      <c r="E592" s="5073"/>
      <c r="F592" s="5073"/>
      <c r="G592" s="421"/>
      <c r="H592" s="421"/>
      <c r="I592" s="99"/>
      <c r="J592" s="42"/>
    </row>
    <row r="593" spans="1:13">
      <c r="A593" s="411"/>
      <c r="B593" s="108"/>
      <c r="C593" s="108"/>
      <c r="D593" s="108"/>
      <c r="E593" s="108"/>
      <c r="F593" s="408"/>
      <c r="G593" s="408"/>
      <c r="H593" s="99"/>
      <c r="I593" s="99"/>
      <c r="J593" s="42"/>
    </row>
    <row r="594" spans="1:13">
      <c r="A594" s="413" t="s">
        <v>1114</v>
      </c>
      <c r="B594" s="414" t="s">
        <v>1115</v>
      </c>
      <c r="C594" s="414" t="s">
        <v>103</v>
      </c>
      <c r="D594" s="414" t="s">
        <v>1116</v>
      </c>
      <c r="E594" s="3134"/>
      <c r="F594" s="408"/>
      <c r="G594" s="408"/>
      <c r="H594" s="99"/>
      <c r="I594" s="99"/>
      <c r="J594" s="42"/>
    </row>
    <row r="595" spans="1:13">
      <c r="A595" s="416" t="s">
        <v>1091</v>
      </c>
      <c r="B595" s="416">
        <v>2761</v>
      </c>
      <c r="C595" s="430">
        <f>B594:B595/B599</f>
        <v>0.8563895781637717</v>
      </c>
      <c r="D595" s="436">
        <v>0.86119999999999997</v>
      </c>
      <c r="E595" s="3143"/>
      <c r="F595" s="118"/>
      <c r="G595" s="408"/>
      <c r="H595" s="99"/>
      <c r="I595" s="99"/>
      <c r="J595" s="42"/>
    </row>
    <row r="596" spans="1:13">
      <c r="A596" s="416" t="s">
        <v>1092</v>
      </c>
      <c r="B596" s="416">
        <v>445</v>
      </c>
      <c r="C596" s="432">
        <f>B596/B599</f>
        <v>0.13802729528535981</v>
      </c>
      <c r="D596" s="430">
        <v>0.13880000000000001</v>
      </c>
      <c r="E596" s="3144"/>
      <c r="F596" s="408"/>
      <c r="G596" s="408"/>
      <c r="H596" s="99"/>
      <c r="I596" s="99"/>
      <c r="J596" s="42"/>
    </row>
    <row r="597" spans="1:13">
      <c r="A597" s="420" t="s">
        <v>15</v>
      </c>
      <c r="B597" s="420">
        <v>3206</v>
      </c>
      <c r="C597" s="434">
        <f>SUM(C595:C596)</f>
        <v>0.99441687344913154</v>
      </c>
      <c r="D597" s="435">
        <v>1</v>
      </c>
      <c r="E597" s="3142"/>
      <c r="F597" s="408"/>
      <c r="G597" s="408"/>
      <c r="H597" s="99"/>
      <c r="I597" s="99"/>
      <c r="J597" s="42"/>
    </row>
    <row r="598" spans="1:13">
      <c r="A598" s="416" t="s">
        <v>1117</v>
      </c>
      <c r="B598" s="416">
        <v>18</v>
      </c>
      <c r="C598" s="430">
        <f>B598/B599</f>
        <v>5.5831265508684861E-3</v>
      </c>
      <c r="D598" s="428"/>
      <c r="E598" s="3138"/>
      <c r="F598" s="408"/>
      <c r="G598" s="408"/>
      <c r="H598" s="99"/>
      <c r="I598" s="99"/>
      <c r="J598" s="42"/>
    </row>
    <row r="599" spans="1:13">
      <c r="A599" s="420" t="s">
        <v>15</v>
      </c>
      <c r="B599" s="420">
        <v>3224</v>
      </c>
      <c r="C599" s="435">
        <f>SUM(C597:C598)</f>
        <v>1</v>
      </c>
      <c r="D599" s="429"/>
      <c r="E599" s="3139"/>
      <c r="F599" s="408"/>
      <c r="G599" s="408"/>
      <c r="H599" s="99"/>
      <c r="I599" s="99"/>
      <c r="J599" s="42"/>
    </row>
    <row r="600" spans="1:13">
      <c r="A600" s="437"/>
      <c r="B600" s="437"/>
      <c r="C600" s="437"/>
      <c r="D600" s="437"/>
      <c r="E600" s="437"/>
      <c r="F600" s="408"/>
      <c r="G600" s="408"/>
      <c r="H600" s="99"/>
      <c r="I600" s="99"/>
      <c r="J600" s="42"/>
    </row>
    <row r="601" spans="1:13">
      <c r="A601" s="408"/>
      <c r="B601" s="408"/>
      <c r="C601" s="408"/>
      <c r="D601" s="408"/>
      <c r="E601" s="408"/>
      <c r="F601" s="408"/>
      <c r="G601" s="408"/>
      <c r="H601" s="99"/>
      <c r="I601" s="99"/>
      <c r="J601" s="42"/>
    </row>
    <row r="602" spans="1:13">
      <c r="A602" s="438"/>
      <c r="B602" s="376">
        <v>2010</v>
      </c>
      <c r="C602" s="99"/>
      <c r="D602" s="99"/>
      <c r="E602" s="99"/>
      <c r="F602" s="99"/>
      <c r="G602" s="408"/>
      <c r="H602" s="99"/>
      <c r="I602" s="99"/>
      <c r="J602" s="42"/>
    </row>
    <row r="603" spans="1:13" ht="15.75" customHeight="1">
      <c r="A603" s="439" t="s">
        <v>1120</v>
      </c>
      <c r="B603" s="440"/>
      <c r="C603" s="440"/>
      <c r="D603" s="440"/>
      <c r="E603" s="440"/>
      <c r="F603" s="440"/>
      <c r="G603" s="99"/>
      <c r="H603" s="99"/>
      <c r="I603" s="99"/>
      <c r="J603" s="99"/>
      <c r="K603" s="99"/>
      <c r="L603" s="99"/>
      <c r="M603" s="99"/>
    </row>
    <row r="604" spans="1:13" ht="15.75" customHeight="1">
      <c r="A604" s="439" t="s">
        <v>1121</v>
      </c>
      <c r="B604" s="439"/>
      <c r="C604" s="439"/>
      <c r="D604" s="99"/>
      <c r="E604" s="99"/>
      <c r="F604" s="99"/>
      <c r="G604" s="99"/>
      <c r="H604" s="99"/>
      <c r="I604" s="99"/>
      <c r="J604" s="99"/>
      <c r="K604" s="99"/>
      <c r="L604" s="99"/>
      <c r="M604" s="99"/>
    </row>
    <row r="605" spans="1:13">
      <c r="A605" s="386" t="s">
        <v>1122</v>
      </c>
      <c r="B605" s="386"/>
      <c r="C605" s="99"/>
      <c r="D605" s="99"/>
      <c r="E605" s="99"/>
      <c r="F605" s="99"/>
      <c r="G605" s="99"/>
      <c r="H605" s="99"/>
      <c r="I605" s="99"/>
      <c r="J605" s="99"/>
      <c r="K605" s="99"/>
      <c r="L605" s="99"/>
      <c r="M605" s="99"/>
    </row>
    <row r="606" spans="1:13">
      <c r="A606" s="439" t="s">
        <v>1123</v>
      </c>
      <c r="B606" s="439"/>
      <c r="C606" s="99"/>
      <c r="D606" s="99"/>
      <c r="E606" s="99"/>
      <c r="F606" s="99"/>
      <c r="G606" s="99"/>
      <c r="H606" s="99"/>
      <c r="I606" s="99"/>
      <c r="J606" s="99"/>
      <c r="K606" s="99"/>
      <c r="L606" s="99"/>
      <c r="M606" s="99"/>
    </row>
    <row r="607" spans="1:13">
      <c r="A607" s="386" t="s">
        <v>1124</v>
      </c>
      <c r="B607" s="386"/>
      <c r="C607" s="99"/>
      <c r="D607" s="99"/>
      <c r="E607" s="99"/>
      <c r="F607" s="99"/>
      <c r="G607" s="99"/>
      <c r="H607" s="99"/>
      <c r="I607" s="99"/>
      <c r="J607" s="99"/>
      <c r="K607" s="99"/>
      <c r="L607" s="99"/>
      <c r="M607" s="99"/>
    </row>
    <row r="608" spans="1:13">
      <c r="A608" s="99"/>
      <c r="B608" s="107"/>
      <c r="C608" s="99"/>
      <c r="D608" s="99"/>
      <c r="E608" s="99"/>
      <c r="F608" s="99"/>
      <c r="G608" s="99"/>
      <c r="H608" s="99"/>
      <c r="I608" s="99"/>
      <c r="J608" s="99"/>
      <c r="K608" s="99"/>
      <c r="L608" s="99"/>
      <c r="M608" s="99"/>
    </row>
    <row r="609" spans="1:13">
      <c r="A609" s="441" t="s">
        <v>1089</v>
      </c>
      <c r="B609" s="441" t="s">
        <v>1125</v>
      </c>
      <c r="C609" s="442" t="s">
        <v>1092</v>
      </c>
      <c r="D609" s="443"/>
      <c r="E609" s="443"/>
      <c r="F609" s="99"/>
      <c r="G609" s="99"/>
      <c r="H609" s="99"/>
      <c r="I609" s="99"/>
      <c r="J609" s="99"/>
      <c r="K609" s="99"/>
      <c r="L609" s="99"/>
      <c r="M609" s="99"/>
    </row>
    <row r="610" spans="1:13">
      <c r="A610" s="444" t="s">
        <v>1126</v>
      </c>
      <c r="B610" s="445">
        <v>90.52</v>
      </c>
      <c r="C610" s="445">
        <v>9.48</v>
      </c>
      <c r="D610" s="443"/>
      <c r="E610" s="443"/>
      <c r="F610" s="99"/>
      <c r="G610" s="99"/>
      <c r="H610" s="99"/>
      <c r="I610" s="99"/>
      <c r="J610" s="99"/>
      <c r="K610" s="99"/>
      <c r="L610" s="99"/>
      <c r="M610" s="99"/>
    </row>
    <row r="611" spans="1:13" ht="25.5">
      <c r="A611" s="446" t="s">
        <v>1127</v>
      </c>
      <c r="B611" s="445">
        <v>92.11</v>
      </c>
      <c r="C611" s="445">
        <v>7.89</v>
      </c>
      <c r="D611" s="443"/>
      <c r="E611" s="443"/>
      <c r="F611" s="99"/>
      <c r="G611" s="99"/>
      <c r="H611" s="99"/>
      <c r="I611" s="99"/>
      <c r="J611" s="99"/>
      <c r="K611" s="99"/>
      <c r="L611" s="99"/>
      <c r="M611" s="99"/>
    </row>
    <row r="612" spans="1:13" ht="25.5">
      <c r="A612" s="446" t="s">
        <v>1128</v>
      </c>
      <c r="B612" s="445">
        <v>89.16</v>
      </c>
      <c r="C612" s="445">
        <v>10.84</v>
      </c>
      <c r="D612" s="443"/>
      <c r="E612" s="443"/>
      <c r="F612" s="99"/>
      <c r="G612" s="99"/>
      <c r="H612" s="99"/>
      <c r="I612" s="99"/>
      <c r="J612" s="99"/>
      <c r="K612" s="99"/>
      <c r="L612" s="99"/>
      <c r="M612" s="99"/>
    </row>
    <row r="613" spans="1:13" ht="25.5">
      <c r="A613" s="446" t="s">
        <v>1129</v>
      </c>
      <c r="B613" s="445">
        <v>91.07</v>
      </c>
      <c r="C613" s="445">
        <v>8.93</v>
      </c>
      <c r="D613" s="443"/>
      <c r="E613" s="443"/>
      <c r="F613" s="99"/>
      <c r="G613" s="99"/>
      <c r="H613" s="99"/>
      <c r="I613" s="99"/>
      <c r="J613" s="99"/>
      <c r="K613" s="99"/>
      <c r="L613" s="99"/>
      <c r="M613" s="99"/>
    </row>
    <row r="614" spans="1:13">
      <c r="A614" s="444" t="s">
        <v>1130</v>
      </c>
      <c r="B614" s="445">
        <v>86.84</v>
      </c>
      <c r="C614" s="445">
        <v>13.16</v>
      </c>
      <c r="D614" s="443"/>
      <c r="E614" s="443"/>
      <c r="F614" s="99"/>
      <c r="G614" s="99"/>
      <c r="H614" s="99"/>
      <c r="I614" s="99"/>
      <c r="J614" s="99"/>
      <c r="K614" s="99"/>
      <c r="L614" s="99"/>
      <c r="M614" s="99"/>
    </row>
    <row r="615" spans="1:13" ht="25.5">
      <c r="A615" s="446" t="s">
        <v>1127</v>
      </c>
      <c r="B615" s="445">
        <v>91.18</v>
      </c>
      <c r="C615" s="445">
        <v>8.82</v>
      </c>
      <c r="D615" s="443"/>
      <c r="E615" s="443"/>
      <c r="F615" s="99"/>
      <c r="G615" s="99"/>
      <c r="H615" s="99"/>
      <c r="I615" s="99"/>
      <c r="J615" s="99"/>
      <c r="K615" s="99"/>
      <c r="L615" s="99"/>
      <c r="M615" s="99"/>
    </row>
    <row r="616" spans="1:13" ht="25.5">
      <c r="A616" s="446" t="s">
        <v>1128</v>
      </c>
      <c r="B616" s="445">
        <v>84.86</v>
      </c>
      <c r="C616" s="445">
        <v>15.14</v>
      </c>
      <c r="D616" s="443"/>
      <c r="E616" s="443"/>
      <c r="F616" s="99"/>
      <c r="G616" s="99"/>
      <c r="H616" s="99"/>
      <c r="I616" s="99"/>
      <c r="J616" s="99"/>
      <c r="K616" s="99"/>
      <c r="L616" s="99"/>
      <c r="M616" s="99"/>
    </row>
    <row r="617" spans="1:13" ht="25.5">
      <c r="A617" s="446" t="s">
        <v>1131</v>
      </c>
      <c r="B617" s="445">
        <v>83.75</v>
      </c>
      <c r="C617" s="445">
        <v>16.25</v>
      </c>
      <c r="D617" s="443"/>
      <c r="E617" s="443"/>
      <c r="F617" s="99"/>
      <c r="G617" s="99"/>
      <c r="H617" s="99"/>
      <c r="I617" s="99"/>
      <c r="J617" s="99"/>
      <c r="K617" s="99"/>
      <c r="L617" s="99"/>
      <c r="M617" s="99"/>
    </row>
    <row r="618" spans="1:13">
      <c r="A618" s="444" t="s">
        <v>1132</v>
      </c>
      <c r="B618" s="445">
        <v>89.92</v>
      </c>
      <c r="C618" s="445">
        <v>10.08</v>
      </c>
      <c r="D618" s="443"/>
      <c r="E618" s="443"/>
      <c r="F618" s="99"/>
      <c r="G618" s="99"/>
      <c r="H618" s="99"/>
      <c r="I618" s="99"/>
      <c r="J618" s="99"/>
      <c r="K618" s="99"/>
      <c r="L618" s="99"/>
      <c r="M618" s="99"/>
    </row>
    <row r="619" spans="1:13" ht="25.5">
      <c r="A619" s="446" t="s">
        <v>1128</v>
      </c>
      <c r="B619" s="445">
        <v>87.73</v>
      </c>
      <c r="C619" s="445">
        <v>12.27</v>
      </c>
      <c r="D619" s="443"/>
      <c r="E619" s="443"/>
      <c r="F619" s="99"/>
      <c r="G619" s="99"/>
      <c r="H619" s="99"/>
      <c r="I619" s="99"/>
      <c r="J619" s="99"/>
      <c r="K619" s="99"/>
      <c r="L619" s="99"/>
      <c r="M619" s="99"/>
    </row>
    <row r="620" spans="1:13" ht="25.5">
      <c r="A620" s="446" t="s">
        <v>1131</v>
      </c>
      <c r="B620" s="445">
        <v>95.34</v>
      </c>
      <c r="C620" s="445">
        <v>4.66</v>
      </c>
      <c r="D620" s="443"/>
      <c r="E620" s="443"/>
      <c r="F620" s="99"/>
      <c r="G620" s="99"/>
      <c r="H620" s="99"/>
      <c r="I620" s="99"/>
      <c r="J620" s="99"/>
      <c r="K620" s="99"/>
      <c r="L620" s="99"/>
      <c r="M620" s="99"/>
    </row>
    <row r="621" spans="1:13" ht="25.5">
      <c r="A621" s="446" t="s">
        <v>1129</v>
      </c>
      <c r="B621" s="445">
        <v>81.48</v>
      </c>
      <c r="C621" s="445">
        <v>18.52</v>
      </c>
      <c r="D621" s="443"/>
      <c r="E621" s="443"/>
      <c r="F621" s="99"/>
      <c r="G621" s="99"/>
      <c r="H621" s="99"/>
      <c r="I621" s="99"/>
      <c r="J621" s="99"/>
      <c r="K621" s="99"/>
      <c r="L621" s="99"/>
      <c r="M621" s="99"/>
    </row>
    <row r="622" spans="1:13">
      <c r="A622" s="447" t="s">
        <v>1133</v>
      </c>
      <c r="B622" s="448">
        <v>88.52</v>
      </c>
      <c r="C622" s="449">
        <v>11.48</v>
      </c>
      <c r="D622" s="118"/>
      <c r="E622" s="118"/>
      <c r="F622" s="99"/>
      <c r="G622" s="99"/>
      <c r="H622" s="99"/>
      <c r="I622" s="99"/>
      <c r="J622" s="99"/>
      <c r="K622" s="99"/>
      <c r="L622" s="99"/>
      <c r="M622" s="99"/>
    </row>
    <row r="623" spans="1:13">
      <c r="A623" s="99"/>
      <c r="B623" s="107"/>
      <c r="C623" s="99"/>
      <c r="D623" s="99"/>
      <c r="E623" s="99"/>
      <c r="F623" s="99"/>
      <c r="G623" s="99"/>
      <c r="H623" s="99"/>
      <c r="I623" s="99"/>
      <c r="J623" s="99"/>
      <c r="K623" s="99"/>
      <c r="L623" s="99"/>
      <c r="M623" s="99"/>
    </row>
    <row r="624" spans="1:13">
      <c r="A624" s="99"/>
      <c r="B624" s="107"/>
      <c r="C624" s="99"/>
      <c r="D624" s="99"/>
      <c r="E624" s="99"/>
      <c r="F624" s="99"/>
      <c r="G624" s="99"/>
      <c r="H624" s="99"/>
      <c r="I624" s="99"/>
      <c r="J624" s="99"/>
      <c r="K624" s="99"/>
      <c r="L624" s="99"/>
      <c r="M624" s="99"/>
    </row>
    <row r="625" spans="1:13">
      <c r="A625" s="99"/>
      <c r="B625" s="107"/>
      <c r="C625" s="99"/>
      <c r="D625" s="99"/>
      <c r="E625" s="99"/>
      <c r="F625" s="99"/>
      <c r="G625" s="99"/>
      <c r="H625" s="99"/>
      <c r="I625" s="99"/>
      <c r="J625" s="99"/>
      <c r="K625" s="99"/>
      <c r="L625" s="99"/>
      <c r="M625" s="99"/>
    </row>
    <row r="626" spans="1:13">
      <c r="A626" s="99"/>
      <c r="B626" s="107"/>
      <c r="C626" s="99"/>
      <c r="D626" s="99"/>
      <c r="E626" s="99"/>
      <c r="F626" s="99"/>
      <c r="G626" s="99"/>
      <c r="H626" s="99"/>
      <c r="I626" s="99"/>
      <c r="J626" s="99"/>
      <c r="K626" s="99"/>
      <c r="L626" s="99"/>
      <c r="M626" s="99"/>
    </row>
    <row r="627" spans="1:13">
      <c r="A627" s="99"/>
      <c r="B627" s="107"/>
      <c r="C627" s="99"/>
      <c r="D627" s="99"/>
      <c r="E627" s="99"/>
      <c r="F627" s="99"/>
      <c r="G627" s="99"/>
      <c r="H627" s="99"/>
      <c r="I627" s="99"/>
      <c r="J627" s="99"/>
      <c r="K627" s="99"/>
      <c r="L627" s="99"/>
      <c r="M627" s="99"/>
    </row>
    <row r="628" spans="1:13">
      <c r="A628" s="99"/>
      <c r="B628" s="107"/>
      <c r="C628" s="99"/>
      <c r="D628" s="99"/>
      <c r="E628" s="99"/>
      <c r="F628" s="99"/>
      <c r="G628" s="99"/>
      <c r="H628" s="99"/>
      <c r="I628" s="99"/>
      <c r="J628" s="99"/>
      <c r="K628" s="99"/>
      <c r="L628" s="99"/>
      <c r="M628" s="99"/>
    </row>
    <row r="629" spans="1:13">
      <c r="A629" s="99"/>
      <c r="B629" s="107"/>
      <c r="C629" s="99"/>
      <c r="D629" s="99"/>
      <c r="E629" s="99"/>
      <c r="F629" s="99"/>
      <c r="G629" s="99"/>
      <c r="H629" s="99"/>
      <c r="I629" s="99"/>
      <c r="J629" s="99"/>
      <c r="K629" s="99"/>
      <c r="L629" s="99"/>
      <c r="M629" s="99"/>
    </row>
    <row r="630" spans="1:13">
      <c r="A630" s="99"/>
      <c r="B630" s="107"/>
      <c r="C630" s="99"/>
      <c r="D630" s="99"/>
      <c r="E630" s="99"/>
      <c r="F630" s="99"/>
      <c r="G630" s="99"/>
      <c r="H630" s="99"/>
      <c r="I630" s="99"/>
      <c r="J630" s="99"/>
      <c r="K630" s="99"/>
      <c r="L630" s="99"/>
      <c r="M630" s="99"/>
    </row>
    <row r="631" spans="1:13">
      <c r="A631" s="99"/>
      <c r="B631" s="107"/>
      <c r="C631" s="99"/>
      <c r="D631" s="99"/>
      <c r="E631" s="99"/>
      <c r="F631" s="99"/>
      <c r="G631" s="99"/>
      <c r="H631" s="99"/>
      <c r="I631" s="99"/>
      <c r="J631" s="99"/>
      <c r="K631" s="99"/>
      <c r="L631" s="99"/>
      <c r="M631" s="99"/>
    </row>
  </sheetData>
  <sortState ref="A16:K102">
    <sortCondition ref="A16:A102"/>
    <sortCondition ref="B16:B102"/>
    <sortCondition ref="D16:D102"/>
  </sortState>
  <mergeCells count="128">
    <mergeCell ref="D107:D112"/>
    <mergeCell ref="A158:A164"/>
    <mergeCell ref="B158:B159"/>
    <mergeCell ref="B161:B164"/>
    <mergeCell ref="A165:D165"/>
    <mergeCell ref="A117:A157"/>
    <mergeCell ref="B117:B134"/>
    <mergeCell ref="B135:B153"/>
    <mergeCell ref="B154:B157"/>
    <mergeCell ref="A68:A116"/>
    <mergeCell ref="B68:B88"/>
    <mergeCell ref="B89:B104"/>
    <mergeCell ref="B105:B116"/>
    <mergeCell ref="D68:D80"/>
    <mergeCell ref="D81:D88"/>
    <mergeCell ref="D140:D149"/>
    <mergeCell ref="D150:D153"/>
    <mergeCell ref="D154:D156"/>
    <mergeCell ref="D163:D164"/>
    <mergeCell ref="D113:D116"/>
    <mergeCell ref="D117:D118"/>
    <mergeCell ref="D119:D131"/>
    <mergeCell ref="D132:D134"/>
    <mergeCell ref="D135:D139"/>
    <mergeCell ref="D105:D106"/>
    <mergeCell ref="A23:A67"/>
    <mergeCell ref="B23:B33"/>
    <mergeCell ref="B34:B46"/>
    <mergeCell ref="B47:B67"/>
    <mergeCell ref="D89:D90"/>
    <mergeCell ref="D91:D98"/>
    <mergeCell ref="D99:D104"/>
    <mergeCell ref="E12:F12"/>
    <mergeCell ref="G12:K12"/>
    <mergeCell ref="D47:D53"/>
    <mergeCell ref="D54:D61"/>
    <mergeCell ref="D62:D67"/>
    <mergeCell ref="D23:D28"/>
    <mergeCell ref="D29:D33"/>
    <mergeCell ref="D34:D36"/>
    <mergeCell ref="D37:D43"/>
    <mergeCell ref="D44:D46"/>
    <mergeCell ref="A6:K7"/>
    <mergeCell ref="A579:F579"/>
    <mergeCell ref="A592:F592"/>
    <mergeCell ref="F476:G476"/>
    <mergeCell ref="A458:G458"/>
    <mergeCell ref="F311:J311"/>
    <mergeCell ref="A317:A318"/>
    <mergeCell ref="B317:B318"/>
    <mergeCell ref="C317:C318"/>
    <mergeCell ref="D317:D318"/>
    <mergeCell ref="F317:F318"/>
    <mergeCell ref="G317:G318"/>
    <mergeCell ref="H317:H318"/>
    <mergeCell ref="A320:A329"/>
    <mergeCell ref="A330:A340"/>
    <mergeCell ref="A341:A358"/>
    <mergeCell ref="H476:L476"/>
    <mergeCell ref="A568:D568"/>
    <mergeCell ref="A360:A365"/>
    <mergeCell ref="A367:A382"/>
    <mergeCell ref="A383:A397"/>
    <mergeCell ref="A398:A406"/>
    <mergeCell ref="A408:A422"/>
    <mergeCell ref="A423:A434"/>
    <mergeCell ref="A435:A438"/>
    <mergeCell ref="A441:A442"/>
    <mergeCell ref="B441:B442"/>
    <mergeCell ref="C441:C442"/>
    <mergeCell ref="A171:K172"/>
    <mergeCell ref="K441:O441"/>
    <mergeCell ref="B301:L301"/>
    <mergeCell ref="D441:D442"/>
    <mergeCell ref="F441:F442"/>
    <mergeCell ref="G441:G442"/>
    <mergeCell ref="H441:H442"/>
    <mergeCell ref="I441:J441"/>
    <mergeCell ref="I317:J317"/>
    <mergeCell ref="K317:O317"/>
    <mergeCell ref="A188:A211"/>
    <mergeCell ref="B188:B193"/>
    <mergeCell ref="D188:D191"/>
    <mergeCell ref="D192:D193"/>
    <mergeCell ref="B194:B205"/>
    <mergeCell ref="D194:D195"/>
    <mergeCell ref="D196:D202"/>
    <mergeCell ref="D203:D205"/>
    <mergeCell ref="D206:D207"/>
    <mergeCell ref="D208:D209"/>
    <mergeCell ref="D210:D211"/>
    <mergeCell ref="B286:B288"/>
    <mergeCell ref="D286:D287"/>
    <mergeCell ref="A212:A256"/>
    <mergeCell ref="B212:B230"/>
    <mergeCell ref="D212:D224"/>
    <mergeCell ref="D225:D230"/>
    <mergeCell ref="B231:B245"/>
    <mergeCell ref="D232:D239"/>
    <mergeCell ref="D240:D245"/>
    <mergeCell ref="B246:B256"/>
    <mergeCell ref="D246:D247"/>
    <mergeCell ref="D248:D253"/>
    <mergeCell ref="D254:D256"/>
    <mergeCell ref="E177:F177"/>
    <mergeCell ref="G177:K177"/>
    <mergeCell ref="H186:I186"/>
    <mergeCell ref="J186:N186"/>
    <mergeCell ref="E186:E187"/>
    <mergeCell ref="F186:F187"/>
    <mergeCell ref="G186:G187"/>
    <mergeCell ref="A289:A293"/>
    <mergeCell ref="B289:B290"/>
    <mergeCell ref="B291:B293"/>
    <mergeCell ref="D291:D292"/>
    <mergeCell ref="D186:D187"/>
    <mergeCell ref="B186:B187"/>
    <mergeCell ref="A186:A187"/>
    <mergeCell ref="C186:C187"/>
    <mergeCell ref="A257:A288"/>
    <mergeCell ref="B257:B274"/>
    <mergeCell ref="D257:D258"/>
    <mergeCell ref="D259:D271"/>
    <mergeCell ref="D272:D274"/>
    <mergeCell ref="B275:B285"/>
    <mergeCell ref="D275:D278"/>
    <mergeCell ref="D279:D285"/>
    <mergeCell ref="B206:B211"/>
  </mergeCells>
  <conditionalFormatting sqref="C188:C293">
    <cfRule type="duplicateValues" dxfId="0" priority="1"/>
  </conditionalFormatting>
  <pageMargins left="0.7" right="0.7" top="0.75" bottom="0.75" header="0.3" footer="0.3"/>
  <pageSetup scale="64" orientation="portrait" r:id="rId1"/>
  <colBreaks count="1" manualBreakCount="1">
    <brk id="8" max="1048575" man="1"/>
  </colBreaks>
  <drawing r:id="rId2"/>
</worksheet>
</file>

<file path=xl/worksheets/sheet23.xml><?xml version="1.0" encoding="utf-8"?>
<worksheet xmlns="http://schemas.openxmlformats.org/spreadsheetml/2006/main" xmlns:r="http://schemas.openxmlformats.org/officeDocument/2006/relationships">
  <sheetPr>
    <tabColor theme="9" tint="-0.499984740745262"/>
  </sheetPr>
  <dimension ref="B1:HP162"/>
  <sheetViews>
    <sheetView showGridLines="0" workbookViewId="0"/>
  </sheetViews>
  <sheetFormatPr baseColWidth="10" defaultRowHeight="15"/>
  <cols>
    <col min="1" max="1" width="1.7109375" customWidth="1"/>
    <col min="2" max="2" width="19.85546875" customWidth="1"/>
    <col min="3" max="3" width="11.85546875" customWidth="1"/>
    <col min="4" max="4" width="12.28515625" customWidth="1"/>
    <col min="5" max="5" width="1.7109375" customWidth="1"/>
    <col min="6" max="6" width="12.7109375" customWidth="1"/>
    <col min="7" max="7" width="11.42578125" customWidth="1"/>
    <col min="8" max="8" width="1.7109375" customWidth="1"/>
    <col min="9" max="10" width="9.7109375" customWidth="1"/>
    <col min="11" max="11" width="19.7109375" customWidth="1"/>
    <col min="12" max="12" width="37.28515625" bestFit="1" customWidth="1"/>
    <col min="13" max="13" width="18" bestFit="1" customWidth="1"/>
    <col min="14" max="14" width="18.85546875" bestFit="1" customWidth="1"/>
    <col min="15" max="15" width="24.140625" bestFit="1" customWidth="1"/>
    <col min="16" max="16" width="18.85546875" bestFit="1" customWidth="1"/>
    <col min="17" max="17" width="22.85546875" bestFit="1" customWidth="1"/>
    <col min="245" max="245" width="16.140625" customWidth="1"/>
    <col min="246" max="246" width="11.85546875" customWidth="1"/>
    <col min="247" max="248" width="16.28515625" customWidth="1"/>
    <col min="249" max="249" width="27.7109375" customWidth="1"/>
    <col min="501" max="501" width="16.140625" customWidth="1"/>
    <col min="502" max="502" width="11.85546875" customWidth="1"/>
    <col min="503" max="504" width="16.28515625" customWidth="1"/>
    <col min="505" max="505" width="27.7109375" customWidth="1"/>
    <col min="757" max="757" width="16.140625" customWidth="1"/>
    <col min="758" max="758" width="11.85546875" customWidth="1"/>
    <col min="759" max="760" width="16.28515625" customWidth="1"/>
    <col min="761" max="761" width="27.7109375" customWidth="1"/>
    <col min="1013" max="1013" width="16.140625" customWidth="1"/>
    <col min="1014" max="1014" width="11.85546875" customWidth="1"/>
    <col min="1015" max="1016" width="16.28515625" customWidth="1"/>
    <col min="1017" max="1017" width="27.7109375" customWidth="1"/>
    <col min="1269" max="1269" width="16.140625" customWidth="1"/>
    <col min="1270" max="1270" width="11.85546875" customWidth="1"/>
    <col min="1271" max="1272" width="16.28515625" customWidth="1"/>
    <col min="1273" max="1273" width="27.7109375" customWidth="1"/>
    <col min="1525" max="1525" width="16.140625" customWidth="1"/>
    <col min="1526" max="1526" width="11.85546875" customWidth="1"/>
    <col min="1527" max="1528" width="16.28515625" customWidth="1"/>
    <col min="1529" max="1529" width="27.7109375" customWidth="1"/>
    <col min="1781" max="1781" width="16.140625" customWidth="1"/>
    <col min="1782" max="1782" width="11.85546875" customWidth="1"/>
    <col min="1783" max="1784" width="16.28515625" customWidth="1"/>
    <col min="1785" max="1785" width="27.7109375" customWidth="1"/>
    <col min="2037" max="2037" width="16.140625" customWidth="1"/>
    <col min="2038" max="2038" width="11.85546875" customWidth="1"/>
    <col min="2039" max="2040" width="16.28515625" customWidth="1"/>
    <col min="2041" max="2041" width="27.7109375" customWidth="1"/>
    <col min="2293" max="2293" width="16.140625" customWidth="1"/>
    <col min="2294" max="2294" width="11.85546875" customWidth="1"/>
    <col min="2295" max="2296" width="16.28515625" customWidth="1"/>
    <col min="2297" max="2297" width="27.7109375" customWidth="1"/>
    <col min="2549" max="2549" width="16.140625" customWidth="1"/>
    <col min="2550" max="2550" width="11.85546875" customWidth="1"/>
    <col min="2551" max="2552" width="16.28515625" customWidth="1"/>
    <col min="2553" max="2553" width="27.7109375" customWidth="1"/>
    <col min="2805" max="2805" width="16.140625" customWidth="1"/>
    <col min="2806" max="2806" width="11.85546875" customWidth="1"/>
    <col min="2807" max="2808" width="16.28515625" customWidth="1"/>
    <col min="2809" max="2809" width="27.7109375" customWidth="1"/>
    <col min="3061" max="3061" width="16.140625" customWidth="1"/>
    <col min="3062" max="3062" width="11.85546875" customWidth="1"/>
    <col min="3063" max="3064" width="16.28515625" customWidth="1"/>
    <col min="3065" max="3065" width="27.7109375" customWidth="1"/>
    <col min="3317" max="3317" width="16.140625" customWidth="1"/>
    <col min="3318" max="3318" width="11.85546875" customWidth="1"/>
    <col min="3319" max="3320" width="16.28515625" customWidth="1"/>
    <col min="3321" max="3321" width="27.7109375" customWidth="1"/>
    <col min="3573" max="3573" width="16.140625" customWidth="1"/>
    <col min="3574" max="3574" width="11.85546875" customWidth="1"/>
    <col min="3575" max="3576" width="16.28515625" customWidth="1"/>
    <col min="3577" max="3577" width="27.7109375" customWidth="1"/>
    <col min="3829" max="3829" width="16.140625" customWidth="1"/>
    <col min="3830" max="3830" width="11.85546875" customWidth="1"/>
    <col min="3831" max="3832" width="16.28515625" customWidth="1"/>
    <col min="3833" max="3833" width="27.7109375" customWidth="1"/>
    <col min="4085" max="4085" width="16.140625" customWidth="1"/>
    <col min="4086" max="4086" width="11.85546875" customWidth="1"/>
    <col min="4087" max="4088" width="16.28515625" customWidth="1"/>
    <col min="4089" max="4089" width="27.7109375" customWidth="1"/>
    <col min="4341" max="4341" width="16.140625" customWidth="1"/>
    <col min="4342" max="4342" width="11.85546875" customWidth="1"/>
    <col min="4343" max="4344" width="16.28515625" customWidth="1"/>
    <col min="4345" max="4345" width="27.7109375" customWidth="1"/>
    <col min="4597" max="4597" width="16.140625" customWidth="1"/>
    <col min="4598" max="4598" width="11.85546875" customWidth="1"/>
    <col min="4599" max="4600" width="16.28515625" customWidth="1"/>
    <col min="4601" max="4601" width="27.7109375" customWidth="1"/>
    <col min="4853" max="4853" width="16.140625" customWidth="1"/>
    <col min="4854" max="4854" width="11.85546875" customWidth="1"/>
    <col min="4855" max="4856" width="16.28515625" customWidth="1"/>
    <col min="4857" max="4857" width="27.7109375" customWidth="1"/>
    <col min="5109" max="5109" width="16.140625" customWidth="1"/>
    <col min="5110" max="5110" width="11.85546875" customWidth="1"/>
    <col min="5111" max="5112" width="16.28515625" customWidth="1"/>
    <col min="5113" max="5113" width="27.7109375" customWidth="1"/>
    <col min="5365" max="5365" width="16.140625" customWidth="1"/>
    <col min="5366" max="5366" width="11.85546875" customWidth="1"/>
    <col min="5367" max="5368" width="16.28515625" customWidth="1"/>
    <col min="5369" max="5369" width="27.7109375" customWidth="1"/>
    <col min="5621" max="5621" width="16.140625" customWidth="1"/>
    <col min="5622" max="5622" width="11.85546875" customWidth="1"/>
    <col min="5623" max="5624" width="16.28515625" customWidth="1"/>
    <col min="5625" max="5625" width="27.7109375" customWidth="1"/>
    <col min="5877" max="5877" width="16.140625" customWidth="1"/>
    <col min="5878" max="5878" width="11.85546875" customWidth="1"/>
    <col min="5879" max="5880" width="16.28515625" customWidth="1"/>
    <col min="5881" max="5881" width="27.7109375" customWidth="1"/>
    <col min="6133" max="6133" width="16.140625" customWidth="1"/>
    <col min="6134" max="6134" width="11.85546875" customWidth="1"/>
    <col min="6135" max="6136" width="16.28515625" customWidth="1"/>
    <col min="6137" max="6137" width="27.7109375" customWidth="1"/>
    <col min="6389" max="6389" width="16.140625" customWidth="1"/>
    <col min="6390" max="6390" width="11.85546875" customWidth="1"/>
    <col min="6391" max="6392" width="16.28515625" customWidth="1"/>
    <col min="6393" max="6393" width="27.7109375" customWidth="1"/>
    <col min="6645" max="6645" width="16.140625" customWidth="1"/>
    <col min="6646" max="6646" width="11.85546875" customWidth="1"/>
    <col min="6647" max="6648" width="16.28515625" customWidth="1"/>
    <col min="6649" max="6649" width="27.7109375" customWidth="1"/>
    <col min="6901" max="6901" width="16.140625" customWidth="1"/>
    <col min="6902" max="6902" width="11.85546875" customWidth="1"/>
    <col min="6903" max="6904" width="16.28515625" customWidth="1"/>
    <col min="6905" max="6905" width="27.7109375" customWidth="1"/>
    <col min="7157" max="7157" width="16.140625" customWidth="1"/>
    <col min="7158" max="7158" width="11.85546875" customWidth="1"/>
    <col min="7159" max="7160" width="16.28515625" customWidth="1"/>
    <col min="7161" max="7161" width="27.7109375" customWidth="1"/>
    <col min="7413" max="7413" width="16.140625" customWidth="1"/>
    <col min="7414" max="7414" width="11.85546875" customWidth="1"/>
    <col min="7415" max="7416" width="16.28515625" customWidth="1"/>
    <col min="7417" max="7417" width="27.7109375" customWidth="1"/>
    <col min="7669" max="7669" width="16.140625" customWidth="1"/>
    <col min="7670" max="7670" width="11.85546875" customWidth="1"/>
    <col min="7671" max="7672" width="16.28515625" customWidth="1"/>
    <col min="7673" max="7673" width="27.7109375" customWidth="1"/>
    <col min="7925" max="7925" width="16.140625" customWidth="1"/>
    <col min="7926" max="7926" width="11.85546875" customWidth="1"/>
    <col min="7927" max="7928" width="16.28515625" customWidth="1"/>
    <col min="7929" max="7929" width="27.7109375" customWidth="1"/>
    <col min="8181" max="8181" width="16.140625" customWidth="1"/>
    <col min="8182" max="8182" width="11.85546875" customWidth="1"/>
    <col min="8183" max="8184" width="16.28515625" customWidth="1"/>
    <col min="8185" max="8185" width="27.7109375" customWidth="1"/>
    <col min="8437" max="8437" width="16.140625" customWidth="1"/>
    <col min="8438" max="8438" width="11.85546875" customWidth="1"/>
    <col min="8439" max="8440" width="16.28515625" customWidth="1"/>
    <col min="8441" max="8441" width="27.7109375" customWidth="1"/>
    <col min="8693" max="8693" width="16.140625" customWidth="1"/>
    <col min="8694" max="8694" width="11.85546875" customWidth="1"/>
    <col min="8695" max="8696" width="16.28515625" customWidth="1"/>
    <col min="8697" max="8697" width="27.7109375" customWidth="1"/>
    <col min="8949" max="8949" width="16.140625" customWidth="1"/>
    <col min="8950" max="8950" width="11.85546875" customWidth="1"/>
    <col min="8951" max="8952" width="16.28515625" customWidth="1"/>
    <col min="8953" max="8953" width="27.7109375" customWidth="1"/>
    <col min="9205" max="9205" width="16.140625" customWidth="1"/>
    <col min="9206" max="9206" width="11.85546875" customWidth="1"/>
    <col min="9207" max="9208" width="16.28515625" customWidth="1"/>
    <col min="9209" max="9209" width="27.7109375" customWidth="1"/>
    <col min="9461" max="9461" width="16.140625" customWidth="1"/>
    <col min="9462" max="9462" width="11.85546875" customWidth="1"/>
    <col min="9463" max="9464" width="16.28515625" customWidth="1"/>
    <col min="9465" max="9465" width="27.7109375" customWidth="1"/>
    <col min="9717" max="9717" width="16.140625" customWidth="1"/>
    <col min="9718" max="9718" width="11.85546875" customWidth="1"/>
    <col min="9719" max="9720" width="16.28515625" customWidth="1"/>
    <col min="9721" max="9721" width="27.7109375" customWidth="1"/>
    <col min="9973" max="9973" width="16.140625" customWidth="1"/>
    <col min="9974" max="9974" width="11.85546875" customWidth="1"/>
    <col min="9975" max="9976" width="16.28515625" customWidth="1"/>
    <col min="9977" max="9977" width="27.7109375" customWidth="1"/>
    <col min="10229" max="10229" width="16.140625" customWidth="1"/>
    <col min="10230" max="10230" width="11.85546875" customWidth="1"/>
    <col min="10231" max="10232" width="16.28515625" customWidth="1"/>
    <col min="10233" max="10233" width="27.7109375" customWidth="1"/>
    <col min="10485" max="10485" width="16.140625" customWidth="1"/>
    <col min="10486" max="10486" width="11.85546875" customWidth="1"/>
    <col min="10487" max="10488" width="16.28515625" customWidth="1"/>
    <col min="10489" max="10489" width="27.7109375" customWidth="1"/>
    <col min="10741" max="10741" width="16.140625" customWidth="1"/>
    <col min="10742" max="10742" width="11.85546875" customWidth="1"/>
    <col min="10743" max="10744" width="16.28515625" customWidth="1"/>
    <col min="10745" max="10745" width="27.7109375" customWidth="1"/>
    <col min="10997" max="10997" width="16.140625" customWidth="1"/>
    <col min="10998" max="10998" width="11.85546875" customWidth="1"/>
    <col min="10999" max="11000" width="16.28515625" customWidth="1"/>
    <col min="11001" max="11001" width="27.7109375" customWidth="1"/>
    <col min="11253" max="11253" width="16.140625" customWidth="1"/>
    <col min="11254" max="11254" width="11.85546875" customWidth="1"/>
    <col min="11255" max="11256" width="16.28515625" customWidth="1"/>
    <col min="11257" max="11257" width="27.7109375" customWidth="1"/>
    <col min="11509" max="11509" width="16.140625" customWidth="1"/>
    <col min="11510" max="11510" width="11.85546875" customWidth="1"/>
    <col min="11511" max="11512" width="16.28515625" customWidth="1"/>
    <col min="11513" max="11513" width="27.7109375" customWidth="1"/>
    <col min="11765" max="11765" width="16.140625" customWidth="1"/>
    <col min="11766" max="11766" width="11.85546875" customWidth="1"/>
    <col min="11767" max="11768" width="16.28515625" customWidth="1"/>
    <col min="11769" max="11769" width="27.7109375" customWidth="1"/>
    <col min="12021" max="12021" width="16.140625" customWidth="1"/>
    <col min="12022" max="12022" width="11.85546875" customWidth="1"/>
    <col min="12023" max="12024" width="16.28515625" customWidth="1"/>
    <col min="12025" max="12025" width="27.7109375" customWidth="1"/>
    <col min="12277" max="12277" width="16.140625" customWidth="1"/>
    <col min="12278" max="12278" width="11.85546875" customWidth="1"/>
    <col min="12279" max="12280" width="16.28515625" customWidth="1"/>
    <col min="12281" max="12281" width="27.7109375" customWidth="1"/>
    <col min="12533" max="12533" width="16.140625" customWidth="1"/>
    <col min="12534" max="12534" width="11.85546875" customWidth="1"/>
    <col min="12535" max="12536" width="16.28515625" customWidth="1"/>
    <col min="12537" max="12537" width="27.7109375" customWidth="1"/>
    <col min="12789" max="12789" width="16.140625" customWidth="1"/>
    <col min="12790" max="12790" width="11.85546875" customWidth="1"/>
    <col min="12791" max="12792" width="16.28515625" customWidth="1"/>
    <col min="12793" max="12793" width="27.7109375" customWidth="1"/>
    <col min="13045" max="13045" width="16.140625" customWidth="1"/>
    <col min="13046" max="13046" width="11.85546875" customWidth="1"/>
    <col min="13047" max="13048" width="16.28515625" customWidth="1"/>
    <col min="13049" max="13049" width="27.7109375" customWidth="1"/>
    <col min="13301" max="13301" width="16.140625" customWidth="1"/>
    <col min="13302" max="13302" width="11.85546875" customWidth="1"/>
    <col min="13303" max="13304" width="16.28515625" customWidth="1"/>
    <col min="13305" max="13305" width="27.7109375" customWidth="1"/>
    <col min="13557" max="13557" width="16.140625" customWidth="1"/>
    <col min="13558" max="13558" width="11.85546875" customWidth="1"/>
    <col min="13559" max="13560" width="16.28515625" customWidth="1"/>
    <col min="13561" max="13561" width="27.7109375" customWidth="1"/>
    <col min="13813" max="13813" width="16.140625" customWidth="1"/>
    <col min="13814" max="13814" width="11.85546875" customWidth="1"/>
    <col min="13815" max="13816" width="16.28515625" customWidth="1"/>
    <col min="13817" max="13817" width="27.7109375" customWidth="1"/>
    <col min="14069" max="14069" width="16.140625" customWidth="1"/>
    <col min="14070" max="14070" width="11.85546875" customWidth="1"/>
    <col min="14071" max="14072" width="16.28515625" customWidth="1"/>
    <col min="14073" max="14073" width="27.7109375" customWidth="1"/>
    <col min="14325" max="14325" width="16.140625" customWidth="1"/>
    <col min="14326" max="14326" width="11.85546875" customWidth="1"/>
    <col min="14327" max="14328" width="16.28515625" customWidth="1"/>
    <col min="14329" max="14329" width="27.7109375" customWidth="1"/>
    <col min="14581" max="14581" width="16.140625" customWidth="1"/>
    <col min="14582" max="14582" width="11.85546875" customWidth="1"/>
    <col min="14583" max="14584" width="16.28515625" customWidth="1"/>
    <col min="14585" max="14585" width="27.7109375" customWidth="1"/>
    <col min="14837" max="14837" width="16.140625" customWidth="1"/>
    <col min="14838" max="14838" width="11.85546875" customWidth="1"/>
    <col min="14839" max="14840" width="16.28515625" customWidth="1"/>
    <col min="14841" max="14841" width="27.7109375" customWidth="1"/>
    <col min="15093" max="15093" width="16.140625" customWidth="1"/>
    <col min="15094" max="15094" width="11.85546875" customWidth="1"/>
    <col min="15095" max="15096" width="16.28515625" customWidth="1"/>
    <col min="15097" max="15097" width="27.7109375" customWidth="1"/>
    <col min="15349" max="15349" width="16.140625" customWidth="1"/>
    <col min="15350" max="15350" width="11.85546875" customWidth="1"/>
    <col min="15351" max="15352" width="16.28515625" customWidth="1"/>
    <col min="15353" max="15353" width="27.7109375" customWidth="1"/>
    <col min="15605" max="15605" width="16.140625" customWidth="1"/>
    <col min="15606" max="15606" width="11.85546875" customWidth="1"/>
    <col min="15607" max="15608" width="16.28515625" customWidth="1"/>
    <col min="15609" max="15609" width="27.7109375" customWidth="1"/>
    <col min="15861" max="15861" width="16.140625" customWidth="1"/>
    <col min="15862" max="15862" width="11.85546875" customWidth="1"/>
    <col min="15863" max="15864" width="16.28515625" customWidth="1"/>
    <col min="15865" max="15865" width="27.7109375" customWidth="1"/>
    <col min="16117" max="16117" width="16.140625" customWidth="1"/>
    <col min="16118" max="16118" width="11.85546875" customWidth="1"/>
    <col min="16119" max="16120" width="16.28515625" customWidth="1"/>
    <col min="16121" max="16121" width="27.7109375" customWidth="1"/>
  </cols>
  <sheetData>
    <row r="1" spans="2:224">
      <c r="B1" s="5092"/>
      <c r="C1" s="5092"/>
      <c r="D1" s="5092"/>
      <c r="E1" s="5092"/>
      <c r="F1" s="5092"/>
      <c r="G1" s="5092"/>
      <c r="H1" s="5092"/>
      <c r="I1" s="5092"/>
      <c r="J1" s="2415"/>
      <c r="K1" s="147"/>
    </row>
    <row r="2" spans="2:224" ht="15" customHeight="1">
      <c r="B2" s="5091" t="s">
        <v>2371</v>
      </c>
      <c r="C2" s="5091"/>
      <c r="D2" s="5091"/>
      <c r="E2" s="5091"/>
      <c r="F2" s="5091"/>
      <c r="G2" s="5091"/>
      <c r="H2" s="5091"/>
      <c r="I2" s="5091"/>
      <c r="J2" s="2969"/>
      <c r="K2" s="2969"/>
    </row>
    <row r="3" spans="2:224" ht="25.5" customHeight="1">
      <c r="B3" s="2968"/>
      <c r="C3" s="2968"/>
      <c r="D3" s="2968"/>
      <c r="E3" s="2968"/>
      <c r="F3" s="2968"/>
      <c r="G3" s="2968"/>
      <c r="H3" s="2968"/>
      <c r="I3" s="2968"/>
      <c r="J3" s="2968"/>
      <c r="K3" s="2968"/>
    </row>
    <row r="4" spans="2:224" ht="15" customHeight="1">
      <c r="B4" s="5093" t="s">
        <v>2769</v>
      </c>
      <c r="C4" s="5096" t="s">
        <v>2770</v>
      </c>
      <c r="D4" s="5096"/>
      <c r="E4" s="2972"/>
      <c r="F4" s="5095" t="s">
        <v>2482</v>
      </c>
      <c r="G4" s="5095"/>
      <c r="H4" s="3598"/>
      <c r="I4" s="5097" t="s">
        <v>2771</v>
      </c>
      <c r="J4" s="5097"/>
      <c r="K4" s="2968"/>
    </row>
    <row r="5" spans="2:224" ht="15.75" customHeight="1" thickBot="1">
      <c r="B5" s="5094"/>
      <c r="C5" s="3599" t="s">
        <v>15</v>
      </c>
      <c r="D5" s="3599" t="s">
        <v>2772</v>
      </c>
      <c r="E5" s="2972"/>
      <c r="F5" s="3600" t="s">
        <v>15</v>
      </c>
      <c r="G5" s="3600" t="s">
        <v>76</v>
      </c>
      <c r="H5" s="3598"/>
      <c r="I5" s="3601" t="s">
        <v>15</v>
      </c>
      <c r="J5" s="3601" t="s">
        <v>76</v>
      </c>
      <c r="K5" s="2968"/>
    </row>
    <row r="6" spans="2:224" ht="15.75">
      <c r="B6" s="144"/>
      <c r="C6" s="144"/>
      <c r="D6" s="144"/>
      <c r="E6" s="3602"/>
      <c r="F6" s="144"/>
      <c r="G6" s="144"/>
      <c r="H6" s="2419"/>
      <c r="I6" s="144"/>
      <c r="J6" s="144"/>
      <c r="K6" s="2968"/>
    </row>
    <row r="7" spans="2:224" ht="15.75">
      <c r="B7" s="3603" t="s">
        <v>4</v>
      </c>
      <c r="C7" s="3604">
        <v>10</v>
      </c>
      <c r="D7" s="3605">
        <v>10</v>
      </c>
      <c r="E7" s="3602"/>
      <c r="F7" s="3605">
        <v>10</v>
      </c>
      <c r="G7" s="3606">
        <f>F7/D7</f>
        <v>1</v>
      </c>
      <c r="H7" s="2419"/>
      <c r="I7" s="3605">
        <f>D7-F7</f>
        <v>0</v>
      </c>
      <c r="J7" s="3606">
        <f t="shared" ref="J7:J32" si="0">1-G7</f>
        <v>0</v>
      </c>
      <c r="K7" s="2968"/>
    </row>
    <row r="8" spans="2:224" ht="15.75">
      <c r="B8" s="3607" t="s">
        <v>16</v>
      </c>
      <c r="C8" s="3608">
        <v>4</v>
      </c>
      <c r="D8" s="2416">
        <v>4</v>
      </c>
      <c r="E8" s="3602"/>
      <c r="F8" s="2416">
        <v>2</v>
      </c>
      <c r="G8" s="3609">
        <f t="shared" ref="G8:G32" si="1">F8/D8</f>
        <v>0.5</v>
      </c>
      <c r="H8" s="2419"/>
      <c r="I8" s="2416">
        <f t="shared" ref="I8:I30" si="2">D8-F8</f>
        <v>2</v>
      </c>
      <c r="J8" s="3609">
        <f t="shared" si="0"/>
        <v>0.5</v>
      </c>
      <c r="K8" s="2968"/>
    </row>
    <row r="9" spans="2:224" ht="15.75">
      <c r="B9" s="3607" t="s">
        <v>21</v>
      </c>
      <c r="C9" s="3608">
        <v>3</v>
      </c>
      <c r="D9" s="2416">
        <v>3</v>
      </c>
      <c r="E9" s="3602"/>
      <c r="F9" s="2416">
        <v>3</v>
      </c>
      <c r="G9" s="3609">
        <f t="shared" si="1"/>
        <v>1</v>
      </c>
      <c r="H9" s="2419"/>
      <c r="I9" s="2416">
        <f t="shared" si="2"/>
        <v>0</v>
      </c>
      <c r="J9" s="3609">
        <f t="shared" si="0"/>
        <v>0</v>
      </c>
      <c r="K9" s="2968"/>
    </row>
    <row r="10" spans="2:224" ht="15.75">
      <c r="B10" s="3610" t="s">
        <v>3</v>
      </c>
      <c r="C10" s="3611">
        <f>SUM(C7:C9)</f>
        <v>17</v>
      </c>
      <c r="D10" s="3612">
        <f>SUM(D7:D9)</f>
        <v>17</v>
      </c>
      <c r="E10" s="3613"/>
      <c r="F10" s="3612">
        <f>SUM(F7:F9)</f>
        <v>15</v>
      </c>
      <c r="G10" s="3614">
        <f t="shared" si="1"/>
        <v>0.88235294117647056</v>
      </c>
      <c r="H10" s="3615"/>
      <c r="I10" s="3612">
        <f t="shared" si="2"/>
        <v>2</v>
      </c>
      <c r="J10" s="3614">
        <f t="shared" si="0"/>
        <v>0.11764705882352944</v>
      </c>
      <c r="K10" s="2968"/>
    </row>
    <row r="11" spans="2:224" ht="15.75">
      <c r="B11" s="2417"/>
      <c r="C11" s="2417"/>
      <c r="D11" s="2417"/>
      <c r="E11" s="3602"/>
      <c r="F11" s="2417"/>
      <c r="G11" s="2417"/>
      <c r="H11" s="2417"/>
      <c r="I11" s="2417"/>
      <c r="J11" s="2417"/>
      <c r="K11" s="2968"/>
    </row>
    <row r="12" spans="2:224" ht="15.75">
      <c r="B12" s="3603" t="s">
        <v>16</v>
      </c>
      <c r="C12" s="3604">
        <v>4</v>
      </c>
      <c r="D12" s="3605">
        <v>3</v>
      </c>
      <c r="E12" s="3602"/>
      <c r="F12" s="3605">
        <v>0</v>
      </c>
      <c r="G12" s="3606">
        <f t="shared" si="1"/>
        <v>0</v>
      </c>
      <c r="H12" s="2419"/>
      <c r="I12" s="3605">
        <f t="shared" si="2"/>
        <v>3</v>
      </c>
      <c r="J12" s="3606">
        <f t="shared" si="0"/>
        <v>1</v>
      </c>
      <c r="K12" s="2968"/>
      <c r="HP12" s="4">
        <f>SUM(J12:HO12)</f>
        <v>1</v>
      </c>
    </row>
    <row r="13" spans="2:224" ht="15.75">
      <c r="B13" s="3607" t="s">
        <v>61</v>
      </c>
      <c r="C13" s="3608">
        <v>3</v>
      </c>
      <c r="D13" s="2416">
        <v>3</v>
      </c>
      <c r="E13" s="3602"/>
      <c r="F13" s="2416">
        <v>2</v>
      </c>
      <c r="G13" s="3609">
        <f t="shared" si="1"/>
        <v>0.66666666666666663</v>
      </c>
      <c r="H13" s="2419"/>
      <c r="I13" s="2416">
        <f t="shared" si="2"/>
        <v>1</v>
      </c>
      <c r="J13" s="3609">
        <f t="shared" si="0"/>
        <v>0.33333333333333337</v>
      </c>
      <c r="K13" s="2968"/>
    </row>
    <row r="14" spans="2:224" ht="15.75">
      <c r="B14" s="3607" t="s">
        <v>64</v>
      </c>
      <c r="C14" s="3608">
        <v>4</v>
      </c>
      <c r="D14" s="2416">
        <v>4</v>
      </c>
      <c r="E14" s="3602"/>
      <c r="F14" s="2416">
        <v>3</v>
      </c>
      <c r="G14" s="3609">
        <f t="shared" si="1"/>
        <v>0.75</v>
      </c>
      <c r="H14" s="2419"/>
      <c r="I14" s="2416">
        <f t="shared" si="2"/>
        <v>1</v>
      </c>
      <c r="J14" s="3609">
        <f t="shared" si="0"/>
        <v>0.25</v>
      </c>
      <c r="K14" s="2968"/>
    </row>
    <row r="15" spans="2:224" ht="15.75">
      <c r="B15" s="3616" t="s">
        <v>59</v>
      </c>
      <c r="C15" s="3617">
        <f>SUM(C12:C14)</f>
        <v>11</v>
      </c>
      <c r="D15" s="3618">
        <f>SUM(D12:D14)</f>
        <v>10</v>
      </c>
      <c r="E15" s="3619"/>
      <c r="F15" s="3618">
        <f>SUM(F12:F14)</f>
        <v>5</v>
      </c>
      <c r="G15" s="3620">
        <f t="shared" si="1"/>
        <v>0.5</v>
      </c>
      <c r="H15" s="3621"/>
      <c r="I15" s="3618">
        <f t="shared" si="2"/>
        <v>5</v>
      </c>
      <c r="J15" s="3620">
        <f t="shared" si="0"/>
        <v>0.5</v>
      </c>
      <c r="K15" s="2968"/>
    </row>
    <row r="16" spans="2:224" ht="15.75">
      <c r="B16" s="2418"/>
      <c r="C16" s="2418"/>
      <c r="D16" s="2418"/>
      <c r="E16" s="3602"/>
      <c r="F16" s="143"/>
      <c r="G16" s="143"/>
      <c r="H16" s="2419"/>
      <c r="I16" s="143"/>
      <c r="J16" s="143"/>
      <c r="K16" s="2968"/>
    </row>
    <row r="17" spans="2:11" ht="15.75">
      <c r="B17" s="3603" t="s">
        <v>4</v>
      </c>
      <c r="C17" s="3604">
        <v>10</v>
      </c>
      <c r="D17" s="3605">
        <v>9</v>
      </c>
      <c r="E17" s="3602"/>
      <c r="F17" s="3605">
        <v>4</v>
      </c>
      <c r="G17" s="3606">
        <f t="shared" si="1"/>
        <v>0.44444444444444442</v>
      </c>
      <c r="H17" s="2419"/>
      <c r="I17" s="3605">
        <f t="shared" si="2"/>
        <v>5</v>
      </c>
      <c r="J17" s="3606">
        <f t="shared" si="0"/>
        <v>0.55555555555555558</v>
      </c>
      <c r="K17" s="2968"/>
    </row>
    <row r="18" spans="2:11" ht="15.75">
      <c r="B18" s="3607" t="s">
        <v>16</v>
      </c>
      <c r="C18" s="3608">
        <v>11</v>
      </c>
      <c r="D18" s="2416">
        <v>11</v>
      </c>
      <c r="E18" s="3602"/>
      <c r="F18" s="2416"/>
      <c r="G18" s="3609">
        <f t="shared" si="1"/>
        <v>0</v>
      </c>
      <c r="H18" s="2419"/>
      <c r="I18" s="2416">
        <f t="shared" si="2"/>
        <v>11</v>
      </c>
      <c r="J18" s="3609">
        <f t="shared" si="0"/>
        <v>1</v>
      </c>
      <c r="K18" s="2968"/>
    </row>
    <row r="19" spans="2:11" ht="15.75">
      <c r="B19" s="3607" t="s">
        <v>41</v>
      </c>
      <c r="C19" s="3608">
        <v>6</v>
      </c>
      <c r="D19" s="2416">
        <v>6</v>
      </c>
      <c r="E19" s="3602"/>
      <c r="F19" s="2416">
        <v>1</v>
      </c>
      <c r="G19" s="3609">
        <f t="shared" si="1"/>
        <v>0.16666666666666666</v>
      </c>
      <c r="H19" s="2419"/>
      <c r="I19" s="2416">
        <f t="shared" si="2"/>
        <v>5</v>
      </c>
      <c r="J19" s="3609">
        <f t="shared" si="0"/>
        <v>0.83333333333333337</v>
      </c>
      <c r="K19" s="2968"/>
    </row>
    <row r="20" spans="2:11" ht="15.75">
      <c r="B20" s="3622" t="s">
        <v>25</v>
      </c>
      <c r="C20" s="3623">
        <f>SUM(C17:C19)</f>
        <v>27</v>
      </c>
      <c r="D20" s="3624">
        <f>SUM(D17:D19)</f>
        <v>26</v>
      </c>
      <c r="E20" s="3625"/>
      <c r="F20" s="3624">
        <f>SUM(F17:F19)</f>
        <v>5</v>
      </c>
      <c r="G20" s="3626">
        <f t="shared" si="1"/>
        <v>0.19230769230769232</v>
      </c>
      <c r="H20" s="3627"/>
      <c r="I20" s="3624">
        <f t="shared" si="2"/>
        <v>21</v>
      </c>
      <c r="J20" s="3626">
        <f t="shared" si="0"/>
        <v>0.80769230769230771</v>
      </c>
      <c r="K20" s="2968"/>
    </row>
    <row r="21" spans="2:11" ht="15" customHeight="1">
      <c r="B21" s="146"/>
      <c r="C21" s="2418"/>
      <c r="D21" s="2418"/>
      <c r="E21" s="3602"/>
      <c r="F21" s="143"/>
      <c r="G21" s="2417"/>
      <c r="H21" s="2419"/>
      <c r="I21" s="2417"/>
      <c r="J21" s="2417"/>
      <c r="K21" s="2968"/>
    </row>
    <row r="22" spans="2:11" ht="15" customHeight="1">
      <c r="B22" s="3603" t="s">
        <v>4</v>
      </c>
      <c r="C22" s="3604">
        <v>3</v>
      </c>
      <c r="D22" s="3605">
        <v>1</v>
      </c>
      <c r="E22" s="3602"/>
      <c r="F22" s="3605">
        <v>1</v>
      </c>
      <c r="G22" s="3606">
        <f t="shared" si="1"/>
        <v>1</v>
      </c>
      <c r="H22" s="2419"/>
      <c r="I22" s="3605">
        <f t="shared" si="2"/>
        <v>0</v>
      </c>
      <c r="J22" s="3606">
        <f t="shared" si="0"/>
        <v>0</v>
      </c>
      <c r="K22" s="2968"/>
    </row>
    <row r="23" spans="2:11" ht="15" customHeight="1">
      <c r="B23" s="3607" t="s">
        <v>16</v>
      </c>
      <c r="C23" s="3608">
        <v>3</v>
      </c>
      <c r="D23" s="2416">
        <v>2</v>
      </c>
      <c r="E23" s="3602"/>
      <c r="F23" s="2416"/>
      <c r="G23" s="3609">
        <f t="shared" si="1"/>
        <v>0</v>
      </c>
      <c r="H23" s="2419"/>
      <c r="I23" s="2416">
        <f t="shared" si="2"/>
        <v>2</v>
      </c>
      <c r="J23" s="3609">
        <f t="shared" si="0"/>
        <v>1</v>
      </c>
      <c r="K23" s="2968"/>
    </row>
    <row r="24" spans="2:11" ht="15" customHeight="1">
      <c r="B24" s="3607" t="s">
        <v>41</v>
      </c>
      <c r="C24" s="3608">
        <v>3</v>
      </c>
      <c r="D24" s="2416">
        <v>1</v>
      </c>
      <c r="E24" s="3602"/>
      <c r="F24" s="2416"/>
      <c r="G24" s="3609">
        <f t="shared" si="1"/>
        <v>0</v>
      </c>
      <c r="H24" s="2419"/>
      <c r="I24" s="2416">
        <f t="shared" si="2"/>
        <v>1</v>
      </c>
      <c r="J24" s="3609">
        <f t="shared" si="0"/>
        <v>1</v>
      </c>
      <c r="K24" s="2968"/>
    </row>
    <row r="25" spans="2:11" ht="15" customHeight="1">
      <c r="B25" s="3628" t="s">
        <v>249</v>
      </c>
      <c r="C25" s="3629">
        <f>SUM(C22:C24)</f>
        <v>9</v>
      </c>
      <c r="D25" s="3630">
        <f>SUM(D22:D24)</f>
        <v>4</v>
      </c>
      <c r="E25" s="3631"/>
      <c r="F25" s="3630">
        <f>SUM(F22:F24)</f>
        <v>1</v>
      </c>
      <c r="G25" s="3632">
        <f t="shared" si="1"/>
        <v>0.25</v>
      </c>
      <c r="H25" s="3633"/>
      <c r="I25" s="3630">
        <f t="shared" si="2"/>
        <v>3</v>
      </c>
      <c r="J25" s="3632">
        <f t="shared" si="0"/>
        <v>0.75</v>
      </c>
      <c r="K25" s="2968"/>
    </row>
    <row r="26" spans="2:11" ht="15" customHeight="1">
      <c r="B26" s="143"/>
      <c r="C26" s="143"/>
      <c r="D26" s="143"/>
      <c r="E26" s="3602"/>
      <c r="F26" s="143"/>
      <c r="G26" s="143"/>
      <c r="H26" s="2419"/>
      <c r="I26" s="143"/>
      <c r="J26" s="143"/>
      <c r="K26" s="2968"/>
    </row>
    <row r="27" spans="2:11" ht="15.75">
      <c r="B27" s="3603" t="s">
        <v>16</v>
      </c>
      <c r="C27" s="3604">
        <v>6</v>
      </c>
      <c r="D27" s="3605">
        <v>6</v>
      </c>
      <c r="E27" s="3602"/>
      <c r="F27" s="3605">
        <v>4</v>
      </c>
      <c r="G27" s="3606">
        <f t="shared" si="1"/>
        <v>0.66666666666666663</v>
      </c>
      <c r="H27" s="2419"/>
      <c r="I27" s="3605">
        <f t="shared" si="2"/>
        <v>2</v>
      </c>
      <c r="J27" s="3606">
        <f t="shared" si="0"/>
        <v>0.33333333333333337</v>
      </c>
      <c r="K27" s="2968"/>
    </row>
    <row r="28" spans="2:11" ht="15" customHeight="1">
      <c r="B28" s="3607" t="s">
        <v>41</v>
      </c>
      <c r="C28" s="3608">
        <v>8</v>
      </c>
      <c r="D28" s="2416">
        <v>8</v>
      </c>
      <c r="E28" s="3602"/>
      <c r="F28" s="2416">
        <v>6</v>
      </c>
      <c r="G28" s="3609">
        <f t="shared" si="1"/>
        <v>0.75</v>
      </c>
      <c r="H28" s="2419"/>
      <c r="I28" s="2416">
        <f t="shared" si="2"/>
        <v>2</v>
      </c>
      <c r="J28" s="3609">
        <f t="shared" si="0"/>
        <v>0.25</v>
      </c>
      <c r="K28" s="2968"/>
    </row>
    <row r="29" spans="2:11" ht="15.75">
      <c r="B29" s="3607" t="s">
        <v>21</v>
      </c>
      <c r="C29" s="3608">
        <v>4</v>
      </c>
      <c r="D29" s="2416">
        <v>4</v>
      </c>
      <c r="E29" s="3602"/>
      <c r="F29" s="2416">
        <v>2</v>
      </c>
      <c r="G29" s="3609">
        <f t="shared" si="1"/>
        <v>0.5</v>
      </c>
      <c r="H29" s="2419"/>
      <c r="I29" s="2416">
        <f t="shared" si="2"/>
        <v>2</v>
      </c>
      <c r="J29" s="3609">
        <f t="shared" si="0"/>
        <v>0.5</v>
      </c>
      <c r="K29" s="2968"/>
    </row>
    <row r="30" spans="2:11" ht="15.75">
      <c r="B30" s="3634" t="s">
        <v>48</v>
      </c>
      <c r="C30" s="3635">
        <f>SUM(C27:C29)</f>
        <v>18</v>
      </c>
      <c r="D30" s="3636">
        <f>SUM(D27:D29)</f>
        <v>18</v>
      </c>
      <c r="E30" s="3637"/>
      <c r="F30" s="3636">
        <f>SUM(F27:F29)</f>
        <v>12</v>
      </c>
      <c r="G30" s="3638">
        <f t="shared" si="1"/>
        <v>0.66666666666666663</v>
      </c>
      <c r="H30" s="3639"/>
      <c r="I30" s="3636">
        <f t="shared" si="2"/>
        <v>6</v>
      </c>
      <c r="J30" s="3638">
        <f t="shared" si="0"/>
        <v>0.33333333333333337</v>
      </c>
      <c r="K30" s="2968"/>
    </row>
    <row r="31" spans="2:11" ht="15.75">
      <c r="B31" s="143"/>
      <c r="C31" s="143"/>
      <c r="D31" s="143"/>
      <c r="E31" s="3602"/>
      <c r="F31" s="143"/>
      <c r="G31" s="143"/>
      <c r="H31" s="2419"/>
      <c r="I31" s="143"/>
      <c r="J31" s="143"/>
      <c r="K31" s="2968"/>
    </row>
    <row r="32" spans="2:11" ht="15.75">
      <c r="B32" s="3640" t="s">
        <v>75</v>
      </c>
      <c r="C32" s="3641">
        <f>SUM(C10,C20,C30,C15,C25)</f>
        <v>82</v>
      </c>
      <c r="D32" s="3641">
        <f t="shared" ref="D32" si="3">SUM(D10,D20,D30,D15,D25)</f>
        <v>75</v>
      </c>
      <c r="E32" s="3602"/>
      <c r="F32" s="3641">
        <f>SUM(F10,F15,F20,F25,F30)</f>
        <v>38</v>
      </c>
      <c r="G32" s="3642">
        <f t="shared" si="1"/>
        <v>0.50666666666666671</v>
      </c>
      <c r="H32" s="2419"/>
      <c r="I32" s="3641">
        <f>D32-F32</f>
        <v>37</v>
      </c>
      <c r="J32" s="3642">
        <f t="shared" si="0"/>
        <v>0.49333333333333329</v>
      </c>
      <c r="K32" s="2968"/>
    </row>
    <row r="33" spans="2:15" ht="15.75">
      <c r="B33" s="3643"/>
      <c r="C33" s="3644"/>
      <c r="D33" s="3645"/>
      <c r="E33" s="3602"/>
      <c r="F33" s="3645"/>
      <c r="G33" s="3646"/>
      <c r="H33" s="2419"/>
      <c r="I33" s="3646"/>
      <c r="J33" s="147"/>
      <c r="K33" s="2968"/>
    </row>
    <row r="34" spans="2:15" ht="15.75">
      <c r="B34" s="3643"/>
      <c r="C34" s="3647" t="s">
        <v>2773</v>
      </c>
      <c r="D34" s="3648">
        <f>C32-D32</f>
        <v>7</v>
      </c>
      <c r="E34" s="3602"/>
      <c r="F34" s="3645"/>
      <c r="G34" s="3646"/>
      <c r="H34" s="2419"/>
      <c r="I34" s="3646"/>
      <c r="J34" s="147"/>
      <c r="K34" s="2968"/>
    </row>
    <row r="35" spans="2:15" ht="15.75">
      <c r="K35" s="2968"/>
    </row>
    <row r="36" spans="2:15" ht="15.75">
      <c r="K36" s="37"/>
      <c r="L36" s="37"/>
      <c r="M36" s="37"/>
      <c r="N36" s="3649"/>
      <c r="O36" s="3650" t="s">
        <v>2774</v>
      </c>
    </row>
    <row r="37" spans="2:15" ht="30.75" thickBot="1">
      <c r="K37" s="3651" t="s">
        <v>69</v>
      </c>
      <c r="L37" s="3652" t="s">
        <v>2373</v>
      </c>
      <c r="M37" s="3652" t="s">
        <v>2775</v>
      </c>
      <c r="N37" s="3651" t="s">
        <v>2425</v>
      </c>
      <c r="O37" s="3652" t="s">
        <v>2375</v>
      </c>
    </row>
    <row r="38" spans="2:15">
      <c r="K38" s="37"/>
      <c r="L38" s="37"/>
      <c r="M38" s="37"/>
      <c r="N38" s="37"/>
      <c r="O38" s="37"/>
    </row>
    <row r="39" spans="2:15">
      <c r="K39" s="5098" t="s">
        <v>2376</v>
      </c>
      <c r="L39" s="3653" t="s">
        <v>2426</v>
      </c>
      <c r="M39" s="3654" t="s">
        <v>2427</v>
      </c>
      <c r="N39" s="3655">
        <v>43343</v>
      </c>
      <c r="O39" s="3656" t="s">
        <v>2776</v>
      </c>
    </row>
    <row r="40" spans="2:15">
      <c r="K40" s="5099"/>
      <c r="L40" s="3657" t="s">
        <v>2428</v>
      </c>
      <c r="M40" s="3658" t="s">
        <v>2427</v>
      </c>
      <c r="N40" s="3659">
        <v>43415</v>
      </c>
      <c r="O40" s="3660" t="s">
        <v>2776</v>
      </c>
    </row>
    <row r="41" spans="2:15">
      <c r="K41" s="5099"/>
      <c r="L41" s="3657" t="s">
        <v>2429</v>
      </c>
      <c r="M41" s="3658" t="s">
        <v>2427</v>
      </c>
      <c r="N41" s="3661">
        <v>43343</v>
      </c>
      <c r="O41" s="3660" t="s">
        <v>2776</v>
      </c>
    </row>
    <row r="42" spans="2:15">
      <c r="K42" s="5099"/>
      <c r="L42" s="3657" t="s">
        <v>2430</v>
      </c>
      <c r="M42" s="3658" t="s">
        <v>2427</v>
      </c>
      <c r="N42" s="3661">
        <v>43343</v>
      </c>
      <c r="O42" s="3660" t="s">
        <v>2776</v>
      </c>
    </row>
    <row r="43" spans="2:15">
      <c r="K43" s="5099"/>
      <c r="L43" s="3657" t="s">
        <v>2431</v>
      </c>
      <c r="M43" s="3658" t="s">
        <v>2427</v>
      </c>
      <c r="N43" s="3659">
        <v>43415</v>
      </c>
      <c r="O43" s="3660" t="s">
        <v>2776</v>
      </c>
    </row>
    <row r="44" spans="2:15">
      <c r="K44" s="5099"/>
      <c r="L44" s="3657" t="s">
        <v>2432</v>
      </c>
      <c r="M44" s="3658" t="s">
        <v>2427</v>
      </c>
      <c r="N44" s="3661">
        <v>43343</v>
      </c>
      <c r="O44" s="3660" t="s">
        <v>2776</v>
      </c>
    </row>
    <row r="45" spans="2:15">
      <c r="K45" s="5099"/>
      <c r="L45" s="3657" t="s">
        <v>2433</v>
      </c>
      <c r="M45" s="3658" t="s">
        <v>2427</v>
      </c>
      <c r="N45" s="3661">
        <v>43343</v>
      </c>
      <c r="O45" s="3660" t="s">
        <v>2776</v>
      </c>
    </row>
    <row r="46" spans="2:15">
      <c r="K46" s="5099"/>
      <c r="L46" s="3657" t="s">
        <v>2434</v>
      </c>
      <c r="M46" s="3658" t="s">
        <v>2427</v>
      </c>
      <c r="N46" s="3661">
        <v>43343</v>
      </c>
      <c r="O46" s="3660" t="s">
        <v>2776</v>
      </c>
    </row>
    <row r="47" spans="2:15">
      <c r="K47" s="5099"/>
      <c r="L47" s="3657" t="s">
        <v>2435</v>
      </c>
      <c r="M47" s="3658" t="s">
        <v>2427</v>
      </c>
      <c r="N47" s="3659">
        <v>43415</v>
      </c>
      <c r="O47" s="3660" t="s">
        <v>2776</v>
      </c>
    </row>
    <row r="48" spans="2:15">
      <c r="K48" s="5099"/>
      <c r="L48" s="3662" t="s">
        <v>556</v>
      </c>
      <c r="M48" s="3663" t="s">
        <v>2427</v>
      </c>
      <c r="N48" s="3664">
        <v>43343</v>
      </c>
      <c r="O48" s="3665" t="s">
        <v>2776</v>
      </c>
    </row>
    <row r="49" spans="11:15">
      <c r="K49" s="5099" t="s">
        <v>2381</v>
      </c>
      <c r="L49" s="3666" t="s">
        <v>17</v>
      </c>
      <c r="M49" s="3667" t="s">
        <v>2777</v>
      </c>
      <c r="N49" s="3668">
        <v>44994</v>
      </c>
      <c r="O49" s="3669"/>
    </row>
    <row r="50" spans="11:15">
      <c r="K50" s="5099"/>
      <c r="L50" s="3657" t="s">
        <v>18</v>
      </c>
      <c r="M50" s="3670"/>
      <c r="N50" s="3671"/>
      <c r="O50" s="3660"/>
    </row>
    <row r="51" spans="11:15">
      <c r="K51" s="5099"/>
      <c r="L51" s="3657" t="s">
        <v>19</v>
      </c>
      <c r="M51" s="3670"/>
      <c r="N51" s="3659"/>
      <c r="O51" s="3672"/>
    </row>
    <row r="52" spans="11:15">
      <c r="K52" s="5099"/>
      <c r="L52" s="3673" t="s">
        <v>20</v>
      </c>
      <c r="M52" s="3674" t="s">
        <v>2437</v>
      </c>
      <c r="N52" s="3664">
        <v>43700</v>
      </c>
      <c r="O52" s="3675"/>
    </row>
    <row r="53" spans="11:15">
      <c r="K53" s="5099" t="s">
        <v>2389</v>
      </c>
      <c r="L53" s="3666" t="s">
        <v>22</v>
      </c>
      <c r="M53" s="3667" t="s">
        <v>2438</v>
      </c>
      <c r="N53" s="3676">
        <v>45107</v>
      </c>
      <c r="O53" s="3669" t="s">
        <v>2449</v>
      </c>
    </row>
    <row r="54" spans="11:15">
      <c r="K54" s="5099"/>
      <c r="L54" s="3657" t="s">
        <v>23</v>
      </c>
      <c r="M54" s="3670" t="s">
        <v>2439</v>
      </c>
      <c r="N54" s="3677">
        <v>43618</v>
      </c>
      <c r="O54" s="3678"/>
    </row>
    <row r="55" spans="11:15">
      <c r="K55" s="5099"/>
      <c r="L55" s="3673" t="s">
        <v>24</v>
      </c>
      <c r="M55" s="3674" t="s">
        <v>2439</v>
      </c>
      <c r="N55" s="3679">
        <v>43618</v>
      </c>
      <c r="O55" s="3680"/>
    </row>
    <row r="56" spans="11:15">
      <c r="K56" s="207" t="s">
        <v>2440</v>
      </c>
      <c r="L56" s="207"/>
      <c r="M56" s="207"/>
      <c r="N56" s="5100" t="s">
        <v>2778</v>
      </c>
      <c r="O56" s="5100"/>
    </row>
    <row r="57" spans="11:15">
      <c r="K57" s="207" t="s">
        <v>2779</v>
      </c>
      <c r="L57" s="2973"/>
      <c r="M57" s="2973"/>
      <c r="N57" s="5100"/>
      <c r="O57" s="5100"/>
    </row>
    <row r="58" spans="11:15">
      <c r="K58" s="207" t="s">
        <v>2441</v>
      </c>
      <c r="L58" s="207"/>
      <c r="M58" s="207"/>
      <c r="N58" s="3681"/>
      <c r="O58" s="3681"/>
    </row>
    <row r="59" spans="11:15">
      <c r="K59" s="207" t="s">
        <v>2442</v>
      </c>
      <c r="L59" s="207"/>
      <c r="M59" s="207"/>
      <c r="N59" s="3682"/>
      <c r="O59" s="3682"/>
    </row>
    <row r="60" spans="11:15">
      <c r="K60" s="2974" t="s">
        <v>2443</v>
      </c>
      <c r="L60" s="207"/>
      <c r="M60" s="207"/>
      <c r="N60" s="3682"/>
      <c r="O60" s="3682"/>
    </row>
    <row r="63" spans="11:15" ht="15.75">
      <c r="K63" s="37"/>
      <c r="L63" s="37"/>
      <c r="M63" s="3683"/>
      <c r="N63" s="3684"/>
      <c r="O63" s="3685" t="s">
        <v>2780</v>
      </c>
    </row>
    <row r="64" spans="11:15" ht="30.75" thickBot="1">
      <c r="K64" s="3651" t="s">
        <v>69</v>
      </c>
      <c r="L64" s="3652" t="s">
        <v>2373</v>
      </c>
      <c r="M64" s="3652" t="s">
        <v>2775</v>
      </c>
      <c r="N64" s="3651" t="s">
        <v>2425</v>
      </c>
      <c r="O64" s="3652" t="s">
        <v>2375</v>
      </c>
    </row>
    <row r="65" spans="11:15">
      <c r="K65" s="37"/>
      <c r="L65" s="37"/>
      <c r="M65" s="37"/>
      <c r="N65" s="37"/>
      <c r="O65" s="37"/>
    </row>
    <row r="66" spans="11:15">
      <c r="K66" s="5101" t="s">
        <v>2381</v>
      </c>
      <c r="L66" s="3653" t="s">
        <v>2444</v>
      </c>
      <c r="M66" s="3686"/>
      <c r="N66" s="3687"/>
      <c r="O66" s="3688"/>
    </row>
    <row r="67" spans="11:15">
      <c r="K67" s="5102"/>
      <c r="L67" s="3657" t="s">
        <v>18</v>
      </c>
      <c r="M67" s="3689"/>
      <c r="N67" s="3690"/>
      <c r="O67" s="3691"/>
    </row>
    <row r="68" spans="11:15">
      <c r="K68" s="5102"/>
      <c r="L68" s="3657" t="s">
        <v>2445</v>
      </c>
      <c r="M68" s="3689"/>
      <c r="N68" s="3690"/>
      <c r="O68" s="3691"/>
    </row>
    <row r="69" spans="11:15">
      <c r="K69" s="5103"/>
      <c r="L69" s="3673" t="s">
        <v>420</v>
      </c>
      <c r="M69" s="3692"/>
      <c r="N69" s="3693"/>
      <c r="O69" s="3675"/>
    </row>
    <row r="70" spans="11:15">
      <c r="K70" s="5108" t="s">
        <v>2390</v>
      </c>
      <c r="L70" s="3666" t="s">
        <v>62</v>
      </c>
      <c r="M70" s="3667" t="s">
        <v>2439</v>
      </c>
      <c r="N70" s="3676">
        <v>44249</v>
      </c>
      <c r="O70" s="3694"/>
    </row>
    <row r="71" spans="11:15">
      <c r="K71" s="5102"/>
      <c r="L71" s="3657" t="s">
        <v>2446</v>
      </c>
      <c r="M71" s="3689"/>
      <c r="N71" s="3690"/>
      <c r="O71" s="3695"/>
    </row>
    <row r="72" spans="11:15">
      <c r="K72" s="5103"/>
      <c r="L72" s="3673" t="s">
        <v>63</v>
      </c>
      <c r="M72" s="3674" t="s">
        <v>2437</v>
      </c>
      <c r="N72" s="3693">
        <v>45034</v>
      </c>
      <c r="O72" s="3675" t="s">
        <v>2781</v>
      </c>
    </row>
    <row r="73" spans="11:15">
      <c r="K73" s="5108" t="s">
        <v>2391</v>
      </c>
      <c r="L73" s="3666" t="s">
        <v>2447</v>
      </c>
      <c r="M73" s="3696" t="s">
        <v>2448</v>
      </c>
      <c r="N73" s="3697">
        <v>44695</v>
      </c>
      <c r="O73" s="3698"/>
    </row>
    <row r="74" spans="11:15">
      <c r="K74" s="5102"/>
      <c r="L74" s="3657" t="s">
        <v>65</v>
      </c>
      <c r="M74" s="3689"/>
      <c r="N74" s="3690"/>
      <c r="O74" s="3691"/>
    </row>
    <row r="75" spans="11:15">
      <c r="K75" s="5102"/>
      <c r="L75" s="3657" t="s">
        <v>2450</v>
      </c>
      <c r="M75" s="3689" t="s">
        <v>2427</v>
      </c>
      <c r="N75" s="3690" t="s">
        <v>2782</v>
      </c>
      <c r="O75" s="3699"/>
    </row>
    <row r="76" spans="11:15">
      <c r="K76" s="5103"/>
      <c r="L76" s="3700" t="s">
        <v>81</v>
      </c>
      <c r="M76" s="3692" t="s">
        <v>2451</v>
      </c>
      <c r="N76" s="3693" t="s">
        <v>2452</v>
      </c>
      <c r="O76" s="3701"/>
    </row>
    <row r="77" spans="11:15">
      <c r="K77" s="2974" t="s">
        <v>2443</v>
      </c>
      <c r="L77" s="207"/>
      <c r="M77" s="207"/>
      <c r="N77" s="5100" t="s">
        <v>2778</v>
      </c>
      <c r="O77" s="5100"/>
    </row>
    <row r="78" spans="11:15">
      <c r="K78" s="207" t="s">
        <v>2462</v>
      </c>
      <c r="L78" s="2975"/>
      <c r="M78" s="2975"/>
      <c r="N78" s="5100"/>
      <c r="O78" s="5100"/>
    </row>
    <row r="79" spans="11:15">
      <c r="K79" s="207" t="s">
        <v>2440</v>
      </c>
      <c r="L79" s="2976"/>
      <c r="M79" s="2976"/>
      <c r="N79" s="3682"/>
      <c r="O79" s="3682"/>
    </row>
    <row r="80" spans="11:15">
      <c r="K80" s="207" t="s">
        <v>2453</v>
      </c>
      <c r="L80" s="2976"/>
      <c r="M80" s="2976"/>
      <c r="N80" s="3682"/>
      <c r="O80" s="3682"/>
    </row>
    <row r="83" spans="11:15" ht="15.75">
      <c r="K83" s="37"/>
      <c r="L83" s="37"/>
      <c r="M83" s="3702"/>
      <c r="N83" s="3703"/>
      <c r="O83" s="3704" t="s">
        <v>2783</v>
      </c>
    </row>
    <row r="84" spans="11:15" ht="30.75" thickBot="1">
      <c r="K84" s="3651" t="s">
        <v>69</v>
      </c>
      <c r="L84" s="3652" t="s">
        <v>2373</v>
      </c>
      <c r="M84" s="3652" t="s">
        <v>2775</v>
      </c>
      <c r="N84" s="3651" t="s">
        <v>2425</v>
      </c>
      <c r="O84" s="3652" t="s">
        <v>2375</v>
      </c>
    </row>
    <row r="85" spans="11:15">
      <c r="K85" s="358"/>
      <c r="L85" s="358"/>
      <c r="M85" s="358"/>
      <c r="N85" s="358"/>
      <c r="O85" s="358"/>
    </row>
    <row r="86" spans="11:15">
      <c r="K86" s="5109" t="s">
        <v>2376</v>
      </c>
      <c r="L86" s="3653" t="s">
        <v>2454</v>
      </c>
      <c r="M86" s="3654" t="s">
        <v>2427</v>
      </c>
      <c r="N86" s="3655">
        <v>43553</v>
      </c>
      <c r="O86" s="3705"/>
    </row>
    <row r="87" spans="11:15">
      <c r="K87" s="5109"/>
      <c r="L87" s="3657" t="s">
        <v>2455</v>
      </c>
      <c r="M87" s="3670"/>
      <c r="N87" s="3671"/>
      <c r="O87" s="3706"/>
    </row>
    <row r="88" spans="11:15">
      <c r="K88" s="5109"/>
      <c r="L88" s="3657" t="s">
        <v>2434</v>
      </c>
      <c r="M88" s="3670" t="s">
        <v>2456</v>
      </c>
      <c r="N88" s="3671">
        <v>44098</v>
      </c>
      <c r="O88" s="3707"/>
    </row>
    <row r="89" spans="11:15">
      <c r="K89" s="5109"/>
      <c r="L89" s="3657" t="s">
        <v>274</v>
      </c>
      <c r="M89" s="3670"/>
      <c r="N89" s="3671"/>
      <c r="O89" s="3707"/>
    </row>
    <row r="90" spans="11:15">
      <c r="K90" s="5109"/>
      <c r="L90" s="3657" t="s">
        <v>29</v>
      </c>
      <c r="M90" s="3708"/>
      <c r="N90" s="3671"/>
      <c r="O90" s="3706"/>
    </row>
    <row r="91" spans="11:15">
      <c r="K91" s="5109"/>
      <c r="L91" s="3657" t="s">
        <v>2435</v>
      </c>
      <c r="M91" s="3670"/>
      <c r="N91" s="3671"/>
      <c r="O91" s="3709"/>
    </row>
    <row r="92" spans="11:15">
      <c r="K92" s="5109"/>
      <c r="L92" s="3657" t="s">
        <v>2457</v>
      </c>
      <c r="M92" s="3670" t="s">
        <v>2784</v>
      </c>
      <c r="N92" s="3671">
        <v>45143</v>
      </c>
      <c r="O92" s="3660" t="s">
        <v>2781</v>
      </c>
    </row>
    <row r="93" spans="11:15">
      <c r="K93" s="5109"/>
      <c r="L93" s="3657" t="s">
        <v>31</v>
      </c>
      <c r="M93" s="3710" t="s">
        <v>2785</v>
      </c>
      <c r="N93" s="3671">
        <v>44888</v>
      </c>
      <c r="O93" s="3660" t="s">
        <v>2781</v>
      </c>
    </row>
    <row r="94" spans="11:15">
      <c r="K94" s="5109"/>
      <c r="L94" s="3657" t="s">
        <v>32</v>
      </c>
      <c r="M94" s="3670"/>
      <c r="N94" s="3671"/>
      <c r="O94" s="3706"/>
    </row>
    <row r="95" spans="11:15">
      <c r="K95" s="5098"/>
      <c r="L95" s="3673" t="s">
        <v>1882</v>
      </c>
      <c r="M95" s="3711"/>
      <c r="N95" s="3679"/>
      <c r="O95" s="3712"/>
    </row>
    <row r="96" spans="11:15">
      <c r="K96" s="5099" t="s">
        <v>2458</v>
      </c>
      <c r="L96" s="3653" t="s">
        <v>17</v>
      </c>
      <c r="M96" s="3713"/>
      <c r="N96" s="3714"/>
      <c r="O96" s="3715"/>
    </row>
    <row r="97" spans="11:15">
      <c r="K97" s="5099"/>
      <c r="L97" s="3657" t="s">
        <v>33</v>
      </c>
      <c r="M97" s="3670"/>
      <c r="N97" s="3671"/>
      <c r="O97" s="3706"/>
    </row>
    <row r="98" spans="11:15">
      <c r="K98" s="5099"/>
      <c r="L98" s="3657" t="s">
        <v>34</v>
      </c>
      <c r="M98" s="3708"/>
      <c r="N98" s="3671"/>
      <c r="O98" s="3706"/>
    </row>
    <row r="99" spans="11:15">
      <c r="K99" s="5099"/>
      <c r="L99" s="3657" t="s">
        <v>35</v>
      </c>
      <c r="M99" s="3708"/>
      <c r="N99" s="3671"/>
      <c r="O99" s="3706"/>
    </row>
    <row r="100" spans="11:15">
      <c r="K100" s="5099"/>
      <c r="L100" s="3657" t="s">
        <v>19</v>
      </c>
      <c r="M100" s="3708"/>
      <c r="N100" s="3671"/>
      <c r="O100" s="3706"/>
    </row>
    <row r="101" spans="11:15">
      <c r="K101" s="5099"/>
      <c r="L101" s="3657" t="s">
        <v>20</v>
      </c>
      <c r="M101" s="3670"/>
      <c r="N101" s="3671"/>
      <c r="O101" s="3660"/>
    </row>
    <row r="102" spans="11:15">
      <c r="K102" s="5099"/>
      <c r="L102" s="3657" t="s">
        <v>36</v>
      </c>
      <c r="M102" s="3670"/>
      <c r="N102" s="3671"/>
      <c r="O102" s="3706"/>
    </row>
    <row r="103" spans="11:15">
      <c r="K103" s="5099"/>
      <c r="L103" s="3657" t="s">
        <v>2459</v>
      </c>
      <c r="M103" s="3708"/>
      <c r="N103" s="3671"/>
      <c r="O103" s="3706"/>
    </row>
    <row r="104" spans="11:15">
      <c r="K104" s="5099"/>
      <c r="L104" s="3657" t="s">
        <v>38</v>
      </c>
      <c r="M104" s="3708"/>
      <c r="N104" s="3671"/>
      <c r="O104" s="3706"/>
    </row>
    <row r="105" spans="11:15">
      <c r="K105" s="5099"/>
      <c r="L105" s="3657" t="s">
        <v>39</v>
      </c>
      <c r="M105" s="3708"/>
      <c r="N105" s="3671"/>
      <c r="O105" s="3707"/>
    </row>
    <row r="106" spans="11:15">
      <c r="K106" s="5099"/>
      <c r="L106" s="3673" t="s">
        <v>2460</v>
      </c>
      <c r="M106" s="3674"/>
      <c r="N106" s="3679"/>
      <c r="O106" s="3716"/>
    </row>
    <row r="107" spans="11:15">
      <c r="K107" s="5104" t="s">
        <v>2786</v>
      </c>
      <c r="L107" s="3666" t="s">
        <v>42</v>
      </c>
      <c r="M107" s="3717"/>
      <c r="N107" s="3668"/>
      <c r="O107" s="3718"/>
    </row>
    <row r="108" spans="11:15">
      <c r="K108" s="5104"/>
      <c r="L108" s="3657" t="s">
        <v>2461</v>
      </c>
      <c r="M108" s="3670" t="s">
        <v>2451</v>
      </c>
      <c r="N108" s="3671">
        <v>45046</v>
      </c>
      <c r="O108" s="3660"/>
    </row>
    <row r="109" spans="11:15">
      <c r="K109" s="5104"/>
      <c r="L109" s="3657" t="s">
        <v>44</v>
      </c>
      <c r="M109" s="3708"/>
      <c r="N109" s="3671"/>
      <c r="O109" s="3706"/>
    </row>
    <row r="110" spans="11:15">
      <c r="K110" s="5104"/>
      <c r="L110" s="3657" t="s">
        <v>45</v>
      </c>
      <c r="M110" s="3670"/>
      <c r="N110" s="3671"/>
      <c r="O110" s="3706"/>
    </row>
    <row r="111" spans="11:15">
      <c r="K111" s="5104"/>
      <c r="L111" s="3657" t="s">
        <v>275</v>
      </c>
      <c r="M111" s="3670"/>
      <c r="N111" s="3671"/>
      <c r="O111" s="3660"/>
    </row>
    <row r="112" spans="11:15">
      <c r="K112" s="5104"/>
      <c r="L112" s="3673" t="s">
        <v>276</v>
      </c>
      <c r="M112" s="3674"/>
      <c r="N112" s="3679"/>
      <c r="O112" s="3675"/>
    </row>
    <row r="113" spans="11:15">
      <c r="K113" s="207" t="s">
        <v>2440</v>
      </c>
      <c r="L113" s="207"/>
      <c r="M113" s="207"/>
      <c r="N113" s="5100" t="s">
        <v>2778</v>
      </c>
      <c r="O113" s="5100"/>
    </row>
    <row r="114" spans="11:15">
      <c r="K114" s="207" t="s">
        <v>2787</v>
      </c>
      <c r="L114" s="207"/>
      <c r="M114" s="207"/>
      <c r="N114" s="5100"/>
      <c r="O114" s="5100"/>
    </row>
    <row r="115" spans="11:15">
      <c r="K115" s="207" t="s">
        <v>2788</v>
      </c>
      <c r="L115" s="207"/>
      <c r="M115" s="207"/>
      <c r="N115" s="3682"/>
      <c r="O115" s="3682"/>
    </row>
    <row r="116" spans="11:15">
      <c r="K116" s="207" t="s">
        <v>2453</v>
      </c>
      <c r="L116" s="207"/>
      <c r="M116" s="207"/>
      <c r="N116" s="3682"/>
      <c r="O116" s="3682"/>
    </row>
    <row r="119" spans="11:15" ht="15.75">
      <c r="K119" s="37"/>
      <c r="L119" s="37"/>
      <c r="M119" s="37"/>
      <c r="N119" s="3719"/>
      <c r="O119" s="3720" t="s">
        <v>2789</v>
      </c>
    </row>
    <row r="120" spans="11:15" ht="30.75" thickBot="1">
      <c r="K120" s="3651" t="s">
        <v>69</v>
      </c>
      <c r="L120" s="3652" t="s">
        <v>2373</v>
      </c>
      <c r="M120" s="3652" t="s">
        <v>2775</v>
      </c>
      <c r="N120" s="3651" t="s">
        <v>2425</v>
      </c>
      <c r="O120" s="3652" t="s">
        <v>2790</v>
      </c>
    </row>
    <row r="121" spans="11:15">
      <c r="K121" s="358"/>
      <c r="L121" s="358"/>
      <c r="M121" s="358"/>
      <c r="N121" s="358"/>
      <c r="O121" s="358"/>
    </row>
    <row r="122" spans="11:15">
      <c r="K122" s="5106" t="s">
        <v>2376</v>
      </c>
      <c r="L122" s="3653" t="s">
        <v>2463</v>
      </c>
      <c r="M122" s="3721" t="s">
        <v>2436</v>
      </c>
      <c r="N122" s="3722" t="s">
        <v>2791</v>
      </c>
      <c r="O122" s="3705" t="s">
        <v>2792</v>
      </c>
    </row>
    <row r="123" spans="11:15" ht="30">
      <c r="K123" s="5106"/>
      <c r="L123" s="3723" t="s">
        <v>2357</v>
      </c>
      <c r="M123" s="3724"/>
      <c r="N123" s="3725"/>
      <c r="O123" s="3660">
        <v>42691</v>
      </c>
    </row>
    <row r="124" spans="11:15" ht="30">
      <c r="K124" s="5107"/>
      <c r="L124" s="3726" t="s">
        <v>2793</v>
      </c>
      <c r="M124" s="3727"/>
      <c r="N124" s="3728"/>
      <c r="O124" s="3675">
        <v>43200</v>
      </c>
    </row>
    <row r="125" spans="11:15">
      <c r="K125" s="5110" t="s">
        <v>2381</v>
      </c>
      <c r="L125" s="3666" t="s">
        <v>2464</v>
      </c>
      <c r="M125" s="3729"/>
      <c r="N125" s="3730"/>
      <c r="O125" s="3669"/>
    </row>
    <row r="126" spans="11:15">
      <c r="K126" s="5109"/>
      <c r="L126" s="3657" t="s">
        <v>579</v>
      </c>
      <c r="M126" s="3724"/>
      <c r="N126" s="3725"/>
      <c r="O126" s="3660"/>
    </row>
    <row r="127" spans="11:15">
      <c r="K127" s="5098"/>
      <c r="L127" s="3673" t="s">
        <v>2757</v>
      </c>
      <c r="M127" s="3727"/>
      <c r="N127" s="3728"/>
      <c r="O127" s="3675">
        <v>42895</v>
      </c>
    </row>
    <row r="128" spans="11:15">
      <c r="K128" s="5105" t="s">
        <v>2409</v>
      </c>
      <c r="L128" s="3666" t="s">
        <v>831</v>
      </c>
      <c r="M128" s="3729"/>
      <c r="N128" s="3730"/>
      <c r="O128" s="3669"/>
    </row>
    <row r="129" spans="11:15">
      <c r="K129" s="5106"/>
      <c r="L129" s="3731" t="s">
        <v>2358</v>
      </c>
      <c r="M129" s="3732"/>
      <c r="N129" s="3733"/>
      <c r="O129" s="3734">
        <v>42818</v>
      </c>
    </row>
    <row r="130" spans="11:15">
      <c r="K130" s="5107"/>
      <c r="L130" s="3726" t="s">
        <v>2794</v>
      </c>
      <c r="M130" s="3727"/>
      <c r="N130" s="3728"/>
      <c r="O130" s="3675">
        <v>43200</v>
      </c>
    </row>
    <row r="131" spans="11:15">
      <c r="K131" s="37"/>
      <c r="L131" s="2976"/>
      <c r="M131" s="37"/>
      <c r="N131" s="37"/>
      <c r="O131" s="3596" t="s">
        <v>2465</v>
      </c>
    </row>
    <row r="134" spans="11:15" ht="15.75">
      <c r="K134" s="37"/>
      <c r="L134" s="37"/>
      <c r="M134" s="3735"/>
      <c r="N134" s="3736"/>
      <c r="O134" s="3737" t="s">
        <v>2795</v>
      </c>
    </row>
    <row r="135" spans="11:15" ht="30.75" thickBot="1">
      <c r="K135" s="3651" t="s">
        <v>69</v>
      </c>
      <c r="L135" s="3652" t="s">
        <v>2373</v>
      </c>
      <c r="M135" s="3652" t="s">
        <v>2775</v>
      </c>
      <c r="N135" s="3651" t="s">
        <v>2425</v>
      </c>
      <c r="O135" s="3652" t="s">
        <v>2375</v>
      </c>
    </row>
    <row r="136" spans="11:15">
      <c r="K136" s="37"/>
      <c r="L136" s="37"/>
      <c r="M136" s="37"/>
      <c r="N136" s="37"/>
      <c r="O136" s="37"/>
    </row>
    <row r="137" spans="11:15">
      <c r="K137" s="5106" t="s">
        <v>2381</v>
      </c>
      <c r="L137" s="3653" t="s">
        <v>17</v>
      </c>
      <c r="M137" s="3721"/>
      <c r="N137" s="3714"/>
      <c r="O137" s="3656"/>
    </row>
    <row r="138" spans="11:15">
      <c r="K138" s="5106"/>
      <c r="L138" s="3657" t="s">
        <v>49</v>
      </c>
      <c r="M138" s="3670" t="s">
        <v>2437</v>
      </c>
      <c r="N138" s="3659">
        <v>45034</v>
      </c>
      <c r="O138" s="3660"/>
    </row>
    <row r="139" spans="11:15">
      <c r="K139" s="5106"/>
      <c r="L139" s="3657" t="s">
        <v>19</v>
      </c>
      <c r="M139" s="3670"/>
      <c r="N139" s="3659"/>
      <c r="O139" s="3738"/>
    </row>
    <row r="140" spans="11:15" ht="15.75">
      <c r="K140" s="5106"/>
      <c r="L140" s="3657" t="s">
        <v>2466</v>
      </c>
      <c r="M140" s="3739" t="s">
        <v>2796</v>
      </c>
      <c r="N140" s="3671">
        <v>45005</v>
      </c>
      <c r="O140" s="3660"/>
    </row>
    <row r="141" spans="11:15">
      <c r="K141" s="5106"/>
      <c r="L141" s="3657" t="s">
        <v>20</v>
      </c>
      <c r="M141" s="3670" t="s">
        <v>2437</v>
      </c>
      <c r="N141" s="3671">
        <v>45102</v>
      </c>
      <c r="O141" s="3660" t="s">
        <v>2781</v>
      </c>
    </row>
    <row r="142" spans="11:15">
      <c r="K142" s="5107"/>
      <c r="L142" s="3673" t="s">
        <v>51</v>
      </c>
      <c r="M142" s="3674" t="s">
        <v>2437</v>
      </c>
      <c r="N142" s="3740">
        <v>45225</v>
      </c>
      <c r="O142" s="3675" t="s">
        <v>2781</v>
      </c>
    </row>
    <row r="143" spans="11:15">
      <c r="K143" s="5110" t="s">
        <v>2786</v>
      </c>
      <c r="L143" s="3666" t="s">
        <v>42</v>
      </c>
      <c r="M143" s="3667" t="s">
        <v>2451</v>
      </c>
      <c r="N143" s="3668">
        <v>43591</v>
      </c>
      <c r="O143" s="3741"/>
    </row>
    <row r="144" spans="11:15">
      <c r="K144" s="5109"/>
      <c r="L144" s="3657" t="s">
        <v>52</v>
      </c>
      <c r="M144" s="3670" t="s">
        <v>2467</v>
      </c>
      <c r="N144" s="3671">
        <v>44286</v>
      </c>
      <c r="O144" s="3660"/>
    </row>
    <row r="145" spans="11:15">
      <c r="K145" s="5109"/>
      <c r="L145" s="3657" t="s">
        <v>2468</v>
      </c>
      <c r="M145" s="3742"/>
      <c r="N145" s="3671"/>
      <c r="O145" s="3743"/>
    </row>
    <row r="146" spans="11:15">
      <c r="K146" s="5109"/>
      <c r="L146" s="3657" t="s">
        <v>2469</v>
      </c>
      <c r="M146" s="3670" t="s">
        <v>2470</v>
      </c>
      <c r="N146" s="3671">
        <v>44259</v>
      </c>
      <c r="O146" s="3660"/>
    </row>
    <row r="147" spans="11:15">
      <c r="K147" s="5109"/>
      <c r="L147" s="3657" t="s">
        <v>55</v>
      </c>
      <c r="M147" s="3670"/>
      <c r="N147" s="3671"/>
      <c r="O147" s="3738"/>
    </row>
    <row r="148" spans="11:15">
      <c r="K148" s="5109"/>
      <c r="L148" s="3657" t="s">
        <v>56</v>
      </c>
      <c r="M148" s="3670" t="s">
        <v>2797</v>
      </c>
      <c r="N148" s="3671">
        <v>44947</v>
      </c>
      <c r="O148" s="3660"/>
    </row>
    <row r="149" spans="11:15">
      <c r="K149" s="5109"/>
      <c r="L149" s="3657" t="s">
        <v>2471</v>
      </c>
      <c r="M149" s="3670" t="s">
        <v>2472</v>
      </c>
      <c r="N149" s="3671">
        <v>44739</v>
      </c>
      <c r="O149" s="3706"/>
    </row>
    <row r="150" spans="11:15">
      <c r="K150" s="5098"/>
      <c r="L150" s="3673" t="s">
        <v>277</v>
      </c>
      <c r="M150" s="3674" t="s">
        <v>2473</v>
      </c>
      <c r="N150" s="3679">
        <v>44727</v>
      </c>
      <c r="O150" s="3675"/>
    </row>
    <row r="151" spans="11:15">
      <c r="K151" s="5105" t="s">
        <v>2798</v>
      </c>
      <c r="L151" s="3666" t="s">
        <v>22</v>
      </c>
      <c r="M151" s="3667" t="s">
        <v>2438</v>
      </c>
      <c r="N151" s="3668">
        <v>43646</v>
      </c>
      <c r="O151" s="3744"/>
    </row>
    <row r="152" spans="11:15">
      <c r="K152" s="5106"/>
      <c r="L152" s="3657" t="s">
        <v>23</v>
      </c>
      <c r="M152" s="3708"/>
      <c r="N152" s="3671"/>
      <c r="O152" s="3738"/>
    </row>
    <row r="153" spans="11:15">
      <c r="K153" s="5106"/>
      <c r="L153" s="3657" t="s">
        <v>24</v>
      </c>
      <c r="M153" s="3670"/>
      <c r="N153" s="3671"/>
      <c r="O153" s="3738"/>
    </row>
    <row r="154" spans="11:15">
      <c r="K154" s="5107"/>
      <c r="L154" s="3673" t="s">
        <v>2474</v>
      </c>
      <c r="M154" s="3674" t="s">
        <v>2438</v>
      </c>
      <c r="N154" s="3679">
        <v>45107</v>
      </c>
      <c r="O154" s="3675"/>
    </row>
    <row r="155" spans="11:15">
      <c r="K155" s="207" t="s">
        <v>2799</v>
      </c>
      <c r="L155" s="207"/>
      <c r="M155" s="207"/>
      <c r="N155" s="5100" t="s">
        <v>2778</v>
      </c>
      <c r="O155" s="5100"/>
    </row>
    <row r="156" spans="11:15">
      <c r="K156" s="207" t="s">
        <v>2453</v>
      </c>
      <c r="L156" s="207"/>
      <c r="M156" s="207"/>
      <c r="N156" s="5100"/>
      <c r="O156" s="5100"/>
    </row>
    <row r="157" spans="11:15">
      <c r="K157" s="207" t="s">
        <v>2475</v>
      </c>
      <c r="L157" s="207"/>
      <c r="M157" s="207"/>
      <c r="N157" s="3745"/>
      <c r="O157" s="3745"/>
    </row>
    <row r="158" spans="11:15">
      <c r="K158" s="1080" t="s">
        <v>2479</v>
      </c>
      <c r="L158" s="207"/>
      <c r="M158" s="207"/>
      <c r="N158" s="3682"/>
      <c r="O158" s="3682"/>
    </row>
    <row r="159" spans="11:15">
      <c r="K159" s="207" t="s">
        <v>2800</v>
      </c>
      <c r="L159" s="207"/>
      <c r="M159" s="207"/>
      <c r="N159" s="3682"/>
      <c r="O159" s="3682"/>
    </row>
    <row r="160" spans="11:15">
      <c r="K160" s="207" t="s">
        <v>2476</v>
      </c>
      <c r="L160" s="207"/>
      <c r="M160" s="207"/>
      <c r="N160" s="207"/>
      <c r="O160" s="207"/>
    </row>
    <row r="161" spans="11:15">
      <c r="K161" s="207" t="s">
        <v>2477</v>
      </c>
      <c r="L161" s="207"/>
      <c r="M161" s="207"/>
      <c r="N161" s="207"/>
      <c r="O161" s="207"/>
    </row>
    <row r="162" spans="11:15">
      <c r="K162" s="207" t="s">
        <v>2478</v>
      </c>
      <c r="L162" s="207"/>
      <c r="M162" s="207"/>
      <c r="N162" s="207"/>
      <c r="O162" s="207"/>
    </row>
  </sheetData>
  <mergeCells count="25">
    <mergeCell ref="K107:K112"/>
    <mergeCell ref="N113:O114"/>
    <mergeCell ref="K151:K154"/>
    <mergeCell ref="N155:O156"/>
    <mergeCell ref="K70:K72"/>
    <mergeCell ref="K73:K76"/>
    <mergeCell ref="N77:O78"/>
    <mergeCell ref="K86:K95"/>
    <mergeCell ref="K96:K106"/>
    <mergeCell ref="K122:K124"/>
    <mergeCell ref="K125:K127"/>
    <mergeCell ref="K128:K130"/>
    <mergeCell ref="K137:K142"/>
    <mergeCell ref="K143:K150"/>
    <mergeCell ref="K39:K48"/>
    <mergeCell ref="K49:K52"/>
    <mergeCell ref="K53:K55"/>
    <mergeCell ref="N56:O57"/>
    <mergeCell ref="K66:K69"/>
    <mergeCell ref="B2:I2"/>
    <mergeCell ref="B1:I1"/>
    <mergeCell ref="B4:B5"/>
    <mergeCell ref="F4:G4"/>
    <mergeCell ref="C4:D4"/>
    <mergeCell ref="I4:J4"/>
  </mergeCells>
  <pageMargins left="0.7" right="0.7" top="0.75" bottom="0.75" header="0.3" footer="0.3"/>
  <pageSetup scale="64" orientation="portrait" r:id="rId1"/>
  <drawing r:id="rId2"/>
</worksheet>
</file>

<file path=xl/worksheets/sheet24.xml><?xml version="1.0" encoding="utf-8"?>
<worksheet xmlns="http://schemas.openxmlformats.org/spreadsheetml/2006/main" xmlns:r="http://schemas.openxmlformats.org/officeDocument/2006/relationships">
  <sheetPr>
    <tabColor theme="9" tint="-0.499984740745262"/>
    <pageSetUpPr fitToPage="1"/>
  </sheetPr>
  <dimension ref="A2:T202"/>
  <sheetViews>
    <sheetView showGridLines="0" workbookViewId="0">
      <selection activeCell="E26" sqref="E26"/>
    </sheetView>
  </sheetViews>
  <sheetFormatPr baseColWidth="10" defaultRowHeight="15"/>
  <cols>
    <col min="1" max="1" width="17.7109375" customWidth="1"/>
    <col min="2" max="2" width="12.42578125" customWidth="1"/>
    <col min="3" max="3" width="13.140625" customWidth="1"/>
    <col min="4" max="4" width="9.85546875" customWidth="1"/>
    <col min="5" max="5" width="10.28515625" customWidth="1"/>
    <col min="6" max="6" width="1.7109375" customWidth="1"/>
    <col min="7" max="7" width="13.5703125" customWidth="1"/>
    <col min="8" max="8" width="14.140625" customWidth="1"/>
    <col min="9" max="9" width="12.140625" customWidth="1"/>
    <col min="10" max="10" width="9.85546875" customWidth="1"/>
    <col min="11" max="11" width="10.7109375" customWidth="1"/>
    <col min="12" max="12" width="8.42578125" customWidth="1"/>
    <col min="13" max="13" width="1.7109375" customWidth="1"/>
    <col min="14" max="14" width="10.140625" customWidth="1"/>
    <col min="16" max="16" width="15.7109375" customWidth="1"/>
    <col min="17" max="17" width="15" bestFit="1" customWidth="1"/>
    <col min="18" max="18" width="55.85546875" bestFit="1" customWidth="1"/>
    <col min="19" max="19" width="25.140625" bestFit="1" customWidth="1"/>
    <col min="20" max="20" width="25.28515625" customWidth="1"/>
    <col min="239" max="239" width="17.7109375" customWidth="1"/>
    <col min="241" max="241" width="15.140625" customWidth="1"/>
    <col min="242" max="242" width="11.7109375" bestFit="1" customWidth="1"/>
    <col min="243" max="247" width="10.7109375" customWidth="1"/>
    <col min="248" max="248" width="2" customWidth="1"/>
    <col min="249" max="249" width="14.5703125" customWidth="1"/>
    <col min="251" max="251" width="12.85546875" customWidth="1"/>
    <col min="495" max="495" width="17.7109375" customWidth="1"/>
    <col min="497" max="497" width="15.140625" customWidth="1"/>
    <col min="498" max="498" width="11.7109375" bestFit="1" customWidth="1"/>
    <col min="499" max="503" width="10.7109375" customWidth="1"/>
    <col min="504" max="504" width="2" customWidth="1"/>
    <col min="505" max="505" width="14.5703125" customWidth="1"/>
    <col min="507" max="507" width="12.85546875" customWidth="1"/>
    <col min="751" max="751" width="17.7109375" customWidth="1"/>
    <col min="753" max="753" width="15.140625" customWidth="1"/>
    <col min="754" max="754" width="11.7109375" bestFit="1" customWidth="1"/>
    <col min="755" max="759" width="10.7109375" customWidth="1"/>
    <col min="760" max="760" width="2" customWidth="1"/>
    <col min="761" max="761" width="14.5703125" customWidth="1"/>
    <col min="763" max="763" width="12.85546875" customWidth="1"/>
    <col min="1007" max="1007" width="17.7109375" customWidth="1"/>
    <col min="1009" max="1009" width="15.140625" customWidth="1"/>
    <col min="1010" max="1010" width="11.7109375" bestFit="1" customWidth="1"/>
    <col min="1011" max="1015" width="10.7109375" customWidth="1"/>
    <col min="1016" max="1016" width="2" customWidth="1"/>
    <col min="1017" max="1017" width="14.5703125" customWidth="1"/>
    <col min="1019" max="1019" width="12.85546875" customWidth="1"/>
    <col min="1263" max="1263" width="17.7109375" customWidth="1"/>
    <col min="1265" max="1265" width="15.140625" customWidth="1"/>
    <col min="1266" max="1266" width="11.7109375" bestFit="1" customWidth="1"/>
    <col min="1267" max="1271" width="10.7109375" customWidth="1"/>
    <col min="1272" max="1272" width="2" customWidth="1"/>
    <col min="1273" max="1273" width="14.5703125" customWidth="1"/>
    <col min="1275" max="1275" width="12.85546875" customWidth="1"/>
    <col min="1519" max="1519" width="17.7109375" customWidth="1"/>
    <col min="1521" max="1521" width="15.140625" customWidth="1"/>
    <col min="1522" max="1522" width="11.7109375" bestFit="1" customWidth="1"/>
    <col min="1523" max="1527" width="10.7109375" customWidth="1"/>
    <col min="1528" max="1528" width="2" customWidth="1"/>
    <col min="1529" max="1529" width="14.5703125" customWidth="1"/>
    <col min="1531" max="1531" width="12.85546875" customWidth="1"/>
    <col min="1775" max="1775" width="17.7109375" customWidth="1"/>
    <col min="1777" max="1777" width="15.140625" customWidth="1"/>
    <col min="1778" max="1778" width="11.7109375" bestFit="1" customWidth="1"/>
    <col min="1779" max="1783" width="10.7109375" customWidth="1"/>
    <col min="1784" max="1784" width="2" customWidth="1"/>
    <col min="1785" max="1785" width="14.5703125" customWidth="1"/>
    <col min="1787" max="1787" width="12.85546875" customWidth="1"/>
    <col min="2031" max="2031" width="17.7109375" customWidth="1"/>
    <col min="2033" max="2033" width="15.140625" customWidth="1"/>
    <col min="2034" max="2034" width="11.7109375" bestFit="1" customWidth="1"/>
    <col min="2035" max="2039" width="10.7109375" customWidth="1"/>
    <col min="2040" max="2040" width="2" customWidth="1"/>
    <col min="2041" max="2041" width="14.5703125" customWidth="1"/>
    <col min="2043" max="2043" width="12.85546875" customWidth="1"/>
    <col min="2287" max="2287" width="17.7109375" customWidth="1"/>
    <col min="2289" max="2289" width="15.140625" customWidth="1"/>
    <col min="2290" max="2290" width="11.7109375" bestFit="1" customWidth="1"/>
    <col min="2291" max="2295" width="10.7109375" customWidth="1"/>
    <col min="2296" max="2296" width="2" customWidth="1"/>
    <col min="2297" max="2297" width="14.5703125" customWidth="1"/>
    <col min="2299" max="2299" width="12.85546875" customWidth="1"/>
    <col min="2543" max="2543" width="17.7109375" customWidth="1"/>
    <col min="2545" max="2545" width="15.140625" customWidth="1"/>
    <col min="2546" max="2546" width="11.7109375" bestFit="1" customWidth="1"/>
    <col min="2547" max="2551" width="10.7109375" customWidth="1"/>
    <col min="2552" max="2552" width="2" customWidth="1"/>
    <col min="2553" max="2553" width="14.5703125" customWidth="1"/>
    <col min="2555" max="2555" width="12.85546875" customWidth="1"/>
    <col min="2799" max="2799" width="17.7109375" customWidth="1"/>
    <col min="2801" max="2801" width="15.140625" customWidth="1"/>
    <col min="2802" max="2802" width="11.7109375" bestFit="1" customWidth="1"/>
    <col min="2803" max="2807" width="10.7109375" customWidth="1"/>
    <col min="2808" max="2808" width="2" customWidth="1"/>
    <col min="2809" max="2809" width="14.5703125" customWidth="1"/>
    <col min="2811" max="2811" width="12.85546875" customWidth="1"/>
    <col min="3055" max="3055" width="17.7109375" customWidth="1"/>
    <col min="3057" max="3057" width="15.140625" customWidth="1"/>
    <col min="3058" max="3058" width="11.7109375" bestFit="1" customWidth="1"/>
    <col min="3059" max="3063" width="10.7109375" customWidth="1"/>
    <col min="3064" max="3064" width="2" customWidth="1"/>
    <col min="3065" max="3065" width="14.5703125" customWidth="1"/>
    <col min="3067" max="3067" width="12.85546875" customWidth="1"/>
    <col min="3311" max="3311" width="17.7109375" customWidth="1"/>
    <col min="3313" max="3313" width="15.140625" customWidth="1"/>
    <col min="3314" max="3314" width="11.7109375" bestFit="1" customWidth="1"/>
    <col min="3315" max="3319" width="10.7109375" customWidth="1"/>
    <col min="3320" max="3320" width="2" customWidth="1"/>
    <col min="3321" max="3321" width="14.5703125" customWidth="1"/>
    <col min="3323" max="3323" width="12.85546875" customWidth="1"/>
    <col min="3567" max="3567" width="17.7109375" customWidth="1"/>
    <col min="3569" max="3569" width="15.140625" customWidth="1"/>
    <col min="3570" max="3570" width="11.7109375" bestFit="1" customWidth="1"/>
    <col min="3571" max="3575" width="10.7109375" customWidth="1"/>
    <col min="3576" max="3576" width="2" customWidth="1"/>
    <col min="3577" max="3577" width="14.5703125" customWidth="1"/>
    <col min="3579" max="3579" width="12.85546875" customWidth="1"/>
    <col min="3823" max="3823" width="17.7109375" customWidth="1"/>
    <col min="3825" max="3825" width="15.140625" customWidth="1"/>
    <col min="3826" max="3826" width="11.7109375" bestFit="1" customWidth="1"/>
    <col min="3827" max="3831" width="10.7109375" customWidth="1"/>
    <col min="3832" max="3832" width="2" customWidth="1"/>
    <col min="3833" max="3833" width="14.5703125" customWidth="1"/>
    <col min="3835" max="3835" width="12.85546875" customWidth="1"/>
    <col min="4079" max="4079" width="17.7109375" customWidth="1"/>
    <col min="4081" max="4081" width="15.140625" customWidth="1"/>
    <col min="4082" max="4082" width="11.7109375" bestFit="1" customWidth="1"/>
    <col min="4083" max="4087" width="10.7109375" customWidth="1"/>
    <col min="4088" max="4088" width="2" customWidth="1"/>
    <col min="4089" max="4089" width="14.5703125" customWidth="1"/>
    <col min="4091" max="4091" width="12.85546875" customWidth="1"/>
    <col min="4335" max="4335" width="17.7109375" customWidth="1"/>
    <col min="4337" max="4337" width="15.140625" customWidth="1"/>
    <col min="4338" max="4338" width="11.7109375" bestFit="1" customWidth="1"/>
    <col min="4339" max="4343" width="10.7109375" customWidth="1"/>
    <col min="4344" max="4344" width="2" customWidth="1"/>
    <col min="4345" max="4345" width="14.5703125" customWidth="1"/>
    <col min="4347" max="4347" width="12.85546875" customWidth="1"/>
    <col min="4591" max="4591" width="17.7109375" customWidth="1"/>
    <col min="4593" max="4593" width="15.140625" customWidth="1"/>
    <col min="4594" max="4594" width="11.7109375" bestFit="1" customWidth="1"/>
    <col min="4595" max="4599" width="10.7109375" customWidth="1"/>
    <col min="4600" max="4600" width="2" customWidth="1"/>
    <col min="4601" max="4601" width="14.5703125" customWidth="1"/>
    <col min="4603" max="4603" width="12.85546875" customWidth="1"/>
    <col min="4847" max="4847" width="17.7109375" customWidth="1"/>
    <col min="4849" max="4849" width="15.140625" customWidth="1"/>
    <col min="4850" max="4850" width="11.7109375" bestFit="1" customWidth="1"/>
    <col min="4851" max="4855" width="10.7109375" customWidth="1"/>
    <col min="4856" max="4856" width="2" customWidth="1"/>
    <col min="4857" max="4857" width="14.5703125" customWidth="1"/>
    <col min="4859" max="4859" width="12.85546875" customWidth="1"/>
    <col min="5103" max="5103" width="17.7109375" customWidth="1"/>
    <col min="5105" max="5105" width="15.140625" customWidth="1"/>
    <col min="5106" max="5106" width="11.7109375" bestFit="1" customWidth="1"/>
    <col min="5107" max="5111" width="10.7109375" customWidth="1"/>
    <col min="5112" max="5112" width="2" customWidth="1"/>
    <col min="5113" max="5113" width="14.5703125" customWidth="1"/>
    <col min="5115" max="5115" width="12.85546875" customWidth="1"/>
    <col min="5359" max="5359" width="17.7109375" customWidth="1"/>
    <col min="5361" max="5361" width="15.140625" customWidth="1"/>
    <col min="5362" max="5362" width="11.7109375" bestFit="1" customWidth="1"/>
    <col min="5363" max="5367" width="10.7109375" customWidth="1"/>
    <col min="5368" max="5368" width="2" customWidth="1"/>
    <col min="5369" max="5369" width="14.5703125" customWidth="1"/>
    <col min="5371" max="5371" width="12.85546875" customWidth="1"/>
    <col min="5615" max="5615" width="17.7109375" customWidth="1"/>
    <col min="5617" max="5617" width="15.140625" customWidth="1"/>
    <col min="5618" max="5618" width="11.7109375" bestFit="1" customWidth="1"/>
    <col min="5619" max="5623" width="10.7109375" customWidth="1"/>
    <col min="5624" max="5624" width="2" customWidth="1"/>
    <col min="5625" max="5625" width="14.5703125" customWidth="1"/>
    <col min="5627" max="5627" width="12.85546875" customWidth="1"/>
    <col min="5871" max="5871" width="17.7109375" customWidth="1"/>
    <col min="5873" max="5873" width="15.140625" customWidth="1"/>
    <col min="5874" max="5874" width="11.7109375" bestFit="1" customWidth="1"/>
    <col min="5875" max="5879" width="10.7109375" customWidth="1"/>
    <col min="5880" max="5880" width="2" customWidth="1"/>
    <col min="5881" max="5881" width="14.5703125" customWidth="1"/>
    <col min="5883" max="5883" width="12.85546875" customWidth="1"/>
    <col min="6127" max="6127" width="17.7109375" customWidth="1"/>
    <col min="6129" max="6129" width="15.140625" customWidth="1"/>
    <col min="6130" max="6130" width="11.7109375" bestFit="1" customWidth="1"/>
    <col min="6131" max="6135" width="10.7109375" customWidth="1"/>
    <col min="6136" max="6136" width="2" customWidth="1"/>
    <col min="6137" max="6137" width="14.5703125" customWidth="1"/>
    <col min="6139" max="6139" width="12.85546875" customWidth="1"/>
    <col min="6383" max="6383" width="17.7109375" customWidth="1"/>
    <col min="6385" max="6385" width="15.140625" customWidth="1"/>
    <col min="6386" max="6386" width="11.7109375" bestFit="1" customWidth="1"/>
    <col min="6387" max="6391" width="10.7109375" customWidth="1"/>
    <col min="6392" max="6392" width="2" customWidth="1"/>
    <col min="6393" max="6393" width="14.5703125" customWidth="1"/>
    <col min="6395" max="6395" width="12.85546875" customWidth="1"/>
    <col min="6639" max="6639" width="17.7109375" customWidth="1"/>
    <col min="6641" max="6641" width="15.140625" customWidth="1"/>
    <col min="6642" max="6642" width="11.7109375" bestFit="1" customWidth="1"/>
    <col min="6643" max="6647" width="10.7109375" customWidth="1"/>
    <col min="6648" max="6648" width="2" customWidth="1"/>
    <col min="6649" max="6649" width="14.5703125" customWidth="1"/>
    <col min="6651" max="6651" width="12.85546875" customWidth="1"/>
    <col min="6895" max="6895" width="17.7109375" customWidth="1"/>
    <col min="6897" max="6897" width="15.140625" customWidth="1"/>
    <col min="6898" max="6898" width="11.7109375" bestFit="1" customWidth="1"/>
    <col min="6899" max="6903" width="10.7109375" customWidth="1"/>
    <col min="6904" max="6904" width="2" customWidth="1"/>
    <col min="6905" max="6905" width="14.5703125" customWidth="1"/>
    <col min="6907" max="6907" width="12.85546875" customWidth="1"/>
    <col min="7151" max="7151" width="17.7109375" customWidth="1"/>
    <col min="7153" max="7153" width="15.140625" customWidth="1"/>
    <col min="7154" max="7154" width="11.7109375" bestFit="1" customWidth="1"/>
    <col min="7155" max="7159" width="10.7109375" customWidth="1"/>
    <col min="7160" max="7160" width="2" customWidth="1"/>
    <col min="7161" max="7161" width="14.5703125" customWidth="1"/>
    <col min="7163" max="7163" width="12.85546875" customWidth="1"/>
    <col min="7407" max="7407" width="17.7109375" customWidth="1"/>
    <col min="7409" max="7409" width="15.140625" customWidth="1"/>
    <col min="7410" max="7410" width="11.7109375" bestFit="1" customWidth="1"/>
    <col min="7411" max="7415" width="10.7109375" customWidth="1"/>
    <col min="7416" max="7416" width="2" customWidth="1"/>
    <col min="7417" max="7417" width="14.5703125" customWidth="1"/>
    <col min="7419" max="7419" width="12.85546875" customWidth="1"/>
    <col min="7663" max="7663" width="17.7109375" customWidth="1"/>
    <col min="7665" max="7665" width="15.140625" customWidth="1"/>
    <col min="7666" max="7666" width="11.7109375" bestFit="1" customWidth="1"/>
    <col min="7667" max="7671" width="10.7109375" customWidth="1"/>
    <col min="7672" max="7672" width="2" customWidth="1"/>
    <col min="7673" max="7673" width="14.5703125" customWidth="1"/>
    <col min="7675" max="7675" width="12.85546875" customWidth="1"/>
    <col min="7919" max="7919" width="17.7109375" customWidth="1"/>
    <col min="7921" max="7921" width="15.140625" customWidth="1"/>
    <col min="7922" max="7922" width="11.7109375" bestFit="1" customWidth="1"/>
    <col min="7923" max="7927" width="10.7109375" customWidth="1"/>
    <col min="7928" max="7928" width="2" customWidth="1"/>
    <col min="7929" max="7929" width="14.5703125" customWidth="1"/>
    <col min="7931" max="7931" width="12.85546875" customWidth="1"/>
    <col min="8175" max="8175" width="17.7109375" customWidth="1"/>
    <col min="8177" max="8177" width="15.140625" customWidth="1"/>
    <col min="8178" max="8178" width="11.7109375" bestFit="1" customWidth="1"/>
    <col min="8179" max="8183" width="10.7109375" customWidth="1"/>
    <col min="8184" max="8184" width="2" customWidth="1"/>
    <col min="8185" max="8185" width="14.5703125" customWidth="1"/>
    <col min="8187" max="8187" width="12.85546875" customWidth="1"/>
    <col min="8431" max="8431" width="17.7109375" customWidth="1"/>
    <col min="8433" max="8433" width="15.140625" customWidth="1"/>
    <col min="8434" max="8434" width="11.7109375" bestFit="1" customWidth="1"/>
    <col min="8435" max="8439" width="10.7109375" customWidth="1"/>
    <col min="8440" max="8440" width="2" customWidth="1"/>
    <col min="8441" max="8441" width="14.5703125" customWidth="1"/>
    <col min="8443" max="8443" width="12.85546875" customWidth="1"/>
    <col min="8687" max="8687" width="17.7109375" customWidth="1"/>
    <col min="8689" max="8689" width="15.140625" customWidth="1"/>
    <col min="8690" max="8690" width="11.7109375" bestFit="1" customWidth="1"/>
    <col min="8691" max="8695" width="10.7109375" customWidth="1"/>
    <col min="8696" max="8696" width="2" customWidth="1"/>
    <col min="8697" max="8697" width="14.5703125" customWidth="1"/>
    <col min="8699" max="8699" width="12.85546875" customWidth="1"/>
    <col min="8943" max="8943" width="17.7109375" customWidth="1"/>
    <col min="8945" max="8945" width="15.140625" customWidth="1"/>
    <col min="8946" max="8946" width="11.7109375" bestFit="1" customWidth="1"/>
    <col min="8947" max="8951" width="10.7109375" customWidth="1"/>
    <col min="8952" max="8952" width="2" customWidth="1"/>
    <col min="8953" max="8953" width="14.5703125" customWidth="1"/>
    <col min="8955" max="8955" width="12.85546875" customWidth="1"/>
    <col min="9199" max="9199" width="17.7109375" customWidth="1"/>
    <col min="9201" max="9201" width="15.140625" customWidth="1"/>
    <col min="9202" max="9202" width="11.7109375" bestFit="1" customWidth="1"/>
    <col min="9203" max="9207" width="10.7109375" customWidth="1"/>
    <col min="9208" max="9208" width="2" customWidth="1"/>
    <col min="9209" max="9209" width="14.5703125" customWidth="1"/>
    <col min="9211" max="9211" width="12.85546875" customWidth="1"/>
    <col min="9455" max="9455" width="17.7109375" customWidth="1"/>
    <col min="9457" max="9457" width="15.140625" customWidth="1"/>
    <col min="9458" max="9458" width="11.7109375" bestFit="1" customWidth="1"/>
    <col min="9459" max="9463" width="10.7109375" customWidth="1"/>
    <col min="9464" max="9464" width="2" customWidth="1"/>
    <col min="9465" max="9465" width="14.5703125" customWidth="1"/>
    <col min="9467" max="9467" width="12.85546875" customWidth="1"/>
    <col min="9711" max="9711" width="17.7109375" customWidth="1"/>
    <col min="9713" max="9713" width="15.140625" customWidth="1"/>
    <col min="9714" max="9714" width="11.7109375" bestFit="1" customWidth="1"/>
    <col min="9715" max="9719" width="10.7109375" customWidth="1"/>
    <col min="9720" max="9720" width="2" customWidth="1"/>
    <col min="9721" max="9721" width="14.5703125" customWidth="1"/>
    <col min="9723" max="9723" width="12.85546875" customWidth="1"/>
    <col min="9967" max="9967" width="17.7109375" customWidth="1"/>
    <col min="9969" max="9969" width="15.140625" customWidth="1"/>
    <col min="9970" max="9970" width="11.7109375" bestFit="1" customWidth="1"/>
    <col min="9971" max="9975" width="10.7109375" customWidth="1"/>
    <col min="9976" max="9976" width="2" customWidth="1"/>
    <col min="9977" max="9977" width="14.5703125" customWidth="1"/>
    <col min="9979" max="9979" width="12.85546875" customWidth="1"/>
    <col min="10223" max="10223" width="17.7109375" customWidth="1"/>
    <col min="10225" max="10225" width="15.140625" customWidth="1"/>
    <col min="10226" max="10226" width="11.7109375" bestFit="1" customWidth="1"/>
    <col min="10227" max="10231" width="10.7109375" customWidth="1"/>
    <col min="10232" max="10232" width="2" customWidth="1"/>
    <col min="10233" max="10233" width="14.5703125" customWidth="1"/>
    <col min="10235" max="10235" width="12.85546875" customWidth="1"/>
    <col min="10479" max="10479" width="17.7109375" customWidth="1"/>
    <col min="10481" max="10481" width="15.140625" customWidth="1"/>
    <col min="10482" max="10482" width="11.7109375" bestFit="1" customWidth="1"/>
    <col min="10483" max="10487" width="10.7109375" customWidth="1"/>
    <col min="10488" max="10488" width="2" customWidth="1"/>
    <col min="10489" max="10489" width="14.5703125" customWidth="1"/>
    <col min="10491" max="10491" width="12.85546875" customWidth="1"/>
    <col min="10735" max="10735" width="17.7109375" customWidth="1"/>
    <col min="10737" max="10737" width="15.140625" customWidth="1"/>
    <col min="10738" max="10738" width="11.7109375" bestFit="1" customWidth="1"/>
    <col min="10739" max="10743" width="10.7109375" customWidth="1"/>
    <col min="10744" max="10744" width="2" customWidth="1"/>
    <col min="10745" max="10745" width="14.5703125" customWidth="1"/>
    <col min="10747" max="10747" width="12.85546875" customWidth="1"/>
    <col min="10991" max="10991" width="17.7109375" customWidth="1"/>
    <col min="10993" max="10993" width="15.140625" customWidth="1"/>
    <col min="10994" max="10994" width="11.7109375" bestFit="1" customWidth="1"/>
    <col min="10995" max="10999" width="10.7109375" customWidth="1"/>
    <col min="11000" max="11000" width="2" customWidth="1"/>
    <col min="11001" max="11001" width="14.5703125" customWidth="1"/>
    <col min="11003" max="11003" width="12.85546875" customWidth="1"/>
    <col min="11247" max="11247" width="17.7109375" customWidth="1"/>
    <col min="11249" max="11249" width="15.140625" customWidth="1"/>
    <col min="11250" max="11250" width="11.7109375" bestFit="1" customWidth="1"/>
    <col min="11251" max="11255" width="10.7109375" customWidth="1"/>
    <col min="11256" max="11256" width="2" customWidth="1"/>
    <col min="11257" max="11257" width="14.5703125" customWidth="1"/>
    <col min="11259" max="11259" width="12.85546875" customWidth="1"/>
    <col min="11503" max="11503" width="17.7109375" customWidth="1"/>
    <col min="11505" max="11505" width="15.140625" customWidth="1"/>
    <col min="11506" max="11506" width="11.7109375" bestFit="1" customWidth="1"/>
    <col min="11507" max="11511" width="10.7109375" customWidth="1"/>
    <col min="11512" max="11512" width="2" customWidth="1"/>
    <col min="11513" max="11513" width="14.5703125" customWidth="1"/>
    <col min="11515" max="11515" width="12.85546875" customWidth="1"/>
    <col min="11759" max="11759" width="17.7109375" customWidth="1"/>
    <col min="11761" max="11761" width="15.140625" customWidth="1"/>
    <col min="11762" max="11762" width="11.7109375" bestFit="1" customWidth="1"/>
    <col min="11763" max="11767" width="10.7109375" customWidth="1"/>
    <col min="11768" max="11768" width="2" customWidth="1"/>
    <col min="11769" max="11769" width="14.5703125" customWidth="1"/>
    <col min="11771" max="11771" width="12.85546875" customWidth="1"/>
    <col min="12015" max="12015" width="17.7109375" customWidth="1"/>
    <col min="12017" max="12017" width="15.140625" customWidth="1"/>
    <col min="12018" max="12018" width="11.7109375" bestFit="1" customWidth="1"/>
    <col min="12019" max="12023" width="10.7109375" customWidth="1"/>
    <col min="12024" max="12024" width="2" customWidth="1"/>
    <col min="12025" max="12025" width="14.5703125" customWidth="1"/>
    <col min="12027" max="12027" width="12.85546875" customWidth="1"/>
    <col min="12271" max="12271" width="17.7109375" customWidth="1"/>
    <col min="12273" max="12273" width="15.140625" customWidth="1"/>
    <col min="12274" max="12274" width="11.7109375" bestFit="1" customWidth="1"/>
    <col min="12275" max="12279" width="10.7109375" customWidth="1"/>
    <col min="12280" max="12280" width="2" customWidth="1"/>
    <col min="12281" max="12281" width="14.5703125" customWidth="1"/>
    <col min="12283" max="12283" width="12.85546875" customWidth="1"/>
    <col min="12527" max="12527" width="17.7109375" customWidth="1"/>
    <col min="12529" max="12529" width="15.140625" customWidth="1"/>
    <col min="12530" max="12530" width="11.7109375" bestFit="1" customWidth="1"/>
    <col min="12531" max="12535" width="10.7109375" customWidth="1"/>
    <col min="12536" max="12536" width="2" customWidth="1"/>
    <col min="12537" max="12537" width="14.5703125" customWidth="1"/>
    <col min="12539" max="12539" width="12.85546875" customWidth="1"/>
    <col min="12783" max="12783" width="17.7109375" customWidth="1"/>
    <col min="12785" max="12785" width="15.140625" customWidth="1"/>
    <col min="12786" max="12786" width="11.7109375" bestFit="1" customWidth="1"/>
    <col min="12787" max="12791" width="10.7109375" customWidth="1"/>
    <col min="12792" max="12792" width="2" customWidth="1"/>
    <col min="12793" max="12793" width="14.5703125" customWidth="1"/>
    <col min="12795" max="12795" width="12.85546875" customWidth="1"/>
    <col min="13039" max="13039" width="17.7109375" customWidth="1"/>
    <col min="13041" max="13041" width="15.140625" customWidth="1"/>
    <col min="13042" max="13042" width="11.7109375" bestFit="1" customWidth="1"/>
    <col min="13043" max="13047" width="10.7109375" customWidth="1"/>
    <col min="13048" max="13048" width="2" customWidth="1"/>
    <col min="13049" max="13049" width="14.5703125" customWidth="1"/>
    <col min="13051" max="13051" width="12.85546875" customWidth="1"/>
    <col min="13295" max="13295" width="17.7109375" customWidth="1"/>
    <col min="13297" max="13297" width="15.140625" customWidth="1"/>
    <col min="13298" max="13298" width="11.7109375" bestFit="1" customWidth="1"/>
    <col min="13299" max="13303" width="10.7109375" customWidth="1"/>
    <col min="13304" max="13304" width="2" customWidth="1"/>
    <col min="13305" max="13305" width="14.5703125" customWidth="1"/>
    <col min="13307" max="13307" width="12.85546875" customWidth="1"/>
    <col min="13551" max="13551" width="17.7109375" customWidth="1"/>
    <col min="13553" max="13553" width="15.140625" customWidth="1"/>
    <col min="13554" max="13554" width="11.7109375" bestFit="1" customWidth="1"/>
    <col min="13555" max="13559" width="10.7109375" customWidth="1"/>
    <col min="13560" max="13560" width="2" customWidth="1"/>
    <col min="13561" max="13561" width="14.5703125" customWidth="1"/>
    <col min="13563" max="13563" width="12.85546875" customWidth="1"/>
    <col min="13807" max="13807" width="17.7109375" customWidth="1"/>
    <col min="13809" max="13809" width="15.140625" customWidth="1"/>
    <col min="13810" max="13810" width="11.7109375" bestFit="1" customWidth="1"/>
    <col min="13811" max="13815" width="10.7109375" customWidth="1"/>
    <col min="13816" max="13816" width="2" customWidth="1"/>
    <col min="13817" max="13817" width="14.5703125" customWidth="1"/>
    <col min="13819" max="13819" width="12.85546875" customWidth="1"/>
    <col min="14063" max="14063" width="17.7109375" customWidth="1"/>
    <col min="14065" max="14065" width="15.140625" customWidth="1"/>
    <col min="14066" max="14066" width="11.7109375" bestFit="1" customWidth="1"/>
    <col min="14067" max="14071" width="10.7109375" customWidth="1"/>
    <col min="14072" max="14072" width="2" customWidth="1"/>
    <col min="14073" max="14073" width="14.5703125" customWidth="1"/>
    <col min="14075" max="14075" width="12.85546875" customWidth="1"/>
    <col min="14319" max="14319" width="17.7109375" customWidth="1"/>
    <col min="14321" max="14321" width="15.140625" customWidth="1"/>
    <col min="14322" max="14322" width="11.7109375" bestFit="1" customWidth="1"/>
    <col min="14323" max="14327" width="10.7109375" customWidth="1"/>
    <col min="14328" max="14328" width="2" customWidth="1"/>
    <col min="14329" max="14329" width="14.5703125" customWidth="1"/>
    <col min="14331" max="14331" width="12.85546875" customWidth="1"/>
    <col min="14575" max="14575" width="17.7109375" customWidth="1"/>
    <col min="14577" max="14577" width="15.140625" customWidth="1"/>
    <col min="14578" max="14578" width="11.7109375" bestFit="1" customWidth="1"/>
    <col min="14579" max="14583" width="10.7109375" customWidth="1"/>
    <col min="14584" max="14584" width="2" customWidth="1"/>
    <col min="14585" max="14585" width="14.5703125" customWidth="1"/>
    <col min="14587" max="14587" width="12.85546875" customWidth="1"/>
    <col min="14831" max="14831" width="17.7109375" customWidth="1"/>
    <col min="14833" max="14833" width="15.140625" customWidth="1"/>
    <col min="14834" max="14834" width="11.7109375" bestFit="1" customWidth="1"/>
    <col min="14835" max="14839" width="10.7109375" customWidth="1"/>
    <col min="14840" max="14840" width="2" customWidth="1"/>
    <col min="14841" max="14841" width="14.5703125" customWidth="1"/>
    <col min="14843" max="14843" width="12.85546875" customWidth="1"/>
    <col min="15087" max="15087" width="17.7109375" customWidth="1"/>
    <col min="15089" max="15089" width="15.140625" customWidth="1"/>
    <col min="15090" max="15090" width="11.7109375" bestFit="1" customWidth="1"/>
    <col min="15091" max="15095" width="10.7109375" customWidth="1"/>
    <col min="15096" max="15096" width="2" customWidth="1"/>
    <col min="15097" max="15097" width="14.5703125" customWidth="1"/>
    <col min="15099" max="15099" width="12.85546875" customWidth="1"/>
    <col min="15343" max="15343" width="17.7109375" customWidth="1"/>
    <col min="15345" max="15345" width="15.140625" customWidth="1"/>
    <col min="15346" max="15346" width="11.7109375" bestFit="1" customWidth="1"/>
    <col min="15347" max="15351" width="10.7109375" customWidth="1"/>
    <col min="15352" max="15352" width="2" customWidth="1"/>
    <col min="15353" max="15353" width="14.5703125" customWidth="1"/>
    <col min="15355" max="15355" width="12.85546875" customWidth="1"/>
    <col min="15599" max="15599" width="17.7109375" customWidth="1"/>
    <col min="15601" max="15601" width="15.140625" customWidth="1"/>
    <col min="15602" max="15602" width="11.7109375" bestFit="1" customWidth="1"/>
    <col min="15603" max="15607" width="10.7109375" customWidth="1"/>
    <col min="15608" max="15608" width="2" customWidth="1"/>
    <col min="15609" max="15609" width="14.5703125" customWidth="1"/>
    <col min="15611" max="15611" width="12.85546875" customWidth="1"/>
    <col min="15855" max="15855" width="17.7109375" customWidth="1"/>
    <col min="15857" max="15857" width="15.140625" customWidth="1"/>
    <col min="15858" max="15858" width="11.7109375" bestFit="1" customWidth="1"/>
    <col min="15859" max="15863" width="10.7109375" customWidth="1"/>
    <col min="15864" max="15864" width="2" customWidth="1"/>
    <col min="15865" max="15865" width="14.5703125" customWidth="1"/>
    <col min="15867" max="15867" width="12.85546875" customWidth="1"/>
    <col min="16111" max="16111" width="17.7109375" customWidth="1"/>
    <col min="16113" max="16113" width="15.140625" customWidth="1"/>
    <col min="16114" max="16114" width="11.7109375" bestFit="1" customWidth="1"/>
    <col min="16115" max="16119" width="10.7109375" customWidth="1"/>
    <col min="16120" max="16120" width="2" customWidth="1"/>
    <col min="16121" max="16121" width="14.5703125" customWidth="1"/>
    <col min="16123" max="16123" width="12.85546875" customWidth="1"/>
  </cols>
  <sheetData>
    <row r="2" spans="1:15" ht="18.75">
      <c r="A2" s="5120" t="s">
        <v>2372</v>
      </c>
      <c r="B2" s="5120"/>
      <c r="C2" s="5120"/>
      <c r="D2" s="5120"/>
      <c r="E2" s="5120"/>
      <c r="F2" s="5120"/>
      <c r="G2" s="5120"/>
      <c r="H2" s="5120"/>
      <c r="I2" s="5120"/>
      <c r="J2" s="5120"/>
      <c r="K2" s="5120"/>
      <c r="L2" s="5120"/>
      <c r="M2" s="5120"/>
      <c r="N2" s="2419"/>
    </row>
    <row r="3" spans="1:15">
      <c r="A3" s="143"/>
      <c r="B3" s="143"/>
      <c r="C3" s="143"/>
      <c r="D3" s="143"/>
      <c r="E3" s="143"/>
      <c r="F3" s="143"/>
      <c r="G3" s="143"/>
      <c r="H3" s="143"/>
      <c r="I3" s="143"/>
      <c r="J3" s="143"/>
      <c r="K3" s="143"/>
      <c r="L3" s="143"/>
      <c r="M3" s="143"/>
      <c r="N3" s="2418"/>
    </row>
    <row r="4" spans="1:15" ht="15" customHeight="1">
      <c r="A4" s="143"/>
      <c r="B4" s="5121" t="s">
        <v>2801</v>
      </c>
      <c r="C4" s="5121"/>
      <c r="D4" s="5121"/>
      <c r="E4" s="3746"/>
      <c r="F4" s="143"/>
      <c r="G4" s="5122" t="s">
        <v>2802</v>
      </c>
      <c r="H4" s="5122"/>
      <c r="I4" s="5122"/>
      <c r="J4" s="5122"/>
      <c r="K4" s="3746"/>
      <c r="L4" s="3746"/>
      <c r="M4" s="3746"/>
      <c r="N4" s="5123" t="s">
        <v>2803</v>
      </c>
      <c r="O4" s="5123"/>
    </row>
    <row r="5" spans="1:15" ht="33" customHeight="1" thickBot="1">
      <c r="A5" s="3747" t="s">
        <v>2769</v>
      </c>
      <c r="B5" s="3748" t="s">
        <v>270</v>
      </c>
      <c r="C5" s="3748" t="s">
        <v>252</v>
      </c>
      <c r="D5" s="3748" t="s">
        <v>253</v>
      </c>
      <c r="E5" s="3747" t="s">
        <v>15</v>
      </c>
      <c r="F5" s="143"/>
      <c r="G5" s="3748" t="s">
        <v>266</v>
      </c>
      <c r="H5" s="3748" t="s">
        <v>267</v>
      </c>
      <c r="I5" s="3748" t="s">
        <v>268</v>
      </c>
      <c r="J5" s="3748" t="s">
        <v>269</v>
      </c>
      <c r="K5" s="3747" t="s">
        <v>15</v>
      </c>
      <c r="L5" s="3747" t="s">
        <v>76</v>
      </c>
      <c r="M5" s="3746"/>
      <c r="N5" s="3749" t="s">
        <v>15</v>
      </c>
      <c r="O5" s="3749" t="s">
        <v>76</v>
      </c>
    </row>
    <row r="6" spans="1:15">
      <c r="A6" s="144"/>
      <c r="B6" s="143"/>
      <c r="C6" s="143"/>
      <c r="D6" s="143"/>
      <c r="E6" s="144"/>
      <c r="F6" s="143"/>
      <c r="G6" s="144"/>
      <c r="H6" s="143"/>
      <c r="I6" s="143"/>
      <c r="J6" s="143"/>
      <c r="K6" s="144"/>
      <c r="L6" s="144"/>
      <c r="M6" s="3746"/>
      <c r="N6" s="3750"/>
      <c r="O6" s="143"/>
    </row>
    <row r="7" spans="1:15">
      <c r="A7" s="3603" t="s">
        <v>4</v>
      </c>
      <c r="B7" s="3751"/>
      <c r="C7" s="3752">
        <v>6</v>
      </c>
      <c r="D7" s="3752">
        <v>4</v>
      </c>
      <c r="E7" s="3753">
        <f>SUM(B7:D7)</f>
        <v>10</v>
      </c>
      <c r="F7" s="143"/>
      <c r="G7" s="3754"/>
      <c r="H7" s="3754">
        <v>4</v>
      </c>
      <c r="I7" s="3754">
        <v>2</v>
      </c>
      <c r="J7" s="3755">
        <v>1</v>
      </c>
      <c r="K7" s="3753">
        <f>SUM(G7:J7)</f>
        <v>7</v>
      </c>
      <c r="L7" s="3756">
        <f>K7/E7</f>
        <v>0.7</v>
      </c>
      <c r="M7" s="3746"/>
      <c r="N7" s="3754">
        <f>E7-K7</f>
        <v>3</v>
      </c>
      <c r="O7" s="3757">
        <f>1-L7</f>
        <v>0.30000000000000004</v>
      </c>
    </row>
    <row r="8" spans="1:15">
      <c r="A8" s="3607" t="s">
        <v>16</v>
      </c>
      <c r="B8" s="3758">
        <v>3</v>
      </c>
      <c r="C8" s="3759">
        <v>6</v>
      </c>
      <c r="D8" s="3759">
        <v>2</v>
      </c>
      <c r="E8" s="3760">
        <f>SUM(B8:D8)</f>
        <v>11</v>
      </c>
      <c r="F8" s="143"/>
      <c r="G8" s="3761"/>
      <c r="H8" s="3761">
        <v>4</v>
      </c>
      <c r="I8" s="3762">
        <v>4</v>
      </c>
      <c r="J8" s="3761"/>
      <c r="K8" s="3760">
        <f>SUM(G8:J8)</f>
        <v>8</v>
      </c>
      <c r="L8" s="3763">
        <f>K8/E8</f>
        <v>0.72727272727272729</v>
      </c>
      <c r="M8" s="3746"/>
      <c r="N8" s="3761">
        <f>E8-K8</f>
        <v>3</v>
      </c>
      <c r="O8" s="3764">
        <f>1-L8</f>
        <v>0.27272727272727271</v>
      </c>
    </row>
    <row r="9" spans="1:15">
      <c r="A9" s="3607" t="s">
        <v>21</v>
      </c>
      <c r="B9" s="3758">
        <v>1</v>
      </c>
      <c r="C9" s="3759">
        <v>6</v>
      </c>
      <c r="D9" s="3759">
        <v>6</v>
      </c>
      <c r="E9" s="3760">
        <f>SUM(B9:D9)</f>
        <v>13</v>
      </c>
      <c r="F9" s="143"/>
      <c r="G9" s="3761"/>
      <c r="H9" s="3761"/>
      <c r="I9" s="3761">
        <v>3</v>
      </c>
      <c r="J9" s="3761"/>
      <c r="K9" s="3760">
        <f>SUM(G9:J9)</f>
        <v>3</v>
      </c>
      <c r="L9" s="3763">
        <f>K9/E9</f>
        <v>0.23076923076923078</v>
      </c>
      <c r="M9" s="3746"/>
      <c r="N9" s="3761">
        <f>E9-K9</f>
        <v>10</v>
      </c>
      <c r="O9" s="3764">
        <f>1-L9</f>
        <v>0.76923076923076916</v>
      </c>
    </row>
    <row r="10" spans="1:15">
      <c r="A10" s="3610" t="s">
        <v>3</v>
      </c>
      <c r="B10" s="3765">
        <f>SUM(B7:B9)</f>
        <v>4</v>
      </c>
      <c r="C10" s="3766">
        <f>SUM(C7:C9)</f>
        <v>18</v>
      </c>
      <c r="D10" s="3766">
        <f>SUM(D7:D9)</f>
        <v>12</v>
      </c>
      <c r="E10" s="3767">
        <f>SUM(E7:E9)</f>
        <v>34</v>
      </c>
      <c r="F10" s="143"/>
      <c r="G10" s="3768">
        <f>SUM(G7:G9)</f>
        <v>0</v>
      </c>
      <c r="H10" s="3768">
        <f>SUM(H7:H9)</f>
        <v>8</v>
      </c>
      <c r="I10" s="3768">
        <f>SUM(I7:I9)</f>
        <v>9</v>
      </c>
      <c r="J10" s="3768">
        <f>SUM(J7:J9)</f>
        <v>1</v>
      </c>
      <c r="K10" s="3767">
        <f>SUM(K7:K9)</f>
        <v>18</v>
      </c>
      <c r="L10" s="3769">
        <f>K10/E10</f>
        <v>0.52941176470588236</v>
      </c>
      <c r="M10" s="3746"/>
      <c r="N10" s="3768">
        <f>E10-K10</f>
        <v>16</v>
      </c>
      <c r="O10" s="3770">
        <f>1-L10</f>
        <v>0.47058823529411764</v>
      </c>
    </row>
    <row r="11" spans="1:15">
      <c r="A11" s="145"/>
      <c r="B11" s="145"/>
      <c r="C11" s="145"/>
      <c r="D11" s="145"/>
      <c r="E11" s="145"/>
      <c r="F11" s="145"/>
      <c r="G11" s="145"/>
      <c r="H11" s="145"/>
      <c r="I11" s="145"/>
      <c r="J11" s="145"/>
      <c r="K11" s="145"/>
      <c r="L11" s="145"/>
      <c r="M11" s="145"/>
      <c r="N11" s="145"/>
      <c r="O11" s="145"/>
    </row>
    <row r="12" spans="1:15">
      <c r="A12" s="3603" t="s">
        <v>16</v>
      </c>
      <c r="B12" s="3751"/>
      <c r="C12" s="3752">
        <v>1</v>
      </c>
      <c r="D12" s="3752">
        <v>1</v>
      </c>
      <c r="E12" s="3753">
        <f>SUM(B12:D12)</f>
        <v>2</v>
      </c>
      <c r="F12" s="143"/>
      <c r="G12" s="3754"/>
      <c r="H12" s="3754"/>
      <c r="I12" s="3754">
        <v>2</v>
      </c>
      <c r="J12" s="3755"/>
      <c r="K12" s="3753">
        <f>SUM(G12:J12)</f>
        <v>2</v>
      </c>
      <c r="L12" s="3756">
        <f>K12/E12</f>
        <v>1</v>
      </c>
      <c r="M12" s="3746"/>
      <c r="N12" s="3754">
        <f>E12-K12</f>
        <v>0</v>
      </c>
      <c r="O12" s="3757">
        <f>1-L12</f>
        <v>0</v>
      </c>
    </row>
    <row r="13" spans="1:15">
      <c r="A13" s="3607" t="s">
        <v>61</v>
      </c>
      <c r="B13" s="3758"/>
      <c r="C13" s="3759">
        <v>1</v>
      </c>
      <c r="D13" s="3759"/>
      <c r="E13" s="3760">
        <f>SUM(B13:D13)</f>
        <v>1</v>
      </c>
      <c r="F13" s="143"/>
      <c r="G13" s="3761"/>
      <c r="H13" s="3761"/>
      <c r="I13" s="3762">
        <v>1</v>
      </c>
      <c r="J13" s="3761"/>
      <c r="K13" s="3760">
        <f>SUM(G13:J13)</f>
        <v>1</v>
      </c>
      <c r="L13" s="3763">
        <f>K13/E13</f>
        <v>1</v>
      </c>
      <c r="M13" s="3746"/>
      <c r="N13" s="3761">
        <f>E13-K13</f>
        <v>0</v>
      </c>
      <c r="O13" s="3764">
        <f>1-L13</f>
        <v>0</v>
      </c>
    </row>
    <row r="14" spans="1:15">
      <c r="A14" s="3607" t="s">
        <v>64</v>
      </c>
      <c r="B14" s="3758">
        <v>1</v>
      </c>
      <c r="C14" s="3759">
        <v>1</v>
      </c>
      <c r="D14" s="3759">
        <v>1</v>
      </c>
      <c r="E14" s="3760">
        <f>SUM(B14:D14)</f>
        <v>3</v>
      </c>
      <c r="F14" s="143"/>
      <c r="G14" s="3761"/>
      <c r="H14" s="3761"/>
      <c r="I14" s="3761">
        <v>2</v>
      </c>
      <c r="J14" s="3761"/>
      <c r="K14" s="3760">
        <f>SUM(G14:J14)</f>
        <v>2</v>
      </c>
      <c r="L14" s="3763">
        <f>K14/E14</f>
        <v>0.66666666666666663</v>
      </c>
      <c r="M14" s="3746"/>
      <c r="N14" s="3761">
        <f>E14-K14</f>
        <v>1</v>
      </c>
      <c r="O14" s="3764">
        <f>1-L14</f>
        <v>0.33333333333333337</v>
      </c>
    </row>
    <row r="15" spans="1:15">
      <c r="A15" s="3616" t="s">
        <v>59</v>
      </c>
      <c r="B15" s="3765">
        <f>SUM(B12:B14)</f>
        <v>1</v>
      </c>
      <c r="C15" s="3766">
        <f>SUM(C12:C14)</f>
        <v>3</v>
      </c>
      <c r="D15" s="3766">
        <f>SUM(D12:D14)</f>
        <v>2</v>
      </c>
      <c r="E15" s="3767">
        <f>SUM(E12:E14)</f>
        <v>6</v>
      </c>
      <c r="F15" s="143"/>
      <c r="G15" s="3768">
        <f>SUM(G12:G14)</f>
        <v>0</v>
      </c>
      <c r="H15" s="3768">
        <f>SUM(H12:H14)</f>
        <v>0</v>
      </c>
      <c r="I15" s="3768">
        <f>SUM(I12:I14)</f>
        <v>5</v>
      </c>
      <c r="J15" s="3768">
        <f>SUM(J12:J14)</f>
        <v>0</v>
      </c>
      <c r="K15" s="3767">
        <f>SUM(K12:K14)</f>
        <v>5</v>
      </c>
      <c r="L15" s="3769">
        <f>K15/E15</f>
        <v>0.83333333333333337</v>
      </c>
      <c r="M15" s="3746"/>
      <c r="N15" s="3768">
        <f>E15-K15</f>
        <v>1</v>
      </c>
      <c r="O15" s="3770">
        <f>1-L15</f>
        <v>0.16666666666666663</v>
      </c>
    </row>
    <row r="16" spans="1:15">
      <c r="A16" s="143"/>
      <c r="B16" s="143"/>
      <c r="C16" s="143"/>
      <c r="D16" s="3771"/>
      <c r="E16" s="3771"/>
      <c r="F16" s="3771"/>
      <c r="G16" s="3771"/>
      <c r="H16" s="3771"/>
      <c r="I16" s="3771"/>
      <c r="J16" s="3771"/>
      <c r="K16" s="3771"/>
      <c r="L16" s="3771"/>
      <c r="M16" s="3771"/>
      <c r="N16" s="3771"/>
      <c r="O16" s="3771"/>
    </row>
    <row r="17" spans="1:15">
      <c r="A17" s="3603" t="s">
        <v>4</v>
      </c>
      <c r="B17" s="3751"/>
      <c r="C17" s="3752">
        <v>7</v>
      </c>
      <c r="D17" s="3752">
        <v>6</v>
      </c>
      <c r="E17" s="3753">
        <f>SUM(B17:D17)</f>
        <v>13</v>
      </c>
      <c r="F17" s="143"/>
      <c r="G17" s="3754"/>
      <c r="H17" s="3754">
        <v>8</v>
      </c>
      <c r="I17" s="3754">
        <v>4</v>
      </c>
      <c r="J17" s="3755"/>
      <c r="K17" s="3753">
        <f>SUM(H17:J17)</f>
        <v>12</v>
      </c>
      <c r="L17" s="3756">
        <f>K17/E17</f>
        <v>0.92307692307692313</v>
      </c>
      <c r="M17" s="3746"/>
      <c r="N17" s="3754">
        <f>E17-K17</f>
        <v>1</v>
      </c>
      <c r="O17" s="3757">
        <f>1-L17</f>
        <v>7.6923076923076872E-2</v>
      </c>
    </row>
    <row r="18" spans="1:15">
      <c r="A18" s="3607" t="s">
        <v>16</v>
      </c>
      <c r="B18" s="3758">
        <v>1</v>
      </c>
      <c r="C18" s="3759">
        <v>5</v>
      </c>
      <c r="D18" s="3759">
        <v>5</v>
      </c>
      <c r="E18" s="3760">
        <f>SUM(B18:D18)</f>
        <v>11</v>
      </c>
      <c r="F18" s="143"/>
      <c r="G18" s="3761">
        <v>5</v>
      </c>
      <c r="H18" s="3761">
        <v>3</v>
      </c>
      <c r="I18" s="3762"/>
      <c r="J18" s="3761"/>
      <c r="K18" s="3760">
        <f>SUM(G18:J18)</f>
        <v>8</v>
      </c>
      <c r="L18" s="3763">
        <f>K18/E18</f>
        <v>0.72727272727272729</v>
      </c>
      <c r="M18" s="3746"/>
      <c r="N18" s="3761">
        <f>E18-K18</f>
        <v>3</v>
      </c>
      <c r="O18" s="3764">
        <f>1-L18</f>
        <v>0.27272727272727271</v>
      </c>
    </row>
    <row r="19" spans="1:15">
      <c r="A19" s="3607" t="s">
        <v>41</v>
      </c>
      <c r="B19" s="3758">
        <v>2</v>
      </c>
      <c r="C19" s="3759">
        <v>4</v>
      </c>
      <c r="D19" s="3759">
        <v>2</v>
      </c>
      <c r="E19" s="3760">
        <f>SUM(B19:D19)</f>
        <v>8</v>
      </c>
      <c r="F19" s="143"/>
      <c r="G19" s="3761">
        <v>1</v>
      </c>
      <c r="H19" s="3761">
        <v>4</v>
      </c>
      <c r="I19" s="3761">
        <v>1</v>
      </c>
      <c r="J19" s="3761"/>
      <c r="K19" s="3760">
        <f>SUM(G19:J19)</f>
        <v>6</v>
      </c>
      <c r="L19" s="3763">
        <f>K19/E19</f>
        <v>0.75</v>
      </c>
      <c r="M19" s="3746"/>
      <c r="N19" s="3761">
        <f>E19-K19</f>
        <v>2</v>
      </c>
      <c r="O19" s="3764">
        <f>1-L19</f>
        <v>0.25</v>
      </c>
    </row>
    <row r="20" spans="1:15">
      <c r="A20" s="3772" t="s">
        <v>2804</v>
      </c>
      <c r="B20" s="3773">
        <v>1</v>
      </c>
      <c r="C20" s="3774">
        <v>1</v>
      </c>
      <c r="D20" s="3774">
        <v>1</v>
      </c>
      <c r="E20" s="3760">
        <f>SUM(B20:D20)</f>
        <v>3</v>
      </c>
      <c r="F20" s="143"/>
      <c r="G20" s="3775"/>
      <c r="H20" s="3775"/>
      <c r="I20" s="3775">
        <v>1</v>
      </c>
      <c r="J20" s="3775">
        <v>1</v>
      </c>
      <c r="K20" s="3760">
        <f>SUM(G20:J20)</f>
        <v>2</v>
      </c>
      <c r="L20" s="3763">
        <f>K20/E20</f>
        <v>0.66666666666666663</v>
      </c>
      <c r="M20" s="3746"/>
      <c r="N20" s="3761">
        <f>E20-K20</f>
        <v>1</v>
      </c>
      <c r="O20" s="3764">
        <f>1-L20</f>
        <v>0.33333333333333337</v>
      </c>
    </row>
    <row r="21" spans="1:15">
      <c r="A21" s="3622" t="s">
        <v>25</v>
      </c>
      <c r="B21" s="3765">
        <f>SUM(B18:B20)</f>
        <v>4</v>
      </c>
      <c r="C21" s="3766">
        <f>SUM(C17:C20)</f>
        <v>17</v>
      </c>
      <c r="D21" s="3766">
        <f>SUM(D17:D20)</f>
        <v>14</v>
      </c>
      <c r="E21" s="3767">
        <f>SUM(E17:E20)</f>
        <v>35</v>
      </c>
      <c r="F21" s="143"/>
      <c r="G21" s="3768">
        <f>SUM(G16:G20)</f>
        <v>6</v>
      </c>
      <c r="H21" s="3768">
        <f t="shared" ref="H21:J21" si="0">SUM(H16:H20)</f>
        <v>15</v>
      </c>
      <c r="I21" s="3768">
        <f t="shared" si="0"/>
        <v>6</v>
      </c>
      <c r="J21" s="3768">
        <f t="shared" si="0"/>
        <v>1</v>
      </c>
      <c r="K21" s="3767">
        <f>SUM(K17:K20)</f>
        <v>28</v>
      </c>
      <c r="L21" s="3769">
        <f>K21/E21</f>
        <v>0.8</v>
      </c>
      <c r="M21" s="3746"/>
      <c r="N21" s="3768">
        <f>E21-K21</f>
        <v>7</v>
      </c>
      <c r="O21" s="3770">
        <f>1-L21</f>
        <v>0.19999999999999996</v>
      </c>
    </row>
    <row r="22" spans="1:15">
      <c r="A22" s="146"/>
      <c r="B22" s="147"/>
      <c r="C22" s="147"/>
      <c r="D22" s="3776"/>
      <c r="E22" s="3776"/>
      <c r="F22" s="3776"/>
      <c r="G22" s="3776"/>
      <c r="H22" s="3776"/>
      <c r="I22" s="3776"/>
      <c r="J22" s="3776"/>
      <c r="K22" s="3776"/>
      <c r="L22" s="3776"/>
      <c r="M22" s="3776"/>
      <c r="N22" s="3776"/>
      <c r="O22" s="3776"/>
    </row>
    <row r="23" spans="1:15" ht="15" customHeight="1">
      <c r="A23" s="3603" t="s">
        <v>16</v>
      </c>
      <c r="B23" s="3751">
        <v>1</v>
      </c>
      <c r="C23" s="3752">
        <v>9</v>
      </c>
      <c r="D23" s="3752">
        <v>4</v>
      </c>
      <c r="E23" s="3753">
        <f>SUM(B23:D23)</f>
        <v>14</v>
      </c>
      <c r="F23" s="143"/>
      <c r="G23" s="3754">
        <v>2</v>
      </c>
      <c r="H23" s="3754">
        <v>5</v>
      </c>
      <c r="I23" s="3754">
        <v>3</v>
      </c>
      <c r="J23" s="3755"/>
      <c r="K23" s="3753">
        <f>SUM(G23:J23)</f>
        <v>10</v>
      </c>
      <c r="L23" s="3756">
        <f>K23/E23</f>
        <v>0.7142857142857143</v>
      </c>
      <c r="M23" s="3746"/>
      <c r="N23" s="3754">
        <f>E23-K23</f>
        <v>4</v>
      </c>
      <c r="O23" s="3757">
        <f>1-L23</f>
        <v>0.2857142857142857</v>
      </c>
    </row>
    <row r="24" spans="1:15">
      <c r="A24" s="3607" t="s">
        <v>41</v>
      </c>
      <c r="B24" s="3758">
        <v>1</v>
      </c>
      <c r="C24" s="3759">
        <v>9</v>
      </c>
      <c r="D24" s="3759">
        <v>2</v>
      </c>
      <c r="E24" s="3760">
        <f>SUM(B24:D24)</f>
        <v>12</v>
      </c>
      <c r="F24" s="143"/>
      <c r="G24" s="3761"/>
      <c r="H24" s="3761">
        <v>4</v>
      </c>
      <c r="I24" s="3762">
        <v>2</v>
      </c>
      <c r="J24" s="3761">
        <v>1</v>
      </c>
      <c r="K24" s="3760">
        <f>SUM(H24:J24)</f>
        <v>7</v>
      </c>
      <c r="L24" s="3763">
        <f>K24/E24</f>
        <v>0.58333333333333337</v>
      </c>
      <c r="M24" s="3746"/>
      <c r="N24" s="3761">
        <f>E24-K24</f>
        <v>5</v>
      </c>
      <c r="O24" s="3764">
        <f>1-L24</f>
        <v>0.41666666666666663</v>
      </c>
    </row>
    <row r="25" spans="1:15" ht="15" customHeight="1">
      <c r="A25" s="3607" t="s">
        <v>21</v>
      </c>
      <c r="B25" s="3758"/>
      <c r="C25" s="3759">
        <v>3</v>
      </c>
      <c r="D25" s="3759">
        <v>1</v>
      </c>
      <c r="E25" s="3760">
        <f>SUM(B25:D25)</f>
        <v>4</v>
      </c>
      <c r="F25" s="143"/>
      <c r="G25" s="3761"/>
      <c r="H25" s="3761">
        <v>1</v>
      </c>
      <c r="I25" s="3761">
        <v>2</v>
      </c>
      <c r="J25" s="3761"/>
      <c r="K25" s="3760">
        <f>SUM(H25:J25)</f>
        <v>3</v>
      </c>
      <c r="L25" s="3763">
        <f>K25/E25</f>
        <v>0.75</v>
      </c>
      <c r="M25" s="3746"/>
      <c r="N25" s="3761">
        <f>E25-K25</f>
        <v>1</v>
      </c>
      <c r="O25" s="3764">
        <f>1-L25</f>
        <v>0.25</v>
      </c>
    </row>
    <row r="26" spans="1:15">
      <c r="A26" s="3634" t="s">
        <v>48</v>
      </c>
      <c r="B26" s="3765">
        <f>SUM(B23:B25)</f>
        <v>2</v>
      </c>
      <c r="C26" s="3766">
        <f>SUM(C23:C25)</f>
        <v>21</v>
      </c>
      <c r="D26" s="3766">
        <f>SUM(D23:D25)</f>
        <v>7</v>
      </c>
      <c r="E26" s="3767">
        <f>SUM(E23:E25)</f>
        <v>30</v>
      </c>
      <c r="F26" s="143"/>
      <c r="G26" s="3768">
        <f>SUM(G23:G25)</f>
        <v>2</v>
      </c>
      <c r="H26" s="3768">
        <f>SUM(H23:H25)</f>
        <v>10</v>
      </c>
      <c r="I26" s="3768">
        <f>SUM(I23:I25)</f>
        <v>7</v>
      </c>
      <c r="J26" s="3768">
        <f>SUM(J23:J25)</f>
        <v>1</v>
      </c>
      <c r="K26" s="3767">
        <f>SUM(K23:K25)</f>
        <v>20</v>
      </c>
      <c r="L26" s="3769">
        <f>K26/E26</f>
        <v>0.66666666666666663</v>
      </c>
      <c r="M26" s="3746"/>
      <c r="N26" s="3768">
        <f>E26-K26</f>
        <v>10</v>
      </c>
      <c r="O26" s="3770">
        <f>1-L26</f>
        <v>0.33333333333333337</v>
      </c>
    </row>
    <row r="27" spans="1:15">
      <c r="A27" s="148"/>
      <c r="B27" s="148"/>
      <c r="C27" s="3777"/>
      <c r="D27" s="3777"/>
      <c r="E27" s="3777"/>
      <c r="F27" s="3777"/>
      <c r="G27" s="3777"/>
      <c r="H27" s="3777"/>
      <c r="I27" s="3777"/>
      <c r="J27" s="3777"/>
      <c r="K27" s="3777"/>
      <c r="L27" s="3777"/>
      <c r="M27" s="3777"/>
      <c r="N27" s="3777"/>
      <c r="O27" s="3777"/>
    </row>
    <row r="28" spans="1:15">
      <c r="A28" s="3603" t="s">
        <v>16</v>
      </c>
      <c r="B28" s="3751"/>
      <c r="C28" s="3752">
        <v>2</v>
      </c>
      <c r="D28" s="3752">
        <v>2</v>
      </c>
      <c r="E28" s="3753">
        <f>SUM(B28:D28)</f>
        <v>4</v>
      </c>
      <c r="F28" s="143"/>
      <c r="G28" s="3754"/>
      <c r="H28" s="3754">
        <v>1</v>
      </c>
      <c r="I28" s="3754">
        <v>1</v>
      </c>
      <c r="J28" s="3755"/>
      <c r="K28" s="3753">
        <f>SUM(G28:J28)</f>
        <v>2</v>
      </c>
      <c r="L28" s="3756">
        <f>K28/E28</f>
        <v>0.5</v>
      </c>
      <c r="M28" s="3746"/>
      <c r="N28" s="3754">
        <f>E28-K28</f>
        <v>2</v>
      </c>
      <c r="O28" s="3757">
        <f>1-L28</f>
        <v>0.5</v>
      </c>
    </row>
    <row r="29" spans="1:15">
      <c r="A29" s="3607" t="s">
        <v>542</v>
      </c>
      <c r="B29" s="3758"/>
      <c r="C29" s="3759"/>
      <c r="D29" s="3759">
        <v>1</v>
      </c>
      <c r="E29" s="3760">
        <f>SUM(B29:D29)</f>
        <v>1</v>
      </c>
      <c r="F29" s="143"/>
      <c r="G29" s="3761"/>
      <c r="H29" s="3761">
        <v>1</v>
      </c>
      <c r="I29" s="3762"/>
      <c r="J29" s="3761"/>
      <c r="K29" s="3760">
        <f>SUM(G29:J29)</f>
        <v>1</v>
      </c>
      <c r="L29" s="3763">
        <f>K29/E29</f>
        <v>1</v>
      </c>
      <c r="M29" s="3746"/>
      <c r="N29" s="3761">
        <f>E29-K29</f>
        <v>0</v>
      </c>
      <c r="O29" s="3764">
        <f>1-L29</f>
        <v>0</v>
      </c>
    </row>
    <row r="30" spans="1:15">
      <c r="A30" s="3778" t="s">
        <v>2805</v>
      </c>
      <c r="B30" s="3779">
        <f>SUM(B28:B29)</f>
        <v>0</v>
      </c>
      <c r="C30" s="3780">
        <f>SUM(C28:C29)</f>
        <v>2</v>
      </c>
      <c r="D30" s="3780">
        <f>SUM(D28:D29)</f>
        <v>3</v>
      </c>
      <c r="E30" s="3767">
        <f>SUM(E28:E29)</f>
        <v>5</v>
      </c>
      <c r="F30" s="3781"/>
      <c r="G30" s="3768">
        <f>SUM(G28:G29)</f>
        <v>0</v>
      </c>
      <c r="H30" s="3768">
        <f>SUM(H28:H29)</f>
        <v>2</v>
      </c>
      <c r="I30" s="3768">
        <f>SUM(I28:I29)</f>
        <v>1</v>
      </c>
      <c r="J30" s="3768">
        <f>SUM(J28:J29)</f>
        <v>0</v>
      </c>
      <c r="K30" s="3767">
        <f>SUM(K28:K29)</f>
        <v>3</v>
      </c>
      <c r="L30" s="3769">
        <f>K30/E30</f>
        <v>0.6</v>
      </c>
      <c r="M30" s="3746"/>
      <c r="N30" s="3768">
        <f>E30-K30</f>
        <v>2</v>
      </c>
      <c r="O30" s="3770">
        <f>1-L30</f>
        <v>0.4</v>
      </c>
    </row>
    <row r="31" spans="1:15" ht="15" customHeight="1">
      <c r="A31" s="146"/>
      <c r="B31" s="147"/>
      <c r="C31" s="3776"/>
      <c r="D31" s="3776"/>
      <c r="E31" s="3776"/>
      <c r="F31" s="3776"/>
      <c r="G31" s="3776"/>
      <c r="H31" s="3776"/>
      <c r="I31" s="3776"/>
      <c r="J31" s="3776"/>
      <c r="K31" s="3776"/>
      <c r="L31" s="3776"/>
      <c r="M31" s="3776"/>
      <c r="N31" s="3776"/>
      <c r="O31" s="3776"/>
    </row>
    <row r="32" spans="1:15">
      <c r="A32" s="3782" t="s">
        <v>75</v>
      </c>
      <c r="B32" s="3648">
        <f>SUM(B10,B15,B21,B26,B30)</f>
        <v>11</v>
      </c>
      <c r="C32" s="3648">
        <f>SUM(C10,C15,C21,C26,C30)</f>
        <v>61</v>
      </c>
      <c r="D32" s="3648">
        <f>SUM(D10,D15,D21,D26,D30)</f>
        <v>38</v>
      </c>
      <c r="E32" s="3783">
        <f>SUM(E10,E15,E21,E26,E30)</f>
        <v>110</v>
      </c>
      <c r="F32" s="143"/>
      <c r="G32" s="3784">
        <f>SUM(G10,G21,G26,G15,G30)</f>
        <v>8</v>
      </c>
      <c r="H32" s="3784">
        <f>SUM(H10,H21,H26,H15,H30)</f>
        <v>35</v>
      </c>
      <c r="I32" s="3784">
        <f>SUM(I10,I21,I26,I15,I30)</f>
        <v>28</v>
      </c>
      <c r="J32" s="3784">
        <f>SUM(J10,J21,J26,J15,J30)</f>
        <v>3</v>
      </c>
      <c r="K32" s="3785">
        <f>SUM(K10,K21,K26,K15,K30)</f>
        <v>74</v>
      </c>
      <c r="L32" s="3786">
        <f>K32/E32</f>
        <v>0.67272727272727273</v>
      </c>
      <c r="M32" s="3746"/>
      <c r="N32" s="3784">
        <f>E32-K32</f>
        <v>36</v>
      </c>
      <c r="O32" s="3787">
        <f>1-L32</f>
        <v>0.32727272727272727</v>
      </c>
    </row>
    <row r="33" spans="1:20" ht="15" customHeight="1">
      <c r="A33" s="143"/>
      <c r="B33" s="143"/>
      <c r="C33" s="143"/>
      <c r="D33" s="143"/>
      <c r="E33" s="143"/>
      <c r="F33" s="143"/>
      <c r="G33" s="143"/>
      <c r="H33" s="143"/>
      <c r="I33" s="143"/>
      <c r="J33" s="143"/>
      <c r="K33" s="143"/>
      <c r="L33" s="143"/>
      <c r="M33" s="3746"/>
      <c r="N33" s="149"/>
      <c r="O33" s="143"/>
    </row>
    <row r="34" spans="1:20" ht="15.75" thickBot="1">
      <c r="A34" s="3788" t="s">
        <v>2806</v>
      </c>
      <c r="B34" s="3789">
        <v>2</v>
      </c>
      <c r="C34" s="3789">
        <v>45</v>
      </c>
      <c r="D34" s="3789">
        <v>27</v>
      </c>
      <c r="E34" s="3790">
        <f>SUM(B34:D34)</f>
        <v>74</v>
      </c>
      <c r="F34" s="143"/>
      <c r="G34" s="143"/>
      <c r="H34" s="143"/>
      <c r="I34" s="143"/>
      <c r="J34" s="143"/>
      <c r="K34" s="143"/>
      <c r="L34" s="143"/>
      <c r="M34" s="143"/>
      <c r="N34" s="143"/>
      <c r="O34" s="143"/>
    </row>
    <row r="38" spans="1:20" ht="15.75">
      <c r="P38" s="2971"/>
      <c r="Q38" s="2971"/>
      <c r="R38" s="3791"/>
      <c r="S38" s="3792"/>
      <c r="T38" s="3793" t="s">
        <v>2774</v>
      </c>
    </row>
    <row r="39" spans="1:20" ht="15.75" thickBot="1">
      <c r="P39" s="3794" t="s">
        <v>69</v>
      </c>
      <c r="Q39" s="3794" t="s">
        <v>476</v>
      </c>
      <c r="R39" s="3794" t="s">
        <v>2373</v>
      </c>
      <c r="S39" s="3795" t="s">
        <v>2374</v>
      </c>
      <c r="T39" s="3795" t="s">
        <v>2375</v>
      </c>
    </row>
    <row r="40" spans="1:20">
      <c r="P40" s="5124" t="s">
        <v>2376</v>
      </c>
      <c r="Q40" s="5127" t="s">
        <v>252</v>
      </c>
      <c r="R40" s="3796" t="s">
        <v>278</v>
      </c>
      <c r="S40" s="3796"/>
      <c r="T40" s="3797"/>
    </row>
    <row r="41" spans="1:20">
      <c r="P41" s="5125"/>
      <c r="Q41" s="5128"/>
      <c r="R41" s="3798" t="s">
        <v>279</v>
      </c>
      <c r="S41" s="3799" t="s">
        <v>267</v>
      </c>
      <c r="T41" s="3800"/>
    </row>
    <row r="42" spans="1:20">
      <c r="P42" s="5125"/>
      <c r="Q42" s="5128"/>
      <c r="R42" s="3798" t="s">
        <v>2377</v>
      </c>
      <c r="S42" s="3799" t="s">
        <v>267</v>
      </c>
      <c r="T42" s="3801"/>
    </row>
    <row r="43" spans="1:20">
      <c r="P43" s="5125"/>
      <c r="Q43" s="5128"/>
      <c r="R43" s="3798" t="s">
        <v>2378</v>
      </c>
      <c r="S43" s="3799" t="s">
        <v>268</v>
      </c>
      <c r="T43" s="3801"/>
    </row>
    <row r="44" spans="1:20">
      <c r="P44" s="5125"/>
      <c r="Q44" s="5128"/>
      <c r="R44" s="3798" t="s">
        <v>2807</v>
      </c>
      <c r="S44" s="3802" t="s">
        <v>268</v>
      </c>
      <c r="T44" s="3801"/>
    </row>
    <row r="45" spans="1:20">
      <c r="P45" s="5125"/>
      <c r="Q45" s="5128"/>
      <c r="R45" s="3798" t="s">
        <v>2808</v>
      </c>
      <c r="S45" s="3799" t="s">
        <v>267</v>
      </c>
      <c r="T45" s="3803"/>
    </row>
    <row r="46" spans="1:20">
      <c r="P46" s="5125"/>
      <c r="Q46" s="5117"/>
      <c r="R46" s="3798" t="s">
        <v>2759</v>
      </c>
      <c r="S46" s="3799"/>
      <c r="T46" s="3803" t="s">
        <v>2781</v>
      </c>
    </row>
    <row r="47" spans="1:20">
      <c r="P47" s="5125"/>
      <c r="Q47" s="5129" t="s">
        <v>253</v>
      </c>
      <c r="R47" s="3804" t="s">
        <v>280</v>
      </c>
      <c r="S47" s="3805" t="s">
        <v>268</v>
      </c>
      <c r="T47" s="3806"/>
    </row>
    <row r="48" spans="1:20">
      <c r="P48" s="5125"/>
      <c r="Q48" s="5130"/>
      <c r="R48" s="3804" t="s">
        <v>2379</v>
      </c>
      <c r="S48" s="3805" t="s">
        <v>269</v>
      </c>
      <c r="T48" s="3807"/>
    </row>
    <row r="49" spans="16:20">
      <c r="P49" s="5125"/>
      <c r="Q49" s="5130"/>
      <c r="R49" s="3804" t="s">
        <v>2380</v>
      </c>
      <c r="S49" s="3805"/>
      <c r="T49" s="3807"/>
    </row>
    <row r="50" spans="16:20">
      <c r="P50" s="5125"/>
      <c r="Q50" s="5130"/>
      <c r="R50" s="3804" t="s">
        <v>2807</v>
      </c>
      <c r="S50" s="3805"/>
      <c r="T50" s="3807"/>
    </row>
    <row r="51" spans="16:20">
      <c r="P51" s="5126"/>
      <c r="Q51" s="5131"/>
      <c r="R51" s="3808" t="s">
        <v>2808</v>
      </c>
      <c r="S51" s="3809" t="s">
        <v>267</v>
      </c>
      <c r="T51" s="3810"/>
    </row>
    <row r="52" spans="16:20">
      <c r="P52" s="5132" t="s">
        <v>2381</v>
      </c>
      <c r="Q52" s="5133" t="s">
        <v>2809</v>
      </c>
      <c r="R52" s="3796" t="s">
        <v>2382</v>
      </c>
      <c r="S52" s="3796"/>
      <c r="T52" s="3797"/>
    </row>
    <row r="53" spans="16:20">
      <c r="P53" s="5125"/>
      <c r="Q53" s="5128"/>
      <c r="R53" s="3798" t="s">
        <v>2383</v>
      </c>
      <c r="S53" s="3799" t="s">
        <v>267</v>
      </c>
      <c r="T53" s="3800"/>
    </row>
    <row r="54" spans="16:20">
      <c r="P54" s="5125"/>
      <c r="Q54" s="5117"/>
      <c r="R54" s="3798" t="s">
        <v>347</v>
      </c>
      <c r="S54" s="3799"/>
      <c r="T54" s="3811"/>
    </row>
    <row r="55" spans="16:20">
      <c r="P55" s="5125"/>
      <c r="Q55" s="5129" t="s">
        <v>252</v>
      </c>
      <c r="R55" s="3804" t="s">
        <v>2384</v>
      </c>
      <c r="S55" s="3805" t="s">
        <v>268</v>
      </c>
      <c r="T55" s="3812"/>
    </row>
    <row r="56" spans="16:20">
      <c r="P56" s="5125"/>
      <c r="Q56" s="5130"/>
      <c r="R56" s="3804" t="s">
        <v>2385</v>
      </c>
      <c r="S56" s="3805" t="s">
        <v>267</v>
      </c>
      <c r="T56" s="3813"/>
    </row>
    <row r="57" spans="16:20">
      <c r="P57" s="5125"/>
      <c r="Q57" s="5130"/>
      <c r="R57" s="3804" t="s">
        <v>282</v>
      </c>
      <c r="S57" s="3805" t="s">
        <v>268</v>
      </c>
      <c r="T57" s="3806"/>
    </row>
    <row r="58" spans="16:20">
      <c r="P58" s="5125"/>
      <c r="Q58" s="5130"/>
      <c r="R58" s="3804" t="s">
        <v>283</v>
      </c>
      <c r="S58" s="3805" t="s">
        <v>267</v>
      </c>
      <c r="T58" s="3806"/>
    </row>
    <row r="59" spans="16:20">
      <c r="P59" s="5125"/>
      <c r="Q59" s="5130"/>
      <c r="R59" s="3804" t="s">
        <v>1982</v>
      </c>
      <c r="S59" s="3805" t="s">
        <v>268</v>
      </c>
      <c r="T59" s="3814"/>
    </row>
    <row r="60" spans="16:20" ht="30">
      <c r="P60" s="5125"/>
      <c r="Q60" s="5130"/>
      <c r="R60" s="3804" t="s">
        <v>281</v>
      </c>
      <c r="S60" s="3805" t="s">
        <v>267</v>
      </c>
      <c r="T60" s="3807" t="s">
        <v>2386</v>
      </c>
    </row>
    <row r="61" spans="16:20">
      <c r="P61" s="5125"/>
      <c r="Q61" s="5134"/>
      <c r="R61" s="3804" t="s">
        <v>2387</v>
      </c>
      <c r="S61" s="3805"/>
      <c r="T61" s="3813"/>
    </row>
    <row r="62" spans="16:20">
      <c r="P62" s="5125"/>
      <c r="Q62" s="5135" t="s">
        <v>253</v>
      </c>
      <c r="R62" s="3798" t="s">
        <v>2388</v>
      </c>
      <c r="S62" s="3799" t="s">
        <v>268</v>
      </c>
      <c r="T62" s="3801"/>
    </row>
    <row r="63" spans="16:20">
      <c r="P63" s="5125"/>
      <c r="Q63" s="5128"/>
      <c r="R63" s="3798" t="s">
        <v>284</v>
      </c>
      <c r="S63" s="3799" t="s">
        <v>267</v>
      </c>
      <c r="T63" s="3800"/>
    </row>
    <row r="64" spans="16:20" ht="30">
      <c r="P64" s="5125"/>
      <c r="Q64" s="5128"/>
      <c r="R64" s="3798" t="s">
        <v>285</v>
      </c>
      <c r="S64" s="3799" t="s">
        <v>268</v>
      </c>
      <c r="T64" s="3801" t="s">
        <v>2386</v>
      </c>
    </row>
    <row r="65" spans="16:20" ht="30">
      <c r="P65" s="5126"/>
      <c r="Q65" s="5136"/>
      <c r="R65" s="3815" t="s">
        <v>2364</v>
      </c>
      <c r="S65" s="3816"/>
      <c r="T65" s="3817" t="s">
        <v>2386</v>
      </c>
    </row>
    <row r="66" spans="16:20" ht="30">
      <c r="P66" s="5132" t="s">
        <v>2389</v>
      </c>
      <c r="Q66" s="3818" t="s">
        <v>747</v>
      </c>
      <c r="R66" s="3819" t="s">
        <v>1691</v>
      </c>
      <c r="S66" s="3820" t="s">
        <v>268</v>
      </c>
      <c r="T66" s="3797"/>
    </row>
    <row r="67" spans="16:20">
      <c r="P67" s="5125"/>
      <c r="Q67" s="5129" t="s">
        <v>252</v>
      </c>
      <c r="R67" s="3821" t="s">
        <v>2810</v>
      </c>
      <c r="S67" s="3805"/>
      <c r="T67" s="3806"/>
    </row>
    <row r="68" spans="16:20">
      <c r="P68" s="5125"/>
      <c r="Q68" s="5130"/>
      <c r="R68" s="3821" t="s">
        <v>1693</v>
      </c>
      <c r="S68" s="3805"/>
      <c r="T68" s="3806"/>
    </row>
    <row r="69" spans="16:20">
      <c r="P69" s="5125"/>
      <c r="Q69" s="5130"/>
      <c r="R69" s="3821" t="s">
        <v>1694</v>
      </c>
      <c r="S69" s="3805" t="s">
        <v>268</v>
      </c>
      <c r="T69" s="3806"/>
    </row>
    <row r="70" spans="16:20" ht="30">
      <c r="P70" s="5125"/>
      <c r="Q70" s="5130"/>
      <c r="R70" s="3821" t="s">
        <v>1691</v>
      </c>
      <c r="S70" s="3805"/>
      <c r="T70" s="3806"/>
    </row>
    <row r="71" spans="16:20">
      <c r="P71" s="5125"/>
      <c r="Q71" s="5130"/>
      <c r="R71" s="3821" t="s">
        <v>1695</v>
      </c>
      <c r="S71" s="3805"/>
      <c r="T71" s="3806"/>
    </row>
    <row r="72" spans="16:20" ht="30">
      <c r="P72" s="5125"/>
      <c r="Q72" s="5134"/>
      <c r="R72" s="3821" t="s">
        <v>1790</v>
      </c>
      <c r="S72" s="3805"/>
      <c r="T72" s="3806"/>
    </row>
    <row r="73" spans="16:20">
      <c r="P73" s="5125"/>
      <c r="Q73" s="5135" t="s">
        <v>253</v>
      </c>
      <c r="R73" s="3822" t="s">
        <v>2810</v>
      </c>
      <c r="S73" s="3799"/>
      <c r="T73" s="3800"/>
    </row>
    <row r="74" spans="16:20">
      <c r="P74" s="5125"/>
      <c r="Q74" s="5128"/>
      <c r="R74" s="3822" t="s">
        <v>1693</v>
      </c>
      <c r="S74" s="3799"/>
      <c r="T74" s="3800"/>
    </row>
    <row r="75" spans="16:20">
      <c r="P75" s="5125"/>
      <c r="Q75" s="5128"/>
      <c r="R75" s="3822" t="s">
        <v>1694</v>
      </c>
      <c r="S75" s="3799" t="s">
        <v>268</v>
      </c>
      <c r="T75" s="3800"/>
    </row>
    <row r="76" spans="16:20" ht="30">
      <c r="P76" s="5125"/>
      <c r="Q76" s="5128"/>
      <c r="R76" s="3822" t="s">
        <v>1691</v>
      </c>
      <c r="S76" s="3823"/>
      <c r="T76" s="3824"/>
    </row>
    <row r="77" spans="16:20">
      <c r="P77" s="5125"/>
      <c r="Q77" s="5128"/>
      <c r="R77" s="3822" t="s">
        <v>1695</v>
      </c>
      <c r="S77" s="3799"/>
      <c r="T77" s="3800"/>
    </row>
    <row r="78" spans="16:20" ht="30">
      <c r="P78" s="5126"/>
      <c r="Q78" s="5136"/>
      <c r="R78" s="3825" t="s">
        <v>1790</v>
      </c>
      <c r="S78" s="3816"/>
      <c r="T78" s="3826"/>
    </row>
    <row r="79" spans="16:20">
      <c r="P79" s="2970"/>
      <c r="Q79" s="2970"/>
      <c r="R79" s="2970"/>
      <c r="S79" s="5137" t="s">
        <v>2811</v>
      </c>
      <c r="T79" s="5137"/>
    </row>
    <row r="80" spans="16:20">
      <c r="P80" s="2971"/>
      <c r="Q80" s="2971"/>
      <c r="R80" s="2970"/>
      <c r="S80" s="5111"/>
      <c r="T80" s="5111"/>
    </row>
    <row r="81" spans="16:20">
      <c r="P81" s="2971"/>
      <c r="Q81" s="2971"/>
      <c r="R81" s="2970"/>
      <c r="S81" s="3597"/>
      <c r="T81" s="3597"/>
    </row>
    <row r="82" spans="16:20">
      <c r="P82" s="2972"/>
      <c r="Q82" s="2972"/>
      <c r="R82" s="2972"/>
      <c r="S82" s="2972"/>
      <c r="T82" s="2972"/>
    </row>
    <row r="83" spans="16:20" ht="15.75">
      <c r="P83" s="2971"/>
      <c r="Q83" s="2971"/>
      <c r="R83" s="3827"/>
      <c r="S83" s="3828"/>
      <c r="T83" s="3829" t="s">
        <v>2780</v>
      </c>
    </row>
    <row r="84" spans="16:20" ht="15.75" thickBot="1">
      <c r="P84" s="3830" t="s">
        <v>69</v>
      </c>
      <c r="Q84" s="3830" t="s">
        <v>476</v>
      </c>
      <c r="R84" s="3831"/>
      <c r="S84" s="3832" t="s">
        <v>2374</v>
      </c>
      <c r="T84" s="3832" t="s">
        <v>2375</v>
      </c>
    </row>
    <row r="85" spans="16:20">
      <c r="P85" s="5126" t="s">
        <v>2381</v>
      </c>
      <c r="Q85" s="3833" t="s">
        <v>252</v>
      </c>
      <c r="R85" s="3796" t="s">
        <v>709</v>
      </c>
      <c r="S85" s="3820" t="s">
        <v>268</v>
      </c>
      <c r="T85" s="3834"/>
    </row>
    <row r="86" spans="16:20">
      <c r="P86" s="5138"/>
      <c r="Q86" s="3835" t="s">
        <v>253</v>
      </c>
      <c r="R86" s="3808" t="s">
        <v>709</v>
      </c>
      <c r="S86" s="3835" t="s">
        <v>268</v>
      </c>
      <c r="T86" s="3836"/>
    </row>
    <row r="87" spans="16:20" ht="45">
      <c r="P87" s="3837" t="s">
        <v>2390</v>
      </c>
      <c r="Q87" s="3838" t="s">
        <v>252</v>
      </c>
      <c r="R87" s="3839" t="s">
        <v>419</v>
      </c>
      <c r="S87" s="3840" t="s">
        <v>268</v>
      </c>
      <c r="T87" s="3841"/>
    </row>
    <row r="88" spans="16:20">
      <c r="P88" s="5138" t="s">
        <v>2391</v>
      </c>
      <c r="Q88" s="3842" t="s">
        <v>747</v>
      </c>
      <c r="R88" s="3843" t="s">
        <v>2392</v>
      </c>
      <c r="S88" s="3844"/>
      <c r="T88" s="3845"/>
    </row>
    <row r="89" spans="16:20">
      <c r="P89" s="5138"/>
      <c r="Q89" s="3846" t="s">
        <v>252</v>
      </c>
      <c r="R89" s="3804" t="s">
        <v>2393</v>
      </c>
      <c r="S89" s="3805" t="s">
        <v>268</v>
      </c>
      <c r="T89" s="3814"/>
    </row>
    <row r="90" spans="16:20">
      <c r="P90" s="5138"/>
      <c r="Q90" s="5118" t="s">
        <v>253</v>
      </c>
      <c r="R90" s="3798" t="s">
        <v>2394</v>
      </c>
      <c r="S90" s="3799" t="s">
        <v>268</v>
      </c>
      <c r="T90" s="3800"/>
    </row>
    <row r="91" spans="16:20" ht="45">
      <c r="P91" s="5138"/>
      <c r="Q91" s="5139"/>
      <c r="R91" s="3815" t="s">
        <v>417</v>
      </c>
      <c r="S91" s="3816" t="s">
        <v>267</v>
      </c>
      <c r="T91" s="3817" t="s">
        <v>2812</v>
      </c>
    </row>
    <row r="92" spans="16:20">
      <c r="P92" s="2970"/>
      <c r="Q92" s="2970"/>
      <c r="R92" s="2970"/>
      <c r="S92" s="5111" t="s">
        <v>2811</v>
      </c>
      <c r="T92" s="5111"/>
    </row>
    <row r="93" spans="16:20">
      <c r="P93" s="2971"/>
      <c r="Q93" s="2971"/>
      <c r="R93" s="2970"/>
      <c r="S93" s="5111"/>
      <c r="T93" s="5111"/>
    </row>
    <row r="94" spans="16:20">
      <c r="P94" s="2971"/>
      <c r="Q94" s="2971"/>
      <c r="R94" s="2970"/>
      <c r="S94" s="3597"/>
      <c r="T94" s="3597"/>
    </row>
    <row r="95" spans="16:20">
      <c r="P95" s="2972"/>
      <c r="Q95" s="2972"/>
      <c r="R95" s="2972"/>
      <c r="S95" s="2972"/>
      <c r="T95" s="2972"/>
    </row>
    <row r="96" spans="16:20" ht="15.75">
      <c r="P96" s="3847"/>
      <c r="Q96" s="3847"/>
      <c r="R96" s="3847"/>
      <c r="S96" s="3848"/>
      <c r="T96" s="3849" t="s">
        <v>2783</v>
      </c>
    </row>
    <row r="97" spans="16:20" ht="15.75" thickBot="1">
      <c r="P97" s="3850" t="s">
        <v>69</v>
      </c>
      <c r="Q97" s="3850" t="s">
        <v>476</v>
      </c>
      <c r="R97" s="3850" t="s">
        <v>2373</v>
      </c>
      <c r="S97" s="3851" t="s">
        <v>2374</v>
      </c>
      <c r="T97" s="3851" t="s">
        <v>2375</v>
      </c>
    </row>
    <row r="98" spans="16:20">
      <c r="P98" s="5125" t="s">
        <v>2376</v>
      </c>
      <c r="Q98" s="3818" t="s">
        <v>747</v>
      </c>
      <c r="R98" s="3796" t="s">
        <v>2395</v>
      </c>
      <c r="S98" s="3796"/>
      <c r="T98" s="3852" t="s">
        <v>2396</v>
      </c>
    </row>
    <row r="99" spans="16:20">
      <c r="P99" s="5125"/>
      <c r="Q99" s="5113" t="s">
        <v>252</v>
      </c>
      <c r="R99" s="3804" t="s">
        <v>287</v>
      </c>
      <c r="S99" s="3805" t="s">
        <v>267</v>
      </c>
      <c r="T99" s="3806"/>
    </row>
    <row r="100" spans="16:20">
      <c r="P100" s="5125"/>
      <c r="Q100" s="5113"/>
      <c r="R100" s="3804" t="s">
        <v>2397</v>
      </c>
      <c r="S100" s="3805" t="s">
        <v>268</v>
      </c>
      <c r="T100" s="3806"/>
    </row>
    <row r="101" spans="16:20">
      <c r="P101" s="5125"/>
      <c r="Q101" s="5113"/>
      <c r="R101" s="3804" t="s">
        <v>2398</v>
      </c>
      <c r="S101" s="3805" t="s">
        <v>267</v>
      </c>
      <c r="T101" s="3806"/>
    </row>
    <row r="102" spans="16:20">
      <c r="P102" s="5125"/>
      <c r="Q102" s="5113"/>
      <c r="R102" s="3804" t="s">
        <v>2399</v>
      </c>
      <c r="S102" s="3805" t="s">
        <v>268</v>
      </c>
      <c r="T102" s="3814"/>
    </row>
    <row r="103" spans="16:20">
      <c r="P103" s="5125"/>
      <c r="Q103" s="5113"/>
      <c r="R103" s="3804" t="s">
        <v>2400</v>
      </c>
      <c r="S103" s="3805" t="s">
        <v>267</v>
      </c>
      <c r="T103" s="3806"/>
    </row>
    <row r="104" spans="16:20">
      <c r="P104" s="5125"/>
      <c r="Q104" s="5113"/>
      <c r="R104" s="3804" t="s">
        <v>2401</v>
      </c>
      <c r="S104" s="3805" t="s">
        <v>267</v>
      </c>
      <c r="T104" s="3806"/>
    </row>
    <row r="105" spans="16:20">
      <c r="P105" s="5125"/>
      <c r="Q105" s="5113"/>
      <c r="R105" s="3804" t="s">
        <v>286</v>
      </c>
      <c r="S105" s="3805" t="s">
        <v>267</v>
      </c>
      <c r="T105" s="3806"/>
    </row>
    <row r="106" spans="16:20">
      <c r="P106" s="5125"/>
      <c r="Q106" s="5113"/>
      <c r="R106" s="3853" t="s">
        <v>2402</v>
      </c>
      <c r="S106" s="3805" t="s">
        <v>268</v>
      </c>
      <c r="T106" s="3854" t="s">
        <v>2396</v>
      </c>
    </row>
    <row r="107" spans="16:20">
      <c r="P107" s="5125"/>
      <c r="Q107" s="5118" t="s">
        <v>253</v>
      </c>
      <c r="R107" s="3798" t="s">
        <v>2403</v>
      </c>
      <c r="S107" s="3799"/>
      <c r="T107" s="3800"/>
    </row>
    <row r="108" spans="16:20">
      <c r="P108" s="5125"/>
      <c r="Q108" s="5118"/>
      <c r="R108" s="3798" t="s">
        <v>2404</v>
      </c>
      <c r="S108" s="3799" t="s">
        <v>267</v>
      </c>
      <c r="T108" s="3855"/>
    </row>
    <row r="109" spans="16:20">
      <c r="P109" s="5125"/>
      <c r="Q109" s="5118"/>
      <c r="R109" s="3798" t="s">
        <v>2405</v>
      </c>
      <c r="S109" s="3799" t="s">
        <v>268</v>
      </c>
      <c r="T109" s="3856"/>
    </row>
    <row r="110" spans="16:20">
      <c r="P110" s="5125"/>
      <c r="Q110" s="5118"/>
      <c r="R110" s="3798" t="s">
        <v>2406</v>
      </c>
      <c r="S110" s="3799" t="s">
        <v>267</v>
      </c>
      <c r="T110" s="3857"/>
    </row>
    <row r="111" spans="16:20">
      <c r="P111" s="5125"/>
      <c r="Q111" s="5118"/>
      <c r="R111" s="3798" t="s">
        <v>2407</v>
      </c>
      <c r="S111" s="3799" t="s">
        <v>267</v>
      </c>
      <c r="T111" s="3858"/>
    </row>
    <row r="112" spans="16:20">
      <c r="P112" s="5125"/>
      <c r="Q112" s="5118"/>
      <c r="R112" s="3798" t="s">
        <v>424</v>
      </c>
      <c r="S112" s="3799" t="s">
        <v>268</v>
      </c>
      <c r="T112" s="3856"/>
    </row>
    <row r="113" spans="16:20">
      <c r="P113" s="5126"/>
      <c r="Q113" s="5139"/>
      <c r="R113" s="3859" t="s">
        <v>2408</v>
      </c>
      <c r="S113" s="3816" t="s">
        <v>269</v>
      </c>
      <c r="T113" s="3860" t="s">
        <v>2396</v>
      </c>
    </row>
    <row r="114" spans="16:20">
      <c r="P114" s="5138" t="s">
        <v>2381</v>
      </c>
      <c r="Q114" s="3818" t="s">
        <v>747</v>
      </c>
      <c r="R114" s="3796" t="s">
        <v>288</v>
      </c>
      <c r="S114" s="3796"/>
      <c r="T114" s="3797"/>
    </row>
    <row r="115" spans="16:20">
      <c r="P115" s="5138"/>
      <c r="Q115" s="5113" t="s">
        <v>252</v>
      </c>
      <c r="R115" s="3804" t="s">
        <v>289</v>
      </c>
      <c r="S115" s="3805" t="s">
        <v>267</v>
      </c>
      <c r="T115" s="3814"/>
    </row>
    <row r="116" spans="16:20">
      <c r="P116" s="5138"/>
      <c r="Q116" s="5113"/>
      <c r="R116" s="3804" t="s">
        <v>290</v>
      </c>
      <c r="S116" s="3805" t="s">
        <v>266</v>
      </c>
      <c r="T116" s="3861"/>
    </row>
    <row r="117" spans="16:20">
      <c r="P117" s="5138"/>
      <c r="Q117" s="5113"/>
      <c r="R117" s="3804" t="s">
        <v>292</v>
      </c>
      <c r="S117" s="3805" t="s">
        <v>266</v>
      </c>
      <c r="T117" s="3807"/>
    </row>
    <row r="118" spans="16:20" ht="30">
      <c r="P118" s="5138"/>
      <c r="Q118" s="5113"/>
      <c r="R118" s="3804" t="s">
        <v>281</v>
      </c>
      <c r="S118" s="3805" t="s">
        <v>267</v>
      </c>
      <c r="T118" s="3807" t="s">
        <v>2386</v>
      </c>
    </row>
    <row r="119" spans="16:20">
      <c r="P119" s="5138"/>
      <c r="Q119" s="5113"/>
      <c r="R119" s="3804" t="s">
        <v>291</v>
      </c>
      <c r="S119" s="3799" t="s">
        <v>266</v>
      </c>
      <c r="T119" s="3807"/>
    </row>
    <row r="120" spans="16:20">
      <c r="P120" s="5138"/>
      <c r="Q120" s="5113"/>
      <c r="R120" s="3804" t="s">
        <v>2813</v>
      </c>
      <c r="S120" s="3805"/>
      <c r="T120" s="3807"/>
    </row>
    <row r="121" spans="16:20">
      <c r="P121" s="5138"/>
      <c r="Q121" s="5118" t="s">
        <v>253</v>
      </c>
      <c r="R121" s="3798" t="s">
        <v>295</v>
      </c>
      <c r="S121" s="3799" t="s">
        <v>266</v>
      </c>
      <c r="T121" s="3801"/>
    </row>
    <row r="122" spans="16:20" ht="30">
      <c r="P122" s="5138"/>
      <c r="Q122" s="5118"/>
      <c r="R122" s="3798" t="s">
        <v>285</v>
      </c>
      <c r="S122" s="3799" t="s">
        <v>268</v>
      </c>
      <c r="T122" s="3801" t="s">
        <v>2386</v>
      </c>
    </row>
    <row r="123" spans="16:20">
      <c r="P123" s="5138"/>
      <c r="Q123" s="5118"/>
      <c r="R123" s="3798" t="s">
        <v>293</v>
      </c>
      <c r="S123" s="3799" t="s">
        <v>267</v>
      </c>
      <c r="T123" s="3856"/>
    </row>
    <row r="124" spans="16:20">
      <c r="P124" s="5138"/>
      <c r="Q124" s="5118"/>
      <c r="R124" s="3798" t="s">
        <v>294</v>
      </c>
      <c r="S124" s="3799" t="s">
        <v>267</v>
      </c>
      <c r="T124" s="3800"/>
    </row>
    <row r="125" spans="16:20">
      <c r="P125" s="5138"/>
      <c r="Q125" s="5118"/>
      <c r="R125" s="3798" t="s">
        <v>296</v>
      </c>
      <c r="S125" s="3799" t="s">
        <v>266</v>
      </c>
      <c r="T125" s="3800"/>
    </row>
    <row r="126" spans="16:20">
      <c r="P126" s="5138"/>
      <c r="Q126" s="5118"/>
      <c r="R126" s="3798" t="s">
        <v>2813</v>
      </c>
      <c r="S126" s="3799"/>
      <c r="T126" s="3800"/>
    </row>
    <row r="127" spans="16:20" ht="30">
      <c r="P127" s="5138"/>
      <c r="Q127" s="5139"/>
      <c r="R127" s="3815" t="s">
        <v>2364</v>
      </c>
      <c r="S127" s="3862"/>
      <c r="T127" s="3817" t="s">
        <v>2386</v>
      </c>
    </row>
    <row r="128" spans="16:20">
      <c r="P128" s="5138" t="s">
        <v>2409</v>
      </c>
      <c r="Q128" s="5140" t="s">
        <v>2809</v>
      </c>
      <c r="R128" s="3796" t="s">
        <v>297</v>
      </c>
      <c r="S128" s="3796"/>
      <c r="T128" s="3797"/>
    </row>
    <row r="129" spans="16:20">
      <c r="P129" s="5138"/>
      <c r="Q129" s="5118"/>
      <c r="R129" s="3798" t="s">
        <v>298</v>
      </c>
      <c r="S129" s="3799"/>
      <c r="T129" s="3800"/>
    </row>
    <row r="130" spans="16:20">
      <c r="P130" s="5138"/>
      <c r="Q130" s="5118"/>
      <c r="R130" s="3798" t="s">
        <v>2395</v>
      </c>
      <c r="S130" s="3799"/>
      <c r="T130" s="3863" t="s">
        <v>2410</v>
      </c>
    </row>
    <row r="131" spans="16:20">
      <c r="P131" s="5138"/>
      <c r="Q131" s="5113" t="s">
        <v>252</v>
      </c>
      <c r="R131" s="3804" t="s">
        <v>299</v>
      </c>
      <c r="S131" s="3805" t="s">
        <v>267</v>
      </c>
      <c r="T131" s="3864"/>
    </row>
    <row r="132" spans="16:20">
      <c r="P132" s="5138"/>
      <c r="Q132" s="5113"/>
      <c r="R132" s="3804" t="s">
        <v>2411</v>
      </c>
      <c r="S132" s="3805" t="s">
        <v>267</v>
      </c>
      <c r="T132" s="3864"/>
    </row>
    <row r="133" spans="16:20">
      <c r="P133" s="5138"/>
      <c r="Q133" s="5113"/>
      <c r="R133" s="3804" t="s">
        <v>300</v>
      </c>
      <c r="S133" s="3805" t="s">
        <v>267</v>
      </c>
      <c r="T133" s="3864"/>
    </row>
    <row r="134" spans="16:20">
      <c r="P134" s="5125"/>
      <c r="Q134" s="5113"/>
      <c r="R134" s="3804" t="s">
        <v>503</v>
      </c>
      <c r="S134" s="3805" t="s">
        <v>268</v>
      </c>
      <c r="T134" s="3812"/>
    </row>
    <row r="135" spans="16:20">
      <c r="P135" s="5125"/>
      <c r="Q135" s="5113"/>
      <c r="R135" s="3853" t="s">
        <v>2402</v>
      </c>
      <c r="S135" s="3805" t="s">
        <v>269</v>
      </c>
      <c r="T135" s="3865" t="s">
        <v>2410</v>
      </c>
    </row>
    <row r="136" spans="16:20">
      <c r="P136" s="5125"/>
      <c r="Q136" s="5118" t="s">
        <v>253</v>
      </c>
      <c r="R136" s="3798" t="s">
        <v>301</v>
      </c>
      <c r="S136" s="3799" t="s">
        <v>266</v>
      </c>
      <c r="T136" s="3866"/>
    </row>
    <row r="137" spans="16:20">
      <c r="P137" s="5125"/>
      <c r="Q137" s="5118"/>
      <c r="R137" s="3798" t="s">
        <v>2412</v>
      </c>
      <c r="S137" s="3799" t="s">
        <v>267</v>
      </c>
      <c r="T137" s="3866"/>
    </row>
    <row r="138" spans="16:20">
      <c r="P138" s="5125"/>
      <c r="Q138" s="5118"/>
      <c r="R138" s="3867" t="s">
        <v>2408</v>
      </c>
      <c r="S138" s="3799" t="s">
        <v>269</v>
      </c>
      <c r="T138" s="3863" t="s">
        <v>2410</v>
      </c>
    </row>
    <row r="139" spans="16:20" ht="45">
      <c r="P139" s="5126"/>
      <c r="Q139" s="5139"/>
      <c r="R139" s="3815" t="s">
        <v>417</v>
      </c>
      <c r="S139" s="3816" t="s">
        <v>267</v>
      </c>
      <c r="T139" s="3817" t="s">
        <v>2814</v>
      </c>
    </row>
    <row r="140" spans="16:20">
      <c r="P140" s="5132" t="s">
        <v>2804</v>
      </c>
      <c r="Q140" s="3868" t="s">
        <v>747</v>
      </c>
      <c r="R140" s="3843" t="s">
        <v>2395</v>
      </c>
      <c r="S140" s="3844"/>
      <c r="T140" s="3869"/>
    </row>
    <row r="141" spans="16:20">
      <c r="P141" s="5125"/>
      <c r="Q141" s="3870" t="s">
        <v>252</v>
      </c>
      <c r="R141" s="3853" t="s">
        <v>2402</v>
      </c>
      <c r="S141" s="3805" t="s">
        <v>268</v>
      </c>
      <c r="T141" s="3801"/>
    </row>
    <row r="142" spans="16:20">
      <c r="P142" s="5126"/>
      <c r="Q142" s="3862" t="s">
        <v>253</v>
      </c>
      <c r="R142" s="3859" t="s">
        <v>2408</v>
      </c>
      <c r="S142" s="3816" t="s">
        <v>269</v>
      </c>
      <c r="T142" s="3817"/>
    </row>
    <row r="143" spans="16:20">
      <c r="P143" s="2971"/>
      <c r="Q143" s="2971"/>
      <c r="R143" s="2970"/>
      <c r="S143" s="5111" t="s">
        <v>2811</v>
      </c>
      <c r="T143" s="5111"/>
    </row>
    <row r="144" spans="16:20">
      <c r="P144" s="2970"/>
      <c r="Q144" s="2970"/>
      <c r="R144" s="2970"/>
      <c r="S144" s="5111"/>
      <c r="T144" s="5111"/>
    </row>
    <row r="145" spans="16:20">
      <c r="P145" s="2970"/>
      <c r="Q145" s="2970"/>
      <c r="R145" s="2970"/>
      <c r="S145" s="3597"/>
      <c r="T145" s="3597"/>
    </row>
    <row r="146" spans="16:20">
      <c r="P146" s="2972"/>
      <c r="Q146" s="2972"/>
      <c r="R146" s="2972"/>
      <c r="S146" s="2972"/>
      <c r="T146" s="2972"/>
    </row>
    <row r="147" spans="16:20" ht="15.75">
      <c r="P147" s="2971"/>
      <c r="Q147" s="2971"/>
      <c r="R147" s="3827"/>
      <c r="S147" s="3828"/>
      <c r="T147" s="3871" t="s">
        <v>2789</v>
      </c>
    </row>
    <row r="148" spans="16:20" ht="15.75" thickBot="1">
      <c r="P148" s="3872" t="s">
        <v>69</v>
      </c>
      <c r="Q148" s="3872" t="s">
        <v>476</v>
      </c>
      <c r="R148" s="3873"/>
      <c r="S148" s="3874" t="s">
        <v>2374</v>
      </c>
      <c r="T148" s="3874" t="s">
        <v>2375</v>
      </c>
    </row>
    <row r="149" spans="16:20" ht="45">
      <c r="P149" s="3837" t="s">
        <v>2409</v>
      </c>
      <c r="Q149" s="3875" t="s">
        <v>253</v>
      </c>
      <c r="R149" s="3815" t="s">
        <v>417</v>
      </c>
      <c r="S149" s="3816" t="s">
        <v>267</v>
      </c>
      <c r="T149" s="3817" t="s">
        <v>2814</v>
      </c>
    </row>
    <row r="150" spans="16:20">
      <c r="P150" s="2972"/>
      <c r="Q150" s="2972"/>
      <c r="R150" s="2972"/>
      <c r="S150" s="5111" t="s">
        <v>2811</v>
      </c>
      <c r="T150" s="5111"/>
    </row>
    <row r="151" spans="16:20">
      <c r="P151" s="2972"/>
      <c r="Q151" s="2972"/>
      <c r="R151" s="2972"/>
      <c r="S151" s="5111"/>
      <c r="T151" s="5111"/>
    </row>
    <row r="152" spans="16:20">
      <c r="P152" s="2972"/>
      <c r="Q152" s="2972"/>
      <c r="R152" s="2972"/>
      <c r="S152" s="3597"/>
      <c r="T152" s="3597"/>
    </row>
    <row r="153" spans="16:20">
      <c r="P153" s="2972"/>
      <c r="Q153" s="2972"/>
      <c r="R153" s="2972"/>
      <c r="S153" s="2972"/>
      <c r="T153" s="2972"/>
    </row>
    <row r="154" spans="16:20" ht="15.75">
      <c r="P154" s="2971"/>
      <c r="Q154" s="2971"/>
      <c r="R154" s="3827"/>
      <c r="S154" s="3828"/>
      <c r="T154" s="3876" t="s">
        <v>2795</v>
      </c>
    </row>
    <row r="155" spans="16:20" ht="15.75" thickBot="1">
      <c r="P155" s="3877" t="s">
        <v>69</v>
      </c>
      <c r="Q155" s="3878" t="s">
        <v>476</v>
      </c>
      <c r="R155" s="3878" t="s">
        <v>2373</v>
      </c>
      <c r="S155" s="3879" t="s">
        <v>2374</v>
      </c>
      <c r="T155" s="3878" t="s">
        <v>2375</v>
      </c>
    </row>
    <row r="156" spans="16:20">
      <c r="P156" s="5114" t="s">
        <v>2381</v>
      </c>
      <c r="Q156" s="3818" t="s">
        <v>747</v>
      </c>
      <c r="R156" s="3796" t="s">
        <v>2413</v>
      </c>
      <c r="S156" s="3796"/>
      <c r="T156" s="3797"/>
    </row>
    <row r="157" spans="16:20">
      <c r="P157" s="5115"/>
      <c r="Q157" s="5113" t="s">
        <v>252</v>
      </c>
      <c r="R157" s="3804" t="s">
        <v>302</v>
      </c>
      <c r="S157" s="3805" t="s">
        <v>268</v>
      </c>
      <c r="T157" s="3806"/>
    </row>
    <row r="158" spans="16:20">
      <c r="P158" s="5115"/>
      <c r="Q158" s="5113"/>
      <c r="R158" s="3804" t="s">
        <v>2414</v>
      </c>
      <c r="S158" s="3805" t="s">
        <v>267</v>
      </c>
      <c r="T158" s="3806"/>
    </row>
    <row r="159" spans="16:20">
      <c r="P159" s="5115"/>
      <c r="Q159" s="5113"/>
      <c r="R159" s="3804" t="s">
        <v>303</v>
      </c>
      <c r="S159" s="3805" t="s">
        <v>267</v>
      </c>
      <c r="T159" s="3806"/>
    </row>
    <row r="160" spans="16:20">
      <c r="P160" s="5115"/>
      <c r="Q160" s="5113"/>
      <c r="R160" s="3804" t="s">
        <v>418</v>
      </c>
      <c r="S160" s="3805" t="s">
        <v>268</v>
      </c>
      <c r="T160" s="3806"/>
    </row>
    <row r="161" spans="16:20">
      <c r="P161" s="5115"/>
      <c r="Q161" s="5113"/>
      <c r="R161" s="3804" t="s">
        <v>304</v>
      </c>
      <c r="S161" s="3805" t="s">
        <v>2415</v>
      </c>
      <c r="T161" s="3806"/>
    </row>
    <row r="162" spans="16:20">
      <c r="P162" s="5115"/>
      <c r="Q162" s="5113"/>
      <c r="R162" s="3804" t="s">
        <v>2416</v>
      </c>
      <c r="S162" s="3805" t="s">
        <v>267</v>
      </c>
      <c r="T162" s="3806"/>
    </row>
    <row r="163" spans="16:20">
      <c r="P163" s="5115"/>
      <c r="Q163" s="5113"/>
      <c r="R163" s="3804" t="s">
        <v>305</v>
      </c>
      <c r="S163" s="3805" t="s">
        <v>2415</v>
      </c>
      <c r="T163" s="3806"/>
    </row>
    <row r="164" spans="16:20">
      <c r="P164" s="5115"/>
      <c r="Q164" s="5113"/>
      <c r="R164" s="3804" t="s">
        <v>2417</v>
      </c>
      <c r="S164" s="3805" t="s">
        <v>267</v>
      </c>
      <c r="T164" s="3813"/>
    </row>
    <row r="165" spans="16:20">
      <c r="P165" s="5115"/>
      <c r="Q165" s="5113"/>
      <c r="R165" s="3804" t="s">
        <v>2418</v>
      </c>
      <c r="S165" s="3880"/>
      <c r="T165" s="3881"/>
    </row>
    <row r="166" spans="16:20" ht="30">
      <c r="P166" s="5115"/>
      <c r="Q166" s="5113"/>
      <c r="R166" s="3804" t="s">
        <v>281</v>
      </c>
      <c r="S166" s="3805" t="s">
        <v>267</v>
      </c>
      <c r="T166" s="3807" t="s">
        <v>2386</v>
      </c>
    </row>
    <row r="167" spans="16:20" ht="30">
      <c r="P167" s="5115"/>
      <c r="Q167" s="5118" t="s">
        <v>253</v>
      </c>
      <c r="R167" s="3798" t="s">
        <v>285</v>
      </c>
      <c r="S167" s="3799" t="s">
        <v>268</v>
      </c>
      <c r="T167" s="3801" t="s">
        <v>2386</v>
      </c>
    </row>
    <row r="168" spans="16:20">
      <c r="P168" s="5115"/>
      <c r="Q168" s="5118"/>
      <c r="R168" s="3798" t="s">
        <v>306</v>
      </c>
      <c r="S168" s="3799" t="s">
        <v>267</v>
      </c>
      <c r="T168" s="3800"/>
    </row>
    <row r="169" spans="16:20">
      <c r="P169" s="5115"/>
      <c r="Q169" s="5118"/>
      <c r="R169" s="3798" t="s">
        <v>307</v>
      </c>
      <c r="S169" s="3799" t="s">
        <v>268</v>
      </c>
      <c r="T169" s="3801"/>
    </row>
    <row r="170" spans="16:20">
      <c r="P170" s="5115"/>
      <c r="Q170" s="5118"/>
      <c r="R170" s="3798" t="s">
        <v>293</v>
      </c>
      <c r="S170" s="3799"/>
      <c r="T170" s="3801"/>
    </row>
    <row r="171" spans="16:20">
      <c r="P171" s="5115"/>
      <c r="Q171" s="5118"/>
      <c r="R171" s="3798" t="s">
        <v>2507</v>
      </c>
      <c r="S171" s="3799"/>
      <c r="T171" s="3882" t="s">
        <v>2815</v>
      </c>
    </row>
    <row r="172" spans="16:20" ht="30">
      <c r="P172" s="5116"/>
      <c r="Q172" s="5139"/>
      <c r="R172" s="3815" t="s">
        <v>2364</v>
      </c>
      <c r="S172" s="3816"/>
      <c r="T172" s="3817" t="s">
        <v>2386</v>
      </c>
    </row>
    <row r="173" spans="16:20">
      <c r="P173" s="5132" t="s">
        <v>2409</v>
      </c>
      <c r="Q173" s="3870" t="s">
        <v>747</v>
      </c>
      <c r="R173" s="3798" t="s">
        <v>2419</v>
      </c>
      <c r="S173" s="3799"/>
      <c r="T173" s="3855"/>
    </row>
    <row r="174" spans="16:20">
      <c r="P174" s="5125"/>
      <c r="Q174" s="5113" t="s">
        <v>252</v>
      </c>
      <c r="R174" s="3804" t="s">
        <v>2420</v>
      </c>
      <c r="S174" s="3805" t="s">
        <v>268</v>
      </c>
      <c r="T174" s="3883"/>
    </row>
    <row r="175" spans="16:20">
      <c r="P175" s="5125"/>
      <c r="Q175" s="5113"/>
      <c r="R175" s="3884" t="s">
        <v>348</v>
      </c>
      <c r="S175" s="3805"/>
      <c r="T175" s="3806"/>
    </row>
    <row r="176" spans="16:20">
      <c r="P176" s="5125"/>
      <c r="Q176" s="5113"/>
      <c r="R176" s="3804" t="s">
        <v>309</v>
      </c>
      <c r="S176" s="3805" t="s">
        <v>268</v>
      </c>
      <c r="T176" s="3806"/>
    </row>
    <row r="177" spans="16:20">
      <c r="P177" s="5125"/>
      <c r="Q177" s="5113"/>
      <c r="R177" s="3804" t="s">
        <v>310</v>
      </c>
      <c r="S177" s="3805" t="s">
        <v>267</v>
      </c>
      <c r="T177" s="3806"/>
    </row>
    <row r="178" spans="16:20">
      <c r="P178" s="5125"/>
      <c r="Q178" s="5113"/>
      <c r="R178" s="3804" t="s">
        <v>311</v>
      </c>
      <c r="S178" s="3805"/>
      <c r="T178" s="3885"/>
    </row>
    <row r="179" spans="16:20">
      <c r="P179" s="5125"/>
      <c r="Q179" s="5113"/>
      <c r="R179" s="3804" t="s">
        <v>312</v>
      </c>
      <c r="S179" s="3805" t="s">
        <v>267</v>
      </c>
      <c r="T179" s="3806"/>
    </row>
    <row r="180" spans="16:20">
      <c r="P180" s="5125"/>
      <c r="Q180" s="5113"/>
      <c r="R180" s="3804" t="s">
        <v>2421</v>
      </c>
      <c r="S180" s="3805" t="s">
        <v>267</v>
      </c>
      <c r="T180" s="3812"/>
    </row>
    <row r="181" spans="16:20">
      <c r="P181" s="5125"/>
      <c r="Q181" s="5113"/>
      <c r="R181" s="3804" t="s">
        <v>711</v>
      </c>
      <c r="S181" s="3886"/>
      <c r="T181" s="3814"/>
    </row>
    <row r="182" spans="16:20">
      <c r="P182" s="5125"/>
      <c r="Q182" s="5113"/>
      <c r="R182" s="3887" t="s">
        <v>2511</v>
      </c>
      <c r="S182" s="3805"/>
      <c r="T182" s="3888" t="s">
        <v>2449</v>
      </c>
    </row>
    <row r="183" spans="16:20">
      <c r="P183" s="5125"/>
      <c r="Q183" s="5118" t="s">
        <v>253</v>
      </c>
      <c r="R183" s="3798" t="s">
        <v>615</v>
      </c>
      <c r="S183" s="3799" t="s">
        <v>269</v>
      </c>
      <c r="T183" s="3889"/>
    </row>
    <row r="184" spans="16:20">
      <c r="P184" s="5125"/>
      <c r="Q184" s="5118"/>
      <c r="R184" s="3798" t="s">
        <v>313</v>
      </c>
      <c r="S184" s="3799" t="s">
        <v>267</v>
      </c>
      <c r="T184" s="3855"/>
    </row>
    <row r="185" spans="16:20" ht="45">
      <c r="P185" s="5126"/>
      <c r="Q185" s="5139"/>
      <c r="R185" s="3815" t="s">
        <v>417</v>
      </c>
      <c r="S185" s="3816" t="s">
        <v>267</v>
      </c>
      <c r="T185" s="3817" t="s">
        <v>2812</v>
      </c>
    </row>
    <row r="186" spans="16:20">
      <c r="P186" s="5141" t="s">
        <v>2389</v>
      </c>
      <c r="Q186" s="5112" t="s">
        <v>252</v>
      </c>
      <c r="R186" s="3890" t="s">
        <v>314</v>
      </c>
      <c r="S186" s="3891" t="s">
        <v>267</v>
      </c>
      <c r="T186" s="3892"/>
    </row>
    <row r="187" spans="16:20">
      <c r="P187" s="5115"/>
      <c r="Q187" s="5113"/>
      <c r="R187" s="3804" t="s">
        <v>2422</v>
      </c>
      <c r="S187" s="3805" t="s">
        <v>268</v>
      </c>
      <c r="T187" s="3814"/>
    </row>
    <row r="188" spans="16:20">
      <c r="P188" s="5115"/>
      <c r="Q188" s="5113"/>
      <c r="R188" s="3804" t="s">
        <v>2423</v>
      </c>
      <c r="S188" s="3805"/>
      <c r="T188" s="3806"/>
    </row>
    <row r="189" spans="16:20">
      <c r="P189" s="5116"/>
      <c r="Q189" s="3862" t="s">
        <v>253</v>
      </c>
      <c r="R189" s="3815" t="s">
        <v>315</v>
      </c>
      <c r="S189" s="3816" t="s">
        <v>268</v>
      </c>
      <c r="T189" s="3893"/>
    </row>
    <row r="190" spans="16:20">
      <c r="P190" s="2970"/>
      <c r="Q190" s="2970"/>
      <c r="R190" s="2970"/>
      <c r="S190" s="5111" t="s">
        <v>2811</v>
      </c>
      <c r="T190" s="5111"/>
    </row>
    <row r="191" spans="16:20">
      <c r="P191" s="2971"/>
      <c r="Q191" s="2971"/>
      <c r="R191" s="2970"/>
      <c r="S191" s="5111"/>
      <c r="T191" s="5111"/>
    </row>
    <row r="192" spans="16:20">
      <c r="P192" s="2972"/>
      <c r="Q192" s="2972"/>
      <c r="R192" s="2972"/>
      <c r="S192" s="2972"/>
      <c r="T192" s="2972"/>
    </row>
    <row r="193" spans="16:20">
      <c r="P193" s="2972"/>
      <c r="Q193" s="2972"/>
      <c r="R193" s="2972"/>
      <c r="S193" s="2972"/>
      <c r="T193" s="2972"/>
    </row>
    <row r="194" spans="16:20" ht="15.75">
      <c r="P194" s="3894"/>
      <c r="Q194" s="3894"/>
      <c r="R194" s="3895"/>
      <c r="S194" s="3896"/>
      <c r="T194" s="3897" t="s">
        <v>2816</v>
      </c>
    </row>
    <row r="195" spans="16:20" ht="15.75" thickBot="1">
      <c r="P195" s="3898" t="s">
        <v>69</v>
      </c>
      <c r="Q195" s="3898" t="s">
        <v>476</v>
      </c>
      <c r="R195" s="3899" t="s">
        <v>2373</v>
      </c>
      <c r="S195" s="3900" t="s">
        <v>2374</v>
      </c>
      <c r="T195" s="3900" t="s">
        <v>2375</v>
      </c>
    </row>
    <row r="196" spans="16:20" ht="30">
      <c r="P196" s="5114" t="s">
        <v>16</v>
      </c>
      <c r="Q196" s="5117" t="s">
        <v>252</v>
      </c>
      <c r="R196" s="3796" t="s">
        <v>281</v>
      </c>
      <c r="S196" s="3820" t="s">
        <v>267</v>
      </c>
      <c r="T196" s="3901" t="s">
        <v>2386</v>
      </c>
    </row>
    <row r="197" spans="16:20" ht="30">
      <c r="P197" s="5115"/>
      <c r="Q197" s="5118"/>
      <c r="R197" s="3798" t="s">
        <v>2364</v>
      </c>
      <c r="S197" s="3799"/>
      <c r="T197" s="3801" t="s">
        <v>2386</v>
      </c>
    </row>
    <row r="198" spans="16:20" ht="30">
      <c r="P198" s="5115"/>
      <c r="Q198" s="5113" t="s">
        <v>253</v>
      </c>
      <c r="R198" s="3804" t="s">
        <v>285</v>
      </c>
      <c r="S198" s="3805" t="s">
        <v>268</v>
      </c>
      <c r="T198" s="3807" t="s">
        <v>2386</v>
      </c>
    </row>
    <row r="199" spans="16:20" ht="30">
      <c r="P199" s="5116"/>
      <c r="Q199" s="5119"/>
      <c r="R199" s="3808" t="s">
        <v>2364</v>
      </c>
      <c r="S199" s="3809"/>
      <c r="T199" s="3902" t="s">
        <v>2386</v>
      </c>
    </row>
    <row r="200" spans="16:20" ht="45">
      <c r="P200" s="3837" t="s">
        <v>2424</v>
      </c>
      <c r="Q200" s="3838" t="s">
        <v>253</v>
      </c>
      <c r="R200" s="3839" t="s">
        <v>417</v>
      </c>
      <c r="S200" s="3840" t="s">
        <v>267</v>
      </c>
      <c r="T200" s="3903" t="s">
        <v>2814</v>
      </c>
    </row>
    <row r="201" spans="16:20">
      <c r="P201" s="2970"/>
      <c r="Q201" s="2970"/>
      <c r="R201" s="2970"/>
      <c r="S201" s="5111" t="s">
        <v>2811</v>
      </c>
      <c r="T201" s="5111"/>
    </row>
    <row r="202" spans="16:20">
      <c r="P202" s="2971"/>
      <c r="Q202" s="2971"/>
      <c r="R202" s="2970"/>
      <c r="S202" s="5111"/>
      <c r="T202" s="5111"/>
    </row>
  </sheetData>
  <mergeCells count="45">
    <mergeCell ref="P173:P185"/>
    <mergeCell ref="Q174:Q182"/>
    <mergeCell ref="Q183:Q185"/>
    <mergeCell ref="P186:P189"/>
    <mergeCell ref="P140:P142"/>
    <mergeCell ref="S143:T144"/>
    <mergeCell ref="S150:T151"/>
    <mergeCell ref="P156:P172"/>
    <mergeCell ref="Q157:Q166"/>
    <mergeCell ref="Q167:Q172"/>
    <mergeCell ref="P128:P139"/>
    <mergeCell ref="Q99:Q106"/>
    <mergeCell ref="Q107:Q113"/>
    <mergeCell ref="Q115:Q120"/>
    <mergeCell ref="Q121:Q127"/>
    <mergeCell ref="Q128:Q130"/>
    <mergeCell ref="Q131:Q135"/>
    <mergeCell ref="Q136:Q139"/>
    <mergeCell ref="P88:P91"/>
    <mergeCell ref="Q90:Q91"/>
    <mergeCell ref="S92:T93"/>
    <mergeCell ref="P98:P113"/>
    <mergeCell ref="P114:P127"/>
    <mergeCell ref="P66:P78"/>
    <mergeCell ref="Q67:Q72"/>
    <mergeCell ref="Q73:Q78"/>
    <mergeCell ref="S79:T80"/>
    <mergeCell ref="P85:P86"/>
    <mergeCell ref="Q40:Q46"/>
    <mergeCell ref="Q47:Q51"/>
    <mergeCell ref="P52:P65"/>
    <mergeCell ref="Q52:Q54"/>
    <mergeCell ref="Q55:Q61"/>
    <mergeCell ref="Q62:Q65"/>
    <mergeCell ref="A2:M2"/>
    <mergeCell ref="B4:D4"/>
    <mergeCell ref="G4:J4"/>
    <mergeCell ref="N4:O4"/>
    <mergeCell ref="P40:P51"/>
    <mergeCell ref="S201:T202"/>
    <mergeCell ref="Q186:Q188"/>
    <mergeCell ref="S190:T191"/>
    <mergeCell ref="P196:P199"/>
    <mergeCell ref="Q196:Q197"/>
    <mergeCell ref="Q198:Q199"/>
  </mergeCells>
  <pageMargins left="0.70866141732283472" right="0.70866141732283472" top="0.74803149606299213" bottom="0.74803149606299213" header="0.31496062992125984" footer="0.31496062992125984"/>
  <pageSetup scale="76" orientation="landscape" r:id="rId1"/>
  <drawing r:id="rId2"/>
</worksheet>
</file>

<file path=xl/worksheets/sheet25.xml><?xml version="1.0" encoding="utf-8"?>
<worksheet xmlns="http://schemas.openxmlformats.org/spreadsheetml/2006/main" xmlns:r="http://schemas.openxmlformats.org/officeDocument/2006/relationships">
  <sheetPr>
    <tabColor theme="9" tint="-0.499984740745262"/>
    <pageSetUpPr fitToPage="1"/>
  </sheetPr>
  <dimension ref="A1:BI185"/>
  <sheetViews>
    <sheetView zoomScaleNormal="100" workbookViewId="0">
      <pane xSplit="3" ySplit="3" topLeftCell="AU4" activePane="bottomRight" state="frozen"/>
      <selection activeCell="AW107" sqref="AW107"/>
      <selection pane="topRight" activeCell="AW107" sqref="AW107"/>
      <selection pane="bottomLeft" activeCell="AW107" sqref="AW107"/>
      <selection pane="bottomRight" activeCell="BA107" sqref="BA107"/>
    </sheetView>
  </sheetViews>
  <sheetFormatPr baseColWidth="10" defaultRowHeight="12"/>
  <cols>
    <col min="1" max="1" width="3.7109375" style="1748" customWidth="1"/>
    <col min="2" max="2" width="33.7109375" style="1802" customWidth="1"/>
    <col min="3" max="3" width="15.7109375" style="1803" customWidth="1"/>
    <col min="4" max="4" width="6.7109375" style="1749" bestFit="1" customWidth="1"/>
    <col min="5" max="11" width="6.7109375" style="1749" customWidth="1"/>
    <col min="12" max="12" width="8" style="1749" customWidth="1"/>
    <col min="13" max="13" width="8.5703125" style="1749" customWidth="1"/>
    <col min="14" max="14" width="7.5703125" style="1749" customWidth="1"/>
    <col min="15" max="15" width="8.42578125" style="1749" bestFit="1" customWidth="1"/>
    <col min="16" max="16" width="8.42578125" style="1749" customWidth="1"/>
    <col min="17" max="17" width="6.7109375" style="1749" customWidth="1"/>
    <col min="18" max="18" width="7.42578125" style="1749" customWidth="1"/>
    <col min="19" max="20" width="6.7109375" style="1749" customWidth="1"/>
    <col min="21" max="21" width="8.85546875" style="1749" customWidth="1"/>
    <col min="22" max="22" width="6.7109375" style="1804" customWidth="1"/>
    <col min="23" max="24" width="6.7109375" style="1749" customWidth="1"/>
    <col min="25" max="25" width="6.7109375" style="1804" customWidth="1"/>
    <col min="26" max="26" width="6.7109375" style="1749" customWidth="1"/>
    <col min="27" max="27" width="7.85546875" style="1749" customWidth="1"/>
    <col min="28" max="31" width="6.7109375" style="1749" customWidth="1"/>
    <col min="32" max="32" width="9.140625" style="1749" customWidth="1"/>
    <col min="33" max="33" width="8" style="1749" customWidth="1"/>
    <col min="34" max="34" width="7.42578125" style="1749" customWidth="1"/>
    <col min="35" max="35" width="8.140625" style="1749" customWidth="1"/>
    <col min="36" max="37" width="6.7109375" style="1749" customWidth="1"/>
    <col min="38" max="38" width="8.85546875" style="1749" customWidth="1"/>
    <col min="39" max="39" width="6.7109375" style="1749" customWidth="1"/>
    <col min="40" max="40" width="6.7109375" style="1749" hidden="1" customWidth="1"/>
    <col min="41" max="52" width="6.7109375" style="1749" customWidth="1"/>
    <col min="53" max="55" width="9.7109375" style="1748" customWidth="1"/>
    <col min="56" max="56" width="7.5703125" style="1748" customWidth="1"/>
    <col min="57" max="58" width="8.85546875" style="1748" customWidth="1"/>
    <col min="59" max="61" width="8.85546875" style="1749" customWidth="1"/>
    <col min="62" max="16384" width="11.42578125" style="1749"/>
  </cols>
  <sheetData>
    <row r="1" spans="1:61" ht="18.75">
      <c r="B1" s="5142" t="s">
        <v>1718</v>
      </c>
      <c r="C1" s="5142"/>
      <c r="D1" s="5142"/>
      <c r="E1" s="5142"/>
      <c r="F1" s="5142"/>
      <c r="G1" s="5142"/>
      <c r="H1" s="5142"/>
      <c r="I1" s="5142"/>
      <c r="J1" s="5142"/>
      <c r="K1" s="5142"/>
      <c r="L1" s="5142"/>
      <c r="M1" s="5142"/>
      <c r="N1" s="5142"/>
      <c r="O1" s="5142"/>
      <c r="P1" s="5142"/>
      <c r="Q1" s="5142"/>
      <c r="R1" s="5142"/>
      <c r="S1" s="5142"/>
      <c r="T1" s="5142"/>
      <c r="U1" s="5142"/>
      <c r="V1" s="5142"/>
      <c r="W1" s="5142"/>
      <c r="X1" s="5142"/>
      <c r="Y1" s="5142"/>
      <c r="Z1" s="5142"/>
      <c r="AA1" s="5142"/>
      <c r="AB1" s="5142"/>
      <c r="AC1" s="5142"/>
      <c r="AD1" s="5142"/>
      <c r="AE1" s="5142"/>
      <c r="AF1" s="5142"/>
      <c r="AG1" s="5142"/>
      <c r="AH1" s="5142"/>
      <c r="AI1" s="5142"/>
      <c r="AJ1" s="5142"/>
      <c r="AK1" s="5142"/>
      <c r="AL1" s="5142"/>
      <c r="AM1" s="5142"/>
      <c r="AN1" s="5142"/>
      <c r="AO1" s="5142"/>
      <c r="AP1" s="5142"/>
      <c r="AQ1" s="5142"/>
      <c r="AR1" s="5142"/>
      <c r="AS1" s="5142"/>
      <c r="AT1" s="5142"/>
      <c r="AU1" s="5142"/>
      <c r="AV1" s="5142"/>
      <c r="AW1" s="5142"/>
      <c r="AX1" s="5142"/>
      <c r="AY1" s="5142"/>
      <c r="AZ1" s="5142"/>
      <c r="BA1" s="5142"/>
      <c r="BB1" s="5142"/>
      <c r="BC1" s="5142"/>
      <c r="BD1" s="347"/>
    </row>
    <row r="2" spans="1:61" ht="15">
      <c r="B2" s="244"/>
      <c r="C2" s="1750"/>
      <c r="D2" s="348"/>
      <c r="E2" s="348"/>
      <c r="F2" s="348"/>
      <c r="G2" s="348"/>
      <c r="H2" s="348"/>
      <c r="I2" s="348"/>
      <c r="J2" s="348"/>
      <c r="K2" s="348"/>
      <c r="L2" s="348"/>
      <c r="M2" s="348"/>
      <c r="N2" s="348"/>
      <c r="O2" s="348"/>
      <c r="P2" s="348"/>
      <c r="Q2" s="348"/>
      <c r="R2" s="348"/>
      <c r="S2" s="348"/>
      <c r="T2" s="348"/>
      <c r="U2" s="348"/>
      <c r="V2" s="349"/>
      <c r="W2" s="348"/>
      <c r="X2" s="348"/>
      <c r="Y2" s="349"/>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7"/>
      <c r="BB2" s="1751"/>
      <c r="BC2" s="347"/>
      <c r="BD2" s="347"/>
    </row>
    <row r="3" spans="1:61" s="1756" customFormat="1" ht="84">
      <c r="A3" s="1752"/>
      <c r="B3" s="1753" t="s">
        <v>190</v>
      </c>
      <c r="C3" s="2469" t="s">
        <v>1719</v>
      </c>
      <c r="D3" s="2470" t="s">
        <v>587</v>
      </c>
      <c r="E3" s="2470" t="s">
        <v>895</v>
      </c>
      <c r="F3" s="2470" t="s">
        <v>896</v>
      </c>
      <c r="G3" s="2471" t="s">
        <v>897</v>
      </c>
      <c r="H3" s="2470" t="s">
        <v>588</v>
      </c>
      <c r="I3" s="2470" t="s">
        <v>589</v>
      </c>
      <c r="J3" s="2470" t="s">
        <v>590</v>
      </c>
      <c r="K3" s="2470" t="s">
        <v>591</v>
      </c>
      <c r="L3" s="2470" t="s">
        <v>592</v>
      </c>
      <c r="M3" s="2470" t="s">
        <v>593</v>
      </c>
      <c r="N3" s="2470" t="s">
        <v>594</v>
      </c>
      <c r="O3" s="2470" t="s">
        <v>595</v>
      </c>
      <c r="P3" s="2470" t="s">
        <v>596</v>
      </c>
      <c r="Q3" s="2470" t="s">
        <v>597</v>
      </c>
      <c r="R3" s="2470" t="s">
        <v>598</v>
      </c>
      <c r="S3" s="2470" t="s">
        <v>599</v>
      </c>
      <c r="T3" s="2470" t="s">
        <v>600</v>
      </c>
      <c r="U3" s="2470" t="s">
        <v>898</v>
      </c>
      <c r="V3" s="2470" t="s">
        <v>601</v>
      </c>
      <c r="W3" s="2470" t="s">
        <v>602</v>
      </c>
      <c r="X3" s="2470" t="s">
        <v>603</v>
      </c>
      <c r="Y3" s="2470" t="s">
        <v>604</v>
      </c>
      <c r="Z3" s="2470" t="s">
        <v>605</v>
      </c>
      <c r="AA3" s="2470" t="s">
        <v>606</v>
      </c>
      <c r="AB3" s="2470" t="s">
        <v>400</v>
      </c>
      <c r="AC3" s="2470" t="s">
        <v>401</v>
      </c>
      <c r="AD3" s="2470" t="s">
        <v>402</v>
      </c>
      <c r="AE3" s="2470" t="s">
        <v>607</v>
      </c>
      <c r="AF3" s="2470" t="s">
        <v>608</v>
      </c>
      <c r="AG3" s="2470" t="s">
        <v>609</v>
      </c>
      <c r="AH3" s="2470" t="s">
        <v>699</v>
      </c>
      <c r="AI3" s="2470" t="s">
        <v>700</v>
      </c>
      <c r="AJ3" s="2470" t="s">
        <v>701</v>
      </c>
      <c r="AK3" s="2470" t="s">
        <v>750</v>
      </c>
      <c r="AL3" s="2470" t="s">
        <v>755</v>
      </c>
      <c r="AM3" s="2470" t="s">
        <v>846</v>
      </c>
      <c r="AN3" s="2472" t="s">
        <v>1720</v>
      </c>
      <c r="AO3" s="2470" t="s">
        <v>1720</v>
      </c>
      <c r="AP3" s="2470" t="s">
        <v>1721</v>
      </c>
      <c r="AQ3" s="2470" t="s">
        <v>1722</v>
      </c>
      <c r="AR3" s="2474" t="s">
        <v>1725</v>
      </c>
      <c r="AS3" s="2474" t="s">
        <v>1729</v>
      </c>
      <c r="AT3" s="2474" t="s">
        <v>1969</v>
      </c>
      <c r="AU3" s="2474" t="s">
        <v>1991</v>
      </c>
      <c r="AV3" s="2474" t="s">
        <v>2491</v>
      </c>
      <c r="AW3" s="2474" t="s">
        <v>1761</v>
      </c>
      <c r="AX3" s="2474" t="s">
        <v>2508</v>
      </c>
      <c r="AY3" s="2474" t="s">
        <v>2495</v>
      </c>
      <c r="AZ3" s="2474" t="s">
        <v>2499</v>
      </c>
      <c r="BA3" s="292" t="s">
        <v>899</v>
      </c>
      <c r="BB3" s="292" t="s">
        <v>900</v>
      </c>
      <c r="BC3" s="292" t="s">
        <v>901</v>
      </c>
      <c r="BD3" s="292" t="s">
        <v>902</v>
      </c>
      <c r="BE3" s="292" t="s">
        <v>1723</v>
      </c>
      <c r="BF3" s="292" t="s">
        <v>1724</v>
      </c>
      <c r="BG3" s="292" t="s">
        <v>1972</v>
      </c>
      <c r="BH3" s="292" t="s">
        <v>2492</v>
      </c>
      <c r="BI3" s="239" t="s">
        <v>2831</v>
      </c>
    </row>
    <row r="4" spans="1:61" ht="15">
      <c r="B4" s="2487" t="s">
        <v>376</v>
      </c>
      <c r="C4" s="2488"/>
      <c r="D4" s="2489"/>
      <c r="E4" s="2489"/>
      <c r="F4" s="2489"/>
      <c r="G4" s="2489"/>
      <c r="H4" s="2489"/>
      <c r="I4" s="2489"/>
      <c r="J4" s="2489"/>
      <c r="K4" s="2489"/>
      <c r="L4" s="2489"/>
      <c r="M4" s="2489"/>
      <c r="N4" s="2489"/>
      <c r="O4" s="2489"/>
      <c r="P4" s="2489"/>
      <c r="Q4" s="2489"/>
      <c r="R4" s="2489"/>
      <c r="S4" s="2489"/>
      <c r="T4" s="2489"/>
      <c r="U4" s="2489"/>
      <c r="V4" s="2490"/>
      <c r="W4" s="2489"/>
      <c r="X4" s="2489"/>
      <c r="Y4" s="2490"/>
      <c r="Z4" s="2489"/>
      <c r="AA4" s="2489"/>
      <c r="AB4" s="2489"/>
      <c r="AC4" s="2489"/>
      <c r="AD4" s="2489"/>
      <c r="AE4" s="2489"/>
      <c r="AF4" s="2489"/>
      <c r="AG4" s="2489"/>
      <c r="AH4" s="2489"/>
      <c r="AI4" s="2489"/>
      <c r="AJ4" s="2489"/>
      <c r="AK4" s="2489"/>
      <c r="AL4" s="2489"/>
      <c r="AM4" s="2489"/>
      <c r="AN4" s="2489"/>
      <c r="AO4" s="2489"/>
      <c r="AP4" s="2489"/>
      <c r="AQ4" s="2489"/>
      <c r="AR4" s="2506"/>
      <c r="AS4" s="2506"/>
      <c r="AT4" s="2506"/>
      <c r="AU4" s="2506"/>
      <c r="AV4" s="2506"/>
      <c r="AW4" s="2506"/>
      <c r="AX4" s="2506"/>
      <c r="AY4" s="2506"/>
      <c r="AZ4" s="2506"/>
      <c r="BA4" s="2491"/>
      <c r="BB4" s="2491"/>
      <c r="BC4" s="2491"/>
      <c r="BD4" s="2491"/>
      <c r="BE4" s="2491"/>
      <c r="BF4" s="2491"/>
      <c r="BG4" s="2500"/>
      <c r="BH4" s="2500"/>
      <c r="BI4" s="2500"/>
    </row>
    <row r="5" spans="1:61" ht="21.95" customHeight="1">
      <c r="A5" s="1757">
        <v>1</v>
      </c>
      <c r="B5" s="1758" t="s">
        <v>903</v>
      </c>
      <c r="C5" s="2473" t="s">
        <v>1725</v>
      </c>
      <c r="D5" s="1760"/>
      <c r="E5" s="1760"/>
      <c r="F5" s="1761" t="s">
        <v>206</v>
      </c>
      <c r="G5" s="1760"/>
      <c r="H5" s="1760"/>
      <c r="I5" s="1761" t="s">
        <v>240</v>
      </c>
      <c r="J5" s="1760"/>
      <c r="K5" s="1760"/>
      <c r="L5" s="1760"/>
      <c r="M5" s="1761" t="s">
        <v>205</v>
      </c>
      <c r="N5" s="1761" t="s">
        <v>254</v>
      </c>
      <c r="O5" s="1760"/>
      <c r="P5" s="1760"/>
      <c r="Q5" s="1761" t="s">
        <v>904</v>
      </c>
      <c r="R5" s="1760" t="s">
        <v>203</v>
      </c>
      <c r="S5" s="1760"/>
      <c r="T5" s="1760"/>
      <c r="U5" s="1761" t="s">
        <v>905</v>
      </c>
      <c r="V5" s="1761" t="s">
        <v>906</v>
      </c>
      <c r="W5" s="1760"/>
      <c r="X5" s="1760"/>
      <c r="Y5" s="1760"/>
      <c r="Z5" s="1760"/>
      <c r="AA5" s="1760"/>
      <c r="AB5" s="1760"/>
      <c r="AC5" s="1760"/>
      <c r="AD5" s="1761" t="s">
        <v>907</v>
      </c>
      <c r="AE5" s="1763"/>
      <c r="AF5" s="1763"/>
      <c r="AG5" s="1764"/>
      <c r="AH5" s="1783" t="s">
        <v>908</v>
      </c>
      <c r="AI5" s="1760"/>
      <c r="AJ5" s="1760"/>
      <c r="AK5" s="1760"/>
      <c r="AL5" s="1760"/>
      <c r="AM5" s="1760"/>
      <c r="AN5" s="1760"/>
      <c r="AO5" s="1760"/>
      <c r="AP5" s="1760"/>
      <c r="AQ5" s="2519" t="s">
        <v>1726</v>
      </c>
      <c r="AR5" s="2478"/>
      <c r="AS5" s="2478"/>
      <c r="AT5" s="2478"/>
      <c r="AU5" s="2478"/>
      <c r="AV5" s="2478"/>
      <c r="AW5" s="2478"/>
      <c r="AX5" s="2478"/>
      <c r="AY5" s="2478"/>
      <c r="AZ5" s="2478"/>
      <c r="BA5" s="351">
        <v>1</v>
      </c>
      <c r="BB5" s="347">
        <v>1</v>
      </c>
      <c r="BC5" s="347">
        <v>1</v>
      </c>
      <c r="BD5" s="347">
        <v>1</v>
      </c>
      <c r="BE5" s="1748">
        <v>1</v>
      </c>
      <c r="BF5" s="1748">
        <v>1</v>
      </c>
      <c r="BG5" s="2501">
        <v>1</v>
      </c>
      <c r="BH5" s="2501">
        <v>1</v>
      </c>
      <c r="BI5" s="2501"/>
    </row>
    <row r="6" spans="1:61" ht="21.95" customHeight="1">
      <c r="A6" s="1757">
        <v>2</v>
      </c>
      <c r="B6" s="1758" t="s">
        <v>909</v>
      </c>
      <c r="C6" s="1759" t="s">
        <v>1725</v>
      </c>
      <c r="D6" s="1766" t="s">
        <v>244</v>
      </c>
      <c r="E6" s="1762"/>
      <c r="F6" s="1766" t="s">
        <v>206</v>
      </c>
      <c r="G6" s="1762"/>
      <c r="H6" s="1762"/>
      <c r="I6" s="1761" t="s">
        <v>240</v>
      </c>
      <c r="J6" s="1762"/>
      <c r="K6" s="1762"/>
      <c r="L6" s="1762"/>
      <c r="M6" s="1762"/>
      <c r="N6" s="1761" t="s">
        <v>254</v>
      </c>
      <c r="O6" s="1762"/>
      <c r="P6" s="1762"/>
      <c r="Q6" s="1761" t="s">
        <v>904</v>
      </c>
      <c r="R6" s="1761" t="s">
        <v>910</v>
      </c>
      <c r="S6" s="1762"/>
      <c r="T6" s="1762" t="s">
        <v>204</v>
      </c>
      <c r="U6" s="1766" t="s">
        <v>905</v>
      </c>
      <c r="V6" s="1766" t="s">
        <v>208</v>
      </c>
      <c r="W6" s="1762"/>
      <c r="X6" s="1762"/>
      <c r="Y6" s="1762"/>
      <c r="Z6" s="1762"/>
      <c r="AA6" s="1762"/>
      <c r="AB6" s="1762"/>
      <c r="AC6" s="1762"/>
      <c r="AD6" s="1761" t="s">
        <v>907</v>
      </c>
      <c r="AE6" s="1767"/>
      <c r="AF6" s="1767"/>
      <c r="AG6" s="1768"/>
      <c r="AH6" s="1765" t="s">
        <v>911</v>
      </c>
      <c r="AI6" s="1762"/>
      <c r="AJ6" s="1762"/>
      <c r="AK6" s="2478"/>
      <c r="AL6" s="2478"/>
      <c r="AM6" s="2478"/>
      <c r="AN6" s="2478"/>
      <c r="AO6" s="2478"/>
      <c r="AP6" s="2478"/>
      <c r="AQ6" s="2519" t="s">
        <v>1726</v>
      </c>
      <c r="AR6" s="2478"/>
      <c r="AS6" s="2478"/>
      <c r="AT6" s="2478"/>
      <c r="AU6" s="2478"/>
      <c r="AV6" s="2478"/>
      <c r="AW6" s="2478"/>
      <c r="AX6" s="2478"/>
      <c r="AY6" s="2478"/>
      <c r="AZ6" s="2478"/>
      <c r="BA6" s="351">
        <v>1</v>
      </c>
      <c r="BB6" s="347">
        <v>1</v>
      </c>
      <c r="BC6" s="347">
        <v>1</v>
      </c>
      <c r="BD6" s="347">
        <v>1</v>
      </c>
      <c r="BE6" s="1748">
        <v>1</v>
      </c>
      <c r="BF6" s="1748">
        <v>1</v>
      </c>
      <c r="BG6" s="1748">
        <v>1</v>
      </c>
      <c r="BH6" s="1748">
        <v>1</v>
      </c>
      <c r="BI6" s="1748"/>
    </row>
    <row r="7" spans="1:61" ht="21.95" customHeight="1">
      <c r="A7" s="1757">
        <v>3</v>
      </c>
      <c r="B7" s="1758" t="s">
        <v>912</v>
      </c>
      <c r="C7" s="1759" t="s">
        <v>1725</v>
      </c>
      <c r="D7" s="1766" t="s">
        <v>244</v>
      </c>
      <c r="E7" s="1762"/>
      <c r="F7" s="1766" t="s">
        <v>206</v>
      </c>
      <c r="G7" s="1762"/>
      <c r="H7" s="1762"/>
      <c r="I7" s="1762"/>
      <c r="J7" s="1762"/>
      <c r="K7" s="1762"/>
      <c r="L7" s="1762"/>
      <c r="M7" s="1766" t="s">
        <v>205</v>
      </c>
      <c r="N7" s="1761" t="s">
        <v>254</v>
      </c>
      <c r="O7" s="1762"/>
      <c r="P7" s="1762"/>
      <c r="Q7" s="1761" t="s">
        <v>904</v>
      </c>
      <c r="R7" s="1761" t="s">
        <v>910</v>
      </c>
      <c r="S7" s="1762"/>
      <c r="T7" s="1762"/>
      <c r="U7" s="1766" t="s">
        <v>905</v>
      </c>
      <c r="V7" s="1766" t="s">
        <v>208</v>
      </c>
      <c r="W7" s="1762"/>
      <c r="X7" s="1762"/>
      <c r="Y7" s="1762"/>
      <c r="Z7" s="1762"/>
      <c r="AA7" s="1762"/>
      <c r="AB7" s="1762"/>
      <c r="AC7" s="1762"/>
      <c r="AD7" s="1761" t="s">
        <v>907</v>
      </c>
      <c r="AE7" s="1767"/>
      <c r="AF7" s="1767"/>
      <c r="AG7" s="1768"/>
      <c r="AH7" s="1768"/>
      <c r="AI7" s="1765" t="s">
        <v>913</v>
      </c>
      <c r="AJ7" s="1768"/>
      <c r="AK7" s="2477"/>
      <c r="AL7" s="2477"/>
      <c r="AM7" s="2477"/>
      <c r="AN7" s="2477"/>
      <c r="AO7" s="2477"/>
      <c r="AP7" s="2477"/>
      <c r="AQ7" s="2519" t="s">
        <v>1726</v>
      </c>
      <c r="AR7" s="2478"/>
      <c r="AS7" s="2478"/>
      <c r="AT7" s="2478"/>
      <c r="AU7" s="2478"/>
      <c r="AV7" s="2478"/>
      <c r="AW7" s="2478"/>
      <c r="AX7" s="2478"/>
      <c r="AY7" s="2478"/>
      <c r="AZ7" s="2478"/>
      <c r="BA7" s="351">
        <v>1</v>
      </c>
      <c r="BB7" s="347">
        <v>1</v>
      </c>
      <c r="BC7" s="347">
        <v>1</v>
      </c>
      <c r="BD7" s="347">
        <v>1</v>
      </c>
      <c r="BE7" s="1748">
        <v>1</v>
      </c>
      <c r="BF7" s="1748">
        <v>1</v>
      </c>
      <c r="BG7" s="1748">
        <v>1</v>
      </c>
      <c r="BH7" s="1748">
        <v>1</v>
      </c>
      <c r="BI7" s="1748"/>
    </row>
    <row r="8" spans="1:61" ht="21.95" customHeight="1">
      <c r="A8" s="1757">
        <v>4</v>
      </c>
      <c r="B8" s="1758" t="s">
        <v>914</v>
      </c>
      <c r="C8" s="1759" t="s">
        <v>1725</v>
      </c>
      <c r="D8" s="1762"/>
      <c r="E8" s="1762"/>
      <c r="F8" s="1766" t="s">
        <v>206</v>
      </c>
      <c r="G8" s="1762"/>
      <c r="H8" s="1766" t="s">
        <v>240</v>
      </c>
      <c r="I8" s="1762"/>
      <c r="J8" s="1762"/>
      <c r="K8" s="1762"/>
      <c r="L8" s="1762"/>
      <c r="M8" s="1766" t="s">
        <v>205</v>
      </c>
      <c r="N8" s="1766" t="s">
        <v>254</v>
      </c>
      <c r="O8" s="1762"/>
      <c r="P8" s="1762"/>
      <c r="Q8" s="1761" t="s">
        <v>904</v>
      </c>
      <c r="R8" s="1761" t="s">
        <v>910</v>
      </c>
      <c r="S8" s="1762"/>
      <c r="T8" s="1762"/>
      <c r="U8" s="1766" t="s">
        <v>905</v>
      </c>
      <c r="V8" s="1766" t="s">
        <v>208</v>
      </c>
      <c r="W8" s="1762"/>
      <c r="X8" s="1762"/>
      <c r="Y8" s="1762"/>
      <c r="Z8" s="1762"/>
      <c r="AA8" s="1762"/>
      <c r="AB8" s="1762"/>
      <c r="AC8" s="1762"/>
      <c r="AD8" s="1761" t="s">
        <v>907</v>
      </c>
      <c r="AE8" s="1767"/>
      <c r="AF8" s="1767"/>
      <c r="AG8" s="1768"/>
      <c r="AH8" s="1768"/>
      <c r="AI8" s="1765" t="s">
        <v>915</v>
      </c>
      <c r="AJ8" s="1768"/>
      <c r="AK8" s="2477"/>
      <c r="AL8" s="2477"/>
      <c r="AM8" s="2477"/>
      <c r="AN8" s="2477"/>
      <c r="AO8" s="2477"/>
      <c r="AP8" s="2477"/>
      <c r="AQ8" s="2519" t="s">
        <v>1726</v>
      </c>
      <c r="AR8" s="2478"/>
      <c r="AS8" s="2478"/>
      <c r="AT8" s="2478"/>
      <c r="AU8" s="2478"/>
      <c r="AV8" s="2478"/>
      <c r="AW8" s="2478"/>
      <c r="AX8" s="2478"/>
      <c r="AY8" s="2478"/>
      <c r="AZ8" s="2478"/>
      <c r="BA8" s="351">
        <v>1</v>
      </c>
      <c r="BB8" s="347">
        <v>1</v>
      </c>
      <c r="BC8" s="347">
        <v>1</v>
      </c>
      <c r="BD8" s="347">
        <v>1</v>
      </c>
      <c r="BE8" s="1748">
        <v>1</v>
      </c>
      <c r="BF8" s="1748">
        <v>1</v>
      </c>
      <c r="BG8" s="1748">
        <v>1</v>
      </c>
      <c r="BH8" s="1748">
        <v>1</v>
      </c>
      <c r="BI8" s="1748"/>
    </row>
    <row r="9" spans="1:61" ht="21.95" customHeight="1">
      <c r="A9" s="1757">
        <v>5</v>
      </c>
      <c r="B9" s="1758" t="s">
        <v>916</v>
      </c>
      <c r="C9" s="1759" t="s">
        <v>1725</v>
      </c>
      <c r="D9" s="1766" t="s">
        <v>244</v>
      </c>
      <c r="E9" s="1762"/>
      <c r="F9" s="1766" t="s">
        <v>206</v>
      </c>
      <c r="G9" s="1762"/>
      <c r="H9" s="1762"/>
      <c r="I9" s="1762"/>
      <c r="J9" s="1762"/>
      <c r="K9" s="1762"/>
      <c r="L9" s="1762"/>
      <c r="M9" s="1762"/>
      <c r="N9" s="1766" t="s">
        <v>254</v>
      </c>
      <c r="O9" s="1762"/>
      <c r="P9" s="1762"/>
      <c r="Q9" s="1761" t="s">
        <v>904</v>
      </c>
      <c r="R9" s="1761" t="s">
        <v>910</v>
      </c>
      <c r="S9" s="1762"/>
      <c r="T9" s="1762"/>
      <c r="U9" s="1766" t="s">
        <v>905</v>
      </c>
      <c r="V9" s="1766" t="s">
        <v>208</v>
      </c>
      <c r="W9" s="1762"/>
      <c r="X9" s="1762"/>
      <c r="Y9" s="1762"/>
      <c r="Z9" s="1762"/>
      <c r="AA9" s="1762"/>
      <c r="AB9" s="1762"/>
      <c r="AC9" s="1762"/>
      <c r="AD9" s="1761" t="s">
        <v>907</v>
      </c>
      <c r="AE9" s="1767"/>
      <c r="AF9" s="1767"/>
      <c r="AG9" s="1768"/>
      <c r="AH9" s="1768"/>
      <c r="AI9" s="1765" t="s">
        <v>917</v>
      </c>
      <c r="AJ9" s="1768"/>
      <c r="AK9" s="2477"/>
      <c r="AL9" s="2477"/>
      <c r="AM9" s="2477"/>
      <c r="AN9" s="2477"/>
      <c r="AO9" s="2477"/>
      <c r="AP9" s="2477"/>
      <c r="AQ9" s="2519" t="s">
        <v>1726</v>
      </c>
      <c r="AR9" s="2478"/>
      <c r="AS9" s="2478"/>
      <c r="AT9" s="2478"/>
      <c r="AU9" s="2478"/>
      <c r="AV9" s="2478"/>
      <c r="AW9" s="2478"/>
      <c r="AX9" s="2478"/>
      <c r="AY9" s="2478"/>
      <c r="AZ9" s="2478"/>
      <c r="BA9" s="351">
        <v>1</v>
      </c>
      <c r="BB9" s="347">
        <v>1</v>
      </c>
      <c r="BC9" s="347">
        <v>1</v>
      </c>
      <c r="BD9" s="347">
        <v>1</v>
      </c>
      <c r="BE9" s="1748">
        <v>1</v>
      </c>
      <c r="BF9" s="1748">
        <v>1</v>
      </c>
      <c r="BG9" s="1748">
        <v>1</v>
      </c>
      <c r="BH9" s="1748">
        <v>1</v>
      </c>
      <c r="BI9" s="1748"/>
    </row>
    <row r="10" spans="1:61" ht="21.95" customHeight="1">
      <c r="A10" s="1757">
        <v>6</v>
      </c>
      <c r="B10" s="1758" t="s">
        <v>918</v>
      </c>
      <c r="C10" s="1759" t="s">
        <v>1725</v>
      </c>
      <c r="D10" s="1766" t="s">
        <v>244</v>
      </c>
      <c r="E10" s="1762"/>
      <c r="F10" s="1766" t="s">
        <v>206</v>
      </c>
      <c r="G10" s="1762"/>
      <c r="H10" s="1762"/>
      <c r="I10" s="1762"/>
      <c r="J10" s="1762"/>
      <c r="K10" s="1762"/>
      <c r="L10" s="1762"/>
      <c r="M10" s="1762"/>
      <c r="N10" s="1766" t="s">
        <v>254</v>
      </c>
      <c r="O10" s="1762"/>
      <c r="P10" s="1762"/>
      <c r="Q10" s="1761" t="s">
        <v>904</v>
      </c>
      <c r="R10" s="1761" t="s">
        <v>910</v>
      </c>
      <c r="S10" s="1762"/>
      <c r="T10" s="1762"/>
      <c r="U10" s="1766" t="s">
        <v>905</v>
      </c>
      <c r="V10" s="1766" t="s">
        <v>906</v>
      </c>
      <c r="W10" s="1762"/>
      <c r="X10" s="1762"/>
      <c r="Y10" s="1762"/>
      <c r="Z10" s="1762"/>
      <c r="AA10" s="1762"/>
      <c r="AB10" s="1762"/>
      <c r="AC10" s="1762"/>
      <c r="AD10" s="1761" t="s">
        <v>907</v>
      </c>
      <c r="AE10" s="1767"/>
      <c r="AF10" s="1767"/>
      <c r="AG10" s="1768"/>
      <c r="AH10" s="1765" t="s">
        <v>919</v>
      </c>
      <c r="AI10" s="1762"/>
      <c r="AJ10" s="1768"/>
      <c r="AK10" s="2477"/>
      <c r="AL10" s="2477"/>
      <c r="AM10" s="2477"/>
      <c r="AN10" s="2477"/>
      <c r="AO10" s="2477"/>
      <c r="AP10" s="2477"/>
      <c r="AQ10" s="2519" t="s">
        <v>1726</v>
      </c>
      <c r="AR10" s="2478"/>
      <c r="AS10" s="2478"/>
      <c r="AT10" s="2478"/>
      <c r="AU10" s="2478"/>
      <c r="AV10" s="2478"/>
      <c r="AW10" s="2478"/>
      <c r="AX10" s="2478"/>
      <c r="AY10" s="2478"/>
      <c r="AZ10" s="2478"/>
      <c r="BA10" s="351">
        <v>1</v>
      </c>
      <c r="BB10" s="347">
        <v>1</v>
      </c>
      <c r="BC10" s="347">
        <v>1</v>
      </c>
      <c r="BD10" s="347">
        <v>1</v>
      </c>
      <c r="BE10" s="1748">
        <v>1</v>
      </c>
      <c r="BF10" s="1748">
        <v>1</v>
      </c>
      <c r="BG10" s="1748">
        <v>1</v>
      </c>
      <c r="BH10" s="1748">
        <v>1</v>
      </c>
      <c r="BI10" s="1748"/>
    </row>
    <row r="11" spans="1:61" ht="21.95" customHeight="1">
      <c r="A11" s="1757">
        <v>7</v>
      </c>
      <c r="B11" s="1758" t="s">
        <v>920</v>
      </c>
      <c r="C11" s="1759" t="s">
        <v>1725</v>
      </c>
      <c r="D11" s="1766" t="s">
        <v>244</v>
      </c>
      <c r="E11" s="1762"/>
      <c r="F11" s="1766" t="s">
        <v>206</v>
      </c>
      <c r="G11" s="1762"/>
      <c r="H11" s="1766" t="s">
        <v>240</v>
      </c>
      <c r="I11" s="1762"/>
      <c r="J11" s="1762"/>
      <c r="K11" s="1762"/>
      <c r="L11" s="1762"/>
      <c r="M11" s="1762"/>
      <c r="N11" s="1766" t="s">
        <v>254</v>
      </c>
      <c r="O11" s="1762"/>
      <c r="P11" s="1766" t="s">
        <v>207</v>
      </c>
      <c r="Q11" s="1761" t="s">
        <v>904</v>
      </c>
      <c r="R11" s="1761" t="s">
        <v>910</v>
      </c>
      <c r="S11" s="1762"/>
      <c r="T11" s="1762"/>
      <c r="U11" s="1766" t="s">
        <v>905</v>
      </c>
      <c r="V11" s="1766" t="s">
        <v>208</v>
      </c>
      <c r="W11" s="1762"/>
      <c r="X11" s="1762"/>
      <c r="Y11" s="1762"/>
      <c r="Z11" s="1762"/>
      <c r="AA11" s="1762"/>
      <c r="AB11" s="1762"/>
      <c r="AC11" s="1762"/>
      <c r="AD11" s="1761" t="s">
        <v>907</v>
      </c>
      <c r="AE11" s="1767"/>
      <c r="AF11" s="1767"/>
      <c r="AG11" s="1768"/>
      <c r="AH11" s="1768"/>
      <c r="AI11" s="1765" t="s">
        <v>921</v>
      </c>
      <c r="AJ11" s="1768"/>
      <c r="AK11" s="2477"/>
      <c r="AL11" s="2477"/>
      <c r="AM11" s="2477"/>
      <c r="AN11" s="2477"/>
      <c r="AO11" s="2477"/>
      <c r="AP11" s="2477"/>
      <c r="AQ11" s="2519" t="s">
        <v>1726</v>
      </c>
      <c r="AR11" s="2478"/>
      <c r="AS11" s="2478"/>
      <c r="AT11" s="2478"/>
      <c r="AU11" s="2478"/>
      <c r="AV11" s="2478"/>
      <c r="AW11" s="2478"/>
      <c r="AX11" s="2478"/>
      <c r="AY11" s="2478"/>
      <c r="AZ11" s="2478"/>
      <c r="BA11" s="351">
        <v>1</v>
      </c>
      <c r="BB11" s="347">
        <v>1</v>
      </c>
      <c r="BC11" s="347">
        <v>1</v>
      </c>
      <c r="BD11" s="347">
        <v>1</v>
      </c>
      <c r="BE11" s="1748">
        <v>1</v>
      </c>
      <c r="BF11" s="1748">
        <v>1</v>
      </c>
      <c r="BG11" s="1748">
        <v>1</v>
      </c>
      <c r="BH11" s="1748">
        <v>1</v>
      </c>
      <c r="BI11" s="1748"/>
    </row>
    <row r="12" spans="1:61" ht="21.95" customHeight="1">
      <c r="A12" s="1757">
        <v>8</v>
      </c>
      <c r="B12" s="1758" t="s">
        <v>922</v>
      </c>
      <c r="C12" s="1759" t="s">
        <v>1725</v>
      </c>
      <c r="D12" s="1766" t="s">
        <v>244</v>
      </c>
      <c r="E12" s="1762"/>
      <c r="F12" s="1766" t="s">
        <v>206</v>
      </c>
      <c r="G12" s="1762"/>
      <c r="H12" s="1766" t="s">
        <v>240</v>
      </c>
      <c r="I12" s="1762"/>
      <c r="J12" s="1762"/>
      <c r="K12" s="353"/>
      <c r="L12" s="1766" t="s">
        <v>255</v>
      </c>
      <c r="M12" s="1762"/>
      <c r="N12" s="1766" t="s">
        <v>254</v>
      </c>
      <c r="O12" s="1762"/>
      <c r="P12" s="1762"/>
      <c r="Q12" s="1761" t="s">
        <v>904</v>
      </c>
      <c r="R12" s="1762"/>
      <c r="S12" s="1762"/>
      <c r="T12" s="1762"/>
      <c r="U12" s="1766" t="s">
        <v>905</v>
      </c>
      <c r="V12" s="1766" t="s">
        <v>906</v>
      </c>
      <c r="W12" s="1762"/>
      <c r="X12" s="1762"/>
      <c r="Y12" s="1762"/>
      <c r="Z12" s="1762"/>
      <c r="AA12" s="1762"/>
      <c r="AB12" s="1762"/>
      <c r="AC12" s="1762"/>
      <c r="AD12" s="1761" t="s">
        <v>907</v>
      </c>
      <c r="AE12" s="1767"/>
      <c r="AF12" s="1767"/>
      <c r="AG12" s="1768"/>
      <c r="AH12" s="1765" t="s">
        <v>923</v>
      </c>
      <c r="AI12" s="1762"/>
      <c r="AJ12" s="1768"/>
      <c r="AK12" s="2477"/>
      <c r="AL12" s="2477"/>
      <c r="AM12" s="2477"/>
      <c r="AN12" s="2477"/>
      <c r="AO12" s="2477"/>
      <c r="AP12" s="2477"/>
      <c r="AQ12" s="2519" t="s">
        <v>1726</v>
      </c>
      <c r="AR12" s="2478"/>
      <c r="AS12" s="2478"/>
      <c r="AT12" s="2478"/>
      <c r="AU12" s="2478"/>
      <c r="AV12" s="2478"/>
      <c r="AW12" s="2478"/>
      <c r="AX12" s="2478"/>
      <c r="AY12" s="2478"/>
      <c r="AZ12" s="2478"/>
      <c r="BA12" s="351">
        <v>1</v>
      </c>
      <c r="BB12" s="347">
        <v>1</v>
      </c>
      <c r="BC12" s="347">
        <v>1</v>
      </c>
      <c r="BD12" s="347">
        <v>1</v>
      </c>
      <c r="BE12" s="1748">
        <v>1</v>
      </c>
      <c r="BF12" s="1748">
        <v>1</v>
      </c>
      <c r="BG12" s="1748">
        <v>1</v>
      </c>
      <c r="BH12" s="1748">
        <v>1</v>
      </c>
      <c r="BI12" s="1748"/>
    </row>
    <row r="13" spans="1:61" ht="21.95" customHeight="1">
      <c r="A13" s="1757">
        <v>9</v>
      </c>
      <c r="B13" s="1758" t="s">
        <v>924</v>
      </c>
      <c r="C13" s="1759" t="s">
        <v>1725</v>
      </c>
      <c r="D13" s="1766" t="s">
        <v>244</v>
      </c>
      <c r="E13" s="1762"/>
      <c r="F13" s="1766" t="s">
        <v>206</v>
      </c>
      <c r="G13" s="1762"/>
      <c r="H13" s="1762"/>
      <c r="I13" s="1762"/>
      <c r="J13" s="1762"/>
      <c r="K13" s="1762"/>
      <c r="L13" s="1762"/>
      <c r="M13" s="1762"/>
      <c r="N13" s="1766" t="s">
        <v>254</v>
      </c>
      <c r="O13" s="1762"/>
      <c r="P13" s="1762"/>
      <c r="Q13" s="1761" t="s">
        <v>904</v>
      </c>
      <c r="R13" s="1761" t="s">
        <v>910</v>
      </c>
      <c r="S13" s="1762"/>
      <c r="T13" s="1762"/>
      <c r="U13" s="1766" t="s">
        <v>905</v>
      </c>
      <c r="V13" s="1766" t="s">
        <v>208</v>
      </c>
      <c r="W13" s="1762"/>
      <c r="X13" s="1762"/>
      <c r="Y13" s="1762"/>
      <c r="Z13" s="1762"/>
      <c r="AA13" s="1762"/>
      <c r="AB13" s="1762"/>
      <c r="AC13" s="1762"/>
      <c r="AD13" s="1761" t="s">
        <v>907</v>
      </c>
      <c r="AE13" s="1767"/>
      <c r="AF13" s="1767"/>
      <c r="AG13" s="1768"/>
      <c r="AH13" s="1765" t="s">
        <v>925</v>
      </c>
      <c r="AI13" s="1762"/>
      <c r="AJ13" s="1762"/>
      <c r="AK13" s="2478"/>
      <c r="AL13" s="2478"/>
      <c r="AM13" s="2478"/>
      <c r="AN13" s="2478"/>
      <c r="AO13" s="2478"/>
      <c r="AP13" s="2478"/>
      <c r="AQ13" s="2519" t="s">
        <v>1726</v>
      </c>
      <c r="AR13" s="2478"/>
      <c r="AS13" s="2478"/>
      <c r="AT13" s="2478"/>
      <c r="AU13" s="2478"/>
      <c r="AV13" s="2478"/>
      <c r="AW13" s="2478"/>
      <c r="AX13" s="2478"/>
      <c r="AY13" s="2478"/>
      <c r="AZ13" s="2478"/>
      <c r="BA13" s="351">
        <v>1</v>
      </c>
      <c r="BB13" s="347">
        <v>1</v>
      </c>
      <c r="BC13" s="347">
        <v>1</v>
      </c>
      <c r="BD13" s="347">
        <v>1</v>
      </c>
      <c r="BE13" s="1748">
        <v>1</v>
      </c>
      <c r="BF13" s="1748">
        <v>1</v>
      </c>
      <c r="BG13" s="1748">
        <v>1</v>
      </c>
      <c r="BH13" s="1748">
        <v>1</v>
      </c>
      <c r="BI13" s="1748"/>
    </row>
    <row r="14" spans="1:61" ht="21.95" customHeight="1">
      <c r="A14" s="1757">
        <v>10</v>
      </c>
      <c r="B14" s="1758" t="s">
        <v>926</v>
      </c>
      <c r="C14" s="1759" t="s">
        <v>1725</v>
      </c>
      <c r="D14" s="1769" t="s">
        <v>927</v>
      </c>
      <c r="E14" s="1770"/>
      <c r="F14" s="1770"/>
      <c r="G14" s="1770"/>
      <c r="H14" s="1770"/>
      <c r="I14" s="1770"/>
      <c r="J14" s="1770"/>
      <c r="K14" s="1770"/>
      <c r="L14" s="1770"/>
      <c r="M14" s="1770"/>
      <c r="N14" s="1766" t="s">
        <v>254</v>
      </c>
      <c r="O14" s="1762"/>
      <c r="P14" s="1770"/>
      <c r="Q14" s="1761" t="s">
        <v>904</v>
      </c>
      <c r="R14" s="1761" t="s">
        <v>910</v>
      </c>
      <c r="S14" s="1762"/>
      <c r="T14" s="1770"/>
      <c r="U14" s="1766" t="s">
        <v>905</v>
      </c>
      <c r="V14" s="1771" t="s">
        <v>208</v>
      </c>
      <c r="W14" s="1770"/>
      <c r="X14" s="1770"/>
      <c r="Y14" s="1770"/>
      <c r="Z14" s="1770"/>
      <c r="AA14" s="1770"/>
      <c r="AB14" s="1770"/>
      <c r="AC14" s="1770"/>
      <c r="AD14" s="1761" t="s">
        <v>907</v>
      </c>
      <c r="AE14" s="1767"/>
      <c r="AF14" s="1767"/>
      <c r="AG14" s="1768"/>
      <c r="AH14" s="1772" t="s">
        <v>928</v>
      </c>
      <c r="AI14" s="1762"/>
      <c r="AJ14" s="1762"/>
      <c r="AK14" s="2478"/>
      <c r="AL14" s="2478"/>
      <c r="AM14" s="2478"/>
      <c r="AN14" s="2478"/>
      <c r="AO14" s="2478"/>
      <c r="AP14" s="2478"/>
      <c r="AQ14" s="2519" t="s">
        <v>1726</v>
      </c>
      <c r="AR14" s="2478"/>
      <c r="AS14" s="2478"/>
      <c r="AT14" s="2478"/>
      <c r="AU14" s="2478"/>
      <c r="AV14" s="2478"/>
      <c r="AW14" s="2478"/>
      <c r="AX14" s="2478"/>
      <c r="AY14" s="2478"/>
      <c r="AZ14" s="2478"/>
      <c r="BA14" s="351">
        <v>1</v>
      </c>
      <c r="BB14" s="347">
        <v>1</v>
      </c>
      <c r="BC14" s="347">
        <v>1</v>
      </c>
      <c r="BD14" s="347">
        <v>1</v>
      </c>
      <c r="BE14" s="1748">
        <v>1</v>
      </c>
      <c r="BF14" s="1748">
        <v>1</v>
      </c>
      <c r="BG14" s="1748">
        <v>1</v>
      </c>
      <c r="BH14" s="1748">
        <v>1</v>
      </c>
      <c r="BI14" s="1748"/>
    </row>
    <row r="15" spans="1:61" ht="15">
      <c r="A15" s="353"/>
      <c r="B15" s="2487" t="s">
        <v>377</v>
      </c>
      <c r="C15" s="2488"/>
      <c r="D15" s="2489"/>
      <c r="E15" s="2489"/>
      <c r="F15" s="2489"/>
      <c r="G15" s="2489"/>
      <c r="H15" s="2489"/>
      <c r="I15" s="2489"/>
      <c r="J15" s="2489"/>
      <c r="K15" s="2489"/>
      <c r="L15" s="2489"/>
      <c r="M15" s="2489"/>
      <c r="N15" s="2489"/>
      <c r="O15" s="2489"/>
      <c r="P15" s="2489"/>
      <c r="Q15" s="2489"/>
      <c r="R15" s="2489"/>
      <c r="S15" s="2489"/>
      <c r="T15" s="2489"/>
      <c r="U15" s="2489"/>
      <c r="V15" s="2490"/>
      <c r="W15" s="2489"/>
      <c r="X15" s="2489"/>
      <c r="Y15" s="2490"/>
      <c r="Z15" s="2489"/>
      <c r="AA15" s="2489"/>
      <c r="AB15" s="2489"/>
      <c r="AC15" s="2489"/>
      <c r="AD15" s="2489"/>
      <c r="AE15" s="2489"/>
      <c r="AF15" s="2489"/>
      <c r="AG15" s="2489"/>
      <c r="AH15" s="2489"/>
      <c r="AI15" s="2489"/>
      <c r="AJ15" s="2489"/>
      <c r="AK15" s="2479"/>
      <c r="AL15" s="2479"/>
      <c r="AM15" s="2479"/>
      <c r="AN15" s="2479"/>
      <c r="AO15" s="2479"/>
      <c r="AP15" s="2479"/>
      <c r="AQ15" s="2479"/>
      <c r="AR15" s="2479"/>
      <c r="AS15" s="2479"/>
      <c r="AT15" s="2479"/>
      <c r="AU15" s="2479"/>
      <c r="AV15" s="2479"/>
      <c r="AW15" s="2479"/>
      <c r="AX15" s="2479"/>
      <c r="AY15" s="2479"/>
      <c r="AZ15" s="2479"/>
      <c r="BA15" s="2491"/>
      <c r="BB15" s="2491"/>
      <c r="BC15" s="2491"/>
      <c r="BD15" s="2491"/>
      <c r="BE15" s="2491"/>
      <c r="BF15" s="2491"/>
      <c r="BG15" s="2500"/>
      <c r="BH15" s="2500"/>
      <c r="BI15" s="2500"/>
    </row>
    <row r="16" spans="1:61" ht="21.95" customHeight="1">
      <c r="A16" s="1757">
        <v>11</v>
      </c>
      <c r="B16" s="1758" t="s">
        <v>929</v>
      </c>
      <c r="C16" s="1773" t="s">
        <v>755</v>
      </c>
      <c r="D16" s="1760"/>
      <c r="E16" s="1760"/>
      <c r="F16" s="1760"/>
      <c r="G16" s="163"/>
      <c r="H16" s="1761" t="s">
        <v>209</v>
      </c>
      <c r="I16" s="1762"/>
      <c r="J16" s="1760"/>
      <c r="K16" s="1760"/>
      <c r="L16" s="1761" t="s">
        <v>255</v>
      </c>
      <c r="M16" s="353"/>
      <c r="N16" s="1760"/>
      <c r="O16" s="1760"/>
      <c r="P16" s="1760"/>
      <c r="Q16" s="1760"/>
      <c r="R16" s="1760"/>
      <c r="S16" s="1760"/>
      <c r="T16" s="1760"/>
      <c r="U16" s="1760"/>
      <c r="V16" s="1760"/>
      <c r="W16" s="1760"/>
      <c r="X16" s="1760"/>
      <c r="Y16" s="1760"/>
      <c r="Z16" s="1760"/>
      <c r="AA16" s="1760"/>
      <c r="AB16" s="1760"/>
      <c r="AC16" s="1761" t="s">
        <v>930</v>
      </c>
      <c r="AD16" s="1762"/>
      <c r="AE16" s="1767"/>
      <c r="AF16" s="1767"/>
      <c r="AG16" s="1768"/>
      <c r="AH16" s="1774" t="s">
        <v>702</v>
      </c>
      <c r="AI16" s="1775"/>
      <c r="AJ16" s="1774" t="s">
        <v>702</v>
      </c>
      <c r="AK16" s="1776"/>
      <c r="AL16" s="1774" t="s">
        <v>987</v>
      </c>
      <c r="AM16" s="2475"/>
      <c r="AN16" s="2475"/>
      <c r="AO16" s="2475"/>
      <c r="AP16" s="2475"/>
      <c r="AQ16" s="2520"/>
      <c r="AR16" s="2475"/>
      <c r="AS16" s="1774" t="s">
        <v>1970</v>
      </c>
      <c r="AT16" s="1774" t="s">
        <v>1975</v>
      </c>
      <c r="AU16" s="2475"/>
      <c r="AV16" s="2475"/>
      <c r="AW16" s="2475"/>
      <c r="AX16" s="2475"/>
      <c r="AY16" s="2475"/>
      <c r="AZ16" s="2475"/>
      <c r="BA16" s="351"/>
      <c r="BB16" s="347">
        <v>1</v>
      </c>
      <c r="BC16" s="347">
        <v>1</v>
      </c>
      <c r="BD16" s="347">
        <v>1</v>
      </c>
      <c r="BE16" s="1748">
        <v>1</v>
      </c>
      <c r="BF16" s="1748">
        <v>1</v>
      </c>
      <c r="BG16" s="2501">
        <v>1</v>
      </c>
      <c r="BH16" s="2501">
        <v>1</v>
      </c>
      <c r="BI16" s="2501">
        <v>1</v>
      </c>
    </row>
    <row r="17" spans="1:61" ht="21.95" customHeight="1">
      <c r="A17" s="1757">
        <v>12</v>
      </c>
      <c r="B17" s="1758" t="s">
        <v>931</v>
      </c>
      <c r="C17" s="1773" t="s">
        <v>701</v>
      </c>
      <c r="D17" s="1762"/>
      <c r="E17" s="1766" t="s">
        <v>932</v>
      </c>
      <c r="F17" s="1762"/>
      <c r="G17" s="1762"/>
      <c r="H17" s="1766" t="s">
        <v>932</v>
      </c>
      <c r="I17" s="1762"/>
      <c r="J17" s="1766" t="s">
        <v>1727</v>
      </c>
      <c r="K17" s="1762"/>
      <c r="L17" s="1762"/>
      <c r="M17" s="1762"/>
      <c r="N17" s="1762"/>
      <c r="O17" s="1762"/>
      <c r="P17" s="1762"/>
      <c r="Q17" s="1762"/>
      <c r="R17" s="1762"/>
      <c r="S17" s="1762"/>
      <c r="T17" s="1762"/>
      <c r="U17" s="1762"/>
      <c r="V17" s="1762"/>
      <c r="W17" s="1762"/>
      <c r="X17" s="1762"/>
      <c r="Y17" s="1762"/>
      <c r="Z17" s="1762"/>
      <c r="AA17" s="1762"/>
      <c r="AB17" s="1762"/>
      <c r="AC17" s="1766" t="s">
        <v>930</v>
      </c>
      <c r="AD17" s="1762"/>
      <c r="AE17" s="1767"/>
      <c r="AF17" s="1767"/>
      <c r="AG17" s="1768"/>
      <c r="AH17" s="1774" t="s">
        <v>702</v>
      </c>
      <c r="AI17" s="1775"/>
      <c r="AJ17" s="1775"/>
      <c r="AK17" s="2475"/>
      <c r="AL17" s="2475"/>
      <c r="AM17" s="2475"/>
      <c r="AN17" s="2475"/>
      <c r="AO17" s="2475"/>
      <c r="AP17" s="2475"/>
      <c r="AQ17" s="2520"/>
      <c r="AR17" s="2475"/>
      <c r="AS17" s="1774" t="s">
        <v>1970</v>
      </c>
      <c r="AT17" s="2475"/>
      <c r="AU17" s="2475"/>
      <c r="AV17" s="2475"/>
      <c r="AW17" s="2475"/>
      <c r="AX17" s="2475"/>
      <c r="AY17" s="2475"/>
      <c r="AZ17" s="1774" t="s">
        <v>2832</v>
      </c>
      <c r="BA17" s="351"/>
      <c r="BB17" s="347">
        <v>1</v>
      </c>
      <c r="BC17" s="347">
        <v>1</v>
      </c>
      <c r="BD17" s="347">
        <v>1</v>
      </c>
      <c r="BE17" s="1748">
        <v>1</v>
      </c>
      <c r="BF17" s="1748">
        <v>1</v>
      </c>
      <c r="BG17" s="1748">
        <v>1</v>
      </c>
      <c r="BH17" s="1748">
        <v>1</v>
      </c>
      <c r="BI17" s="1748">
        <v>1</v>
      </c>
    </row>
    <row r="18" spans="1:61" ht="21.95" customHeight="1">
      <c r="A18" s="1757">
        <v>13</v>
      </c>
      <c r="B18" s="1758" t="s">
        <v>933</v>
      </c>
      <c r="C18" s="1773" t="s">
        <v>755</v>
      </c>
      <c r="D18" s="1762"/>
      <c r="E18" s="1762"/>
      <c r="F18" s="1762"/>
      <c r="G18" s="1762"/>
      <c r="H18" s="1762"/>
      <c r="I18" s="1766" t="s">
        <v>210</v>
      </c>
      <c r="J18" s="353"/>
      <c r="K18" s="1762"/>
      <c r="L18" s="1762"/>
      <c r="M18" s="1766" t="s">
        <v>205</v>
      </c>
      <c r="N18" s="1762"/>
      <c r="O18" s="353"/>
      <c r="P18" s="1762"/>
      <c r="Q18" s="163"/>
      <c r="R18" s="1777" t="s">
        <v>1728</v>
      </c>
      <c r="S18" s="1762"/>
      <c r="T18" s="353"/>
      <c r="U18" s="1766" t="s">
        <v>934</v>
      </c>
      <c r="V18" s="353"/>
      <c r="W18" s="1766" t="s">
        <v>935</v>
      </c>
      <c r="X18" s="1762"/>
      <c r="Y18" s="353"/>
      <c r="Z18" s="1762"/>
      <c r="AA18" s="1762"/>
      <c r="AB18" s="1762"/>
      <c r="AC18" s="1766" t="s">
        <v>239</v>
      </c>
      <c r="AD18" s="1762"/>
      <c r="AE18" s="1767"/>
      <c r="AF18" s="1767"/>
      <c r="AG18" s="1768"/>
      <c r="AH18" s="1774" t="s">
        <v>702</v>
      </c>
      <c r="AI18" s="1775"/>
      <c r="AJ18" s="1774" t="s">
        <v>702</v>
      </c>
      <c r="AK18" s="1776"/>
      <c r="AL18" s="1774" t="s">
        <v>987</v>
      </c>
      <c r="AM18" s="2475"/>
      <c r="AN18" s="2475"/>
      <c r="AO18" s="2475"/>
      <c r="AP18" s="2475"/>
      <c r="AQ18" s="2520"/>
      <c r="AR18" s="2475"/>
      <c r="AS18" s="1774" t="s">
        <v>1970</v>
      </c>
      <c r="AT18" s="2475"/>
      <c r="AU18" s="2475"/>
      <c r="AV18" s="2475"/>
      <c r="AW18" s="2475"/>
      <c r="AX18" s="2475"/>
      <c r="AY18" s="1774" t="s">
        <v>2833</v>
      </c>
      <c r="AZ18" s="2475"/>
      <c r="BA18" s="351">
        <v>1</v>
      </c>
      <c r="BB18" s="347">
        <v>1</v>
      </c>
      <c r="BC18" s="347">
        <v>1</v>
      </c>
      <c r="BD18" s="347">
        <v>1</v>
      </c>
      <c r="BE18" s="1748">
        <v>1</v>
      </c>
      <c r="BF18" s="1748">
        <v>1</v>
      </c>
      <c r="BG18" s="1748">
        <v>1</v>
      </c>
      <c r="BH18" s="1748">
        <v>1</v>
      </c>
      <c r="BI18" s="1748">
        <v>1</v>
      </c>
    </row>
    <row r="19" spans="1:61" ht="21.95" customHeight="1">
      <c r="A19" s="1757">
        <v>14</v>
      </c>
      <c r="B19" s="1758" t="s">
        <v>936</v>
      </c>
      <c r="C19" s="1773" t="s">
        <v>755</v>
      </c>
      <c r="D19" s="1770"/>
      <c r="E19" s="1766" t="s">
        <v>937</v>
      </c>
      <c r="F19" s="353"/>
      <c r="G19" s="1770"/>
      <c r="H19" s="1766" t="s">
        <v>206</v>
      </c>
      <c r="I19" s="1770"/>
      <c r="J19" s="1770"/>
      <c r="K19" s="1770"/>
      <c r="L19" s="1770"/>
      <c r="M19" s="1770"/>
      <c r="N19" s="1770"/>
      <c r="O19" s="1770"/>
      <c r="P19" s="1770"/>
      <c r="Q19" s="1771" t="s">
        <v>211</v>
      </c>
      <c r="R19" s="1770"/>
      <c r="S19" s="1770"/>
      <c r="T19" s="1766" t="s">
        <v>256</v>
      </c>
      <c r="U19" s="1770"/>
      <c r="V19" s="1770"/>
      <c r="W19" s="1770"/>
      <c r="X19" s="1770"/>
      <c r="Y19" s="1770"/>
      <c r="Z19" s="1770"/>
      <c r="AA19" s="1770"/>
      <c r="AB19" s="1770"/>
      <c r="AC19" s="1771" t="s">
        <v>930</v>
      </c>
      <c r="AD19" s="1762"/>
      <c r="AE19" s="1767"/>
      <c r="AF19" s="1767"/>
      <c r="AG19" s="1768"/>
      <c r="AH19" s="1774" t="s">
        <v>702</v>
      </c>
      <c r="AI19" s="1775"/>
      <c r="AJ19" s="1774" t="s">
        <v>702</v>
      </c>
      <c r="AK19" s="1776"/>
      <c r="AL19" s="1774" t="s">
        <v>987</v>
      </c>
      <c r="AM19" s="2475"/>
      <c r="AN19" s="2475"/>
      <c r="AO19" s="2475"/>
      <c r="AP19" s="2475"/>
      <c r="AQ19" s="2520"/>
      <c r="AR19" s="2475"/>
      <c r="AS19" s="1774" t="s">
        <v>1970</v>
      </c>
      <c r="AT19" s="2475"/>
      <c r="AU19" s="2475"/>
      <c r="AV19" s="2475"/>
      <c r="AW19" s="2475"/>
      <c r="AX19" s="2475"/>
      <c r="AY19" s="2475"/>
      <c r="AZ19" s="2475"/>
      <c r="BA19" s="351">
        <v>1</v>
      </c>
      <c r="BB19" s="347">
        <v>1</v>
      </c>
      <c r="BC19" s="347">
        <v>1</v>
      </c>
      <c r="BD19" s="347">
        <v>1</v>
      </c>
      <c r="BE19" s="1748">
        <v>1</v>
      </c>
      <c r="BF19" s="1748">
        <v>1</v>
      </c>
      <c r="BG19" s="1748">
        <v>1</v>
      </c>
      <c r="BH19" s="1748">
        <v>1</v>
      </c>
      <c r="BI19" s="1748">
        <v>1</v>
      </c>
    </row>
    <row r="20" spans="1:61" ht="15">
      <c r="A20" s="353"/>
      <c r="B20" s="2487" t="s">
        <v>378</v>
      </c>
      <c r="C20" s="2488"/>
      <c r="D20" s="2489"/>
      <c r="E20" s="2489"/>
      <c r="F20" s="2489"/>
      <c r="G20" s="2489"/>
      <c r="H20" s="2489"/>
      <c r="I20" s="2489"/>
      <c r="J20" s="2489"/>
      <c r="K20" s="2489"/>
      <c r="L20" s="2489"/>
      <c r="M20" s="2489"/>
      <c r="N20" s="2489"/>
      <c r="O20" s="2489"/>
      <c r="P20" s="2489"/>
      <c r="Q20" s="2489"/>
      <c r="R20" s="2489"/>
      <c r="S20" s="2489"/>
      <c r="T20" s="2489"/>
      <c r="U20" s="2489"/>
      <c r="V20" s="2490"/>
      <c r="W20" s="2489"/>
      <c r="X20" s="2489"/>
      <c r="Y20" s="2490"/>
      <c r="Z20" s="2489"/>
      <c r="AA20" s="2489"/>
      <c r="AB20" s="2489"/>
      <c r="AC20" s="2489"/>
      <c r="AD20" s="2489"/>
      <c r="AE20" s="2489"/>
      <c r="AF20" s="2489"/>
      <c r="AG20" s="2489"/>
      <c r="AH20" s="2489"/>
      <c r="AI20" s="2489"/>
      <c r="AJ20" s="2489"/>
      <c r="AK20" s="2479"/>
      <c r="AL20" s="2479"/>
      <c r="AM20" s="2479"/>
      <c r="AN20" s="2479"/>
      <c r="AO20" s="2479"/>
      <c r="AP20" s="2479"/>
      <c r="AQ20" s="2479"/>
      <c r="AR20" s="2479"/>
      <c r="AS20" s="2479"/>
      <c r="AT20" s="2479"/>
      <c r="AU20" s="2479"/>
      <c r="AV20" s="2479"/>
      <c r="AW20" s="2479"/>
      <c r="AX20" s="2479"/>
      <c r="AY20" s="2479"/>
      <c r="AZ20" s="2479"/>
      <c r="BA20" s="2491"/>
      <c r="BB20" s="2491"/>
      <c r="BC20" s="2491"/>
      <c r="BD20" s="2491"/>
      <c r="BE20" s="2491"/>
      <c r="BF20" s="2491"/>
      <c r="BG20" s="2500"/>
      <c r="BH20" s="2500"/>
      <c r="BI20" s="2500"/>
    </row>
    <row r="21" spans="1:61" ht="21.95" customHeight="1">
      <c r="A21" s="1757">
        <v>15</v>
      </c>
      <c r="B21" s="1758" t="s">
        <v>938</v>
      </c>
      <c r="C21" s="1759" t="s">
        <v>592</v>
      </c>
      <c r="D21" s="1760"/>
      <c r="E21" s="1760"/>
      <c r="F21" s="1760"/>
      <c r="G21" s="1760"/>
      <c r="H21" s="1760"/>
      <c r="I21" s="1760"/>
      <c r="J21" s="1761" t="s">
        <v>939</v>
      </c>
      <c r="K21" s="1760"/>
      <c r="L21" s="1762"/>
      <c r="M21" s="1760"/>
      <c r="N21" s="1760"/>
      <c r="O21" s="1760"/>
      <c r="P21" s="1760"/>
      <c r="Q21" s="1760"/>
      <c r="R21" s="1760"/>
      <c r="S21" s="1760"/>
      <c r="T21" s="1760"/>
      <c r="U21" s="1760"/>
      <c r="V21" s="1760"/>
      <c r="W21" s="1760"/>
      <c r="X21" s="1760"/>
      <c r="Y21" s="1760"/>
      <c r="Z21" s="1760"/>
      <c r="AA21" s="1760"/>
      <c r="AB21" s="1760"/>
      <c r="AC21" s="1760"/>
      <c r="AD21" s="1760"/>
      <c r="AE21" s="1767"/>
      <c r="AF21" s="1767"/>
      <c r="AG21" s="1767"/>
      <c r="AH21" s="1767"/>
      <c r="AI21" s="1767"/>
      <c r="AJ21" s="1767"/>
      <c r="AK21" s="2476"/>
      <c r="AL21" s="2476"/>
      <c r="AM21" s="1776"/>
      <c r="AN21" s="2476"/>
      <c r="AO21" s="2476"/>
      <c r="AP21" s="2476"/>
      <c r="AQ21" s="2521"/>
      <c r="AR21" s="2476"/>
      <c r="AS21" s="2476"/>
      <c r="AT21" s="1774" t="s">
        <v>1975</v>
      </c>
      <c r="AU21" s="2475"/>
      <c r="AV21" s="2475"/>
      <c r="AW21" s="2475"/>
      <c r="AX21" s="2475"/>
      <c r="AY21" s="2475"/>
      <c r="AZ21" s="2475"/>
      <c r="BA21" s="351"/>
      <c r="BB21" s="347"/>
      <c r="BC21" s="347"/>
      <c r="BD21" s="347"/>
      <c r="BG21" s="1748">
        <v>1</v>
      </c>
      <c r="BH21" s="1748">
        <v>1</v>
      </c>
      <c r="BI21" s="1748">
        <v>1</v>
      </c>
    </row>
    <row r="22" spans="1:61" ht="30">
      <c r="A22" s="1757">
        <v>16</v>
      </c>
      <c r="B22" s="1758" t="s">
        <v>940</v>
      </c>
      <c r="C22" s="1759" t="s">
        <v>592</v>
      </c>
      <c r="D22" s="1762"/>
      <c r="E22" s="1762"/>
      <c r="F22" s="1762"/>
      <c r="G22" s="1762"/>
      <c r="H22" s="1762"/>
      <c r="I22" s="1762"/>
      <c r="J22" s="1766" t="s">
        <v>939</v>
      </c>
      <c r="K22" s="1762"/>
      <c r="L22" s="1762"/>
      <c r="M22" s="1762"/>
      <c r="N22" s="1762"/>
      <c r="O22" s="1762"/>
      <c r="P22" s="1762"/>
      <c r="Q22" s="1762"/>
      <c r="R22" s="1762"/>
      <c r="S22" s="1762"/>
      <c r="T22" s="1762"/>
      <c r="U22" s="1762"/>
      <c r="V22" s="1762"/>
      <c r="W22" s="1762"/>
      <c r="X22" s="1762"/>
      <c r="Y22" s="1762"/>
      <c r="Z22" s="1762"/>
      <c r="AA22" s="1762"/>
      <c r="AB22" s="1762"/>
      <c r="AC22" s="1762"/>
      <c r="AD22" s="1762"/>
      <c r="AE22" s="1767"/>
      <c r="AF22" s="1767"/>
      <c r="AG22" s="1767"/>
      <c r="AH22" s="1767"/>
      <c r="AI22" s="1767"/>
      <c r="AJ22" s="1767"/>
      <c r="AK22" s="2476"/>
      <c r="AL22" s="2476"/>
      <c r="AM22" s="2476"/>
      <c r="AN22" s="2476"/>
      <c r="AO22" s="2476"/>
      <c r="AP22" s="2476"/>
      <c r="AQ22" s="2521"/>
      <c r="AR22" s="2476"/>
      <c r="AS22" s="2476"/>
      <c r="AT22" s="1774" t="s">
        <v>1975</v>
      </c>
      <c r="AU22" s="2475"/>
      <c r="AV22" s="2475"/>
      <c r="AW22" s="2475"/>
      <c r="AX22" s="2475"/>
      <c r="AY22" s="2475"/>
      <c r="AZ22" s="2475"/>
      <c r="BA22" s="351"/>
      <c r="BB22" s="347"/>
      <c r="BC22" s="347"/>
      <c r="BD22" s="347"/>
      <c r="BG22" s="1748">
        <v>1</v>
      </c>
      <c r="BH22" s="1748">
        <v>1</v>
      </c>
      <c r="BI22" s="1748">
        <v>1</v>
      </c>
    </row>
    <row r="23" spans="1:61" ht="15">
      <c r="A23" s="1757">
        <v>17</v>
      </c>
      <c r="B23" s="1758" t="s">
        <v>941</v>
      </c>
      <c r="C23" s="1759" t="s">
        <v>592</v>
      </c>
      <c r="D23" s="1770"/>
      <c r="E23" s="1770"/>
      <c r="F23" s="1770"/>
      <c r="G23" s="1770"/>
      <c r="H23" s="1770"/>
      <c r="I23" s="1770"/>
      <c r="J23" s="1771" t="s">
        <v>939</v>
      </c>
      <c r="K23" s="1770"/>
      <c r="L23" s="1762"/>
      <c r="M23" s="1770"/>
      <c r="N23" s="1770"/>
      <c r="O23" s="1770"/>
      <c r="P23" s="1770"/>
      <c r="Q23" s="1770"/>
      <c r="R23" s="1770"/>
      <c r="S23" s="1770"/>
      <c r="T23" s="1770"/>
      <c r="U23" s="1770"/>
      <c r="V23" s="1770"/>
      <c r="W23" s="1770"/>
      <c r="X23" s="1770"/>
      <c r="Y23" s="1770"/>
      <c r="Z23" s="1770"/>
      <c r="AA23" s="1770"/>
      <c r="AB23" s="1770"/>
      <c r="AC23" s="1770"/>
      <c r="AD23" s="1770"/>
      <c r="AE23" s="1767"/>
      <c r="AF23" s="1767"/>
      <c r="AG23" s="1767"/>
      <c r="AH23" s="1767"/>
      <c r="AI23" s="1767"/>
      <c r="AJ23" s="1767"/>
      <c r="AK23" s="2476"/>
      <c r="AL23" s="2476"/>
      <c r="AM23" s="2476"/>
      <c r="AN23" s="2476"/>
      <c r="AO23" s="2476"/>
      <c r="AP23" s="2476"/>
      <c r="AQ23" s="2521"/>
      <c r="AR23" s="2476"/>
      <c r="AS23" s="2476"/>
      <c r="AT23" s="1774" t="s">
        <v>1975</v>
      </c>
      <c r="AU23" s="2475"/>
      <c r="AV23" s="2475"/>
      <c r="AW23" s="2475"/>
      <c r="AX23" s="2475"/>
      <c r="AY23" s="2475"/>
      <c r="AZ23" s="2475"/>
      <c r="BA23" s="351"/>
      <c r="BB23" s="347"/>
      <c r="BC23" s="347"/>
      <c r="BD23" s="347"/>
      <c r="BG23" s="1748">
        <v>1</v>
      </c>
      <c r="BH23" s="1748">
        <v>1</v>
      </c>
      <c r="BI23" s="1748">
        <v>1</v>
      </c>
    </row>
    <row r="24" spans="1:61" ht="15">
      <c r="A24" s="353"/>
      <c r="B24" s="2507" t="s">
        <v>379</v>
      </c>
      <c r="C24" s="2508"/>
      <c r="D24" s="2509"/>
      <c r="E24" s="2509"/>
      <c r="F24" s="2509"/>
      <c r="G24" s="2509"/>
      <c r="H24" s="2509"/>
      <c r="I24" s="2509"/>
      <c r="J24" s="2509"/>
      <c r="K24" s="2509"/>
      <c r="L24" s="2509"/>
      <c r="M24" s="2509"/>
      <c r="N24" s="2509"/>
      <c r="O24" s="2509"/>
      <c r="P24" s="2509"/>
      <c r="Q24" s="2509"/>
      <c r="R24" s="2509"/>
      <c r="S24" s="2509"/>
      <c r="T24" s="2509"/>
      <c r="U24" s="2509"/>
      <c r="V24" s="2509"/>
      <c r="W24" s="2509"/>
      <c r="X24" s="2509"/>
      <c r="Y24" s="2509"/>
      <c r="Z24" s="2509"/>
      <c r="AA24" s="2509"/>
      <c r="AB24" s="2509"/>
      <c r="AC24" s="2509"/>
      <c r="AD24" s="2509"/>
      <c r="AE24" s="2509"/>
      <c r="AF24" s="2509"/>
      <c r="AG24" s="2509"/>
      <c r="AH24" s="2509"/>
      <c r="AI24" s="2509"/>
      <c r="AJ24" s="2509"/>
      <c r="AK24" s="2480"/>
      <c r="AL24" s="2480"/>
      <c r="AM24" s="2480"/>
      <c r="AN24" s="2480"/>
      <c r="AO24" s="2480"/>
      <c r="AP24" s="2480"/>
      <c r="AQ24" s="2480"/>
      <c r="AR24" s="2480"/>
      <c r="AS24" s="2480"/>
      <c r="AT24" s="2480"/>
      <c r="AU24" s="2978"/>
      <c r="AV24" s="2978"/>
      <c r="AW24" s="2978"/>
      <c r="AX24" s="2978"/>
      <c r="AY24" s="2978"/>
      <c r="AZ24" s="2978"/>
      <c r="BA24" s="2493"/>
      <c r="BB24" s="2493"/>
      <c r="BC24" s="2493"/>
      <c r="BD24" s="2493"/>
      <c r="BE24" s="2493"/>
      <c r="BF24" s="2493"/>
      <c r="BG24" s="2502"/>
      <c r="BH24" s="2502"/>
      <c r="BI24" s="2502"/>
    </row>
    <row r="25" spans="1:61" ht="21.95" customHeight="1">
      <c r="A25" s="353">
        <v>18</v>
      </c>
      <c r="B25" s="1758" t="s">
        <v>942</v>
      </c>
      <c r="C25" s="1759" t="s">
        <v>1729</v>
      </c>
      <c r="D25" s="1760"/>
      <c r="E25" s="353"/>
      <c r="F25" s="1760"/>
      <c r="G25" s="1760"/>
      <c r="H25" s="1760"/>
      <c r="I25" s="1760"/>
      <c r="J25" s="1760"/>
      <c r="K25" s="1760"/>
      <c r="L25" s="1760"/>
      <c r="M25" s="1766" t="s">
        <v>948</v>
      </c>
      <c r="N25" s="1760"/>
      <c r="O25" s="1765" t="s">
        <v>943</v>
      </c>
      <c r="P25" s="1760"/>
      <c r="Q25" s="1760"/>
      <c r="R25" s="1760"/>
      <c r="S25" s="1760"/>
      <c r="T25" s="1760"/>
      <c r="U25" s="1760"/>
      <c r="V25" s="1760"/>
      <c r="W25" s="1760"/>
      <c r="X25" s="1760"/>
      <c r="Y25" s="1761" t="s">
        <v>944</v>
      </c>
      <c r="Z25" s="1760"/>
      <c r="AA25" s="1761" t="s">
        <v>212</v>
      </c>
      <c r="AB25" s="1760"/>
      <c r="AC25" s="1760"/>
      <c r="AD25" s="1760"/>
      <c r="AE25" s="1767"/>
      <c r="AF25" s="1761" t="s">
        <v>537</v>
      </c>
      <c r="AG25" s="1774" t="s">
        <v>945</v>
      </c>
      <c r="AH25" s="1775"/>
      <c r="AI25" s="1775"/>
      <c r="AJ25" s="1775"/>
      <c r="AK25" s="2475"/>
      <c r="AL25" s="2522" t="s">
        <v>946</v>
      </c>
      <c r="AM25" s="2475"/>
      <c r="AN25" s="2475"/>
      <c r="AO25" s="2475"/>
      <c r="AP25" s="2475"/>
      <c r="AQ25" s="2519" t="s">
        <v>1726</v>
      </c>
      <c r="AR25" s="2478"/>
      <c r="AS25" s="2478"/>
      <c r="AT25" s="2478"/>
      <c r="AU25" s="2478"/>
      <c r="AV25" s="2478"/>
      <c r="AW25" s="2478"/>
      <c r="AX25" s="2478"/>
      <c r="AY25" s="2993" t="s">
        <v>2834</v>
      </c>
      <c r="AZ25" s="2478"/>
      <c r="BA25" s="351">
        <v>1</v>
      </c>
      <c r="BB25" s="347">
        <v>1</v>
      </c>
      <c r="BC25" s="347">
        <v>1</v>
      </c>
      <c r="BD25" s="347">
        <v>1</v>
      </c>
      <c r="BE25" s="1748">
        <v>1</v>
      </c>
      <c r="BF25" s="1748">
        <v>1</v>
      </c>
      <c r="BG25" s="1748">
        <v>1</v>
      </c>
      <c r="BH25" s="1748">
        <v>1</v>
      </c>
      <c r="BI25" s="1748">
        <v>1</v>
      </c>
    </row>
    <row r="26" spans="1:61" ht="21.95" customHeight="1">
      <c r="A26" s="353">
        <v>19</v>
      </c>
      <c r="B26" s="1758" t="s">
        <v>947</v>
      </c>
      <c r="C26" s="1759" t="s">
        <v>1729</v>
      </c>
      <c r="D26" s="1762"/>
      <c r="E26" s="1762"/>
      <c r="F26" s="1762"/>
      <c r="G26" s="1762"/>
      <c r="H26" s="1762"/>
      <c r="I26" s="1762"/>
      <c r="J26" s="1762"/>
      <c r="K26" s="1762"/>
      <c r="L26" s="1762"/>
      <c r="M26" s="1766" t="s">
        <v>948</v>
      </c>
      <c r="N26" s="1762"/>
      <c r="O26" s="1768"/>
      <c r="P26" s="1762"/>
      <c r="Q26" s="1762"/>
      <c r="R26" s="1762"/>
      <c r="S26" s="1762"/>
      <c r="T26" s="1762"/>
      <c r="U26" s="1762"/>
      <c r="V26" s="1762"/>
      <c r="W26" s="1762"/>
      <c r="X26" s="1762"/>
      <c r="Y26" s="1766" t="s">
        <v>949</v>
      </c>
      <c r="Z26" s="1762"/>
      <c r="AA26" s="1762"/>
      <c r="AB26" s="1762"/>
      <c r="AC26" s="1762"/>
      <c r="AD26" s="1762"/>
      <c r="AE26" s="1767"/>
      <c r="AF26" s="1761" t="s">
        <v>537</v>
      </c>
      <c r="AG26" s="1779" t="s">
        <v>950</v>
      </c>
      <c r="AH26" s="1767"/>
      <c r="AI26" s="1765" t="s">
        <v>951</v>
      </c>
      <c r="AJ26" s="1768"/>
      <c r="AK26" s="2477"/>
      <c r="AL26" s="2522" t="s">
        <v>946</v>
      </c>
      <c r="AM26" s="2477"/>
      <c r="AN26" s="2477"/>
      <c r="AO26" s="2477"/>
      <c r="AP26" s="2477"/>
      <c r="AQ26" s="2519" t="s">
        <v>1726</v>
      </c>
      <c r="AR26" s="2478"/>
      <c r="AS26" s="2478"/>
      <c r="AT26" s="2478"/>
      <c r="AU26" s="2478"/>
      <c r="AV26" s="2478"/>
      <c r="AW26" s="2478"/>
      <c r="AX26" s="2993" t="s">
        <v>2833</v>
      </c>
      <c r="AY26" s="2478"/>
      <c r="AZ26" s="2478"/>
      <c r="BA26" s="351">
        <v>1</v>
      </c>
      <c r="BB26" s="347">
        <v>1</v>
      </c>
      <c r="BC26" s="347">
        <v>1</v>
      </c>
      <c r="BD26" s="347">
        <v>1</v>
      </c>
      <c r="BE26" s="1748">
        <v>1</v>
      </c>
      <c r="BF26" s="1748">
        <v>1</v>
      </c>
      <c r="BG26" s="1748">
        <v>1</v>
      </c>
      <c r="BH26" s="1748">
        <v>1</v>
      </c>
      <c r="BI26" s="1748">
        <v>1</v>
      </c>
    </row>
    <row r="27" spans="1:61" ht="21.95" customHeight="1">
      <c r="A27" s="353">
        <v>20</v>
      </c>
      <c r="B27" s="1758" t="s">
        <v>922</v>
      </c>
      <c r="C27" s="1759" t="s">
        <v>1729</v>
      </c>
      <c r="D27" s="1762"/>
      <c r="E27" s="1762"/>
      <c r="F27" s="1762"/>
      <c r="G27" s="1762"/>
      <c r="H27" s="1762"/>
      <c r="I27" s="1762"/>
      <c r="J27" s="1766" t="s">
        <v>939</v>
      </c>
      <c r="K27" s="1762"/>
      <c r="L27" s="1762"/>
      <c r="M27" s="1766" t="s">
        <v>948</v>
      </c>
      <c r="N27" s="1762"/>
      <c r="O27" s="1768"/>
      <c r="P27" s="1762"/>
      <c r="Q27" s="1762"/>
      <c r="R27" s="1762"/>
      <c r="S27" s="1762"/>
      <c r="T27" s="1762"/>
      <c r="U27" s="1762"/>
      <c r="V27" s="1762"/>
      <c r="W27" s="1762"/>
      <c r="X27" s="1762"/>
      <c r="Y27" s="1766" t="s">
        <v>949</v>
      </c>
      <c r="Z27" s="1762"/>
      <c r="AA27" s="1762"/>
      <c r="AB27" s="1765" t="s">
        <v>952</v>
      </c>
      <c r="AC27" s="353"/>
      <c r="AD27" s="1762"/>
      <c r="AE27" s="1767"/>
      <c r="AF27" s="1761" t="s">
        <v>537</v>
      </c>
      <c r="AG27" s="1779" t="s">
        <v>950</v>
      </c>
      <c r="AH27" s="1767"/>
      <c r="AI27" s="1767"/>
      <c r="AJ27" s="1767"/>
      <c r="AK27" s="1774" t="s">
        <v>702</v>
      </c>
      <c r="AL27" s="2522" t="s">
        <v>946</v>
      </c>
      <c r="AM27" s="2476"/>
      <c r="AN27" s="2476"/>
      <c r="AO27" s="2476"/>
      <c r="AP27" s="2476"/>
      <c r="AQ27" s="2519" t="s">
        <v>1726</v>
      </c>
      <c r="AR27" s="2478"/>
      <c r="AS27" s="2478"/>
      <c r="AT27" s="2478"/>
      <c r="AU27" s="2478"/>
      <c r="AV27" s="2478"/>
      <c r="AW27" s="2478"/>
      <c r="AX27" s="2478"/>
      <c r="AY27" s="2478"/>
      <c r="AZ27" s="2478"/>
      <c r="BA27" s="351">
        <v>1</v>
      </c>
      <c r="BB27" s="347">
        <v>1</v>
      </c>
      <c r="BC27" s="347">
        <v>1</v>
      </c>
      <c r="BD27" s="347">
        <v>1</v>
      </c>
      <c r="BE27" s="1748">
        <v>1</v>
      </c>
      <c r="BF27" s="1748">
        <v>1</v>
      </c>
      <c r="BG27" s="1748">
        <v>1</v>
      </c>
      <c r="BH27" s="1748">
        <v>1</v>
      </c>
      <c r="BI27" s="1748"/>
    </row>
    <row r="28" spans="1:61" ht="21.95" customHeight="1">
      <c r="A28" s="353">
        <v>21</v>
      </c>
      <c r="B28" s="1758" t="s">
        <v>953</v>
      </c>
      <c r="C28" s="1759" t="s">
        <v>1729</v>
      </c>
      <c r="D28" s="1762"/>
      <c r="E28" s="1762"/>
      <c r="F28" s="1762"/>
      <c r="G28" s="1762"/>
      <c r="H28" s="1762"/>
      <c r="I28" s="1762"/>
      <c r="J28" s="1762"/>
      <c r="K28" s="1762"/>
      <c r="L28" s="1762"/>
      <c r="M28" s="1766" t="s">
        <v>948</v>
      </c>
      <c r="N28" s="1762"/>
      <c r="O28" s="1768"/>
      <c r="P28" s="1762"/>
      <c r="Q28" s="1762"/>
      <c r="R28" s="1762"/>
      <c r="S28" s="1762"/>
      <c r="T28" s="1762"/>
      <c r="U28" s="1762"/>
      <c r="V28" s="1762"/>
      <c r="W28" s="1762"/>
      <c r="X28" s="1762"/>
      <c r="Y28" s="1766" t="s">
        <v>949</v>
      </c>
      <c r="Z28" s="1762"/>
      <c r="AA28" s="1762"/>
      <c r="AB28" s="1762"/>
      <c r="AC28" s="1765" t="s">
        <v>954</v>
      </c>
      <c r="AD28" s="1762"/>
      <c r="AE28" s="1767"/>
      <c r="AF28" s="1761" t="s">
        <v>537</v>
      </c>
      <c r="AG28" s="1779" t="s">
        <v>950</v>
      </c>
      <c r="AH28" s="1767"/>
      <c r="AI28" s="1767"/>
      <c r="AJ28" s="1767"/>
      <c r="AK28" s="2476"/>
      <c r="AL28" s="2522" t="s">
        <v>946</v>
      </c>
      <c r="AM28" s="2476"/>
      <c r="AN28" s="2476"/>
      <c r="AO28" s="2476"/>
      <c r="AP28" s="2476"/>
      <c r="AQ28" s="2519" t="s">
        <v>1726</v>
      </c>
      <c r="AR28" s="2478"/>
      <c r="AS28" s="2478"/>
      <c r="AT28" s="2478"/>
      <c r="AU28" s="2478"/>
      <c r="AV28" s="2478"/>
      <c r="AW28" s="2478"/>
      <c r="AX28" s="2478"/>
      <c r="AY28" s="2478"/>
      <c r="AZ28" s="2478"/>
      <c r="BA28" s="351">
        <v>1</v>
      </c>
      <c r="BB28" s="347">
        <v>1</v>
      </c>
      <c r="BC28" s="347">
        <v>1</v>
      </c>
      <c r="BD28" s="347">
        <v>1</v>
      </c>
      <c r="BE28" s="1748">
        <v>1</v>
      </c>
      <c r="BF28" s="1748">
        <v>1</v>
      </c>
      <c r="BG28" s="1748">
        <v>1</v>
      </c>
      <c r="BH28" s="1748">
        <v>1</v>
      </c>
      <c r="BI28" s="1748"/>
    </row>
    <row r="29" spans="1:61" ht="21.95" customHeight="1">
      <c r="A29" s="353">
        <v>22</v>
      </c>
      <c r="B29" s="1758" t="s">
        <v>955</v>
      </c>
      <c r="C29" s="1759" t="s">
        <v>1729</v>
      </c>
      <c r="D29" s="1762"/>
      <c r="E29" s="1762"/>
      <c r="F29" s="1762"/>
      <c r="G29" s="1762"/>
      <c r="H29" s="1762"/>
      <c r="I29" s="1762"/>
      <c r="J29" s="1762"/>
      <c r="K29" s="1762"/>
      <c r="L29" s="1762"/>
      <c r="M29" s="1766" t="s">
        <v>948</v>
      </c>
      <c r="N29" s="1762"/>
      <c r="O29" s="1768"/>
      <c r="P29" s="1762"/>
      <c r="Q29" s="1762"/>
      <c r="R29" s="1762"/>
      <c r="S29" s="1762"/>
      <c r="T29" s="1762"/>
      <c r="U29" s="1762"/>
      <c r="V29" s="1762"/>
      <c r="W29" s="1762"/>
      <c r="X29" s="1762"/>
      <c r="Y29" s="1766" t="s">
        <v>949</v>
      </c>
      <c r="Z29" s="1762"/>
      <c r="AA29" s="1762"/>
      <c r="AB29" s="1762"/>
      <c r="AC29" s="1762"/>
      <c r="AD29" s="1762"/>
      <c r="AE29" s="1767"/>
      <c r="AF29" s="1761" t="s">
        <v>537</v>
      </c>
      <c r="AG29" s="1779" t="s">
        <v>950</v>
      </c>
      <c r="AH29" s="1774" t="s">
        <v>702</v>
      </c>
      <c r="AI29" s="1775"/>
      <c r="AJ29" s="1775"/>
      <c r="AK29" s="2475"/>
      <c r="AL29" s="2522" t="s">
        <v>946</v>
      </c>
      <c r="AM29" s="2475"/>
      <c r="AN29" s="2475"/>
      <c r="AO29" s="2475"/>
      <c r="AP29" s="2475"/>
      <c r="AQ29" s="2519" t="s">
        <v>1726</v>
      </c>
      <c r="AR29" s="2478"/>
      <c r="AS29" s="2478"/>
      <c r="AT29" s="2478"/>
      <c r="AU29" s="2478"/>
      <c r="AV29" s="2478"/>
      <c r="AW29" s="2478"/>
      <c r="AX29" s="2478"/>
      <c r="AY29" s="2478"/>
      <c r="AZ29" s="2478"/>
      <c r="BA29" s="351">
        <v>1</v>
      </c>
      <c r="BB29" s="347">
        <v>1</v>
      </c>
      <c r="BC29" s="347">
        <v>1</v>
      </c>
      <c r="BD29" s="347">
        <v>1</v>
      </c>
      <c r="BE29" s="1748">
        <v>1</v>
      </c>
      <c r="BF29" s="1748">
        <v>1</v>
      </c>
      <c r="BG29" s="1748">
        <v>1</v>
      </c>
      <c r="BH29" s="1748">
        <v>1</v>
      </c>
      <c r="BI29" s="1748"/>
    </row>
    <row r="30" spans="1:61" ht="21.95" customHeight="1">
      <c r="A30" s="353">
        <v>23</v>
      </c>
      <c r="B30" s="1758" t="s">
        <v>924</v>
      </c>
      <c r="C30" s="1759" t="s">
        <v>1729</v>
      </c>
      <c r="D30" s="1771" t="s">
        <v>937</v>
      </c>
      <c r="E30" s="353"/>
      <c r="F30" s="1762"/>
      <c r="G30" s="1762"/>
      <c r="H30" s="1762"/>
      <c r="I30" s="1762"/>
      <c r="J30" s="1762"/>
      <c r="K30" s="1762"/>
      <c r="L30" s="1762"/>
      <c r="M30" s="1766" t="s">
        <v>948</v>
      </c>
      <c r="N30" s="1762"/>
      <c r="O30" s="1768"/>
      <c r="P30" s="1762"/>
      <c r="Q30" s="1762"/>
      <c r="R30" s="1762"/>
      <c r="S30" s="1762"/>
      <c r="T30" s="1762"/>
      <c r="U30" s="1762"/>
      <c r="V30" s="1762"/>
      <c r="W30" s="1762"/>
      <c r="X30" s="1762"/>
      <c r="Y30" s="1766" t="s">
        <v>949</v>
      </c>
      <c r="Z30" s="1762"/>
      <c r="AA30" s="1762"/>
      <c r="AB30" s="1762"/>
      <c r="AC30" s="1762"/>
      <c r="AD30" s="1762"/>
      <c r="AE30" s="1767"/>
      <c r="AF30" s="1761" t="s">
        <v>537</v>
      </c>
      <c r="AG30" s="1779" t="s">
        <v>950</v>
      </c>
      <c r="AH30" s="1767"/>
      <c r="AI30" s="1767"/>
      <c r="AJ30" s="1767"/>
      <c r="AK30" s="2476"/>
      <c r="AL30" s="2522" t="s">
        <v>946</v>
      </c>
      <c r="AM30" s="2476"/>
      <c r="AN30" s="2476"/>
      <c r="AO30" s="2476"/>
      <c r="AP30" s="2476"/>
      <c r="AQ30" s="2519" t="s">
        <v>1726</v>
      </c>
      <c r="AR30" s="2478"/>
      <c r="AS30" s="2478"/>
      <c r="AT30" s="2478"/>
      <c r="AU30" s="2478"/>
      <c r="AV30" s="2478"/>
      <c r="AW30" s="2478"/>
      <c r="AX30" s="2478"/>
      <c r="AY30" s="2478"/>
      <c r="AZ30" s="2478"/>
      <c r="BA30" s="351">
        <v>1</v>
      </c>
      <c r="BB30" s="347">
        <v>1</v>
      </c>
      <c r="BC30" s="347">
        <v>1</v>
      </c>
      <c r="BD30" s="347">
        <v>1</v>
      </c>
      <c r="BE30" s="1748">
        <v>1</v>
      </c>
      <c r="BF30" s="1748">
        <v>1</v>
      </c>
      <c r="BG30" s="1748">
        <v>1</v>
      </c>
      <c r="BH30" s="1748">
        <v>1</v>
      </c>
      <c r="BI30" s="1748"/>
    </row>
    <row r="31" spans="1:61" ht="21.95" customHeight="1">
      <c r="A31" s="353">
        <v>24</v>
      </c>
      <c r="B31" s="1758" t="s">
        <v>956</v>
      </c>
      <c r="C31" s="1759" t="s">
        <v>1729</v>
      </c>
      <c r="D31" s="1762"/>
      <c r="E31" s="1771" t="s">
        <v>257</v>
      </c>
      <c r="F31" s="353"/>
      <c r="G31" s="1762"/>
      <c r="H31" s="1762"/>
      <c r="I31" s="1762"/>
      <c r="J31" s="1762"/>
      <c r="K31" s="1762"/>
      <c r="L31" s="1762"/>
      <c r="M31" s="1766" t="s">
        <v>948</v>
      </c>
      <c r="N31" s="1762"/>
      <c r="O31" s="1768"/>
      <c r="P31" s="1762"/>
      <c r="Q31" s="1762"/>
      <c r="R31" s="1762"/>
      <c r="S31" s="1762"/>
      <c r="T31" s="1762"/>
      <c r="U31" s="1762"/>
      <c r="V31" s="1762"/>
      <c r="W31" s="1762"/>
      <c r="X31" s="1762"/>
      <c r="Y31" s="1766" t="s">
        <v>949</v>
      </c>
      <c r="Z31" s="1762"/>
      <c r="AA31" s="1762"/>
      <c r="AB31" s="1762"/>
      <c r="AC31" s="1762"/>
      <c r="AD31" s="1762"/>
      <c r="AE31" s="1767"/>
      <c r="AF31" s="1761" t="s">
        <v>537</v>
      </c>
      <c r="AG31" s="1779" t="s">
        <v>950</v>
      </c>
      <c r="AH31" s="1767"/>
      <c r="AI31" s="1765" t="s">
        <v>957</v>
      </c>
      <c r="AJ31" s="1768"/>
      <c r="AK31" s="2477"/>
      <c r="AL31" s="2522" t="s">
        <v>946</v>
      </c>
      <c r="AM31" s="2477"/>
      <c r="AN31" s="2477"/>
      <c r="AO31" s="2477"/>
      <c r="AP31" s="2477"/>
      <c r="AQ31" s="2519" t="s">
        <v>1726</v>
      </c>
      <c r="AR31" s="2478"/>
      <c r="AS31" s="2478"/>
      <c r="AT31" s="2478"/>
      <c r="AU31" s="2478"/>
      <c r="AV31" s="2478"/>
      <c r="AW31" s="2478"/>
      <c r="AX31" s="2478"/>
      <c r="AY31" s="2478"/>
      <c r="AZ31" s="2478"/>
      <c r="BA31" s="351">
        <v>1</v>
      </c>
      <c r="BB31" s="347">
        <v>1</v>
      </c>
      <c r="BC31" s="347">
        <v>1</v>
      </c>
      <c r="BD31" s="347">
        <v>1</v>
      </c>
      <c r="BE31" s="1748">
        <v>1</v>
      </c>
      <c r="BF31" s="1748">
        <v>1</v>
      </c>
      <c r="BG31" s="1748">
        <v>1</v>
      </c>
      <c r="BH31" s="1748">
        <v>1</v>
      </c>
      <c r="BI31" s="1748"/>
    </row>
    <row r="32" spans="1:61" ht="21.95" customHeight="1">
      <c r="A32" s="353">
        <v>25</v>
      </c>
      <c r="B32" s="1758" t="s">
        <v>958</v>
      </c>
      <c r="C32" s="1759" t="s">
        <v>1729</v>
      </c>
      <c r="D32" s="1762"/>
      <c r="E32" s="1771" t="s">
        <v>257</v>
      </c>
      <c r="F32" s="1762"/>
      <c r="G32" s="353"/>
      <c r="H32" s="1762"/>
      <c r="I32" s="1762"/>
      <c r="J32" s="1762"/>
      <c r="K32" s="1762"/>
      <c r="L32" s="1762"/>
      <c r="M32" s="1766" t="s">
        <v>948</v>
      </c>
      <c r="N32" s="1762"/>
      <c r="O32" s="1768"/>
      <c r="P32" s="1762"/>
      <c r="Q32" s="1762"/>
      <c r="R32" s="1762"/>
      <c r="S32" s="1762"/>
      <c r="T32" s="1762"/>
      <c r="U32" s="1762"/>
      <c r="V32" s="1762"/>
      <c r="W32" s="1762"/>
      <c r="X32" s="1762"/>
      <c r="Y32" s="1766" t="s">
        <v>949</v>
      </c>
      <c r="Z32" s="1762"/>
      <c r="AA32" s="1762"/>
      <c r="AB32" s="1762"/>
      <c r="AC32" s="1762"/>
      <c r="AD32" s="1762"/>
      <c r="AE32" s="1767"/>
      <c r="AF32" s="1780" t="s">
        <v>959</v>
      </c>
      <c r="AG32" s="1779" t="s">
        <v>950</v>
      </c>
      <c r="AH32" s="1767"/>
      <c r="AI32" s="1767"/>
      <c r="AJ32" s="1767"/>
      <c r="AK32" s="2476"/>
      <c r="AL32" s="1781" t="s">
        <v>960</v>
      </c>
      <c r="AM32" s="2478"/>
      <c r="AN32" s="2478"/>
      <c r="AO32" s="2478"/>
      <c r="AP32" s="2478"/>
      <c r="AQ32" s="2519" t="s">
        <v>1726</v>
      </c>
      <c r="AR32" s="2478"/>
      <c r="AS32" s="2478"/>
      <c r="AT32" s="2478"/>
      <c r="AU32" s="2478"/>
      <c r="AV32" s="3017" t="s">
        <v>2513</v>
      </c>
      <c r="AW32" s="2478"/>
      <c r="AX32" s="2478"/>
      <c r="AY32" s="2478"/>
      <c r="AZ32" s="2478"/>
      <c r="BA32" s="351">
        <v>1</v>
      </c>
      <c r="BB32" s="347">
        <v>1</v>
      </c>
      <c r="BC32" s="347">
        <v>1</v>
      </c>
      <c r="BD32" s="347">
        <v>1</v>
      </c>
      <c r="BE32" s="1748">
        <v>1</v>
      </c>
      <c r="BF32" s="1748">
        <v>1</v>
      </c>
      <c r="BG32" s="1748">
        <v>1</v>
      </c>
      <c r="BH32" s="1748">
        <v>1</v>
      </c>
      <c r="BI32" s="1748">
        <v>1</v>
      </c>
    </row>
    <row r="33" spans="1:61" ht="21.95" customHeight="1">
      <c r="A33" s="353">
        <v>26</v>
      </c>
      <c r="B33" s="1758" t="s">
        <v>961</v>
      </c>
      <c r="C33" s="1759" t="s">
        <v>1729</v>
      </c>
      <c r="D33" s="1771" t="s">
        <v>937</v>
      </c>
      <c r="E33" s="1762"/>
      <c r="F33" s="1770"/>
      <c r="G33" s="1770"/>
      <c r="H33" s="1770"/>
      <c r="I33" s="1770"/>
      <c r="J33" s="1770"/>
      <c r="K33" s="1766" t="s">
        <v>939</v>
      </c>
      <c r="L33" s="1770"/>
      <c r="M33" s="1766" t="s">
        <v>948</v>
      </c>
      <c r="N33" s="1770"/>
      <c r="O33" s="1768"/>
      <c r="P33" s="1770"/>
      <c r="Q33" s="1770"/>
      <c r="R33" s="1770"/>
      <c r="S33" s="1770"/>
      <c r="T33" s="1770"/>
      <c r="U33" s="1770"/>
      <c r="V33" s="1770"/>
      <c r="W33" s="1770"/>
      <c r="X33" s="1770"/>
      <c r="Y33" s="1771" t="s">
        <v>949</v>
      </c>
      <c r="Z33" s="1770"/>
      <c r="AA33" s="1770"/>
      <c r="AB33" s="1770"/>
      <c r="AC33" s="1770"/>
      <c r="AD33" s="1770"/>
      <c r="AE33" s="1767"/>
      <c r="AF33" s="1761" t="s">
        <v>537</v>
      </c>
      <c r="AG33" s="1778" t="s">
        <v>950</v>
      </c>
      <c r="AH33" s="1782"/>
      <c r="AI33" s="1782"/>
      <c r="AJ33" s="1782"/>
      <c r="AK33" s="2486"/>
      <c r="AL33" s="2522" t="s">
        <v>946</v>
      </c>
      <c r="AM33" s="2486"/>
      <c r="AN33" s="2486"/>
      <c r="AO33" s="2486"/>
      <c r="AP33" s="2486"/>
      <c r="AQ33" s="2468" t="s">
        <v>1726</v>
      </c>
      <c r="AR33" s="2481"/>
      <c r="AS33" s="2481"/>
      <c r="AT33" s="2481"/>
      <c r="AU33" s="2478"/>
      <c r="AV33" s="2478"/>
      <c r="AW33" s="2478"/>
      <c r="AX33" s="2478"/>
      <c r="AY33" s="2478"/>
      <c r="AZ33" s="2478"/>
      <c r="BA33" s="351">
        <v>1</v>
      </c>
      <c r="BB33" s="347">
        <v>1</v>
      </c>
      <c r="BC33" s="347">
        <v>1</v>
      </c>
      <c r="BD33" s="347">
        <v>1</v>
      </c>
      <c r="BE33" s="1748">
        <v>1</v>
      </c>
      <c r="BF33" s="1748">
        <v>1</v>
      </c>
      <c r="BG33" s="1748">
        <v>1</v>
      </c>
      <c r="BH33" s="1748">
        <v>1</v>
      </c>
      <c r="BI33" s="1748"/>
    </row>
    <row r="34" spans="1:61" ht="21.95" customHeight="1">
      <c r="A34" s="353">
        <f t="shared" ref="A34" si="0">+A33+1</f>
        <v>27</v>
      </c>
      <c r="B34" s="2555" t="s">
        <v>1973</v>
      </c>
      <c r="C34" s="2539" t="s">
        <v>1969</v>
      </c>
      <c r="D34" s="2478"/>
      <c r="E34" s="2478"/>
      <c r="F34" s="2478"/>
      <c r="G34" s="2478"/>
      <c r="H34" s="2478"/>
      <c r="I34" s="2478"/>
      <c r="J34" s="2478"/>
      <c r="K34" s="2478"/>
      <c r="L34" s="2478"/>
      <c r="M34" s="2478"/>
      <c r="N34" s="2478"/>
      <c r="O34" s="2477"/>
      <c r="P34" s="2478"/>
      <c r="Q34" s="2478"/>
      <c r="R34" s="2478"/>
      <c r="S34" s="2478"/>
      <c r="T34" s="2478"/>
      <c r="U34" s="2478"/>
      <c r="V34" s="2478"/>
      <c r="W34" s="2478"/>
      <c r="X34" s="2478"/>
      <c r="Y34" s="2478"/>
      <c r="Z34" s="2478"/>
      <c r="AA34" s="2478"/>
      <c r="AB34" s="2478"/>
      <c r="AC34" s="2478"/>
      <c r="AD34" s="2478"/>
      <c r="AE34" s="2476"/>
      <c r="AF34" s="2478"/>
      <c r="AG34" s="2476"/>
      <c r="AH34" s="2476"/>
      <c r="AI34" s="2476"/>
      <c r="AJ34" s="2476"/>
      <c r="AK34" s="2476"/>
      <c r="AL34" s="2476"/>
      <c r="AM34" s="2476"/>
      <c r="AN34" s="2476"/>
      <c r="AO34" s="2476"/>
      <c r="AP34" s="2476"/>
      <c r="AQ34" s="2478"/>
      <c r="AR34" s="2478"/>
      <c r="AS34" s="2482" t="s">
        <v>1971</v>
      </c>
      <c r="AT34" s="2478"/>
      <c r="AU34" s="2478"/>
      <c r="AV34" s="2478"/>
      <c r="AW34" s="2478"/>
      <c r="AX34" s="2478"/>
      <c r="AY34" s="2478"/>
      <c r="AZ34" s="2478"/>
      <c r="BA34" s="351"/>
      <c r="BB34" s="347"/>
      <c r="BC34" s="347"/>
      <c r="BD34" s="347"/>
      <c r="BG34" s="1748">
        <v>1</v>
      </c>
      <c r="BH34" s="1748">
        <v>1</v>
      </c>
      <c r="BI34" s="1748">
        <v>1</v>
      </c>
    </row>
    <row r="35" spans="1:61" ht="15">
      <c r="A35" s="353"/>
      <c r="B35" s="2507" t="s">
        <v>380</v>
      </c>
      <c r="C35" s="2508"/>
      <c r="D35" s="2509"/>
      <c r="E35" s="2509"/>
      <c r="F35" s="2509"/>
      <c r="G35" s="2509"/>
      <c r="H35" s="2509"/>
      <c r="I35" s="2509"/>
      <c r="J35" s="2509"/>
      <c r="K35" s="2509"/>
      <c r="L35" s="2509"/>
      <c r="M35" s="2509"/>
      <c r="N35" s="2509"/>
      <c r="O35" s="2509"/>
      <c r="P35" s="2509"/>
      <c r="Q35" s="2509"/>
      <c r="R35" s="2509"/>
      <c r="S35" s="2509"/>
      <c r="T35" s="2509"/>
      <c r="U35" s="2509"/>
      <c r="V35" s="2509"/>
      <c r="W35" s="2509"/>
      <c r="X35" s="2509"/>
      <c r="Y35" s="2509"/>
      <c r="Z35" s="2509"/>
      <c r="AA35" s="2509"/>
      <c r="AB35" s="2509"/>
      <c r="AC35" s="2509"/>
      <c r="AD35" s="2509"/>
      <c r="AE35" s="2509"/>
      <c r="AF35" s="2509"/>
      <c r="AG35" s="2509"/>
      <c r="AH35" s="2509"/>
      <c r="AI35" s="2509"/>
      <c r="AJ35" s="2509"/>
      <c r="AK35" s="2480"/>
      <c r="AL35" s="2480"/>
      <c r="AM35" s="2480"/>
      <c r="AN35" s="2480"/>
      <c r="AO35" s="2480"/>
      <c r="AP35" s="2480"/>
      <c r="AQ35" s="2480"/>
      <c r="AR35" s="2480"/>
      <c r="AS35" s="2480"/>
      <c r="AT35" s="2480"/>
      <c r="AU35" s="2978"/>
      <c r="AV35" s="2978"/>
      <c r="AW35" s="2978"/>
      <c r="AX35" s="2978"/>
      <c r="AY35" s="2978"/>
      <c r="AZ35" s="2978"/>
      <c r="BA35" s="2493"/>
      <c r="BB35" s="2493"/>
      <c r="BC35" s="2493"/>
      <c r="BD35" s="2493"/>
      <c r="BE35" s="2493"/>
      <c r="BF35" s="2493"/>
      <c r="BG35" s="2502"/>
      <c r="BH35" s="2502"/>
      <c r="BI35" s="2502"/>
    </row>
    <row r="36" spans="1:61" ht="21.95" customHeight="1">
      <c r="A36" s="353">
        <v>28</v>
      </c>
      <c r="B36" s="1758" t="s">
        <v>929</v>
      </c>
      <c r="C36" s="1759" t="s">
        <v>1720</v>
      </c>
      <c r="D36" s="1761" t="s">
        <v>937</v>
      </c>
      <c r="E36" s="1762"/>
      <c r="F36" s="1760"/>
      <c r="G36" s="1761" t="s">
        <v>206</v>
      </c>
      <c r="H36" s="1760"/>
      <c r="I36" s="1760"/>
      <c r="J36" s="1760"/>
      <c r="K36" s="1760"/>
      <c r="L36" s="1760"/>
      <c r="M36" s="1760"/>
      <c r="N36" s="1760"/>
      <c r="O36" s="1760"/>
      <c r="P36" s="1760"/>
      <c r="Q36" s="1760"/>
      <c r="R36" s="1760"/>
      <c r="S36" s="1760"/>
      <c r="T36" s="1766" t="s">
        <v>962</v>
      </c>
      <c r="U36" s="1762"/>
      <c r="V36" s="1760"/>
      <c r="W36" s="1760"/>
      <c r="X36" s="1760"/>
      <c r="Y36" s="1783" t="s">
        <v>963</v>
      </c>
      <c r="Z36" s="1760"/>
      <c r="AA36" s="1760"/>
      <c r="AB36" s="1760"/>
      <c r="AC36" s="1760"/>
      <c r="AD36" s="1760"/>
      <c r="AE36" s="1767"/>
      <c r="AF36" s="1763"/>
      <c r="AG36" s="1784" t="s">
        <v>950</v>
      </c>
      <c r="AH36" s="1763"/>
      <c r="AI36" s="1763"/>
      <c r="AJ36" s="1763"/>
      <c r="AK36" s="1763"/>
      <c r="AL36" s="2523" t="s">
        <v>946</v>
      </c>
      <c r="AM36" s="1763"/>
      <c r="AN36" s="2476"/>
      <c r="AO36" s="2476"/>
      <c r="AP36" s="2476"/>
      <c r="AQ36" s="2521"/>
      <c r="AR36" s="2476"/>
      <c r="AS36" s="2476"/>
      <c r="AT36" s="2476"/>
      <c r="AU36" s="2476"/>
      <c r="AV36" s="2476"/>
      <c r="AW36" s="2476"/>
      <c r="AX36" s="2476"/>
      <c r="AY36" s="2476"/>
      <c r="AZ36" s="2476"/>
      <c r="BA36" s="351">
        <v>1</v>
      </c>
      <c r="BB36" s="347">
        <v>1</v>
      </c>
      <c r="BC36" s="347">
        <v>1</v>
      </c>
      <c r="BD36" s="347">
        <v>1</v>
      </c>
      <c r="BE36" s="1748">
        <v>1</v>
      </c>
      <c r="BF36" s="1748">
        <v>1</v>
      </c>
      <c r="BG36" s="1748">
        <v>1</v>
      </c>
      <c r="BH36" s="1748"/>
      <c r="BI36" s="1748"/>
    </row>
    <row r="37" spans="1:61" ht="21.95" customHeight="1">
      <c r="A37" s="353">
        <v>29</v>
      </c>
      <c r="B37" s="1758" t="s">
        <v>964</v>
      </c>
      <c r="C37" s="1759"/>
      <c r="D37" s="1762"/>
      <c r="E37" s="1760"/>
      <c r="F37" s="1762"/>
      <c r="G37" s="1766" t="s">
        <v>206</v>
      </c>
      <c r="H37" s="1762"/>
      <c r="I37" s="1762"/>
      <c r="J37" s="1762"/>
      <c r="K37" s="1762"/>
      <c r="L37" s="1762"/>
      <c r="M37" s="1762"/>
      <c r="N37" s="1762"/>
      <c r="O37" s="1762"/>
      <c r="P37" s="1762"/>
      <c r="Q37" s="1762"/>
      <c r="R37" s="1762"/>
      <c r="S37" s="1762"/>
      <c r="T37" s="1766" t="s">
        <v>962</v>
      </c>
      <c r="U37" s="1762"/>
      <c r="V37" s="1762"/>
      <c r="W37" s="1762"/>
      <c r="X37" s="1762"/>
      <c r="Y37" s="1762"/>
      <c r="Z37" s="1762"/>
      <c r="AA37" s="1762"/>
      <c r="AB37" s="1762"/>
      <c r="AC37" s="1762"/>
      <c r="AD37" s="1765" t="s">
        <v>965</v>
      </c>
      <c r="AE37" s="1767"/>
      <c r="AF37" s="1767"/>
      <c r="AG37" s="1779" t="s">
        <v>950</v>
      </c>
      <c r="AH37" s="1767"/>
      <c r="AI37" s="1761" t="s">
        <v>966</v>
      </c>
      <c r="AJ37" s="1768"/>
      <c r="AK37" s="2477"/>
      <c r="AL37" s="2522" t="s">
        <v>946</v>
      </c>
      <c r="AM37" s="2477"/>
      <c r="AN37" s="2477"/>
      <c r="AO37" s="2477"/>
      <c r="AP37" s="2477"/>
      <c r="AQ37" s="2524"/>
      <c r="AR37" s="2477"/>
      <c r="AS37" s="2477"/>
      <c r="AT37" s="2477"/>
      <c r="AU37" s="2477"/>
      <c r="AV37" s="2477"/>
      <c r="AW37" s="2477"/>
      <c r="AX37" s="2477"/>
      <c r="AY37" s="2477"/>
      <c r="AZ37" s="2477"/>
      <c r="BA37" s="351">
        <v>1</v>
      </c>
      <c r="BB37" s="347">
        <v>1</v>
      </c>
      <c r="BC37" s="347">
        <v>1</v>
      </c>
      <c r="BD37" s="347">
        <v>1</v>
      </c>
      <c r="BE37" s="1748">
        <v>1</v>
      </c>
      <c r="BF37" s="1748">
        <v>1</v>
      </c>
      <c r="BG37" s="1748">
        <v>1</v>
      </c>
      <c r="BH37" s="1748"/>
      <c r="BI37" s="1748"/>
    </row>
    <row r="38" spans="1:61" ht="21.95" customHeight="1">
      <c r="A38" s="353">
        <v>30</v>
      </c>
      <c r="B38" s="1758" t="s">
        <v>967</v>
      </c>
      <c r="C38" s="1759"/>
      <c r="D38" s="1762"/>
      <c r="E38" s="1762"/>
      <c r="F38" s="1762"/>
      <c r="G38" s="1766" t="s">
        <v>206</v>
      </c>
      <c r="H38" s="1762"/>
      <c r="I38" s="1762"/>
      <c r="J38" s="1762"/>
      <c r="K38" s="1762"/>
      <c r="L38" s="1762"/>
      <c r="M38" s="1762"/>
      <c r="N38" s="1762"/>
      <c r="O38" s="1762"/>
      <c r="P38" s="1762"/>
      <c r="Q38" s="1762"/>
      <c r="R38" s="1762"/>
      <c r="S38" s="1762"/>
      <c r="T38" s="1785"/>
      <c r="U38" s="1766" t="s">
        <v>962</v>
      </c>
      <c r="V38" s="1762"/>
      <c r="W38" s="1762"/>
      <c r="X38" s="1762"/>
      <c r="Y38" s="1762"/>
      <c r="Z38" s="1762"/>
      <c r="AA38" s="1765" t="s">
        <v>968</v>
      </c>
      <c r="AB38" s="1762"/>
      <c r="AC38" s="1762"/>
      <c r="AD38" s="1762"/>
      <c r="AE38" s="1767"/>
      <c r="AF38" s="1767"/>
      <c r="AG38" s="1779" t="s">
        <v>950</v>
      </c>
      <c r="AH38" s="1767"/>
      <c r="AI38" s="1767"/>
      <c r="AJ38" s="1767"/>
      <c r="AK38" s="2476"/>
      <c r="AL38" s="2522" t="s">
        <v>946</v>
      </c>
      <c r="AM38" s="2476"/>
      <c r="AN38" s="2476"/>
      <c r="AO38" s="2476"/>
      <c r="AP38" s="2476"/>
      <c r="AQ38" s="2521"/>
      <c r="AR38" s="2476"/>
      <c r="AS38" s="2476"/>
      <c r="AT38" s="2476"/>
      <c r="AU38" s="2476"/>
      <c r="AV38" s="2476"/>
      <c r="AW38" s="2476"/>
      <c r="AX38" s="2476"/>
      <c r="AY38" s="2476"/>
      <c r="AZ38" s="2476"/>
      <c r="BA38" s="351">
        <v>1</v>
      </c>
      <c r="BB38" s="347">
        <v>1</v>
      </c>
      <c r="BC38" s="347">
        <v>1</v>
      </c>
      <c r="BD38" s="347">
        <v>1</v>
      </c>
      <c r="BE38" s="1748">
        <v>1</v>
      </c>
      <c r="BF38" s="1748">
        <v>1</v>
      </c>
      <c r="BG38" s="1748">
        <v>1</v>
      </c>
      <c r="BH38" s="1748"/>
      <c r="BI38" s="1748"/>
    </row>
    <row r="39" spans="1:61" ht="21.95" customHeight="1">
      <c r="A39" s="353">
        <v>31</v>
      </c>
      <c r="B39" s="1758" t="s">
        <v>969</v>
      </c>
      <c r="C39" s="1759" t="s">
        <v>846</v>
      </c>
      <c r="D39" s="1762"/>
      <c r="E39" s="1762"/>
      <c r="F39" s="1762"/>
      <c r="G39" s="1766" t="s">
        <v>206</v>
      </c>
      <c r="H39" s="1762"/>
      <c r="I39" s="1762"/>
      <c r="J39" s="1762"/>
      <c r="K39" s="1762"/>
      <c r="L39" s="1762"/>
      <c r="M39" s="1762"/>
      <c r="N39" s="1762"/>
      <c r="O39" s="1762"/>
      <c r="P39" s="1762"/>
      <c r="Q39" s="1762"/>
      <c r="R39" s="1762"/>
      <c r="S39" s="1762"/>
      <c r="T39" s="1785"/>
      <c r="U39" s="1766" t="s">
        <v>962</v>
      </c>
      <c r="V39" s="1762"/>
      <c r="W39" s="1762"/>
      <c r="X39" s="1762"/>
      <c r="Y39" s="1762"/>
      <c r="Z39" s="1762"/>
      <c r="AA39" s="1762"/>
      <c r="AB39" s="1762"/>
      <c r="AC39" s="1762"/>
      <c r="AD39" s="1765" t="s">
        <v>970</v>
      </c>
      <c r="AE39" s="1767"/>
      <c r="AF39" s="1767"/>
      <c r="AG39" s="1779" t="s">
        <v>950</v>
      </c>
      <c r="AH39" s="1767"/>
      <c r="AI39" s="1767"/>
      <c r="AJ39" s="1767"/>
      <c r="AK39" s="2476"/>
      <c r="AL39" s="2522" t="s">
        <v>946</v>
      </c>
      <c r="AM39" s="2476"/>
      <c r="AN39" s="2476"/>
      <c r="AO39" s="2476"/>
      <c r="AP39" s="2476"/>
      <c r="AQ39" s="2521"/>
      <c r="AR39" s="2476"/>
      <c r="AS39" s="2476"/>
      <c r="AT39" s="2476"/>
      <c r="AU39" s="2476"/>
      <c r="AV39" s="2476"/>
      <c r="AW39" s="2476"/>
      <c r="AX39" s="2476"/>
      <c r="AY39" s="2476"/>
      <c r="AZ39" s="2476"/>
      <c r="BA39" s="351">
        <v>1</v>
      </c>
      <c r="BB39" s="347">
        <v>1</v>
      </c>
      <c r="BC39" s="347">
        <v>1</v>
      </c>
      <c r="BD39" s="347">
        <v>1</v>
      </c>
      <c r="BE39" s="1748">
        <v>1</v>
      </c>
      <c r="BF39" s="1748">
        <v>1</v>
      </c>
      <c r="BG39" s="1748">
        <v>1</v>
      </c>
      <c r="BH39" s="1748"/>
      <c r="BI39" s="1748"/>
    </row>
    <row r="40" spans="1:61" ht="21.95" customHeight="1">
      <c r="A40" s="353">
        <v>32</v>
      </c>
      <c r="B40" s="1758" t="s">
        <v>933</v>
      </c>
      <c r="C40" s="1759"/>
      <c r="D40" s="1762"/>
      <c r="E40" s="1762"/>
      <c r="F40" s="1762"/>
      <c r="G40" s="1766" t="s">
        <v>206</v>
      </c>
      <c r="H40" s="1762"/>
      <c r="I40" s="1762"/>
      <c r="J40" s="1762"/>
      <c r="K40" s="1762"/>
      <c r="L40" s="1762"/>
      <c r="M40" s="1762"/>
      <c r="N40" s="1762"/>
      <c r="O40" s="1762"/>
      <c r="P40" s="1762"/>
      <c r="Q40" s="1762"/>
      <c r="R40" s="1762"/>
      <c r="S40" s="1762"/>
      <c r="T40" s="1785"/>
      <c r="U40" s="1766" t="s">
        <v>962</v>
      </c>
      <c r="V40" s="1762"/>
      <c r="W40" s="1762"/>
      <c r="X40" s="1762"/>
      <c r="Y40" s="1762"/>
      <c r="Z40" s="1762"/>
      <c r="AA40" s="1765" t="s">
        <v>971</v>
      </c>
      <c r="AB40" s="1762"/>
      <c r="AC40" s="1762"/>
      <c r="AD40" s="1762"/>
      <c r="AE40" s="1767"/>
      <c r="AF40" s="1767"/>
      <c r="AG40" s="1779" t="s">
        <v>950</v>
      </c>
      <c r="AH40" s="1767"/>
      <c r="AI40" s="1767"/>
      <c r="AJ40" s="1767"/>
      <c r="AK40" s="2476"/>
      <c r="AL40" s="2522" t="s">
        <v>946</v>
      </c>
      <c r="AM40" s="2476"/>
      <c r="AN40" s="2476"/>
      <c r="AO40" s="2476"/>
      <c r="AP40" s="2476"/>
      <c r="AQ40" s="2521"/>
      <c r="AR40" s="2476"/>
      <c r="AS40" s="2476"/>
      <c r="AT40" s="2476"/>
      <c r="AU40" s="2476"/>
      <c r="AV40" s="2476"/>
      <c r="AW40" s="2476"/>
      <c r="AX40" s="2476"/>
      <c r="AY40" s="2476"/>
      <c r="AZ40" s="2476"/>
      <c r="BA40" s="351">
        <v>1</v>
      </c>
      <c r="BB40" s="347">
        <v>1</v>
      </c>
      <c r="BC40" s="347">
        <v>1</v>
      </c>
      <c r="BD40" s="347">
        <v>1</v>
      </c>
      <c r="BE40" s="1748">
        <v>1</v>
      </c>
      <c r="BF40" s="1748">
        <v>1</v>
      </c>
      <c r="BG40" s="1748">
        <v>1</v>
      </c>
      <c r="BH40" s="1748"/>
      <c r="BI40" s="1748"/>
    </row>
    <row r="41" spans="1:61" ht="21.95" customHeight="1">
      <c r="A41" s="353">
        <v>33</v>
      </c>
      <c r="B41" s="1758" t="s">
        <v>936</v>
      </c>
      <c r="C41" s="1759"/>
      <c r="D41" s="1762"/>
      <c r="E41" s="1762"/>
      <c r="F41" s="1762"/>
      <c r="G41" s="1766" t="s">
        <v>206</v>
      </c>
      <c r="H41" s="1762"/>
      <c r="I41" s="1762"/>
      <c r="J41" s="1762"/>
      <c r="K41" s="1762"/>
      <c r="L41" s="1762"/>
      <c r="M41" s="1762"/>
      <c r="N41" s="1762"/>
      <c r="O41" s="1762"/>
      <c r="P41" s="1762"/>
      <c r="Q41" s="1762"/>
      <c r="R41" s="1762"/>
      <c r="S41" s="1762"/>
      <c r="T41" s="1785"/>
      <c r="U41" s="1766" t="s">
        <v>962</v>
      </c>
      <c r="V41" s="1762"/>
      <c r="W41" s="1762"/>
      <c r="X41" s="1762"/>
      <c r="Y41" s="1762"/>
      <c r="Z41" s="1762"/>
      <c r="AA41" s="1762"/>
      <c r="AB41" s="1762"/>
      <c r="AC41" s="1762"/>
      <c r="AD41" s="1765" t="s">
        <v>972</v>
      </c>
      <c r="AE41" s="1767"/>
      <c r="AF41" s="1767"/>
      <c r="AG41" s="1779" t="s">
        <v>950</v>
      </c>
      <c r="AH41" s="1767"/>
      <c r="AI41" s="1767"/>
      <c r="AJ41" s="1767"/>
      <c r="AK41" s="2476"/>
      <c r="AL41" s="2522" t="s">
        <v>946</v>
      </c>
      <c r="AM41" s="2476"/>
      <c r="AN41" s="2476"/>
      <c r="AO41" s="2476"/>
      <c r="AP41" s="2476"/>
      <c r="AQ41" s="2521"/>
      <c r="AR41" s="2476"/>
      <c r="AS41" s="2476"/>
      <c r="AT41" s="2476"/>
      <c r="AU41" s="2476"/>
      <c r="AV41" s="2476"/>
      <c r="AW41" s="2476"/>
      <c r="AX41" s="2476"/>
      <c r="AY41" s="2476"/>
      <c r="AZ41" s="2476"/>
      <c r="BA41" s="351">
        <v>1</v>
      </c>
      <c r="BB41" s="347">
        <v>1</v>
      </c>
      <c r="BC41" s="347">
        <v>1</v>
      </c>
      <c r="BD41" s="347">
        <v>1</v>
      </c>
      <c r="BE41" s="1748">
        <v>1</v>
      </c>
      <c r="BF41" s="1748">
        <v>1</v>
      </c>
      <c r="BG41" s="1748">
        <v>1</v>
      </c>
      <c r="BH41" s="1748"/>
      <c r="BI41" s="1748"/>
    </row>
    <row r="42" spans="1:61" ht="21.95" customHeight="1">
      <c r="A42" s="353">
        <v>34</v>
      </c>
      <c r="B42" s="1758" t="s">
        <v>973</v>
      </c>
      <c r="C42" s="1759"/>
      <c r="D42" s="1762"/>
      <c r="E42" s="1762"/>
      <c r="F42" s="1762"/>
      <c r="G42" s="1766" t="s">
        <v>206</v>
      </c>
      <c r="H42" s="1762"/>
      <c r="I42" s="1762"/>
      <c r="J42" s="1762"/>
      <c r="K42" s="1762"/>
      <c r="L42" s="1762"/>
      <c r="M42" s="1762"/>
      <c r="N42" s="1762"/>
      <c r="O42" s="1762"/>
      <c r="P42" s="1762"/>
      <c r="Q42" s="1762"/>
      <c r="R42" s="1762"/>
      <c r="S42" s="1762"/>
      <c r="T42" s="1785"/>
      <c r="U42" s="1766" t="s">
        <v>962</v>
      </c>
      <c r="V42" s="1762"/>
      <c r="W42" s="1762"/>
      <c r="X42" s="1765" t="s">
        <v>974</v>
      </c>
      <c r="Y42" s="1766" t="s">
        <v>949</v>
      </c>
      <c r="Z42" s="1762"/>
      <c r="AA42" s="1762"/>
      <c r="AB42" s="1762"/>
      <c r="AC42" s="1762"/>
      <c r="AD42" s="1762"/>
      <c r="AE42" s="1767"/>
      <c r="AF42" s="1767"/>
      <c r="AG42" s="1779" t="s">
        <v>950</v>
      </c>
      <c r="AH42" s="1767"/>
      <c r="AI42" s="1767"/>
      <c r="AJ42" s="1767"/>
      <c r="AK42" s="2476"/>
      <c r="AL42" s="2522" t="s">
        <v>946</v>
      </c>
      <c r="AM42" s="2476"/>
      <c r="AN42" s="2476"/>
      <c r="AO42" s="2476"/>
      <c r="AP42" s="2476"/>
      <c r="AQ42" s="2521"/>
      <c r="AR42" s="2476"/>
      <c r="AS42" s="2476"/>
      <c r="AT42" s="2476"/>
      <c r="AU42" s="2476"/>
      <c r="AV42" s="2476"/>
      <c r="AW42" s="2476"/>
      <c r="AX42" s="2476"/>
      <c r="AY42" s="2476"/>
      <c r="AZ42" s="2476"/>
      <c r="BA42" s="351">
        <v>1</v>
      </c>
      <c r="BB42" s="347">
        <v>1</v>
      </c>
      <c r="BC42" s="347">
        <v>1</v>
      </c>
      <c r="BD42" s="347">
        <v>1</v>
      </c>
      <c r="BE42" s="1748">
        <v>1</v>
      </c>
      <c r="BF42" s="1748">
        <v>1</v>
      </c>
      <c r="BG42" s="1748">
        <v>1</v>
      </c>
      <c r="BH42" s="1748"/>
      <c r="BI42" s="1748"/>
    </row>
    <row r="43" spans="1:61" ht="21.95" customHeight="1">
      <c r="A43" s="353">
        <v>35</v>
      </c>
      <c r="B43" s="1758" t="s">
        <v>975</v>
      </c>
      <c r="C43" s="1759"/>
      <c r="D43" s="1762"/>
      <c r="E43" s="1762"/>
      <c r="F43" s="1762"/>
      <c r="G43" s="1766" t="s">
        <v>206</v>
      </c>
      <c r="H43" s="1762"/>
      <c r="I43" s="1762"/>
      <c r="J43" s="1762"/>
      <c r="K43" s="1762"/>
      <c r="L43" s="1762"/>
      <c r="M43" s="1762"/>
      <c r="N43" s="1762"/>
      <c r="O43" s="1762"/>
      <c r="P43" s="1762"/>
      <c r="Q43" s="1762"/>
      <c r="R43" s="1762"/>
      <c r="S43" s="1762"/>
      <c r="T43" s="1785"/>
      <c r="U43" s="1766" t="s">
        <v>962</v>
      </c>
      <c r="V43" s="1762"/>
      <c r="W43" s="1762"/>
      <c r="X43" s="1762"/>
      <c r="Y43" s="1762"/>
      <c r="Z43" s="1762"/>
      <c r="AA43" s="1765" t="s">
        <v>976</v>
      </c>
      <c r="AB43" s="1762"/>
      <c r="AC43" s="1762"/>
      <c r="AD43" s="1762"/>
      <c r="AE43" s="1767"/>
      <c r="AF43" s="1767"/>
      <c r="AG43" s="1779" t="s">
        <v>950</v>
      </c>
      <c r="AH43" s="1767"/>
      <c r="AI43" s="1767"/>
      <c r="AJ43" s="1767"/>
      <c r="AK43" s="2476"/>
      <c r="AL43" s="2522" t="s">
        <v>946</v>
      </c>
      <c r="AM43" s="2476"/>
      <c r="AN43" s="2476"/>
      <c r="AO43" s="2476"/>
      <c r="AP43" s="2476"/>
      <c r="AQ43" s="2521"/>
      <c r="AR43" s="2476"/>
      <c r="AS43" s="2476"/>
      <c r="AT43" s="2476"/>
      <c r="AU43" s="2476"/>
      <c r="AV43" s="2476"/>
      <c r="AW43" s="2476"/>
      <c r="AX43" s="2476"/>
      <c r="AY43" s="2476"/>
      <c r="AZ43" s="2476"/>
      <c r="BA43" s="351">
        <v>1</v>
      </c>
      <c r="BB43" s="347">
        <v>1</v>
      </c>
      <c r="BC43" s="347">
        <v>1</v>
      </c>
      <c r="BD43" s="347">
        <v>1</v>
      </c>
      <c r="BE43" s="1748">
        <v>1</v>
      </c>
      <c r="BF43" s="1748">
        <v>1</v>
      </c>
      <c r="BG43" s="1748">
        <v>1</v>
      </c>
      <c r="BH43" s="1748"/>
      <c r="BI43" s="1748"/>
    </row>
    <row r="44" spans="1:61" ht="21.95" customHeight="1">
      <c r="A44" s="353">
        <v>36</v>
      </c>
      <c r="B44" s="1758" t="s">
        <v>977</v>
      </c>
      <c r="C44" s="1759" t="s">
        <v>1721</v>
      </c>
      <c r="D44" s="1786"/>
      <c r="E44" s="1762"/>
      <c r="F44" s="1762"/>
      <c r="G44" s="1766" t="s">
        <v>206</v>
      </c>
      <c r="H44" s="1762"/>
      <c r="I44" s="1762"/>
      <c r="J44" s="1762"/>
      <c r="K44" s="1762"/>
      <c r="L44" s="1762"/>
      <c r="M44" s="1762"/>
      <c r="N44" s="1762"/>
      <c r="O44" s="1762"/>
      <c r="P44" s="1762"/>
      <c r="Q44" s="1762"/>
      <c r="R44" s="1762"/>
      <c r="S44" s="1762"/>
      <c r="T44" s="1785"/>
      <c r="U44" s="1766" t="s">
        <v>962</v>
      </c>
      <c r="V44" s="1762"/>
      <c r="W44" s="1762"/>
      <c r="X44" s="1762"/>
      <c r="Y44" s="1762"/>
      <c r="Z44" s="1762"/>
      <c r="AA44" s="1762"/>
      <c r="AB44" s="1762"/>
      <c r="AC44" s="1762"/>
      <c r="AD44" s="1762"/>
      <c r="AE44" s="1767"/>
      <c r="AF44" s="1767"/>
      <c r="AG44" s="1779" t="s">
        <v>950</v>
      </c>
      <c r="AH44" s="1767"/>
      <c r="AI44" s="1767"/>
      <c r="AJ44" s="1767"/>
      <c r="AK44" s="2476"/>
      <c r="AL44" s="2522" t="s">
        <v>946</v>
      </c>
      <c r="AM44" s="2476"/>
      <c r="AN44" s="2476"/>
      <c r="AO44" s="1774" t="s">
        <v>1730</v>
      </c>
      <c r="AP44" s="2475"/>
      <c r="AQ44" s="2520"/>
      <c r="AR44" s="2475"/>
      <c r="AS44" s="2475"/>
      <c r="AT44" s="2475"/>
      <c r="AU44" s="2475"/>
      <c r="AV44" s="2475"/>
      <c r="AW44" s="2475"/>
      <c r="AX44" s="2475"/>
      <c r="AY44" s="2475"/>
      <c r="AZ44" s="2475"/>
      <c r="BA44" s="351">
        <v>1</v>
      </c>
      <c r="BB44" s="347"/>
      <c r="BC44" s="347">
        <v>1</v>
      </c>
      <c r="BD44" s="347">
        <v>1</v>
      </c>
      <c r="BE44" s="1748">
        <v>1</v>
      </c>
      <c r="BF44" s="1748">
        <v>1</v>
      </c>
      <c r="BG44" s="1748">
        <v>1</v>
      </c>
      <c r="BH44" s="1748">
        <v>1</v>
      </c>
      <c r="BI44" s="1748"/>
    </row>
    <row r="45" spans="1:61" ht="21.95" customHeight="1">
      <c r="A45" s="353">
        <v>37</v>
      </c>
      <c r="B45" s="1758" t="s">
        <v>978</v>
      </c>
      <c r="C45" s="1759"/>
      <c r="D45" s="1766" t="s">
        <v>937</v>
      </c>
      <c r="E45" s="353"/>
      <c r="F45" s="1762"/>
      <c r="G45" s="1766" t="s">
        <v>206</v>
      </c>
      <c r="H45" s="1762"/>
      <c r="I45" s="1762"/>
      <c r="J45" s="1762"/>
      <c r="K45" s="1762"/>
      <c r="L45" s="1762"/>
      <c r="M45" s="1762"/>
      <c r="N45" s="1762"/>
      <c r="O45" s="1762"/>
      <c r="P45" s="1762"/>
      <c r="Q45" s="1762"/>
      <c r="R45" s="1762"/>
      <c r="S45" s="1762"/>
      <c r="T45" s="1785"/>
      <c r="U45" s="1766" t="s">
        <v>962</v>
      </c>
      <c r="V45" s="1762"/>
      <c r="W45" s="1762"/>
      <c r="X45" s="1762"/>
      <c r="Y45" s="1762"/>
      <c r="Z45" s="1762"/>
      <c r="AA45" s="1762"/>
      <c r="AB45" s="1762"/>
      <c r="AC45" s="1762"/>
      <c r="AD45" s="1762"/>
      <c r="AE45" s="1767"/>
      <c r="AF45" s="1767"/>
      <c r="AG45" s="1779" t="s">
        <v>950</v>
      </c>
      <c r="AH45" s="1767"/>
      <c r="AI45" s="1767"/>
      <c r="AJ45" s="1767"/>
      <c r="AK45" s="2476"/>
      <c r="AL45" s="2522" t="s">
        <v>946</v>
      </c>
      <c r="AM45" s="2476"/>
      <c r="AN45" s="2476"/>
      <c r="AO45" s="2476"/>
      <c r="AP45" s="2476"/>
      <c r="AQ45" s="2521"/>
      <c r="AR45" s="2476"/>
      <c r="AS45" s="2476"/>
      <c r="AT45" s="2476"/>
      <c r="AU45" s="2476"/>
      <c r="AV45" s="2476"/>
      <c r="AW45" s="2476"/>
      <c r="AX45" s="2476"/>
      <c r="AY45" s="2476"/>
      <c r="AZ45" s="2476"/>
      <c r="BA45" s="351">
        <v>1</v>
      </c>
      <c r="BB45" s="347"/>
      <c r="BC45" s="347">
        <v>1</v>
      </c>
      <c r="BD45" s="347">
        <v>1</v>
      </c>
      <c r="BE45" s="1748">
        <v>1</v>
      </c>
      <c r="BF45" s="1748">
        <v>1</v>
      </c>
      <c r="BG45" s="1748">
        <v>1</v>
      </c>
      <c r="BH45" s="1748"/>
      <c r="BI45" s="1748"/>
    </row>
    <row r="46" spans="1:61" ht="21.95" customHeight="1">
      <c r="A46" s="353">
        <v>38</v>
      </c>
      <c r="B46" s="1758" t="s">
        <v>979</v>
      </c>
      <c r="C46" s="1759" t="s">
        <v>1722</v>
      </c>
      <c r="D46" s="1770"/>
      <c r="E46" s="1770"/>
      <c r="F46" s="1770"/>
      <c r="G46" s="1766" t="s">
        <v>206</v>
      </c>
      <c r="H46" s="1770"/>
      <c r="I46" s="1770"/>
      <c r="J46" s="1770"/>
      <c r="K46" s="1770"/>
      <c r="L46" s="1770"/>
      <c r="M46" s="1770"/>
      <c r="N46" s="1770"/>
      <c r="O46" s="1770"/>
      <c r="P46" s="1770"/>
      <c r="Q46" s="1770"/>
      <c r="R46" s="1770"/>
      <c r="S46" s="1770"/>
      <c r="T46" s="1785"/>
      <c r="U46" s="1771" t="s">
        <v>962</v>
      </c>
      <c r="V46" s="1770"/>
      <c r="W46" s="1770"/>
      <c r="X46" s="1770"/>
      <c r="Y46" s="1770"/>
      <c r="Z46" s="1770"/>
      <c r="AA46" s="1770"/>
      <c r="AB46" s="1770"/>
      <c r="AC46" s="1770"/>
      <c r="AD46" s="1770"/>
      <c r="AE46" s="1767"/>
      <c r="AF46" s="1782"/>
      <c r="AG46" s="1778" t="s">
        <v>950</v>
      </c>
      <c r="AH46" s="1767"/>
      <c r="AI46" s="1767"/>
      <c r="AJ46" s="1767"/>
      <c r="AK46" s="2476"/>
      <c r="AL46" s="2522" t="s">
        <v>946</v>
      </c>
      <c r="AM46" s="2476"/>
      <c r="AN46" s="2476"/>
      <c r="AO46" s="1774" t="s">
        <v>1730</v>
      </c>
      <c r="AP46" s="1774" t="s">
        <v>1731</v>
      </c>
      <c r="AQ46" s="2520"/>
      <c r="AR46" s="2475"/>
      <c r="AS46" s="2475"/>
      <c r="AT46" s="2475"/>
      <c r="AU46" s="2475"/>
      <c r="AV46" s="2475"/>
      <c r="AW46" s="2475"/>
      <c r="AX46" s="2475"/>
      <c r="AY46" s="2475"/>
      <c r="AZ46" s="2475"/>
      <c r="BA46" s="351">
        <v>1</v>
      </c>
      <c r="BB46" s="347"/>
      <c r="BC46" s="347">
        <v>1</v>
      </c>
      <c r="BD46" s="347">
        <v>1</v>
      </c>
      <c r="BE46" s="1748">
        <v>1</v>
      </c>
      <c r="BF46" s="1748">
        <v>1</v>
      </c>
      <c r="BG46" s="1748">
        <v>1</v>
      </c>
      <c r="BH46" s="1748">
        <v>1</v>
      </c>
      <c r="BI46" s="1748"/>
    </row>
    <row r="47" spans="1:61" ht="15">
      <c r="A47" s="353"/>
      <c r="B47" s="2507" t="s">
        <v>381</v>
      </c>
      <c r="C47" s="2508"/>
      <c r="D47" s="2509"/>
      <c r="E47" s="2509"/>
      <c r="F47" s="2509"/>
      <c r="G47" s="2509"/>
      <c r="H47" s="2509"/>
      <c r="I47" s="2509"/>
      <c r="J47" s="2509"/>
      <c r="K47" s="2509"/>
      <c r="L47" s="2509"/>
      <c r="M47" s="2509"/>
      <c r="N47" s="2509"/>
      <c r="O47" s="2509"/>
      <c r="P47" s="2509"/>
      <c r="Q47" s="2509"/>
      <c r="R47" s="2509"/>
      <c r="S47" s="2509"/>
      <c r="T47" s="2509"/>
      <c r="U47" s="2509"/>
      <c r="V47" s="2509"/>
      <c r="W47" s="2509"/>
      <c r="X47" s="2509"/>
      <c r="Y47" s="2509"/>
      <c r="Z47" s="2509"/>
      <c r="AA47" s="2509"/>
      <c r="AB47" s="2509"/>
      <c r="AC47" s="2509"/>
      <c r="AD47" s="2509"/>
      <c r="AE47" s="2509"/>
      <c r="AF47" s="2509"/>
      <c r="AG47" s="2509"/>
      <c r="AH47" s="2509"/>
      <c r="AI47" s="2509"/>
      <c r="AJ47" s="2509"/>
      <c r="AK47" s="2480"/>
      <c r="AL47" s="2480"/>
      <c r="AM47" s="2480"/>
      <c r="AN47" s="2480"/>
      <c r="AO47" s="2480"/>
      <c r="AP47" s="2480"/>
      <c r="AQ47" s="2480"/>
      <c r="AR47" s="2480"/>
      <c r="AS47" s="2480"/>
      <c r="AT47" s="2480"/>
      <c r="AU47" s="2978"/>
      <c r="AV47" s="2978"/>
      <c r="AW47" s="2978"/>
      <c r="AX47" s="2978"/>
      <c r="AY47" s="2978"/>
      <c r="AZ47" s="2978"/>
      <c r="BA47" s="2493"/>
      <c r="BB47" s="2493"/>
      <c r="BC47" s="2493"/>
      <c r="BD47" s="2493"/>
      <c r="BE47" s="2493"/>
      <c r="BF47" s="2493"/>
      <c r="BG47" s="2502"/>
      <c r="BH47" s="2502"/>
      <c r="BI47" s="2502"/>
    </row>
    <row r="48" spans="1:61" ht="21.95" customHeight="1">
      <c r="A48" s="353">
        <v>39</v>
      </c>
      <c r="B48" s="1758" t="s">
        <v>980</v>
      </c>
      <c r="C48" s="1759"/>
      <c r="D48" s="1760"/>
      <c r="E48" s="1760"/>
      <c r="F48" s="1761" t="s">
        <v>206</v>
      </c>
      <c r="G48" s="1762"/>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7"/>
      <c r="AF48" s="1765" t="s">
        <v>981</v>
      </c>
      <c r="AG48" s="1784" t="s">
        <v>950</v>
      </c>
      <c r="AH48" s="1763"/>
      <c r="AI48" s="1767"/>
      <c r="AJ48" s="1767"/>
      <c r="AK48" s="2476"/>
      <c r="AL48" s="2522" t="s">
        <v>946</v>
      </c>
      <c r="AM48" s="2476"/>
      <c r="AN48" s="2476"/>
      <c r="AO48" s="2476"/>
      <c r="AP48" s="2476"/>
      <c r="AQ48" s="2521"/>
      <c r="AR48" s="2476"/>
      <c r="AS48" s="2476"/>
      <c r="AT48" s="2476"/>
      <c r="AU48" s="2476"/>
      <c r="AV48" s="2476"/>
      <c r="AW48" s="2476"/>
      <c r="AX48" s="2476"/>
      <c r="AY48" s="2476"/>
      <c r="AZ48" s="2476"/>
      <c r="BA48" s="351"/>
      <c r="BB48" s="347"/>
      <c r="BC48" s="347">
        <v>1</v>
      </c>
      <c r="BD48" s="347">
        <v>1</v>
      </c>
      <c r="BE48" s="1748">
        <v>1</v>
      </c>
      <c r="BF48" s="1748">
        <v>1</v>
      </c>
      <c r="BG48" s="1748">
        <v>1</v>
      </c>
      <c r="BH48" s="1748"/>
      <c r="BI48" s="1748"/>
    </row>
    <row r="49" spans="1:61" ht="21.95" customHeight="1">
      <c r="A49" s="353">
        <v>40</v>
      </c>
      <c r="B49" s="1758" t="s">
        <v>982</v>
      </c>
      <c r="C49" s="1759" t="s">
        <v>755</v>
      </c>
      <c r="D49" s="1762"/>
      <c r="E49" s="1762"/>
      <c r="F49" s="1766" t="s">
        <v>206</v>
      </c>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7"/>
      <c r="AF49" s="1767"/>
      <c r="AG49" s="1779" t="s">
        <v>950</v>
      </c>
      <c r="AH49" s="1767"/>
      <c r="AI49" s="1767"/>
      <c r="AJ49" s="1767"/>
      <c r="AK49" s="2476"/>
      <c r="AL49" s="1781" t="s">
        <v>960</v>
      </c>
      <c r="AM49" s="2475"/>
      <c r="AN49" s="2475"/>
      <c r="AO49" s="2475"/>
      <c r="AP49" s="2475"/>
      <c r="AQ49" s="2520"/>
      <c r="AR49" s="2475"/>
      <c r="AS49" s="2475"/>
      <c r="AT49" s="2475"/>
      <c r="AU49" s="2475"/>
      <c r="AV49" s="2475"/>
      <c r="AW49" s="2475"/>
      <c r="AX49" s="2475"/>
      <c r="AY49" s="2475"/>
      <c r="AZ49" s="2475"/>
      <c r="BA49" s="351"/>
      <c r="BB49" s="347"/>
      <c r="BC49" s="347">
        <v>1</v>
      </c>
      <c r="BD49" s="347">
        <v>1</v>
      </c>
      <c r="BE49" s="1748">
        <v>1</v>
      </c>
      <c r="BF49" s="1748">
        <v>1</v>
      </c>
      <c r="BG49" s="1748">
        <v>1</v>
      </c>
      <c r="BH49" s="1748"/>
      <c r="BI49" s="1748"/>
    </row>
    <row r="50" spans="1:61" ht="21.95" customHeight="1">
      <c r="A50" s="353">
        <v>41</v>
      </c>
      <c r="B50" s="1758" t="s">
        <v>983</v>
      </c>
      <c r="C50" s="1759"/>
      <c r="D50" s="1762"/>
      <c r="E50" s="1762"/>
      <c r="F50" s="1766" t="s">
        <v>206</v>
      </c>
      <c r="G50" s="1762"/>
      <c r="H50" s="1762"/>
      <c r="I50" s="1762"/>
      <c r="J50" s="1762"/>
      <c r="K50" s="1762"/>
      <c r="L50" s="1762"/>
      <c r="M50" s="1762"/>
      <c r="N50" s="1762"/>
      <c r="O50" s="1762"/>
      <c r="P50" s="1762"/>
      <c r="Q50" s="1762"/>
      <c r="R50" s="1762"/>
      <c r="S50" s="1762"/>
      <c r="T50" s="1762"/>
      <c r="U50" s="1762"/>
      <c r="V50" s="1762"/>
      <c r="W50" s="1762"/>
      <c r="X50" s="1762"/>
      <c r="Y50" s="1762"/>
      <c r="Z50" s="1762"/>
      <c r="AA50" s="1762"/>
      <c r="AB50" s="1762"/>
      <c r="AC50" s="1762"/>
      <c r="AD50" s="1762"/>
      <c r="AE50" s="1767"/>
      <c r="AF50" s="1767"/>
      <c r="AG50" s="1779" t="s">
        <v>950</v>
      </c>
      <c r="AH50" s="1767"/>
      <c r="AI50" s="1767"/>
      <c r="AJ50" s="1767"/>
      <c r="AK50" s="2476"/>
      <c r="AL50" s="2522" t="s">
        <v>946</v>
      </c>
      <c r="AM50" s="2476"/>
      <c r="AN50" s="2476"/>
      <c r="AO50" s="2476"/>
      <c r="AP50" s="2476"/>
      <c r="AQ50" s="2521"/>
      <c r="AR50" s="2476"/>
      <c r="AS50" s="2476"/>
      <c r="AT50" s="2476"/>
      <c r="AU50" s="2476"/>
      <c r="AV50" s="2476"/>
      <c r="AW50" s="2476"/>
      <c r="AX50" s="2476"/>
      <c r="AY50" s="2476"/>
      <c r="AZ50" s="2476"/>
      <c r="BA50" s="351"/>
      <c r="BB50" s="347"/>
      <c r="BC50" s="347">
        <v>1</v>
      </c>
      <c r="BD50" s="347">
        <v>1</v>
      </c>
      <c r="BE50" s="1748">
        <v>1</v>
      </c>
      <c r="BF50" s="1748">
        <v>1</v>
      </c>
      <c r="BG50" s="1748">
        <v>1</v>
      </c>
      <c r="BH50" s="1748"/>
      <c r="BI50" s="1748"/>
    </row>
    <row r="51" spans="1:61" ht="21.95" customHeight="1">
      <c r="A51" s="353">
        <v>42</v>
      </c>
      <c r="B51" s="1758" t="s">
        <v>984</v>
      </c>
      <c r="C51" s="1759"/>
      <c r="D51" s="1762"/>
      <c r="E51" s="1762"/>
      <c r="F51" s="1766" t="s">
        <v>206</v>
      </c>
      <c r="G51" s="1762"/>
      <c r="H51" s="1766" t="s">
        <v>209</v>
      </c>
      <c r="I51" s="1762"/>
      <c r="J51" s="1762"/>
      <c r="K51" s="1762"/>
      <c r="L51" s="1762"/>
      <c r="M51" s="1762"/>
      <c r="N51" s="1762"/>
      <c r="O51" s="1762"/>
      <c r="P51" s="1762"/>
      <c r="Q51" s="1762"/>
      <c r="R51" s="1762"/>
      <c r="S51" s="1762"/>
      <c r="T51" s="1762"/>
      <c r="U51" s="1762"/>
      <c r="V51" s="1762"/>
      <c r="W51" s="1762"/>
      <c r="X51" s="1762"/>
      <c r="Y51" s="1762"/>
      <c r="Z51" s="1762"/>
      <c r="AA51" s="1762"/>
      <c r="AB51" s="1762"/>
      <c r="AC51" s="1762"/>
      <c r="AD51" s="1762"/>
      <c r="AE51" s="1767"/>
      <c r="AF51" s="1765" t="s">
        <v>985</v>
      </c>
      <c r="AG51" s="1779" t="s">
        <v>950</v>
      </c>
      <c r="AH51" s="1767"/>
      <c r="AI51" s="1767"/>
      <c r="AJ51" s="1767"/>
      <c r="AK51" s="2476"/>
      <c r="AL51" s="2522" t="s">
        <v>946</v>
      </c>
      <c r="AM51" s="2476"/>
      <c r="AN51" s="2476"/>
      <c r="AO51" s="2476"/>
      <c r="AP51" s="2476"/>
      <c r="AQ51" s="2521"/>
      <c r="AR51" s="2476"/>
      <c r="AS51" s="2476"/>
      <c r="AT51" s="2476"/>
      <c r="AU51" s="2476"/>
      <c r="AV51" s="2476"/>
      <c r="AW51" s="2476"/>
      <c r="AX51" s="2476"/>
      <c r="AY51" s="2476"/>
      <c r="AZ51" s="2476"/>
      <c r="BA51" s="351"/>
      <c r="BB51" s="347"/>
      <c r="BC51" s="347">
        <v>1</v>
      </c>
      <c r="BD51" s="347">
        <v>1</v>
      </c>
      <c r="BE51" s="1748">
        <v>1</v>
      </c>
      <c r="BF51" s="1748">
        <v>1</v>
      </c>
      <c r="BG51" s="1748">
        <v>1</v>
      </c>
      <c r="BH51" s="1748"/>
      <c r="BI51" s="1748"/>
    </row>
    <row r="52" spans="1:61" ht="21.95" customHeight="1">
      <c r="A52" s="353">
        <v>43</v>
      </c>
      <c r="B52" s="1758" t="s">
        <v>986</v>
      </c>
      <c r="C52" s="1759"/>
      <c r="D52" s="1762"/>
      <c r="E52" s="1762"/>
      <c r="F52" s="1766" t="s">
        <v>206</v>
      </c>
      <c r="G52" s="1762"/>
      <c r="H52" s="1766" t="s">
        <v>209</v>
      </c>
      <c r="I52" s="1762"/>
      <c r="J52" s="1762"/>
      <c r="K52" s="1762"/>
      <c r="L52" s="1762"/>
      <c r="M52" s="1762"/>
      <c r="N52" s="1762"/>
      <c r="O52" s="1762"/>
      <c r="P52" s="1762"/>
      <c r="Q52" s="1762"/>
      <c r="R52" s="1762"/>
      <c r="S52" s="1762"/>
      <c r="T52" s="1762"/>
      <c r="U52" s="1762"/>
      <c r="V52" s="1762"/>
      <c r="W52" s="1762"/>
      <c r="X52" s="1762"/>
      <c r="Y52" s="1762"/>
      <c r="Z52" s="1762"/>
      <c r="AA52" s="1762"/>
      <c r="AB52" s="1762"/>
      <c r="AC52" s="1762"/>
      <c r="AD52" s="1762"/>
      <c r="AE52" s="1767"/>
      <c r="AF52" s="1767"/>
      <c r="AG52" s="1779" t="s">
        <v>950</v>
      </c>
      <c r="AH52" s="1774" t="s">
        <v>702</v>
      </c>
      <c r="AI52" s="1775"/>
      <c r="AJ52" s="1774" t="s">
        <v>987</v>
      </c>
      <c r="AK52" s="1776"/>
      <c r="AL52" s="2522" t="s">
        <v>946</v>
      </c>
      <c r="AM52" s="2475"/>
      <c r="AN52" s="2475"/>
      <c r="AO52" s="2475"/>
      <c r="AP52" s="2475"/>
      <c r="AQ52" s="2520"/>
      <c r="AR52" s="2475"/>
      <c r="AS52" s="2475"/>
      <c r="AT52" s="2475"/>
      <c r="AU52" s="2475"/>
      <c r="AV52" s="2475"/>
      <c r="AW52" s="2475"/>
      <c r="AX52" s="2475"/>
      <c r="AY52" s="2475"/>
      <c r="AZ52" s="2475"/>
      <c r="BA52" s="351"/>
      <c r="BB52" s="347"/>
      <c r="BC52" s="347">
        <v>1</v>
      </c>
      <c r="BD52" s="347">
        <v>1</v>
      </c>
      <c r="BE52" s="1748">
        <v>1</v>
      </c>
      <c r="BF52" s="1748">
        <v>1</v>
      </c>
      <c r="BG52" s="1748">
        <v>1</v>
      </c>
      <c r="BH52" s="1748"/>
      <c r="BI52" s="1748"/>
    </row>
    <row r="53" spans="1:61" ht="21.95" customHeight="1">
      <c r="A53" s="353">
        <v>44</v>
      </c>
      <c r="B53" s="1758" t="s">
        <v>988</v>
      </c>
      <c r="C53" s="1759" t="s">
        <v>846</v>
      </c>
      <c r="D53" s="1770"/>
      <c r="E53" s="1771" t="s">
        <v>937</v>
      </c>
      <c r="F53" s="1766" t="s">
        <v>206</v>
      </c>
      <c r="G53" s="1771" t="s">
        <v>206</v>
      </c>
      <c r="H53" s="1771" t="s">
        <v>209</v>
      </c>
      <c r="I53" s="1762"/>
      <c r="J53" s="1770"/>
      <c r="K53" s="1770"/>
      <c r="L53" s="1770"/>
      <c r="M53" s="1770"/>
      <c r="N53" s="1770"/>
      <c r="O53" s="1770"/>
      <c r="P53" s="1770"/>
      <c r="Q53" s="1770"/>
      <c r="R53" s="1770"/>
      <c r="S53" s="1770"/>
      <c r="T53" s="1770"/>
      <c r="U53" s="1770"/>
      <c r="V53" s="1770"/>
      <c r="W53" s="1770"/>
      <c r="X53" s="1770"/>
      <c r="Y53" s="1770"/>
      <c r="Z53" s="1770"/>
      <c r="AA53" s="1770"/>
      <c r="AB53" s="1770"/>
      <c r="AC53" s="1770"/>
      <c r="AD53" s="1770"/>
      <c r="AE53" s="1767"/>
      <c r="AF53" s="1782"/>
      <c r="AG53" s="1778" t="s">
        <v>950</v>
      </c>
      <c r="AH53" s="1782"/>
      <c r="AI53" s="1774" t="s">
        <v>966</v>
      </c>
      <c r="AJ53" s="1768"/>
      <c r="AK53" s="2477"/>
      <c r="AL53" s="1781" t="s">
        <v>1732</v>
      </c>
      <c r="AM53" s="2477"/>
      <c r="AN53" s="2477"/>
      <c r="AO53" s="2477"/>
      <c r="AP53" s="2477"/>
      <c r="AQ53" s="2524"/>
      <c r="AR53" s="2477"/>
      <c r="AS53" s="2477"/>
      <c r="AT53" s="2477"/>
      <c r="AU53" s="2477"/>
      <c r="AV53" s="2993" t="s">
        <v>2518</v>
      </c>
      <c r="AW53" s="2477"/>
      <c r="AX53" s="2477"/>
      <c r="AY53" s="2477"/>
      <c r="AZ53" s="2477"/>
      <c r="BA53" s="351"/>
      <c r="BB53" s="347"/>
      <c r="BC53" s="347">
        <v>1</v>
      </c>
      <c r="BD53" s="347">
        <v>1</v>
      </c>
      <c r="BE53" s="1748">
        <v>1</v>
      </c>
      <c r="BF53" s="1748">
        <v>1</v>
      </c>
      <c r="BG53" s="1748">
        <v>1</v>
      </c>
      <c r="BH53" s="1748">
        <v>1</v>
      </c>
      <c r="BI53" s="1748">
        <v>1</v>
      </c>
    </row>
    <row r="54" spans="1:61" ht="15">
      <c r="A54" s="353"/>
      <c r="B54" s="2510" t="s">
        <v>382</v>
      </c>
      <c r="C54" s="2492"/>
      <c r="D54" s="2511"/>
      <c r="E54" s="2511"/>
      <c r="F54" s="2511"/>
      <c r="G54" s="2511"/>
      <c r="H54" s="2511"/>
      <c r="I54" s="2511"/>
      <c r="J54" s="2511"/>
      <c r="K54" s="2511"/>
      <c r="L54" s="2511"/>
      <c r="M54" s="2511"/>
      <c r="N54" s="2511"/>
      <c r="O54" s="2511"/>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483"/>
      <c r="AL54" s="2483"/>
      <c r="AM54" s="2483"/>
      <c r="AN54" s="2483"/>
      <c r="AO54" s="2483"/>
      <c r="AP54" s="2483"/>
      <c r="AQ54" s="2483"/>
      <c r="AR54" s="2483"/>
      <c r="AS54" s="2483"/>
      <c r="AT54" s="2483"/>
      <c r="AU54" s="2979"/>
      <c r="AV54" s="2979"/>
      <c r="AW54" s="2979"/>
      <c r="AX54" s="2979"/>
      <c r="AY54" s="2979"/>
      <c r="AZ54" s="2979"/>
      <c r="BA54" s="2496"/>
      <c r="BB54" s="2496"/>
      <c r="BC54" s="2496"/>
      <c r="BD54" s="2496"/>
      <c r="BE54" s="2496"/>
      <c r="BF54" s="2496"/>
      <c r="BG54" s="2503"/>
      <c r="BH54" s="2503"/>
      <c r="BI54" s="2503"/>
    </row>
    <row r="55" spans="1:61" ht="21.95" customHeight="1">
      <c r="A55" s="353">
        <v>45</v>
      </c>
      <c r="B55" s="1758" t="s">
        <v>929</v>
      </c>
      <c r="C55" s="1759" t="s">
        <v>593</v>
      </c>
      <c r="D55" s="1760"/>
      <c r="E55" s="1760"/>
      <c r="F55" s="1760"/>
      <c r="G55" s="1760"/>
      <c r="H55" s="1760"/>
      <c r="I55" s="1760"/>
      <c r="J55" s="1760"/>
      <c r="K55" s="1761" t="s">
        <v>989</v>
      </c>
      <c r="L55" s="1760"/>
      <c r="M55" s="1762"/>
      <c r="N55" s="1760"/>
      <c r="O55" s="1760"/>
      <c r="P55" s="1760"/>
      <c r="Q55" s="1760"/>
      <c r="R55" s="1760"/>
      <c r="S55" s="1760"/>
      <c r="T55" s="1760"/>
      <c r="U55" s="1760"/>
      <c r="V55" s="1760"/>
      <c r="W55" s="1760"/>
      <c r="X55" s="1760"/>
      <c r="Y55" s="1760"/>
      <c r="Z55" s="1760"/>
      <c r="AA55" s="1760"/>
      <c r="AB55" s="1760"/>
      <c r="AC55" s="1760"/>
      <c r="AD55" s="1760"/>
      <c r="AE55" s="1767"/>
      <c r="AF55" s="1763"/>
      <c r="AG55" s="1763"/>
      <c r="AH55" s="1763"/>
      <c r="AI55" s="1767"/>
      <c r="AJ55" s="1767"/>
      <c r="AK55" s="2476"/>
      <c r="AL55" s="2476"/>
      <c r="AM55" s="2476"/>
      <c r="AN55" s="2476"/>
      <c r="AO55" s="2476"/>
      <c r="AP55" s="2476"/>
      <c r="AQ55" s="2521"/>
      <c r="AR55" s="2476"/>
      <c r="AS55" s="2476"/>
      <c r="AT55" s="2476"/>
      <c r="AU55" s="2476"/>
      <c r="AV55" s="2476"/>
      <c r="AW55" s="2476"/>
      <c r="AX55" s="2476"/>
      <c r="AY55" s="2476"/>
      <c r="AZ55" s="2476"/>
      <c r="BA55" s="351"/>
      <c r="BB55" s="347"/>
      <c r="BC55" s="347"/>
      <c r="BD55" s="347"/>
      <c r="BG55" s="1748"/>
      <c r="BH55" s="1748"/>
      <c r="BI55" s="1748"/>
    </row>
    <row r="56" spans="1:61" ht="21.95" customHeight="1">
      <c r="A56" s="353">
        <v>46</v>
      </c>
      <c r="B56" s="1758" t="s">
        <v>990</v>
      </c>
      <c r="C56" s="1759" t="s">
        <v>1721</v>
      </c>
      <c r="D56" s="1762"/>
      <c r="E56" s="1762"/>
      <c r="F56" s="1762"/>
      <c r="G56" s="1762"/>
      <c r="H56" s="1762"/>
      <c r="I56" s="1762"/>
      <c r="J56" s="1762"/>
      <c r="K56" s="1766" t="s">
        <v>989</v>
      </c>
      <c r="L56" s="1762"/>
      <c r="M56" s="1762"/>
      <c r="N56" s="1762"/>
      <c r="O56" s="1766" t="s">
        <v>211</v>
      </c>
      <c r="P56" s="353"/>
      <c r="Q56" s="1762"/>
      <c r="R56" s="1762"/>
      <c r="S56" s="1762"/>
      <c r="T56" s="1762"/>
      <c r="U56" s="1762"/>
      <c r="V56" s="1762"/>
      <c r="W56" s="1762"/>
      <c r="X56" s="1762"/>
      <c r="Y56" s="1762"/>
      <c r="Z56" s="1762"/>
      <c r="AA56" s="1762"/>
      <c r="AB56" s="1762"/>
      <c r="AC56" s="1762"/>
      <c r="AD56" s="1762"/>
      <c r="AE56" s="1767"/>
      <c r="AF56" s="1767"/>
      <c r="AG56" s="1767"/>
      <c r="AH56" s="1767"/>
      <c r="AI56" s="1767"/>
      <c r="AJ56" s="1767"/>
      <c r="AK56" s="2476"/>
      <c r="AL56" s="2476"/>
      <c r="AM56" s="1774" t="s">
        <v>851</v>
      </c>
      <c r="AN56" s="2476"/>
      <c r="AO56" s="2476"/>
      <c r="AP56" s="2476"/>
      <c r="AQ56" s="2521"/>
      <c r="AR56" s="2476"/>
      <c r="AS56" s="2476"/>
      <c r="AT56" s="2476"/>
      <c r="AU56" s="2476"/>
      <c r="AV56" s="2476"/>
      <c r="AW56" s="2476"/>
      <c r="AX56" s="2476"/>
      <c r="AY56" s="2476"/>
      <c r="AZ56" s="2476"/>
      <c r="BA56" s="351"/>
      <c r="BB56" s="347"/>
      <c r="BC56" s="347"/>
      <c r="BD56" s="347"/>
      <c r="BE56" s="1748">
        <v>1</v>
      </c>
      <c r="BF56" s="1748">
        <v>1</v>
      </c>
      <c r="BG56" s="1748">
        <v>1</v>
      </c>
      <c r="BH56" s="1748"/>
      <c r="BI56" s="1748"/>
    </row>
    <row r="57" spans="1:61" ht="21.95" customHeight="1">
      <c r="A57" s="353">
        <v>47</v>
      </c>
      <c r="B57" s="1758" t="s">
        <v>933</v>
      </c>
      <c r="C57" s="1773" t="s">
        <v>594</v>
      </c>
      <c r="D57" s="1762"/>
      <c r="E57" s="1762"/>
      <c r="F57" s="1762"/>
      <c r="G57" s="1762"/>
      <c r="H57" s="1762"/>
      <c r="I57" s="1762"/>
      <c r="J57" s="1762"/>
      <c r="K57" s="1766" t="s">
        <v>989</v>
      </c>
      <c r="L57" s="1762"/>
      <c r="M57" s="1766" t="s">
        <v>205</v>
      </c>
      <c r="N57" s="353"/>
      <c r="O57" s="1762"/>
      <c r="P57" s="1762"/>
      <c r="Q57" s="1762"/>
      <c r="R57" s="1762"/>
      <c r="S57" s="1762"/>
      <c r="T57" s="1762"/>
      <c r="U57" s="1762"/>
      <c r="V57" s="1762"/>
      <c r="W57" s="1762"/>
      <c r="X57" s="1762"/>
      <c r="Y57" s="1762"/>
      <c r="Z57" s="1762"/>
      <c r="AA57" s="1762"/>
      <c r="AB57" s="1762"/>
      <c r="AC57" s="1762"/>
      <c r="AD57" s="1762"/>
      <c r="AE57" s="1767"/>
      <c r="AF57" s="1767"/>
      <c r="AG57" s="1767"/>
      <c r="AH57" s="1767"/>
      <c r="AI57" s="1767"/>
      <c r="AJ57" s="1767"/>
      <c r="AK57" s="2476"/>
      <c r="AL57" s="2476"/>
      <c r="AM57" s="2476"/>
      <c r="AN57" s="2476"/>
      <c r="AO57" s="2476"/>
      <c r="AP57" s="2476"/>
      <c r="AQ57" s="2521"/>
      <c r="AR57" s="2476"/>
      <c r="AS57" s="2476"/>
      <c r="AT57" s="2476"/>
      <c r="AU57" s="2476"/>
      <c r="AV57" s="2476"/>
      <c r="AW57" s="2476"/>
      <c r="AX57" s="2476"/>
      <c r="AY57" s="2476"/>
      <c r="AZ57" s="2476"/>
      <c r="BA57" s="351"/>
      <c r="BB57" s="347"/>
      <c r="BC57" s="347"/>
      <c r="BD57" s="347"/>
      <c r="BG57" s="1748"/>
      <c r="BH57" s="1748"/>
      <c r="BI57" s="1748"/>
    </row>
    <row r="58" spans="1:61" ht="21.95" customHeight="1">
      <c r="A58" s="353">
        <v>48</v>
      </c>
      <c r="B58" s="1758" t="s">
        <v>991</v>
      </c>
      <c r="C58" s="1773" t="s">
        <v>593</v>
      </c>
      <c r="D58" s="1762"/>
      <c r="E58" s="1762"/>
      <c r="F58" s="1762"/>
      <c r="G58" s="1762"/>
      <c r="H58" s="1762"/>
      <c r="I58" s="1762"/>
      <c r="J58" s="1762"/>
      <c r="K58" s="1766" t="s">
        <v>989</v>
      </c>
      <c r="L58" s="1762"/>
      <c r="M58" s="1762"/>
      <c r="N58" s="1762"/>
      <c r="O58" s="1762"/>
      <c r="P58" s="1762"/>
      <c r="Q58" s="1762"/>
      <c r="R58" s="1762"/>
      <c r="S58" s="1762"/>
      <c r="T58" s="1762"/>
      <c r="U58" s="1762"/>
      <c r="V58" s="1762"/>
      <c r="W58" s="1762"/>
      <c r="X58" s="1762"/>
      <c r="Y58" s="1762"/>
      <c r="Z58" s="1762"/>
      <c r="AA58" s="1762"/>
      <c r="AB58" s="1762"/>
      <c r="AC58" s="1762"/>
      <c r="AD58" s="1762"/>
      <c r="AE58" s="1767"/>
      <c r="AF58" s="1767"/>
      <c r="AG58" s="1767"/>
      <c r="AH58" s="1767"/>
      <c r="AI58" s="1767"/>
      <c r="AJ58" s="1767"/>
      <c r="AK58" s="2476"/>
      <c r="AL58" s="2476"/>
      <c r="AM58" s="2476"/>
      <c r="AN58" s="2476"/>
      <c r="AO58" s="2476"/>
      <c r="AP58" s="2476"/>
      <c r="AQ58" s="2521"/>
      <c r="AR58" s="2476"/>
      <c r="AS58" s="2476"/>
      <c r="AT58" s="2476"/>
      <c r="AU58" s="2476"/>
      <c r="AV58" s="2476"/>
      <c r="AW58" s="2476"/>
      <c r="AX58" s="2476"/>
      <c r="AY58" s="2476"/>
      <c r="AZ58" s="2476"/>
      <c r="BA58" s="351"/>
      <c r="BB58" s="347"/>
      <c r="BC58" s="347"/>
      <c r="BD58" s="347"/>
      <c r="BG58" s="1748"/>
      <c r="BH58" s="1748"/>
      <c r="BI58" s="1748"/>
    </row>
    <row r="59" spans="1:61" ht="21.95" customHeight="1">
      <c r="A59" s="353">
        <v>49</v>
      </c>
      <c r="B59" s="1758" t="s">
        <v>936</v>
      </c>
      <c r="C59" s="1773" t="s">
        <v>402</v>
      </c>
      <c r="D59" s="1762"/>
      <c r="E59" s="1762"/>
      <c r="F59" s="1762"/>
      <c r="G59" s="1762"/>
      <c r="H59" s="1762"/>
      <c r="I59" s="1762"/>
      <c r="J59" s="1762"/>
      <c r="K59" s="1766" t="s">
        <v>989</v>
      </c>
      <c r="L59" s="1762"/>
      <c r="M59" s="1762"/>
      <c r="N59" s="1762"/>
      <c r="O59" s="1762"/>
      <c r="P59" s="1762"/>
      <c r="Q59" s="1762"/>
      <c r="R59" s="1762"/>
      <c r="S59" s="1762"/>
      <c r="T59" s="1762"/>
      <c r="U59" s="1762"/>
      <c r="V59" s="1762"/>
      <c r="W59" s="1762"/>
      <c r="X59" s="1762"/>
      <c r="Y59" s="1762"/>
      <c r="Z59" s="1762"/>
      <c r="AA59" s="1762"/>
      <c r="AB59" s="1762"/>
      <c r="AC59" s="1766" t="s">
        <v>239</v>
      </c>
      <c r="AD59" s="1762"/>
      <c r="AE59" s="1767"/>
      <c r="AF59" s="1767"/>
      <c r="AG59" s="1767"/>
      <c r="AH59" s="1767"/>
      <c r="AI59" s="1767"/>
      <c r="AJ59" s="1767"/>
      <c r="AK59" s="2476"/>
      <c r="AL59" s="2476"/>
      <c r="AM59" s="2476"/>
      <c r="AN59" s="2476"/>
      <c r="AO59" s="2476"/>
      <c r="AP59" s="2476"/>
      <c r="AQ59" s="2521"/>
      <c r="AR59" s="2476"/>
      <c r="AS59" s="2476"/>
      <c r="AT59" s="2476"/>
      <c r="AU59" s="2476"/>
      <c r="AV59" s="2476"/>
      <c r="AW59" s="2993" t="s">
        <v>2521</v>
      </c>
      <c r="AX59" s="2478"/>
      <c r="AY59" s="2478"/>
      <c r="AZ59" s="2478"/>
      <c r="BA59" s="351"/>
      <c r="BB59" s="347">
        <v>1</v>
      </c>
      <c r="BC59" s="347">
        <v>1</v>
      </c>
      <c r="BD59" s="347">
        <v>1</v>
      </c>
      <c r="BG59" s="1748"/>
      <c r="BH59" s="1748">
        <v>1</v>
      </c>
      <c r="BI59" s="1748">
        <v>1</v>
      </c>
    </row>
    <row r="60" spans="1:61" ht="21.95" customHeight="1">
      <c r="A60" s="353">
        <v>50</v>
      </c>
      <c r="B60" s="1758" t="s">
        <v>992</v>
      </c>
      <c r="C60" s="1787" t="s">
        <v>1725</v>
      </c>
      <c r="D60" s="1770"/>
      <c r="E60" s="1770"/>
      <c r="F60" s="1770"/>
      <c r="G60" s="1771" t="s">
        <v>257</v>
      </c>
      <c r="H60" s="1770"/>
      <c r="I60" s="1770"/>
      <c r="J60" s="1770"/>
      <c r="K60" s="1771" t="s">
        <v>989</v>
      </c>
      <c r="L60" s="1770"/>
      <c r="M60" s="1762"/>
      <c r="N60" s="1770"/>
      <c r="O60" s="1770"/>
      <c r="P60" s="1770"/>
      <c r="Q60" s="1770"/>
      <c r="R60" s="1770"/>
      <c r="S60" s="1770"/>
      <c r="T60" s="1770"/>
      <c r="U60" s="1770"/>
      <c r="V60" s="1770"/>
      <c r="W60" s="1771" t="s">
        <v>993</v>
      </c>
      <c r="X60" s="353"/>
      <c r="Y60" s="1770"/>
      <c r="Z60" s="1770"/>
      <c r="AA60" s="1770"/>
      <c r="AB60" s="1770"/>
      <c r="AC60" s="1770"/>
      <c r="AD60" s="1770"/>
      <c r="AE60" s="1782"/>
      <c r="AF60" s="1782"/>
      <c r="AG60" s="1782"/>
      <c r="AH60" s="1782"/>
      <c r="AI60" s="1767"/>
      <c r="AJ60" s="1767"/>
      <c r="AK60" s="2476"/>
      <c r="AL60" s="2476"/>
      <c r="AM60" s="2476"/>
      <c r="AN60" s="2476"/>
      <c r="AO60" s="2476"/>
      <c r="AP60" s="1774" t="s">
        <v>1731</v>
      </c>
      <c r="AQ60" s="2520"/>
      <c r="AR60" s="2475"/>
      <c r="AS60" s="2475"/>
      <c r="AT60" s="2475"/>
      <c r="AU60" s="2475"/>
      <c r="AV60" s="2475"/>
      <c r="AW60" s="2475"/>
      <c r="AX60" s="2475"/>
      <c r="AY60" s="2475"/>
      <c r="AZ60" s="2475"/>
      <c r="BA60" s="351">
        <v>1</v>
      </c>
      <c r="BB60" s="347">
        <v>1</v>
      </c>
      <c r="BC60" s="347"/>
      <c r="BD60" s="347"/>
      <c r="BF60" s="1748">
        <v>1</v>
      </c>
      <c r="BG60" s="1748">
        <v>1</v>
      </c>
      <c r="BH60" s="1748">
        <v>1</v>
      </c>
      <c r="BI60" s="1748"/>
    </row>
    <row r="61" spans="1:61" ht="15">
      <c r="A61" s="353"/>
      <c r="B61" s="2510" t="s">
        <v>383</v>
      </c>
      <c r="C61" s="2492"/>
      <c r="D61" s="2511"/>
      <c r="E61" s="2511"/>
      <c r="F61" s="2511"/>
      <c r="G61" s="2511"/>
      <c r="H61" s="2511"/>
      <c r="I61" s="2511"/>
      <c r="J61" s="2511"/>
      <c r="K61" s="2511"/>
      <c r="L61" s="2511"/>
      <c r="M61" s="2511"/>
      <c r="N61" s="2511"/>
      <c r="O61" s="2511"/>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483"/>
      <c r="AL61" s="2483"/>
      <c r="AM61" s="2483"/>
      <c r="AN61" s="2483"/>
      <c r="AO61" s="2483"/>
      <c r="AP61" s="2483"/>
      <c r="AQ61" s="2483"/>
      <c r="AR61" s="2483"/>
      <c r="AS61" s="2483"/>
      <c r="AT61" s="2483"/>
      <c r="AU61" s="2979"/>
      <c r="AV61" s="2979"/>
      <c r="AW61" s="2979"/>
      <c r="AX61" s="2979"/>
      <c r="AY61" s="2979"/>
      <c r="AZ61" s="2979"/>
      <c r="BA61" s="2496"/>
      <c r="BB61" s="2496"/>
      <c r="BC61" s="2496"/>
      <c r="BD61" s="2496"/>
      <c r="BE61" s="2496"/>
      <c r="BF61" s="2496"/>
      <c r="BG61" s="2503"/>
      <c r="BH61" s="2503"/>
      <c r="BI61" s="2503"/>
    </row>
    <row r="62" spans="1:61" ht="30">
      <c r="A62" s="353">
        <v>51</v>
      </c>
      <c r="B62" s="1758" t="s">
        <v>994</v>
      </c>
      <c r="C62" s="1759" t="s">
        <v>1720</v>
      </c>
      <c r="D62" s="1760"/>
      <c r="E62" s="1760"/>
      <c r="F62" s="1760"/>
      <c r="G62" s="1760"/>
      <c r="H62" s="1760"/>
      <c r="I62" s="1760"/>
      <c r="J62" s="1760"/>
      <c r="K62" s="1760"/>
      <c r="L62" s="1760"/>
      <c r="M62" s="1760"/>
      <c r="N62" s="1760"/>
      <c r="O62" s="1760"/>
      <c r="P62" s="1760"/>
      <c r="Q62" s="1760"/>
      <c r="R62" s="1760"/>
      <c r="S62" s="1760"/>
      <c r="T62" s="1760"/>
      <c r="U62" s="1760"/>
      <c r="V62" s="1760"/>
      <c r="W62" s="1760"/>
      <c r="X62" s="1760"/>
      <c r="Y62" s="1760"/>
      <c r="Z62" s="1760"/>
      <c r="AA62" s="1760"/>
      <c r="AB62" s="1760"/>
      <c r="AC62" s="1760"/>
      <c r="AD62" s="1760"/>
      <c r="AE62" s="1763"/>
      <c r="AF62" s="1763"/>
      <c r="AG62" s="1763"/>
      <c r="AH62" s="1763"/>
      <c r="AI62" s="1771" t="s">
        <v>703</v>
      </c>
      <c r="AJ62" s="1768"/>
      <c r="AK62" s="2477"/>
      <c r="AL62" s="2477"/>
      <c r="AM62" s="1774" t="s">
        <v>851</v>
      </c>
      <c r="AN62" s="2477"/>
      <c r="AO62" s="2477"/>
      <c r="AP62" s="2477"/>
      <c r="AQ62" s="2524"/>
      <c r="AR62" s="2477"/>
      <c r="AS62" s="2477"/>
      <c r="AT62" s="2477"/>
      <c r="AU62" s="2477"/>
      <c r="AV62" s="2477"/>
      <c r="AW62" s="2477"/>
      <c r="AX62" s="2477"/>
      <c r="AY62" s="2477"/>
      <c r="AZ62" s="2477"/>
      <c r="BA62" s="351"/>
      <c r="BB62" s="347"/>
      <c r="BC62" s="347"/>
      <c r="BD62" s="347">
        <v>1</v>
      </c>
      <c r="BE62" s="1748">
        <v>1</v>
      </c>
      <c r="BF62" s="1748">
        <v>1</v>
      </c>
      <c r="BG62" s="1748">
        <v>1</v>
      </c>
      <c r="BH62" s="1748"/>
      <c r="BI62" s="1748"/>
    </row>
    <row r="63" spans="1:61" ht="30">
      <c r="A63" s="353">
        <v>52</v>
      </c>
      <c r="B63" s="1758" t="s">
        <v>995</v>
      </c>
      <c r="C63" s="1759" t="s">
        <v>1720</v>
      </c>
      <c r="D63" s="1762"/>
      <c r="E63" s="1762"/>
      <c r="F63" s="1762"/>
      <c r="G63" s="1762"/>
      <c r="H63" s="1762"/>
      <c r="I63" s="1762"/>
      <c r="J63" s="1762"/>
      <c r="K63" s="1762"/>
      <c r="L63" s="1762"/>
      <c r="M63" s="1762"/>
      <c r="N63" s="1762"/>
      <c r="O63" s="1762"/>
      <c r="P63" s="1762"/>
      <c r="Q63" s="1762"/>
      <c r="R63" s="1762"/>
      <c r="S63" s="1762"/>
      <c r="T63" s="1762"/>
      <c r="U63" s="1762"/>
      <c r="V63" s="1762"/>
      <c r="W63" s="1762"/>
      <c r="X63" s="1762"/>
      <c r="Y63" s="1762"/>
      <c r="Z63" s="1762"/>
      <c r="AA63" s="1762"/>
      <c r="AB63" s="1762"/>
      <c r="AC63" s="1762"/>
      <c r="AD63" s="1762"/>
      <c r="AE63" s="1767"/>
      <c r="AF63" s="1767"/>
      <c r="AG63" s="1767"/>
      <c r="AH63" s="1767"/>
      <c r="AI63" s="1767"/>
      <c r="AJ63" s="1767"/>
      <c r="AK63" s="2476"/>
      <c r="AL63" s="2525" t="s">
        <v>997</v>
      </c>
      <c r="AM63" s="1774" t="s">
        <v>851</v>
      </c>
      <c r="AN63" s="2476"/>
      <c r="AO63" s="2476"/>
      <c r="AP63" s="2476"/>
      <c r="AQ63" s="2521"/>
      <c r="AR63" s="2476"/>
      <c r="AS63" s="2476"/>
      <c r="AT63" s="2476"/>
      <c r="AU63" s="2476"/>
      <c r="AV63" s="2982" t="s">
        <v>2514</v>
      </c>
      <c r="AW63" s="2476"/>
      <c r="AX63" s="2476"/>
      <c r="AY63" s="2476"/>
      <c r="AZ63" s="2476"/>
      <c r="BA63" s="351"/>
      <c r="BB63" s="347"/>
      <c r="BC63" s="347"/>
      <c r="BD63" s="347"/>
      <c r="BE63" s="1748">
        <v>1</v>
      </c>
      <c r="BF63" s="1748">
        <v>1</v>
      </c>
      <c r="BG63" s="1748">
        <v>1</v>
      </c>
      <c r="BH63" s="1748">
        <v>1</v>
      </c>
      <c r="BI63" s="1748">
        <v>1</v>
      </c>
    </row>
    <row r="64" spans="1:61" ht="21.95" customHeight="1">
      <c r="A64" s="353">
        <v>53</v>
      </c>
      <c r="B64" s="1758" t="s">
        <v>998</v>
      </c>
      <c r="C64" s="1759" t="s">
        <v>1725</v>
      </c>
      <c r="D64" s="1762"/>
      <c r="E64" s="1762"/>
      <c r="F64" s="1762"/>
      <c r="G64" s="1762"/>
      <c r="H64" s="1762"/>
      <c r="I64" s="1762"/>
      <c r="J64" s="1762"/>
      <c r="K64" s="1762"/>
      <c r="L64" s="1762"/>
      <c r="M64" s="1762"/>
      <c r="N64" s="1762"/>
      <c r="O64" s="1762"/>
      <c r="P64" s="1762"/>
      <c r="Q64" s="1762"/>
      <c r="R64" s="1762"/>
      <c r="S64" s="1762"/>
      <c r="T64" s="1762"/>
      <c r="U64" s="1762"/>
      <c r="V64" s="1762"/>
      <c r="W64" s="1762"/>
      <c r="X64" s="1762"/>
      <c r="Y64" s="1762"/>
      <c r="Z64" s="1762"/>
      <c r="AA64" s="1762"/>
      <c r="AB64" s="1762"/>
      <c r="AC64" s="1762"/>
      <c r="AD64" s="1762"/>
      <c r="AE64" s="1767"/>
      <c r="AF64" s="1767"/>
      <c r="AG64" s="1767"/>
      <c r="AH64" s="1767"/>
      <c r="AI64" s="1767"/>
      <c r="AJ64" s="1767"/>
      <c r="AK64" s="2476"/>
      <c r="AL64" s="2476"/>
      <c r="AM64" s="1774" t="s">
        <v>851</v>
      </c>
      <c r="AN64" s="2476"/>
      <c r="AO64" s="2476"/>
      <c r="AP64" s="2476"/>
      <c r="AQ64" s="2526" t="s">
        <v>1731</v>
      </c>
      <c r="AR64" s="2475"/>
      <c r="AS64" s="2475"/>
      <c r="AT64" s="2475"/>
      <c r="AU64" s="2475"/>
      <c r="AV64" s="2475"/>
      <c r="AW64" s="2475"/>
      <c r="AX64" s="2475"/>
      <c r="AY64" s="2475"/>
      <c r="AZ64" s="2475"/>
      <c r="BA64" s="351"/>
      <c r="BB64" s="347"/>
      <c r="BC64" s="347"/>
      <c r="BD64" s="347"/>
      <c r="BE64" s="1748">
        <v>1</v>
      </c>
      <c r="BF64" s="1748">
        <v>1</v>
      </c>
      <c r="BG64" s="1748">
        <v>1</v>
      </c>
      <c r="BH64" s="1748">
        <v>1</v>
      </c>
      <c r="BI64" s="1748"/>
    </row>
    <row r="65" spans="1:61" ht="30">
      <c r="A65" s="353">
        <v>54</v>
      </c>
      <c r="B65" s="1758" t="s">
        <v>999</v>
      </c>
      <c r="C65" s="1759" t="s">
        <v>1725</v>
      </c>
      <c r="D65" s="1762"/>
      <c r="E65" s="1762"/>
      <c r="F65" s="1762"/>
      <c r="G65" s="1762"/>
      <c r="H65" s="1762"/>
      <c r="I65" s="1762"/>
      <c r="J65" s="1762"/>
      <c r="K65" s="1762"/>
      <c r="L65" s="1762"/>
      <c r="M65" s="1762"/>
      <c r="N65" s="1762"/>
      <c r="O65" s="1762"/>
      <c r="P65" s="1762"/>
      <c r="Q65" s="1762"/>
      <c r="R65" s="1762"/>
      <c r="S65" s="1762"/>
      <c r="T65" s="1762"/>
      <c r="U65" s="1765" t="s">
        <v>1000</v>
      </c>
      <c r="V65" s="1762"/>
      <c r="W65" s="1765" t="s">
        <v>1001</v>
      </c>
      <c r="X65" s="1762"/>
      <c r="Y65" s="1762"/>
      <c r="Z65" s="1762"/>
      <c r="AA65" s="1762"/>
      <c r="AB65" s="1762"/>
      <c r="AC65" s="1762"/>
      <c r="AD65" s="1762"/>
      <c r="AE65" s="1767"/>
      <c r="AF65" s="1767"/>
      <c r="AG65" s="1767"/>
      <c r="AH65" s="1767"/>
      <c r="AI65" s="1767"/>
      <c r="AJ65" s="1767"/>
      <c r="AK65" s="2476"/>
      <c r="AL65" s="2476"/>
      <c r="AM65" s="1774" t="s">
        <v>851</v>
      </c>
      <c r="AN65" s="2476"/>
      <c r="AO65" s="2476"/>
      <c r="AP65" s="1774" t="s">
        <v>1731</v>
      </c>
      <c r="AQ65" s="2520"/>
      <c r="AR65" s="2475"/>
      <c r="AS65" s="2475"/>
      <c r="AT65" s="2475"/>
      <c r="AU65" s="2475"/>
      <c r="AV65" s="2475"/>
      <c r="AW65" s="2475"/>
      <c r="AX65" s="2475"/>
      <c r="AY65" s="2475"/>
      <c r="AZ65" s="2475"/>
      <c r="BA65" s="351">
        <v>1</v>
      </c>
      <c r="BB65" s="347">
        <v>1</v>
      </c>
      <c r="BC65" s="347">
        <v>1</v>
      </c>
      <c r="BD65" s="347"/>
      <c r="BE65" s="1748">
        <v>1</v>
      </c>
      <c r="BF65" s="1748">
        <v>1</v>
      </c>
      <c r="BG65" s="1748">
        <v>1</v>
      </c>
      <c r="BH65" s="1748">
        <v>1</v>
      </c>
      <c r="BI65" s="1748"/>
    </row>
    <row r="66" spans="1:61" ht="30">
      <c r="A66" s="353">
        <v>55</v>
      </c>
      <c r="B66" s="1758" t="s">
        <v>1002</v>
      </c>
      <c r="C66" s="1759" t="s">
        <v>1729</v>
      </c>
      <c r="D66" s="1762"/>
      <c r="E66" s="1762"/>
      <c r="F66" s="1762"/>
      <c r="G66" s="1762"/>
      <c r="H66" s="1762"/>
      <c r="I66" s="1762"/>
      <c r="J66" s="1762"/>
      <c r="K66" s="1762"/>
      <c r="L66" s="1762"/>
      <c r="M66" s="1762"/>
      <c r="N66" s="1762"/>
      <c r="O66" s="1762"/>
      <c r="P66" s="1762"/>
      <c r="Q66" s="1762"/>
      <c r="R66" s="1762"/>
      <c r="S66" s="1762"/>
      <c r="T66" s="1762"/>
      <c r="U66" s="1762"/>
      <c r="V66" s="1762"/>
      <c r="W66" s="1762"/>
      <c r="X66" s="1762"/>
      <c r="Y66" s="1762"/>
      <c r="Z66" s="1762"/>
      <c r="AA66" s="1762"/>
      <c r="AB66" s="1762"/>
      <c r="AC66" s="1762"/>
      <c r="AD66" s="1762"/>
      <c r="AE66" s="1767"/>
      <c r="AF66" s="1767"/>
      <c r="AG66" s="1767"/>
      <c r="AH66" s="1767"/>
      <c r="AI66" s="1767"/>
      <c r="AJ66" s="1767"/>
      <c r="AK66" s="2476"/>
      <c r="AL66" s="2525" t="s">
        <v>1733</v>
      </c>
      <c r="AM66" s="1774" t="s">
        <v>851</v>
      </c>
      <c r="AN66" s="2476"/>
      <c r="AP66" s="3989" t="s">
        <v>1734</v>
      </c>
      <c r="AQ66" s="2521"/>
      <c r="AR66" s="2476"/>
      <c r="AS66" s="2476"/>
      <c r="AT66" s="2476"/>
      <c r="AU66" s="2476"/>
      <c r="AV66" s="2476"/>
      <c r="AW66" s="2476"/>
      <c r="AX66" s="2476"/>
      <c r="AY66" s="2476"/>
      <c r="AZ66" s="2476"/>
      <c r="BA66" s="351"/>
      <c r="BB66" s="347"/>
      <c r="BC66" s="347"/>
      <c r="BD66" s="347"/>
      <c r="BE66" s="1748">
        <v>1</v>
      </c>
      <c r="BF66" s="1748">
        <v>1</v>
      </c>
      <c r="BG66" s="1748">
        <v>1</v>
      </c>
      <c r="BH66" s="1748">
        <v>1</v>
      </c>
      <c r="BI66" s="1748"/>
    </row>
    <row r="67" spans="1:61" ht="30">
      <c r="A67" s="353">
        <v>56</v>
      </c>
      <c r="B67" s="1758" t="s">
        <v>1003</v>
      </c>
      <c r="C67" s="1759" t="s">
        <v>1720</v>
      </c>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7"/>
      <c r="AF67" s="1767"/>
      <c r="AG67" s="1767"/>
      <c r="AH67" s="1767"/>
      <c r="AI67" s="1767"/>
      <c r="AJ67" s="1767"/>
      <c r="AK67" s="2476"/>
      <c r="AL67" s="2476"/>
      <c r="AM67" s="1774" t="s">
        <v>851</v>
      </c>
      <c r="AN67" s="2481"/>
      <c r="AO67" s="2478"/>
      <c r="AP67" s="2478"/>
      <c r="AQ67" s="2527"/>
      <c r="AR67" s="2478"/>
      <c r="AS67" s="2478"/>
      <c r="AT67" s="2478"/>
      <c r="AU67" s="2478"/>
      <c r="AV67" s="2478"/>
      <c r="AW67" s="2478"/>
      <c r="AX67" s="2478"/>
      <c r="AY67" s="2478"/>
      <c r="AZ67" s="2478"/>
      <c r="BA67" s="351"/>
      <c r="BB67" s="347"/>
      <c r="BC67" s="347"/>
      <c r="BD67" s="347"/>
      <c r="BE67" s="1748">
        <v>1</v>
      </c>
      <c r="BF67" s="1748">
        <v>1</v>
      </c>
      <c r="BG67" s="1748">
        <v>1</v>
      </c>
      <c r="BH67" s="1748"/>
      <c r="BI67" s="1748"/>
    </row>
    <row r="68" spans="1:61" ht="21.95" customHeight="1">
      <c r="A68" s="353">
        <v>57</v>
      </c>
      <c r="B68" s="1758" t="s">
        <v>1004</v>
      </c>
      <c r="C68" s="1759" t="s">
        <v>1720</v>
      </c>
      <c r="D68" s="1762"/>
      <c r="E68" s="1762"/>
      <c r="F68" s="1762"/>
      <c r="G68" s="1762"/>
      <c r="H68" s="1762"/>
      <c r="I68" s="1762"/>
      <c r="J68" s="1762"/>
      <c r="K68" s="1762"/>
      <c r="L68" s="1762"/>
      <c r="M68" s="1762"/>
      <c r="N68" s="1762"/>
      <c r="O68" s="1762"/>
      <c r="P68" s="1762"/>
      <c r="Q68" s="1762"/>
      <c r="R68" s="1762"/>
      <c r="S68" s="1762"/>
      <c r="T68" s="1762"/>
      <c r="U68" s="1762"/>
      <c r="V68" s="1762"/>
      <c r="W68" s="1762"/>
      <c r="X68" s="1762"/>
      <c r="Y68" s="1766" t="s">
        <v>949</v>
      </c>
      <c r="Z68" s="1762"/>
      <c r="AA68" s="1762"/>
      <c r="AB68" s="1762"/>
      <c r="AC68" s="1762"/>
      <c r="AD68" s="1762"/>
      <c r="AE68" s="1767"/>
      <c r="AF68" s="1767"/>
      <c r="AG68" s="1767"/>
      <c r="AH68" s="1767"/>
      <c r="AI68" s="1767"/>
      <c r="AJ68" s="1767"/>
      <c r="AK68" s="2476"/>
      <c r="AL68" s="2476"/>
      <c r="AM68" s="1774" t="s">
        <v>851</v>
      </c>
      <c r="AN68" s="2476"/>
      <c r="AO68" s="2476"/>
      <c r="AP68" s="2476"/>
      <c r="AQ68" s="2521"/>
      <c r="AR68" s="2476"/>
      <c r="AS68" s="1774" t="s">
        <v>1970</v>
      </c>
      <c r="AT68" s="2476"/>
      <c r="AU68" s="2476"/>
      <c r="AV68" s="2476"/>
      <c r="AW68" s="2476"/>
      <c r="AX68" s="2476"/>
      <c r="AY68" s="2476"/>
      <c r="AZ68" s="2476"/>
      <c r="BA68" s="351">
        <v>1</v>
      </c>
      <c r="BB68" s="347">
        <v>1</v>
      </c>
      <c r="BC68" s="347">
        <v>1</v>
      </c>
      <c r="BD68" s="347"/>
      <c r="BE68" s="1748">
        <v>1</v>
      </c>
      <c r="BF68" s="1748">
        <v>1</v>
      </c>
      <c r="BG68" s="1748">
        <v>1</v>
      </c>
      <c r="BH68" s="1748">
        <v>1</v>
      </c>
      <c r="BI68" s="1748">
        <v>1</v>
      </c>
    </row>
    <row r="69" spans="1:61" ht="21.95" customHeight="1">
      <c r="A69" s="353">
        <v>58</v>
      </c>
      <c r="B69" s="1758" t="s">
        <v>1005</v>
      </c>
      <c r="C69" s="1759" t="s">
        <v>1720</v>
      </c>
      <c r="D69" s="1770"/>
      <c r="E69" s="1770"/>
      <c r="F69" s="1770"/>
      <c r="G69" s="1770"/>
      <c r="H69" s="1770"/>
      <c r="I69" s="1770"/>
      <c r="J69" s="1770"/>
      <c r="K69" s="1770"/>
      <c r="L69" s="1770"/>
      <c r="M69" s="1770"/>
      <c r="N69" s="1770"/>
      <c r="O69" s="1770"/>
      <c r="P69" s="1770"/>
      <c r="Q69" s="1770"/>
      <c r="R69" s="1770"/>
      <c r="S69" s="1770"/>
      <c r="T69" s="1772" t="s">
        <v>1006</v>
      </c>
      <c r="U69" s="353"/>
      <c r="V69" s="1770"/>
      <c r="W69" s="1770"/>
      <c r="X69" s="1770"/>
      <c r="Y69" s="1770"/>
      <c r="Z69" s="1770"/>
      <c r="AA69" s="1770"/>
      <c r="AB69" s="1770"/>
      <c r="AC69" s="1770"/>
      <c r="AD69" s="1770"/>
      <c r="AE69" s="1782"/>
      <c r="AF69" s="1782"/>
      <c r="AG69" s="1782"/>
      <c r="AH69" s="1782"/>
      <c r="AI69" s="1767"/>
      <c r="AJ69" s="1767"/>
      <c r="AK69" s="2476"/>
      <c r="AL69" s="2476"/>
      <c r="AM69" s="1774" t="s">
        <v>851</v>
      </c>
      <c r="AN69" s="2476"/>
      <c r="AO69" s="2476"/>
      <c r="AP69" s="2476"/>
      <c r="AQ69" s="2521"/>
      <c r="AR69" s="2476"/>
      <c r="AS69" s="2476"/>
      <c r="AT69" s="1774" t="s">
        <v>1975</v>
      </c>
      <c r="AU69" s="2475"/>
      <c r="AV69" s="2475"/>
      <c r="AW69" s="2475"/>
      <c r="AX69" s="2475"/>
      <c r="AY69" s="2475"/>
      <c r="AZ69" s="2475"/>
      <c r="BA69" s="351">
        <v>1</v>
      </c>
      <c r="BB69" s="347"/>
      <c r="BC69" s="347"/>
      <c r="BD69" s="347"/>
      <c r="BE69" s="1748">
        <v>1</v>
      </c>
      <c r="BF69" s="1748">
        <v>1</v>
      </c>
      <c r="BG69" s="1748">
        <v>1</v>
      </c>
      <c r="BH69" s="1748">
        <v>1</v>
      </c>
      <c r="BI69" s="1748">
        <v>1</v>
      </c>
    </row>
    <row r="70" spans="1:61" ht="15">
      <c r="A70" s="353"/>
      <c r="B70" s="2510" t="s">
        <v>384</v>
      </c>
      <c r="C70" s="2492"/>
      <c r="D70" s="2511"/>
      <c r="E70" s="2511"/>
      <c r="F70" s="2511"/>
      <c r="G70" s="2511"/>
      <c r="H70" s="2511"/>
      <c r="I70" s="2511"/>
      <c r="J70" s="2511"/>
      <c r="K70" s="2511"/>
      <c r="L70" s="2511"/>
      <c r="M70" s="2511"/>
      <c r="N70" s="2511"/>
      <c r="O70" s="2511"/>
      <c r="P70" s="2511"/>
      <c r="Q70" s="2511"/>
      <c r="R70" s="2511"/>
      <c r="S70" s="2511"/>
      <c r="T70" s="2511"/>
      <c r="U70" s="2511"/>
      <c r="V70" s="2511"/>
      <c r="W70" s="2511"/>
      <c r="X70" s="2511"/>
      <c r="Y70" s="2511"/>
      <c r="Z70" s="2511"/>
      <c r="AA70" s="2511"/>
      <c r="AB70" s="2511"/>
      <c r="AC70" s="2511"/>
      <c r="AD70" s="2511"/>
      <c r="AE70" s="2511"/>
      <c r="AF70" s="2511"/>
      <c r="AG70" s="2511"/>
      <c r="AH70" s="2511"/>
      <c r="AI70" s="2511"/>
      <c r="AJ70" s="2511"/>
      <c r="AK70" s="2483"/>
      <c r="AL70" s="2483"/>
      <c r="AM70" s="2483"/>
      <c r="AN70" s="2483"/>
      <c r="AO70" s="2483"/>
      <c r="AP70" s="2483"/>
      <c r="AQ70" s="2483"/>
      <c r="AR70" s="2483"/>
      <c r="AS70" s="2483"/>
      <c r="AT70" s="2483"/>
      <c r="AU70" s="2979"/>
      <c r="AV70" s="2979"/>
      <c r="AW70" s="2979"/>
      <c r="AX70" s="2979"/>
      <c r="AY70" s="2979"/>
      <c r="AZ70" s="2979"/>
      <c r="BA70" s="2496"/>
      <c r="BB70" s="2496"/>
      <c r="BC70" s="2496"/>
      <c r="BD70" s="2496"/>
      <c r="BE70" s="2496"/>
      <c r="BF70" s="2496"/>
      <c r="BG70" s="2503"/>
      <c r="BH70" s="2503"/>
      <c r="BI70" s="2503"/>
    </row>
    <row r="71" spans="1:61" ht="30">
      <c r="A71" s="353">
        <v>59</v>
      </c>
      <c r="B71" s="1758" t="s">
        <v>1007</v>
      </c>
      <c r="C71" s="1759" t="s">
        <v>1720</v>
      </c>
      <c r="D71" s="1760"/>
      <c r="E71" s="1760"/>
      <c r="F71" s="1760"/>
      <c r="G71" s="1760"/>
      <c r="H71" s="1760"/>
      <c r="I71" s="1760"/>
      <c r="J71" s="1760"/>
      <c r="K71" s="1760"/>
      <c r="L71" s="1760"/>
      <c r="M71" s="1760"/>
      <c r="N71" s="1760"/>
      <c r="O71" s="1760"/>
      <c r="P71" s="1760"/>
      <c r="Q71" s="1760"/>
      <c r="R71" s="1760"/>
      <c r="S71" s="1760"/>
      <c r="T71" s="1760"/>
      <c r="U71" s="1760"/>
      <c r="V71" s="1760"/>
      <c r="W71" s="1760"/>
      <c r="X71" s="1760"/>
      <c r="Y71" s="1760"/>
      <c r="Z71" s="1760"/>
      <c r="AA71" s="1760"/>
      <c r="AB71" s="1760"/>
      <c r="AC71" s="1760"/>
      <c r="AD71" s="1760"/>
      <c r="AE71" s="1763"/>
      <c r="AF71" s="1763"/>
      <c r="AG71" s="1763"/>
      <c r="AH71" s="1763"/>
      <c r="AI71" s="1767"/>
      <c r="AJ71" s="1761" t="s">
        <v>987</v>
      </c>
      <c r="AK71" s="1760"/>
      <c r="AL71" s="2478"/>
      <c r="AM71" s="1774" t="s">
        <v>851</v>
      </c>
      <c r="AN71" s="2478"/>
      <c r="AO71" s="2478"/>
      <c r="AP71" s="2478"/>
      <c r="AQ71" s="2527"/>
      <c r="AR71" s="2478"/>
      <c r="AS71" s="2478"/>
      <c r="AT71" s="2478"/>
      <c r="AU71" s="2478"/>
      <c r="AV71" s="2478"/>
      <c r="AW71" s="2478"/>
      <c r="AX71" s="2478"/>
      <c r="AY71" s="2478"/>
      <c r="AZ71" s="2478"/>
      <c r="BA71" s="351"/>
      <c r="BB71" s="347"/>
      <c r="BC71" s="347"/>
      <c r="BD71" s="347">
        <v>1</v>
      </c>
      <c r="BE71" s="1748">
        <v>1</v>
      </c>
      <c r="BF71" s="1748">
        <v>1</v>
      </c>
      <c r="BG71" s="1748">
        <v>1</v>
      </c>
      <c r="BH71" s="1748"/>
      <c r="BI71" s="1748"/>
    </row>
    <row r="72" spans="1:61" ht="30">
      <c r="A72" s="353">
        <v>60</v>
      </c>
      <c r="B72" s="1758" t="s">
        <v>1008</v>
      </c>
      <c r="C72" s="1759" t="s">
        <v>1721</v>
      </c>
      <c r="D72" s="1762"/>
      <c r="E72" s="1762"/>
      <c r="F72" s="1762"/>
      <c r="G72" s="1762"/>
      <c r="H72" s="1762"/>
      <c r="I72" s="1762"/>
      <c r="J72" s="1762"/>
      <c r="K72" s="1762"/>
      <c r="L72" s="1762"/>
      <c r="M72" s="1762"/>
      <c r="N72" s="1762"/>
      <c r="O72" s="1762"/>
      <c r="P72" s="1762"/>
      <c r="Q72" s="1762"/>
      <c r="R72" s="1762"/>
      <c r="S72" s="1762"/>
      <c r="T72" s="1762"/>
      <c r="U72" s="1762"/>
      <c r="V72" s="1762"/>
      <c r="W72" s="1762"/>
      <c r="X72" s="1762"/>
      <c r="Y72" s="1762"/>
      <c r="Z72" s="1762"/>
      <c r="AA72" s="1762"/>
      <c r="AB72" s="1762"/>
      <c r="AC72" s="1762"/>
      <c r="AD72" s="1762"/>
      <c r="AE72" s="1767"/>
      <c r="AF72" s="1767"/>
      <c r="AG72" s="1767"/>
      <c r="AH72" s="1767"/>
      <c r="AI72" s="1767"/>
      <c r="AJ72" s="1767"/>
      <c r="AK72" s="2476"/>
      <c r="AL72" s="2476"/>
      <c r="AM72" s="2476"/>
      <c r="AN72" s="2476"/>
      <c r="AO72" s="1774" t="s">
        <v>1730</v>
      </c>
      <c r="AP72" s="2475"/>
      <c r="AQ72" s="2520"/>
      <c r="AR72" s="2475"/>
      <c r="AS72" s="2475"/>
      <c r="AT72" s="2475"/>
      <c r="AU72" s="2475"/>
      <c r="AV72" s="2475"/>
      <c r="AW72" s="2475"/>
      <c r="AX72" s="2475"/>
      <c r="AY72" s="2475"/>
      <c r="AZ72" s="2475"/>
      <c r="BA72" s="351"/>
      <c r="BB72" s="347"/>
      <c r="BC72" s="347"/>
      <c r="BD72" s="347"/>
      <c r="BF72" s="1748">
        <v>1</v>
      </c>
      <c r="BG72" s="1748">
        <v>1</v>
      </c>
      <c r="BH72" s="1748">
        <v>1</v>
      </c>
      <c r="BI72" s="1748"/>
    </row>
    <row r="73" spans="1:61" ht="30">
      <c r="A73" s="353">
        <v>61</v>
      </c>
      <c r="B73" s="1758" t="s">
        <v>1009</v>
      </c>
      <c r="C73" s="1773" t="s">
        <v>996</v>
      </c>
      <c r="D73" s="1762"/>
      <c r="E73" s="1762"/>
      <c r="F73" s="1762"/>
      <c r="G73" s="1762"/>
      <c r="H73" s="1762"/>
      <c r="I73" s="1762"/>
      <c r="J73" s="1762"/>
      <c r="K73" s="1762"/>
      <c r="L73" s="1762"/>
      <c r="M73" s="1762"/>
      <c r="N73" s="1762"/>
      <c r="O73" s="1762"/>
      <c r="P73" s="1762"/>
      <c r="Q73" s="1762"/>
      <c r="R73" s="1762"/>
      <c r="S73" s="1762"/>
      <c r="T73" s="1762"/>
      <c r="U73" s="1762"/>
      <c r="V73" s="1762"/>
      <c r="W73" s="1762"/>
      <c r="X73" s="1762"/>
      <c r="Y73" s="1762"/>
      <c r="Z73" s="1762"/>
      <c r="AA73" s="1762"/>
      <c r="AB73" s="1762"/>
      <c r="AC73" s="1762"/>
      <c r="AD73" s="1762"/>
      <c r="AE73" s="1767"/>
      <c r="AF73" s="1767"/>
      <c r="AG73" s="1767"/>
      <c r="AH73" s="1767"/>
      <c r="AI73" s="1767"/>
      <c r="AJ73" s="1767"/>
      <c r="AK73" s="2476"/>
      <c r="AL73" s="2476"/>
      <c r="AM73" s="2476"/>
      <c r="AN73" s="2476"/>
      <c r="AO73" s="2476"/>
      <c r="AP73" s="2476"/>
      <c r="AQ73" s="2521"/>
      <c r="AR73" s="2476"/>
      <c r="AS73" s="2476"/>
      <c r="AT73" s="2476"/>
      <c r="AU73" s="2476"/>
      <c r="AV73" s="2476"/>
      <c r="AW73" s="2476"/>
      <c r="AX73" s="3989" t="s">
        <v>2835</v>
      </c>
      <c r="AY73" s="2476"/>
      <c r="AZ73" s="2476"/>
      <c r="BA73" s="351"/>
      <c r="BB73" s="347"/>
      <c r="BC73" s="347"/>
      <c r="BD73" s="347"/>
      <c r="BG73" s="1748"/>
      <c r="BH73" s="1748"/>
      <c r="BI73" s="1748">
        <v>1</v>
      </c>
    </row>
    <row r="74" spans="1:61" ht="30">
      <c r="A74" s="353">
        <v>62</v>
      </c>
      <c r="B74" s="1758" t="s">
        <v>1010</v>
      </c>
      <c r="C74" s="1787" t="s">
        <v>996</v>
      </c>
      <c r="D74" s="1770"/>
      <c r="E74" s="1770"/>
      <c r="F74" s="1770"/>
      <c r="G74" s="1770"/>
      <c r="H74" s="1770"/>
      <c r="I74" s="1770"/>
      <c r="J74" s="1770"/>
      <c r="K74" s="1770"/>
      <c r="L74" s="1770"/>
      <c r="M74" s="1770"/>
      <c r="N74" s="1770"/>
      <c r="O74" s="1770"/>
      <c r="P74" s="1770"/>
      <c r="Q74" s="1770"/>
      <c r="R74" s="1770"/>
      <c r="S74" s="1770"/>
      <c r="T74" s="1770"/>
      <c r="U74" s="1770"/>
      <c r="V74" s="1770"/>
      <c r="W74" s="1770"/>
      <c r="X74" s="1770"/>
      <c r="Y74" s="1770"/>
      <c r="Z74" s="1770"/>
      <c r="AA74" s="1770"/>
      <c r="AB74" s="1770"/>
      <c r="AC74" s="1770"/>
      <c r="AD74" s="1770"/>
      <c r="AE74" s="1767"/>
      <c r="AF74" s="1767"/>
      <c r="AG74" s="1767"/>
      <c r="AH74" s="1767"/>
      <c r="AI74" s="1767"/>
      <c r="AJ74" s="1767"/>
      <c r="AK74" s="2476"/>
      <c r="AL74" s="2476"/>
      <c r="AM74" s="2476"/>
      <c r="AN74" s="2476"/>
      <c r="AO74" s="2476"/>
      <c r="AP74" s="2476"/>
      <c r="AQ74" s="2521"/>
      <c r="AR74" s="2476"/>
      <c r="AS74" s="2476"/>
      <c r="AT74" s="2476"/>
      <c r="AU74" s="2476"/>
      <c r="AV74" s="2476"/>
      <c r="AW74" s="2476"/>
      <c r="AX74" s="2476"/>
      <c r="AY74" s="3988" t="s">
        <v>2833</v>
      </c>
      <c r="AZ74" s="2476"/>
      <c r="BA74" s="351"/>
      <c r="BB74" s="347"/>
      <c r="BC74" s="347"/>
      <c r="BD74" s="347"/>
      <c r="BG74" s="1748"/>
      <c r="BH74" s="1748"/>
      <c r="BI74" s="1748">
        <v>1</v>
      </c>
    </row>
    <row r="75" spans="1:61" ht="15">
      <c r="A75" s="353"/>
      <c r="B75" s="2512" t="s">
        <v>1011</v>
      </c>
      <c r="C75" s="2513"/>
      <c r="D75" s="2514"/>
      <c r="E75" s="2514"/>
      <c r="F75" s="2514"/>
      <c r="G75" s="2514"/>
      <c r="H75" s="2514"/>
      <c r="I75" s="2514"/>
      <c r="J75" s="2514"/>
      <c r="K75" s="2514"/>
      <c r="L75" s="2514"/>
      <c r="M75" s="2514"/>
      <c r="N75" s="2514"/>
      <c r="O75" s="2514"/>
      <c r="P75" s="2514"/>
      <c r="Q75" s="2514"/>
      <c r="R75" s="2514"/>
      <c r="S75" s="2514"/>
      <c r="T75" s="2514"/>
      <c r="U75" s="2514"/>
      <c r="V75" s="2514"/>
      <c r="W75" s="2514"/>
      <c r="X75" s="2514"/>
      <c r="Y75" s="2514"/>
      <c r="Z75" s="2514"/>
      <c r="AA75" s="2514"/>
      <c r="AB75" s="2514"/>
      <c r="AC75" s="2514"/>
      <c r="AD75" s="2514"/>
      <c r="AE75" s="2514"/>
      <c r="AF75" s="2514"/>
      <c r="AG75" s="2514"/>
      <c r="AH75" s="2514"/>
      <c r="AI75" s="2514"/>
      <c r="AJ75" s="2514"/>
      <c r="AK75" s="2484"/>
      <c r="AL75" s="2484"/>
      <c r="AM75" s="2484"/>
      <c r="AN75" s="2484"/>
      <c r="AO75" s="2484"/>
      <c r="AP75" s="2484"/>
      <c r="AQ75" s="2484"/>
      <c r="AR75" s="2484"/>
      <c r="AS75" s="2484"/>
      <c r="AT75" s="2484"/>
      <c r="AU75" s="2980"/>
      <c r="AV75" s="2980"/>
      <c r="AW75" s="2980"/>
      <c r="AX75" s="2980"/>
      <c r="AY75" s="2980"/>
      <c r="AZ75" s="2980"/>
      <c r="BA75" s="2497"/>
      <c r="BB75" s="2497"/>
      <c r="BC75" s="2497"/>
      <c r="BD75" s="2497"/>
      <c r="BE75" s="2497"/>
      <c r="BF75" s="2497"/>
      <c r="BG75" s="2504"/>
      <c r="BH75" s="2504"/>
      <c r="BI75" s="2504"/>
    </row>
    <row r="76" spans="1:61" ht="21.95" customHeight="1">
      <c r="A76" s="353">
        <v>63</v>
      </c>
      <c r="B76" s="1758" t="s">
        <v>929</v>
      </c>
      <c r="C76" s="1759" t="s">
        <v>846</v>
      </c>
      <c r="D76" s="1760"/>
      <c r="E76" s="1760"/>
      <c r="F76" s="1760"/>
      <c r="G76" s="1760"/>
      <c r="H76" s="1760"/>
      <c r="I76" s="1760"/>
      <c r="J76" s="1760"/>
      <c r="K76" s="1769" t="s">
        <v>1012</v>
      </c>
      <c r="L76" s="1788" t="s">
        <v>1735</v>
      </c>
      <c r="M76" s="1789" t="s">
        <v>1736</v>
      </c>
      <c r="N76" s="1760"/>
      <c r="O76" s="1760"/>
      <c r="P76" s="1788" t="s">
        <v>1737</v>
      </c>
      <c r="Q76" s="1760"/>
      <c r="R76" s="1760"/>
      <c r="S76" s="1760"/>
      <c r="T76" s="1760"/>
      <c r="U76" s="1760"/>
      <c r="V76" s="1760"/>
      <c r="W76" s="1760"/>
      <c r="X76" s="1760"/>
      <c r="Y76" s="1761" t="s">
        <v>949</v>
      </c>
      <c r="Z76" s="353"/>
      <c r="AA76" s="1760"/>
      <c r="AB76" s="1760"/>
      <c r="AC76" s="1760"/>
      <c r="AD76" s="1760"/>
      <c r="AE76" s="1767"/>
      <c r="AF76" s="1767"/>
      <c r="AG76" s="1761" t="s">
        <v>1013</v>
      </c>
      <c r="AH76" s="1767"/>
      <c r="AI76" s="1767"/>
      <c r="AJ76" s="1767"/>
      <c r="AK76" s="2476"/>
      <c r="AL76" s="1761" t="s">
        <v>847</v>
      </c>
      <c r="AM76" s="2476"/>
      <c r="AN76" s="2476"/>
      <c r="AO76" s="2476"/>
      <c r="AP76" s="2476"/>
      <c r="AQ76" s="2521"/>
      <c r="AR76" s="2476"/>
      <c r="AS76" s="2476"/>
      <c r="AT76" s="2476"/>
      <c r="AU76" s="2476"/>
      <c r="AV76" s="2476"/>
      <c r="AW76" s="2476"/>
      <c r="AX76" s="2476"/>
      <c r="AY76" s="2476"/>
      <c r="AZ76" s="2476"/>
      <c r="BA76" s="351">
        <v>1</v>
      </c>
      <c r="BB76" s="347">
        <v>1</v>
      </c>
      <c r="BC76" s="347">
        <v>1</v>
      </c>
      <c r="BD76" s="347">
        <v>1</v>
      </c>
      <c r="BE76" s="1748">
        <v>1</v>
      </c>
      <c r="BF76" s="1748">
        <v>1</v>
      </c>
      <c r="BG76" s="1748">
        <v>1</v>
      </c>
      <c r="BH76" s="1748"/>
      <c r="BI76" s="1748"/>
    </row>
    <row r="77" spans="1:61" ht="21.95" customHeight="1">
      <c r="A77" s="353">
        <v>64</v>
      </c>
      <c r="B77" s="1758" t="s">
        <v>1014</v>
      </c>
      <c r="C77" s="1759" t="s">
        <v>1725</v>
      </c>
      <c r="D77" s="1762"/>
      <c r="E77" s="1762"/>
      <c r="F77" s="1762"/>
      <c r="G77" s="1762"/>
      <c r="H77" s="1762"/>
      <c r="I77" s="1762"/>
      <c r="J77" s="1762"/>
      <c r="K77" s="1769" t="s">
        <v>1012</v>
      </c>
      <c r="L77" s="1788" t="s">
        <v>1735</v>
      </c>
      <c r="M77" s="1789" t="s">
        <v>1736</v>
      </c>
      <c r="N77" s="1762"/>
      <c r="O77" s="1762"/>
      <c r="P77" s="1788" t="s">
        <v>1737</v>
      </c>
      <c r="Q77" s="1762"/>
      <c r="R77" s="1762"/>
      <c r="S77" s="1762"/>
      <c r="T77" s="1762"/>
      <c r="U77" s="1788" t="s">
        <v>1015</v>
      </c>
      <c r="V77" s="1762"/>
      <c r="W77" s="1762"/>
      <c r="X77" s="1762"/>
      <c r="Y77" s="1762"/>
      <c r="Z77" s="1762"/>
      <c r="AA77" s="1762"/>
      <c r="AB77" s="1762"/>
      <c r="AC77" s="1762"/>
      <c r="AD77" s="1762"/>
      <c r="AE77" s="1767"/>
      <c r="AF77" s="1767"/>
      <c r="AG77" s="1761" t="s">
        <v>1013</v>
      </c>
      <c r="AH77" s="1767"/>
      <c r="AI77" s="1767"/>
      <c r="AJ77" s="1767"/>
      <c r="AK77" s="2476"/>
      <c r="AL77" s="1761" t="s">
        <v>847</v>
      </c>
      <c r="AM77" s="2476"/>
      <c r="AN77" s="2476"/>
      <c r="AO77" s="2476"/>
      <c r="AP77" s="2476"/>
      <c r="AQ77" s="2519" t="s">
        <v>1738</v>
      </c>
      <c r="AR77" s="2478"/>
      <c r="AS77" s="2478"/>
      <c r="AT77" s="2478"/>
      <c r="AU77" s="2478"/>
      <c r="AV77" s="2478"/>
      <c r="AW77" s="2478"/>
      <c r="AX77" s="2478"/>
      <c r="AY77" s="2478"/>
      <c r="AZ77" s="2993" t="s">
        <v>2836</v>
      </c>
      <c r="BA77" s="351"/>
      <c r="BB77" s="347"/>
      <c r="BC77" s="347"/>
      <c r="BD77" s="347">
        <v>1</v>
      </c>
      <c r="BE77" s="1748">
        <v>1</v>
      </c>
      <c r="BF77" s="1748">
        <v>1</v>
      </c>
      <c r="BG77" s="1748">
        <v>1</v>
      </c>
      <c r="BH77" s="1748">
        <v>1</v>
      </c>
      <c r="BI77" s="1748">
        <v>1</v>
      </c>
    </row>
    <row r="78" spans="1:61" ht="21.95" customHeight="1">
      <c r="A78" s="353">
        <v>65</v>
      </c>
      <c r="B78" s="1758" t="s">
        <v>1016</v>
      </c>
      <c r="C78" s="1759" t="s">
        <v>1722</v>
      </c>
      <c r="D78" s="1762"/>
      <c r="E78" s="1762"/>
      <c r="F78" s="1762"/>
      <c r="G78" s="1762"/>
      <c r="H78" s="1762"/>
      <c r="I78" s="1762"/>
      <c r="J78" s="1762"/>
      <c r="K78" s="1762"/>
      <c r="L78" s="1762"/>
      <c r="M78" s="1762"/>
      <c r="N78" s="1762"/>
      <c r="O78" s="1762"/>
      <c r="P78" s="1762"/>
      <c r="Q78" s="1769" t="s">
        <v>1017</v>
      </c>
      <c r="R78" s="1762"/>
      <c r="S78" s="1762"/>
      <c r="T78" s="1762"/>
      <c r="U78" s="1762"/>
      <c r="V78" s="1762"/>
      <c r="W78" s="1762"/>
      <c r="X78" s="1762"/>
      <c r="Y78" s="1766" t="s">
        <v>949</v>
      </c>
      <c r="Z78" s="1762"/>
      <c r="AA78" s="1762"/>
      <c r="AB78" s="1762"/>
      <c r="AC78" s="1762"/>
      <c r="AD78" s="1762"/>
      <c r="AE78" s="1767"/>
      <c r="AF78" s="1767"/>
      <c r="AG78" s="1761" t="s">
        <v>1013</v>
      </c>
      <c r="AH78" s="1767"/>
      <c r="AI78" s="1767"/>
      <c r="AJ78" s="1767"/>
      <c r="AK78" s="2476"/>
      <c r="AL78" s="1761" t="s">
        <v>847</v>
      </c>
      <c r="AM78" s="2476"/>
      <c r="AN78" s="2476"/>
      <c r="AO78" s="2476"/>
      <c r="AP78" s="1761" t="s">
        <v>1731</v>
      </c>
      <c r="AQ78" s="2527"/>
      <c r="AR78" s="2478"/>
      <c r="AS78" s="2478"/>
      <c r="AT78" s="2478"/>
      <c r="AU78" s="2478"/>
      <c r="AV78" s="2982" t="s">
        <v>2520</v>
      </c>
      <c r="AW78" s="2478"/>
      <c r="AX78" s="2478"/>
      <c r="AY78" s="2478"/>
      <c r="AZ78" s="2478"/>
      <c r="BA78" s="351">
        <v>1</v>
      </c>
      <c r="BB78" s="347">
        <v>1</v>
      </c>
      <c r="BC78" s="347">
        <v>1</v>
      </c>
      <c r="BD78" s="347">
        <v>1</v>
      </c>
      <c r="BE78" s="1748">
        <v>1</v>
      </c>
      <c r="BF78" s="1748">
        <v>1</v>
      </c>
      <c r="BG78" s="1748">
        <v>1</v>
      </c>
      <c r="BH78" s="1748">
        <v>1</v>
      </c>
      <c r="BI78" s="1748">
        <v>1</v>
      </c>
    </row>
    <row r="79" spans="1:61" ht="21.95" customHeight="1">
      <c r="A79" s="353">
        <v>66</v>
      </c>
      <c r="B79" s="1758" t="s">
        <v>1018</v>
      </c>
      <c r="C79" s="1759" t="s">
        <v>846</v>
      </c>
      <c r="D79" s="1770"/>
      <c r="E79" s="1770"/>
      <c r="F79" s="1770"/>
      <c r="G79" s="1770"/>
      <c r="H79" s="1770"/>
      <c r="I79" s="1770"/>
      <c r="J79" s="1770"/>
      <c r="K79" s="1770"/>
      <c r="L79" s="1770"/>
      <c r="M79" s="1770"/>
      <c r="N79" s="1770"/>
      <c r="O79" s="1770"/>
      <c r="P79" s="1770"/>
      <c r="Q79" s="1769" t="s">
        <v>1017</v>
      </c>
      <c r="R79" s="1770"/>
      <c r="S79" s="1770"/>
      <c r="T79" s="1770"/>
      <c r="U79" s="1770"/>
      <c r="V79" s="1770"/>
      <c r="W79" s="1770"/>
      <c r="X79" s="1770"/>
      <c r="Y79" s="1771" t="s">
        <v>949</v>
      </c>
      <c r="Z79" s="1762"/>
      <c r="AA79" s="1770"/>
      <c r="AB79" s="1770"/>
      <c r="AC79" s="1770"/>
      <c r="AD79" s="1770"/>
      <c r="AE79" s="1767"/>
      <c r="AF79" s="1767"/>
      <c r="AG79" s="1761" t="s">
        <v>1019</v>
      </c>
      <c r="AH79" s="1767"/>
      <c r="AI79" s="1767"/>
      <c r="AJ79" s="1761" t="s">
        <v>987</v>
      </c>
      <c r="AK79" s="1760"/>
      <c r="AL79" s="1761" t="s">
        <v>847</v>
      </c>
      <c r="AM79" s="2478"/>
      <c r="AN79" s="2478"/>
      <c r="AO79" s="2478"/>
      <c r="AP79" s="2478"/>
      <c r="AQ79" s="2527"/>
      <c r="AR79" s="2478"/>
      <c r="AS79" s="2478"/>
      <c r="AT79" s="2478"/>
      <c r="AU79" s="2478"/>
      <c r="AV79" s="2982" t="s">
        <v>2522</v>
      </c>
      <c r="AW79" s="2478"/>
      <c r="AX79" s="2478"/>
      <c r="AY79" s="2478"/>
      <c r="AZ79" s="2478"/>
      <c r="BA79" s="351">
        <v>1</v>
      </c>
      <c r="BB79" s="347">
        <v>1</v>
      </c>
      <c r="BC79" s="347">
        <v>1</v>
      </c>
      <c r="BD79" s="347">
        <v>1</v>
      </c>
      <c r="BE79" s="1748">
        <v>1</v>
      </c>
      <c r="BF79" s="1748">
        <v>1</v>
      </c>
      <c r="BG79" s="1748">
        <v>1</v>
      </c>
      <c r="BH79" s="1748">
        <v>1</v>
      </c>
      <c r="BI79" s="1748">
        <v>1</v>
      </c>
    </row>
    <row r="80" spans="1:61" ht="15">
      <c r="A80" s="353"/>
      <c r="B80" s="2512" t="s">
        <v>1020</v>
      </c>
      <c r="C80" s="2513"/>
      <c r="D80" s="2514"/>
      <c r="E80" s="2514"/>
      <c r="F80" s="2514"/>
      <c r="G80" s="2514"/>
      <c r="H80" s="2514"/>
      <c r="I80" s="2514"/>
      <c r="J80" s="2514"/>
      <c r="K80" s="2514"/>
      <c r="L80" s="2514"/>
      <c r="M80" s="2514"/>
      <c r="N80" s="2514"/>
      <c r="O80" s="2514"/>
      <c r="P80" s="2514"/>
      <c r="Q80" s="2514"/>
      <c r="R80" s="2514"/>
      <c r="S80" s="2514"/>
      <c r="T80" s="2514"/>
      <c r="U80" s="2514"/>
      <c r="V80" s="2514"/>
      <c r="W80" s="2514"/>
      <c r="X80" s="2514"/>
      <c r="Y80" s="2514"/>
      <c r="Z80" s="2514"/>
      <c r="AA80" s="2514"/>
      <c r="AB80" s="2514"/>
      <c r="AC80" s="2514"/>
      <c r="AD80" s="2514"/>
      <c r="AE80" s="2514"/>
      <c r="AF80" s="2514"/>
      <c r="AG80" s="2514"/>
      <c r="AH80" s="2514"/>
      <c r="AI80" s="2514"/>
      <c r="AJ80" s="2514"/>
      <c r="AK80" s="2484"/>
      <c r="AL80" s="2484"/>
      <c r="AM80" s="2484"/>
      <c r="AN80" s="2484"/>
      <c r="AO80" s="2484"/>
      <c r="AP80" s="2484"/>
      <c r="AQ80" s="2484"/>
      <c r="AR80" s="2484"/>
      <c r="AS80" s="2484"/>
      <c r="AT80" s="2484"/>
      <c r="AU80" s="2980"/>
      <c r="AV80" s="2980"/>
      <c r="AW80" s="2980"/>
      <c r="AX80" s="2980"/>
      <c r="AY80" s="2980"/>
      <c r="AZ80" s="2980"/>
      <c r="BA80" s="2497"/>
      <c r="BB80" s="2497"/>
      <c r="BC80" s="2497"/>
      <c r="BD80" s="2497"/>
      <c r="BE80" s="2497"/>
      <c r="BF80" s="2497"/>
      <c r="BG80" s="2504"/>
      <c r="BH80" s="2504"/>
      <c r="BI80" s="2504"/>
    </row>
    <row r="81" spans="1:61" ht="21.95" customHeight="1">
      <c r="A81" s="353">
        <v>67</v>
      </c>
      <c r="B81" s="1758" t="s">
        <v>1021</v>
      </c>
      <c r="C81" s="1759" t="s">
        <v>846</v>
      </c>
      <c r="D81" s="1760"/>
      <c r="E81" s="1760"/>
      <c r="F81" s="1760"/>
      <c r="G81" s="1760"/>
      <c r="H81" s="1760"/>
      <c r="I81" s="1760"/>
      <c r="J81" s="1760"/>
      <c r="K81" s="1769" t="s">
        <v>1012</v>
      </c>
      <c r="L81" s="1788" t="s">
        <v>1735</v>
      </c>
      <c r="M81" s="1760"/>
      <c r="N81" s="1788" t="s">
        <v>1739</v>
      </c>
      <c r="O81" s="1760"/>
      <c r="P81" s="1760"/>
      <c r="Q81" s="1760"/>
      <c r="R81" s="1788" t="s">
        <v>1740</v>
      </c>
      <c r="S81" s="1760"/>
      <c r="T81" s="1760"/>
      <c r="U81" s="1760"/>
      <c r="V81" s="1761" t="s">
        <v>1741</v>
      </c>
      <c r="W81" s="1760"/>
      <c r="X81" s="1760"/>
      <c r="Y81" s="1760"/>
      <c r="Z81" s="1761" t="s">
        <v>1742</v>
      </c>
      <c r="AA81" s="1760"/>
      <c r="AB81" s="1762"/>
      <c r="AC81" s="1760"/>
      <c r="AD81" s="1760"/>
      <c r="AE81" s="1767"/>
      <c r="AF81" s="1767"/>
      <c r="AG81" s="1761" t="s">
        <v>1013</v>
      </c>
      <c r="AH81" s="1767"/>
      <c r="AI81" s="1767"/>
      <c r="AJ81" s="1767"/>
      <c r="AK81" s="2476"/>
      <c r="AL81" s="1761" t="s">
        <v>847</v>
      </c>
      <c r="AM81" s="2476"/>
      <c r="AN81" s="2476"/>
      <c r="AO81" s="2476"/>
      <c r="AP81" s="2476"/>
      <c r="AQ81" s="2521"/>
      <c r="AR81" s="2476"/>
      <c r="AS81" s="2476"/>
      <c r="AT81" s="2476"/>
      <c r="AU81" s="2476"/>
      <c r="AV81" s="2476"/>
      <c r="AW81" s="2476"/>
      <c r="AX81" s="2476"/>
      <c r="AY81" s="2476"/>
      <c r="AZ81" s="2476"/>
      <c r="BA81" s="351">
        <v>1</v>
      </c>
      <c r="BB81" s="347">
        <v>1</v>
      </c>
      <c r="BC81" s="347">
        <v>1</v>
      </c>
      <c r="BD81" s="347">
        <v>1</v>
      </c>
      <c r="BE81" s="1748">
        <v>1</v>
      </c>
      <c r="BF81" s="1748">
        <v>1</v>
      </c>
      <c r="BG81" s="1748">
        <v>1</v>
      </c>
      <c r="BH81" s="1748"/>
      <c r="BI81" s="1748"/>
    </row>
    <row r="82" spans="1:61" ht="30">
      <c r="A82" s="353">
        <v>68</v>
      </c>
      <c r="B82" s="1758" t="s">
        <v>1022</v>
      </c>
      <c r="C82" s="1759" t="s">
        <v>846</v>
      </c>
      <c r="D82" s="1762"/>
      <c r="E82" s="1762"/>
      <c r="F82" s="1762"/>
      <c r="G82" s="1762"/>
      <c r="H82" s="1762"/>
      <c r="I82" s="1762"/>
      <c r="J82" s="1762"/>
      <c r="K82" s="1762"/>
      <c r="L82" s="1762"/>
      <c r="M82" s="1762"/>
      <c r="N82" s="1762"/>
      <c r="O82" s="1762"/>
      <c r="P82" s="1762"/>
      <c r="Q82" s="1769" t="s">
        <v>1023</v>
      </c>
      <c r="R82" s="1762"/>
      <c r="S82" s="1762"/>
      <c r="T82" s="1762"/>
      <c r="U82" s="1762"/>
      <c r="V82" s="1762"/>
      <c r="W82" s="1762"/>
      <c r="X82" s="1762"/>
      <c r="Y82" s="1762"/>
      <c r="Z82" s="1766" t="s">
        <v>1742</v>
      </c>
      <c r="AA82" s="1762"/>
      <c r="AB82" s="1762"/>
      <c r="AC82" s="1762"/>
      <c r="AD82" s="1762"/>
      <c r="AE82" s="1767"/>
      <c r="AF82" s="1767"/>
      <c r="AG82" s="1761" t="s">
        <v>1013</v>
      </c>
      <c r="AH82" s="1767"/>
      <c r="AI82" s="1767"/>
      <c r="AJ82" s="1767"/>
      <c r="AK82" s="2476"/>
      <c r="AL82" s="1761" t="s">
        <v>847</v>
      </c>
      <c r="AM82" s="2476"/>
      <c r="AN82" s="2476"/>
      <c r="AO82" s="2476"/>
      <c r="AP82" s="2476"/>
      <c r="AQ82" s="2521"/>
      <c r="AR82" s="2476"/>
      <c r="AS82" s="2476"/>
      <c r="AT82" s="2476"/>
      <c r="AU82" s="2476"/>
      <c r="AV82" s="2476"/>
      <c r="AW82" s="2476"/>
      <c r="AX82" s="2476"/>
      <c r="AY82" s="2476"/>
      <c r="AZ82" s="2476"/>
      <c r="BA82" s="351"/>
      <c r="BB82" s="347">
        <v>1</v>
      </c>
      <c r="BC82" s="347">
        <v>1</v>
      </c>
      <c r="BD82" s="347">
        <v>1</v>
      </c>
      <c r="BE82" s="1748">
        <v>1</v>
      </c>
      <c r="BF82" s="1748">
        <v>1</v>
      </c>
      <c r="BG82" s="1748">
        <v>1</v>
      </c>
      <c r="BH82" s="1748"/>
      <c r="BI82" s="1748"/>
    </row>
    <row r="83" spans="1:61" ht="21.95" customHeight="1">
      <c r="A83" s="353">
        <v>69</v>
      </c>
      <c r="B83" s="1758" t="s">
        <v>1024</v>
      </c>
      <c r="C83" s="1759" t="s">
        <v>846</v>
      </c>
      <c r="D83" s="1770"/>
      <c r="E83" s="1770"/>
      <c r="F83" s="1770"/>
      <c r="G83" s="1770"/>
      <c r="H83" s="1770"/>
      <c r="I83" s="1770"/>
      <c r="J83" s="1770"/>
      <c r="K83" s="1770"/>
      <c r="L83" s="1770"/>
      <c r="M83" s="1770"/>
      <c r="N83" s="1770"/>
      <c r="O83" s="1770"/>
      <c r="P83" s="1770"/>
      <c r="Q83" s="1769" t="s">
        <v>1025</v>
      </c>
      <c r="R83" s="1770"/>
      <c r="S83" s="1770"/>
      <c r="T83" s="1770"/>
      <c r="U83" s="1770"/>
      <c r="V83" s="1770"/>
      <c r="W83" s="1770"/>
      <c r="X83" s="1770"/>
      <c r="Y83" s="1770"/>
      <c r="Z83" s="1771" t="s">
        <v>1742</v>
      </c>
      <c r="AA83" s="1770"/>
      <c r="AB83" s="1762"/>
      <c r="AC83" s="1770"/>
      <c r="AD83" s="1770"/>
      <c r="AE83" s="1767"/>
      <c r="AF83" s="1767"/>
      <c r="AG83" s="1761" t="s">
        <v>1013</v>
      </c>
      <c r="AH83" s="1767"/>
      <c r="AI83" s="1767"/>
      <c r="AJ83" s="1767"/>
      <c r="AK83" s="2476"/>
      <c r="AL83" s="1761" t="s">
        <v>847</v>
      </c>
      <c r="AM83" s="2476"/>
      <c r="AN83" s="2476"/>
      <c r="AO83" s="2476"/>
      <c r="AP83" s="2476"/>
      <c r="AQ83" s="2521"/>
      <c r="AR83" s="2476"/>
      <c r="AS83" s="2476"/>
      <c r="AT83" s="2476"/>
      <c r="AU83" s="2476"/>
      <c r="AV83" s="2476"/>
      <c r="AW83" s="2476"/>
      <c r="AX83" s="2476"/>
      <c r="AY83" s="2476"/>
      <c r="AZ83" s="2476"/>
      <c r="BA83" s="351"/>
      <c r="BB83" s="347">
        <v>1</v>
      </c>
      <c r="BC83" s="347">
        <v>1</v>
      </c>
      <c r="BD83" s="347">
        <v>1</v>
      </c>
      <c r="BE83" s="1748">
        <v>1</v>
      </c>
      <c r="BF83" s="1748">
        <v>1</v>
      </c>
      <c r="BG83" s="1748">
        <v>1</v>
      </c>
      <c r="BH83" s="1748"/>
      <c r="BI83" s="1748"/>
    </row>
    <row r="84" spans="1:61" ht="15">
      <c r="A84" s="353"/>
      <c r="B84" s="2512" t="s">
        <v>1026</v>
      </c>
      <c r="C84" s="2513"/>
      <c r="D84" s="2514"/>
      <c r="E84" s="2514"/>
      <c r="F84" s="2514"/>
      <c r="G84" s="2514"/>
      <c r="H84" s="2514"/>
      <c r="I84" s="2514"/>
      <c r="J84" s="2514"/>
      <c r="K84" s="2514"/>
      <c r="L84" s="2514"/>
      <c r="M84" s="2514"/>
      <c r="N84" s="2514"/>
      <c r="O84" s="2514"/>
      <c r="P84" s="2514"/>
      <c r="Q84" s="2514"/>
      <c r="R84" s="2514"/>
      <c r="S84" s="2514"/>
      <c r="T84" s="2514"/>
      <c r="U84" s="2514"/>
      <c r="V84" s="2514"/>
      <c r="W84" s="2514"/>
      <c r="X84" s="2514"/>
      <c r="Y84" s="2514"/>
      <c r="Z84" s="2514"/>
      <c r="AA84" s="2514"/>
      <c r="AB84" s="2514"/>
      <c r="AC84" s="2514"/>
      <c r="AD84" s="2514"/>
      <c r="AE84" s="2514"/>
      <c r="AF84" s="2514"/>
      <c r="AG84" s="2514"/>
      <c r="AH84" s="2514"/>
      <c r="AI84" s="2514"/>
      <c r="AJ84" s="2514"/>
      <c r="AK84" s="2484"/>
      <c r="AL84" s="2484"/>
      <c r="AM84" s="2484"/>
      <c r="AN84" s="2484"/>
      <c r="AO84" s="2484"/>
      <c r="AP84" s="2484"/>
      <c r="AQ84" s="2484"/>
      <c r="AR84" s="2484"/>
      <c r="AS84" s="2484"/>
      <c r="AT84" s="2484"/>
      <c r="AU84" s="2980"/>
      <c r="AV84" s="2980"/>
      <c r="AW84" s="2980"/>
      <c r="AX84" s="2980"/>
      <c r="AY84" s="2980"/>
      <c r="AZ84" s="2980"/>
      <c r="BA84" s="2497"/>
      <c r="BB84" s="2497"/>
      <c r="BC84" s="2497"/>
      <c r="BD84" s="2497"/>
      <c r="BE84" s="2497"/>
      <c r="BF84" s="2497"/>
      <c r="BG84" s="2504"/>
      <c r="BH84" s="2504"/>
      <c r="BI84" s="2504"/>
    </row>
    <row r="85" spans="1:61" ht="21.95" customHeight="1">
      <c r="A85" s="353">
        <v>70</v>
      </c>
      <c r="B85" s="1758" t="s">
        <v>14</v>
      </c>
      <c r="C85" s="1759" t="s">
        <v>846</v>
      </c>
      <c r="D85" s="1760"/>
      <c r="E85" s="1760"/>
      <c r="F85" s="1760"/>
      <c r="G85" s="1760"/>
      <c r="H85" s="1760"/>
      <c r="I85" s="1760"/>
      <c r="J85" s="1760"/>
      <c r="K85" s="1769" t="s">
        <v>1012</v>
      </c>
      <c r="L85" s="1788" t="s">
        <v>1743</v>
      </c>
      <c r="M85" s="1760"/>
      <c r="N85" s="1788" t="s">
        <v>1744</v>
      </c>
      <c r="O85" s="1766" t="s">
        <v>211</v>
      </c>
      <c r="P85" s="1760"/>
      <c r="Q85" s="1760"/>
      <c r="R85" s="1790" t="s">
        <v>1745</v>
      </c>
      <c r="S85" s="1762"/>
      <c r="T85" s="1761" t="s">
        <v>256</v>
      </c>
      <c r="U85" s="1760"/>
      <c r="V85" s="1760"/>
      <c r="W85" s="1761" t="s">
        <v>1746</v>
      </c>
      <c r="X85" s="1760"/>
      <c r="Y85" s="1761" t="s">
        <v>949</v>
      </c>
      <c r="Z85" s="1760"/>
      <c r="AA85" s="1760"/>
      <c r="AB85" s="1760"/>
      <c r="AC85" s="1760"/>
      <c r="AD85" s="1760"/>
      <c r="AE85" s="1767"/>
      <c r="AF85" s="1767"/>
      <c r="AG85" s="1761" t="s">
        <v>1013</v>
      </c>
      <c r="AH85" s="1767"/>
      <c r="AI85" s="1767"/>
      <c r="AJ85" s="1767"/>
      <c r="AK85" s="2476"/>
      <c r="AL85" s="1761" t="s">
        <v>847</v>
      </c>
      <c r="AM85" s="2476"/>
      <c r="AN85" s="2476"/>
      <c r="AO85" s="2476"/>
      <c r="AP85" s="2476"/>
      <c r="AQ85" s="2521"/>
      <c r="AR85" s="2476"/>
      <c r="AS85" s="1761" t="s">
        <v>1970</v>
      </c>
      <c r="AT85" s="2476"/>
      <c r="AU85" s="2476"/>
      <c r="AV85" s="2476"/>
      <c r="AW85" s="2476"/>
      <c r="AX85" s="2476"/>
      <c r="AY85" s="3988" t="s">
        <v>2833</v>
      </c>
      <c r="AZ85" s="2476"/>
      <c r="BA85" s="351">
        <v>1</v>
      </c>
      <c r="BB85" s="347">
        <v>1</v>
      </c>
      <c r="BC85" s="347">
        <v>1</v>
      </c>
      <c r="BD85" s="347">
        <v>1</v>
      </c>
      <c r="BE85" s="1748">
        <v>1</v>
      </c>
      <c r="BF85" s="1748">
        <v>1</v>
      </c>
      <c r="BG85" s="1748">
        <v>1</v>
      </c>
      <c r="BH85" s="1748">
        <v>1</v>
      </c>
      <c r="BI85" s="1748">
        <v>1</v>
      </c>
    </row>
    <row r="86" spans="1:61" ht="21.95" customHeight="1">
      <c r="A86" s="353">
        <v>71</v>
      </c>
      <c r="B86" s="1758" t="s">
        <v>1027</v>
      </c>
      <c r="C86" s="1759" t="s">
        <v>846</v>
      </c>
      <c r="D86" s="1762"/>
      <c r="E86" s="1762"/>
      <c r="F86" s="1762"/>
      <c r="G86" s="1762"/>
      <c r="H86" s="1762"/>
      <c r="I86" s="1762"/>
      <c r="J86" s="1762"/>
      <c r="K86" s="1769" t="s">
        <v>1012</v>
      </c>
      <c r="L86" s="1788" t="s">
        <v>1743</v>
      </c>
      <c r="M86" s="1762"/>
      <c r="N86" s="1788" t="s">
        <v>1744</v>
      </c>
      <c r="O86" s="1761" t="s">
        <v>211</v>
      </c>
      <c r="P86" s="1762"/>
      <c r="Q86" s="1762"/>
      <c r="R86" s="1790" t="s">
        <v>1745</v>
      </c>
      <c r="S86" s="1762"/>
      <c r="T86" s="1762"/>
      <c r="U86" s="1762"/>
      <c r="V86" s="1762"/>
      <c r="W86" s="1761" t="s">
        <v>1746</v>
      </c>
      <c r="X86" s="1762"/>
      <c r="Y86" s="1762"/>
      <c r="Z86" s="1762"/>
      <c r="AA86" s="1762"/>
      <c r="AB86" s="1762"/>
      <c r="AC86" s="1762"/>
      <c r="AD86" s="1762"/>
      <c r="AE86" s="1767"/>
      <c r="AF86" s="1767"/>
      <c r="AG86" s="1761" t="s">
        <v>1013</v>
      </c>
      <c r="AH86" s="1767"/>
      <c r="AI86" s="1767"/>
      <c r="AJ86" s="1767"/>
      <c r="AK86" s="2476"/>
      <c r="AL86" s="1761" t="s">
        <v>847</v>
      </c>
      <c r="AM86" s="2476"/>
      <c r="AN86" s="2476"/>
      <c r="AO86" s="2476"/>
      <c r="AP86" s="2476"/>
      <c r="AQ86" s="2521"/>
      <c r="AR86" s="2476"/>
      <c r="AS86" s="2476"/>
      <c r="AT86" s="2476"/>
      <c r="AU86" s="2476"/>
      <c r="AV86" s="2476"/>
      <c r="AW86" s="2993" t="s">
        <v>2509</v>
      </c>
      <c r="AX86" s="2478"/>
      <c r="AY86" s="2478"/>
      <c r="AZ86" s="2478"/>
      <c r="BA86" s="351">
        <v>1</v>
      </c>
      <c r="BB86" s="347"/>
      <c r="BC86" s="347"/>
      <c r="BD86" s="347">
        <v>1</v>
      </c>
      <c r="BE86" s="1748">
        <v>1</v>
      </c>
      <c r="BF86" s="1748">
        <v>1</v>
      </c>
      <c r="BG86" s="1748">
        <v>1</v>
      </c>
      <c r="BH86" s="1748">
        <v>1</v>
      </c>
      <c r="BI86" s="1748">
        <v>1</v>
      </c>
    </row>
    <row r="87" spans="1:61" ht="21.95" customHeight="1">
      <c r="A87" s="353">
        <v>72</v>
      </c>
      <c r="B87" s="1758" t="s">
        <v>1028</v>
      </c>
      <c r="C87" s="1759" t="s">
        <v>846</v>
      </c>
      <c r="D87" s="1762"/>
      <c r="E87" s="1762"/>
      <c r="F87" s="1762"/>
      <c r="G87" s="1762"/>
      <c r="H87" s="1762"/>
      <c r="I87" s="1762"/>
      <c r="J87" s="1762"/>
      <c r="K87" s="1762"/>
      <c r="L87" s="1762"/>
      <c r="M87" s="1762"/>
      <c r="N87" s="1762"/>
      <c r="O87" s="1762"/>
      <c r="P87" s="1762"/>
      <c r="Q87" s="1762"/>
      <c r="R87" s="1762"/>
      <c r="S87" s="1762"/>
      <c r="T87" s="1762"/>
      <c r="U87" s="1769" t="s">
        <v>1029</v>
      </c>
      <c r="V87" s="1762"/>
      <c r="W87" s="1762"/>
      <c r="X87" s="1762"/>
      <c r="Y87" s="1762"/>
      <c r="Z87" s="1762"/>
      <c r="AA87" s="1762"/>
      <c r="AB87" s="1762"/>
      <c r="AC87" s="1762"/>
      <c r="AD87" s="1762"/>
      <c r="AE87" s="1767"/>
      <c r="AF87" s="1767"/>
      <c r="AG87" s="1761" t="s">
        <v>1013</v>
      </c>
      <c r="AH87" s="1767"/>
      <c r="AI87" s="1767"/>
      <c r="AJ87" s="1767"/>
      <c r="AK87" s="2476"/>
      <c r="AL87" s="1761" t="s">
        <v>847</v>
      </c>
      <c r="AM87" s="2476"/>
      <c r="AN87" s="2476"/>
      <c r="AO87" s="2476"/>
      <c r="AP87" s="2476"/>
      <c r="AQ87" s="2521"/>
      <c r="AR87" s="2476"/>
      <c r="AS87" s="2476"/>
      <c r="AT87" s="2476"/>
      <c r="AU87" s="2476"/>
      <c r="AV87" s="2993" t="s">
        <v>2518</v>
      </c>
      <c r="AW87" s="2478"/>
      <c r="AX87" s="2478"/>
      <c r="AY87" s="2478"/>
      <c r="AZ87" s="2478"/>
      <c r="BA87" s="351">
        <v>1</v>
      </c>
      <c r="BB87" s="347"/>
      <c r="BC87" s="347"/>
      <c r="BD87" s="347">
        <v>1</v>
      </c>
      <c r="BE87" s="1748">
        <v>1</v>
      </c>
      <c r="BF87" s="1748">
        <v>1</v>
      </c>
      <c r="BG87" s="1748">
        <v>1</v>
      </c>
      <c r="BH87" s="1748">
        <v>1</v>
      </c>
      <c r="BI87" s="1748">
        <v>1</v>
      </c>
    </row>
    <row r="88" spans="1:61" ht="21.95" customHeight="1">
      <c r="A88" s="353">
        <v>73</v>
      </c>
      <c r="B88" s="1758" t="s">
        <v>1030</v>
      </c>
      <c r="C88" s="1759" t="s">
        <v>846</v>
      </c>
      <c r="D88" s="1770"/>
      <c r="E88" s="1770"/>
      <c r="F88" s="1770"/>
      <c r="G88" s="1770"/>
      <c r="H88" s="1770"/>
      <c r="I88" s="1770"/>
      <c r="J88" s="1770"/>
      <c r="K88" s="1770"/>
      <c r="L88" s="1770"/>
      <c r="M88" s="1770"/>
      <c r="N88" s="1770"/>
      <c r="O88" s="1770"/>
      <c r="P88" s="1770"/>
      <c r="Q88" s="1770"/>
      <c r="R88" s="1770"/>
      <c r="S88" s="1770"/>
      <c r="T88" s="1770"/>
      <c r="U88" s="1770"/>
      <c r="V88" s="1770"/>
      <c r="W88" s="1770"/>
      <c r="X88" s="1770"/>
      <c r="Y88" s="1770"/>
      <c r="Z88" s="1770"/>
      <c r="AA88" s="1791" t="s">
        <v>1031</v>
      </c>
      <c r="AB88" s="1770"/>
      <c r="AC88" s="1770"/>
      <c r="AD88" s="1770"/>
      <c r="AE88" s="1767"/>
      <c r="AF88" s="1767"/>
      <c r="AG88" s="1761" t="s">
        <v>1013</v>
      </c>
      <c r="AH88" s="1767"/>
      <c r="AI88" s="1767"/>
      <c r="AJ88" s="1767"/>
      <c r="AK88" s="2476"/>
      <c r="AL88" s="1761" t="s">
        <v>847</v>
      </c>
      <c r="AM88" s="2476"/>
      <c r="AN88" s="2476"/>
      <c r="AO88" s="2476"/>
      <c r="AP88" s="2476"/>
      <c r="AQ88" s="2521"/>
      <c r="AR88" s="2476"/>
      <c r="AS88" s="1761" t="s">
        <v>1970</v>
      </c>
      <c r="AT88" s="2476"/>
      <c r="AU88" s="2476"/>
      <c r="AV88" s="2476"/>
      <c r="AW88" s="2993" t="s">
        <v>2518</v>
      </c>
      <c r="AX88" s="2478"/>
      <c r="AY88" s="2478"/>
      <c r="AZ88" s="2478"/>
      <c r="BA88" s="351">
        <v>1</v>
      </c>
      <c r="BB88" s="347">
        <v>1</v>
      </c>
      <c r="BC88" s="347">
        <v>1</v>
      </c>
      <c r="BD88" s="347">
        <v>1</v>
      </c>
      <c r="BE88" s="1748">
        <v>1</v>
      </c>
      <c r="BF88" s="1748">
        <v>1</v>
      </c>
      <c r="BG88" s="1748">
        <v>1</v>
      </c>
      <c r="BH88" s="1748">
        <v>1</v>
      </c>
      <c r="BI88" s="1748">
        <v>1</v>
      </c>
    </row>
    <row r="89" spans="1:61" ht="15">
      <c r="A89" s="353"/>
      <c r="B89" s="2515" t="s">
        <v>1032</v>
      </c>
      <c r="C89" s="2516"/>
      <c r="D89" s="2517"/>
      <c r="E89" s="2517"/>
      <c r="F89" s="2517"/>
      <c r="G89" s="2517"/>
      <c r="H89" s="2517"/>
      <c r="I89" s="2517"/>
      <c r="J89" s="2517"/>
      <c r="K89" s="2517"/>
      <c r="L89" s="2517"/>
      <c r="M89" s="2517"/>
      <c r="N89" s="2517"/>
      <c r="O89" s="2517"/>
      <c r="P89" s="2517"/>
      <c r="Q89" s="2517"/>
      <c r="R89" s="2517"/>
      <c r="S89" s="2517"/>
      <c r="T89" s="2517"/>
      <c r="U89" s="2517"/>
      <c r="V89" s="2517"/>
      <c r="W89" s="2517"/>
      <c r="X89" s="2517"/>
      <c r="Y89" s="2517"/>
      <c r="Z89" s="2517"/>
      <c r="AA89" s="2517"/>
      <c r="AB89" s="2517"/>
      <c r="AC89" s="2517"/>
      <c r="AD89" s="2517"/>
      <c r="AE89" s="2517"/>
      <c r="AF89" s="2517"/>
      <c r="AG89" s="2517"/>
      <c r="AH89" s="2517"/>
      <c r="AI89" s="2517"/>
      <c r="AJ89" s="2517"/>
      <c r="AK89" s="2485"/>
      <c r="AL89" s="2485"/>
      <c r="AM89" s="2485"/>
      <c r="AN89" s="2485"/>
      <c r="AO89" s="2485"/>
      <c r="AP89" s="2485"/>
      <c r="AQ89" s="2485"/>
      <c r="AR89" s="2485"/>
      <c r="AS89" s="2485"/>
      <c r="AT89" s="2485"/>
      <c r="AU89" s="2981"/>
      <c r="AV89" s="2981"/>
      <c r="AW89" s="2981"/>
      <c r="AX89" s="2981"/>
      <c r="AY89" s="2981"/>
      <c r="AZ89" s="2981"/>
      <c r="BA89" s="2499"/>
      <c r="BB89" s="2499"/>
      <c r="BC89" s="2499"/>
      <c r="BD89" s="2499"/>
      <c r="BE89" s="2499"/>
      <c r="BF89" s="2499"/>
      <c r="BG89" s="2505"/>
      <c r="BH89" s="2505"/>
      <c r="BI89" s="2505"/>
    </row>
    <row r="90" spans="1:61" ht="30">
      <c r="A90" s="353">
        <v>74</v>
      </c>
      <c r="B90" s="2550" t="s">
        <v>1033</v>
      </c>
      <c r="C90" s="2539" t="s">
        <v>1969</v>
      </c>
      <c r="D90" s="2478"/>
      <c r="E90" s="2478"/>
      <c r="F90" s="2478"/>
      <c r="G90" s="2478"/>
      <c r="H90" s="2478"/>
      <c r="I90" s="2478"/>
      <c r="J90" s="2478"/>
      <c r="K90" s="2478"/>
      <c r="L90" s="2478"/>
      <c r="M90" s="2478"/>
      <c r="N90" s="2478"/>
      <c r="O90" s="2478"/>
      <c r="P90" s="2478"/>
      <c r="Q90" s="2478"/>
      <c r="R90" s="2478"/>
      <c r="S90" s="2478"/>
      <c r="T90" s="2478"/>
      <c r="U90" s="2478"/>
      <c r="V90" s="2478"/>
      <c r="W90" s="2478"/>
      <c r="X90" s="2478"/>
      <c r="Y90" s="2478"/>
      <c r="Z90" s="2478"/>
      <c r="AA90" s="2478"/>
      <c r="AB90" s="2989" t="s">
        <v>1034</v>
      </c>
      <c r="AC90" s="2478"/>
      <c r="AD90" s="2478"/>
      <c r="AE90" s="2477"/>
      <c r="AF90" s="2992" t="s">
        <v>1035</v>
      </c>
      <c r="AG90" s="2476"/>
      <c r="AH90" s="2476"/>
      <c r="AI90" s="2476"/>
      <c r="AJ90" s="2476"/>
      <c r="AK90" s="2476"/>
      <c r="AL90" s="2476"/>
      <c r="AM90" s="2476"/>
      <c r="AN90" s="2476"/>
      <c r="AO90" s="2476"/>
      <c r="AP90" s="2476"/>
      <c r="AQ90" s="2993" t="s">
        <v>1974</v>
      </c>
      <c r="AR90" s="2476"/>
      <c r="AS90" s="2476"/>
      <c r="AT90" s="2476"/>
      <c r="AU90" s="2476"/>
      <c r="AV90" s="2476"/>
      <c r="AW90" s="2476"/>
      <c r="AX90" s="2476"/>
      <c r="AY90" s="2476"/>
      <c r="AZ90" s="2476"/>
      <c r="BA90" s="347"/>
      <c r="BB90" s="347">
        <v>1</v>
      </c>
      <c r="BC90" s="347">
        <v>1</v>
      </c>
      <c r="BD90" s="347">
        <v>1</v>
      </c>
      <c r="BE90" s="1748">
        <v>1</v>
      </c>
      <c r="BG90" s="1748">
        <v>1</v>
      </c>
      <c r="BH90" s="1748">
        <v>1</v>
      </c>
      <c r="BI90" s="1748"/>
    </row>
    <row r="91" spans="1:61" ht="30">
      <c r="A91" s="353">
        <v>75</v>
      </c>
      <c r="B91" s="1758" t="s">
        <v>2494</v>
      </c>
      <c r="C91" s="2539" t="s">
        <v>2491</v>
      </c>
      <c r="D91" s="2478"/>
      <c r="E91" s="2478"/>
      <c r="F91" s="2478"/>
      <c r="G91" s="2478"/>
      <c r="H91" s="2478"/>
      <c r="I91" s="2478"/>
      <c r="J91" s="2478"/>
      <c r="K91" s="2478"/>
      <c r="L91" s="2478"/>
      <c r="M91" s="2478"/>
      <c r="N91" s="2478"/>
      <c r="O91" s="2478"/>
      <c r="P91" s="2478"/>
      <c r="Q91" s="2478"/>
      <c r="R91" s="2478"/>
      <c r="S91" s="2478"/>
      <c r="T91" s="2478"/>
      <c r="U91" s="2478"/>
      <c r="V91" s="2478"/>
      <c r="W91" s="2478"/>
      <c r="X91" s="2478"/>
      <c r="Y91" s="2478"/>
      <c r="Z91" s="2478"/>
      <c r="AA91" s="2478"/>
      <c r="AB91" s="2478"/>
      <c r="AC91" s="2478"/>
      <c r="AD91" s="2478"/>
      <c r="AE91" s="2477"/>
      <c r="AF91" s="2475"/>
      <c r="AG91" s="2476"/>
      <c r="AH91" s="2476"/>
      <c r="AI91" s="2476"/>
      <c r="AJ91" s="2476"/>
      <c r="AK91" s="2476"/>
      <c r="AL91" s="2476"/>
      <c r="AM91" s="2476"/>
      <c r="AN91" s="2476"/>
      <c r="AO91" s="2476"/>
      <c r="AP91" s="2476"/>
      <c r="AQ91" s="2478"/>
      <c r="AR91" s="2476"/>
      <c r="AS91" s="2476"/>
      <c r="AT91" s="4003" t="s">
        <v>2842</v>
      </c>
      <c r="AU91" s="2476"/>
      <c r="AV91" s="2476"/>
      <c r="AW91" s="2476"/>
      <c r="AX91" s="2476"/>
      <c r="AY91" s="2476"/>
      <c r="AZ91" s="2476"/>
      <c r="BA91" s="347"/>
      <c r="BB91" s="347"/>
      <c r="BC91" s="347"/>
      <c r="BD91" s="347"/>
      <c r="BG91" s="1748"/>
      <c r="BH91" s="1748"/>
      <c r="BI91" s="1748">
        <v>1</v>
      </c>
    </row>
    <row r="92" spans="1:61" ht="30">
      <c r="A92" s="353">
        <v>76</v>
      </c>
      <c r="B92" s="2555" t="s">
        <v>2837</v>
      </c>
      <c r="C92" s="2539" t="s">
        <v>2499</v>
      </c>
      <c r="D92" s="2478"/>
      <c r="E92" s="2478"/>
      <c r="F92" s="2478"/>
      <c r="G92" s="2478"/>
      <c r="H92" s="2478"/>
      <c r="I92" s="2478"/>
      <c r="J92" s="2478"/>
      <c r="K92" s="2478"/>
      <c r="L92" s="2478"/>
      <c r="M92" s="2478"/>
      <c r="N92" s="2478"/>
      <c r="O92" s="2478"/>
      <c r="P92" s="2478"/>
      <c r="Q92" s="2478"/>
      <c r="R92" s="2478"/>
      <c r="S92" s="2478"/>
      <c r="T92" s="2478"/>
      <c r="U92" s="2478"/>
      <c r="V92" s="2478"/>
      <c r="W92" s="2478"/>
      <c r="X92" s="2478"/>
      <c r="Y92" s="2478"/>
      <c r="Z92" s="2478"/>
      <c r="AA92" s="2478"/>
      <c r="AB92" s="2478"/>
      <c r="AC92" s="2478"/>
      <c r="AD92" s="2478"/>
      <c r="AE92" s="2477"/>
      <c r="AF92" s="2475"/>
      <c r="AG92" s="2476"/>
      <c r="AH92" s="2476"/>
      <c r="AI92" s="2476"/>
      <c r="AJ92" s="2476"/>
      <c r="AK92" s="2476"/>
      <c r="AL92" s="2476"/>
      <c r="AM92" s="2476"/>
      <c r="AN92" s="2476"/>
      <c r="AO92" s="2476"/>
      <c r="AP92" s="2476"/>
      <c r="AQ92" s="2478"/>
      <c r="AR92" s="2476"/>
      <c r="AS92" s="2476"/>
      <c r="AT92" s="2476"/>
      <c r="AU92" s="2476"/>
      <c r="AV92" s="2476"/>
      <c r="AW92" s="2476"/>
      <c r="AX92" s="2476"/>
      <c r="AY92" s="2989" t="s">
        <v>2840</v>
      </c>
      <c r="AZ92" s="2476"/>
      <c r="BA92" s="347"/>
      <c r="BB92" s="347"/>
      <c r="BC92" s="347"/>
      <c r="BD92" s="347"/>
      <c r="BG92" s="1748"/>
      <c r="BH92" s="1748"/>
      <c r="BI92" s="1748">
        <v>1</v>
      </c>
    </row>
    <row r="93" spans="1:61" ht="15">
      <c r="A93" s="353"/>
      <c r="B93" s="2986" t="s">
        <v>1036</v>
      </c>
      <c r="C93" s="2987"/>
      <c r="D93" s="2988"/>
      <c r="E93" s="2988"/>
      <c r="F93" s="2988"/>
      <c r="G93" s="2988"/>
      <c r="H93" s="2988"/>
      <c r="I93" s="2988"/>
      <c r="J93" s="2988"/>
      <c r="K93" s="2988"/>
      <c r="L93" s="2988"/>
      <c r="M93" s="2988"/>
      <c r="N93" s="2988"/>
      <c r="O93" s="2988"/>
      <c r="P93" s="2988"/>
      <c r="Q93" s="2988"/>
      <c r="R93" s="2988"/>
      <c r="S93" s="2988"/>
      <c r="T93" s="2988"/>
      <c r="U93" s="2988"/>
      <c r="V93" s="2988"/>
      <c r="W93" s="2988"/>
      <c r="X93" s="2988"/>
      <c r="Y93" s="2988"/>
      <c r="Z93" s="2988"/>
      <c r="AA93" s="2988"/>
      <c r="AB93" s="2988"/>
      <c r="AC93" s="2988"/>
      <c r="AD93" s="2988"/>
      <c r="AE93" s="2988"/>
      <c r="AF93" s="2988"/>
      <c r="AG93" s="2988"/>
      <c r="AH93" s="2988"/>
      <c r="AI93" s="2988"/>
      <c r="AJ93" s="2988"/>
      <c r="AK93" s="2485"/>
      <c r="AL93" s="2485"/>
      <c r="AM93" s="2485"/>
      <c r="AN93" s="2485"/>
      <c r="AO93" s="2485"/>
      <c r="AP93" s="2485"/>
      <c r="AQ93" s="2485"/>
      <c r="AR93" s="2485"/>
      <c r="AS93" s="2485"/>
      <c r="AT93" s="2485"/>
      <c r="AU93" s="2981"/>
      <c r="AV93" s="2981"/>
      <c r="AW93" s="2981"/>
      <c r="AX93" s="2981"/>
      <c r="AY93" s="2981"/>
      <c r="AZ93" s="2981"/>
      <c r="BA93" s="2499"/>
      <c r="BB93" s="2499"/>
      <c r="BC93" s="2499"/>
      <c r="BD93" s="2499"/>
      <c r="BE93" s="2499"/>
      <c r="BF93" s="2499"/>
      <c r="BG93" s="2505"/>
      <c r="BH93" s="2505"/>
      <c r="BI93" s="2505"/>
    </row>
    <row r="94" spans="1:61" ht="30">
      <c r="A94" s="353">
        <v>77</v>
      </c>
      <c r="B94" s="2550" t="s">
        <v>1747</v>
      </c>
      <c r="C94" s="2539" t="s">
        <v>2491</v>
      </c>
      <c r="D94" s="2478"/>
      <c r="E94" s="2478"/>
      <c r="F94" s="2478"/>
      <c r="G94" s="2478"/>
      <c r="H94" s="2478"/>
      <c r="I94" s="2478"/>
      <c r="J94" s="2478"/>
      <c r="K94" s="2478"/>
      <c r="L94" s="2478"/>
      <c r="M94" s="2478"/>
      <c r="N94" s="2478"/>
      <c r="O94" s="2478"/>
      <c r="P94" s="2478"/>
      <c r="Q94" s="2478"/>
      <c r="R94" s="2478"/>
      <c r="S94" s="2478"/>
      <c r="T94" s="2478"/>
      <c r="U94" s="2478"/>
      <c r="V94" s="2478"/>
      <c r="W94" s="2478"/>
      <c r="X94" s="2478"/>
      <c r="Y94" s="2478"/>
      <c r="Z94" s="2478"/>
      <c r="AA94" s="2478"/>
      <c r="AB94" s="2989" t="s">
        <v>1037</v>
      </c>
      <c r="AC94" s="2478"/>
      <c r="AD94" s="2478"/>
      <c r="AE94" s="2478"/>
      <c r="AF94" s="2990" t="s">
        <v>1038</v>
      </c>
      <c r="AG94" s="2476"/>
      <c r="AH94" s="2476"/>
      <c r="AI94" s="2476"/>
      <c r="AJ94" s="2476"/>
      <c r="AK94" s="2476"/>
      <c r="AL94" s="2476"/>
      <c r="AM94" s="2476"/>
      <c r="AN94" s="2476"/>
      <c r="AO94" s="2476"/>
      <c r="AP94" s="2476"/>
      <c r="AQ94" s="2476"/>
      <c r="AR94" s="2476"/>
      <c r="AS94" s="2476"/>
      <c r="AT94" s="4004" t="s">
        <v>2843</v>
      </c>
      <c r="AU94" s="2476"/>
      <c r="AV94" s="2476"/>
      <c r="AW94" s="2476"/>
      <c r="AX94" s="2476"/>
      <c r="AY94" s="2476"/>
      <c r="AZ94" s="2476"/>
      <c r="BA94" s="347"/>
      <c r="BB94" s="347">
        <v>1</v>
      </c>
      <c r="BC94" s="347">
        <v>1</v>
      </c>
      <c r="BD94" s="347">
        <v>1</v>
      </c>
      <c r="BE94" s="1748">
        <v>1</v>
      </c>
      <c r="BG94" s="1748"/>
      <c r="BH94" s="1748"/>
      <c r="BI94" s="1748">
        <v>1</v>
      </c>
    </row>
    <row r="95" spans="1:61" ht="15">
      <c r="A95" s="353">
        <v>78</v>
      </c>
      <c r="B95" s="2991" t="s">
        <v>2493</v>
      </c>
      <c r="C95" s="2994" t="s">
        <v>1761</v>
      </c>
      <c r="D95" s="2478"/>
      <c r="E95" s="2478"/>
      <c r="F95" s="2478"/>
      <c r="G95" s="2478"/>
      <c r="H95" s="2478"/>
      <c r="I95" s="2478"/>
      <c r="J95" s="2478"/>
      <c r="K95" s="2478"/>
      <c r="L95" s="2478"/>
      <c r="M95" s="2478"/>
      <c r="N95" s="2478"/>
      <c r="O95" s="2478"/>
      <c r="P95" s="2478"/>
      <c r="Q95" s="2478"/>
      <c r="R95" s="2478"/>
      <c r="S95" s="2478"/>
      <c r="T95" s="2478"/>
      <c r="U95" s="2478"/>
      <c r="V95" s="2478"/>
      <c r="W95" s="2478"/>
      <c r="X95" s="2478"/>
      <c r="Y95" s="2478"/>
      <c r="Z95" s="2478"/>
      <c r="AA95" s="2478"/>
      <c r="AB95" s="2989"/>
      <c r="AC95" s="2478"/>
      <c r="AD95" s="2478"/>
      <c r="AE95" s="2478"/>
      <c r="AF95" s="2476"/>
      <c r="AG95" s="2476"/>
      <c r="AH95" s="2476"/>
      <c r="AI95" s="2476"/>
      <c r="AJ95" s="2476"/>
      <c r="AK95" s="2476"/>
      <c r="AL95" s="2476"/>
      <c r="AM95" s="2476"/>
      <c r="AN95" s="2476"/>
      <c r="AO95" s="2476"/>
      <c r="AP95" s="2476"/>
      <c r="AQ95" s="2476"/>
      <c r="AR95" s="2476"/>
      <c r="AS95" s="2476"/>
      <c r="AT95" s="2476"/>
      <c r="AU95" s="3018" t="s">
        <v>2524</v>
      </c>
      <c r="AV95" s="2476"/>
      <c r="AW95" s="2476"/>
      <c r="AX95" s="2476"/>
      <c r="AY95" s="2476"/>
      <c r="AZ95" s="2476"/>
      <c r="BA95" s="347"/>
      <c r="BB95" s="347"/>
      <c r="BC95" s="347"/>
      <c r="BD95" s="347"/>
      <c r="BG95" s="1748"/>
      <c r="BH95" s="1748">
        <v>1</v>
      </c>
      <c r="BI95" s="1748">
        <v>1</v>
      </c>
    </row>
    <row r="96" spans="1:61" ht="30">
      <c r="A96" s="353">
        <v>79</v>
      </c>
      <c r="B96" s="3995" t="s">
        <v>2838</v>
      </c>
      <c r="C96" s="3990" t="s">
        <v>2495</v>
      </c>
      <c r="D96" s="3991"/>
      <c r="E96" s="3991"/>
      <c r="F96" s="3991"/>
      <c r="G96" s="3991"/>
      <c r="H96" s="3991"/>
      <c r="I96" s="3991"/>
      <c r="J96" s="3991"/>
      <c r="K96" s="3991"/>
      <c r="L96" s="3991"/>
      <c r="M96" s="3991"/>
      <c r="N96" s="3991"/>
      <c r="O96" s="3991"/>
      <c r="P96" s="3991"/>
      <c r="Q96" s="3991"/>
      <c r="R96" s="3991"/>
      <c r="S96" s="3991"/>
      <c r="T96" s="3991"/>
      <c r="U96" s="3991"/>
      <c r="V96" s="3991"/>
      <c r="W96" s="3991"/>
      <c r="X96" s="3991"/>
      <c r="Y96" s="3991"/>
      <c r="Z96" s="3991"/>
      <c r="AA96" s="3991"/>
      <c r="AB96" s="3992"/>
      <c r="AC96" s="3991"/>
      <c r="AD96" s="3991"/>
      <c r="AE96" s="3991"/>
      <c r="AF96" s="3993"/>
      <c r="AG96" s="3993"/>
      <c r="AH96" s="3993"/>
      <c r="AI96" s="3993"/>
      <c r="AJ96" s="3993"/>
      <c r="AK96" s="3993"/>
      <c r="AL96" s="3993"/>
      <c r="AM96" s="3993"/>
      <c r="AN96" s="3993"/>
      <c r="AO96" s="3993"/>
      <c r="AP96" s="3993"/>
      <c r="AQ96" s="3993"/>
      <c r="AR96" s="3993"/>
      <c r="AS96" s="3993"/>
      <c r="AT96" s="3993"/>
      <c r="AU96" s="3994"/>
      <c r="AV96" s="3993"/>
      <c r="AW96" s="3993"/>
      <c r="AX96" s="3993"/>
      <c r="AY96" s="2989" t="s">
        <v>2841</v>
      </c>
      <c r="AZ96" s="3993"/>
      <c r="BA96" s="347"/>
      <c r="BB96" s="347"/>
      <c r="BC96" s="347"/>
      <c r="BD96" s="347"/>
      <c r="BG96" s="1748"/>
      <c r="BH96" s="1748"/>
      <c r="BI96" s="1748">
        <v>1</v>
      </c>
    </row>
    <row r="97" spans="1:61" ht="15">
      <c r="A97" s="353"/>
      <c r="B97" s="2986" t="s">
        <v>1039</v>
      </c>
      <c r="C97" s="2987"/>
      <c r="D97" s="2988"/>
      <c r="E97" s="2988"/>
      <c r="F97" s="2988"/>
      <c r="G97" s="2988"/>
      <c r="H97" s="2988"/>
      <c r="I97" s="2988"/>
      <c r="J97" s="2988"/>
      <c r="K97" s="2988"/>
      <c r="L97" s="2988"/>
      <c r="M97" s="2988"/>
      <c r="N97" s="2988"/>
      <c r="O97" s="2988"/>
      <c r="P97" s="2988"/>
      <c r="Q97" s="2988"/>
      <c r="R97" s="2988"/>
      <c r="S97" s="2988"/>
      <c r="T97" s="2988"/>
      <c r="U97" s="2988"/>
      <c r="V97" s="2988"/>
      <c r="W97" s="2988"/>
      <c r="X97" s="2988"/>
      <c r="Y97" s="2988"/>
      <c r="Z97" s="2988"/>
      <c r="AA97" s="2988"/>
      <c r="AB97" s="2988"/>
      <c r="AC97" s="2988"/>
      <c r="AD97" s="2988"/>
      <c r="AE97" s="2988"/>
      <c r="AF97" s="2988"/>
      <c r="AG97" s="2988"/>
      <c r="AH97" s="2988"/>
      <c r="AI97" s="2988"/>
      <c r="AJ97" s="2988"/>
      <c r="AK97" s="2485"/>
      <c r="AL97" s="2485"/>
      <c r="AM97" s="2485"/>
      <c r="AN97" s="2485"/>
      <c r="AO97" s="2485"/>
      <c r="AP97" s="2485"/>
      <c r="AQ97" s="2485"/>
      <c r="AR97" s="2485"/>
      <c r="AS97" s="2485"/>
      <c r="AT97" s="2485"/>
      <c r="AU97" s="2981"/>
      <c r="AV97" s="2981"/>
      <c r="AW97" s="2981"/>
      <c r="AX97" s="2981"/>
      <c r="AY97" s="2981"/>
      <c r="AZ97" s="2981"/>
      <c r="BA97" s="2499"/>
      <c r="BB97" s="2499"/>
      <c r="BC97" s="2499"/>
      <c r="BD97" s="2499"/>
      <c r="BE97" s="2499"/>
      <c r="BF97" s="2499"/>
      <c r="BG97" s="2505"/>
      <c r="BH97" s="2505"/>
      <c r="BI97" s="2505"/>
    </row>
    <row r="98" spans="1:61" ht="30">
      <c r="A98" s="353">
        <v>80</v>
      </c>
      <c r="B98" s="1758" t="s">
        <v>1040</v>
      </c>
      <c r="C98" s="1759" t="s">
        <v>2496</v>
      </c>
      <c r="D98" s="1760"/>
      <c r="E98" s="1760"/>
      <c r="F98" s="1760"/>
      <c r="G98" s="1760"/>
      <c r="H98" s="1760"/>
      <c r="I98" s="1760"/>
      <c r="J98" s="1760"/>
      <c r="K98" s="1760"/>
      <c r="L98" s="1760"/>
      <c r="M98" s="1760"/>
      <c r="N98" s="1760"/>
      <c r="O98" s="1760"/>
      <c r="P98" s="1760"/>
      <c r="Q98" s="1760"/>
      <c r="R98" s="1760"/>
      <c r="S98" s="1760"/>
      <c r="T98" s="1760"/>
      <c r="U98" s="1760"/>
      <c r="V98" s="1760"/>
      <c r="W98" s="1760"/>
      <c r="X98" s="1760"/>
      <c r="Y98" s="1760"/>
      <c r="Z98" s="1760"/>
      <c r="AA98" s="1760"/>
      <c r="AB98" s="1769" t="s">
        <v>1041</v>
      </c>
      <c r="AC98" s="1760"/>
      <c r="AD98" s="1760"/>
      <c r="AE98" s="353"/>
      <c r="AF98" s="1779" t="s">
        <v>1038</v>
      </c>
      <c r="AG98" s="1767"/>
      <c r="AH98" s="1767"/>
      <c r="AI98" s="1767"/>
      <c r="AJ98" s="1767"/>
      <c r="AK98" s="2476"/>
      <c r="AL98" s="2476"/>
      <c r="AM98" s="2476"/>
      <c r="AN98" s="2476"/>
      <c r="AO98" s="2476"/>
      <c r="AP98" s="2476"/>
      <c r="AQ98" s="2521"/>
      <c r="AR98" s="2476"/>
      <c r="AS98" s="2476"/>
      <c r="AT98" s="2983"/>
      <c r="AU98" s="2476"/>
      <c r="AV98" s="2476"/>
      <c r="AW98" s="2476"/>
      <c r="AX98" s="2476"/>
      <c r="AY98" s="2476"/>
      <c r="AZ98" s="2476"/>
      <c r="BA98" s="347"/>
      <c r="BB98" s="347">
        <v>1</v>
      </c>
      <c r="BC98" s="347">
        <v>1</v>
      </c>
      <c r="BD98" s="347">
        <v>1</v>
      </c>
      <c r="BE98" s="1748">
        <v>1</v>
      </c>
      <c r="BG98" s="1748"/>
      <c r="BH98" s="1748"/>
      <c r="BI98" s="1748"/>
    </row>
    <row r="99" spans="1:61" ht="24.75" customHeight="1">
      <c r="A99" s="353">
        <v>81</v>
      </c>
      <c r="B99" s="1758" t="s">
        <v>1042</v>
      </c>
      <c r="C99" s="4000" t="s">
        <v>2496</v>
      </c>
      <c r="D99" s="3991"/>
      <c r="E99" s="3991"/>
      <c r="F99" s="3991"/>
      <c r="G99" s="3991"/>
      <c r="H99" s="3991"/>
      <c r="I99" s="3991"/>
      <c r="J99" s="3991"/>
      <c r="K99" s="3991"/>
      <c r="L99" s="3991"/>
      <c r="M99" s="3991"/>
      <c r="N99" s="3991"/>
      <c r="O99" s="3991"/>
      <c r="P99" s="3991"/>
      <c r="Q99" s="3991"/>
      <c r="R99" s="3991"/>
      <c r="S99" s="3991"/>
      <c r="T99" s="3991"/>
      <c r="U99" s="3991"/>
      <c r="V99" s="3991"/>
      <c r="W99" s="3991"/>
      <c r="X99" s="3991"/>
      <c r="Y99" s="3991"/>
      <c r="Z99" s="3991"/>
      <c r="AA99" s="3991"/>
      <c r="AB99" s="3991"/>
      <c r="AC99" s="3991"/>
      <c r="AD99" s="3991"/>
      <c r="AE99" s="3993"/>
      <c r="AF99" s="3993"/>
      <c r="AG99" s="4001" t="s">
        <v>1043</v>
      </c>
      <c r="AH99" s="3993"/>
      <c r="AI99" s="3993"/>
      <c r="AJ99" s="3993"/>
      <c r="AK99" s="4002"/>
      <c r="AL99" s="4002"/>
      <c r="AM99" s="4002"/>
      <c r="AN99" s="4002"/>
      <c r="AO99" s="4002"/>
      <c r="AP99" s="4002"/>
      <c r="AQ99" s="4002"/>
      <c r="AR99" s="4002"/>
      <c r="AS99" s="4002"/>
      <c r="AT99" s="4002"/>
      <c r="AU99" s="2984"/>
      <c r="AV99" s="2984"/>
      <c r="AW99" s="2984"/>
      <c r="AX99" s="2984"/>
      <c r="AY99" s="2984"/>
      <c r="AZ99" s="2984"/>
      <c r="BA99" s="347"/>
      <c r="BB99" s="347"/>
      <c r="BC99" s="347">
        <v>1</v>
      </c>
      <c r="BD99" s="347">
        <v>1</v>
      </c>
      <c r="BE99" s="1748">
        <v>1</v>
      </c>
      <c r="BG99" s="1748"/>
      <c r="BH99" s="1748"/>
      <c r="BI99" s="1748"/>
    </row>
    <row r="100" spans="1:61" ht="30.75" thickBot="1">
      <c r="A100" s="353">
        <v>82</v>
      </c>
      <c r="B100" s="3996" t="s">
        <v>2839</v>
      </c>
      <c r="C100" s="2473" t="s">
        <v>2495</v>
      </c>
      <c r="D100" s="3997"/>
      <c r="E100" s="3997"/>
      <c r="F100" s="3997"/>
      <c r="G100" s="3997"/>
      <c r="H100" s="3997"/>
      <c r="I100" s="3997"/>
      <c r="J100" s="3997"/>
      <c r="K100" s="3997"/>
      <c r="L100" s="3997"/>
      <c r="M100" s="3997"/>
      <c r="N100" s="3997"/>
      <c r="O100" s="3997"/>
      <c r="P100" s="3997"/>
      <c r="Q100" s="3997"/>
      <c r="R100" s="3997"/>
      <c r="S100" s="3997"/>
      <c r="T100" s="3997"/>
      <c r="U100" s="3997"/>
      <c r="V100" s="3997"/>
      <c r="W100" s="3997"/>
      <c r="X100" s="3997"/>
      <c r="Y100" s="3997"/>
      <c r="Z100" s="3997"/>
      <c r="AA100" s="3997"/>
      <c r="AB100" s="3997"/>
      <c r="AC100" s="3997"/>
      <c r="AD100" s="3997"/>
      <c r="AE100" s="3998"/>
      <c r="AF100" s="3998"/>
      <c r="AG100" s="3998"/>
      <c r="AH100" s="3998"/>
      <c r="AI100" s="3998"/>
      <c r="AJ100" s="3998"/>
      <c r="AK100" s="3999"/>
      <c r="AL100" s="3999"/>
      <c r="AM100" s="3999"/>
      <c r="AN100" s="3999"/>
      <c r="AO100" s="3999"/>
      <c r="AP100" s="3999"/>
      <c r="AQ100" s="3999"/>
      <c r="AR100" s="3999"/>
      <c r="AS100" s="3999"/>
      <c r="AT100" s="3999"/>
      <c r="AU100" s="2984"/>
      <c r="AV100" s="3992" t="s">
        <v>2523</v>
      </c>
      <c r="AW100" s="2984"/>
      <c r="AX100" s="2984"/>
      <c r="AY100" s="2984"/>
      <c r="AZ100" s="2984"/>
      <c r="BA100" s="347"/>
      <c r="BB100" s="347"/>
      <c r="BC100" s="347"/>
      <c r="BD100" s="347"/>
      <c r="BG100" s="1748"/>
      <c r="BH100" s="1748"/>
      <c r="BI100" s="1748">
        <v>1</v>
      </c>
    </row>
    <row r="101" spans="1:61" ht="15" customHeight="1">
      <c r="B101" s="3435" t="s">
        <v>1748</v>
      </c>
      <c r="C101" s="3436"/>
      <c r="D101" s="350"/>
      <c r="E101" s="350"/>
      <c r="F101" s="350"/>
      <c r="G101" s="350"/>
      <c r="H101" s="350"/>
      <c r="I101" s="350"/>
      <c r="J101" s="350"/>
      <c r="K101" s="350"/>
      <c r="L101" s="350"/>
      <c r="M101" s="350"/>
      <c r="N101" s="350"/>
      <c r="O101" s="350"/>
      <c r="P101" s="350"/>
      <c r="Q101" s="350"/>
      <c r="R101" s="350"/>
      <c r="S101" s="350"/>
      <c r="T101" s="350"/>
      <c r="U101" s="350"/>
      <c r="V101" s="354"/>
      <c r="W101" s="350"/>
      <c r="X101" s="350"/>
      <c r="Y101" s="354"/>
      <c r="Z101" s="350"/>
      <c r="AA101" s="350"/>
      <c r="AB101" s="350"/>
      <c r="AC101" s="350"/>
      <c r="AD101" s="350"/>
      <c r="AE101" s="350"/>
      <c r="AF101" s="350"/>
      <c r="AG101" s="350"/>
      <c r="AH101" s="350"/>
      <c r="AI101" s="350"/>
      <c r="AJ101" s="350"/>
      <c r="AK101" s="350"/>
      <c r="AL101" s="350"/>
      <c r="AM101" s="350"/>
      <c r="AN101" s="350"/>
      <c r="AO101" s="350"/>
      <c r="AP101" s="350"/>
      <c r="AQ101" s="350"/>
      <c r="AR101" s="350"/>
      <c r="AS101" s="350"/>
      <c r="AT101" s="350"/>
      <c r="AU101" s="350"/>
      <c r="AV101" s="350"/>
      <c r="AW101" s="350"/>
      <c r="AX101" s="350"/>
      <c r="AY101" s="350"/>
      <c r="AZ101" s="350"/>
      <c r="BA101" s="1792">
        <f>SUM(BA5:BA98)</f>
        <v>44</v>
      </c>
      <c r="BB101" s="1792">
        <f>SUM(BB5:BB98)</f>
        <v>46</v>
      </c>
      <c r="BC101" s="1792">
        <f t="shared" ref="BC101:BH101" si="1">SUM(BC5:BC99)</f>
        <v>55</v>
      </c>
      <c r="BD101" s="1792">
        <f t="shared" si="1"/>
        <v>58</v>
      </c>
      <c r="BE101" s="1793">
        <f t="shared" si="1"/>
        <v>65</v>
      </c>
      <c r="BF101" s="2518">
        <f t="shared" si="1"/>
        <v>63</v>
      </c>
      <c r="BG101" s="2985">
        <f t="shared" si="1"/>
        <v>68</v>
      </c>
      <c r="BH101" s="2985">
        <f t="shared" si="1"/>
        <v>48</v>
      </c>
      <c r="BI101" s="2985">
        <f>SUM(BI5:BI100)</f>
        <v>31</v>
      </c>
    </row>
    <row r="102" spans="1:61" ht="15">
      <c r="B102" s="355" t="s">
        <v>586</v>
      </c>
      <c r="C102" s="292"/>
      <c r="D102" s="350"/>
      <c r="E102" s="350"/>
      <c r="F102" s="350"/>
      <c r="G102" s="350"/>
      <c r="H102" s="350"/>
      <c r="I102" s="350"/>
      <c r="J102" s="350"/>
      <c r="K102" s="350"/>
      <c r="L102" s="350"/>
      <c r="M102" s="350"/>
      <c r="N102" s="350"/>
      <c r="O102" s="350"/>
      <c r="P102" s="350"/>
      <c r="Q102" s="350"/>
      <c r="R102" s="350"/>
      <c r="S102" s="350"/>
      <c r="T102" s="350"/>
      <c r="U102" s="350"/>
      <c r="V102" s="354"/>
      <c r="W102" s="348"/>
      <c r="X102" s="348"/>
      <c r="Y102" s="348"/>
      <c r="Z102" s="348"/>
      <c r="AA102" s="348"/>
      <c r="AB102" s="348"/>
      <c r="AC102" s="348"/>
      <c r="AD102" s="348"/>
      <c r="AE102" s="348"/>
      <c r="AF102" s="348"/>
      <c r="AG102" s="350"/>
      <c r="AH102" s="350"/>
      <c r="AI102" s="348"/>
      <c r="AJ102" s="348"/>
      <c r="AK102" s="348"/>
      <c r="AL102" s="348"/>
      <c r="AM102" s="348"/>
      <c r="AN102" s="348"/>
      <c r="AO102" s="348"/>
      <c r="AP102" s="348"/>
      <c r="AQ102" s="348"/>
      <c r="AR102" s="348"/>
      <c r="AS102" s="348"/>
      <c r="AT102" s="348"/>
      <c r="AU102" s="348"/>
      <c r="AV102" s="348"/>
      <c r="AW102" s="348"/>
      <c r="AX102" s="348"/>
      <c r="AY102" s="348"/>
      <c r="AZ102" s="348"/>
      <c r="BA102" s="347"/>
      <c r="BB102" s="347"/>
      <c r="BC102" s="347"/>
      <c r="BD102" s="347"/>
    </row>
    <row r="103" spans="1:61" ht="15.75">
      <c r="B103" s="356" t="s">
        <v>213</v>
      </c>
      <c r="C103" s="1794"/>
      <c r="D103" s="350"/>
      <c r="E103" s="350"/>
      <c r="F103" s="350"/>
      <c r="G103" s="350"/>
      <c r="H103" s="350"/>
      <c r="I103" s="350"/>
      <c r="J103" s="350"/>
      <c r="K103" s="350"/>
      <c r="L103" s="350"/>
      <c r="M103" s="350"/>
      <c r="N103" s="350"/>
      <c r="O103" s="350"/>
      <c r="P103" s="350"/>
      <c r="Q103" s="350"/>
      <c r="R103" s="350"/>
      <c r="S103" s="350"/>
      <c r="T103" s="350"/>
      <c r="U103" s="350"/>
      <c r="V103" s="349"/>
      <c r="W103" s="348"/>
      <c r="X103" s="348"/>
      <c r="Y103" s="349"/>
      <c r="Z103" s="348"/>
      <c r="AA103" s="348"/>
      <c r="AB103" s="348"/>
      <c r="AC103" s="348"/>
      <c r="AD103" s="348"/>
      <c r="AG103" s="350"/>
      <c r="AH103" s="350"/>
      <c r="AK103" s="348"/>
      <c r="AQ103" s="348"/>
      <c r="AR103" s="348"/>
      <c r="AS103" s="3904"/>
      <c r="AT103" s="3904"/>
      <c r="AU103" s="3904"/>
      <c r="AV103" s="3904"/>
      <c r="AW103" s="3904"/>
      <c r="AX103" s="3904"/>
      <c r="AY103" s="3904"/>
      <c r="AZ103" s="3904" t="s">
        <v>1044</v>
      </c>
      <c r="BA103" s="4005">
        <f>BA101/72</f>
        <v>0.61111111111111116</v>
      </c>
      <c r="BB103" s="4005">
        <f>BB101/75</f>
        <v>0.61333333333333329</v>
      </c>
      <c r="BC103" s="4005">
        <f>BC101/76</f>
        <v>0.72368421052631582</v>
      </c>
      <c r="BD103" s="4005">
        <f>BD101/76</f>
        <v>0.76315789473684215</v>
      </c>
      <c r="BE103" s="4005">
        <f>BE101/76</f>
        <v>0.85526315789473684</v>
      </c>
      <c r="BF103" s="4005">
        <f>BF101/76</f>
        <v>0.82894736842105265</v>
      </c>
      <c r="BG103" s="4006">
        <f>BG101/77</f>
        <v>0.88311688311688308</v>
      </c>
      <c r="BH103" s="4006">
        <f>BH101/79</f>
        <v>0.60759493670886078</v>
      </c>
      <c r="BI103" s="4007">
        <f>BI101/82</f>
        <v>0.37804878048780488</v>
      </c>
    </row>
    <row r="104" spans="1:61" ht="15">
      <c r="B104" s="357" t="s">
        <v>214</v>
      </c>
      <c r="C104" s="1795"/>
      <c r="D104" s="350"/>
      <c r="E104" s="350"/>
      <c r="F104" s="350"/>
      <c r="G104" s="350"/>
      <c r="H104" s="350"/>
      <c r="I104" s="350"/>
      <c r="J104" s="350"/>
      <c r="K104" s="350"/>
      <c r="L104" s="350"/>
      <c r="M104" s="350"/>
      <c r="N104" s="350"/>
      <c r="O104" s="350"/>
      <c r="P104" s="350"/>
      <c r="Q104" s="350"/>
      <c r="R104" s="350"/>
      <c r="S104" s="350"/>
      <c r="T104" s="350"/>
      <c r="U104" s="350"/>
      <c r="V104" s="354"/>
      <c r="W104" s="358"/>
      <c r="X104" s="358"/>
      <c r="Y104" s="358"/>
      <c r="Z104" s="358"/>
      <c r="AA104" s="358"/>
      <c r="AB104" s="358"/>
      <c r="AC104" s="358"/>
      <c r="AD104" s="358"/>
      <c r="AE104" s="358"/>
      <c r="AF104" s="358"/>
      <c r="AG104" s="350"/>
      <c r="AH104" s="350"/>
      <c r="AI104" s="358"/>
      <c r="AJ104" s="358"/>
      <c r="AK104" s="348"/>
      <c r="AL104" s="358"/>
      <c r="AM104" s="358"/>
      <c r="AN104" s="358"/>
      <c r="AO104" s="358"/>
      <c r="AP104" s="358"/>
      <c r="AQ104" s="348"/>
      <c r="AR104" s="348"/>
      <c r="AS104" s="358"/>
      <c r="AT104" s="358"/>
      <c r="AU104" s="358"/>
      <c r="AV104" s="358"/>
      <c r="AW104" s="358"/>
      <c r="AX104" s="358"/>
      <c r="AY104" s="358"/>
      <c r="AZ104" s="358"/>
      <c r="BA104" s="347"/>
      <c r="BB104" s="351"/>
      <c r="BC104" s="347"/>
      <c r="BD104" s="347"/>
    </row>
    <row r="105" spans="1:61" ht="15">
      <c r="B105" s="359" t="s">
        <v>215</v>
      </c>
      <c r="C105" s="1796"/>
      <c r="D105" s="350"/>
      <c r="E105" s="350"/>
      <c r="F105" s="350"/>
      <c r="G105" s="350"/>
      <c r="H105" s="350"/>
      <c r="I105" s="350"/>
      <c r="J105" s="350"/>
      <c r="K105" s="350"/>
      <c r="L105" s="350"/>
      <c r="M105" s="350"/>
      <c r="N105" s="350"/>
      <c r="O105" s="350"/>
      <c r="P105" s="350"/>
      <c r="Q105" s="350"/>
      <c r="R105" s="350"/>
      <c r="S105" s="350"/>
      <c r="T105" s="350"/>
      <c r="U105" s="350"/>
      <c r="V105" s="349"/>
      <c r="W105" s="350"/>
      <c r="X105" s="350"/>
      <c r="Y105" s="354"/>
      <c r="Z105" s="350"/>
      <c r="AA105" s="350"/>
      <c r="AB105" s="350"/>
      <c r="AC105" s="350"/>
      <c r="AD105" s="350"/>
      <c r="AE105" s="350"/>
      <c r="AF105" s="350"/>
      <c r="AG105" s="350"/>
      <c r="AH105" s="350"/>
      <c r="AI105" s="350"/>
      <c r="AJ105" s="350"/>
      <c r="AK105" s="348"/>
      <c r="AL105" s="350"/>
      <c r="AM105" s="350"/>
      <c r="AN105" s="350"/>
      <c r="AO105" s="350"/>
      <c r="AP105" s="350"/>
      <c r="AQ105" s="348"/>
      <c r="AR105" s="348"/>
      <c r="AS105" s="350"/>
      <c r="AT105" s="350"/>
      <c r="AU105" s="350"/>
      <c r="AV105" s="350"/>
      <c r="AW105" s="350"/>
      <c r="AX105" s="350"/>
      <c r="AY105" s="350"/>
      <c r="AZ105" s="350"/>
      <c r="BA105" s="347"/>
      <c r="BB105" s="347"/>
      <c r="BC105" s="347"/>
      <c r="BD105" s="347"/>
    </row>
    <row r="106" spans="1:61" ht="15">
      <c r="B106" s="360" t="s">
        <v>1045</v>
      </c>
      <c r="C106" s="1797"/>
      <c r="D106" s="350"/>
      <c r="E106" s="350"/>
      <c r="F106" s="350"/>
      <c r="G106" s="350"/>
      <c r="H106" s="350"/>
      <c r="I106" s="350"/>
      <c r="J106" s="350"/>
      <c r="K106" s="350"/>
      <c r="L106" s="350"/>
      <c r="M106" s="350"/>
      <c r="N106" s="350"/>
      <c r="O106" s="350"/>
      <c r="P106" s="350"/>
      <c r="Q106" s="350"/>
      <c r="R106" s="350"/>
      <c r="S106" s="350"/>
      <c r="T106" s="350"/>
      <c r="U106" s="350"/>
      <c r="V106" s="354"/>
      <c r="W106" s="350"/>
      <c r="X106" s="350"/>
      <c r="Y106" s="354"/>
      <c r="Z106" s="350"/>
      <c r="AA106" s="350"/>
      <c r="AB106" s="350"/>
      <c r="AC106" s="350"/>
      <c r="AD106" s="350"/>
      <c r="AE106" s="350"/>
      <c r="AF106" s="350"/>
      <c r="AG106" s="350"/>
      <c r="AH106" s="350"/>
      <c r="AI106" s="350"/>
      <c r="AJ106" s="350"/>
      <c r="AK106" s="348"/>
      <c r="AL106" s="350"/>
      <c r="AM106" s="350"/>
      <c r="AN106" s="350"/>
      <c r="AO106" s="350"/>
      <c r="AP106" s="350"/>
      <c r="AQ106" s="350"/>
      <c r="AR106" s="350"/>
      <c r="AS106" s="350"/>
      <c r="AT106" s="350"/>
      <c r="AU106" s="350"/>
      <c r="AV106" s="350"/>
      <c r="AW106" s="350"/>
      <c r="AX106" s="350"/>
      <c r="AY106" s="350"/>
      <c r="AZ106" s="350"/>
      <c r="BA106" s="347"/>
      <c r="BB106" s="347"/>
      <c r="BC106" s="347"/>
      <c r="BD106" s="347"/>
      <c r="BE106" s="347"/>
      <c r="BF106" s="347"/>
      <c r="BG106" s="347"/>
    </row>
    <row r="107" spans="1:61" ht="15">
      <c r="B107" s="361" t="s">
        <v>1046</v>
      </c>
      <c r="C107" s="1798"/>
      <c r="D107" s="350"/>
      <c r="E107" s="350"/>
      <c r="F107" s="350"/>
      <c r="G107" s="350"/>
      <c r="H107" s="350"/>
      <c r="I107" s="350"/>
      <c r="J107" s="350"/>
      <c r="K107" s="350"/>
      <c r="L107" s="350"/>
      <c r="M107" s="350"/>
      <c r="N107" s="350"/>
      <c r="O107" s="350"/>
      <c r="P107" s="350"/>
      <c r="Q107" s="350"/>
      <c r="R107" s="350"/>
      <c r="S107" s="350"/>
      <c r="T107" s="350"/>
      <c r="U107" s="350"/>
      <c r="V107" s="354"/>
      <c r="W107" s="350"/>
      <c r="X107" s="350"/>
      <c r="Y107" s="354"/>
      <c r="Z107" s="350"/>
      <c r="AA107" s="350"/>
      <c r="AB107" s="350"/>
      <c r="AC107" s="350"/>
      <c r="AD107" s="350"/>
      <c r="AE107" s="350"/>
      <c r="AF107" s="350"/>
      <c r="AG107" s="350"/>
      <c r="AH107" s="350"/>
      <c r="AI107" s="350"/>
      <c r="AJ107" s="350"/>
      <c r="AK107" s="348"/>
      <c r="AL107" s="350"/>
      <c r="AM107" s="350"/>
      <c r="AN107" s="350"/>
      <c r="AO107" s="350"/>
      <c r="AP107" s="350"/>
      <c r="AQ107" s="350"/>
      <c r="AR107" s="350"/>
      <c r="AS107" s="350"/>
      <c r="AT107" s="350"/>
      <c r="AU107" s="350"/>
      <c r="AV107" s="350"/>
      <c r="AW107" s="350"/>
      <c r="AX107" s="350"/>
      <c r="AY107" s="350"/>
      <c r="AZ107" s="350"/>
      <c r="BA107" s="347"/>
      <c r="BB107" s="347"/>
      <c r="BC107" s="347"/>
      <c r="BD107" s="347"/>
      <c r="BE107" s="347"/>
      <c r="BF107" s="347"/>
      <c r="BG107" s="347"/>
    </row>
    <row r="108" spans="1:61" ht="15">
      <c r="B108" s="350" t="s">
        <v>585</v>
      </c>
      <c r="C108" s="347"/>
      <c r="D108" s="350"/>
      <c r="E108" s="350"/>
      <c r="F108" s="350"/>
      <c r="G108" s="350"/>
      <c r="H108" s="350"/>
      <c r="I108" s="350"/>
      <c r="J108" s="350"/>
      <c r="K108" s="350"/>
      <c r="L108" s="350"/>
      <c r="M108" s="350"/>
      <c r="N108" s="350"/>
      <c r="O108" s="350"/>
      <c r="P108" s="350"/>
      <c r="Q108" s="350"/>
      <c r="R108" s="350"/>
      <c r="S108" s="350"/>
      <c r="T108" s="350"/>
      <c r="U108" s="350"/>
      <c r="V108" s="354"/>
      <c r="W108" s="350"/>
      <c r="X108" s="350"/>
      <c r="Y108" s="354"/>
      <c r="Z108" s="350"/>
      <c r="AA108" s="350"/>
      <c r="AB108" s="350"/>
      <c r="AC108" s="350"/>
      <c r="AD108" s="350"/>
      <c r="AE108" s="350"/>
      <c r="AF108" s="350"/>
      <c r="AG108" s="350"/>
      <c r="AH108" s="350"/>
      <c r="AI108" s="350"/>
      <c r="AJ108" s="350"/>
      <c r="AK108" s="350"/>
      <c r="AL108" s="350"/>
      <c r="AM108" s="350"/>
      <c r="AN108" s="350"/>
      <c r="AO108" s="350"/>
      <c r="AP108" s="350"/>
      <c r="AQ108" s="350"/>
      <c r="AR108" s="350"/>
      <c r="AS108" s="350"/>
      <c r="AT108" s="350"/>
      <c r="AU108" s="350"/>
      <c r="AV108" s="350"/>
      <c r="AW108" s="350"/>
      <c r="AX108" s="350"/>
      <c r="AY108" s="350"/>
      <c r="AZ108" s="350"/>
      <c r="BA108" s="347"/>
      <c r="BB108" s="347"/>
      <c r="BC108" s="347"/>
      <c r="BD108" s="347"/>
    </row>
    <row r="109" spans="1:61" ht="15">
      <c r="B109" s="1799" t="s">
        <v>610</v>
      </c>
      <c r="C109" s="1800"/>
      <c r="D109" s="350"/>
      <c r="E109" s="350"/>
      <c r="F109" s="350"/>
      <c r="G109" s="350"/>
      <c r="H109" s="350"/>
      <c r="I109" s="350"/>
      <c r="J109" s="350"/>
      <c r="K109" s="350"/>
      <c r="L109" s="350"/>
      <c r="M109" s="350"/>
      <c r="N109" s="350"/>
      <c r="O109" s="350"/>
      <c r="P109" s="350"/>
      <c r="Q109" s="350"/>
      <c r="R109" s="350"/>
      <c r="S109" s="350"/>
      <c r="T109" s="350"/>
      <c r="U109" s="350"/>
      <c r="V109" s="354"/>
      <c r="W109" s="350"/>
      <c r="X109" s="350"/>
      <c r="Y109" s="354"/>
      <c r="Z109" s="350"/>
      <c r="AA109" s="350"/>
      <c r="AB109" s="350"/>
      <c r="AC109" s="350"/>
      <c r="AD109" s="350"/>
      <c r="AE109" s="350"/>
      <c r="AF109" s="350"/>
      <c r="AG109" s="350"/>
      <c r="AH109" s="350"/>
      <c r="AI109" s="350"/>
      <c r="AJ109" s="350"/>
      <c r="AK109" s="350"/>
      <c r="AL109" s="350"/>
      <c r="AM109" s="350"/>
      <c r="AN109" s="350"/>
      <c r="AO109" s="350"/>
      <c r="AP109" s="350"/>
      <c r="AQ109" s="350"/>
      <c r="AR109" s="350"/>
      <c r="AS109" s="350"/>
      <c r="AT109" s="350"/>
      <c r="AU109" s="350"/>
      <c r="AV109" s="350"/>
      <c r="AW109" s="350"/>
      <c r="AX109" s="350"/>
      <c r="AY109" s="350"/>
      <c r="AZ109" s="350"/>
      <c r="BA109" s="347"/>
      <c r="BB109" s="347"/>
      <c r="BC109" s="347"/>
      <c r="BD109" s="347"/>
    </row>
    <row r="110" spans="1:61" ht="15">
      <c r="B110" s="1801" t="s">
        <v>1749</v>
      </c>
      <c r="C110" s="1750"/>
      <c r="D110" s="350"/>
      <c r="E110" s="350"/>
      <c r="F110" s="350"/>
      <c r="G110" s="350"/>
      <c r="H110" s="350"/>
      <c r="I110" s="350"/>
      <c r="J110" s="350"/>
      <c r="K110" s="350"/>
      <c r="L110" s="350"/>
      <c r="M110" s="350"/>
      <c r="N110" s="350"/>
      <c r="O110" s="350"/>
      <c r="P110" s="350"/>
      <c r="Q110" s="350"/>
      <c r="R110" s="350"/>
      <c r="S110" s="350"/>
      <c r="T110" s="350"/>
      <c r="U110" s="350"/>
      <c r="V110" s="354"/>
      <c r="W110" s="348"/>
      <c r="X110" s="348"/>
      <c r="Y110" s="349"/>
      <c r="Z110" s="348"/>
      <c r="AA110" s="348"/>
      <c r="AB110" s="348"/>
      <c r="AC110" s="348"/>
      <c r="AD110" s="348"/>
      <c r="AE110" s="348"/>
      <c r="AF110" s="348"/>
      <c r="AG110" s="348"/>
      <c r="AH110" s="348"/>
      <c r="AI110" s="348"/>
      <c r="AJ110" s="348"/>
      <c r="AK110" s="348"/>
      <c r="AL110" s="348"/>
      <c r="AM110" s="348"/>
      <c r="AN110" s="348"/>
      <c r="AO110" s="348"/>
      <c r="AP110" s="348"/>
      <c r="AQ110" s="348"/>
      <c r="AR110" s="348"/>
      <c r="AS110" s="348"/>
      <c r="AT110" s="348"/>
      <c r="AU110" s="348"/>
      <c r="AV110" s="348"/>
      <c r="AW110" s="348"/>
      <c r="AX110" s="348"/>
      <c r="AY110" s="348"/>
      <c r="AZ110" s="348"/>
      <c r="BA110" s="347"/>
      <c r="BB110" s="347"/>
      <c r="BC110" s="347"/>
      <c r="BD110" s="347"/>
    </row>
    <row r="111" spans="1:61" ht="15">
      <c r="C111" s="1750"/>
      <c r="D111" s="348"/>
      <c r="E111" s="348"/>
      <c r="F111" s="348"/>
      <c r="G111" s="348"/>
      <c r="H111" s="348"/>
      <c r="I111" s="348"/>
      <c r="J111" s="348"/>
      <c r="K111" s="348"/>
      <c r="L111" s="348"/>
      <c r="M111" s="348"/>
      <c r="N111" s="348"/>
      <c r="O111" s="348"/>
      <c r="P111" s="348"/>
      <c r="Q111" s="348"/>
      <c r="R111" s="348"/>
      <c r="S111" s="348"/>
      <c r="T111" s="348"/>
      <c r="U111" s="348"/>
      <c r="V111" s="349"/>
      <c r="W111" s="348"/>
      <c r="X111" s="348"/>
      <c r="Y111" s="349"/>
      <c r="Z111" s="348"/>
      <c r="AA111" s="348"/>
      <c r="AB111" s="348"/>
      <c r="AC111" s="348"/>
      <c r="AD111" s="348"/>
      <c r="AE111" s="348"/>
      <c r="AF111" s="348"/>
      <c r="AG111" s="348"/>
      <c r="AH111" s="348"/>
      <c r="AI111" s="348"/>
      <c r="AJ111" s="348"/>
      <c r="AK111" s="348"/>
      <c r="AL111" s="348"/>
      <c r="AM111" s="348"/>
      <c r="AN111" s="348"/>
      <c r="AO111" s="348"/>
      <c r="AP111" s="348"/>
      <c r="AQ111" s="348"/>
      <c r="AR111" s="348"/>
      <c r="AS111" s="348"/>
      <c r="AT111" s="348"/>
      <c r="AU111" s="348"/>
      <c r="AV111" s="348"/>
      <c r="AW111" s="348"/>
      <c r="AX111" s="348"/>
      <c r="AY111" s="348"/>
      <c r="AZ111" s="348"/>
      <c r="BA111" s="347"/>
      <c r="BB111" s="347"/>
      <c r="BC111" s="347"/>
      <c r="BD111" s="347"/>
    </row>
    <row r="112" spans="1:61" ht="15">
      <c r="B112" s="244"/>
      <c r="C112" s="1750"/>
      <c r="D112" s="348"/>
      <c r="E112" s="348"/>
      <c r="F112" s="348"/>
      <c r="G112" s="348"/>
      <c r="H112" s="348"/>
      <c r="I112" s="348"/>
      <c r="J112" s="348"/>
      <c r="K112" s="348"/>
      <c r="L112" s="348"/>
      <c r="M112" s="348"/>
      <c r="N112" s="348"/>
      <c r="O112" s="348"/>
      <c r="P112" s="348"/>
      <c r="Q112" s="348"/>
      <c r="R112" s="348"/>
      <c r="S112" s="348"/>
      <c r="T112" s="348"/>
      <c r="U112" s="348"/>
      <c r="V112" s="349"/>
      <c r="W112" s="348"/>
      <c r="X112" s="348"/>
      <c r="Y112" s="349"/>
      <c r="Z112" s="348"/>
      <c r="AA112" s="348"/>
      <c r="AB112" s="348"/>
      <c r="AC112" s="348"/>
      <c r="AD112" s="348"/>
      <c r="AE112" s="348"/>
      <c r="AF112" s="348"/>
      <c r="AG112" s="348"/>
      <c r="AH112" s="348"/>
      <c r="AI112" s="348"/>
      <c r="AJ112" s="348"/>
      <c r="AK112" s="348"/>
      <c r="AL112" s="348"/>
      <c r="AM112" s="348"/>
      <c r="AN112" s="348"/>
      <c r="AO112" s="348"/>
      <c r="AP112" s="348"/>
      <c r="AQ112" s="348"/>
      <c r="AR112" s="348"/>
      <c r="AS112" s="348"/>
      <c r="AT112" s="348"/>
      <c r="AU112" s="348"/>
      <c r="AV112" s="348"/>
      <c r="AW112" s="348"/>
      <c r="AX112" s="348"/>
      <c r="AY112" s="348"/>
      <c r="AZ112" s="348"/>
      <c r="BA112" s="347"/>
      <c r="BB112" s="347"/>
      <c r="BC112" s="347"/>
      <c r="BD112" s="347"/>
    </row>
    <row r="113" spans="2:56" ht="15">
      <c r="B113" s="244"/>
      <c r="C113" s="1750"/>
      <c r="D113" s="348"/>
      <c r="E113" s="348"/>
      <c r="F113" s="348"/>
      <c r="G113" s="348"/>
      <c r="H113" s="348"/>
      <c r="I113" s="348"/>
      <c r="J113" s="348"/>
      <c r="K113" s="348"/>
      <c r="L113" s="348"/>
      <c r="M113" s="348"/>
      <c r="N113" s="348"/>
      <c r="O113" s="348"/>
      <c r="P113" s="348"/>
      <c r="Q113" s="348"/>
      <c r="R113" s="348"/>
      <c r="S113" s="348"/>
      <c r="T113" s="348"/>
      <c r="U113" s="348"/>
      <c r="V113" s="349"/>
      <c r="W113" s="348"/>
      <c r="X113" s="348"/>
      <c r="Y113" s="349"/>
      <c r="Z113" s="348"/>
      <c r="AA113" s="348"/>
      <c r="AB113" s="348"/>
      <c r="AC113" s="348"/>
      <c r="AD113" s="348"/>
      <c r="AE113" s="348"/>
      <c r="AF113" s="348"/>
      <c r="AG113" s="348"/>
      <c r="AH113" s="348"/>
      <c r="AI113" s="348"/>
      <c r="AJ113" s="348"/>
      <c r="AK113" s="348"/>
      <c r="AL113" s="348"/>
      <c r="AM113" s="348"/>
      <c r="AN113" s="348"/>
      <c r="AO113" s="348"/>
      <c r="AP113" s="348"/>
      <c r="AQ113" s="348"/>
      <c r="AR113" s="348"/>
      <c r="AS113" s="348"/>
      <c r="AT113" s="348"/>
      <c r="AU113" s="348"/>
      <c r="AV113" s="348"/>
      <c r="AW113" s="348"/>
      <c r="AX113" s="348"/>
      <c r="AY113" s="348"/>
      <c r="AZ113" s="348"/>
      <c r="BA113" s="347"/>
      <c r="BB113" s="347"/>
      <c r="BC113" s="347"/>
      <c r="BD113" s="347"/>
    </row>
    <row r="114" spans="2:56" ht="15">
      <c r="B114" s="244"/>
      <c r="C114" s="1750"/>
      <c r="D114" s="348"/>
      <c r="E114" s="348"/>
      <c r="F114" s="348"/>
      <c r="G114" s="348"/>
      <c r="H114" s="348"/>
      <c r="I114" s="348"/>
      <c r="J114" s="348"/>
      <c r="K114" s="348"/>
      <c r="L114" s="348"/>
      <c r="M114" s="348"/>
      <c r="N114" s="348"/>
      <c r="O114" s="348"/>
      <c r="P114" s="348"/>
      <c r="Q114" s="348"/>
      <c r="R114" s="348"/>
      <c r="S114" s="348"/>
      <c r="T114" s="348"/>
      <c r="U114" s="348"/>
      <c r="V114" s="349"/>
      <c r="W114" s="348"/>
      <c r="X114" s="348"/>
      <c r="Y114" s="349"/>
      <c r="Z114" s="348"/>
      <c r="AA114" s="348"/>
      <c r="AB114" s="348"/>
      <c r="AC114" s="348"/>
      <c r="AD114" s="348"/>
      <c r="AE114" s="348"/>
      <c r="AF114" s="348"/>
      <c r="AG114" s="348"/>
      <c r="AH114" s="348"/>
      <c r="AI114" s="348"/>
      <c r="AJ114" s="348"/>
      <c r="AK114" s="348"/>
      <c r="AL114" s="348"/>
      <c r="AM114" s="348"/>
      <c r="AN114" s="348"/>
      <c r="AO114" s="348"/>
      <c r="AP114" s="348"/>
      <c r="AQ114" s="348"/>
      <c r="AR114" s="348"/>
      <c r="AS114" s="348"/>
      <c r="AT114" s="348"/>
      <c r="AU114" s="348"/>
      <c r="AV114" s="348"/>
      <c r="AW114" s="348"/>
      <c r="AX114" s="348"/>
      <c r="AY114" s="348"/>
      <c r="AZ114" s="348"/>
      <c r="BA114" s="347"/>
      <c r="BB114" s="347"/>
      <c r="BC114" s="347"/>
      <c r="BD114" s="347"/>
    </row>
    <row r="115" spans="2:56" ht="15">
      <c r="B115" s="244"/>
      <c r="C115" s="1750"/>
      <c r="D115" s="348"/>
      <c r="E115" s="348"/>
      <c r="F115" s="348"/>
      <c r="G115" s="348"/>
      <c r="H115" s="348"/>
      <c r="I115" s="348"/>
      <c r="J115" s="348"/>
      <c r="K115" s="348"/>
      <c r="L115" s="348"/>
      <c r="M115" s="348"/>
      <c r="N115" s="348"/>
      <c r="O115" s="348"/>
      <c r="P115" s="348"/>
      <c r="Q115" s="348"/>
      <c r="R115" s="348"/>
      <c r="S115" s="348"/>
      <c r="T115" s="348"/>
      <c r="U115" s="348"/>
      <c r="V115" s="349"/>
      <c r="W115" s="348"/>
      <c r="X115" s="348"/>
      <c r="Y115" s="349"/>
      <c r="Z115" s="348"/>
      <c r="AA115" s="348"/>
      <c r="AB115" s="348"/>
      <c r="AC115" s="348"/>
      <c r="AD115" s="348"/>
      <c r="AE115" s="348"/>
      <c r="AF115" s="348"/>
      <c r="AG115" s="348"/>
      <c r="AH115" s="348"/>
      <c r="AI115" s="348"/>
      <c r="AJ115" s="348"/>
      <c r="AK115" s="348"/>
      <c r="AL115" s="348"/>
      <c r="AM115" s="348"/>
      <c r="AN115" s="348"/>
      <c r="AO115" s="348"/>
      <c r="AP115" s="348"/>
      <c r="AQ115" s="348"/>
      <c r="AR115" s="348"/>
      <c r="AS115" s="348"/>
      <c r="AT115" s="348"/>
      <c r="AU115" s="348"/>
      <c r="AV115" s="348"/>
      <c r="AW115" s="348"/>
      <c r="AX115" s="348"/>
      <c r="AY115" s="348"/>
      <c r="AZ115" s="348"/>
      <c r="BA115" s="347"/>
      <c r="BB115" s="347"/>
      <c r="BC115" s="347"/>
      <c r="BD115" s="347"/>
    </row>
    <row r="116" spans="2:56" ht="15">
      <c r="B116" s="244"/>
      <c r="C116" s="1750"/>
      <c r="D116" s="348"/>
      <c r="E116" s="348"/>
      <c r="F116" s="348"/>
      <c r="G116" s="348"/>
      <c r="H116" s="348"/>
      <c r="I116" s="348"/>
      <c r="J116" s="348"/>
      <c r="K116" s="348"/>
      <c r="L116" s="348"/>
      <c r="M116" s="348"/>
      <c r="N116" s="348"/>
      <c r="O116" s="348"/>
      <c r="P116" s="348"/>
      <c r="Q116" s="348"/>
      <c r="R116" s="348"/>
      <c r="S116" s="348"/>
      <c r="T116" s="348"/>
      <c r="U116" s="348"/>
      <c r="V116" s="349"/>
      <c r="W116" s="348"/>
      <c r="X116" s="348"/>
      <c r="Y116" s="349"/>
      <c r="Z116" s="348"/>
      <c r="AA116" s="348"/>
      <c r="AB116" s="348"/>
      <c r="AC116" s="348"/>
      <c r="AD116" s="348"/>
      <c r="AE116" s="348"/>
      <c r="AF116" s="348"/>
      <c r="AG116" s="348"/>
      <c r="AH116" s="348"/>
      <c r="AI116" s="348"/>
      <c r="AJ116" s="348"/>
      <c r="AK116" s="348"/>
      <c r="AL116" s="348"/>
      <c r="AM116" s="348"/>
      <c r="AN116" s="348"/>
      <c r="AO116" s="348"/>
      <c r="AP116" s="348"/>
      <c r="AQ116" s="348"/>
      <c r="AR116" s="348"/>
      <c r="AS116" s="348"/>
      <c r="AT116" s="348"/>
      <c r="AU116" s="348"/>
      <c r="AV116" s="348"/>
      <c r="AW116" s="348"/>
      <c r="AX116" s="348"/>
      <c r="AY116" s="348"/>
      <c r="AZ116" s="348"/>
      <c r="BA116" s="347"/>
      <c r="BB116" s="347"/>
      <c r="BC116" s="347"/>
      <c r="BD116" s="347"/>
    </row>
    <row r="117" spans="2:56" ht="15">
      <c r="B117" s="244"/>
      <c r="C117" s="1750"/>
      <c r="D117" s="348"/>
      <c r="E117" s="348"/>
      <c r="F117" s="348"/>
      <c r="G117" s="348"/>
      <c r="H117" s="348"/>
      <c r="I117" s="348"/>
      <c r="J117" s="348"/>
      <c r="K117" s="348"/>
      <c r="L117" s="348"/>
      <c r="M117" s="348"/>
      <c r="N117" s="348"/>
      <c r="O117" s="348"/>
      <c r="P117" s="348"/>
      <c r="Q117" s="348"/>
      <c r="R117" s="348"/>
      <c r="S117" s="348"/>
      <c r="T117" s="348"/>
      <c r="U117" s="348"/>
      <c r="V117" s="349"/>
      <c r="W117" s="348"/>
      <c r="X117" s="348"/>
      <c r="Y117" s="349"/>
      <c r="Z117" s="348"/>
      <c r="AA117" s="348"/>
      <c r="AB117" s="348"/>
      <c r="AC117" s="348"/>
      <c r="AD117" s="348"/>
      <c r="AE117" s="348"/>
      <c r="AF117" s="348"/>
      <c r="AG117" s="348"/>
      <c r="AH117" s="348"/>
      <c r="AI117" s="348"/>
      <c r="AJ117" s="348"/>
      <c r="AK117" s="348"/>
      <c r="AL117" s="348"/>
      <c r="AM117" s="348"/>
      <c r="AN117" s="348"/>
      <c r="AO117" s="348"/>
      <c r="AP117" s="348"/>
      <c r="AQ117" s="348"/>
      <c r="AR117" s="348"/>
      <c r="AS117" s="348"/>
      <c r="AT117" s="348"/>
      <c r="AU117" s="348"/>
      <c r="AV117" s="348"/>
      <c r="AW117" s="348"/>
      <c r="AX117" s="348"/>
      <c r="AY117" s="348"/>
      <c r="AZ117" s="348"/>
      <c r="BA117" s="347"/>
      <c r="BB117" s="347"/>
      <c r="BC117" s="347"/>
      <c r="BD117" s="347"/>
    </row>
    <row r="118" spans="2:56" ht="15">
      <c r="B118" s="244"/>
      <c r="C118" s="1750"/>
      <c r="D118" s="348"/>
      <c r="E118" s="348"/>
      <c r="F118" s="348"/>
      <c r="G118" s="348"/>
      <c r="H118" s="348"/>
      <c r="I118" s="348"/>
      <c r="J118" s="348"/>
      <c r="K118" s="348"/>
      <c r="L118" s="348"/>
      <c r="M118" s="348"/>
      <c r="N118" s="348"/>
      <c r="O118" s="348"/>
      <c r="P118" s="348"/>
      <c r="Q118" s="348"/>
      <c r="R118" s="348"/>
      <c r="S118" s="348"/>
      <c r="T118" s="348"/>
      <c r="U118" s="348"/>
      <c r="V118" s="349"/>
      <c r="W118" s="348"/>
      <c r="X118" s="348"/>
      <c r="Y118" s="349"/>
      <c r="Z118" s="348"/>
      <c r="AA118" s="348"/>
      <c r="AB118" s="348"/>
      <c r="AC118" s="348"/>
      <c r="AD118" s="348"/>
      <c r="AE118" s="348"/>
      <c r="AF118" s="348"/>
      <c r="AG118" s="348"/>
      <c r="AH118" s="348"/>
      <c r="AI118" s="348"/>
      <c r="AJ118" s="348"/>
      <c r="AK118" s="348"/>
      <c r="AL118" s="348"/>
      <c r="AM118" s="348"/>
      <c r="AN118" s="348"/>
      <c r="AO118" s="348"/>
      <c r="AP118" s="348"/>
      <c r="AQ118" s="348"/>
      <c r="AR118" s="348"/>
      <c r="AS118" s="348"/>
      <c r="AT118" s="348"/>
      <c r="AU118" s="348"/>
      <c r="AV118" s="348"/>
      <c r="AW118" s="348"/>
      <c r="AX118" s="348"/>
      <c r="AY118" s="348"/>
      <c r="AZ118" s="348"/>
      <c r="BA118" s="347"/>
      <c r="BB118" s="347"/>
      <c r="BC118" s="347"/>
      <c r="BD118" s="347"/>
    </row>
    <row r="119" spans="2:56" ht="15">
      <c r="B119" s="244"/>
      <c r="C119" s="1750"/>
      <c r="D119" s="348"/>
      <c r="E119" s="348"/>
      <c r="F119" s="348"/>
      <c r="G119" s="348"/>
      <c r="H119" s="348"/>
      <c r="I119" s="348"/>
      <c r="J119" s="348"/>
      <c r="K119" s="348"/>
      <c r="L119" s="348"/>
      <c r="M119" s="348"/>
      <c r="N119" s="348"/>
      <c r="O119" s="348"/>
      <c r="P119" s="348"/>
      <c r="Q119" s="348"/>
      <c r="R119" s="348"/>
      <c r="S119" s="348"/>
      <c r="T119" s="348"/>
      <c r="U119" s="348"/>
      <c r="V119" s="349"/>
      <c r="W119" s="348"/>
      <c r="X119" s="348"/>
      <c r="Y119" s="349"/>
      <c r="Z119" s="348"/>
      <c r="AA119" s="348"/>
      <c r="AB119" s="348"/>
      <c r="AC119" s="348"/>
      <c r="AD119" s="348"/>
      <c r="AE119" s="348"/>
      <c r="AF119" s="348"/>
      <c r="AG119" s="348"/>
      <c r="AH119" s="348"/>
      <c r="AI119" s="348"/>
      <c r="AJ119" s="348"/>
      <c r="AK119" s="348"/>
      <c r="AL119" s="348"/>
      <c r="AM119" s="348"/>
      <c r="AN119" s="348"/>
      <c r="AO119" s="348"/>
      <c r="AP119" s="348"/>
      <c r="AQ119" s="348"/>
      <c r="AR119" s="348"/>
      <c r="AS119" s="348"/>
      <c r="AT119" s="348"/>
      <c r="AU119" s="348"/>
      <c r="AV119" s="348"/>
      <c r="AW119" s="348"/>
      <c r="AX119" s="348"/>
      <c r="AY119" s="348"/>
      <c r="AZ119" s="348"/>
      <c r="BA119" s="347"/>
      <c r="BB119" s="347"/>
      <c r="BC119" s="347"/>
      <c r="BD119" s="347"/>
    </row>
    <row r="120" spans="2:56" ht="15">
      <c r="B120" s="244"/>
      <c r="C120" s="1750"/>
      <c r="D120" s="348"/>
      <c r="E120" s="348"/>
      <c r="F120" s="348"/>
      <c r="G120" s="348"/>
      <c r="H120" s="348"/>
      <c r="I120" s="348"/>
      <c r="J120" s="348"/>
      <c r="K120" s="348"/>
      <c r="L120" s="348"/>
      <c r="M120" s="348"/>
      <c r="N120" s="348"/>
      <c r="O120" s="348"/>
      <c r="P120" s="348"/>
      <c r="Q120" s="348"/>
      <c r="R120" s="348"/>
      <c r="S120" s="348"/>
      <c r="T120" s="348"/>
      <c r="U120" s="348"/>
      <c r="V120" s="349"/>
      <c r="W120" s="348"/>
      <c r="X120" s="348"/>
      <c r="Y120" s="349"/>
      <c r="Z120" s="348"/>
      <c r="AA120" s="348"/>
      <c r="AB120" s="348"/>
      <c r="AC120" s="348"/>
      <c r="AD120" s="348"/>
      <c r="AE120" s="348"/>
      <c r="AF120" s="348"/>
      <c r="AG120" s="348"/>
      <c r="AH120" s="348"/>
      <c r="AI120" s="348"/>
      <c r="AJ120" s="348"/>
      <c r="AK120" s="348"/>
      <c r="AL120" s="348"/>
      <c r="AM120" s="348"/>
      <c r="AN120" s="348"/>
      <c r="AO120" s="348"/>
      <c r="AP120" s="348"/>
      <c r="AQ120" s="348"/>
      <c r="AR120" s="348"/>
      <c r="AS120" s="348"/>
      <c r="AT120" s="348"/>
      <c r="AU120" s="348"/>
      <c r="AV120" s="348"/>
      <c r="AW120" s="348"/>
      <c r="AX120" s="348"/>
      <c r="AY120" s="348"/>
      <c r="AZ120" s="348"/>
      <c r="BA120" s="347"/>
      <c r="BB120" s="347"/>
      <c r="BC120" s="347"/>
      <c r="BD120" s="347"/>
    </row>
    <row r="121" spans="2:56" ht="15">
      <c r="B121" s="244"/>
      <c r="C121" s="1750"/>
      <c r="D121" s="348"/>
      <c r="E121" s="348"/>
      <c r="F121" s="348"/>
      <c r="G121" s="348"/>
      <c r="H121" s="348"/>
      <c r="I121" s="348"/>
      <c r="J121" s="348"/>
      <c r="K121" s="348"/>
      <c r="L121" s="348"/>
      <c r="M121" s="348"/>
      <c r="N121" s="348"/>
      <c r="O121" s="348"/>
      <c r="P121" s="348"/>
      <c r="Q121" s="348"/>
      <c r="R121" s="348"/>
      <c r="S121" s="348"/>
      <c r="T121" s="348"/>
      <c r="U121" s="348"/>
      <c r="V121" s="349"/>
      <c r="W121" s="348"/>
      <c r="X121" s="348"/>
      <c r="Y121" s="349"/>
      <c r="Z121" s="348"/>
      <c r="AA121" s="348"/>
      <c r="AB121" s="348"/>
      <c r="AC121" s="348"/>
      <c r="AD121" s="348"/>
      <c r="AE121" s="348"/>
      <c r="AF121" s="348"/>
      <c r="AG121" s="348"/>
      <c r="AH121" s="348"/>
      <c r="AI121" s="348"/>
      <c r="AJ121" s="348"/>
      <c r="AK121" s="348"/>
      <c r="AL121" s="348"/>
      <c r="AM121" s="348"/>
      <c r="AN121" s="348"/>
      <c r="AO121" s="348"/>
      <c r="AP121" s="348"/>
      <c r="AQ121" s="348"/>
      <c r="AR121" s="348"/>
      <c r="AS121" s="348"/>
      <c r="AT121" s="348"/>
      <c r="AU121" s="348"/>
      <c r="AV121" s="348"/>
      <c r="AW121" s="348"/>
      <c r="AX121" s="348"/>
      <c r="AY121" s="348"/>
      <c r="AZ121" s="348"/>
      <c r="BA121" s="347"/>
      <c r="BB121" s="347"/>
      <c r="BC121" s="347"/>
      <c r="BD121" s="347"/>
    </row>
    <row r="122" spans="2:56" ht="15">
      <c r="B122" s="244"/>
      <c r="C122" s="1750"/>
      <c r="D122" s="348"/>
      <c r="E122" s="348"/>
      <c r="F122" s="348"/>
      <c r="G122" s="348"/>
      <c r="H122" s="348"/>
      <c r="I122" s="348"/>
      <c r="J122" s="348"/>
      <c r="K122" s="348"/>
      <c r="L122" s="348"/>
      <c r="M122" s="348"/>
      <c r="N122" s="348"/>
      <c r="O122" s="348"/>
      <c r="P122" s="348"/>
      <c r="Q122" s="348"/>
      <c r="R122" s="348"/>
      <c r="S122" s="348"/>
      <c r="T122" s="348"/>
      <c r="U122" s="348"/>
      <c r="V122" s="349"/>
      <c r="W122" s="348"/>
      <c r="X122" s="348"/>
      <c r="Y122" s="349"/>
      <c r="Z122" s="348"/>
      <c r="AA122" s="348"/>
      <c r="AB122" s="348"/>
      <c r="AC122" s="348"/>
      <c r="AD122" s="348"/>
      <c r="AE122" s="348"/>
      <c r="AF122" s="348"/>
      <c r="AG122" s="348"/>
      <c r="AH122" s="348"/>
      <c r="AI122" s="348"/>
      <c r="AJ122" s="348"/>
      <c r="AK122" s="348"/>
      <c r="AL122" s="348"/>
      <c r="AM122" s="348"/>
      <c r="AN122" s="348"/>
      <c r="AO122" s="348"/>
      <c r="AP122" s="348"/>
      <c r="AQ122" s="348"/>
      <c r="AR122" s="348"/>
      <c r="AS122" s="348"/>
      <c r="AT122" s="348"/>
      <c r="AU122" s="348"/>
      <c r="AV122" s="348"/>
      <c r="AW122" s="348"/>
      <c r="AX122" s="348"/>
      <c r="AY122" s="348"/>
      <c r="AZ122" s="348"/>
      <c r="BA122" s="347"/>
      <c r="BB122" s="347"/>
      <c r="BC122" s="347"/>
      <c r="BD122" s="347"/>
    </row>
    <row r="123" spans="2:56" ht="15">
      <c r="B123" s="244"/>
      <c r="C123" s="1750"/>
      <c r="D123" s="348"/>
      <c r="E123" s="348"/>
      <c r="F123" s="348"/>
      <c r="G123" s="348"/>
      <c r="H123" s="348"/>
      <c r="I123" s="348"/>
      <c r="J123" s="348"/>
      <c r="K123" s="348"/>
      <c r="L123" s="348"/>
      <c r="M123" s="348"/>
      <c r="N123" s="348"/>
      <c r="O123" s="348"/>
      <c r="P123" s="348"/>
      <c r="Q123" s="348"/>
      <c r="R123" s="348"/>
      <c r="S123" s="348"/>
      <c r="T123" s="348"/>
      <c r="U123" s="348"/>
      <c r="V123" s="349"/>
      <c r="W123" s="348"/>
      <c r="X123" s="348"/>
      <c r="Y123" s="349"/>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8"/>
      <c r="AV123" s="348"/>
      <c r="AW123" s="348"/>
      <c r="AX123" s="348"/>
      <c r="AY123" s="348"/>
      <c r="AZ123" s="348"/>
      <c r="BA123" s="347"/>
      <c r="BB123" s="347"/>
      <c r="BC123" s="347"/>
      <c r="BD123" s="347"/>
    </row>
    <row r="124" spans="2:56" ht="15">
      <c r="B124" s="244"/>
      <c r="C124" s="1750"/>
      <c r="D124" s="348"/>
      <c r="E124" s="348"/>
      <c r="F124" s="348"/>
      <c r="G124" s="348"/>
      <c r="H124" s="348"/>
      <c r="I124" s="348"/>
      <c r="J124" s="348"/>
      <c r="K124" s="348"/>
      <c r="L124" s="348"/>
      <c r="M124" s="348"/>
      <c r="N124" s="348"/>
      <c r="O124" s="348"/>
      <c r="P124" s="348"/>
      <c r="Q124" s="348"/>
      <c r="R124" s="348"/>
      <c r="S124" s="348"/>
      <c r="T124" s="348"/>
      <c r="U124" s="348"/>
      <c r="V124" s="349"/>
      <c r="W124" s="348"/>
      <c r="X124" s="348"/>
      <c r="Y124" s="349"/>
      <c r="Z124" s="348"/>
      <c r="AA124" s="348"/>
      <c r="AB124" s="348"/>
      <c r="AC124" s="348"/>
      <c r="AD124" s="348"/>
      <c r="AE124" s="348"/>
      <c r="AF124" s="348"/>
      <c r="AG124" s="348"/>
      <c r="AH124" s="348"/>
      <c r="AI124" s="348"/>
      <c r="AJ124" s="348"/>
      <c r="AK124" s="348"/>
      <c r="AL124" s="348"/>
      <c r="AM124" s="348"/>
      <c r="AN124" s="348"/>
      <c r="AO124" s="348"/>
      <c r="AP124" s="348"/>
      <c r="AQ124" s="348"/>
      <c r="AR124" s="348"/>
      <c r="AS124" s="348"/>
      <c r="AT124" s="348"/>
      <c r="AU124" s="348"/>
      <c r="AV124" s="348"/>
      <c r="AW124" s="348"/>
      <c r="AX124" s="348"/>
      <c r="AY124" s="348"/>
      <c r="AZ124" s="348"/>
      <c r="BA124" s="347"/>
      <c r="BB124" s="347"/>
      <c r="BC124" s="347"/>
      <c r="BD124" s="347"/>
    </row>
    <row r="125" spans="2:56" ht="15">
      <c r="B125" s="244"/>
      <c r="C125" s="1750"/>
      <c r="D125" s="348"/>
      <c r="E125" s="348"/>
      <c r="F125" s="348"/>
      <c r="G125" s="348"/>
      <c r="H125" s="348"/>
      <c r="I125" s="348"/>
      <c r="J125" s="348"/>
      <c r="K125" s="348"/>
      <c r="L125" s="348"/>
      <c r="M125" s="348"/>
      <c r="N125" s="348"/>
      <c r="O125" s="348"/>
      <c r="P125" s="348"/>
      <c r="Q125" s="348"/>
      <c r="R125" s="348"/>
      <c r="S125" s="348"/>
      <c r="T125" s="348"/>
      <c r="U125" s="348"/>
      <c r="V125" s="349"/>
      <c r="W125" s="348"/>
      <c r="X125" s="348"/>
      <c r="Y125" s="349"/>
      <c r="Z125" s="348"/>
      <c r="AA125" s="348"/>
      <c r="AB125" s="348"/>
      <c r="AC125" s="348"/>
      <c r="AD125" s="348"/>
      <c r="AE125" s="348"/>
      <c r="AF125" s="348"/>
      <c r="AG125" s="348"/>
      <c r="AH125" s="348"/>
      <c r="AI125" s="348"/>
      <c r="AJ125" s="348"/>
      <c r="AK125" s="348"/>
      <c r="AL125" s="348"/>
      <c r="AM125" s="348"/>
      <c r="AN125" s="348"/>
      <c r="AO125" s="348"/>
      <c r="AP125" s="348"/>
      <c r="AQ125" s="348"/>
      <c r="AR125" s="348"/>
      <c r="AS125" s="348"/>
      <c r="AT125" s="348"/>
      <c r="AU125" s="348"/>
      <c r="AV125" s="348"/>
      <c r="AW125" s="348"/>
      <c r="AX125" s="348"/>
      <c r="AY125" s="348"/>
      <c r="AZ125" s="348"/>
      <c r="BA125" s="347"/>
      <c r="BB125" s="347"/>
      <c r="BC125" s="347"/>
      <c r="BD125" s="347"/>
    </row>
    <row r="126" spans="2:56" ht="15">
      <c r="B126" s="244"/>
      <c r="C126" s="1750"/>
      <c r="D126" s="348"/>
      <c r="E126" s="348"/>
      <c r="F126" s="348"/>
      <c r="G126" s="348"/>
      <c r="H126" s="348"/>
      <c r="I126" s="348"/>
      <c r="J126" s="348"/>
      <c r="K126" s="348"/>
      <c r="L126" s="348"/>
      <c r="M126" s="348"/>
      <c r="N126" s="348"/>
      <c r="O126" s="348"/>
      <c r="P126" s="348"/>
      <c r="Q126" s="348"/>
      <c r="R126" s="348"/>
      <c r="S126" s="348"/>
      <c r="T126" s="348"/>
      <c r="U126" s="348"/>
      <c r="V126" s="349"/>
      <c r="W126" s="348"/>
      <c r="X126" s="348"/>
      <c r="Y126" s="349"/>
      <c r="Z126" s="348"/>
      <c r="AA126" s="348"/>
      <c r="AB126" s="348"/>
      <c r="AC126" s="348"/>
      <c r="AD126" s="348"/>
      <c r="AE126" s="348"/>
      <c r="AF126" s="348"/>
      <c r="AG126" s="348"/>
      <c r="AH126" s="348"/>
      <c r="AI126" s="348"/>
      <c r="AJ126" s="348"/>
      <c r="AK126" s="348"/>
      <c r="AL126" s="348"/>
      <c r="AM126" s="348"/>
      <c r="AN126" s="348"/>
      <c r="AO126" s="348"/>
      <c r="AP126" s="348"/>
      <c r="AQ126" s="348"/>
      <c r="AR126" s="348"/>
      <c r="AS126" s="348"/>
      <c r="AT126" s="348"/>
      <c r="AU126" s="348"/>
      <c r="AV126" s="348"/>
      <c r="AW126" s="348"/>
      <c r="AX126" s="348"/>
      <c r="AY126" s="348"/>
      <c r="AZ126" s="348"/>
      <c r="BA126" s="347"/>
      <c r="BB126" s="347"/>
      <c r="BC126" s="347"/>
      <c r="BD126" s="347"/>
    </row>
    <row r="127" spans="2:56" ht="15">
      <c r="B127" s="244"/>
      <c r="C127" s="1750"/>
      <c r="D127" s="348"/>
      <c r="E127" s="348"/>
      <c r="F127" s="348"/>
      <c r="G127" s="348"/>
      <c r="H127" s="348"/>
      <c r="I127" s="348"/>
      <c r="J127" s="348"/>
      <c r="K127" s="348"/>
      <c r="L127" s="348"/>
      <c r="M127" s="348"/>
      <c r="N127" s="348"/>
      <c r="O127" s="348"/>
      <c r="P127" s="348"/>
      <c r="Q127" s="348"/>
      <c r="R127" s="348"/>
      <c r="S127" s="348"/>
      <c r="T127" s="348"/>
      <c r="U127" s="348"/>
      <c r="V127" s="349"/>
      <c r="W127" s="348"/>
      <c r="X127" s="348"/>
      <c r="Y127" s="349"/>
      <c r="Z127" s="348"/>
      <c r="AA127" s="348"/>
      <c r="AB127" s="348"/>
      <c r="AC127" s="348"/>
      <c r="AD127" s="348"/>
      <c r="AE127" s="348"/>
      <c r="AF127" s="348"/>
      <c r="AG127" s="348"/>
      <c r="AH127" s="348"/>
      <c r="AI127" s="348"/>
      <c r="AJ127" s="348"/>
      <c r="AK127" s="348"/>
      <c r="AL127" s="348"/>
      <c r="AM127" s="348"/>
      <c r="AN127" s="348"/>
      <c r="AO127" s="348"/>
      <c r="AP127" s="348"/>
      <c r="AQ127" s="348"/>
      <c r="AR127" s="348"/>
      <c r="AS127" s="348"/>
      <c r="AT127" s="348"/>
      <c r="AU127" s="348"/>
      <c r="AV127" s="348"/>
      <c r="AW127" s="348"/>
      <c r="AX127" s="348"/>
      <c r="AY127" s="348"/>
      <c r="AZ127" s="348"/>
      <c r="BA127" s="347"/>
      <c r="BB127" s="347"/>
      <c r="BC127" s="347"/>
      <c r="BD127" s="347"/>
    </row>
    <row r="128" spans="2:56" ht="15">
      <c r="B128" s="244"/>
      <c r="C128" s="1750"/>
      <c r="D128" s="348"/>
      <c r="E128" s="348"/>
      <c r="F128" s="348"/>
      <c r="G128" s="348"/>
      <c r="H128" s="348"/>
      <c r="I128" s="348"/>
      <c r="J128" s="348"/>
      <c r="K128" s="348"/>
      <c r="L128" s="348"/>
      <c r="M128" s="348"/>
      <c r="N128" s="348"/>
      <c r="O128" s="348"/>
      <c r="P128" s="348"/>
      <c r="Q128" s="348"/>
      <c r="R128" s="348"/>
      <c r="S128" s="348"/>
      <c r="T128" s="348"/>
      <c r="U128" s="348"/>
      <c r="V128" s="349"/>
      <c r="W128" s="348"/>
      <c r="X128" s="348"/>
      <c r="Y128" s="349"/>
      <c r="Z128" s="348"/>
      <c r="AA128" s="348"/>
      <c r="AB128" s="348"/>
      <c r="AC128" s="348"/>
      <c r="AD128" s="348"/>
      <c r="AE128" s="348"/>
      <c r="AF128" s="348"/>
      <c r="AG128" s="348"/>
      <c r="AH128" s="348"/>
      <c r="AI128" s="348"/>
      <c r="AJ128" s="348"/>
      <c r="AK128" s="348"/>
      <c r="AL128" s="348"/>
      <c r="AM128" s="348"/>
      <c r="AN128" s="348"/>
      <c r="AO128" s="348"/>
      <c r="AP128" s="348"/>
      <c r="AQ128" s="348"/>
      <c r="AR128" s="348"/>
      <c r="AS128" s="348"/>
      <c r="AT128" s="348"/>
      <c r="AU128" s="348"/>
      <c r="AV128" s="348"/>
      <c r="AW128" s="348"/>
      <c r="AX128" s="348"/>
      <c r="AY128" s="348"/>
      <c r="AZ128" s="348"/>
      <c r="BA128" s="347"/>
      <c r="BB128" s="347"/>
      <c r="BC128" s="347"/>
      <c r="BD128" s="347"/>
    </row>
    <row r="129" spans="2:56" ht="15">
      <c r="B129" s="244"/>
      <c r="C129" s="1750"/>
      <c r="D129" s="348"/>
      <c r="E129" s="348"/>
      <c r="F129" s="348"/>
      <c r="G129" s="348"/>
      <c r="H129" s="348"/>
      <c r="I129" s="348"/>
      <c r="J129" s="348"/>
      <c r="K129" s="348"/>
      <c r="L129" s="348"/>
      <c r="M129" s="348"/>
      <c r="N129" s="348"/>
      <c r="O129" s="348"/>
      <c r="P129" s="348"/>
      <c r="Q129" s="348"/>
      <c r="R129" s="348"/>
      <c r="S129" s="348"/>
      <c r="T129" s="348"/>
      <c r="U129" s="348"/>
      <c r="V129" s="349"/>
      <c r="W129" s="348"/>
      <c r="X129" s="348"/>
      <c r="Y129" s="349"/>
      <c r="Z129" s="348"/>
      <c r="AA129" s="348"/>
      <c r="AB129" s="348"/>
      <c r="AC129" s="348"/>
      <c r="AD129" s="348"/>
      <c r="AE129" s="348"/>
      <c r="AF129" s="348"/>
      <c r="AG129" s="348"/>
      <c r="AH129" s="348"/>
      <c r="AI129" s="348"/>
      <c r="AJ129" s="348"/>
      <c r="AK129" s="348"/>
      <c r="AL129" s="348"/>
      <c r="AM129" s="348"/>
      <c r="AN129" s="348"/>
      <c r="AO129" s="348"/>
      <c r="AP129" s="348"/>
      <c r="AQ129" s="348"/>
      <c r="AR129" s="348"/>
      <c r="AS129" s="348"/>
      <c r="AT129" s="348"/>
      <c r="AU129" s="348"/>
      <c r="AV129" s="348"/>
      <c r="AW129" s="348"/>
      <c r="AX129" s="348"/>
      <c r="AY129" s="348"/>
      <c r="AZ129" s="348"/>
      <c r="BA129" s="347"/>
      <c r="BB129" s="347"/>
      <c r="BC129" s="347"/>
      <c r="BD129" s="347"/>
    </row>
    <row r="130" spans="2:56" ht="15">
      <c r="B130" s="244"/>
      <c r="C130" s="1750"/>
      <c r="D130" s="348"/>
      <c r="E130" s="348"/>
      <c r="F130" s="348"/>
      <c r="G130" s="348"/>
      <c r="H130" s="348"/>
      <c r="I130" s="348"/>
      <c r="J130" s="348"/>
      <c r="K130" s="348"/>
      <c r="L130" s="348"/>
      <c r="M130" s="348"/>
      <c r="N130" s="348"/>
      <c r="O130" s="348"/>
      <c r="P130" s="348"/>
      <c r="Q130" s="348"/>
      <c r="R130" s="348"/>
      <c r="S130" s="348"/>
      <c r="T130" s="348"/>
      <c r="U130" s="348"/>
      <c r="V130" s="349"/>
      <c r="W130" s="348"/>
      <c r="X130" s="348"/>
      <c r="Y130" s="349"/>
      <c r="Z130" s="348"/>
      <c r="AA130" s="348"/>
      <c r="AB130" s="348"/>
      <c r="AC130" s="348"/>
      <c r="AD130" s="348"/>
      <c r="AE130" s="348"/>
      <c r="AF130" s="348"/>
      <c r="AG130" s="348"/>
      <c r="AH130" s="348"/>
      <c r="AI130" s="348"/>
      <c r="AJ130" s="348"/>
      <c r="AK130" s="348"/>
      <c r="AL130" s="348"/>
      <c r="AM130" s="348"/>
      <c r="AN130" s="348"/>
      <c r="AO130" s="348"/>
      <c r="AP130" s="348"/>
      <c r="AQ130" s="348"/>
      <c r="AR130" s="348"/>
      <c r="AS130" s="348"/>
      <c r="AT130" s="348"/>
      <c r="AU130" s="348"/>
      <c r="AV130" s="348"/>
      <c r="AW130" s="348"/>
      <c r="AX130" s="348"/>
      <c r="AY130" s="348"/>
      <c r="AZ130" s="348"/>
      <c r="BA130" s="347"/>
      <c r="BB130" s="347"/>
      <c r="BC130" s="347"/>
      <c r="BD130" s="347"/>
    </row>
    <row r="131" spans="2:56" ht="15">
      <c r="B131" s="244"/>
      <c r="C131" s="1750"/>
      <c r="D131" s="348"/>
      <c r="E131" s="348"/>
      <c r="F131" s="348"/>
      <c r="G131" s="348"/>
      <c r="H131" s="348"/>
      <c r="I131" s="348"/>
      <c r="J131" s="348"/>
      <c r="K131" s="348"/>
      <c r="L131" s="348"/>
      <c r="M131" s="348"/>
      <c r="N131" s="348"/>
      <c r="O131" s="348"/>
      <c r="P131" s="348"/>
      <c r="Q131" s="348"/>
      <c r="R131" s="348"/>
      <c r="S131" s="348"/>
      <c r="T131" s="348"/>
      <c r="U131" s="348"/>
      <c r="V131" s="349"/>
      <c r="W131" s="348"/>
      <c r="X131" s="348"/>
      <c r="Y131" s="349"/>
      <c r="Z131" s="348"/>
      <c r="AA131" s="348"/>
      <c r="AB131" s="348"/>
      <c r="AC131" s="348"/>
      <c r="AD131" s="348"/>
      <c r="AE131" s="348"/>
      <c r="AF131" s="348"/>
      <c r="AG131" s="348"/>
      <c r="AH131" s="348"/>
      <c r="AI131" s="348"/>
      <c r="AJ131" s="348"/>
      <c r="AK131" s="348"/>
      <c r="AL131" s="348"/>
      <c r="AM131" s="348"/>
      <c r="AN131" s="348"/>
      <c r="AO131" s="348"/>
      <c r="AP131" s="348"/>
      <c r="AQ131" s="348"/>
      <c r="AR131" s="348"/>
      <c r="AS131" s="348"/>
      <c r="AT131" s="348"/>
      <c r="AU131" s="348"/>
      <c r="AV131" s="348"/>
      <c r="AW131" s="348"/>
      <c r="AX131" s="348"/>
      <c r="AY131" s="348"/>
      <c r="AZ131" s="348"/>
      <c r="BA131" s="347"/>
      <c r="BB131" s="347"/>
      <c r="BC131" s="347"/>
      <c r="BD131" s="347"/>
    </row>
    <row r="132" spans="2:56" ht="15">
      <c r="B132" s="244"/>
      <c r="C132" s="1750"/>
      <c r="D132" s="348"/>
      <c r="E132" s="348"/>
      <c r="F132" s="348"/>
      <c r="G132" s="348"/>
      <c r="H132" s="348"/>
      <c r="I132" s="348"/>
      <c r="J132" s="348"/>
      <c r="K132" s="348"/>
      <c r="L132" s="348"/>
      <c r="M132" s="348"/>
      <c r="N132" s="348"/>
      <c r="O132" s="348"/>
      <c r="P132" s="348"/>
      <c r="Q132" s="348"/>
      <c r="R132" s="348"/>
      <c r="S132" s="348"/>
      <c r="T132" s="348"/>
      <c r="U132" s="348"/>
      <c r="V132" s="349"/>
      <c r="W132" s="348"/>
      <c r="X132" s="348"/>
      <c r="Y132" s="349"/>
      <c r="Z132" s="348"/>
      <c r="AA132" s="348"/>
      <c r="AB132" s="348"/>
      <c r="AC132" s="348"/>
      <c r="AD132" s="348"/>
      <c r="AE132" s="348"/>
      <c r="AF132" s="348"/>
      <c r="AG132" s="348"/>
      <c r="AH132" s="348"/>
      <c r="AI132" s="348"/>
      <c r="AJ132" s="348"/>
      <c r="AK132" s="348"/>
      <c r="AL132" s="348"/>
      <c r="AM132" s="348"/>
      <c r="AN132" s="348"/>
      <c r="AO132" s="348"/>
      <c r="AP132" s="348"/>
      <c r="AQ132" s="348"/>
      <c r="AR132" s="348"/>
      <c r="AS132" s="348"/>
      <c r="AT132" s="348"/>
      <c r="AU132" s="348"/>
      <c r="AV132" s="348"/>
      <c r="AW132" s="348"/>
      <c r="AX132" s="348"/>
      <c r="AY132" s="348"/>
      <c r="AZ132" s="348"/>
      <c r="BA132" s="347"/>
      <c r="BB132" s="347"/>
      <c r="BC132" s="347"/>
      <c r="BD132" s="347"/>
    </row>
    <row r="133" spans="2:56" ht="15">
      <c r="B133" s="244"/>
      <c r="C133" s="1750"/>
      <c r="D133" s="348"/>
      <c r="E133" s="348"/>
      <c r="F133" s="348"/>
      <c r="G133" s="348"/>
      <c r="H133" s="348"/>
      <c r="I133" s="348"/>
      <c r="J133" s="348"/>
      <c r="K133" s="348"/>
      <c r="L133" s="348"/>
      <c r="M133" s="348"/>
      <c r="N133" s="348"/>
      <c r="O133" s="348"/>
      <c r="P133" s="348"/>
      <c r="Q133" s="348"/>
      <c r="R133" s="348"/>
      <c r="S133" s="348"/>
      <c r="T133" s="348"/>
      <c r="U133" s="348"/>
      <c r="V133" s="349"/>
      <c r="W133" s="348"/>
      <c r="X133" s="348"/>
      <c r="Y133" s="349"/>
      <c r="Z133" s="348"/>
      <c r="AA133" s="348"/>
      <c r="AB133" s="348"/>
      <c r="AC133" s="348"/>
      <c r="AD133" s="348"/>
      <c r="AE133" s="348"/>
      <c r="AF133" s="348"/>
      <c r="AG133" s="348"/>
      <c r="AH133" s="348"/>
      <c r="AI133" s="348"/>
      <c r="AJ133" s="348"/>
      <c r="AK133" s="348"/>
      <c r="AL133" s="348"/>
      <c r="AM133" s="348"/>
      <c r="AN133" s="348"/>
      <c r="AO133" s="348"/>
      <c r="AP133" s="348"/>
      <c r="AQ133" s="348"/>
      <c r="AR133" s="348"/>
      <c r="AS133" s="348"/>
      <c r="AT133" s="348"/>
      <c r="AU133" s="348"/>
      <c r="AV133" s="348"/>
      <c r="AW133" s="348"/>
      <c r="AX133" s="348"/>
      <c r="AY133" s="348"/>
      <c r="AZ133" s="348"/>
      <c r="BA133" s="347"/>
      <c r="BB133" s="347"/>
      <c r="BC133" s="347"/>
      <c r="BD133" s="347"/>
    </row>
    <row r="134" spans="2:56" ht="15">
      <c r="B134" s="244"/>
      <c r="C134" s="1750"/>
      <c r="D134" s="348"/>
      <c r="E134" s="348"/>
      <c r="F134" s="348"/>
      <c r="G134" s="348"/>
      <c r="H134" s="348"/>
      <c r="I134" s="348"/>
      <c r="J134" s="348"/>
      <c r="K134" s="348"/>
      <c r="L134" s="348"/>
      <c r="M134" s="348"/>
      <c r="N134" s="348"/>
      <c r="O134" s="348"/>
      <c r="P134" s="348"/>
      <c r="Q134" s="348"/>
      <c r="R134" s="348"/>
      <c r="S134" s="348"/>
      <c r="T134" s="348"/>
      <c r="U134" s="348"/>
      <c r="V134" s="349"/>
      <c r="W134" s="348"/>
      <c r="X134" s="348"/>
      <c r="Y134" s="349"/>
      <c r="Z134" s="348"/>
      <c r="AA134" s="348"/>
      <c r="AB134" s="348"/>
      <c r="AC134" s="348"/>
      <c r="AD134" s="348"/>
      <c r="AE134" s="348"/>
      <c r="AF134" s="348"/>
      <c r="AG134" s="348"/>
      <c r="AH134" s="348"/>
      <c r="AI134" s="348"/>
      <c r="AJ134" s="348"/>
      <c r="AK134" s="348"/>
      <c r="AL134" s="348"/>
      <c r="AM134" s="348"/>
      <c r="AN134" s="348"/>
      <c r="AO134" s="348"/>
      <c r="AP134" s="348"/>
      <c r="AQ134" s="348"/>
      <c r="AR134" s="348"/>
      <c r="AS134" s="348"/>
      <c r="AT134" s="348"/>
      <c r="AU134" s="348"/>
      <c r="AV134" s="348"/>
      <c r="AW134" s="348"/>
      <c r="AX134" s="348"/>
      <c r="AY134" s="348"/>
      <c r="AZ134" s="348"/>
      <c r="BA134" s="347"/>
      <c r="BB134" s="347"/>
      <c r="BC134" s="347"/>
      <c r="BD134" s="347"/>
    </row>
    <row r="135" spans="2:56" ht="15">
      <c r="B135" s="244"/>
      <c r="C135" s="1750"/>
      <c r="D135" s="348"/>
      <c r="E135" s="348"/>
      <c r="F135" s="348"/>
      <c r="G135" s="348"/>
      <c r="H135" s="348"/>
      <c r="I135" s="348"/>
      <c r="J135" s="348"/>
      <c r="K135" s="348"/>
      <c r="L135" s="348"/>
      <c r="M135" s="348"/>
      <c r="N135" s="348"/>
      <c r="O135" s="348"/>
      <c r="P135" s="348"/>
      <c r="Q135" s="348"/>
      <c r="R135" s="348"/>
      <c r="S135" s="348"/>
      <c r="T135" s="348"/>
      <c r="U135" s="348"/>
      <c r="V135" s="349"/>
      <c r="W135" s="348"/>
      <c r="X135" s="348"/>
      <c r="Y135" s="349"/>
      <c r="Z135" s="348"/>
      <c r="AA135" s="348"/>
      <c r="AB135" s="348"/>
      <c r="AC135" s="348"/>
      <c r="AD135" s="348"/>
      <c r="AE135" s="348"/>
      <c r="AF135" s="348"/>
      <c r="AG135" s="348"/>
      <c r="AH135" s="348"/>
      <c r="AI135" s="348"/>
      <c r="AJ135" s="348"/>
      <c r="AK135" s="348"/>
      <c r="AL135" s="348"/>
      <c r="AM135" s="348"/>
      <c r="AN135" s="348"/>
      <c r="AO135" s="348"/>
      <c r="AP135" s="348"/>
      <c r="AQ135" s="348"/>
      <c r="AR135" s="348"/>
      <c r="AS135" s="348"/>
      <c r="AT135" s="348"/>
      <c r="AU135" s="348"/>
      <c r="AV135" s="348"/>
      <c r="AW135" s="348"/>
      <c r="AX135" s="348"/>
      <c r="AY135" s="348"/>
      <c r="AZ135" s="348"/>
      <c r="BA135" s="347"/>
      <c r="BB135" s="347"/>
      <c r="BC135" s="347"/>
      <c r="BD135" s="347"/>
    </row>
    <row r="136" spans="2:56" ht="15">
      <c r="B136" s="244"/>
      <c r="C136" s="1750"/>
      <c r="D136" s="348"/>
      <c r="E136" s="348"/>
      <c r="F136" s="348"/>
      <c r="G136" s="348"/>
      <c r="H136" s="348"/>
      <c r="I136" s="348"/>
      <c r="J136" s="348"/>
      <c r="K136" s="348"/>
      <c r="L136" s="348"/>
      <c r="M136" s="348"/>
      <c r="N136" s="348"/>
      <c r="O136" s="348"/>
      <c r="P136" s="348"/>
      <c r="Q136" s="348"/>
      <c r="R136" s="348"/>
      <c r="S136" s="348"/>
      <c r="T136" s="348"/>
      <c r="U136" s="348"/>
      <c r="V136" s="349"/>
      <c r="W136" s="348"/>
      <c r="X136" s="348"/>
      <c r="Y136" s="349"/>
      <c r="Z136" s="348"/>
      <c r="AA136" s="348"/>
      <c r="AB136" s="348"/>
      <c r="AC136" s="348"/>
      <c r="AD136" s="348"/>
      <c r="AE136" s="348"/>
      <c r="AF136" s="348"/>
      <c r="AG136" s="348"/>
      <c r="AH136" s="348"/>
      <c r="AI136" s="348"/>
      <c r="AJ136" s="348"/>
      <c r="AK136" s="348"/>
      <c r="AL136" s="348"/>
      <c r="AM136" s="348"/>
      <c r="AN136" s="348"/>
      <c r="AO136" s="348"/>
      <c r="AP136" s="348"/>
      <c r="AQ136" s="348"/>
      <c r="AR136" s="348"/>
      <c r="AS136" s="348"/>
      <c r="AT136" s="348"/>
      <c r="AU136" s="348"/>
      <c r="AV136" s="348"/>
      <c r="AW136" s="348"/>
      <c r="AX136" s="348"/>
      <c r="AY136" s="348"/>
      <c r="AZ136" s="348"/>
      <c r="BA136" s="347"/>
      <c r="BB136" s="347"/>
      <c r="BC136" s="347"/>
      <c r="BD136" s="347"/>
    </row>
    <row r="137" spans="2:56" ht="15">
      <c r="B137" s="244"/>
      <c r="C137" s="1750"/>
      <c r="D137" s="348"/>
      <c r="E137" s="348"/>
      <c r="F137" s="348"/>
      <c r="G137" s="348"/>
      <c r="H137" s="348"/>
      <c r="I137" s="348"/>
      <c r="J137" s="348"/>
      <c r="K137" s="348"/>
      <c r="L137" s="348"/>
      <c r="M137" s="348"/>
      <c r="N137" s="348"/>
      <c r="O137" s="348"/>
      <c r="P137" s="348"/>
      <c r="Q137" s="348"/>
      <c r="R137" s="348"/>
      <c r="S137" s="348"/>
      <c r="T137" s="348"/>
      <c r="U137" s="348"/>
      <c r="V137" s="349"/>
      <c r="W137" s="348"/>
      <c r="X137" s="348"/>
      <c r="Y137" s="349"/>
      <c r="Z137" s="348"/>
      <c r="AA137" s="348"/>
      <c r="AB137" s="348"/>
      <c r="AC137" s="348"/>
      <c r="AD137" s="348"/>
      <c r="AE137" s="348"/>
      <c r="AF137" s="348"/>
      <c r="AG137" s="348"/>
      <c r="AH137" s="348"/>
      <c r="AI137" s="348"/>
      <c r="AJ137" s="348"/>
      <c r="AK137" s="348"/>
      <c r="AL137" s="348"/>
      <c r="AM137" s="348"/>
      <c r="AN137" s="348"/>
      <c r="AO137" s="348"/>
      <c r="AP137" s="348"/>
      <c r="AQ137" s="348"/>
      <c r="AR137" s="348"/>
      <c r="AS137" s="348"/>
      <c r="AT137" s="348"/>
      <c r="AU137" s="348"/>
      <c r="AV137" s="348"/>
      <c r="AW137" s="348"/>
      <c r="AX137" s="348"/>
      <c r="AY137" s="348"/>
      <c r="AZ137" s="348"/>
      <c r="BA137" s="347"/>
      <c r="BB137" s="347"/>
      <c r="BC137" s="347"/>
      <c r="BD137" s="347"/>
    </row>
    <row r="138" spans="2:56" ht="15">
      <c r="B138" s="244"/>
      <c r="C138" s="1750"/>
      <c r="D138" s="348"/>
      <c r="E138" s="348"/>
      <c r="F138" s="348"/>
      <c r="G138" s="348"/>
      <c r="H138" s="348"/>
      <c r="I138" s="348"/>
      <c r="J138" s="348"/>
      <c r="K138" s="348"/>
      <c r="L138" s="348"/>
      <c r="M138" s="348"/>
      <c r="N138" s="348"/>
      <c r="O138" s="348"/>
      <c r="P138" s="348"/>
      <c r="Q138" s="348"/>
      <c r="R138" s="348"/>
      <c r="S138" s="348"/>
      <c r="T138" s="348"/>
      <c r="U138" s="348"/>
      <c r="V138" s="349"/>
      <c r="W138" s="348"/>
      <c r="X138" s="348"/>
      <c r="Y138" s="349"/>
      <c r="Z138" s="348"/>
      <c r="AA138" s="348"/>
      <c r="AB138" s="348"/>
      <c r="AC138" s="348"/>
      <c r="AD138" s="348"/>
      <c r="AE138" s="348"/>
      <c r="AF138" s="348"/>
      <c r="AG138" s="348"/>
      <c r="AH138" s="348"/>
      <c r="AI138" s="348"/>
      <c r="AJ138" s="348"/>
      <c r="AK138" s="348"/>
      <c r="AL138" s="348"/>
      <c r="AM138" s="348"/>
      <c r="AN138" s="348"/>
      <c r="AO138" s="348"/>
      <c r="AP138" s="348"/>
      <c r="AQ138" s="348"/>
      <c r="AR138" s="348"/>
      <c r="AS138" s="348"/>
      <c r="AT138" s="348"/>
      <c r="AU138" s="348"/>
      <c r="AV138" s="348"/>
      <c r="AW138" s="348"/>
      <c r="AX138" s="348"/>
      <c r="AY138" s="348"/>
      <c r="AZ138" s="348"/>
      <c r="BA138" s="347"/>
      <c r="BB138" s="347"/>
      <c r="BC138" s="347"/>
      <c r="BD138" s="347"/>
    </row>
    <row r="139" spans="2:56" ht="15">
      <c r="B139" s="244"/>
      <c r="C139" s="1750"/>
      <c r="D139" s="348"/>
      <c r="E139" s="348"/>
      <c r="F139" s="348"/>
      <c r="G139" s="348"/>
      <c r="H139" s="348"/>
      <c r="I139" s="348"/>
      <c r="J139" s="348"/>
      <c r="K139" s="348"/>
      <c r="L139" s="348"/>
      <c r="M139" s="348"/>
      <c r="N139" s="348"/>
      <c r="O139" s="348"/>
      <c r="P139" s="348"/>
      <c r="Q139" s="348"/>
      <c r="R139" s="348"/>
      <c r="S139" s="348"/>
      <c r="T139" s="348"/>
      <c r="U139" s="348"/>
      <c r="V139" s="349"/>
      <c r="W139" s="348"/>
      <c r="X139" s="348"/>
      <c r="Y139" s="349"/>
      <c r="Z139" s="348"/>
      <c r="AA139" s="348"/>
      <c r="AB139" s="348"/>
      <c r="AC139" s="348"/>
      <c r="AD139" s="348"/>
      <c r="AE139" s="348"/>
      <c r="AF139" s="348"/>
      <c r="AG139" s="348"/>
      <c r="AH139" s="348"/>
      <c r="AI139" s="348"/>
      <c r="AJ139" s="348"/>
      <c r="AK139" s="348"/>
      <c r="AL139" s="348"/>
      <c r="AM139" s="348"/>
      <c r="AN139" s="348"/>
      <c r="AO139" s="348"/>
      <c r="AP139" s="348"/>
      <c r="AQ139" s="348"/>
      <c r="AR139" s="348"/>
      <c r="AS139" s="348"/>
      <c r="AT139" s="348"/>
      <c r="AU139" s="348"/>
      <c r="AV139" s="348"/>
      <c r="AW139" s="348"/>
      <c r="AX139" s="348"/>
      <c r="AY139" s="348"/>
      <c r="AZ139" s="348"/>
      <c r="BA139" s="347"/>
      <c r="BB139" s="347"/>
      <c r="BC139" s="347"/>
      <c r="BD139" s="347"/>
    </row>
    <row r="140" spans="2:56" ht="15">
      <c r="B140" s="244"/>
      <c r="C140" s="1750"/>
      <c r="D140" s="348"/>
      <c r="E140" s="348"/>
      <c r="F140" s="348"/>
      <c r="G140" s="348"/>
      <c r="H140" s="348"/>
      <c r="I140" s="348"/>
      <c r="J140" s="348"/>
      <c r="K140" s="348"/>
      <c r="L140" s="348"/>
      <c r="M140" s="348"/>
      <c r="N140" s="348"/>
      <c r="O140" s="348"/>
      <c r="P140" s="348"/>
      <c r="Q140" s="348"/>
      <c r="R140" s="348"/>
      <c r="S140" s="348"/>
      <c r="T140" s="348"/>
      <c r="U140" s="348"/>
      <c r="V140" s="349"/>
      <c r="W140" s="348"/>
      <c r="X140" s="348"/>
      <c r="Y140" s="349"/>
      <c r="Z140" s="348"/>
      <c r="AA140" s="348"/>
      <c r="AB140" s="348"/>
      <c r="AC140" s="348"/>
      <c r="AD140" s="348"/>
      <c r="AE140" s="348"/>
      <c r="AF140" s="348"/>
      <c r="AG140" s="348"/>
      <c r="AH140" s="348"/>
      <c r="AI140" s="348"/>
      <c r="AJ140" s="348"/>
      <c r="AK140" s="348"/>
      <c r="AL140" s="348"/>
      <c r="AM140" s="348"/>
      <c r="AN140" s="348"/>
      <c r="AO140" s="348"/>
      <c r="AP140" s="348"/>
      <c r="AQ140" s="348"/>
      <c r="AR140" s="348"/>
      <c r="AS140" s="348"/>
      <c r="AT140" s="348"/>
      <c r="AU140" s="348"/>
      <c r="AV140" s="348"/>
      <c r="AW140" s="348"/>
      <c r="AX140" s="348"/>
      <c r="AY140" s="348"/>
      <c r="AZ140" s="348"/>
      <c r="BA140" s="347"/>
      <c r="BB140" s="347"/>
      <c r="BC140" s="347"/>
      <c r="BD140" s="347"/>
    </row>
    <row r="141" spans="2:56" ht="15">
      <c r="B141" s="244"/>
      <c r="C141" s="1750"/>
      <c r="D141" s="348"/>
      <c r="E141" s="348"/>
      <c r="F141" s="348"/>
      <c r="G141" s="348"/>
      <c r="H141" s="348"/>
      <c r="I141" s="348"/>
      <c r="J141" s="348"/>
      <c r="K141" s="348"/>
      <c r="L141" s="348"/>
      <c r="M141" s="348"/>
      <c r="N141" s="348"/>
      <c r="O141" s="348"/>
      <c r="P141" s="348"/>
      <c r="Q141" s="348"/>
      <c r="R141" s="348"/>
      <c r="S141" s="348"/>
      <c r="T141" s="348"/>
      <c r="U141" s="348"/>
      <c r="V141" s="349"/>
      <c r="W141" s="348"/>
      <c r="X141" s="348"/>
      <c r="Y141" s="349"/>
      <c r="Z141" s="348"/>
      <c r="AA141" s="348"/>
      <c r="AB141" s="348"/>
      <c r="AC141" s="348"/>
      <c r="AD141" s="348"/>
      <c r="AE141" s="348"/>
      <c r="AF141" s="348"/>
      <c r="AG141" s="348"/>
      <c r="AH141" s="348"/>
      <c r="AI141" s="348"/>
      <c r="AJ141" s="348"/>
      <c r="AK141" s="348"/>
      <c r="AL141" s="348"/>
      <c r="AM141" s="348"/>
      <c r="AN141" s="348"/>
      <c r="AO141" s="348"/>
      <c r="AP141" s="348"/>
      <c r="AQ141" s="348"/>
      <c r="AR141" s="348"/>
      <c r="AS141" s="348"/>
      <c r="AT141" s="348"/>
      <c r="AU141" s="348"/>
      <c r="AV141" s="348"/>
      <c r="AW141" s="348"/>
      <c r="AX141" s="348"/>
      <c r="AY141" s="348"/>
      <c r="AZ141" s="348"/>
      <c r="BA141" s="347"/>
      <c r="BB141" s="347"/>
      <c r="BC141" s="347"/>
      <c r="BD141" s="347"/>
    </row>
    <row r="142" spans="2:56" ht="15">
      <c r="B142" s="244"/>
      <c r="C142" s="1750"/>
      <c r="D142" s="348"/>
      <c r="E142" s="348"/>
      <c r="F142" s="348"/>
      <c r="G142" s="348"/>
      <c r="H142" s="348"/>
      <c r="I142" s="348"/>
      <c r="J142" s="348"/>
      <c r="K142" s="348"/>
      <c r="L142" s="348"/>
      <c r="M142" s="348"/>
      <c r="N142" s="348"/>
      <c r="O142" s="348"/>
      <c r="P142" s="348"/>
      <c r="Q142" s="348"/>
      <c r="R142" s="348"/>
      <c r="S142" s="348"/>
      <c r="T142" s="348"/>
      <c r="U142" s="348"/>
      <c r="V142" s="349"/>
      <c r="W142" s="348"/>
      <c r="X142" s="348"/>
      <c r="Y142" s="349"/>
      <c r="Z142" s="348"/>
      <c r="AA142" s="348"/>
      <c r="AB142" s="348"/>
      <c r="AC142" s="348"/>
      <c r="AD142" s="348"/>
      <c r="AE142" s="348"/>
      <c r="AF142" s="348"/>
      <c r="AG142" s="348"/>
      <c r="AH142" s="348"/>
      <c r="AI142" s="348"/>
      <c r="AJ142" s="348"/>
      <c r="AK142" s="348"/>
      <c r="AL142" s="348"/>
      <c r="AM142" s="348"/>
      <c r="AN142" s="348"/>
      <c r="AO142" s="348"/>
      <c r="AP142" s="348"/>
      <c r="AQ142" s="348"/>
      <c r="AR142" s="348"/>
      <c r="AS142" s="348"/>
      <c r="AT142" s="348"/>
      <c r="AU142" s="348"/>
      <c r="AV142" s="348"/>
      <c r="AW142" s="348"/>
      <c r="AX142" s="348"/>
      <c r="AY142" s="348"/>
      <c r="AZ142" s="348"/>
      <c r="BA142" s="347"/>
      <c r="BB142" s="347"/>
      <c r="BC142" s="347"/>
      <c r="BD142" s="347"/>
    </row>
    <row r="143" spans="2:56" ht="15">
      <c r="B143" s="244"/>
      <c r="C143" s="1750"/>
      <c r="D143" s="348"/>
      <c r="E143" s="348"/>
      <c r="F143" s="348"/>
      <c r="G143" s="348"/>
      <c r="H143" s="348"/>
      <c r="I143" s="348"/>
      <c r="J143" s="348"/>
      <c r="K143" s="348"/>
      <c r="L143" s="348"/>
      <c r="M143" s="348"/>
      <c r="N143" s="348"/>
      <c r="O143" s="348"/>
      <c r="P143" s="348"/>
      <c r="Q143" s="348"/>
      <c r="R143" s="348"/>
      <c r="S143" s="348"/>
      <c r="T143" s="348"/>
      <c r="U143" s="348"/>
      <c r="V143" s="349"/>
      <c r="W143" s="348"/>
      <c r="X143" s="348"/>
      <c r="Y143" s="349"/>
      <c r="Z143" s="348"/>
      <c r="AA143" s="348"/>
      <c r="AB143" s="348"/>
      <c r="AC143" s="348"/>
      <c r="AD143" s="348"/>
      <c r="AE143" s="348"/>
      <c r="AF143" s="348"/>
      <c r="AG143" s="348"/>
      <c r="AH143" s="348"/>
      <c r="AI143" s="348"/>
      <c r="AJ143" s="348"/>
      <c r="AK143" s="348"/>
      <c r="AL143" s="348"/>
      <c r="AM143" s="348"/>
      <c r="AN143" s="348"/>
      <c r="AO143" s="348"/>
      <c r="AP143" s="348"/>
      <c r="AQ143" s="348"/>
      <c r="AR143" s="348"/>
      <c r="AS143" s="348"/>
      <c r="AT143" s="348"/>
      <c r="AU143" s="348"/>
      <c r="AV143" s="348"/>
      <c r="AW143" s="348"/>
      <c r="AX143" s="348"/>
      <c r="AY143" s="348"/>
      <c r="AZ143" s="348"/>
      <c r="BA143" s="347"/>
      <c r="BB143" s="347"/>
      <c r="BC143" s="347"/>
      <c r="BD143" s="347"/>
    </row>
    <row r="144" spans="2:56" ht="15">
      <c r="B144" s="244"/>
      <c r="C144" s="1750"/>
      <c r="D144" s="348"/>
      <c r="E144" s="348"/>
      <c r="F144" s="348"/>
      <c r="G144" s="348"/>
      <c r="H144" s="348"/>
      <c r="I144" s="348"/>
      <c r="J144" s="348"/>
      <c r="K144" s="348"/>
      <c r="L144" s="348"/>
      <c r="M144" s="348"/>
      <c r="N144" s="348"/>
      <c r="O144" s="348"/>
      <c r="P144" s="348"/>
      <c r="Q144" s="348"/>
      <c r="R144" s="348"/>
      <c r="S144" s="348"/>
      <c r="T144" s="348"/>
      <c r="U144" s="348"/>
      <c r="V144" s="349"/>
      <c r="W144" s="348"/>
      <c r="X144" s="348"/>
      <c r="Y144" s="349"/>
      <c r="Z144" s="348"/>
      <c r="AA144" s="348"/>
      <c r="AB144" s="348"/>
      <c r="AC144" s="348"/>
      <c r="AD144" s="348"/>
      <c r="AE144" s="348"/>
      <c r="AF144" s="348"/>
      <c r="AG144" s="348"/>
      <c r="AH144" s="348"/>
      <c r="AI144" s="348"/>
      <c r="AJ144" s="348"/>
      <c r="AK144" s="348"/>
      <c r="AL144" s="348"/>
      <c r="AM144" s="348"/>
      <c r="AN144" s="348"/>
      <c r="AO144" s="348"/>
      <c r="AP144" s="348"/>
      <c r="AQ144" s="348"/>
      <c r="AR144" s="348"/>
      <c r="AS144" s="348"/>
      <c r="AT144" s="348"/>
      <c r="AU144" s="348"/>
      <c r="AV144" s="348"/>
      <c r="AW144" s="348"/>
      <c r="AX144" s="348"/>
      <c r="AY144" s="348"/>
      <c r="AZ144" s="348"/>
      <c r="BA144" s="347"/>
      <c r="BB144" s="347"/>
      <c r="BC144" s="347"/>
      <c r="BD144" s="347"/>
    </row>
    <row r="145" spans="2:56" ht="15">
      <c r="B145" s="244"/>
      <c r="C145" s="1750"/>
      <c r="D145" s="348"/>
      <c r="E145" s="348"/>
      <c r="F145" s="348"/>
      <c r="G145" s="348"/>
      <c r="H145" s="348"/>
      <c r="I145" s="348"/>
      <c r="J145" s="348"/>
      <c r="K145" s="348"/>
      <c r="L145" s="348"/>
      <c r="M145" s="348"/>
      <c r="N145" s="348"/>
      <c r="O145" s="348"/>
      <c r="P145" s="348"/>
      <c r="Q145" s="348"/>
      <c r="R145" s="348"/>
      <c r="S145" s="348"/>
      <c r="T145" s="348"/>
      <c r="U145" s="348"/>
      <c r="V145" s="349"/>
      <c r="W145" s="348"/>
      <c r="X145" s="348"/>
      <c r="Y145" s="349"/>
      <c r="Z145" s="348"/>
      <c r="AA145" s="348"/>
      <c r="AB145" s="348"/>
      <c r="AC145" s="348"/>
      <c r="AD145" s="348"/>
      <c r="AE145" s="348"/>
      <c r="AF145" s="348"/>
      <c r="AG145" s="348"/>
      <c r="AH145" s="348"/>
      <c r="AI145" s="348"/>
      <c r="AJ145" s="348"/>
      <c r="AK145" s="348"/>
      <c r="AL145" s="348"/>
      <c r="AM145" s="348"/>
      <c r="AN145" s="348"/>
      <c r="AO145" s="348"/>
      <c r="AP145" s="348"/>
      <c r="AQ145" s="348"/>
      <c r="AR145" s="348"/>
      <c r="AS145" s="348"/>
      <c r="AT145" s="348"/>
      <c r="AU145" s="348"/>
      <c r="AV145" s="348"/>
      <c r="AW145" s="348"/>
      <c r="AX145" s="348"/>
      <c r="AY145" s="348"/>
      <c r="AZ145" s="348"/>
      <c r="BA145" s="347"/>
      <c r="BB145" s="347"/>
      <c r="BC145" s="347"/>
      <c r="BD145" s="347"/>
    </row>
    <row r="146" spans="2:56" ht="15">
      <c r="B146" s="244"/>
      <c r="C146" s="1750"/>
      <c r="D146" s="348"/>
      <c r="E146" s="348"/>
      <c r="F146" s="348"/>
      <c r="G146" s="348"/>
      <c r="H146" s="348"/>
      <c r="I146" s="348"/>
      <c r="J146" s="348"/>
      <c r="K146" s="348"/>
      <c r="L146" s="348"/>
      <c r="M146" s="348"/>
      <c r="N146" s="348"/>
      <c r="O146" s="348"/>
      <c r="P146" s="348"/>
      <c r="Q146" s="348"/>
      <c r="R146" s="348"/>
      <c r="S146" s="348"/>
      <c r="T146" s="348"/>
      <c r="U146" s="348"/>
      <c r="V146" s="349"/>
      <c r="W146" s="348"/>
      <c r="X146" s="348"/>
      <c r="Y146" s="349"/>
      <c r="Z146" s="348"/>
      <c r="AA146" s="348"/>
      <c r="AB146" s="348"/>
      <c r="AC146" s="348"/>
      <c r="AD146" s="348"/>
      <c r="AE146" s="348"/>
      <c r="AF146" s="348"/>
      <c r="AG146" s="348"/>
      <c r="AH146" s="348"/>
      <c r="AI146" s="348"/>
      <c r="AJ146" s="348"/>
      <c r="AK146" s="348"/>
      <c r="AL146" s="348"/>
      <c r="AM146" s="348"/>
      <c r="AN146" s="348"/>
      <c r="AO146" s="348"/>
      <c r="AP146" s="348"/>
      <c r="AQ146" s="348"/>
      <c r="AR146" s="348"/>
      <c r="AS146" s="348"/>
      <c r="AT146" s="348"/>
      <c r="AU146" s="348"/>
      <c r="AV146" s="348"/>
      <c r="AW146" s="348"/>
      <c r="AX146" s="348"/>
      <c r="AY146" s="348"/>
      <c r="AZ146" s="348"/>
      <c r="BA146" s="347"/>
      <c r="BB146" s="347"/>
      <c r="BC146" s="347"/>
      <c r="BD146" s="347"/>
    </row>
    <row r="147" spans="2:56" ht="15">
      <c r="B147" s="244"/>
      <c r="C147" s="1750"/>
      <c r="D147" s="348"/>
      <c r="E147" s="348"/>
      <c r="F147" s="348"/>
      <c r="G147" s="348"/>
      <c r="H147" s="348"/>
      <c r="I147" s="348"/>
      <c r="J147" s="348"/>
      <c r="K147" s="348"/>
      <c r="L147" s="348"/>
      <c r="M147" s="348"/>
      <c r="N147" s="348"/>
      <c r="O147" s="348"/>
      <c r="P147" s="348"/>
      <c r="Q147" s="348"/>
      <c r="R147" s="348"/>
      <c r="S147" s="348"/>
      <c r="T147" s="348"/>
      <c r="U147" s="348"/>
      <c r="V147" s="349"/>
      <c r="W147" s="348"/>
      <c r="X147" s="348"/>
      <c r="Y147" s="349"/>
      <c r="Z147" s="348"/>
      <c r="AA147" s="348"/>
      <c r="AB147" s="348"/>
      <c r="AC147" s="348"/>
      <c r="AD147" s="348"/>
      <c r="AE147" s="348"/>
      <c r="AF147" s="348"/>
      <c r="AG147" s="348"/>
      <c r="AH147" s="348"/>
      <c r="AI147" s="348"/>
      <c r="AJ147" s="348"/>
      <c r="AK147" s="348"/>
      <c r="AL147" s="348"/>
      <c r="AM147" s="348"/>
      <c r="AN147" s="348"/>
      <c r="AO147" s="348"/>
      <c r="AP147" s="348"/>
      <c r="AQ147" s="348"/>
      <c r="AR147" s="348"/>
      <c r="AS147" s="348"/>
      <c r="AT147" s="348"/>
      <c r="AU147" s="348"/>
      <c r="AV147" s="348"/>
      <c r="AW147" s="348"/>
      <c r="AX147" s="348"/>
      <c r="AY147" s="348"/>
      <c r="AZ147" s="348"/>
      <c r="BA147" s="347"/>
      <c r="BB147" s="347"/>
      <c r="BC147" s="347"/>
      <c r="BD147" s="347"/>
    </row>
    <row r="148" spans="2:56" ht="15">
      <c r="B148" s="244"/>
      <c r="C148" s="1750"/>
      <c r="D148" s="348"/>
      <c r="E148" s="348"/>
      <c r="F148" s="348"/>
      <c r="G148" s="348"/>
      <c r="H148" s="348"/>
      <c r="I148" s="348"/>
      <c r="J148" s="348"/>
      <c r="K148" s="348"/>
      <c r="L148" s="348"/>
      <c r="M148" s="348"/>
      <c r="N148" s="348"/>
      <c r="O148" s="348"/>
      <c r="P148" s="348"/>
      <c r="Q148" s="348"/>
      <c r="R148" s="348"/>
      <c r="S148" s="348"/>
      <c r="T148" s="348"/>
      <c r="U148" s="348"/>
      <c r="V148" s="349"/>
      <c r="W148" s="348"/>
      <c r="X148" s="348"/>
      <c r="Y148" s="349"/>
      <c r="Z148" s="348"/>
      <c r="AA148" s="348"/>
      <c r="AB148" s="348"/>
      <c r="AC148" s="348"/>
      <c r="AD148" s="348"/>
      <c r="AE148" s="348"/>
      <c r="AF148" s="348"/>
      <c r="AG148" s="348"/>
      <c r="AH148" s="348"/>
      <c r="AI148" s="348"/>
      <c r="AJ148" s="348"/>
      <c r="AK148" s="348"/>
      <c r="AL148" s="348"/>
      <c r="AM148" s="348"/>
      <c r="AN148" s="348"/>
      <c r="AO148" s="348"/>
      <c r="AP148" s="348"/>
      <c r="AQ148" s="348"/>
      <c r="AR148" s="348"/>
      <c r="AS148" s="348"/>
      <c r="AT148" s="348"/>
      <c r="AU148" s="348"/>
      <c r="AV148" s="348"/>
      <c r="AW148" s="348"/>
      <c r="AX148" s="348"/>
      <c r="AY148" s="348"/>
      <c r="AZ148" s="348"/>
      <c r="BA148" s="347"/>
      <c r="BB148" s="347"/>
      <c r="BC148" s="347"/>
      <c r="BD148" s="347"/>
    </row>
    <row r="149" spans="2:56" ht="15">
      <c r="B149" s="244"/>
      <c r="C149" s="1750"/>
      <c r="D149" s="348"/>
      <c r="E149" s="348"/>
      <c r="F149" s="348"/>
      <c r="G149" s="348"/>
      <c r="H149" s="348"/>
      <c r="I149" s="348"/>
      <c r="J149" s="348"/>
      <c r="K149" s="348"/>
      <c r="L149" s="348"/>
      <c r="M149" s="348"/>
      <c r="N149" s="348"/>
      <c r="O149" s="348"/>
      <c r="P149" s="348"/>
      <c r="Q149" s="348"/>
      <c r="R149" s="348"/>
      <c r="S149" s="348"/>
      <c r="T149" s="348"/>
      <c r="U149" s="348"/>
      <c r="V149" s="349"/>
      <c r="W149" s="348"/>
      <c r="X149" s="348"/>
      <c r="Y149" s="349"/>
      <c r="Z149" s="348"/>
      <c r="AA149" s="348"/>
      <c r="AB149" s="348"/>
      <c r="AC149" s="348"/>
      <c r="AD149" s="348"/>
      <c r="AE149" s="348"/>
      <c r="AF149" s="348"/>
      <c r="AG149" s="348"/>
      <c r="AH149" s="348"/>
      <c r="AI149" s="348"/>
      <c r="AJ149" s="348"/>
      <c r="AK149" s="348"/>
      <c r="AL149" s="348"/>
      <c r="AM149" s="348"/>
      <c r="AN149" s="348"/>
      <c r="AO149" s="348"/>
      <c r="AP149" s="348"/>
      <c r="AQ149" s="348"/>
      <c r="AR149" s="348"/>
      <c r="AS149" s="348"/>
      <c r="AT149" s="348"/>
      <c r="AU149" s="348"/>
      <c r="AV149" s="348"/>
      <c r="AW149" s="348"/>
      <c r="AX149" s="348"/>
      <c r="AY149" s="348"/>
      <c r="AZ149" s="348"/>
      <c r="BA149" s="347"/>
      <c r="BB149" s="347"/>
      <c r="BC149" s="347"/>
      <c r="BD149" s="347"/>
    </row>
    <row r="150" spans="2:56" ht="15">
      <c r="B150" s="244"/>
      <c r="C150" s="1750"/>
      <c r="D150" s="348"/>
      <c r="E150" s="348"/>
      <c r="F150" s="348"/>
      <c r="G150" s="348"/>
      <c r="H150" s="348"/>
      <c r="I150" s="348"/>
      <c r="J150" s="348"/>
      <c r="K150" s="348"/>
      <c r="L150" s="348"/>
      <c r="M150" s="348"/>
      <c r="N150" s="348"/>
      <c r="O150" s="348"/>
      <c r="P150" s="348"/>
      <c r="Q150" s="348"/>
      <c r="R150" s="348"/>
      <c r="S150" s="348"/>
      <c r="T150" s="348"/>
      <c r="U150" s="348"/>
      <c r="V150" s="349"/>
      <c r="W150" s="348"/>
      <c r="X150" s="348"/>
      <c r="Y150" s="349"/>
      <c r="Z150" s="348"/>
      <c r="AA150" s="348"/>
      <c r="AB150" s="348"/>
      <c r="AC150" s="348"/>
      <c r="AD150" s="348"/>
      <c r="AE150" s="348"/>
      <c r="AF150" s="348"/>
      <c r="AG150" s="348"/>
      <c r="AH150" s="348"/>
      <c r="AI150" s="348"/>
      <c r="AJ150" s="348"/>
      <c r="AK150" s="348"/>
      <c r="AL150" s="348"/>
      <c r="AM150" s="348"/>
      <c r="AN150" s="348"/>
      <c r="AO150" s="348"/>
      <c r="AP150" s="348"/>
      <c r="AQ150" s="348"/>
      <c r="AR150" s="348"/>
      <c r="AS150" s="348"/>
      <c r="AT150" s="348"/>
      <c r="AU150" s="348"/>
      <c r="AV150" s="348"/>
      <c r="AW150" s="348"/>
      <c r="AX150" s="348"/>
      <c r="AY150" s="348"/>
      <c r="AZ150" s="348"/>
      <c r="BA150" s="347"/>
      <c r="BB150" s="347"/>
      <c r="BC150" s="347"/>
      <c r="BD150" s="347"/>
    </row>
    <row r="151" spans="2:56" ht="15">
      <c r="B151" s="244"/>
      <c r="C151" s="1750"/>
      <c r="D151" s="348"/>
      <c r="E151" s="348"/>
      <c r="F151" s="348"/>
      <c r="G151" s="348"/>
      <c r="H151" s="348"/>
      <c r="I151" s="348"/>
      <c r="J151" s="348"/>
      <c r="K151" s="348"/>
      <c r="L151" s="348"/>
      <c r="M151" s="348"/>
      <c r="N151" s="348"/>
      <c r="O151" s="348"/>
      <c r="P151" s="348"/>
      <c r="Q151" s="348"/>
      <c r="R151" s="348"/>
      <c r="S151" s="348"/>
      <c r="T151" s="348"/>
      <c r="U151" s="348"/>
      <c r="V151" s="349"/>
      <c r="W151" s="348"/>
      <c r="X151" s="348"/>
      <c r="Y151" s="349"/>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48"/>
      <c r="AZ151" s="348"/>
      <c r="BA151" s="347"/>
      <c r="BB151" s="347"/>
      <c r="BC151" s="347"/>
      <c r="BD151" s="347"/>
    </row>
    <row r="152" spans="2:56" ht="15">
      <c r="B152" s="244"/>
      <c r="C152" s="1750"/>
      <c r="D152" s="348"/>
      <c r="E152" s="348"/>
      <c r="F152" s="348"/>
      <c r="G152" s="348"/>
      <c r="H152" s="348"/>
      <c r="I152" s="348"/>
      <c r="J152" s="348"/>
      <c r="K152" s="348"/>
      <c r="L152" s="348"/>
      <c r="M152" s="348"/>
      <c r="N152" s="348"/>
      <c r="O152" s="348"/>
      <c r="P152" s="348"/>
      <c r="Q152" s="348"/>
      <c r="R152" s="348"/>
      <c r="S152" s="348"/>
      <c r="T152" s="348"/>
      <c r="U152" s="348"/>
      <c r="V152" s="349"/>
      <c r="W152" s="348"/>
      <c r="X152" s="348"/>
      <c r="Y152" s="349"/>
      <c r="Z152" s="348"/>
      <c r="AA152" s="348"/>
      <c r="AB152" s="348"/>
      <c r="AC152" s="348"/>
      <c r="AD152" s="348"/>
      <c r="AE152" s="348"/>
      <c r="AF152" s="348"/>
      <c r="AG152" s="348"/>
      <c r="AH152" s="348"/>
      <c r="AI152" s="348"/>
      <c r="AJ152" s="348"/>
      <c r="AK152" s="348"/>
      <c r="AL152" s="348"/>
      <c r="AM152" s="348"/>
      <c r="AN152" s="348"/>
      <c r="AO152" s="348"/>
      <c r="AP152" s="348"/>
      <c r="AQ152" s="348"/>
      <c r="AR152" s="348"/>
      <c r="AS152" s="348"/>
      <c r="AT152" s="348"/>
      <c r="AU152" s="348"/>
      <c r="AV152" s="348"/>
      <c r="AW152" s="348"/>
      <c r="AX152" s="348"/>
      <c r="AY152" s="348"/>
      <c r="AZ152" s="348"/>
      <c r="BA152" s="347"/>
      <c r="BB152" s="347"/>
      <c r="BC152" s="347"/>
      <c r="BD152" s="347"/>
    </row>
    <row r="153" spans="2:56" ht="15">
      <c r="B153" s="244"/>
      <c r="C153" s="1750"/>
      <c r="D153" s="348"/>
      <c r="E153" s="348"/>
      <c r="F153" s="348"/>
      <c r="G153" s="348"/>
      <c r="H153" s="348"/>
      <c r="I153" s="348"/>
      <c r="J153" s="348"/>
      <c r="K153" s="348"/>
      <c r="L153" s="348"/>
      <c r="M153" s="348"/>
      <c r="N153" s="348"/>
      <c r="O153" s="348"/>
      <c r="P153" s="348"/>
      <c r="Q153" s="348"/>
      <c r="R153" s="348"/>
      <c r="S153" s="348"/>
      <c r="T153" s="348"/>
      <c r="U153" s="348"/>
      <c r="V153" s="349"/>
      <c r="W153" s="348"/>
      <c r="X153" s="348"/>
      <c r="Y153" s="349"/>
      <c r="Z153" s="348"/>
      <c r="AA153" s="348"/>
      <c r="AB153" s="348"/>
      <c r="AC153" s="348"/>
      <c r="AD153" s="348"/>
      <c r="AE153" s="348"/>
      <c r="AF153" s="348"/>
      <c r="AG153" s="348"/>
      <c r="AH153" s="348"/>
      <c r="AI153" s="348"/>
      <c r="AJ153" s="348"/>
      <c r="AK153" s="348"/>
      <c r="AL153" s="348"/>
      <c r="AM153" s="348"/>
      <c r="AN153" s="348"/>
      <c r="AO153" s="348"/>
      <c r="AP153" s="348"/>
      <c r="AQ153" s="348"/>
      <c r="AR153" s="348"/>
      <c r="AS153" s="348"/>
      <c r="AT153" s="348"/>
      <c r="AU153" s="348"/>
      <c r="AV153" s="348"/>
      <c r="AW153" s="348"/>
      <c r="AX153" s="348"/>
      <c r="AY153" s="348"/>
      <c r="AZ153" s="348"/>
      <c r="BA153" s="347"/>
      <c r="BB153" s="347"/>
      <c r="BC153" s="347"/>
      <c r="BD153" s="347"/>
    </row>
    <row r="154" spans="2:56" ht="15">
      <c r="B154" s="244"/>
      <c r="C154" s="1750"/>
      <c r="D154" s="348"/>
      <c r="E154" s="348"/>
      <c r="F154" s="348"/>
      <c r="G154" s="348"/>
      <c r="H154" s="348"/>
      <c r="I154" s="348"/>
      <c r="J154" s="348"/>
      <c r="K154" s="348"/>
      <c r="L154" s="348"/>
      <c r="M154" s="348"/>
      <c r="N154" s="348"/>
      <c r="O154" s="348"/>
      <c r="P154" s="348"/>
      <c r="Q154" s="348"/>
      <c r="R154" s="348"/>
      <c r="S154" s="348"/>
      <c r="T154" s="348"/>
      <c r="U154" s="348"/>
      <c r="V154" s="349"/>
      <c r="W154" s="348"/>
      <c r="X154" s="348"/>
      <c r="Y154" s="349"/>
      <c r="Z154" s="348"/>
      <c r="AA154" s="348"/>
      <c r="AB154" s="348"/>
      <c r="AC154" s="348"/>
      <c r="AD154" s="348"/>
      <c r="AE154" s="348"/>
      <c r="AF154" s="348"/>
      <c r="AG154" s="348"/>
      <c r="AH154" s="348"/>
      <c r="AI154" s="348"/>
      <c r="AJ154" s="348"/>
      <c r="AK154" s="348"/>
      <c r="AL154" s="348"/>
      <c r="AM154" s="348"/>
      <c r="AN154" s="348"/>
      <c r="AO154" s="348"/>
      <c r="AP154" s="348"/>
      <c r="AQ154" s="348"/>
      <c r="AR154" s="348"/>
      <c r="AS154" s="348"/>
      <c r="AT154" s="348"/>
      <c r="AU154" s="348"/>
      <c r="AV154" s="348"/>
      <c r="AW154" s="348"/>
      <c r="AX154" s="348"/>
      <c r="AY154" s="348"/>
      <c r="AZ154" s="348"/>
      <c r="BA154" s="347"/>
      <c r="BB154" s="347"/>
      <c r="BC154" s="347"/>
      <c r="BD154" s="347"/>
    </row>
    <row r="155" spans="2:56" ht="15">
      <c r="B155" s="244"/>
      <c r="C155" s="1750"/>
      <c r="D155" s="348"/>
      <c r="E155" s="348"/>
      <c r="F155" s="348"/>
      <c r="G155" s="348"/>
      <c r="H155" s="348"/>
      <c r="I155" s="348"/>
      <c r="J155" s="348"/>
      <c r="K155" s="348"/>
      <c r="L155" s="348"/>
      <c r="M155" s="348"/>
      <c r="N155" s="348"/>
      <c r="O155" s="348"/>
      <c r="P155" s="348"/>
      <c r="Q155" s="348"/>
      <c r="R155" s="348"/>
      <c r="S155" s="348"/>
      <c r="T155" s="348"/>
      <c r="U155" s="348"/>
      <c r="V155" s="349"/>
      <c r="W155" s="348"/>
      <c r="X155" s="348"/>
      <c r="Y155" s="349"/>
      <c r="Z155" s="348"/>
      <c r="AA155" s="348"/>
      <c r="AB155" s="348"/>
      <c r="AC155" s="348"/>
      <c r="AD155" s="348"/>
      <c r="AE155" s="348"/>
      <c r="AF155" s="348"/>
      <c r="AG155" s="348"/>
      <c r="AH155" s="348"/>
      <c r="AI155" s="348"/>
      <c r="AJ155" s="348"/>
      <c r="AK155" s="348"/>
      <c r="AL155" s="348"/>
      <c r="AM155" s="348"/>
      <c r="AN155" s="348"/>
      <c r="AO155" s="348"/>
      <c r="AP155" s="348"/>
      <c r="AQ155" s="348"/>
      <c r="AR155" s="348"/>
      <c r="AS155" s="348"/>
      <c r="AT155" s="348"/>
      <c r="AU155" s="348"/>
      <c r="AV155" s="348"/>
      <c r="AW155" s="348"/>
      <c r="AX155" s="348"/>
      <c r="AY155" s="348"/>
      <c r="AZ155" s="348"/>
      <c r="BA155" s="347"/>
      <c r="BB155" s="347"/>
      <c r="BC155" s="347"/>
      <c r="BD155" s="347"/>
    </row>
    <row r="156" spans="2:56" ht="15">
      <c r="B156" s="244"/>
      <c r="C156" s="1750"/>
      <c r="D156" s="348"/>
      <c r="E156" s="348"/>
      <c r="F156" s="348"/>
      <c r="G156" s="348"/>
      <c r="H156" s="348"/>
      <c r="I156" s="348"/>
      <c r="J156" s="348"/>
      <c r="K156" s="348"/>
      <c r="L156" s="348"/>
      <c r="M156" s="348"/>
      <c r="N156" s="348"/>
      <c r="O156" s="348"/>
      <c r="P156" s="348"/>
      <c r="Q156" s="348"/>
      <c r="R156" s="348"/>
      <c r="S156" s="348"/>
      <c r="T156" s="348"/>
      <c r="U156" s="348"/>
      <c r="V156" s="349"/>
      <c r="W156" s="348"/>
      <c r="X156" s="348"/>
      <c r="Y156" s="349"/>
      <c r="Z156" s="348"/>
      <c r="AA156" s="348"/>
      <c r="AB156" s="348"/>
      <c r="AC156" s="348"/>
      <c r="AD156" s="348"/>
      <c r="AE156" s="348"/>
      <c r="AF156" s="348"/>
      <c r="AG156" s="348"/>
      <c r="AH156" s="348"/>
      <c r="AI156" s="348"/>
      <c r="AJ156" s="348"/>
      <c r="AK156" s="348"/>
      <c r="AL156" s="348"/>
      <c r="AM156" s="348"/>
      <c r="AN156" s="348"/>
      <c r="AO156" s="348"/>
      <c r="AP156" s="348"/>
      <c r="AQ156" s="348"/>
      <c r="AR156" s="348"/>
      <c r="AS156" s="348"/>
      <c r="AT156" s="348"/>
      <c r="AU156" s="348"/>
      <c r="AV156" s="348"/>
      <c r="AW156" s="348"/>
      <c r="AX156" s="348"/>
      <c r="AY156" s="348"/>
      <c r="AZ156" s="348"/>
      <c r="BA156" s="347"/>
      <c r="BB156" s="347"/>
      <c r="BC156" s="347"/>
      <c r="BD156" s="347"/>
    </row>
    <row r="157" spans="2:56" ht="15">
      <c r="B157" s="244"/>
      <c r="C157" s="1750"/>
      <c r="D157" s="348"/>
      <c r="E157" s="348"/>
      <c r="F157" s="348"/>
      <c r="G157" s="348"/>
      <c r="H157" s="348"/>
      <c r="I157" s="348"/>
      <c r="J157" s="348"/>
      <c r="K157" s="348"/>
      <c r="L157" s="348"/>
      <c r="M157" s="348"/>
      <c r="N157" s="348"/>
      <c r="O157" s="348"/>
      <c r="P157" s="348"/>
      <c r="Q157" s="348"/>
      <c r="R157" s="348"/>
      <c r="S157" s="348"/>
      <c r="T157" s="348"/>
      <c r="U157" s="348"/>
      <c r="V157" s="349"/>
      <c r="W157" s="348"/>
      <c r="X157" s="348"/>
      <c r="Y157" s="349"/>
      <c r="Z157" s="348"/>
      <c r="AA157" s="348"/>
      <c r="AB157" s="348"/>
      <c r="AC157" s="348"/>
      <c r="AD157" s="348"/>
      <c r="AE157" s="348"/>
      <c r="AF157" s="348"/>
      <c r="AG157" s="348"/>
      <c r="AH157" s="348"/>
      <c r="AI157" s="348"/>
      <c r="AJ157" s="348"/>
      <c r="AK157" s="348"/>
      <c r="AL157" s="348"/>
      <c r="AM157" s="348"/>
      <c r="AN157" s="348"/>
      <c r="AO157" s="348"/>
      <c r="AP157" s="348"/>
      <c r="AQ157" s="348"/>
      <c r="AR157" s="348"/>
      <c r="AS157" s="348"/>
      <c r="AT157" s="348"/>
      <c r="AU157" s="348"/>
      <c r="AV157" s="348"/>
      <c r="AW157" s="348"/>
      <c r="AX157" s="348"/>
      <c r="AY157" s="348"/>
      <c r="AZ157" s="348"/>
      <c r="BA157" s="347"/>
      <c r="BB157" s="347"/>
      <c r="BC157" s="347"/>
      <c r="BD157" s="347"/>
    </row>
    <row r="158" spans="2:56" ht="15">
      <c r="B158" s="244"/>
      <c r="C158" s="1750"/>
      <c r="D158" s="348"/>
      <c r="E158" s="348"/>
      <c r="F158" s="348"/>
      <c r="G158" s="348"/>
      <c r="H158" s="348"/>
      <c r="I158" s="348"/>
      <c r="J158" s="348"/>
      <c r="K158" s="348"/>
      <c r="L158" s="348"/>
      <c r="M158" s="348"/>
      <c r="N158" s="348"/>
      <c r="O158" s="348"/>
      <c r="P158" s="348"/>
      <c r="Q158" s="348"/>
      <c r="R158" s="348"/>
      <c r="S158" s="348"/>
      <c r="T158" s="348"/>
      <c r="U158" s="348"/>
      <c r="V158" s="349"/>
      <c r="W158" s="348"/>
      <c r="X158" s="348"/>
      <c r="Y158" s="349"/>
      <c r="Z158" s="348"/>
      <c r="AA158" s="348"/>
      <c r="AB158" s="348"/>
      <c r="AC158" s="348"/>
      <c r="AD158" s="348"/>
      <c r="AE158" s="348"/>
      <c r="AF158" s="348"/>
      <c r="AG158" s="348"/>
      <c r="AH158" s="348"/>
      <c r="AI158" s="348"/>
      <c r="AJ158" s="348"/>
      <c r="AK158" s="348"/>
      <c r="AL158" s="348"/>
      <c r="AM158" s="348"/>
      <c r="AN158" s="348"/>
      <c r="AO158" s="348"/>
      <c r="AP158" s="348"/>
      <c r="AQ158" s="348"/>
      <c r="AR158" s="348"/>
      <c r="AS158" s="348"/>
      <c r="AT158" s="348"/>
      <c r="AU158" s="348"/>
      <c r="AV158" s="348"/>
      <c r="AW158" s="348"/>
      <c r="AX158" s="348"/>
      <c r="AY158" s="348"/>
      <c r="AZ158" s="348"/>
      <c r="BA158" s="347"/>
      <c r="BB158" s="347"/>
      <c r="BC158" s="347"/>
      <c r="BD158" s="347"/>
    </row>
    <row r="159" spans="2:56" ht="15">
      <c r="B159" s="244"/>
      <c r="C159" s="1750"/>
      <c r="D159" s="348"/>
      <c r="E159" s="348"/>
      <c r="F159" s="348"/>
      <c r="G159" s="348"/>
      <c r="H159" s="348"/>
      <c r="I159" s="348"/>
      <c r="J159" s="348"/>
      <c r="K159" s="348"/>
      <c r="L159" s="348"/>
      <c r="M159" s="348"/>
      <c r="N159" s="348"/>
      <c r="O159" s="348"/>
      <c r="P159" s="348"/>
      <c r="Q159" s="348"/>
      <c r="R159" s="348"/>
      <c r="S159" s="348"/>
      <c r="T159" s="348"/>
      <c r="U159" s="348"/>
      <c r="V159" s="349"/>
      <c r="W159" s="348"/>
      <c r="X159" s="348"/>
      <c r="Y159" s="349"/>
      <c r="Z159" s="348"/>
      <c r="AA159" s="348"/>
      <c r="AB159" s="348"/>
      <c r="AC159" s="348"/>
      <c r="AD159" s="348"/>
      <c r="AE159" s="348"/>
      <c r="AF159" s="348"/>
      <c r="AG159" s="348"/>
      <c r="AH159" s="348"/>
      <c r="AI159" s="348"/>
      <c r="AJ159" s="348"/>
      <c r="AK159" s="348"/>
      <c r="AL159" s="348"/>
      <c r="AM159" s="348"/>
      <c r="AN159" s="348"/>
      <c r="AO159" s="348"/>
      <c r="AP159" s="348"/>
      <c r="AQ159" s="348"/>
      <c r="AR159" s="348"/>
      <c r="AS159" s="348"/>
      <c r="AT159" s="348"/>
      <c r="AU159" s="348"/>
      <c r="AV159" s="348"/>
      <c r="AW159" s="348"/>
      <c r="AX159" s="348"/>
      <c r="AY159" s="348"/>
      <c r="AZ159" s="348"/>
      <c r="BA159" s="347"/>
      <c r="BB159" s="347"/>
      <c r="BC159" s="347"/>
      <c r="BD159" s="347"/>
    </row>
    <row r="160" spans="2:56" ht="15">
      <c r="B160" s="244"/>
      <c r="C160" s="1750"/>
      <c r="D160" s="348"/>
      <c r="E160" s="348"/>
      <c r="F160" s="348"/>
      <c r="G160" s="348"/>
      <c r="H160" s="348"/>
      <c r="I160" s="348"/>
      <c r="J160" s="348"/>
      <c r="K160" s="348"/>
      <c r="L160" s="348"/>
      <c r="M160" s="348"/>
      <c r="N160" s="348"/>
      <c r="O160" s="348"/>
      <c r="P160" s="348"/>
      <c r="Q160" s="348"/>
      <c r="R160" s="348"/>
      <c r="S160" s="348"/>
      <c r="T160" s="348"/>
      <c r="U160" s="348"/>
      <c r="V160" s="349"/>
      <c r="W160" s="348"/>
      <c r="X160" s="348"/>
      <c r="Y160" s="349"/>
      <c r="Z160" s="348"/>
      <c r="AA160" s="348"/>
      <c r="AB160" s="348"/>
      <c r="AC160" s="348"/>
      <c r="AD160" s="348"/>
      <c r="AE160" s="348"/>
      <c r="AF160" s="348"/>
      <c r="AG160" s="348"/>
      <c r="AH160" s="348"/>
      <c r="AI160" s="348"/>
      <c r="AJ160" s="348"/>
      <c r="AK160" s="348"/>
      <c r="AL160" s="348"/>
      <c r="AM160" s="348"/>
      <c r="AN160" s="348"/>
      <c r="AO160" s="348"/>
      <c r="AP160" s="348"/>
      <c r="AQ160" s="348"/>
      <c r="AR160" s="348"/>
      <c r="AS160" s="348"/>
      <c r="AT160" s="348"/>
      <c r="AU160" s="348"/>
      <c r="AV160" s="348"/>
      <c r="AW160" s="348"/>
      <c r="AX160" s="348"/>
      <c r="AY160" s="348"/>
      <c r="AZ160" s="348"/>
      <c r="BA160" s="347"/>
      <c r="BB160" s="347"/>
      <c r="BC160" s="347"/>
      <c r="BD160" s="347"/>
    </row>
    <row r="161" spans="2:56" ht="15">
      <c r="B161" s="244"/>
      <c r="C161" s="1750"/>
      <c r="D161" s="348"/>
      <c r="E161" s="348"/>
      <c r="F161" s="348"/>
      <c r="G161" s="348"/>
      <c r="H161" s="348"/>
      <c r="I161" s="348"/>
      <c r="J161" s="348"/>
      <c r="K161" s="348"/>
      <c r="L161" s="348"/>
      <c r="M161" s="348"/>
      <c r="N161" s="348"/>
      <c r="O161" s="348"/>
      <c r="P161" s="348"/>
      <c r="Q161" s="348"/>
      <c r="R161" s="348"/>
      <c r="S161" s="348"/>
      <c r="T161" s="348"/>
      <c r="U161" s="348"/>
      <c r="V161" s="349"/>
      <c r="W161" s="348"/>
      <c r="X161" s="348"/>
      <c r="Y161" s="349"/>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348"/>
      <c r="AY161" s="348"/>
      <c r="AZ161" s="348"/>
      <c r="BA161" s="347"/>
      <c r="BB161" s="347"/>
      <c r="BC161" s="347"/>
      <c r="BD161" s="347"/>
    </row>
    <row r="162" spans="2:56" ht="15">
      <c r="B162" s="244"/>
      <c r="C162" s="1750"/>
      <c r="D162" s="348"/>
      <c r="E162" s="348"/>
      <c r="F162" s="348"/>
      <c r="G162" s="348"/>
      <c r="H162" s="348"/>
      <c r="I162" s="348"/>
      <c r="J162" s="348"/>
      <c r="K162" s="348"/>
      <c r="L162" s="348"/>
      <c r="M162" s="348"/>
      <c r="N162" s="348"/>
      <c r="O162" s="348"/>
      <c r="P162" s="348"/>
      <c r="Q162" s="348"/>
      <c r="R162" s="348"/>
      <c r="S162" s="348"/>
      <c r="T162" s="348"/>
      <c r="U162" s="348"/>
      <c r="V162" s="349"/>
      <c r="W162" s="348"/>
      <c r="X162" s="348"/>
      <c r="Y162" s="349"/>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348"/>
      <c r="AY162" s="348"/>
      <c r="AZ162" s="348"/>
      <c r="BA162" s="347"/>
      <c r="BB162" s="347"/>
      <c r="BC162" s="347"/>
      <c r="BD162" s="347"/>
    </row>
    <row r="163" spans="2:56" ht="15">
      <c r="B163" s="244"/>
      <c r="C163" s="1750"/>
      <c r="D163" s="348"/>
      <c r="E163" s="348"/>
      <c r="F163" s="348"/>
      <c r="G163" s="348"/>
      <c r="H163" s="348"/>
      <c r="I163" s="348"/>
      <c r="J163" s="348"/>
      <c r="K163" s="348"/>
      <c r="L163" s="348"/>
      <c r="M163" s="348"/>
      <c r="N163" s="348"/>
      <c r="O163" s="348"/>
      <c r="P163" s="348"/>
      <c r="Q163" s="348"/>
      <c r="R163" s="348"/>
      <c r="S163" s="348"/>
      <c r="T163" s="348"/>
      <c r="U163" s="348"/>
      <c r="V163" s="349"/>
      <c r="W163" s="348"/>
      <c r="X163" s="348"/>
      <c r="Y163" s="349"/>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348"/>
      <c r="AY163" s="348"/>
      <c r="AZ163" s="348"/>
      <c r="BA163" s="347"/>
      <c r="BB163" s="347"/>
      <c r="BC163" s="347"/>
      <c r="BD163" s="347"/>
    </row>
    <row r="164" spans="2:56" ht="15">
      <c r="B164" s="244"/>
      <c r="C164" s="1750"/>
      <c r="D164" s="348"/>
      <c r="E164" s="348"/>
      <c r="F164" s="348"/>
      <c r="G164" s="348"/>
      <c r="H164" s="348"/>
      <c r="I164" s="348"/>
      <c r="J164" s="348"/>
      <c r="K164" s="348"/>
      <c r="L164" s="348"/>
      <c r="M164" s="348"/>
      <c r="N164" s="348"/>
      <c r="O164" s="348"/>
      <c r="P164" s="348"/>
      <c r="Q164" s="348"/>
      <c r="R164" s="348"/>
      <c r="S164" s="348"/>
      <c r="T164" s="348"/>
      <c r="U164" s="348"/>
      <c r="V164" s="349"/>
      <c r="W164" s="348"/>
      <c r="X164" s="348"/>
      <c r="Y164" s="349"/>
      <c r="Z164" s="348"/>
      <c r="AA164" s="348"/>
      <c r="AB164" s="348"/>
      <c r="AC164" s="348"/>
      <c r="AD164" s="348"/>
      <c r="AE164" s="348"/>
      <c r="AF164" s="348"/>
      <c r="AG164" s="348"/>
      <c r="AH164" s="348"/>
      <c r="AI164" s="348"/>
      <c r="AJ164" s="348"/>
      <c r="AK164" s="348"/>
      <c r="AL164" s="348"/>
      <c r="AM164" s="348"/>
      <c r="AN164" s="348"/>
      <c r="AO164" s="348"/>
      <c r="AP164" s="348"/>
      <c r="AQ164" s="348"/>
      <c r="AR164" s="348"/>
      <c r="AS164" s="348"/>
      <c r="AT164" s="348"/>
      <c r="AU164" s="348"/>
      <c r="AV164" s="348"/>
      <c r="AW164" s="348"/>
      <c r="AX164" s="348"/>
      <c r="AY164" s="348"/>
      <c r="AZ164" s="348"/>
      <c r="BA164" s="347"/>
      <c r="BB164" s="347"/>
      <c r="BC164" s="347"/>
      <c r="BD164" s="347"/>
    </row>
    <row r="165" spans="2:56" ht="15">
      <c r="B165" s="244"/>
      <c r="C165" s="1750"/>
      <c r="D165" s="348"/>
      <c r="E165" s="348"/>
      <c r="F165" s="348"/>
      <c r="G165" s="348"/>
      <c r="H165" s="348"/>
      <c r="I165" s="348"/>
      <c r="J165" s="348"/>
      <c r="K165" s="348"/>
      <c r="L165" s="348"/>
      <c r="M165" s="348"/>
      <c r="N165" s="348"/>
      <c r="O165" s="348"/>
      <c r="P165" s="348"/>
      <c r="Q165" s="348"/>
      <c r="R165" s="348"/>
      <c r="S165" s="348"/>
      <c r="T165" s="348"/>
      <c r="U165" s="348"/>
      <c r="V165" s="349"/>
      <c r="W165" s="348"/>
      <c r="X165" s="348"/>
      <c r="Y165" s="349"/>
      <c r="Z165" s="348"/>
      <c r="AA165" s="348"/>
      <c r="AB165" s="348"/>
      <c r="AC165" s="348"/>
      <c r="AD165" s="348"/>
      <c r="AE165" s="348"/>
      <c r="AF165" s="348"/>
      <c r="AG165" s="348"/>
      <c r="AH165" s="348"/>
      <c r="AI165" s="348"/>
      <c r="AJ165" s="348"/>
      <c r="AK165" s="348"/>
      <c r="AL165" s="348"/>
      <c r="AM165" s="348"/>
      <c r="AN165" s="348"/>
      <c r="AO165" s="348"/>
      <c r="AP165" s="348"/>
      <c r="AQ165" s="348"/>
      <c r="AR165" s="348"/>
      <c r="AS165" s="348"/>
      <c r="AT165" s="348"/>
      <c r="AU165" s="348"/>
      <c r="AV165" s="348"/>
      <c r="AW165" s="348"/>
      <c r="AX165" s="348"/>
      <c r="AY165" s="348"/>
      <c r="AZ165" s="348"/>
      <c r="BA165" s="347"/>
      <c r="BB165" s="347"/>
      <c r="BC165" s="347"/>
      <c r="BD165" s="347"/>
    </row>
    <row r="166" spans="2:56" ht="15">
      <c r="B166" s="244"/>
      <c r="C166" s="1750"/>
      <c r="D166" s="348"/>
      <c r="E166" s="348"/>
      <c r="F166" s="348"/>
      <c r="G166" s="348"/>
      <c r="H166" s="348"/>
      <c r="I166" s="348"/>
      <c r="J166" s="348"/>
      <c r="K166" s="348"/>
      <c r="L166" s="348"/>
      <c r="M166" s="348"/>
      <c r="N166" s="348"/>
      <c r="O166" s="348"/>
      <c r="P166" s="348"/>
      <c r="Q166" s="348"/>
      <c r="R166" s="348"/>
      <c r="S166" s="348"/>
      <c r="T166" s="348"/>
      <c r="U166" s="348"/>
      <c r="V166" s="349"/>
      <c r="W166" s="348"/>
      <c r="X166" s="348"/>
      <c r="Y166" s="349"/>
      <c r="Z166" s="348"/>
      <c r="AA166" s="348"/>
      <c r="AB166" s="348"/>
      <c r="AC166" s="348"/>
      <c r="AD166" s="348"/>
      <c r="AE166" s="348"/>
      <c r="AF166" s="348"/>
      <c r="AG166" s="348"/>
      <c r="AH166" s="348"/>
      <c r="AI166" s="348"/>
      <c r="AJ166" s="348"/>
      <c r="AK166" s="348"/>
      <c r="AL166" s="348"/>
      <c r="AM166" s="348"/>
      <c r="AN166" s="348"/>
      <c r="AO166" s="348"/>
      <c r="AP166" s="348"/>
      <c r="AQ166" s="348"/>
      <c r="AR166" s="348"/>
      <c r="AS166" s="348"/>
      <c r="AT166" s="348"/>
      <c r="AU166" s="348"/>
      <c r="AV166" s="348"/>
      <c r="AW166" s="348"/>
      <c r="AX166" s="348"/>
      <c r="AY166" s="348"/>
      <c r="AZ166" s="348"/>
      <c r="BA166" s="347"/>
      <c r="BB166" s="347"/>
      <c r="BC166" s="347"/>
      <c r="BD166" s="347"/>
    </row>
    <row r="167" spans="2:56" ht="15">
      <c r="B167" s="244"/>
      <c r="C167" s="1750"/>
      <c r="D167" s="348"/>
      <c r="E167" s="348"/>
      <c r="F167" s="348"/>
      <c r="G167" s="348"/>
      <c r="H167" s="348"/>
      <c r="I167" s="348"/>
      <c r="J167" s="348"/>
      <c r="K167" s="348"/>
      <c r="L167" s="348"/>
      <c r="M167" s="348"/>
      <c r="N167" s="348"/>
      <c r="O167" s="348"/>
      <c r="P167" s="348"/>
      <c r="Q167" s="348"/>
      <c r="R167" s="348"/>
      <c r="S167" s="348"/>
      <c r="T167" s="348"/>
      <c r="U167" s="348"/>
      <c r="V167" s="349"/>
      <c r="W167" s="348"/>
      <c r="X167" s="348"/>
      <c r="Y167" s="349"/>
      <c r="Z167" s="348"/>
      <c r="AA167" s="348"/>
      <c r="AB167" s="348"/>
      <c r="AC167" s="348"/>
      <c r="AD167" s="348"/>
      <c r="AE167" s="348"/>
      <c r="AF167" s="348"/>
      <c r="AG167" s="348"/>
      <c r="AH167" s="348"/>
      <c r="AI167" s="348"/>
      <c r="AJ167" s="348"/>
      <c r="AK167" s="348"/>
      <c r="AL167" s="348"/>
      <c r="AM167" s="348"/>
      <c r="AN167" s="348"/>
      <c r="AO167" s="348"/>
      <c r="AP167" s="348"/>
      <c r="AQ167" s="348"/>
      <c r="AR167" s="348"/>
      <c r="AS167" s="348"/>
      <c r="AT167" s="348"/>
      <c r="AU167" s="348"/>
      <c r="AV167" s="348"/>
      <c r="AW167" s="348"/>
      <c r="AX167" s="348"/>
      <c r="AY167" s="348"/>
      <c r="AZ167" s="348"/>
      <c r="BA167" s="347"/>
      <c r="BB167" s="347"/>
      <c r="BC167" s="347"/>
      <c r="BD167" s="347"/>
    </row>
    <row r="168" spans="2:56" ht="15">
      <c r="B168" s="244"/>
      <c r="C168" s="1750"/>
      <c r="D168" s="348"/>
      <c r="E168" s="348"/>
      <c r="F168" s="348"/>
      <c r="G168" s="348"/>
      <c r="H168" s="348"/>
      <c r="I168" s="348"/>
      <c r="J168" s="348"/>
      <c r="K168" s="348"/>
      <c r="L168" s="348"/>
      <c r="M168" s="348"/>
      <c r="N168" s="348"/>
      <c r="O168" s="348"/>
      <c r="P168" s="348"/>
      <c r="Q168" s="348"/>
      <c r="R168" s="348"/>
      <c r="S168" s="348"/>
      <c r="T168" s="348"/>
      <c r="U168" s="348"/>
      <c r="V168" s="349"/>
      <c r="W168" s="348"/>
      <c r="X168" s="348"/>
      <c r="Y168" s="349"/>
      <c r="Z168" s="348"/>
      <c r="AA168" s="348"/>
      <c r="AB168" s="348"/>
      <c r="AC168" s="348"/>
      <c r="AD168" s="348"/>
      <c r="AE168" s="348"/>
      <c r="AF168" s="348"/>
      <c r="AG168" s="348"/>
      <c r="AH168" s="348"/>
      <c r="AI168" s="348"/>
      <c r="AJ168" s="348"/>
      <c r="AK168" s="348"/>
      <c r="AL168" s="348"/>
      <c r="AM168" s="348"/>
      <c r="AN168" s="348"/>
      <c r="AO168" s="348"/>
      <c r="AP168" s="348"/>
      <c r="AQ168" s="348"/>
      <c r="AR168" s="348"/>
      <c r="AS168" s="348"/>
      <c r="AT168" s="348"/>
      <c r="AU168" s="348"/>
      <c r="AV168" s="348"/>
      <c r="AW168" s="348"/>
      <c r="AX168" s="348"/>
      <c r="AY168" s="348"/>
      <c r="AZ168" s="348"/>
      <c r="BA168" s="347"/>
      <c r="BB168" s="347"/>
      <c r="BC168" s="347"/>
      <c r="BD168" s="347"/>
    </row>
    <row r="169" spans="2:56" ht="15">
      <c r="B169" s="244"/>
      <c r="C169" s="1750"/>
      <c r="D169" s="348"/>
      <c r="E169" s="348"/>
      <c r="F169" s="348"/>
      <c r="G169" s="348"/>
      <c r="H169" s="348"/>
      <c r="I169" s="348"/>
      <c r="J169" s="348"/>
      <c r="K169" s="348"/>
      <c r="L169" s="348"/>
      <c r="M169" s="348"/>
      <c r="N169" s="348"/>
      <c r="O169" s="348"/>
      <c r="P169" s="348"/>
      <c r="Q169" s="348"/>
      <c r="R169" s="348"/>
      <c r="S169" s="348"/>
      <c r="T169" s="348"/>
      <c r="U169" s="348"/>
      <c r="V169" s="349"/>
      <c r="W169" s="348"/>
      <c r="X169" s="348"/>
      <c r="Y169" s="349"/>
      <c r="Z169" s="348"/>
      <c r="AA169" s="348"/>
      <c r="AB169" s="348"/>
      <c r="AC169" s="348"/>
      <c r="AD169" s="348"/>
      <c r="AE169" s="348"/>
      <c r="AF169" s="348"/>
      <c r="AG169" s="348"/>
      <c r="AH169" s="348"/>
      <c r="AI169" s="348"/>
      <c r="AJ169" s="348"/>
      <c r="AK169" s="348"/>
      <c r="AL169" s="348"/>
      <c r="AM169" s="348"/>
      <c r="AN169" s="348"/>
      <c r="AO169" s="348"/>
      <c r="AP169" s="348"/>
      <c r="AQ169" s="348"/>
      <c r="AR169" s="348"/>
      <c r="AS169" s="348"/>
      <c r="AT169" s="348"/>
      <c r="AU169" s="348"/>
      <c r="AV169" s="348"/>
      <c r="AW169" s="348"/>
      <c r="AX169" s="348"/>
      <c r="AY169" s="348"/>
      <c r="AZ169" s="348"/>
      <c r="BA169" s="347"/>
      <c r="BB169" s="347"/>
      <c r="BC169" s="347"/>
      <c r="BD169" s="347"/>
    </row>
    <row r="170" spans="2:56" ht="15">
      <c r="B170" s="244"/>
      <c r="C170" s="1750"/>
      <c r="D170" s="348"/>
      <c r="E170" s="348"/>
      <c r="F170" s="348"/>
      <c r="G170" s="348"/>
      <c r="H170" s="348"/>
      <c r="I170" s="348"/>
      <c r="J170" s="348"/>
      <c r="K170" s="348"/>
      <c r="L170" s="348"/>
      <c r="M170" s="348"/>
      <c r="N170" s="348"/>
      <c r="O170" s="348"/>
      <c r="P170" s="348"/>
      <c r="Q170" s="348"/>
      <c r="R170" s="348"/>
      <c r="S170" s="348"/>
      <c r="T170" s="348"/>
      <c r="U170" s="348"/>
      <c r="V170" s="349"/>
      <c r="W170" s="348"/>
      <c r="X170" s="348"/>
      <c r="Y170" s="349"/>
      <c r="Z170" s="348"/>
      <c r="AA170" s="348"/>
      <c r="AB170" s="348"/>
      <c r="AC170" s="348"/>
      <c r="AD170" s="348"/>
      <c r="AE170" s="348"/>
      <c r="AF170" s="348"/>
      <c r="AG170" s="348"/>
      <c r="AH170" s="348"/>
      <c r="AI170" s="348"/>
      <c r="AJ170" s="348"/>
      <c r="AK170" s="348"/>
      <c r="AL170" s="348"/>
      <c r="AM170" s="348"/>
      <c r="AN170" s="348"/>
      <c r="AO170" s="348"/>
      <c r="AP170" s="348"/>
      <c r="AQ170" s="348"/>
      <c r="AR170" s="348"/>
      <c r="AS170" s="348"/>
      <c r="AT170" s="348"/>
      <c r="AU170" s="348"/>
      <c r="AV170" s="348"/>
      <c r="AW170" s="348"/>
      <c r="AX170" s="348"/>
      <c r="AY170" s="348"/>
      <c r="AZ170" s="348"/>
      <c r="BA170" s="347"/>
      <c r="BB170" s="347"/>
      <c r="BC170" s="347"/>
      <c r="BD170" s="347"/>
    </row>
    <row r="171" spans="2:56" ht="15">
      <c r="B171" s="244"/>
      <c r="C171" s="1750"/>
      <c r="D171" s="348"/>
      <c r="E171" s="348"/>
      <c r="F171" s="348"/>
      <c r="G171" s="348"/>
      <c r="H171" s="348"/>
      <c r="I171" s="348"/>
      <c r="J171" s="348"/>
      <c r="K171" s="348"/>
      <c r="L171" s="348"/>
      <c r="M171" s="348"/>
      <c r="N171" s="348"/>
      <c r="O171" s="348"/>
      <c r="P171" s="348"/>
      <c r="Q171" s="348"/>
      <c r="R171" s="348"/>
      <c r="S171" s="348"/>
      <c r="T171" s="348"/>
      <c r="U171" s="348"/>
      <c r="V171" s="349"/>
      <c r="W171" s="348"/>
      <c r="X171" s="348"/>
      <c r="Y171" s="349"/>
      <c r="Z171" s="348"/>
      <c r="AA171" s="348"/>
      <c r="AB171" s="348"/>
      <c r="AC171" s="348"/>
      <c r="AD171" s="348"/>
      <c r="AE171" s="348"/>
      <c r="AF171" s="348"/>
      <c r="AG171" s="348"/>
      <c r="AH171" s="348"/>
      <c r="AI171" s="348"/>
      <c r="AJ171" s="348"/>
      <c r="AK171" s="348"/>
      <c r="AL171" s="348"/>
      <c r="AM171" s="348"/>
      <c r="AN171" s="348"/>
      <c r="AO171" s="348"/>
      <c r="AP171" s="348"/>
      <c r="AQ171" s="348"/>
      <c r="AR171" s="348"/>
      <c r="AS171" s="348"/>
      <c r="AT171" s="348"/>
      <c r="AU171" s="348"/>
      <c r="AV171" s="348"/>
      <c r="AW171" s="348"/>
      <c r="AX171" s="348"/>
      <c r="AY171" s="348"/>
      <c r="AZ171" s="348"/>
      <c r="BA171" s="347"/>
      <c r="BB171" s="347"/>
      <c r="BC171" s="347"/>
      <c r="BD171" s="347"/>
    </row>
    <row r="172" spans="2:56" ht="15">
      <c r="B172" s="244"/>
      <c r="C172" s="1750"/>
      <c r="D172" s="348"/>
      <c r="E172" s="348"/>
      <c r="F172" s="348"/>
      <c r="G172" s="348"/>
      <c r="H172" s="348"/>
      <c r="I172" s="348"/>
      <c r="J172" s="348"/>
      <c r="K172" s="348"/>
      <c r="L172" s="348"/>
      <c r="M172" s="348"/>
      <c r="N172" s="348"/>
      <c r="O172" s="348"/>
      <c r="P172" s="348"/>
      <c r="Q172" s="348"/>
      <c r="R172" s="348"/>
      <c r="S172" s="348"/>
      <c r="T172" s="348"/>
      <c r="U172" s="348"/>
      <c r="V172" s="349"/>
      <c r="W172" s="348"/>
      <c r="X172" s="348"/>
      <c r="Y172" s="349"/>
      <c r="Z172" s="348"/>
      <c r="AA172" s="348"/>
      <c r="AB172" s="348"/>
      <c r="AC172" s="348"/>
      <c r="AD172" s="348"/>
      <c r="AE172" s="348"/>
      <c r="AF172" s="348"/>
      <c r="AG172" s="348"/>
      <c r="AH172" s="348"/>
      <c r="AI172" s="348"/>
      <c r="AJ172" s="348"/>
      <c r="AK172" s="348"/>
      <c r="AL172" s="348"/>
      <c r="AM172" s="348"/>
      <c r="AN172" s="348"/>
      <c r="AO172" s="348"/>
      <c r="AP172" s="348"/>
      <c r="AQ172" s="348"/>
      <c r="AR172" s="348"/>
      <c r="AS172" s="348"/>
      <c r="AT172" s="348"/>
      <c r="AU172" s="348"/>
      <c r="AV172" s="348"/>
      <c r="AW172" s="348"/>
      <c r="AX172" s="348"/>
      <c r="AY172" s="348"/>
      <c r="AZ172" s="348"/>
      <c r="BA172" s="347"/>
      <c r="BB172" s="347"/>
      <c r="BC172" s="347"/>
      <c r="BD172" s="347"/>
    </row>
    <row r="173" spans="2:56" ht="15">
      <c r="B173" s="244"/>
      <c r="C173" s="1750"/>
      <c r="D173" s="348"/>
      <c r="E173" s="348"/>
      <c r="F173" s="348"/>
      <c r="G173" s="348"/>
      <c r="H173" s="348"/>
      <c r="I173" s="348"/>
      <c r="J173" s="348"/>
      <c r="K173" s="348"/>
      <c r="L173" s="348"/>
      <c r="M173" s="348"/>
      <c r="N173" s="348"/>
      <c r="O173" s="348"/>
      <c r="P173" s="348"/>
      <c r="Q173" s="348"/>
      <c r="R173" s="348"/>
      <c r="S173" s="348"/>
      <c r="T173" s="348"/>
      <c r="U173" s="348"/>
      <c r="V173" s="349"/>
      <c r="W173" s="348"/>
      <c r="X173" s="348"/>
      <c r="Y173" s="349"/>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7"/>
      <c r="BB173" s="347"/>
      <c r="BC173" s="347"/>
      <c r="BD173" s="347"/>
    </row>
    <row r="174" spans="2:56" ht="15">
      <c r="B174" s="244"/>
      <c r="C174" s="1750"/>
      <c r="D174" s="348"/>
      <c r="E174" s="348"/>
      <c r="F174" s="348"/>
      <c r="G174" s="348"/>
      <c r="H174" s="348"/>
      <c r="I174" s="348"/>
      <c r="J174" s="348"/>
      <c r="K174" s="348"/>
      <c r="L174" s="348"/>
      <c r="M174" s="348"/>
      <c r="N174" s="348"/>
      <c r="O174" s="348"/>
      <c r="P174" s="348"/>
      <c r="Q174" s="348"/>
      <c r="R174" s="348"/>
      <c r="S174" s="348"/>
      <c r="T174" s="348"/>
      <c r="U174" s="348"/>
      <c r="V174" s="349"/>
      <c r="W174" s="348"/>
      <c r="X174" s="348"/>
      <c r="Y174" s="349"/>
      <c r="Z174" s="348"/>
      <c r="AA174" s="348"/>
      <c r="AB174" s="348"/>
      <c r="AC174" s="348"/>
      <c r="AD174" s="348"/>
      <c r="AE174" s="348"/>
      <c r="AF174" s="348"/>
      <c r="AG174" s="348"/>
      <c r="AH174" s="348"/>
      <c r="AI174" s="348"/>
      <c r="AJ174" s="348"/>
      <c r="AK174" s="348"/>
      <c r="AL174" s="348"/>
      <c r="AM174" s="348"/>
      <c r="AN174" s="348"/>
      <c r="AO174" s="348"/>
      <c r="AP174" s="348"/>
      <c r="AQ174" s="348"/>
      <c r="AR174" s="348"/>
      <c r="AS174" s="348"/>
      <c r="AT174" s="348"/>
      <c r="AU174" s="348"/>
      <c r="AV174" s="348"/>
      <c r="AW174" s="348"/>
      <c r="AX174" s="348"/>
      <c r="AY174" s="348"/>
      <c r="AZ174" s="348"/>
      <c r="BA174" s="347"/>
      <c r="BB174" s="347"/>
      <c r="BC174" s="347"/>
      <c r="BD174" s="347"/>
    </row>
    <row r="175" spans="2:56" ht="15">
      <c r="B175" s="244"/>
      <c r="C175" s="1750"/>
      <c r="D175" s="348"/>
      <c r="E175" s="348"/>
      <c r="F175" s="348"/>
      <c r="G175" s="348"/>
      <c r="H175" s="348"/>
      <c r="I175" s="348"/>
      <c r="J175" s="348"/>
      <c r="K175" s="348"/>
      <c r="L175" s="348"/>
      <c r="M175" s="348"/>
      <c r="N175" s="348"/>
      <c r="O175" s="348"/>
      <c r="P175" s="348"/>
      <c r="Q175" s="348"/>
      <c r="R175" s="348"/>
      <c r="S175" s="348"/>
      <c r="T175" s="348"/>
      <c r="U175" s="348"/>
      <c r="V175" s="349"/>
      <c r="W175" s="348"/>
      <c r="X175" s="348"/>
      <c r="Y175" s="349"/>
      <c r="Z175" s="348"/>
      <c r="AA175" s="348"/>
      <c r="AB175" s="348"/>
      <c r="AC175" s="348"/>
      <c r="AD175" s="348"/>
      <c r="AE175" s="348"/>
      <c r="AF175" s="348"/>
      <c r="AG175" s="348"/>
      <c r="AH175" s="348"/>
      <c r="AI175" s="348"/>
      <c r="AJ175" s="348"/>
      <c r="AK175" s="348"/>
      <c r="AL175" s="348"/>
      <c r="AM175" s="348"/>
      <c r="AN175" s="348"/>
      <c r="AO175" s="348"/>
      <c r="AP175" s="348"/>
      <c r="AQ175" s="348"/>
      <c r="AR175" s="348"/>
      <c r="AS175" s="348"/>
      <c r="AT175" s="348"/>
      <c r="AU175" s="348"/>
      <c r="AV175" s="348"/>
      <c r="AW175" s="348"/>
      <c r="AX175" s="348"/>
      <c r="AY175" s="348"/>
      <c r="AZ175" s="348"/>
      <c r="BA175" s="347"/>
      <c r="BB175" s="347"/>
      <c r="BC175" s="347"/>
      <c r="BD175" s="347"/>
    </row>
    <row r="176" spans="2:56" ht="15">
      <c r="B176" s="244"/>
      <c r="C176" s="1750"/>
      <c r="D176" s="348"/>
      <c r="E176" s="348"/>
      <c r="F176" s="348"/>
      <c r="G176" s="348"/>
      <c r="H176" s="348"/>
      <c r="I176" s="348"/>
      <c r="J176" s="348"/>
      <c r="K176" s="348"/>
      <c r="L176" s="348"/>
      <c r="M176" s="348"/>
      <c r="N176" s="348"/>
      <c r="O176" s="348"/>
      <c r="P176" s="348"/>
      <c r="Q176" s="348"/>
      <c r="R176" s="348"/>
      <c r="S176" s="348"/>
      <c r="T176" s="348"/>
      <c r="U176" s="348"/>
      <c r="V176" s="349"/>
      <c r="W176" s="348"/>
      <c r="X176" s="348"/>
      <c r="Y176" s="349"/>
      <c r="Z176" s="348"/>
      <c r="AA176" s="348"/>
      <c r="AB176" s="348"/>
      <c r="AC176" s="348"/>
      <c r="AD176" s="348"/>
      <c r="AE176" s="348"/>
      <c r="AF176" s="348"/>
      <c r="AG176" s="348"/>
      <c r="AH176" s="348"/>
      <c r="AI176" s="348"/>
      <c r="AJ176" s="348"/>
      <c r="AK176" s="348"/>
      <c r="AL176" s="348"/>
      <c r="AM176" s="348"/>
      <c r="AN176" s="348"/>
      <c r="AO176" s="348"/>
      <c r="AP176" s="348"/>
      <c r="AQ176" s="348"/>
      <c r="AR176" s="348"/>
      <c r="AS176" s="348"/>
      <c r="AT176" s="348"/>
      <c r="AU176" s="348"/>
      <c r="AV176" s="348"/>
      <c r="AW176" s="348"/>
      <c r="AX176" s="348"/>
      <c r="AY176" s="348"/>
      <c r="AZ176" s="348"/>
      <c r="BA176" s="347"/>
      <c r="BB176" s="347"/>
      <c r="BC176" s="347"/>
      <c r="BD176" s="347"/>
    </row>
    <row r="177" spans="2:56" ht="15">
      <c r="B177" s="244"/>
      <c r="C177" s="1750"/>
      <c r="D177" s="348"/>
      <c r="E177" s="348"/>
      <c r="F177" s="348"/>
      <c r="G177" s="348"/>
      <c r="H177" s="348"/>
      <c r="I177" s="348"/>
      <c r="J177" s="348"/>
      <c r="K177" s="348"/>
      <c r="L177" s="348"/>
      <c r="M177" s="348"/>
      <c r="N177" s="348"/>
      <c r="O177" s="348"/>
      <c r="P177" s="348"/>
      <c r="Q177" s="348"/>
      <c r="R177" s="348"/>
      <c r="S177" s="348"/>
      <c r="T177" s="348"/>
      <c r="U177" s="348"/>
      <c r="V177" s="349"/>
      <c r="W177" s="348"/>
      <c r="X177" s="348"/>
      <c r="Y177" s="349"/>
      <c r="Z177" s="348"/>
      <c r="AA177" s="348"/>
      <c r="AB177" s="348"/>
      <c r="AC177" s="348"/>
      <c r="AD177" s="348"/>
      <c r="AE177" s="348"/>
      <c r="AF177" s="348"/>
      <c r="AG177" s="348"/>
      <c r="AH177" s="348"/>
      <c r="AI177" s="348"/>
      <c r="AJ177" s="348"/>
      <c r="AK177" s="348"/>
      <c r="AL177" s="348"/>
      <c r="AM177" s="348"/>
      <c r="AN177" s="348"/>
      <c r="AO177" s="348"/>
      <c r="AP177" s="348"/>
      <c r="AQ177" s="348"/>
      <c r="AR177" s="348"/>
      <c r="AS177" s="348"/>
      <c r="AT177" s="348"/>
      <c r="AU177" s="348"/>
      <c r="AV177" s="348"/>
      <c r="AW177" s="348"/>
      <c r="AX177" s="348"/>
      <c r="AY177" s="348"/>
      <c r="AZ177" s="348"/>
      <c r="BA177" s="347"/>
      <c r="BB177" s="347"/>
      <c r="BC177" s="347"/>
      <c r="BD177" s="347"/>
    </row>
    <row r="178" spans="2:56" ht="15">
      <c r="B178" s="244"/>
      <c r="C178" s="1750"/>
      <c r="D178" s="348"/>
      <c r="E178" s="348"/>
      <c r="F178" s="348"/>
      <c r="G178" s="348"/>
      <c r="H178" s="348"/>
      <c r="I178" s="348"/>
      <c r="J178" s="348"/>
      <c r="K178" s="348"/>
      <c r="L178" s="348"/>
      <c r="M178" s="348"/>
      <c r="N178" s="348"/>
      <c r="O178" s="348"/>
      <c r="P178" s="348"/>
      <c r="Q178" s="348"/>
      <c r="R178" s="348"/>
      <c r="S178" s="348"/>
      <c r="T178" s="348"/>
      <c r="U178" s="348"/>
      <c r="V178" s="349"/>
      <c r="W178" s="348"/>
      <c r="X178" s="348"/>
      <c r="Y178" s="349"/>
      <c r="Z178" s="348"/>
      <c r="AA178" s="348"/>
      <c r="AB178" s="348"/>
      <c r="AC178" s="348"/>
      <c r="AD178" s="348"/>
      <c r="AE178" s="348"/>
      <c r="AF178" s="348"/>
      <c r="AG178" s="348"/>
      <c r="AH178" s="348"/>
      <c r="AI178" s="348"/>
      <c r="AJ178" s="348"/>
      <c r="AK178" s="348"/>
      <c r="AL178" s="348"/>
      <c r="AM178" s="348"/>
      <c r="AN178" s="348"/>
      <c r="AO178" s="348"/>
      <c r="AP178" s="348"/>
      <c r="AQ178" s="348"/>
      <c r="AR178" s="348"/>
      <c r="AS178" s="348"/>
      <c r="AT178" s="348"/>
      <c r="AU178" s="348"/>
      <c r="AV178" s="348"/>
      <c r="AW178" s="348"/>
      <c r="AX178" s="348"/>
      <c r="AY178" s="348"/>
      <c r="AZ178" s="348"/>
      <c r="BA178" s="347"/>
      <c r="BB178" s="347"/>
      <c r="BC178" s="347"/>
      <c r="BD178" s="347"/>
    </row>
    <row r="179" spans="2:56" ht="15">
      <c r="B179" s="244"/>
      <c r="C179" s="1750"/>
      <c r="D179" s="348"/>
      <c r="E179" s="348"/>
      <c r="F179" s="348"/>
      <c r="G179" s="348"/>
      <c r="H179" s="348"/>
      <c r="I179" s="348"/>
      <c r="J179" s="348"/>
      <c r="K179" s="348"/>
      <c r="L179" s="348"/>
      <c r="M179" s="348"/>
      <c r="N179" s="348"/>
      <c r="O179" s="348"/>
      <c r="P179" s="348"/>
      <c r="Q179" s="348"/>
      <c r="R179" s="348"/>
      <c r="S179" s="348"/>
      <c r="T179" s="348"/>
      <c r="U179" s="348"/>
      <c r="V179" s="349"/>
      <c r="W179" s="348"/>
      <c r="X179" s="348"/>
      <c r="Y179" s="349"/>
      <c r="Z179" s="348"/>
      <c r="AA179" s="348"/>
      <c r="AB179" s="348"/>
      <c r="AC179" s="348"/>
      <c r="AD179" s="348"/>
      <c r="AE179" s="348"/>
      <c r="AF179" s="348"/>
      <c r="AG179" s="348"/>
      <c r="AH179" s="348"/>
      <c r="AI179" s="348"/>
      <c r="AJ179" s="348"/>
      <c r="AK179" s="348"/>
      <c r="AL179" s="348"/>
      <c r="AM179" s="348"/>
      <c r="AN179" s="348"/>
      <c r="AO179" s="348"/>
      <c r="AP179" s="348"/>
      <c r="AQ179" s="348"/>
      <c r="AR179" s="348"/>
      <c r="AS179" s="348"/>
      <c r="AT179" s="348"/>
      <c r="AU179" s="348"/>
      <c r="AV179" s="348"/>
      <c r="AW179" s="348"/>
      <c r="AX179" s="348"/>
      <c r="AY179" s="348"/>
      <c r="AZ179" s="348"/>
      <c r="BA179" s="347"/>
      <c r="BB179" s="347"/>
      <c r="BC179" s="347"/>
      <c r="BD179" s="347"/>
    </row>
    <row r="180" spans="2:56" ht="15">
      <c r="B180" s="244"/>
      <c r="C180" s="1750"/>
      <c r="D180" s="348"/>
      <c r="E180" s="348"/>
      <c r="F180" s="348"/>
      <c r="G180" s="348"/>
      <c r="H180" s="348"/>
      <c r="I180" s="348"/>
      <c r="J180" s="348"/>
      <c r="K180" s="348"/>
      <c r="L180" s="348"/>
      <c r="M180" s="348"/>
      <c r="N180" s="348"/>
      <c r="O180" s="348"/>
      <c r="P180" s="348"/>
      <c r="Q180" s="348"/>
      <c r="R180" s="348"/>
      <c r="S180" s="348"/>
      <c r="T180" s="348"/>
      <c r="U180" s="348"/>
      <c r="V180" s="349"/>
      <c r="W180" s="348"/>
      <c r="X180" s="348"/>
      <c r="Y180" s="349"/>
      <c r="Z180" s="348"/>
      <c r="AA180" s="348"/>
      <c r="AB180" s="348"/>
      <c r="AC180" s="348"/>
      <c r="AD180" s="348"/>
      <c r="AE180" s="348"/>
      <c r="AF180" s="348"/>
      <c r="AG180" s="348"/>
      <c r="AH180" s="348"/>
      <c r="AI180" s="348"/>
      <c r="AJ180" s="348"/>
      <c r="AK180" s="348"/>
      <c r="AL180" s="348"/>
      <c r="AM180" s="348"/>
      <c r="AN180" s="348"/>
      <c r="AO180" s="348"/>
      <c r="AP180" s="348"/>
      <c r="AQ180" s="348"/>
      <c r="AR180" s="348"/>
      <c r="AS180" s="348"/>
      <c r="AT180" s="348"/>
      <c r="AU180" s="348"/>
      <c r="AV180" s="348"/>
      <c r="AW180" s="348"/>
      <c r="AX180" s="348"/>
      <c r="AY180" s="348"/>
      <c r="AZ180" s="348"/>
      <c r="BA180" s="347"/>
      <c r="BB180" s="347"/>
      <c r="BC180" s="347"/>
      <c r="BD180" s="347"/>
    </row>
    <row r="181" spans="2:56" ht="15">
      <c r="B181" s="244"/>
      <c r="C181" s="1750"/>
      <c r="D181" s="348"/>
      <c r="E181" s="348"/>
      <c r="F181" s="348"/>
      <c r="G181" s="348"/>
      <c r="H181" s="348"/>
      <c r="I181" s="348"/>
      <c r="J181" s="348"/>
      <c r="K181" s="348"/>
      <c r="L181" s="348"/>
      <c r="M181" s="348"/>
      <c r="N181" s="348"/>
      <c r="O181" s="348"/>
      <c r="P181" s="348"/>
      <c r="Q181" s="348"/>
      <c r="R181" s="348"/>
      <c r="S181" s="348"/>
      <c r="T181" s="348"/>
      <c r="U181" s="348"/>
      <c r="V181" s="349"/>
      <c r="W181" s="348"/>
      <c r="X181" s="348"/>
      <c r="Y181" s="349"/>
      <c r="Z181" s="348"/>
      <c r="AA181" s="348"/>
      <c r="AB181" s="348"/>
      <c r="AC181" s="348"/>
      <c r="AD181" s="348"/>
      <c r="AE181" s="348"/>
      <c r="AF181" s="348"/>
      <c r="AG181" s="348"/>
      <c r="AH181" s="348"/>
      <c r="AI181" s="348"/>
      <c r="AJ181" s="348"/>
      <c r="AK181" s="348"/>
      <c r="AL181" s="348"/>
      <c r="AM181" s="348"/>
      <c r="AN181" s="348"/>
      <c r="AO181" s="348"/>
      <c r="AP181" s="348"/>
      <c r="AQ181" s="348"/>
      <c r="AR181" s="348"/>
      <c r="AS181" s="348"/>
      <c r="AT181" s="348"/>
      <c r="AU181" s="348"/>
      <c r="AV181" s="348"/>
      <c r="AW181" s="348"/>
      <c r="AX181" s="348"/>
      <c r="AY181" s="348"/>
      <c r="AZ181" s="348"/>
      <c r="BA181" s="347"/>
      <c r="BB181" s="347"/>
      <c r="BC181" s="347"/>
      <c r="BD181" s="347"/>
    </row>
    <row r="182" spans="2:56" ht="15">
      <c r="B182" s="244"/>
      <c r="C182" s="1750"/>
      <c r="D182" s="348"/>
      <c r="E182" s="348"/>
      <c r="F182" s="348"/>
      <c r="G182" s="348"/>
      <c r="H182" s="348"/>
      <c r="I182" s="348"/>
      <c r="J182" s="348"/>
      <c r="K182" s="348"/>
      <c r="L182" s="348"/>
      <c r="M182" s="348"/>
      <c r="N182" s="348"/>
      <c r="O182" s="348"/>
      <c r="P182" s="348"/>
      <c r="Q182" s="348"/>
      <c r="R182" s="348"/>
      <c r="S182" s="348"/>
      <c r="T182" s="348"/>
      <c r="U182" s="348"/>
      <c r="V182" s="349"/>
      <c r="W182" s="348"/>
      <c r="X182" s="348"/>
      <c r="Y182" s="349"/>
      <c r="Z182" s="348"/>
      <c r="AA182" s="348"/>
      <c r="AB182" s="348"/>
      <c r="AC182" s="348"/>
      <c r="AD182" s="348"/>
      <c r="AE182" s="348"/>
      <c r="AF182" s="348"/>
      <c r="AG182" s="348"/>
      <c r="AH182" s="348"/>
      <c r="AI182" s="348"/>
      <c r="AJ182" s="348"/>
      <c r="AK182" s="348"/>
      <c r="AL182" s="348"/>
      <c r="AM182" s="348"/>
      <c r="AN182" s="348"/>
      <c r="AO182" s="348"/>
      <c r="AP182" s="348"/>
      <c r="AQ182" s="348"/>
      <c r="AR182" s="348"/>
      <c r="AS182" s="348"/>
      <c r="AT182" s="348"/>
      <c r="AU182" s="348"/>
      <c r="AV182" s="348"/>
      <c r="AW182" s="348"/>
      <c r="AX182" s="348"/>
      <c r="AY182" s="348"/>
      <c r="AZ182" s="348"/>
      <c r="BA182" s="347"/>
      <c r="BB182" s="347"/>
      <c r="BC182" s="347"/>
      <c r="BD182" s="347"/>
    </row>
    <row r="183" spans="2:56" ht="15">
      <c r="B183" s="244"/>
      <c r="C183" s="1750"/>
      <c r="D183" s="348"/>
      <c r="E183" s="348"/>
      <c r="F183" s="348"/>
      <c r="G183" s="348"/>
      <c r="H183" s="348"/>
      <c r="I183" s="348"/>
      <c r="J183" s="348"/>
      <c r="K183" s="348"/>
      <c r="L183" s="348"/>
      <c r="M183" s="348"/>
      <c r="N183" s="348"/>
      <c r="O183" s="348"/>
      <c r="P183" s="348"/>
      <c r="Q183" s="348"/>
      <c r="R183" s="348"/>
      <c r="S183" s="348"/>
      <c r="T183" s="348"/>
      <c r="U183" s="348"/>
      <c r="V183" s="349"/>
      <c r="W183" s="348"/>
      <c r="X183" s="348"/>
      <c r="Y183" s="349"/>
      <c r="Z183" s="348"/>
      <c r="AA183" s="348"/>
      <c r="AB183" s="348"/>
      <c r="AC183" s="348"/>
      <c r="AD183" s="348"/>
      <c r="AE183" s="348"/>
      <c r="AF183" s="348"/>
      <c r="AG183" s="348"/>
      <c r="AH183" s="348"/>
      <c r="AI183" s="348"/>
      <c r="AJ183" s="348"/>
      <c r="AK183" s="348"/>
      <c r="AL183" s="348"/>
      <c r="AM183" s="348"/>
      <c r="AN183" s="348"/>
      <c r="AO183" s="348"/>
      <c r="AP183" s="348"/>
      <c r="AQ183" s="348"/>
      <c r="AR183" s="348"/>
      <c r="AS183" s="348"/>
      <c r="AT183" s="348"/>
      <c r="AU183" s="348"/>
      <c r="AV183" s="348"/>
      <c r="AW183" s="348"/>
      <c r="AX183" s="348"/>
      <c r="AY183" s="348"/>
      <c r="AZ183" s="348"/>
      <c r="BA183" s="347"/>
      <c r="BB183" s="347"/>
      <c r="BC183" s="347"/>
      <c r="BD183" s="347"/>
    </row>
    <row r="184" spans="2:56" ht="15">
      <c r="B184" s="244"/>
      <c r="C184" s="1750"/>
      <c r="D184" s="348"/>
      <c r="E184" s="348"/>
      <c r="F184" s="348"/>
      <c r="G184" s="348"/>
      <c r="H184" s="348"/>
      <c r="I184" s="348"/>
      <c r="J184" s="348"/>
      <c r="K184" s="348"/>
      <c r="L184" s="348"/>
      <c r="M184" s="348"/>
      <c r="N184" s="348"/>
      <c r="O184" s="348"/>
      <c r="P184" s="348"/>
      <c r="Q184" s="348"/>
      <c r="R184" s="348"/>
      <c r="S184" s="348"/>
      <c r="T184" s="348"/>
      <c r="U184" s="348"/>
      <c r="V184" s="349"/>
      <c r="W184" s="348"/>
      <c r="X184" s="348"/>
      <c r="Y184" s="349"/>
      <c r="Z184" s="348"/>
      <c r="AA184" s="348"/>
      <c r="AB184" s="348"/>
      <c r="AC184" s="348"/>
      <c r="AD184" s="348"/>
      <c r="AE184" s="348"/>
      <c r="AF184" s="348"/>
      <c r="AG184" s="348"/>
      <c r="AH184" s="348"/>
      <c r="AI184" s="348"/>
      <c r="AJ184" s="348"/>
      <c r="AK184" s="348"/>
      <c r="AL184" s="348"/>
      <c r="AM184" s="348"/>
      <c r="AN184" s="348"/>
      <c r="AO184" s="348"/>
      <c r="AP184" s="348"/>
      <c r="AQ184" s="348"/>
      <c r="AR184" s="348"/>
      <c r="AS184" s="348"/>
      <c r="AT184" s="348"/>
      <c r="AU184" s="348"/>
      <c r="AV184" s="348"/>
      <c r="AW184" s="348"/>
      <c r="AX184" s="348"/>
      <c r="AY184" s="348"/>
      <c r="AZ184" s="348"/>
      <c r="BA184" s="347"/>
      <c r="BB184" s="347"/>
      <c r="BC184" s="347"/>
      <c r="BD184" s="347"/>
    </row>
    <row r="185" spans="2:56" ht="15">
      <c r="B185" s="244"/>
      <c r="C185" s="1750"/>
      <c r="D185" s="348"/>
      <c r="E185" s="348"/>
      <c r="F185" s="348"/>
      <c r="G185" s="348"/>
      <c r="H185" s="348"/>
      <c r="I185" s="348"/>
      <c r="J185" s="348"/>
      <c r="K185" s="348"/>
      <c r="L185" s="348"/>
      <c r="M185" s="348"/>
      <c r="N185" s="348"/>
      <c r="O185" s="348"/>
      <c r="P185" s="348"/>
      <c r="Q185" s="348"/>
      <c r="R185" s="348"/>
      <c r="S185" s="348"/>
      <c r="T185" s="348"/>
      <c r="U185" s="348"/>
      <c r="V185" s="349"/>
      <c r="W185" s="348"/>
      <c r="X185" s="348"/>
      <c r="Y185" s="349"/>
      <c r="Z185" s="348"/>
      <c r="AA185" s="348"/>
      <c r="AB185" s="348"/>
      <c r="AC185" s="348"/>
      <c r="AD185" s="348"/>
      <c r="AE185" s="348"/>
      <c r="AF185" s="348"/>
      <c r="AG185" s="348"/>
      <c r="AH185" s="348"/>
      <c r="AI185" s="348"/>
      <c r="AJ185" s="348"/>
      <c r="AK185" s="348"/>
      <c r="AL185" s="348"/>
      <c r="AM185" s="348"/>
      <c r="AN185" s="348"/>
      <c r="AO185" s="348"/>
      <c r="AP185" s="348"/>
      <c r="AQ185" s="348"/>
      <c r="AR185" s="348"/>
      <c r="AS185" s="348"/>
      <c r="AT185" s="348"/>
      <c r="AU185" s="348"/>
      <c r="AV185" s="348"/>
      <c r="AW185" s="348"/>
      <c r="AX185" s="348"/>
      <c r="AY185" s="348"/>
      <c r="AZ185" s="348"/>
      <c r="BA185" s="347"/>
      <c r="BB185" s="347"/>
      <c r="BC185" s="347"/>
      <c r="BD185" s="347"/>
    </row>
  </sheetData>
  <mergeCells count="1">
    <mergeCell ref="B1:BC1"/>
  </mergeCells>
  <printOptions gridLines="1"/>
  <pageMargins left="0.83" right="0" top="0.19685039370078741" bottom="0.19685039370078741" header="0.19685039370078741" footer="0"/>
  <pageSetup scale="22" orientation="portrait" horizontalDpi="300" verticalDpi="300" r:id="rId1"/>
  <headerFooter alignWithMargins="0">
    <oddHeader>&amp;C&amp;"Arial,Negrita"&amp;12LICENCIATURAS</oddHeader>
  </headerFooter>
  <drawing r:id="rId2"/>
</worksheet>
</file>

<file path=xl/worksheets/sheet26.xml><?xml version="1.0" encoding="utf-8"?>
<worksheet xmlns="http://schemas.openxmlformats.org/spreadsheetml/2006/main" xmlns:r="http://schemas.openxmlformats.org/officeDocument/2006/relationships">
  <sheetPr>
    <tabColor theme="9" tint="-0.499984740745262"/>
  </sheetPr>
  <dimension ref="A1:BI151"/>
  <sheetViews>
    <sheetView zoomScaleNormal="100" workbookViewId="0">
      <pane xSplit="3" ySplit="3" topLeftCell="AU137" activePane="bottomRight" state="frozen"/>
      <selection activeCell="AY3" sqref="AY3"/>
      <selection pane="topRight" activeCell="AY3" sqref="AY3"/>
      <selection pane="bottomLeft" activeCell="AY3" sqref="AY3"/>
      <selection pane="bottomRight" activeCell="BG148" sqref="BG148"/>
    </sheetView>
  </sheetViews>
  <sheetFormatPr baseColWidth="10" defaultColWidth="56.5703125" defaultRowHeight="48.75" customHeight="1"/>
  <cols>
    <col min="1" max="1" width="4.5703125" style="245" bestFit="1" customWidth="1"/>
    <col min="2" max="2" width="52.28515625" style="244" customWidth="1"/>
    <col min="3" max="3" width="24.85546875" style="244" bestFit="1" customWidth="1"/>
    <col min="4" max="51" width="6.7109375" style="245" customWidth="1"/>
    <col min="52" max="52" width="7.28515625" style="245" customWidth="1"/>
    <col min="53" max="53" width="7.7109375" style="245" customWidth="1"/>
    <col min="54" max="54" width="7.28515625" style="245" customWidth="1"/>
    <col min="55" max="55" width="7.28515625" style="244" customWidth="1"/>
    <col min="56" max="56" width="7" style="244" customWidth="1"/>
    <col min="57" max="57" width="7.140625" style="244" customWidth="1"/>
    <col min="58" max="58" width="7.5703125" style="245" customWidth="1"/>
    <col min="59" max="60" width="7.7109375" style="244" customWidth="1"/>
    <col min="61" max="97" width="4.85546875" style="244" customWidth="1"/>
    <col min="98" max="16384" width="56.5703125" style="244"/>
  </cols>
  <sheetData>
    <row r="1" spans="1:61" ht="29.25" customHeight="1">
      <c r="B1" s="4723" t="s">
        <v>1750</v>
      </c>
      <c r="C1" s="4723"/>
      <c r="D1" s="4723"/>
      <c r="E1" s="4723"/>
      <c r="F1" s="4723"/>
      <c r="G1" s="4723"/>
      <c r="H1" s="4723"/>
      <c r="I1" s="4723"/>
      <c r="J1" s="4723"/>
      <c r="K1" s="4723"/>
      <c r="L1" s="4723"/>
      <c r="M1" s="4723"/>
      <c r="N1" s="4723"/>
      <c r="O1" s="4723"/>
      <c r="P1" s="4723"/>
      <c r="Q1" s="4723"/>
      <c r="R1" s="4723"/>
      <c r="S1" s="4723"/>
      <c r="T1" s="4723"/>
      <c r="U1" s="4723"/>
      <c r="V1" s="4723"/>
      <c r="W1" s="4723"/>
      <c r="X1" s="4723"/>
      <c r="Y1" s="4723"/>
      <c r="Z1" s="4723"/>
      <c r="AA1" s="4723"/>
      <c r="AB1" s="4723"/>
      <c r="AC1" s="4723"/>
      <c r="AD1" s="4723"/>
      <c r="AE1" s="4723"/>
      <c r="AF1" s="4723"/>
      <c r="AG1" s="4723"/>
      <c r="AH1" s="4723"/>
      <c r="AI1" s="4723"/>
      <c r="AJ1" s="4723"/>
      <c r="AK1" s="4723"/>
      <c r="AL1" s="4723"/>
      <c r="AM1" s="4723"/>
      <c r="AN1" s="4723"/>
      <c r="AO1" s="4723"/>
      <c r="AP1" s="4723"/>
      <c r="AQ1" s="4723"/>
      <c r="AR1" s="4723"/>
      <c r="AS1" s="4723"/>
      <c r="AT1" s="4723"/>
      <c r="AU1" s="4723"/>
      <c r="AV1" s="4723"/>
      <c r="AW1" s="4723"/>
      <c r="AX1" s="4723"/>
      <c r="AY1" s="4723"/>
      <c r="AZ1" s="4723"/>
      <c r="BA1" s="4723"/>
      <c r="BB1" s="4723"/>
    </row>
    <row r="2" spans="1:61" ht="29.25" customHeight="1" thickBot="1">
      <c r="BA2" s="118"/>
    </row>
    <row r="3" spans="1:61" ht="61.5" customHeight="1">
      <c r="B3" s="1753" t="s">
        <v>190</v>
      </c>
      <c r="C3" s="1754" t="s">
        <v>1751</v>
      </c>
      <c r="D3" s="1753" t="s">
        <v>587</v>
      </c>
      <c r="E3" s="1753" t="s">
        <v>612</v>
      </c>
      <c r="F3" s="1753" t="s">
        <v>613</v>
      </c>
      <c r="G3" s="1753" t="s">
        <v>614</v>
      </c>
      <c r="H3" s="1753" t="s">
        <v>588</v>
      </c>
      <c r="I3" s="1753" t="s">
        <v>589</v>
      </c>
      <c r="J3" s="1753" t="s">
        <v>590</v>
      </c>
      <c r="K3" s="1753" t="s">
        <v>591</v>
      </c>
      <c r="L3" s="1753" t="s">
        <v>592</v>
      </c>
      <c r="M3" s="1753" t="s">
        <v>593</v>
      </c>
      <c r="N3" s="1753" t="s">
        <v>594</v>
      </c>
      <c r="O3" s="1753" t="s">
        <v>595</v>
      </c>
      <c r="P3" s="1753" t="s">
        <v>596</v>
      </c>
      <c r="Q3" s="1753" t="s">
        <v>597</v>
      </c>
      <c r="R3" s="1753" t="s">
        <v>598</v>
      </c>
      <c r="S3" s="1753" t="s">
        <v>599</v>
      </c>
      <c r="T3" s="1753" t="s">
        <v>600</v>
      </c>
      <c r="U3" s="1753" t="s">
        <v>898</v>
      </c>
      <c r="V3" s="1753" t="s">
        <v>601</v>
      </c>
      <c r="W3" s="1753" t="s">
        <v>602</v>
      </c>
      <c r="X3" s="1753" t="s">
        <v>603</v>
      </c>
      <c r="Y3" s="1753" t="s">
        <v>604</v>
      </c>
      <c r="Z3" s="1753" t="s">
        <v>605</v>
      </c>
      <c r="AA3" s="1753" t="s">
        <v>606</v>
      </c>
      <c r="AB3" s="1753" t="s">
        <v>400</v>
      </c>
      <c r="AC3" s="1753" t="s">
        <v>401</v>
      </c>
      <c r="AD3" s="1753" t="s">
        <v>402</v>
      </c>
      <c r="AE3" s="1753" t="s">
        <v>607</v>
      </c>
      <c r="AF3" s="1753" t="s">
        <v>608</v>
      </c>
      <c r="AG3" s="1753" t="s">
        <v>609</v>
      </c>
      <c r="AH3" s="1753" t="s">
        <v>699</v>
      </c>
      <c r="AI3" s="1753" t="s">
        <v>700</v>
      </c>
      <c r="AJ3" s="1753" t="s">
        <v>701</v>
      </c>
      <c r="AK3" s="1805" t="s">
        <v>750</v>
      </c>
      <c r="AL3" s="1805" t="s">
        <v>755</v>
      </c>
      <c r="AM3" s="1805" t="s">
        <v>846</v>
      </c>
      <c r="AN3" s="1805" t="s">
        <v>1720</v>
      </c>
      <c r="AO3" s="1805" t="s">
        <v>1721</v>
      </c>
      <c r="AP3" s="1755" t="s">
        <v>1722</v>
      </c>
      <c r="AQ3" s="2528" t="s">
        <v>1725</v>
      </c>
      <c r="AR3" s="2529" t="s">
        <v>1729</v>
      </c>
      <c r="AS3" s="2528" t="s">
        <v>1969</v>
      </c>
      <c r="AT3" s="2474" t="s">
        <v>1991</v>
      </c>
      <c r="AU3" s="2474" t="s">
        <v>2491</v>
      </c>
      <c r="AV3" s="2474" t="s">
        <v>1761</v>
      </c>
      <c r="AW3" s="4021" t="s">
        <v>2508</v>
      </c>
      <c r="AX3" s="4021" t="s">
        <v>2495</v>
      </c>
      <c r="AY3" s="4021" t="s">
        <v>2499</v>
      </c>
      <c r="AZ3" s="292" t="s">
        <v>479</v>
      </c>
      <c r="BA3" s="292" t="s">
        <v>385</v>
      </c>
      <c r="BB3" s="292" t="s">
        <v>535</v>
      </c>
      <c r="BC3" s="292" t="s">
        <v>706</v>
      </c>
      <c r="BD3" s="292" t="s">
        <v>1752</v>
      </c>
      <c r="BE3" s="292" t="s">
        <v>1753</v>
      </c>
      <c r="BF3" s="292" t="s">
        <v>1976</v>
      </c>
      <c r="BG3" s="292" t="s">
        <v>2497</v>
      </c>
      <c r="BH3" s="239" t="s">
        <v>2844</v>
      </c>
    </row>
    <row r="4" spans="1:61" ht="15">
      <c r="B4" s="2532" t="s">
        <v>376</v>
      </c>
      <c r="C4" s="2533"/>
      <c r="D4" s="2534"/>
      <c r="E4" s="2534"/>
      <c r="F4" s="2534"/>
      <c r="G4" s="2534"/>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5"/>
      <c r="AH4" s="2535"/>
      <c r="AI4" s="2535"/>
      <c r="AJ4" s="2535"/>
      <c r="AK4" s="2535"/>
      <c r="AL4" s="2535"/>
      <c r="AM4" s="2535"/>
      <c r="AN4" s="2535"/>
      <c r="AO4" s="2535"/>
      <c r="AP4" s="2535"/>
      <c r="AQ4" s="2531"/>
      <c r="AR4" s="2531"/>
      <c r="AS4" s="2531"/>
      <c r="AT4" s="2531"/>
      <c r="AU4" s="2531"/>
      <c r="AV4" s="2531"/>
      <c r="AW4" s="2531"/>
      <c r="AX4" s="2531"/>
      <c r="AY4" s="2531"/>
      <c r="AZ4" s="2536"/>
      <c r="BA4" s="2536"/>
      <c r="BB4" s="2536"/>
      <c r="BC4" s="2536"/>
      <c r="BD4" s="2537"/>
      <c r="BE4" s="2537"/>
      <c r="BF4" s="2530"/>
      <c r="BG4" s="2530"/>
      <c r="BH4" s="2530"/>
    </row>
    <row r="5" spans="1:61" ht="29.25" customHeight="1">
      <c r="A5" s="245">
        <v>1</v>
      </c>
      <c r="B5" s="1758" t="s">
        <v>756</v>
      </c>
      <c r="C5" s="1759" t="s">
        <v>594</v>
      </c>
      <c r="D5" s="1806"/>
      <c r="E5" s="1806"/>
      <c r="F5" s="1806"/>
      <c r="G5" s="1806"/>
      <c r="H5" s="1790" t="s">
        <v>258</v>
      </c>
      <c r="I5" s="1807"/>
      <c r="J5" s="1806"/>
      <c r="K5" s="1806"/>
      <c r="L5" s="1806"/>
      <c r="M5" s="1790" t="s">
        <v>205</v>
      </c>
      <c r="N5" s="317"/>
      <c r="O5" s="1806"/>
      <c r="P5" s="1806"/>
      <c r="Q5" s="1806"/>
      <c r="R5" s="1806" t="s">
        <v>203</v>
      </c>
      <c r="S5" s="1806"/>
      <c r="T5" s="1806"/>
      <c r="U5" s="1806"/>
      <c r="V5" s="1806"/>
      <c r="W5" s="1806"/>
      <c r="X5" s="1806"/>
      <c r="Y5" s="1806"/>
      <c r="Z5" s="1806"/>
      <c r="AA5" s="1806"/>
      <c r="AB5" s="1806"/>
      <c r="AC5" s="1806"/>
      <c r="AD5" s="1806"/>
      <c r="AE5" s="1807"/>
      <c r="AF5" s="1807"/>
      <c r="AG5" s="1775"/>
      <c r="AH5" s="1775"/>
      <c r="AI5" s="1775"/>
      <c r="AJ5" s="1775"/>
      <c r="AK5" s="1775"/>
      <c r="AL5" s="1775"/>
      <c r="AM5" s="1775"/>
      <c r="AN5" s="1775"/>
      <c r="AO5" s="1775"/>
      <c r="AP5" s="1775"/>
      <c r="AQ5" s="2475"/>
      <c r="AR5" s="2538" t="s">
        <v>1970</v>
      </c>
      <c r="AS5" s="2475"/>
      <c r="AT5" s="2475"/>
      <c r="AU5" s="2475"/>
      <c r="AV5" s="4008"/>
      <c r="AW5" s="3994"/>
      <c r="AX5" s="3008" t="s">
        <v>2845</v>
      </c>
      <c r="AY5" s="3994"/>
      <c r="AZ5" s="245">
        <v>1</v>
      </c>
      <c r="BC5" s="245"/>
      <c r="BD5" s="245"/>
      <c r="BE5" s="245"/>
      <c r="BF5" s="245">
        <v>1</v>
      </c>
      <c r="BG5" s="245">
        <v>1</v>
      </c>
      <c r="BH5" s="245">
        <v>1</v>
      </c>
    </row>
    <row r="6" spans="1:61" ht="29.25" customHeight="1">
      <c r="A6" s="245">
        <v>2</v>
      </c>
      <c r="B6" s="1758" t="s">
        <v>757</v>
      </c>
      <c r="C6" s="1773" t="s">
        <v>597</v>
      </c>
      <c r="D6" s="1807"/>
      <c r="E6" s="1807"/>
      <c r="F6" s="1807"/>
      <c r="G6" s="1807"/>
      <c r="H6" s="1790" t="s">
        <v>209</v>
      </c>
      <c r="I6" s="1807"/>
      <c r="J6" s="1807"/>
      <c r="K6" s="1807"/>
      <c r="L6" s="1777" t="s">
        <v>255</v>
      </c>
      <c r="M6" s="1807"/>
      <c r="N6" s="1807"/>
      <c r="O6" s="1777" t="s">
        <v>211</v>
      </c>
      <c r="P6" s="1807"/>
      <c r="Q6" s="1807"/>
      <c r="R6" s="1807"/>
      <c r="S6" s="1807"/>
      <c r="T6" s="1807" t="s">
        <v>204</v>
      </c>
      <c r="U6" s="1807"/>
      <c r="V6" s="1807"/>
      <c r="W6" s="1807"/>
      <c r="X6" s="1807"/>
      <c r="Y6" s="1807"/>
      <c r="Z6" s="1807"/>
      <c r="AA6" s="1807"/>
      <c r="AB6" s="1807"/>
      <c r="AC6" s="1807"/>
      <c r="AD6" s="1807"/>
      <c r="AE6" s="1807"/>
      <c r="AF6" s="1807"/>
      <c r="AG6" s="1775"/>
      <c r="AH6" s="1775"/>
      <c r="AI6" s="1775"/>
      <c r="AJ6" s="1775"/>
      <c r="AK6" s="1775"/>
      <c r="AL6" s="1775"/>
      <c r="AM6" s="1775"/>
      <c r="AN6" s="1775"/>
      <c r="AO6" s="1775"/>
      <c r="AP6" s="1775"/>
      <c r="AQ6" s="2475"/>
      <c r="AR6" s="2475"/>
      <c r="AS6" s="2475"/>
      <c r="AT6" s="2475"/>
      <c r="AU6" s="3008" t="s">
        <v>2518</v>
      </c>
      <c r="AV6" s="4008"/>
      <c r="AW6" s="3994"/>
      <c r="AX6" s="3008" t="s">
        <v>2845</v>
      </c>
      <c r="AY6" s="3994"/>
      <c r="AZ6" s="245">
        <v>1</v>
      </c>
      <c r="BA6" s="245">
        <v>1</v>
      </c>
      <c r="BC6" s="245"/>
      <c r="BD6" s="245"/>
      <c r="BE6" s="245"/>
      <c r="BG6" s="245">
        <v>1</v>
      </c>
      <c r="BH6" s="245">
        <v>1</v>
      </c>
      <c r="BI6" s="354" t="s">
        <v>2500</v>
      </c>
    </row>
    <row r="7" spans="1:61" ht="29.25" customHeight="1">
      <c r="A7" s="245">
        <v>3</v>
      </c>
      <c r="B7" s="1758" t="s">
        <v>758</v>
      </c>
      <c r="C7" s="1773" t="s">
        <v>597</v>
      </c>
      <c r="D7" s="1807"/>
      <c r="E7" s="1807"/>
      <c r="F7" s="1807"/>
      <c r="G7" s="1807"/>
      <c r="H7" s="1790" t="s">
        <v>209</v>
      </c>
      <c r="I7" s="1807"/>
      <c r="J7" s="1807"/>
      <c r="K7" s="1807"/>
      <c r="L7" s="1777" t="s">
        <v>255</v>
      </c>
      <c r="M7" s="317"/>
      <c r="N7" s="1807"/>
      <c r="O7" s="1777" t="s">
        <v>211</v>
      </c>
      <c r="P7" s="1807"/>
      <c r="Q7" s="1807"/>
      <c r="R7" s="1807"/>
      <c r="S7" s="1807"/>
      <c r="T7" s="1807" t="s">
        <v>204</v>
      </c>
      <c r="U7" s="1807"/>
      <c r="V7" s="1807"/>
      <c r="W7" s="1807"/>
      <c r="X7" s="1807"/>
      <c r="Y7" s="1807"/>
      <c r="Z7" s="1807"/>
      <c r="AA7" s="1807"/>
      <c r="AB7" s="1807"/>
      <c r="AC7" s="1807"/>
      <c r="AD7" s="1807"/>
      <c r="AE7" s="1807"/>
      <c r="AF7" s="1807"/>
      <c r="AG7" s="1775"/>
      <c r="AH7" s="1775"/>
      <c r="AI7" s="1775"/>
      <c r="AJ7" s="1775"/>
      <c r="AK7" s="1775"/>
      <c r="AL7" s="1775"/>
      <c r="AM7" s="1775"/>
      <c r="AN7" s="1775"/>
      <c r="AO7" s="1775"/>
      <c r="AP7" s="1775"/>
      <c r="AQ7" s="2475"/>
      <c r="AR7" s="2475"/>
      <c r="AS7" s="2475"/>
      <c r="AT7" s="2475"/>
      <c r="AU7" s="3008" t="s">
        <v>2518</v>
      </c>
      <c r="AV7" s="4008"/>
      <c r="AW7" s="3994"/>
      <c r="AX7" s="3008" t="s">
        <v>2845</v>
      </c>
      <c r="AY7" s="3994"/>
      <c r="AZ7" s="245">
        <v>1</v>
      </c>
      <c r="BA7" s="245">
        <v>1</v>
      </c>
      <c r="BC7" s="245"/>
      <c r="BD7" s="245"/>
      <c r="BE7" s="245"/>
      <c r="BG7" s="245">
        <v>1</v>
      </c>
      <c r="BH7" s="245">
        <v>1</v>
      </c>
      <c r="BI7" s="354" t="s">
        <v>2500</v>
      </c>
    </row>
    <row r="8" spans="1:61" ht="29.25" customHeight="1">
      <c r="A8" s="245">
        <v>4</v>
      </c>
      <c r="B8" s="1758" t="s">
        <v>279</v>
      </c>
      <c r="C8" s="1787" t="s">
        <v>588</v>
      </c>
      <c r="D8" s="1808"/>
      <c r="E8" s="1808"/>
      <c r="F8" s="1808"/>
      <c r="G8" s="1808"/>
      <c r="H8" s="1809" t="s">
        <v>209</v>
      </c>
      <c r="I8" s="1807"/>
      <c r="J8" s="1808"/>
      <c r="K8" s="1808"/>
      <c r="L8" s="1808"/>
      <c r="M8" s="1808"/>
      <c r="N8" s="1808"/>
      <c r="O8" s="1808"/>
      <c r="P8" s="1808"/>
      <c r="Q8" s="1808"/>
      <c r="R8" s="1808"/>
      <c r="S8" s="1808"/>
      <c r="T8" s="1808"/>
      <c r="U8" s="1808"/>
      <c r="V8" s="1808"/>
      <c r="W8" s="1808"/>
      <c r="X8" s="1808"/>
      <c r="Y8" s="1808"/>
      <c r="Z8" s="1808"/>
      <c r="AA8" s="1808"/>
      <c r="AB8" s="1808"/>
      <c r="AC8" s="1808"/>
      <c r="AD8" s="1808"/>
      <c r="AE8" s="1807"/>
      <c r="AF8" s="1807"/>
      <c r="AG8" s="1775"/>
      <c r="AH8" s="1775"/>
      <c r="AI8" s="1775"/>
      <c r="AJ8" s="1775"/>
      <c r="AK8" s="1775"/>
      <c r="AL8" s="1775"/>
      <c r="AM8" s="1775"/>
      <c r="AN8" s="1775"/>
      <c r="AO8" s="1775"/>
      <c r="AP8" s="1775"/>
      <c r="AQ8" s="2540" t="s">
        <v>1977</v>
      </c>
      <c r="AR8" s="2475"/>
      <c r="AS8" s="2475"/>
      <c r="AT8" s="2475"/>
      <c r="AU8" s="2475"/>
      <c r="AV8" s="4008"/>
      <c r="AW8" s="3994"/>
      <c r="AX8" s="3008" t="s">
        <v>2845</v>
      </c>
      <c r="AY8" s="3994"/>
      <c r="BC8" s="245"/>
      <c r="BD8" s="245"/>
      <c r="BE8" s="245"/>
      <c r="BF8" s="245">
        <v>1</v>
      </c>
      <c r="BG8" s="245">
        <v>1</v>
      </c>
      <c r="BH8" s="245">
        <v>1</v>
      </c>
      <c r="BI8" s="354"/>
    </row>
    <row r="9" spans="1:61" ht="29.25" customHeight="1">
      <c r="A9" s="245">
        <v>5</v>
      </c>
      <c r="B9" s="1758" t="s">
        <v>280</v>
      </c>
      <c r="C9" s="1787" t="s">
        <v>588</v>
      </c>
      <c r="D9" s="1808"/>
      <c r="E9" s="1808"/>
      <c r="F9" s="1808"/>
      <c r="G9" s="1808"/>
      <c r="H9" s="1809" t="s">
        <v>209</v>
      </c>
      <c r="I9" s="1807"/>
      <c r="J9" s="1808"/>
      <c r="K9" s="1808"/>
      <c r="L9" s="1808"/>
      <c r="M9" s="1808"/>
      <c r="N9" s="1808"/>
      <c r="O9" s="1808"/>
      <c r="P9" s="1808"/>
      <c r="Q9" s="1808"/>
      <c r="R9" s="1808"/>
      <c r="S9" s="1808"/>
      <c r="T9" s="1808"/>
      <c r="U9" s="1808"/>
      <c r="V9" s="1808"/>
      <c r="W9" s="1808"/>
      <c r="X9" s="1808"/>
      <c r="Y9" s="1808"/>
      <c r="Z9" s="1808"/>
      <c r="AA9" s="1808"/>
      <c r="AB9" s="1808"/>
      <c r="AC9" s="1808"/>
      <c r="AD9" s="1808"/>
      <c r="AE9" s="1807"/>
      <c r="AF9" s="1807"/>
      <c r="AG9" s="1775"/>
      <c r="AH9" s="1775"/>
      <c r="AI9" s="1775"/>
      <c r="AJ9" s="1775"/>
      <c r="AK9" s="1775"/>
      <c r="AL9" s="1775"/>
      <c r="AM9" s="1775"/>
      <c r="AN9" s="1775"/>
      <c r="AO9" s="1775"/>
      <c r="AP9" s="1775"/>
      <c r="AQ9" s="2540" t="s">
        <v>1977</v>
      </c>
      <c r="AR9" s="2475"/>
      <c r="AS9" s="2475"/>
      <c r="AT9" s="2475"/>
      <c r="AU9" s="2475"/>
      <c r="AV9" s="4008"/>
      <c r="AW9" s="3994"/>
      <c r="AX9" s="3008" t="s">
        <v>2845</v>
      </c>
      <c r="AY9" s="3994"/>
      <c r="BC9" s="245"/>
      <c r="BD9" s="245"/>
      <c r="BE9" s="245"/>
      <c r="BF9" s="245">
        <v>1</v>
      </c>
      <c r="BG9" s="245">
        <v>1</v>
      </c>
      <c r="BH9" s="245">
        <v>1</v>
      </c>
      <c r="BI9" s="354"/>
    </row>
    <row r="10" spans="1:61" ht="29.25" customHeight="1">
      <c r="A10" s="245">
        <v>6</v>
      </c>
      <c r="B10" s="1758" t="s">
        <v>1983</v>
      </c>
      <c r="C10" s="1787" t="s">
        <v>1729</v>
      </c>
      <c r="D10" s="1808"/>
      <c r="E10" s="1808"/>
      <c r="F10" s="1808"/>
      <c r="G10" s="1808"/>
      <c r="H10" s="1808"/>
      <c r="I10" s="1808"/>
      <c r="J10" s="1808"/>
      <c r="K10" s="1808"/>
      <c r="L10" s="1808"/>
      <c r="M10" s="1808"/>
      <c r="N10" s="1808"/>
      <c r="O10" s="1808"/>
      <c r="P10" s="1808"/>
      <c r="Q10" s="1808"/>
      <c r="R10" s="1808"/>
      <c r="S10" s="1808"/>
      <c r="T10" s="1808"/>
      <c r="U10" s="1808"/>
      <c r="V10" s="1808"/>
      <c r="W10" s="1808"/>
      <c r="X10" s="1808"/>
      <c r="Y10" s="1808"/>
      <c r="Z10" s="1808"/>
      <c r="AA10" s="1808"/>
      <c r="AB10" s="1808"/>
      <c r="AC10" s="1808"/>
      <c r="AD10" s="1810" t="s">
        <v>429</v>
      </c>
      <c r="AE10" s="1807"/>
      <c r="AF10" s="1807"/>
      <c r="AG10" s="1775"/>
      <c r="AH10" s="1775"/>
      <c r="AI10" s="1775"/>
      <c r="AJ10" s="1775"/>
      <c r="AK10" s="1775"/>
      <c r="AL10" s="1775"/>
      <c r="AM10" s="1775"/>
      <c r="AN10" s="1775"/>
      <c r="AO10" s="1775"/>
      <c r="AP10" s="1777" t="s">
        <v>1754</v>
      </c>
      <c r="AQ10" s="2541"/>
      <c r="AR10" s="2541"/>
      <c r="AS10" s="2541"/>
      <c r="AT10" s="2541"/>
      <c r="AU10" s="2541"/>
      <c r="AV10" s="4009"/>
      <c r="AW10" s="4014"/>
      <c r="AX10" s="4014"/>
      <c r="AY10" s="4018" t="s">
        <v>2836</v>
      </c>
      <c r="BB10" s="245">
        <v>1</v>
      </c>
      <c r="BC10" s="245">
        <v>1</v>
      </c>
      <c r="BD10" s="245">
        <v>1</v>
      </c>
      <c r="BE10" s="245">
        <v>1</v>
      </c>
      <c r="BF10" s="245">
        <v>1</v>
      </c>
      <c r="BG10" s="245">
        <v>1</v>
      </c>
      <c r="BH10" s="245">
        <v>1</v>
      </c>
      <c r="BI10" s="354"/>
    </row>
    <row r="11" spans="1:61" ht="29.25" customHeight="1">
      <c r="A11" s="245">
        <v>7</v>
      </c>
      <c r="B11" s="1758" t="s">
        <v>1984</v>
      </c>
      <c r="C11" s="1787" t="s">
        <v>1729</v>
      </c>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10" t="s">
        <v>386</v>
      </c>
      <c r="AE11" s="1807"/>
      <c r="AF11" s="1807"/>
      <c r="AG11" s="1775"/>
      <c r="AH11" s="1775"/>
      <c r="AI11" s="1775"/>
      <c r="AJ11" s="1775"/>
      <c r="AK11" s="1775"/>
      <c r="AL11" s="1775"/>
      <c r="AM11" s="1775"/>
      <c r="AN11" s="1775"/>
      <c r="AO11" s="1775"/>
      <c r="AP11" s="1777" t="s">
        <v>1754</v>
      </c>
      <c r="AQ11" s="2541"/>
      <c r="AR11" s="2541"/>
      <c r="AS11" s="2541"/>
      <c r="AT11" s="2541"/>
      <c r="AU11" s="2541"/>
      <c r="AV11" s="4009"/>
      <c r="AW11" s="4014"/>
      <c r="AX11" s="4014"/>
      <c r="AY11" s="4018" t="s">
        <v>2836</v>
      </c>
      <c r="BB11" s="245">
        <v>1</v>
      </c>
      <c r="BC11" s="245">
        <v>1</v>
      </c>
      <c r="BD11" s="245">
        <v>1</v>
      </c>
      <c r="BE11" s="245">
        <v>1</v>
      </c>
      <c r="BF11" s="245">
        <v>1</v>
      </c>
      <c r="BG11" s="245">
        <v>1</v>
      </c>
      <c r="BH11" s="245">
        <v>1</v>
      </c>
      <c r="BI11" s="354"/>
    </row>
    <row r="12" spans="1:61" ht="29.25" customHeight="1">
      <c r="A12" s="245">
        <v>8</v>
      </c>
      <c r="B12" s="1758" t="s">
        <v>1985</v>
      </c>
      <c r="C12" s="1787" t="s">
        <v>607</v>
      </c>
      <c r="D12" s="1808"/>
      <c r="E12" s="1808"/>
      <c r="F12" s="1808"/>
      <c r="G12" s="1808"/>
      <c r="H12" s="1808"/>
      <c r="I12" s="1808"/>
      <c r="J12" s="1808"/>
      <c r="K12" s="1808"/>
      <c r="L12" s="1808"/>
      <c r="M12" s="1808" t="s">
        <v>332</v>
      </c>
      <c r="N12" s="1808"/>
      <c r="O12" s="1808"/>
      <c r="P12" s="1808"/>
      <c r="Q12" s="1808"/>
      <c r="R12" s="1808"/>
      <c r="S12" s="1808"/>
      <c r="T12" s="1808"/>
      <c r="U12" s="1808"/>
      <c r="V12" s="1808"/>
      <c r="W12" s="1808"/>
      <c r="X12" s="1808"/>
      <c r="Y12" s="1808"/>
      <c r="Z12" s="1808"/>
      <c r="AA12" s="1808"/>
      <c r="AB12" s="1808"/>
      <c r="AC12" s="1808"/>
      <c r="AD12" s="1810" t="s">
        <v>387</v>
      </c>
      <c r="AE12" s="1807"/>
      <c r="AF12" s="1808"/>
      <c r="AG12" s="1775"/>
      <c r="AH12" s="1775"/>
      <c r="AI12" s="1775"/>
      <c r="AJ12" s="1775"/>
      <c r="AK12" s="1775"/>
      <c r="AL12" s="1775"/>
      <c r="AM12" s="1775"/>
      <c r="AN12" s="1775"/>
      <c r="AO12" s="1775"/>
      <c r="AP12" s="1775"/>
      <c r="AQ12" s="2475"/>
      <c r="AR12" s="2475"/>
      <c r="AS12" s="2475"/>
      <c r="AT12" s="2475"/>
      <c r="AU12" s="3008" t="s">
        <v>2518</v>
      </c>
      <c r="AV12" s="4008"/>
      <c r="AW12" s="3994"/>
      <c r="AX12" s="4018" t="s">
        <v>2845</v>
      </c>
      <c r="AY12" s="3994"/>
      <c r="BB12" s="245">
        <v>1</v>
      </c>
      <c r="BC12" s="245">
        <v>1</v>
      </c>
      <c r="BD12" s="245">
        <v>1</v>
      </c>
      <c r="BE12" s="245">
        <v>1</v>
      </c>
      <c r="BG12" s="245">
        <v>1</v>
      </c>
      <c r="BH12" s="245">
        <v>1</v>
      </c>
      <c r="BI12" s="354"/>
    </row>
    <row r="13" spans="1:61" ht="29.25" customHeight="1">
      <c r="A13" s="245">
        <v>9</v>
      </c>
      <c r="B13" s="1758" t="s">
        <v>1986</v>
      </c>
      <c r="C13" s="1787" t="s">
        <v>607</v>
      </c>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10" t="s">
        <v>387</v>
      </c>
      <c r="AE13" s="1807"/>
      <c r="AF13" s="1807"/>
      <c r="AG13" s="1775"/>
      <c r="AH13" s="1775"/>
      <c r="AI13" s="1775"/>
      <c r="AJ13" s="1775"/>
      <c r="AK13" s="1775"/>
      <c r="AL13" s="1775"/>
      <c r="AM13" s="1775"/>
      <c r="AN13" s="1775"/>
      <c r="AO13" s="1775"/>
      <c r="AP13" s="1775"/>
      <c r="AQ13" s="2475"/>
      <c r="AR13" s="2475"/>
      <c r="AS13" s="2475"/>
      <c r="AT13" s="2475"/>
      <c r="AU13" s="3008" t="s">
        <v>2518</v>
      </c>
      <c r="AV13" s="4008"/>
      <c r="AW13" s="3994"/>
      <c r="AX13" s="4018" t="s">
        <v>2845</v>
      </c>
      <c r="AY13" s="3994"/>
      <c r="BB13" s="245">
        <v>1</v>
      </c>
      <c r="BC13" s="245">
        <v>1</v>
      </c>
      <c r="BD13" s="245">
        <v>1</v>
      </c>
      <c r="BE13" s="245">
        <v>1</v>
      </c>
      <c r="BG13" s="245">
        <v>1</v>
      </c>
      <c r="BH13" s="245">
        <v>1</v>
      </c>
      <c r="BI13" s="354"/>
    </row>
    <row r="14" spans="1:61" ht="29.25" customHeight="1">
      <c r="A14" s="245">
        <v>10</v>
      </c>
      <c r="B14" s="1758" t="s">
        <v>2498</v>
      </c>
      <c r="C14" s="2539" t="s">
        <v>2499</v>
      </c>
      <c r="D14" s="2541"/>
      <c r="E14" s="2541"/>
      <c r="F14" s="2541"/>
      <c r="G14" s="2541"/>
      <c r="H14" s="2541"/>
      <c r="I14" s="2541"/>
      <c r="J14" s="2541"/>
      <c r="K14" s="2541"/>
      <c r="L14" s="2541"/>
      <c r="M14" s="2541"/>
      <c r="N14" s="2541"/>
      <c r="O14" s="2541"/>
      <c r="P14" s="2541"/>
      <c r="Q14" s="2541"/>
      <c r="R14" s="2541"/>
      <c r="S14" s="2541"/>
      <c r="T14" s="2541"/>
      <c r="U14" s="2541"/>
      <c r="V14" s="2541"/>
      <c r="W14" s="2541"/>
      <c r="X14" s="2541"/>
      <c r="Y14" s="2541"/>
      <c r="Z14" s="2541"/>
      <c r="AA14" s="2541"/>
      <c r="AB14" s="2541"/>
      <c r="AC14" s="2541"/>
      <c r="AD14" s="2541"/>
      <c r="AE14" s="2541"/>
      <c r="AF14" s="2541"/>
      <c r="AG14" s="2475"/>
      <c r="AH14" s="2475"/>
      <c r="AI14" s="2475"/>
      <c r="AJ14" s="2475"/>
      <c r="AK14" s="2475"/>
      <c r="AL14" s="2475"/>
      <c r="AM14" s="2475"/>
      <c r="AN14" s="2475"/>
      <c r="AO14" s="2475"/>
      <c r="AP14" s="2475"/>
      <c r="AQ14" s="2475"/>
      <c r="AR14" s="2475"/>
      <c r="AS14" s="2475"/>
      <c r="AT14" s="2475"/>
      <c r="AU14" s="2475"/>
      <c r="AV14" s="4010" t="s">
        <v>2519</v>
      </c>
      <c r="AW14" s="4022"/>
      <c r="AX14" s="4022"/>
      <c r="AY14" s="4022"/>
      <c r="BC14" s="245"/>
      <c r="BD14" s="245"/>
      <c r="BE14" s="245"/>
      <c r="BG14" s="245"/>
      <c r="BH14" s="245">
        <v>1</v>
      </c>
      <c r="BI14" s="354"/>
    </row>
    <row r="15" spans="1:61" ht="15">
      <c r="B15" s="2997" t="s">
        <v>377</v>
      </c>
      <c r="C15" s="2998"/>
      <c r="D15" s="2999"/>
      <c r="E15" s="2999"/>
      <c r="F15" s="2999"/>
      <c r="G15" s="2999"/>
      <c r="H15" s="2999"/>
      <c r="I15" s="2999"/>
      <c r="J15" s="2999"/>
      <c r="K15" s="2999"/>
      <c r="L15" s="2999"/>
      <c r="M15" s="2999"/>
      <c r="N15" s="2999"/>
      <c r="O15" s="2999"/>
      <c r="P15" s="2999"/>
      <c r="Q15" s="2999"/>
      <c r="R15" s="2999"/>
      <c r="S15" s="2999"/>
      <c r="T15" s="2999"/>
      <c r="U15" s="2999"/>
      <c r="V15" s="2999"/>
      <c r="W15" s="2999"/>
      <c r="X15" s="2999"/>
      <c r="Y15" s="2999"/>
      <c r="Z15" s="2999"/>
      <c r="AA15" s="2999"/>
      <c r="AB15" s="2999"/>
      <c r="AC15" s="2999"/>
      <c r="AD15" s="2999"/>
      <c r="AE15" s="2999"/>
      <c r="AF15" s="2999"/>
      <c r="AG15" s="3000"/>
      <c r="AH15" s="3000"/>
      <c r="AI15" s="3000"/>
      <c r="AJ15" s="3000"/>
      <c r="AK15" s="3000"/>
      <c r="AL15" s="3000"/>
      <c r="AM15" s="3000"/>
      <c r="AN15" s="3000"/>
      <c r="AO15" s="3000"/>
      <c r="AP15" s="3000"/>
      <c r="AQ15" s="2479"/>
      <c r="AR15" s="2479"/>
      <c r="AS15" s="2479"/>
      <c r="AT15" s="2995"/>
      <c r="AU15" s="2995"/>
      <c r="AV15" s="2995"/>
      <c r="AW15" s="4015"/>
      <c r="AX15" s="4015"/>
      <c r="AY15" s="4015"/>
      <c r="AZ15" s="2536"/>
      <c r="BA15" s="2536"/>
      <c r="BB15" s="2536"/>
      <c r="BC15" s="2536"/>
      <c r="BD15" s="2537"/>
      <c r="BE15" s="2537"/>
      <c r="BF15" s="2530"/>
      <c r="BG15" s="2530"/>
      <c r="BH15" s="2530"/>
    </row>
    <row r="16" spans="1:61" ht="29.25" customHeight="1">
      <c r="A16" s="245">
        <v>11</v>
      </c>
      <c r="B16" s="1758" t="s">
        <v>759</v>
      </c>
      <c r="C16" s="1759" t="s">
        <v>597</v>
      </c>
      <c r="D16" s="1806"/>
      <c r="E16" s="1806"/>
      <c r="F16" s="1806"/>
      <c r="G16" s="1806"/>
      <c r="H16" s="1806"/>
      <c r="I16" s="1806"/>
      <c r="J16" s="1806"/>
      <c r="K16" s="1806"/>
      <c r="L16" s="1806"/>
      <c r="M16" s="1806"/>
      <c r="N16" s="1806"/>
      <c r="O16" s="1806"/>
      <c r="P16" s="1806"/>
      <c r="Q16" s="1790" t="s">
        <v>211</v>
      </c>
      <c r="R16" s="1806"/>
      <c r="S16" s="1806"/>
      <c r="T16" s="1806"/>
      <c r="U16" s="1806"/>
      <c r="V16" s="1806"/>
      <c r="W16" s="1806"/>
      <c r="X16" s="1806"/>
      <c r="Y16" s="1806"/>
      <c r="Z16" s="1806"/>
      <c r="AA16" s="1806"/>
      <c r="AB16" s="1806"/>
      <c r="AC16" s="1806"/>
      <c r="AD16" s="1806"/>
      <c r="AE16" s="1807"/>
      <c r="AF16" s="1807"/>
      <c r="AG16" s="1775"/>
      <c r="AH16" s="1775"/>
      <c r="AI16" s="1775"/>
      <c r="AJ16" s="1775"/>
      <c r="AK16" s="1775"/>
      <c r="AL16" s="1775"/>
      <c r="AM16" s="1775"/>
      <c r="AN16" s="1775"/>
      <c r="AO16" s="1775"/>
      <c r="AP16" s="1775"/>
      <c r="AQ16" s="2475"/>
      <c r="AR16" s="2475"/>
      <c r="AS16" s="2475"/>
      <c r="AT16" s="2475"/>
      <c r="AU16" s="2475"/>
      <c r="AV16" s="4008"/>
      <c r="AW16" s="3994"/>
      <c r="AX16" s="3994"/>
      <c r="AY16" s="3994"/>
      <c r="AZ16" s="245">
        <v>1</v>
      </c>
      <c r="BA16" s="245">
        <v>1</v>
      </c>
      <c r="BC16" s="245"/>
      <c r="BD16" s="245"/>
      <c r="BE16" s="245"/>
      <c r="BG16" s="245"/>
      <c r="BH16" s="245"/>
    </row>
    <row r="17" spans="1:60" ht="29.25" customHeight="1">
      <c r="A17" s="245">
        <v>12</v>
      </c>
      <c r="B17" s="1758" t="s">
        <v>760</v>
      </c>
      <c r="C17" s="1773" t="s">
        <v>589</v>
      </c>
      <c r="D17" s="1807"/>
      <c r="E17" s="1807"/>
      <c r="F17" s="1807"/>
      <c r="G17" s="1807"/>
      <c r="H17" s="1807"/>
      <c r="I17" s="1812" t="s">
        <v>1755</v>
      </c>
      <c r="J17" s="1807"/>
      <c r="K17" s="1807"/>
      <c r="L17" s="1807"/>
      <c r="M17" s="1807"/>
      <c r="N17" s="1807"/>
      <c r="O17" s="1807"/>
      <c r="P17" s="1807"/>
      <c r="Q17" s="1807"/>
      <c r="R17" s="1807"/>
      <c r="S17" s="1807"/>
      <c r="T17" s="1807"/>
      <c r="U17" s="1807"/>
      <c r="V17" s="1807"/>
      <c r="W17" s="1807"/>
      <c r="X17" s="1807"/>
      <c r="Y17" s="1807"/>
      <c r="Z17" s="1807"/>
      <c r="AA17" s="1807"/>
      <c r="AB17" s="1807"/>
      <c r="AC17" s="1807"/>
      <c r="AD17" s="1807"/>
      <c r="AE17" s="1807"/>
      <c r="AF17" s="1807"/>
      <c r="AG17" s="1775"/>
      <c r="AH17" s="1775"/>
      <c r="AI17" s="1775"/>
      <c r="AJ17" s="1775"/>
      <c r="AK17" s="1775"/>
      <c r="AL17" s="1775"/>
      <c r="AM17" s="1775"/>
      <c r="AN17" s="1775"/>
      <c r="AO17" s="1775"/>
      <c r="AP17" s="1775"/>
      <c r="AQ17" s="2475"/>
      <c r="AR17" s="2475"/>
      <c r="AS17" s="2475"/>
      <c r="AT17" s="2475"/>
      <c r="AU17" s="2475"/>
      <c r="AV17" s="4008"/>
      <c r="AW17" s="3994"/>
      <c r="AX17" s="3994"/>
      <c r="AY17" s="3994"/>
      <c r="BC17" s="245"/>
      <c r="BD17" s="245"/>
      <c r="BE17" s="245"/>
      <c r="BG17" s="245"/>
      <c r="BH17" s="245"/>
    </row>
    <row r="18" spans="1:60" ht="29.25" customHeight="1">
      <c r="A18" s="245">
        <v>13</v>
      </c>
      <c r="B18" s="1758" t="s">
        <v>761</v>
      </c>
      <c r="C18" s="1773" t="s">
        <v>599</v>
      </c>
      <c r="D18" s="1807"/>
      <c r="E18" s="1807"/>
      <c r="F18" s="1807"/>
      <c r="G18" s="1807"/>
      <c r="H18" s="1807"/>
      <c r="I18" s="1807"/>
      <c r="J18" s="1807"/>
      <c r="K18" s="1807"/>
      <c r="L18" s="1807"/>
      <c r="M18" s="1807"/>
      <c r="N18" s="1807"/>
      <c r="O18" s="1807"/>
      <c r="P18" s="1807"/>
      <c r="Q18" s="1807"/>
      <c r="R18" s="1811" t="s">
        <v>234</v>
      </c>
      <c r="S18" s="317"/>
      <c r="T18" s="1807"/>
      <c r="U18" s="1807"/>
      <c r="V18" s="1807"/>
      <c r="W18" s="1807"/>
      <c r="X18" s="1807"/>
      <c r="Y18" s="1807"/>
      <c r="Z18" s="1807"/>
      <c r="AA18" s="1807"/>
      <c r="AB18" s="1807"/>
      <c r="AC18" s="1807"/>
      <c r="AD18" s="1807"/>
      <c r="AE18" s="1807"/>
      <c r="AF18" s="1807"/>
      <c r="AG18" s="1775"/>
      <c r="AH18" s="1775"/>
      <c r="AI18" s="1775"/>
      <c r="AJ18" s="1775"/>
      <c r="AK18" s="1775"/>
      <c r="AL18" s="1775"/>
      <c r="AM18" s="1775"/>
      <c r="AN18" s="1775"/>
      <c r="AO18" s="1775"/>
      <c r="AP18" s="1775"/>
      <c r="AQ18" s="2475"/>
      <c r="AR18" s="2475"/>
      <c r="AS18" s="2475"/>
      <c r="AT18" s="2475"/>
      <c r="AU18" s="2475"/>
      <c r="AV18" s="4008"/>
      <c r="AW18" s="3994"/>
      <c r="AX18" s="3994"/>
      <c r="AY18" s="3994"/>
      <c r="AZ18" s="245">
        <v>1</v>
      </c>
      <c r="BA18" s="245">
        <v>1</v>
      </c>
      <c r="BB18" s="245">
        <v>1</v>
      </c>
      <c r="BC18" s="245"/>
      <c r="BD18" s="245"/>
      <c r="BE18" s="245"/>
      <c r="BG18" s="245"/>
      <c r="BH18" s="245"/>
    </row>
    <row r="19" spans="1:60" ht="29.25" customHeight="1">
      <c r="A19" s="245">
        <v>14</v>
      </c>
      <c r="B19" s="1758" t="s">
        <v>762</v>
      </c>
      <c r="C19" s="1773" t="s">
        <v>402</v>
      </c>
      <c r="D19" s="1807"/>
      <c r="E19" s="1807"/>
      <c r="F19" s="1807"/>
      <c r="G19" s="1807"/>
      <c r="H19" s="1807"/>
      <c r="I19" s="1807"/>
      <c r="J19" s="1807"/>
      <c r="K19" s="1807"/>
      <c r="L19" s="1807"/>
      <c r="M19" s="1807"/>
      <c r="N19" s="1807"/>
      <c r="O19" s="1807"/>
      <c r="P19" s="1807"/>
      <c r="Q19" s="1807"/>
      <c r="R19" s="1807"/>
      <c r="S19" s="1807"/>
      <c r="T19" s="1807"/>
      <c r="U19" s="1807"/>
      <c r="V19" s="1807"/>
      <c r="W19" s="1807"/>
      <c r="X19" s="1807"/>
      <c r="Y19" s="1807"/>
      <c r="Z19" s="1807"/>
      <c r="AA19" s="1807"/>
      <c r="AB19" s="1807"/>
      <c r="AC19" s="1777" t="s">
        <v>235</v>
      </c>
      <c r="AD19" s="1807"/>
      <c r="AE19" s="1807"/>
      <c r="AF19" s="1807"/>
      <c r="AG19" s="1775"/>
      <c r="AH19" s="1775"/>
      <c r="AI19" s="1775"/>
      <c r="AJ19" s="1775"/>
      <c r="AK19" s="1775"/>
      <c r="AL19" s="1775"/>
      <c r="AM19" s="1775"/>
      <c r="AN19" s="1775"/>
      <c r="AO19" s="1775"/>
      <c r="AP19" s="1775"/>
      <c r="AQ19" s="2475"/>
      <c r="AR19" s="2538" t="s">
        <v>1970</v>
      </c>
      <c r="AS19" s="2475"/>
      <c r="AT19" s="2475"/>
      <c r="AU19" s="2475"/>
      <c r="AV19" s="4008"/>
      <c r="AW19" s="3994"/>
      <c r="AX19" s="3994"/>
      <c r="AY19" s="3994"/>
      <c r="BA19" s="245">
        <v>1</v>
      </c>
      <c r="BB19" s="245">
        <v>1</v>
      </c>
      <c r="BC19" s="245">
        <v>1</v>
      </c>
      <c r="BD19" s="245">
        <v>1</v>
      </c>
      <c r="BE19" s="245">
        <v>1</v>
      </c>
      <c r="BF19" s="245">
        <v>1</v>
      </c>
      <c r="BG19" s="245">
        <v>1</v>
      </c>
      <c r="BH19" s="245">
        <v>1</v>
      </c>
    </row>
    <row r="20" spans="1:60" ht="29.25" customHeight="1">
      <c r="A20" s="245">
        <v>15</v>
      </c>
      <c r="B20" s="1758" t="s">
        <v>496</v>
      </c>
      <c r="C20" s="1773" t="s">
        <v>592</v>
      </c>
      <c r="D20" s="1807"/>
      <c r="E20" s="1807"/>
      <c r="F20" s="1807"/>
      <c r="G20" s="1807"/>
      <c r="H20" s="1807"/>
      <c r="I20" s="1812" t="s">
        <v>236</v>
      </c>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775"/>
      <c r="AH20" s="1775"/>
      <c r="AI20" s="1775"/>
      <c r="AJ20" s="1775"/>
      <c r="AK20" s="1775"/>
      <c r="AL20" s="1775"/>
      <c r="AM20" s="1775"/>
      <c r="AN20" s="1775"/>
      <c r="AO20" s="1775"/>
      <c r="AP20" s="1775"/>
      <c r="AQ20" s="2475"/>
      <c r="AR20" s="2539"/>
      <c r="AS20" s="2538" t="s">
        <v>1975</v>
      </c>
      <c r="AT20" s="2541"/>
      <c r="AU20" s="2541"/>
      <c r="AV20" s="4009"/>
      <c r="AW20" s="4014"/>
      <c r="AX20" s="4014"/>
      <c r="AY20" s="4014"/>
      <c r="BC20" s="245"/>
      <c r="BD20" s="245"/>
      <c r="BE20" s="245"/>
      <c r="BF20" s="245">
        <v>1</v>
      </c>
      <c r="BG20" s="245">
        <v>1</v>
      </c>
      <c r="BH20" s="245">
        <v>1</v>
      </c>
    </row>
    <row r="21" spans="1:60" ht="29.25" customHeight="1">
      <c r="A21" s="245">
        <v>16</v>
      </c>
      <c r="B21" s="1758" t="s">
        <v>284</v>
      </c>
      <c r="C21" s="1773" t="s">
        <v>592</v>
      </c>
      <c r="D21" s="1807"/>
      <c r="E21" s="1807"/>
      <c r="F21" s="1807"/>
      <c r="G21" s="1807"/>
      <c r="H21" s="1807"/>
      <c r="I21" s="1812" t="s">
        <v>236</v>
      </c>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775"/>
      <c r="AH21" s="1775"/>
      <c r="AI21" s="1775"/>
      <c r="AJ21" s="1775"/>
      <c r="AK21" s="1775"/>
      <c r="AL21" s="1775"/>
      <c r="AM21" s="1775"/>
      <c r="AN21" s="1775"/>
      <c r="AO21" s="1775"/>
      <c r="AP21" s="1775"/>
      <c r="AQ21" s="2475"/>
      <c r="AR21" s="2539"/>
      <c r="AS21" s="2538" t="s">
        <v>1975</v>
      </c>
      <c r="AT21" s="2541"/>
      <c r="AU21" s="2541"/>
      <c r="AV21" s="4009"/>
      <c r="AW21" s="4014"/>
      <c r="AX21" s="4014"/>
      <c r="AY21" s="4014"/>
      <c r="BC21" s="245"/>
      <c r="BD21" s="245"/>
      <c r="BE21" s="245"/>
      <c r="BF21" s="245">
        <v>1</v>
      </c>
      <c r="BG21" s="245">
        <v>1</v>
      </c>
      <c r="BH21" s="245">
        <v>1</v>
      </c>
    </row>
    <row r="22" spans="1:60" ht="29.25" customHeight="1">
      <c r="A22" s="245">
        <v>17</v>
      </c>
      <c r="B22" s="1758" t="s">
        <v>763</v>
      </c>
      <c r="C22" s="1787" t="s">
        <v>699</v>
      </c>
      <c r="D22" s="1808"/>
      <c r="E22" s="1808"/>
      <c r="F22" s="1808"/>
      <c r="G22" s="1808"/>
      <c r="H22" s="1808"/>
      <c r="I22" s="1808"/>
      <c r="J22" s="1808"/>
      <c r="K22" s="1808"/>
      <c r="L22" s="1808"/>
      <c r="M22" s="1808"/>
      <c r="N22" s="1808"/>
      <c r="O22" s="1810" t="s">
        <v>237</v>
      </c>
      <c r="P22" s="1808"/>
      <c r="Q22" s="1807"/>
      <c r="R22" s="1807"/>
      <c r="S22" s="1808"/>
      <c r="T22" s="1808"/>
      <c r="U22" s="1808"/>
      <c r="V22" s="1808"/>
      <c r="W22" s="1808"/>
      <c r="X22" s="1808"/>
      <c r="Y22" s="1808"/>
      <c r="Z22" s="1808"/>
      <c r="AA22" s="1808"/>
      <c r="AB22" s="1808"/>
      <c r="AC22" s="1808"/>
      <c r="AD22" s="1808"/>
      <c r="AE22" s="1807"/>
      <c r="AF22" s="1807"/>
      <c r="AG22" s="1777" t="s">
        <v>850</v>
      </c>
      <c r="AH22" s="1775"/>
      <c r="AI22" s="1775"/>
      <c r="AJ22" s="1775"/>
      <c r="AK22" s="1775"/>
      <c r="AL22" s="1775"/>
      <c r="AM22" s="1775"/>
      <c r="AN22" s="1775"/>
      <c r="AO22" s="1775"/>
      <c r="AP22" s="1775"/>
      <c r="AQ22" s="2475"/>
      <c r="AR22" s="2475"/>
      <c r="AS22" s="2475"/>
      <c r="AT22" s="2475"/>
      <c r="AU22" s="2475"/>
      <c r="AV22" s="4008"/>
      <c r="AW22" s="3994"/>
      <c r="AX22" s="3994"/>
      <c r="AY22" s="3994"/>
      <c r="AZ22" s="245">
        <v>1</v>
      </c>
      <c r="BA22" s="245">
        <v>1</v>
      </c>
      <c r="BC22" s="245"/>
      <c r="BD22" s="245">
        <v>1</v>
      </c>
      <c r="BE22" s="245">
        <v>1</v>
      </c>
      <c r="BF22" s="245">
        <v>1</v>
      </c>
      <c r="BG22" s="245"/>
      <c r="BH22" s="245"/>
    </row>
    <row r="23" spans="1:60" ht="29.25" customHeight="1">
      <c r="A23" s="245">
        <v>18</v>
      </c>
      <c r="B23" s="1758" t="s">
        <v>493</v>
      </c>
      <c r="C23" s="1787" t="s">
        <v>699</v>
      </c>
      <c r="D23" s="1808"/>
      <c r="E23" s="1808"/>
      <c r="F23" s="1808"/>
      <c r="G23" s="1808"/>
      <c r="H23" s="1808"/>
      <c r="I23" s="1808"/>
      <c r="J23" s="1808"/>
      <c r="K23" s="1808"/>
      <c r="L23" s="1808"/>
      <c r="M23" s="1808"/>
      <c r="N23" s="1808"/>
      <c r="O23" s="1810" t="s">
        <v>237</v>
      </c>
      <c r="P23" s="1808"/>
      <c r="Q23" s="1807"/>
      <c r="R23" s="1807"/>
      <c r="S23" s="1808"/>
      <c r="T23" s="1808"/>
      <c r="U23" s="1808"/>
      <c r="V23" s="1808"/>
      <c r="W23" s="1808"/>
      <c r="X23" s="1808"/>
      <c r="Y23" s="1808"/>
      <c r="Z23" s="1808"/>
      <c r="AA23" s="1808"/>
      <c r="AB23" s="1808"/>
      <c r="AC23" s="1808"/>
      <c r="AD23" s="1808"/>
      <c r="AE23" s="1807"/>
      <c r="AF23" s="1807"/>
      <c r="AG23" s="1777" t="s">
        <v>850</v>
      </c>
      <c r="AH23" s="1775"/>
      <c r="AI23" s="1775"/>
      <c r="AJ23" s="1775"/>
      <c r="AK23" s="1775"/>
      <c r="AL23" s="1775"/>
      <c r="AM23" s="1775"/>
      <c r="AN23" s="1775"/>
      <c r="AO23" s="1775"/>
      <c r="AP23" s="1775"/>
      <c r="AQ23" s="2475"/>
      <c r="AR23" s="2475"/>
      <c r="AS23" s="2475"/>
      <c r="AT23" s="2475"/>
      <c r="AU23" s="2475"/>
      <c r="AV23" s="4008"/>
      <c r="AW23" s="3994"/>
      <c r="AX23" s="3994"/>
      <c r="AY23" s="3994"/>
      <c r="AZ23" s="245">
        <v>1</v>
      </c>
      <c r="BA23" s="245">
        <v>1</v>
      </c>
      <c r="BC23" s="245"/>
      <c r="BD23" s="245">
        <v>1</v>
      </c>
      <c r="BE23" s="245">
        <v>1</v>
      </c>
      <c r="BF23" s="245">
        <v>1</v>
      </c>
      <c r="BG23" s="245"/>
      <c r="BH23" s="245"/>
    </row>
    <row r="24" spans="1:60" ht="29.25" customHeight="1">
      <c r="A24" s="245">
        <v>19</v>
      </c>
      <c r="B24" s="1758" t="s">
        <v>494</v>
      </c>
      <c r="C24" s="1787" t="s">
        <v>699</v>
      </c>
      <c r="D24" s="1808"/>
      <c r="E24" s="1808"/>
      <c r="F24" s="1808"/>
      <c r="G24" s="1808"/>
      <c r="H24" s="1808"/>
      <c r="I24" s="1808"/>
      <c r="J24" s="1808"/>
      <c r="K24" s="1808"/>
      <c r="L24" s="1808"/>
      <c r="M24" s="1808"/>
      <c r="N24" s="1808"/>
      <c r="O24" s="1810" t="s">
        <v>237</v>
      </c>
      <c r="P24" s="1808"/>
      <c r="Q24" s="1807"/>
      <c r="R24" s="1807"/>
      <c r="S24" s="1808"/>
      <c r="T24" s="1808"/>
      <c r="U24" s="1808"/>
      <c r="V24" s="1808"/>
      <c r="W24" s="1808"/>
      <c r="X24" s="1808"/>
      <c r="Y24" s="1808"/>
      <c r="Z24" s="1808"/>
      <c r="AA24" s="1808"/>
      <c r="AB24" s="1808"/>
      <c r="AC24" s="1808"/>
      <c r="AD24" s="1808"/>
      <c r="AE24" s="1807"/>
      <c r="AF24" s="1807"/>
      <c r="AG24" s="1777" t="s">
        <v>850</v>
      </c>
      <c r="AH24" s="1775"/>
      <c r="AI24" s="1775"/>
      <c r="AJ24" s="1775"/>
      <c r="AK24" s="1775"/>
      <c r="AL24" s="1775"/>
      <c r="AM24" s="1775"/>
      <c r="AN24" s="1775"/>
      <c r="AO24" s="1775"/>
      <c r="AP24" s="1775"/>
      <c r="AQ24" s="2475"/>
      <c r="AR24" s="2475"/>
      <c r="AS24" s="2475"/>
      <c r="AT24" s="2475"/>
      <c r="AU24" s="2475"/>
      <c r="AV24" s="4008"/>
      <c r="AW24" s="3994"/>
      <c r="AX24" s="3994"/>
      <c r="AY24" s="3994"/>
      <c r="AZ24" s="245">
        <v>1</v>
      </c>
      <c r="BA24" s="245">
        <v>1</v>
      </c>
      <c r="BC24" s="245"/>
      <c r="BD24" s="245">
        <v>1</v>
      </c>
      <c r="BE24" s="245">
        <v>1</v>
      </c>
      <c r="BF24" s="245">
        <v>1</v>
      </c>
      <c r="BG24" s="245"/>
      <c r="BH24" s="245"/>
    </row>
    <row r="25" spans="1:60" ht="29.25" customHeight="1">
      <c r="A25" s="245">
        <v>20</v>
      </c>
      <c r="B25" s="1758" t="s">
        <v>1982</v>
      </c>
      <c r="C25" s="1813" t="s">
        <v>608</v>
      </c>
      <c r="D25" s="1807"/>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1807"/>
      <c r="AA25" s="1807"/>
      <c r="AB25" s="1807"/>
      <c r="AC25" s="1810" t="s">
        <v>388</v>
      </c>
      <c r="AD25" s="1811" t="s">
        <v>389</v>
      </c>
      <c r="AE25" s="1807"/>
      <c r="AF25" s="1807"/>
      <c r="AG25" s="1775"/>
      <c r="AH25" s="1775"/>
      <c r="AI25" s="1775"/>
      <c r="AJ25" s="1775"/>
      <c r="AK25" s="1775"/>
      <c r="AL25" s="1775"/>
      <c r="AM25" s="1775"/>
      <c r="AN25" s="1775"/>
      <c r="AO25" s="1775"/>
      <c r="AP25" s="1775"/>
      <c r="AQ25" s="2475"/>
      <c r="AR25" s="2538" t="s">
        <v>1970</v>
      </c>
      <c r="AS25" s="2475"/>
      <c r="AT25" s="2475"/>
      <c r="AU25" s="2475"/>
      <c r="AV25" s="4008"/>
      <c r="AW25" s="3994"/>
      <c r="AX25" s="3994"/>
      <c r="AY25" s="3994"/>
      <c r="BB25" s="245">
        <v>1</v>
      </c>
      <c r="BC25" s="245">
        <v>1</v>
      </c>
      <c r="BD25" s="245">
        <v>1</v>
      </c>
      <c r="BE25" s="245">
        <v>1</v>
      </c>
      <c r="BF25" s="245">
        <v>1</v>
      </c>
      <c r="BG25" s="245">
        <v>1</v>
      </c>
      <c r="BH25" s="245">
        <v>1</v>
      </c>
    </row>
    <row r="26" spans="1:60" ht="29.25" customHeight="1">
      <c r="A26" s="245">
        <v>21</v>
      </c>
      <c r="B26" s="2550" t="s">
        <v>2501</v>
      </c>
      <c r="C26" s="2539" t="s">
        <v>1991</v>
      </c>
      <c r="D26" s="2541"/>
      <c r="E26" s="2541"/>
      <c r="F26" s="2541"/>
      <c r="G26" s="2541"/>
      <c r="H26" s="2541"/>
      <c r="I26" s="2541"/>
      <c r="J26" s="2541"/>
      <c r="K26" s="2541"/>
      <c r="L26" s="2541"/>
      <c r="M26" s="2541"/>
      <c r="N26" s="2541"/>
      <c r="O26" s="2541"/>
      <c r="P26" s="2541"/>
      <c r="Q26" s="2541"/>
      <c r="R26" s="2541"/>
      <c r="S26" s="2541"/>
      <c r="T26" s="2541"/>
      <c r="U26" s="2541"/>
      <c r="V26" s="2541"/>
      <c r="W26" s="2541"/>
      <c r="X26" s="2541"/>
      <c r="Y26" s="2541"/>
      <c r="Z26" s="2541"/>
      <c r="AA26" s="2541"/>
      <c r="AB26" s="2541"/>
      <c r="AC26" s="2557"/>
      <c r="AD26" s="2540"/>
      <c r="AE26" s="2541"/>
      <c r="AF26" s="2541"/>
      <c r="AG26" s="2475"/>
      <c r="AH26" s="2475"/>
      <c r="AI26" s="2475"/>
      <c r="AJ26" s="2475"/>
      <c r="AK26" s="2475"/>
      <c r="AL26" s="2475"/>
      <c r="AM26" s="2475"/>
      <c r="AN26" s="2475"/>
      <c r="AO26" s="2475"/>
      <c r="AP26" s="2475"/>
      <c r="AQ26" s="2475"/>
      <c r="AR26" s="4404" t="s">
        <v>2877</v>
      </c>
      <c r="AS26" s="2475"/>
      <c r="AT26" s="2475"/>
      <c r="AU26" s="2475"/>
      <c r="AV26" s="4008"/>
      <c r="AW26" s="3994"/>
      <c r="AX26" s="3994"/>
      <c r="AY26" s="3994"/>
      <c r="BC26" s="245"/>
      <c r="BD26" s="245"/>
      <c r="BE26" s="245"/>
      <c r="BG26" s="245"/>
      <c r="BH26" s="245">
        <v>1</v>
      </c>
    </row>
    <row r="27" spans="1:60" ht="29.25" customHeight="1">
      <c r="B27" s="4030" t="s">
        <v>2846</v>
      </c>
      <c r="C27" s="4000" t="s">
        <v>2847</v>
      </c>
      <c r="D27" s="4029">
        <v>43258</v>
      </c>
      <c r="E27" s="4014"/>
      <c r="F27" s="4014"/>
      <c r="G27" s="4014"/>
      <c r="H27" s="4014"/>
      <c r="I27" s="4014"/>
      <c r="J27" s="4014"/>
      <c r="K27" s="4014"/>
      <c r="L27" s="4014"/>
      <c r="M27" s="4014"/>
      <c r="N27" s="4014"/>
      <c r="O27" s="4014"/>
      <c r="P27" s="4014"/>
      <c r="Q27" s="4014"/>
      <c r="R27" s="4014"/>
      <c r="S27" s="4014"/>
      <c r="T27" s="4014"/>
      <c r="U27" s="4014"/>
      <c r="V27" s="4014"/>
      <c r="W27" s="4014"/>
      <c r="X27" s="4014"/>
      <c r="Y27" s="4014"/>
      <c r="Z27" s="4014"/>
      <c r="AA27" s="4014"/>
      <c r="AB27" s="4014"/>
      <c r="AC27" s="4027"/>
      <c r="AD27" s="4028"/>
      <c r="AE27" s="4014"/>
      <c r="AF27" s="4014"/>
      <c r="AG27" s="3994"/>
      <c r="AH27" s="3994"/>
      <c r="AI27" s="3994"/>
      <c r="AJ27" s="3994"/>
      <c r="AK27" s="3994"/>
      <c r="AL27" s="3994"/>
      <c r="AM27" s="3994"/>
      <c r="AN27" s="3994"/>
      <c r="AO27" s="3994"/>
      <c r="AP27" s="3994"/>
      <c r="AQ27" s="3994"/>
      <c r="AR27" s="4014"/>
      <c r="AS27" s="3994"/>
      <c r="AT27" s="3994"/>
      <c r="AU27" s="3994"/>
      <c r="AV27" s="3994"/>
      <c r="AW27" s="3994"/>
      <c r="AX27" s="4031" t="s">
        <v>2848</v>
      </c>
      <c r="AY27" s="3994"/>
      <c r="BC27" s="245"/>
      <c r="BD27" s="245"/>
      <c r="BE27" s="245"/>
      <c r="BG27" s="245"/>
      <c r="BH27" s="245">
        <v>1</v>
      </c>
    </row>
    <row r="28" spans="1:60" ht="15">
      <c r="B28" s="2997" t="s">
        <v>378</v>
      </c>
      <c r="C28" s="2998"/>
      <c r="D28" s="2999"/>
      <c r="E28" s="2999"/>
      <c r="F28" s="2999"/>
      <c r="G28" s="2999"/>
      <c r="H28" s="2999"/>
      <c r="I28" s="2999"/>
      <c r="J28" s="2999"/>
      <c r="K28" s="2999"/>
      <c r="L28" s="2999"/>
      <c r="M28" s="2999"/>
      <c r="N28" s="2999"/>
      <c r="O28" s="2999"/>
      <c r="P28" s="2999"/>
      <c r="Q28" s="2999"/>
      <c r="R28" s="2999"/>
      <c r="S28" s="2999"/>
      <c r="T28" s="2999"/>
      <c r="U28" s="2999"/>
      <c r="V28" s="2999"/>
      <c r="W28" s="2999"/>
      <c r="X28" s="2999"/>
      <c r="Y28" s="2999"/>
      <c r="Z28" s="2999"/>
      <c r="AA28" s="2999"/>
      <c r="AB28" s="2999"/>
      <c r="AC28" s="2999"/>
      <c r="AD28" s="2999"/>
      <c r="AE28" s="2999"/>
      <c r="AF28" s="2999"/>
      <c r="AG28" s="3000"/>
      <c r="AH28" s="3000"/>
      <c r="AI28" s="3000"/>
      <c r="AJ28" s="3000"/>
      <c r="AK28" s="3000"/>
      <c r="AL28" s="3000"/>
      <c r="AM28" s="3000"/>
      <c r="AN28" s="3000"/>
      <c r="AO28" s="3000"/>
      <c r="AP28" s="3000"/>
      <c r="AQ28" s="2479"/>
      <c r="AR28" s="2479"/>
      <c r="AS28" s="2479"/>
      <c r="AT28" s="2995"/>
      <c r="AU28" s="2995"/>
      <c r="AV28" s="2995"/>
      <c r="AW28" s="4026"/>
      <c r="AX28" s="4026"/>
      <c r="AY28" s="4026"/>
      <c r="AZ28" s="2536"/>
      <c r="BA28" s="2536"/>
      <c r="BB28" s="2536"/>
      <c r="BC28" s="2536"/>
      <c r="BD28" s="2537"/>
      <c r="BE28" s="2537"/>
      <c r="BF28" s="2530"/>
      <c r="BG28" s="2530"/>
      <c r="BH28" s="2530"/>
    </row>
    <row r="29" spans="1:60" ht="29.25" hidden="1" customHeight="1">
      <c r="A29" s="1814"/>
      <c r="B29" s="2548" t="s">
        <v>1979</v>
      </c>
      <c r="C29" s="1815" t="s">
        <v>1756</v>
      </c>
      <c r="D29" s="181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16"/>
      <c r="AE29" s="1817"/>
      <c r="AF29" s="1817"/>
      <c r="AG29" s="1818"/>
      <c r="AH29" s="1818"/>
      <c r="AI29" s="1818"/>
      <c r="AJ29" s="1818"/>
      <c r="AK29" s="1818"/>
      <c r="AL29" s="1818"/>
      <c r="AM29" s="1818"/>
      <c r="AN29" s="2540" t="s">
        <v>1757</v>
      </c>
      <c r="AO29" s="1817"/>
      <c r="AP29" s="1817"/>
      <c r="AQ29" s="2541"/>
      <c r="AR29" s="2541"/>
      <c r="AS29" s="2541"/>
      <c r="AT29" s="2541"/>
      <c r="AU29" s="2541"/>
      <c r="AV29" s="4009"/>
      <c r="AW29" s="4014"/>
      <c r="AX29" s="4014"/>
      <c r="AY29" s="4014"/>
      <c r="BC29" s="245"/>
      <c r="BD29" s="245"/>
      <c r="BE29" s="245"/>
      <c r="BF29" s="245">
        <v>1</v>
      </c>
      <c r="BG29" s="245"/>
      <c r="BH29" s="245"/>
    </row>
    <row r="30" spans="1:60" ht="29.25" hidden="1" customHeight="1">
      <c r="A30" s="1814"/>
      <c r="B30" s="2548" t="s">
        <v>1980</v>
      </c>
      <c r="C30" s="1815" t="s">
        <v>1756</v>
      </c>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7"/>
      <c r="AF30" s="1817"/>
      <c r="AG30" s="1818"/>
      <c r="AH30" s="1818"/>
      <c r="AI30" s="1818"/>
      <c r="AJ30" s="1818"/>
      <c r="AK30" s="1818"/>
      <c r="AL30" s="1818"/>
      <c r="AM30" s="1818"/>
      <c r="AN30" s="2540" t="s">
        <v>1757</v>
      </c>
      <c r="AO30" s="1817"/>
      <c r="AP30" s="1817"/>
      <c r="AQ30" s="2541"/>
      <c r="AR30" s="2541"/>
      <c r="AS30" s="2541"/>
      <c r="AT30" s="2541"/>
      <c r="AU30" s="2541"/>
      <c r="AV30" s="4009"/>
      <c r="AW30" s="4014"/>
      <c r="AX30" s="4014"/>
      <c r="AY30" s="4014"/>
      <c r="BC30" s="245"/>
      <c r="BD30" s="245"/>
      <c r="BE30" s="245"/>
      <c r="BF30" s="245">
        <v>1</v>
      </c>
      <c r="BG30" s="245"/>
      <c r="BH30" s="245"/>
    </row>
    <row r="31" spans="1:60" ht="29.25" hidden="1" customHeight="1">
      <c r="A31" s="1814"/>
      <c r="B31" s="2548" t="s">
        <v>1981</v>
      </c>
      <c r="C31" s="1815" t="s">
        <v>1756</v>
      </c>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16"/>
      <c r="AE31" s="1817"/>
      <c r="AF31" s="1817"/>
      <c r="AG31" s="1818"/>
      <c r="AH31" s="1818"/>
      <c r="AI31" s="1818"/>
      <c r="AJ31" s="1818"/>
      <c r="AK31" s="1818"/>
      <c r="AL31" s="1818"/>
      <c r="AM31" s="1818"/>
      <c r="AN31" s="2540" t="s">
        <v>1757</v>
      </c>
      <c r="AO31" s="1817"/>
      <c r="AP31" s="1817"/>
      <c r="AQ31" s="2541"/>
      <c r="AR31" s="2541"/>
      <c r="AS31" s="2541"/>
      <c r="AT31" s="2541"/>
      <c r="AU31" s="2541"/>
      <c r="AV31" s="4009"/>
      <c r="AW31" s="4014"/>
      <c r="AX31" s="4014"/>
      <c r="AY31" s="4014"/>
      <c r="BC31" s="243"/>
      <c r="BD31" s="245"/>
      <c r="BE31" s="245"/>
      <c r="BF31" s="245">
        <v>1</v>
      </c>
      <c r="BG31" s="245"/>
      <c r="BH31" s="245"/>
    </row>
    <row r="32" spans="1:60" ht="29.25" customHeight="1">
      <c r="A32" s="245">
        <v>22</v>
      </c>
      <c r="B32" s="2549" t="s">
        <v>1758</v>
      </c>
      <c r="C32" s="1819" t="s">
        <v>1722</v>
      </c>
      <c r="D32" s="1807"/>
      <c r="E32" s="1807"/>
      <c r="F32" s="1807"/>
      <c r="G32" s="1807"/>
      <c r="H32" s="1807"/>
      <c r="I32" s="1807"/>
      <c r="J32" s="1807"/>
      <c r="K32" s="1807"/>
      <c r="L32" s="1807"/>
      <c r="M32" s="1807"/>
      <c r="N32" s="1807"/>
      <c r="O32" s="1807"/>
      <c r="P32" s="1807"/>
      <c r="Q32" s="1807"/>
      <c r="R32" s="1807"/>
      <c r="S32" s="1807"/>
      <c r="T32" s="1807"/>
      <c r="U32" s="1807"/>
      <c r="V32" s="1807"/>
      <c r="W32" s="1807"/>
      <c r="X32" s="1807"/>
      <c r="Y32" s="1807"/>
      <c r="Z32" s="1807"/>
      <c r="AA32" s="1807"/>
      <c r="AB32" s="1807"/>
      <c r="AC32" s="1807"/>
      <c r="AD32" s="1807"/>
      <c r="AE32" s="1807"/>
      <c r="AF32" s="1807"/>
      <c r="AG32" s="1775"/>
      <c r="AH32" s="1775"/>
      <c r="AI32" s="1775"/>
      <c r="AJ32" s="1775"/>
      <c r="AK32" s="1775"/>
      <c r="AL32" s="1775"/>
      <c r="AM32" s="1775"/>
      <c r="AN32" s="2547" t="s">
        <v>1759</v>
      </c>
      <c r="AO32" s="1775"/>
      <c r="AP32" s="1775"/>
      <c r="AQ32" s="2475"/>
      <c r="AR32" s="2475"/>
      <c r="AS32" s="2475"/>
      <c r="AT32" s="2475"/>
      <c r="AU32" s="2475"/>
      <c r="AV32" s="4008"/>
      <c r="AW32" s="3994"/>
      <c r="AX32" s="3994"/>
      <c r="AY32" s="3994"/>
      <c r="BC32" s="245"/>
      <c r="BD32" s="245"/>
      <c r="BE32" s="245">
        <v>1</v>
      </c>
      <c r="BF32" s="245">
        <v>1</v>
      </c>
      <c r="BG32" s="245">
        <v>1</v>
      </c>
      <c r="BH32" s="245">
        <v>1</v>
      </c>
    </row>
    <row r="33" spans="1:60" ht="29.25" customHeight="1">
      <c r="A33" s="245">
        <v>23</v>
      </c>
      <c r="B33" s="2549" t="s">
        <v>1760</v>
      </c>
      <c r="C33" s="1819" t="s">
        <v>1722</v>
      </c>
      <c r="D33" s="1807"/>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775"/>
      <c r="AH33" s="1775"/>
      <c r="AI33" s="1775"/>
      <c r="AJ33" s="1775"/>
      <c r="AK33" s="1775"/>
      <c r="AL33" s="1775"/>
      <c r="AM33" s="1775"/>
      <c r="AN33" s="2547" t="s">
        <v>1759</v>
      </c>
      <c r="AO33" s="1775"/>
      <c r="AP33" s="1775"/>
      <c r="AQ33" s="2475"/>
      <c r="AR33" s="2475"/>
      <c r="AS33" s="2475"/>
      <c r="AT33" s="2475"/>
      <c r="AU33" s="2475"/>
      <c r="AV33" s="4008"/>
      <c r="AW33" s="3994"/>
      <c r="AX33" s="3994"/>
      <c r="AY33" s="3994"/>
      <c r="BC33" s="245"/>
      <c r="BD33" s="245"/>
      <c r="BE33" s="245">
        <v>1</v>
      </c>
      <c r="BF33" s="245">
        <v>1</v>
      </c>
      <c r="BG33" s="245">
        <v>1</v>
      </c>
      <c r="BH33" s="245">
        <v>1</v>
      </c>
    </row>
    <row r="34" spans="1:60" ht="38.25" customHeight="1">
      <c r="A34" s="245">
        <v>24</v>
      </c>
      <c r="B34" s="2549" t="s">
        <v>2502</v>
      </c>
      <c r="C34" s="1819" t="s">
        <v>1761</v>
      </c>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775"/>
      <c r="AH34" s="1775"/>
      <c r="AI34" s="1775"/>
      <c r="AJ34" s="1775"/>
      <c r="AK34" s="1775"/>
      <c r="AL34" s="1775"/>
      <c r="AM34" s="1775"/>
      <c r="AN34" s="2547" t="s">
        <v>1759</v>
      </c>
      <c r="AO34" s="1775"/>
      <c r="AP34" s="1775"/>
      <c r="AR34" s="2475"/>
      <c r="AS34" s="2475"/>
      <c r="AT34" s="2475"/>
      <c r="AU34" s="2475"/>
      <c r="AV34" s="4008"/>
      <c r="AW34" s="3994"/>
      <c r="AX34" s="3994"/>
      <c r="AY34" s="3994"/>
      <c r="BC34" s="245"/>
      <c r="BD34" s="245"/>
      <c r="BE34" s="245"/>
      <c r="BF34" s="245">
        <v>1</v>
      </c>
      <c r="BG34" s="245">
        <v>1</v>
      </c>
      <c r="BH34" s="245">
        <v>1</v>
      </c>
    </row>
    <row r="35" spans="1:60" ht="29.25" customHeight="1">
      <c r="A35" s="245">
        <v>25</v>
      </c>
      <c r="B35" s="2549" t="s">
        <v>1762</v>
      </c>
      <c r="C35" s="1819" t="s">
        <v>1722</v>
      </c>
      <c r="D35" s="1807"/>
      <c r="E35" s="1807"/>
      <c r="F35" s="1807"/>
      <c r="G35" s="1807"/>
      <c r="H35" s="1807"/>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D35" s="1807"/>
      <c r="AE35" s="1807"/>
      <c r="AF35" s="1807"/>
      <c r="AG35" s="1775"/>
      <c r="AH35" s="1775"/>
      <c r="AI35" s="1775"/>
      <c r="AJ35" s="1775"/>
      <c r="AK35" s="1775"/>
      <c r="AL35" s="1775"/>
      <c r="AM35" s="1775"/>
      <c r="AN35" s="2547" t="s">
        <v>1759</v>
      </c>
      <c r="AO35" s="1775"/>
      <c r="AP35" s="1775"/>
      <c r="AQ35" s="2475"/>
      <c r="AR35" s="2475"/>
      <c r="AS35" s="2475"/>
      <c r="AT35" s="2475"/>
      <c r="AU35" s="2475"/>
      <c r="AV35" s="4008"/>
      <c r="AW35" s="3994"/>
      <c r="AX35" s="3994"/>
      <c r="AY35" s="3994"/>
      <c r="BC35" s="245"/>
      <c r="BD35" s="245"/>
      <c r="BE35" s="245">
        <v>1</v>
      </c>
      <c r="BF35" s="245">
        <v>1</v>
      </c>
      <c r="BG35" s="245">
        <v>1</v>
      </c>
      <c r="BH35" s="245">
        <v>1</v>
      </c>
    </row>
    <row r="36" spans="1:60" ht="29.25" customHeight="1">
      <c r="A36" s="245">
        <v>26</v>
      </c>
      <c r="B36" s="2549" t="s">
        <v>1763</v>
      </c>
      <c r="C36" s="1819" t="s">
        <v>1722</v>
      </c>
      <c r="D36" s="1807"/>
      <c r="E36" s="1807"/>
      <c r="F36" s="1807"/>
      <c r="G36" s="1807"/>
      <c r="H36" s="1807"/>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1807"/>
      <c r="AE36" s="1807"/>
      <c r="AF36" s="1807"/>
      <c r="AG36" s="1775"/>
      <c r="AH36" s="1775"/>
      <c r="AI36" s="1775"/>
      <c r="AJ36" s="1775"/>
      <c r="AK36" s="1775"/>
      <c r="AL36" s="1775"/>
      <c r="AM36" s="1775"/>
      <c r="AN36" s="2547" t="s">
        <v>1759</v>
      </c>
      <c r="AO36" s="1775"/>
      <c r="AP36" s="1775"/>
      <c r="AQ36" s="2475"/>
      <c r="AR36" s="2475"/>
      <c r="AS36" s="2475"/>
      <c r="AT36" s="2475"/>
      <c r="AU36" s="2475"/>
      <c r="AV36" s="4008"/>
      <c r="AW36" s="3994"/>
      <c r="AX36" s="3994"/>
      <c r="AY36" s="3994"/>
      <c r="BC36" s="245"/>
      <c r="BD36" s="245"/>
      <c r="BE36" s="245">
        <v>1</v>
      </c>
      <c r="BF36" s="245">
        <v>1</v>
      </c>
      <c r="BG36" s="245">
        <v>1</v>
      </c>
      <c r="BH36" s="245">
        <v>1</v>
      </c>
    </row>
    <row r="37" spans="1:60" ht="29.25" customHeight="1">
      <c r="A37" s="245">
        <v>27</v>
      </c>
      <c r="B37" s="2549" t="s">
        <v>1764</v>
      </c>
      <c r="C37" s="1819" t="s">
        <v>1722</v>
      </c>
      <c r="D37" s="1807"/>
      <c r="E37" s="1807"/>
      <c r="F37" s="1807"/>
      <c r="G37" s="1807"/>
      <c r="H37" s="1807"/>
      <c r="I37" s="1807"/>
      <c r="J37" s="1807"/>
      <c r="K37" s="1807"/>
      <c r="L37" s="1807"/>
      <c r="M37" s="1807"/>
      <c r="N37" s="1807"/>
      <c r="O37" s="1807"/>
      <c r="P37" s="1807"/>
      <c r="Q37" s="1807"/>
      <c r="R37" s="1807"/>
      <c r="S37" s="1807"/>
      <c r="T37" s="1807"/>
      <c r="U37" s="1807"/>
      <c r="V37" s="1807"/>
      <c r="W37" s="1807"/>
      <c r="X37" s="1807"/>
      <c r="Y37" s="1807"/>
      <c r="Z37" s="1807"/>
      <c r="AA37" s="1807"/>
      <c r="AB37" s="1807"/>
      <c r="AC37" s="1807"/>
      <c r="AD37" s="1807"/>
      <c r="AE37" s="1807"/>
      <c r="AF37" s="1807"/>
      <c r="AG37" s="1775"/>
      <c r="AH37" s="1775"/>
      <c r="AI37" s="1775"/>
      <c r="AJ37" s="1775"/>
      <c r="AK37" s="1775"/>
      <c r="AL37" s="1775"/>
      <c r="AM37" s="1775"/>
      <c r="AN37" s="2547" t="s">
        <v>1759</v>
      </c>
      <c r="AO37" s="1775"/>
      <c r="AP37" s="1775"/>
      <c r="AQ37" s="2475"/>
      <c r="AR37" s="2475"/>
      <c r="AS37" s="2475"/>
      <c r="AT37" s="2475"/>
      <c r="AU37" s="2475"/>
      <c r="AV37" s="4008"/>
      <c r="AW37" s="3994"/>
      <c r="AX37" s="3994"/>
      <c r="AY37" s="3994"/>
      <c r="BC37" s="245"/>
      <c r="BD37" s="245"/>
      <c r="BE37" s="245">
        <v>1</v>
      </c>
      <c r="BF37" s="245">
        <v>1</v>
      </c>
      <c r="BG37" s="245">
        <v>1</v>
      </c>
      <c r="BH37" s="245">
        <v>1</v>
      </c>
    </row>
    <row r="38" spans="1:60" ht="29.25" customHeight="1">
      <c r="A38" s="245">
        <v>28</v>
      </c>
      <c r="B38" s="2549" t="s">
        <v>1765</v>
      </c>
      <c r="C38" s="1819" t="s">
        <v>1722</v>
      </c>
      <c r="D38" s="1807"/>
      <c r="E38" s="1807"/>
      <c r="F38" s="1807"/>
      <c r="G38" s="1807"/>
      <c r="H38" s="1807"/>
      <c r="I38" s="1807"/>
      <c r="J38" s="1807"/>
      <c r="K38" s="1807"/>
      <c r="L38" s="1807"/>
      <c r="M38" s="1807"/>
      <c r="N38" s="1807"/>
      <c r="O38" s="1807"/>
      <c r="P38" s="1807"/>
      <c r="Q38" s="1807"/>
      <c r="R38" s="1807"/>
      <c r="S38" s="1807"/>
      <c r="T38" s="1807"/>
      <c r="U38" s="1807"/>
      <c r="V38" s="1807"/>
      <c r="W38" s="1807"/>
      <c r="X38" s="1807"/>
      <c r="Y38" s="1807"/>
      <c r="Z38" s="1807"/>
      <c r="AA38" s="1807"/>
      <c r="AB38" s="1807"/>
      <c r="AC38" s="1807"/>
      <c r="AD38" s="1807"/>
      <c r="AE38" s="1807"/>
      <c r="AF38" s="1807"/>
      <c r="AG38" s="1775"/>
      <c r="AH38" s="1775"/>
      <c r="AI38" s="1775"/>
      <c r="AJ38" s="1775"/>
      <c r="AK38" s="1775"/>
      <c r="AL38" s="1775"/>
      <c r="AM38" s="1775"/>
      <c r="AN38" s="2547" t="s">
        <v>1759</v>
      </c>
      <c r="AO38" s="1775"/>
      <c r="AP38" s="1775"/>
      <c r="AQ38" s="2475"/>
      <c r="AR38" s="2475"/>
      <c r="AS38" s="2475"/>
      <c r="AT38" s="2475"/>
      <c r="AU38" s="2475"/>
      <c r="AV38" s="4008"/>
      <c r="AW38" s="3994"/>
      <c r="AX38" s="3994"/>
      <c r="AY38" s="3994"/>
      <c r="BC38" s="245"/>
      <c r="BD38" s="245"/>
      <c r="BE38" s="245">
        <v>1</v>
      </c>
      <c r="BF38" s="245">
        <v>1</v>
      </c>
      <c r="BG38" s="245">
        <v>1</v>
      </c>
      <c r="BH38" s="245">
        <v>1</v>
      </c>
    </row>
    <row r="39" spans="1:60" ht="29.25" customHeight="1">
      <c r="A39" s="245">
        <v>29</v>
      </c>
      <c r="B39" s="2549" t="s">
        <v>1766</v>
      </c>
      <c r="C39" s="1819" t="s">
        <v>1722</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775"/>
      <c r="AH39" s="1775"/>
      <c r="AI39" s="1775"/>
      <c r="AJ39" s="1775"/>
      <c r="AK39" s="1775"/>
      <c r="AL39" s="1775"/>
      <c r="AM39" s="1775"/>
      <c r="AN39" s="2547" t="s">
        <v>1759</v>
      </c>
      <c r="AO39" s="1775"/>
      <c r="AP39" s="1775"/>
      <c r="AQ39" s="2475"/>
      <c r="AR39" s="2475"/>
      <c r="AS39" s="2475"/>
      <c r="AT39" s="2475"/>
      <c r="AU39" s="2475"/>
      <c r="AV39" s="4008"/>
      <c r="AW39" s="3994"/>
      <c r="AX39" s="3994"/>
      <c r="AY39" s="3994"/>
      <c r="BC39" s="245"/>
      <c r="BD39" s="245"/>
      <c r="BE39" s="245">
        <v>1</v>
      </c>
      <c r="BF39" s="245">
        <v>1</v>
      </c>
      <c r="BG39" s="245">
        <v>1</v>
      </c>
      <c r="BH39" s="245">
        <v>1</v>
      </c>
    </row>
    <row r="40" spans="1:60" ht="39.75" customHeight="1">
      <c r="A40" s="245">
        <v>30</v>
      </c>
      <c r="B40" s="2549" t="s">
        <v>2503</v>
      </c>
      <c r="C40" s="1819" t="s">
        <v>1761</v>
      </c>
      <c r="D40" s="1807"/>
      <c r="E40" s="1807"/>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1775"/>
      <c r="AH40" s="1775"/>
      <c r="AI40" s="1775"/>
      <c r="AJ40" s="1775"/>
      <c r="AK40" s="1775"/>
      <c r="AL40" s="1775"/>
      <c r="AM40" s="1775"/>
      <c r="AN40" s="2547" t="s">
        <v>1759</v>
      </c>
      <c r="AO40" s="1775"/>
      <c r="AP40" s="1775"/>
      <c r="AR40" s="2475"/>
      <c r="AS40" s="2475"/>
      <c r="AT40" s="2475"/>
      <c r="AU40" s="2475"/>
      <c r="AV40" s="4008"/>
      <c r="AW40" s="3994"/>
      <c r="AX40" s="3994"/>
      <c r="AY40" s="3994"/>
      <c r="BC40" s="245"/>
      <c r="BD40" s="245"/>
      <c r="BE40" s="245"/>
      <c r="BF40" s="245">
        <v>1</v>
      </c>
      <c r="BG40" s="245">
        <v>1</v>
      </c>
      <c r="BH40" s="245">
        <v>1</v>
      </c>
    </row>
    <row r="41" spans="1:60" ht="29.25" customHeight="1">
      <c r="A41" s="245">
        <v>31</v>
      </c>
      <c r="B41" s="2549" t="s">
        <v>1767</v>
      </c>
      <c r="C41" s="1819" t="s">
        <v>1722</v>
      </c>
      <c r="D41" s="1807"/>
      <c r="E41" s="1807"/>
      <c r="F41" s="1807"/>
      <c r="G41" s="1807"/>
      <c r="H41" s="1807"/>
      <c r="I41" s="1807"/>
      <c r="J41" s="1807"/>
      <c r="K41" s="1807"/>
      <c r="L41" s="1807"/>
      <c r="M41" s="1807"/>
      <c r="N41" s="1807"/>
      <c r="O41" s="1807"/>
      <c r="P41" s="1807"/>
      <c r="Q41" s="1807"/>
      <c r="R41" s="1807"/>
      <c r="S41" s="1807"/>
      <c r="T41" s="1807"/>
      <c r="U41" s="1807"/>
      <c r="V41" s="1807"/>
      <c r="W41" s="1807"/>
      <c r="X41" s="1807"/>
      <c r="Y41" s="1807"/>
      <c r="Z41" s="1807"/>
      <c r="AA41" s="1807"/>
      <c r="AB41" s="1807"/>
      <c r="AC41" s="1807"/>
      <c r="AD41" s="1807"/>
      <c r="AE41" s="1807"/>
      <c r="AF41" s="1807"/>
      <c r="AG41" s="1775"/>
      <c r="AH41" s="1775"/>
      <c r="AI41" s="1775"/>
      <c r="AJ41" s="1775"/>
      <c r="AK41" s="1775"/>
      <c r="AL41" s="1775"/>
      <c r="AM41" s="1775"/>
      <c r="AN41" s="2547" t="s">
        <v>1759</v>
      </c>
      <c r="AO41" s="1775"/>
      <c r="AP41" s="1775"/>
      <c r="AQ41" s="2475"/>
      <c r="AR41" s="2475"/>
      <c r="AS41" s="2475"/>
      <c r="AT41" s="2475"/>
      <c r="AU41" s="2475"/>
      <c r="AV41" s="4008"/>
      <c r="AW41" s="3994"/>
      <c r="AX41" s="3994"/>
      <c r="AY41" s="3994"/>
      <c r="BC41" s="245"/>
      <c r="BD41" s="245"/>
      <c r="BE41" s="245">
        <v>1</v>
      </c>
      <c r="BF41" s="245">
        <v>1</v>
      </c>
      <c r="BG41" s="245">
        <v>1</v>
      </c>
      <c r="BH41" s="245">
        <v>1</v>
      </c>
    </row>
    <row r="42" spans="1:60" ht="29.25" customHeight="1">
      <c r="A42" s="245">
        <v>32</v>
      </c>
      <c r="B42" s="2549" t="s">
        <v>1768</v>
      </c>
      <c r="C42" s="1819" t="s">
        <v>1722</v>
      </c>
      <c r="D42" s="1807"/>
      <c r="E42" s="1807"/>
      <c r="F42" s="1807"/>
      <c r="G42" s="1807"/>
      <c r="H42" s="1807"/>
      <c r="I42" s="1807"/>
      <c r="J42" s="1807"/>
      <c r="K42" s="1807"/>
      <c r="L42" s="1807"/>
      <c r="M42" s="1807"/>
      <c r="N42" s="1807"/>
      <c r="O42" s="1807"/>
      <c r="P42" s="1807"/>
      <c r="Q42" s="1807"/>
      <c r="R42" s="1807"/>
      <c r="S42" s="1807"/>
      <c r="T42" s="1807"/>
      <c r="U42" s="1807"/>
      <c r="V42" s="1807"/>
      <c r="W42" s="1807"/>
      <c r="X42" s="1807"/>
      <c r="Y42" s="1807"/>
      <c r="Z42" s="1807"/>
      <c r="AA42" s="1807"/>
      <c r="AB42" s="1807"/>
      <c r="AC42" s="1807"/>
      <c r="AD42" s="1807"/>
      <c r="AE42" s="1807"/>
      <c r="AF42" s="1807"/>
      <c r="AG42" s="1775"/>
      <c r="AH42" s="1775"/>
      <c r="AI42" s="1775"/>
      <c r="AJ42" s="1775"/>
      <c r="AK42" s="1775"/>
      <c r="AL42" s="1775"/>
      <c r="AM42" s="1775"/>
      <c r="AN42" s="2547" t="s">
        <v>1759</v>
      </c>
      <c r="AO42" s="1775"/>
      <c r="AP42" s="1775"/>
      <c r="AQ42" s="2475"/>
      <c r="AR42" s="2475"/>
      <c r="AS42" s="2475"/>
      <c r="AT42" s="2475"/>
      <c r="AU42" s="2475"/>
      <c r="AV42" s="4008"/>
      <c r="AW42" s="3994"/>
      <c r="AX42" s="3994"/>
      <c r="AY42" s="3994"/>
      <c r="BC42" s="245"/>
      <c r="BD42" s="245"/>
      <c r="BE42" s="245">
        <v>1</v>
      </c>
      <c r="BF42" s="245">
        <v>1</v>
      </c>
      <c r="BG42" s="245">
        <v>1</v>
      </c>
      <c r="BH42" s="245">
        <v>1</v>
      </c>
    </row>
    <row r="43" spans="1:60" ht="29.25" customHeight="1">
      <c r="A43" s="245">
        <v>33</v>
      </c>
      <c r="B43" s="2549" t="s">
        <v>1769</v>
      </c>
      <c r="C43" s="1819" t="s">
        <v>1722</v>
      </c>
      <c r="D43" s="1807"/>
      <c r="E43" s="1807"/>
      <c r="F43" s="1807"/>
      <c r="G43" s="1807"/>
      <c r="H43" s="1807"/>
      <c r="I43" s="1807"/>
      <c r="J43" s="1807"/>
      <c r="K43" s="1807"/>
      <c r="L43" s="1807"/>
      <c r="M43" s="1807"/>
      <c r="N43" s="1807"/>
      <c r="O43" s="1807"/>
      <c r="P43" s="1807"/>
      <c r="Q43" s="1807"/>
      <c r="R43" s="1807"/>
      <c r="S43" s="1807"/>
      <c r="T43" s="1807"/>
      <c r="U43" s="1807"/>
      <c r="V43" s="1807"/>
      <c r="W43" s="1807"/>
      <c r="X43" s="1807"/>
      <c r="Y43" s="1807"/>
      <c r="Z43" s="1807"/>
      <c r="AA43" s="1807"/>
      <c r="AB43" s="1807"/>
      <c r="AC43" s="1807"/>
      <c r="AD43" s="1807"/>
      <c r="AE43" s="1807"/>
      <c r="AF43" s="1807"/>
      <c r="AG43" s="1775"/>
      <c r="AH43" s="1775"/>
      <c r="AI43" s="1775"/>
      <c r="AJ43" s="1775"/>
      <c r="AK43" s="1775"/>
      <c r="AL43" s="1775"/>
      <c r="AM43" s="1775"/>
      <c r="AN43" s="2547" t="s">
        <v>1759</v>
      </c>
      <c r="AO43" s="1775"/>
      <c r="AP43" s="1775"/>
      <c r="AQ43" s="2475"/>
      <c r="AR43" s="2475"/>
      <c r="AS43" s="2475"/>
      <c r="AT43" s="2475"/>
      <c r="AU43" s="2475"/>
      <c r="AV43" s="4008"/>
      <c r="AW43" s="3994"/>
      <c r="AX43" s="3994"/>
      <c r="AY43" s="3994"/>
      <c r="BC43" s="245"/>
      <c r="BD43" s="245"/>
      <c r="BE43" s="245">
        <v>1</v>
      </c>
      <c r="BF43" s="245">
        <v>1</v>
      </c>
      <c r="BG43" s="245">
        <v>1</v>
      </c>
      <c r="BH43" s="245">
        <v>1</v>
      </c>
    </row>
    <row r="44" spans="1:60" ht="29.25" customHeight="1">
      <c r="A44" s="245">
        <v>34</v>
      </c>
      <c r="B44" s="2549" t="s">
        <v>1978</v>
      </c>
      <c r="C44" s="1819" t="s">
        <v>1761</v>
      </c>
      <c r="D44" s="1807"/>
      <c r="E44" s="1807"/>
      <c r="F44" s="1807"/>
      <c r="G44" s="1807"/>
      <c r="H44" s="1807"/>
      <c r="I44" s="1807"/>
      <c r="J44" s="1807"/>
      <c r="K44" s="1807"/>
      <c r="L44" s="1807"/>
      <c r="M44" s="1807"/>
      <c r="N44" s="1807"/>
      <c r="O44" s="1807"/>
      <c r="P44" s="1807"/>
      <c r="Q44" s="1807"/>
      <c r="R44" s="1807"/>
      <c r="S44" s="1807"/>
      <c r="T44" s="1807"/>
      <c r="U44" s="1807"/>
      <c r="V44" s="1807"/>
      <c r="W44" s="1807"/>
      <c r="X44" s="1807"/>
      <c r="Y44" s="1807"/>
      <c r="Z44" s="1807"/>
      <c r="AA44" s="1807"/>
      <c r="AB44" s="1807"/>
      <c r="AC44" s="1807"/>
      <c r="AD44" s="1807"/>
      <c r="AE44" s="1807"/>
      <c r="AF44" s="1807"/>
      <c r="AG44" s="1775"/>
      <c r="AH44" s="1775"/>
      <c r="AI44" s="1775"/>
      <c r="AJ44" s="1775"/>
      <c r="AK44" s="1775"/>
      <c r="AL44" s="1775"/>
      <c r="AM44" s="1775"/>
      <c r="AN44" s="2547" t="s">
        <v>1759</v>
      </c>
      <c r="AO44" s="1775"/>
      <c r="AP44" s="1775"/>
      <c r="AQ44" s="2539"/>
      <c r="AR44" s="2475"/>
      <c r="AS44" s="2475"/>
      <c r="AT44" s="2475"/>
      <c r="AU44" s="2475"/>
      <c r="AV44" s="4008"/>
      <c r="AW44" s="3994"/>
      <c r="AX44" s="3994"/>
      <c r="AY44" s="3994"/>
      <c r="BC44" s="245"/>
      <c r="BD44" s="245"/>
      <c r="BE44" s="245"/>
      <c r="BF44" s="245">
        <v>1</v>
      </c>
      <c r="BG44" s="245">
        <v>1</v>
      </c>
      <c r="BH44" s="245">
        <v>1</v>
      </c>
    </row>
    <row r="45" spans="1:60" ht="15">
      <c r="B45" s="2543" t="s">
        <v>379</v>
      </c>
      <c r="C45" s="2508"/>
      <c r="D45" s="2544"/>
      <c r="E45" s="2544"/>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5"/>
      <c r="AH45" s="2545"/>
      <c r="AI45" s="2545"/>
      <c r="AJ45" s="2545"/>
      <c r="AK45" s="2545"/>
      <c r="AL45" s="2545"/>
      <c r="AM45" s="2545"/>
      <c r="AN45" s="2545"/>
      <c r="AO45" s="2545"/>
      <c r="AP45" s="2545"/>
      <c r="AQ45" s="2542"/>
      <c r="AR45" s="2542"/>
      <c r="AS45" s="2542"/>
      <c r="AT45" s="2542"/>
      <c r="AU45" s="2542"/>
      <c r="AV45" s="2542"/>
      <c r="AW45" s="4016"/>
      <c r="AX45" s="4016"/>
      <c r="AY45" s="4016"/>
      <c r="AZ45" s="2546"/>
      <c r="BA45" s="2546"/>
      <c r="BB45" s="2546"/>
      <c r="BC45" s="2546"/>
      <c r="BD45" s="2546"/>
      <c r="BE45" s="2546"/>
      <c r="BF45" s="2546"/>
      <c r="BG45" s="2546"/>
      <c r="BH45" s="2546"/>
    </row>
    <row r="46" spans="1:60" ht="29.25" customHeight="1">
      <c r="A46" s="245">
        <v>35</v>
      </c>
      <c r="B46" s="1758" t="s">
        <v>764</v>
      </c>
      <c r="C46" s="1759" t="s">
        <v>750</v>
      </c>
      <c r="D46" s="1806"/>
      <c r="E46" s="1790" t="s">
        <v>257</v>
      </c>
      <c r="F46" s="1807"/>
      <c r="G46" s="1806"/>
      <c r="H46" s="1806"/>
      <c r="I46" s="1806"/>
      <c r="J46" s="1806"/>
      <c r="K46" s="1806"/>
      <c r="L46" s="1806"/>
      <c r="M46" s="1806"/>
      <c r="N46" s="1806"/>
      <c r="O46" s="1806"/>
      <c r="P46" s="1806"/>
      <c r="Q46" s="1806"/>
      <c r="R46" s="1806"/>
      <c r="S46" s="1806"/>
      <c r="T46" s="1806"/>
      <c r="U46" s="1790" t="s">
        <v>208</v>
      </c>
      <c r="V46" s="1807"/>
      <c r="W46" s="1806"/>
      <c r="X46" s="1806"/>
      <c r="Y46" s="1806"/>
      <c r="Z46" s="1806"/>
      <c r="AA46" s="1806"/>
      <c r="AB46" s="1806"/>
      <c r="AC46" s="1806"/>
      <c r="AD46" s="1806"/>
      <c r="AE46" s="1774" t="s">
        <v>536</v>
      </c>
      <c r="AF46" s="1807"/>
      <c r="AG46" s="1775"/>
      <c r="AH46" s="1775"/>
      <c r="AI46" s="1774" t="s">
        <v>704</v>
      </c>
      <c r="AJ46" s="1775"/>
      <c r="AK46" s="1775"/>
      <c r="AL46" s="1775"/>
      <c r="AM46" s="1775"/>
      <c r="AN46" s="1775"/>
      <c r="AO46" s="1775"/>
      <c r="AP46" s="1775"/>
      <c r="AQ46" s="2475"/>
      <c r="AR46" s="2475"/>
      <c r="AS46" s="2475"/>
      <c r="AT46" s="2475"/>
      <c r="AU46" s="2475"/>
      <c r="AV46" s="4008"/>
      <c r="AW46" s="3994"/>
      <c r="AX46" s="3994"/>
      <c r="AY46" s="3994"/>
      <c r="AZ46" s="245">
        <v>1</v>
      </c>
      <c r="BA46" s="245">
        <v>1</v>
      </c>
      <c r="BB46" s="245">
        <v>1</v>
      </c>
      <c r="BC46" s="245">
        <v>1</v>
      </c>
      <c r="BD46" s="245">
        <v>1</v>
      </c>
      <c r="BE46" s="245">
        <v>1</v>
      </c>
      <c r="BF46" s="245">
        <v>1</v>
      </c>
      <c r="BG46" s="245">
        <v>1</v>
      </c>
      <c r="BH46" s="245"/>
    </row>
    <row r="47" spans="1:60" ht="29.25" customHeight="1">
      <c r="A47" s="245">
        <v>36</v>
      </c>
      <c r="B47" s="1758" t="s">
        <v>765</v>
      </c>
      <c r="C47" s="1759" t="s">
        <v>750</v>
      </c>
      <c r="D47" s="1806"/>
      <c r="E47" s="1790" t="s">
        <v>257</v>
      </c>
      <c r="F47" s="317"/>
      <c r="G47" s="1806"/>
      <c r="H47" s="1806"/>
      <c r="I47" s="1806"/>
      <c r="J47" s="1806"/>
      <c r="K47" s="1806"/>
      <c r="L47" s="1806"/>
      <c r="M47" s="1806"/>
      <c r="N47" s="1806"/>
      <c r="O47" s="1806"/>
      <c r="P47" s="1806"/>
      <c r="Q47" s="1806"/>
      <c r="R47" s="1806"/>
      <c r="S47" s="1806"/>
      <c r="T47" s="1806"/>
      <c r="U47" s="1790" t="s">
        <v>208</v>
      </c>
      <c r="V47" s="317"/>
      <c r="W47" s="1806"/>
      <c r="X47" s="1806"/>
      <c r="Y47" s="1806"/>
      <c r="Z47" s="1806"/>
      <c r="AA47" s="1806"/>
      <c r="AB47" s="1806"/>
      <c r="AC47" s="1806"/>
      <c r="AD47" s="1806"/>
      <c r="AE47" s="1774" t="s">
        <v>536</v>
      </c>
      <c r="AF47" s="317"/>
      <c r="AG47" s="1775"/>
      <c r="AH47" s="1775"/>
      <c r="AI47" s="1774" t="s">
        <v>704</v>
      </c>
      <c r="AJ47" s="1775"/>
      <c r="AK47" s="1775"/>
      <c r="AL47" s="1775"/>
      <c r="AM47" s="1775"/>
      <c r="AN47" s="1775"/>
      <c r="AO47" s="1775"/>
      <c r="AP47" s="1775"/>
      <c r="AQ47" s="2475"/>
      <c r="AR47" s="2475"/>
      <c r="AS47" s="2475"/>
      <c r="AT47" s="2475"/>
      <c r="AU47" s="2475"/>
      <c r="AV47" s="4008"/>
      <c r="AW47" s="3994"/>
      <c r="AX47" s="3994"/>
      <c r="AY47" s="3994"/>
      <c r="AZ47" s="245">
        <v>1</v>
      </c>
      <c r="BA47" s="245">
        <v>1</v>
      </c>
      <c r="BB47" s="245">
        <v>1</v>
      </c>
      <c r="BC47" s="245">
        <v>1</v>
      </c>
      <c r="BD47" s="245">
        <v>1</v>
      </c>
      <c r="BE47" s="245">
        <v>1</v>
      </c>
      <c r="BF47" s="245">
        <v>1</v>
      </c>
      <c r="BG47" s="245">
        <v>1</v>
      </c>
      <c r="BH47" s="245"/>
    </row>
    <row r="48" spans="1:60" ht="29.25" customHeight="1">
      <c r="A48" s="245">
        <v>37</v>
      </c>
      <c r="B48" s="1758" t="s">
        <v>766</v>
      </c>
      <c r="C48" s="1759" t="s">
        <v>750</v>
      </c>
      <c r="D48" s="1807"/>
      <c r="E48" s="1807"/>
      <c r="F48" s="1807"/>
      <c r="G48" s="1807"/>
      <c r="H48" s="1790" t="s">
        <v>240</v>
      </c>
      <c r="I48" s="1807"/>
      <c r="J48" s="1807"/>
      <c r="K48" s="1807"/>
      <c r="L48" s="1807"/>
      <c r="M48" s="1807"/>
      <c r="N48" s="1807"/>
      <c r="O48" s="1807"/>
      <c r="P48" s="1807"/>
      <c r="Q48" s="1807"/>
      <c r="R48" s="1807"/>
      <c r="S48" s="1807"/>
      <c r="T48" s="1790" t="s">
        <v>256</v>
      </c>
      <c r="U48" s="1807"/>
      <c r="V48" s="1807"/>
      <c r="W48" s="1807"/>
      <c r="X48" s="1807"/>
      <c r="Y48" s="1807"/>
      <c r="Z48" s="1807"/>
      <c r="AA48" s="1790" t="s">
        <v>212</v>
      </c>
      <c r="AB48" s="1807"/>
      <c r="AC48" s="1807"/>
      <c r="AD48" s="1807"/>
      <c r="AE48" s="1807"/>
      <c r="AF48" s="1775"/>
      <c r="AG48" s="1775"/>
      <c r="AH48" s="1775"/>
      <c r="AI48" s="1774" t="s">
        <v>704</v>
      </c>
      <c r="AJ48" s="1775"/>
      <c r="AK48" s="1775"/>
      <c r="AL48" s="1775"/>
      <c r="AM48" s="1775"/>
      <c r="AN48" s="1775"/>
      <c r="AO48" s="1775"/>
      <c r="AP48" s="1775"/>
      <c r="AQ48" s="2475"/>
      <c r="AR48" s="2475"/>
      <c r="AS48" s="2475"/>
      <c r="AT48" s="2475"/>
      <c r="AU48" s="2475"/>
      <c r="AV48" s="4008"/>
      <c r="AW48" s="3994"/>
      <c r="AX48" s="3994"/>
      <c r="AY48" s="3994"/>
      <c r="AZ48" s="245">
        <v>1</v>
      </c>
      <c r="BA48" s="245">
        <v>1</v>
      </c>
      <c r="BB48" s="245">
        <v>1</v>
      </c>
      <c r="BC48" s="245">
        <v>1</v>
      </c>
      <c r="BD48" s="245">
        <v>1</v>
      </c>
      <c r="BE48" s="245">
        <v>1</v>
      </c>
      <c r="BF48" s="245">
        <v>1</v>
      </c>
      <c r="BG48" s="245">
        <v>1</v>
      </c>
      <c r="BH48" s="245"/>
    </row>
    <row r="49" spans="1:60" ht="29.25" customHeight="1">
      <c r="A49" s="245">
        <v>38</v>
      </c>
      <c r="B49" s="1758" t="s">
        <v>767</v>
      </c>
      <c r="C49" s="1759" t="s">
        <v>750</v>
      </c>
      <c r="D49" s="1807"/>
      <c r="E49" s="1807"/>
      <c r="F49" s="1807"/>
      <c r="G49" s="1807"/>
      <c r="H49" s="1790" t="s">
        <v>240</v>
      </c>
      <c r="I49" s="1807"/>
      <c r="J49" s="1807"/>
      <c r="K49" s="1807"/>
      <c r="L49" s="1807"/>
      <c r="M49" s="1807"/>
      <c r="N49" s="1807"/>
      <c r="O49" s="1807"/>
      <c r="P49" s="1807"/>
      <c r="Q49" s="1807"/>
      <c r="R49" s="1807"/>
      <c r="S49" s="1807"/>
      <c r="T49" s="1790" t="s">
        <v>256</v>
      </c>
      <c r="U49" s="1807"/>
      <c r="V49" s="1807"/>
      <c r="W49" s="1807"/>
      <c r="X49" s="1807"/>
      <c r="Y49" s="1807"/>
      <c r="Z49" s="1807"/>
      <c r="AA49" s="1790" t="s">
        <v>212</v>
      </c>
      <c r="AB49" s="1807"/>
      <c r="AC49" s="1807"/>
      <c r="AD49" s="1807"/>
      <c r="AE49" s="1807"/>
      <c r="AF49" s="1775"/>
      <c r="AG49" s="1775"/>
      <c r="AH49" s="1775"/>
      <c r="AI49" s="1774" t="s">
        <v>704</v>
      </c>
      <c r="AJ49" s="1775"/>
      <c r="AK49" s="1775"/>
      <c r="AL49" s="1775"/>
      <c r="AM49" s="1775"/>
      <c r="AN49" s="1775"/>
      <c r="AO49" s="1775"/>
      <c r="AP49" s="1775"/>
      <c r="AQ49" s="2475"/>
      <c r="AR49" s="2475"/>
      <c r="AS49" s="2475"/>
      <c r="AT49" s="2475"/>
      <c r="AU49" s="2475"/>
      <c r="AV49" s="4008"/>
      <c r="AW49" s="3994"/>
      <c r="AX49" s="3994"/>
      <c r="AY49" s="3994"/>
      <c r="AZ49" s="245">
        <v>1</v>
      </c>
      <c r="BA49" s="245">
        <v>1</v>
      </c>
      <c r="BB49" s="245">
        <v>1</v>
      </c>
      <c r="BC49" s="245">
        <v>1</v>
      </c>
      <c r="BD49" s="245">
        <v>1</v>
      </c>
      <c r="BE49" s="245">
        <v>1</v>
      </c>
      <c r="BF49" s="245">
        <v>1</v>
      </c>
      <c r="BG49" s="245">
        <v>1</v>
      </c>
      <c r="BH49" s="245"/>
    </row>
    <row r="50" spans="1:60" ht="29.25" customHeight="1">
      <c r="A50" s="245">
        <v>39</v>
      </c>
      <c r="B50" s="1758" t="s">
        <v>768</v>
      </c>
      <c r="C50" s="1773" t="s">
        <v>609</v>
      </c>
      <c r="D50" s="1807"/>
      <c r="E50" s="1807"/>
      <c r="F50" s="1807"/>
      <c r="G50" s="1807"/>
      <c r="H50" s="1807"/>
      <c r="I50" s="1807"/>
      <c r="J50" s="1807"/>
      <c r="K50" s="1807"/>
      <c r="L50" s="1807"/>
      <c r="M50" s="1807"/>
      <c r="N50" s="1807"/>
      <c r="O50" s="1807"/>
      <c r="P50" s="1807"/>
      <c r="Q50" s="1777" t="s">
        <v>238</v>
      </c>
      <c r="R50" s="1807"/>
      <c r="S50" s="1807"/>
      <c r="T50" s="1807"/>
      <c r="U50" s="1807"/>
      <c r="V50" s="1807"/>
      <c r="W50" s="1807"/>
      <c r="X50" s="1807"/>
      <c r="Y50" s="1807"/>
      <c r="Z50" s="1807"/>
      <c r="AA50" s="1807"/>
      <c r="AB50" s="1807"/>
      <c r="AC50" s="1807"/>
      <c r="AD50" s="1807"/>
      <c r="AE50" s="1807"/>
      <c r="AF50" s="1774" t="s">
        <v>537</v>
      </c>
      <c r="AG50" s="1807"/>
      <c r="AH50" s="1776"/>
      <c r="AI50" s="1774" t="s">
        <v>704</v>
      </c>
      <c r="AJ50" s="1775"/>
      <c r="AK50" s="1775"/>
      <c r="AL50" s="1775"/>
      <c r="AM50" s="1775"/>
      <c r="AN50" s="1775"/>
      <c r="AO50" s="1775"/>
      <c r="AP50" s="1775"/>
      <c r="AQ50" s="2475"/>
      <c r="AR50" s="2475"/>
      <c r="AS50" s="2475"/>
      <c r="AT50" s="2475"/>
      <c r="AU50" s="2475"/>
      <c r="AV50" s="4008"/>
      <c r="AW50" s="3994"/>
      <c r="AX50" s="3994"/>
      <c r="AY50" s="3994"/>
      <c r="AZ50" s="245">
        <v>1</v>
      </c>
      <c r="BA50" s="245">
        <v>1</v>
      </c>
      <c r="BB50" s="245">
        <v>1</v>
      </c>
      <c r="BC50" s="245">
        <v>1</v>
      </c>
      <c r="BD50" s="245">
        <v>1</v>
      </c>
      <c r="BE50" s="245">
        <v>1</v>
      </c>
      <c r="BF50" s="245">
        <v>1</v>
      </c>
      <c r="BG50" s="245">
        <v>1</v>
      </c>
      <c r="BH50" s="245"/>
    </row>
    <row r="51" spans="1:60" ht="29.25" customHeight="1">
      <c r="A51" s="245">
        <v>40</v>
      </c>
      <c r="B51" s="1758" t="s">
        <v>769</v>
      </c>
      <c r="C51" s="1773" t="s">
        <v>609</v>
      </c>
      <c r="D51" s="1807"/>
      <c r="E51" s="1807"/>
      <c r="F51" s="1807"/>
      <c r="G51" s="1807"/>
      <c r="H51" s="1807"/>
      <c r="I51" s="1807"/>
      <c r="J51" s="1807"/>
      <c r="K51" s="1807"/>
      <c r="L51" s="1807"/>
      <c r="M51" s="1807"/>
      <c r="N51" s="1807"/>
      <c r="O51" s="1807"/>
      <c r="P51" s="1807"/>
      <c r="Q51" s="1777" t="s">
        <v>238</v>
      </c>
      <c r="R51" s="1807"/>
      <c r="S51" s="1807"/>
      <c r="T51" s="1807"/>
      <c r="U51" s="1807"/>
      <c r="V51" s="1807"/>
      <c r="W51" s="1807"/>
      <c r="X51" s="1807"/>
      <c r="Y51" s="1807"/>
      <c r="Z51" s="1807"/>
      <c r="AA51" s="1807"/>
      <c r="AB51" s="1807"/>
      <c r="AC51" s="1807"/>
      <c r="AD51" s="1807"/>
      <c r="AE51" s="1807"/>
      <c r="AF51" s="1774" t="s">
        <v>537</v>
      </c>
      <c r="AG51" s="1807"/>
      <c r="AH51" s="1776"/>
      <c r="AI51" s="1774" t="s">
        <v>704</v>
      </c>
      <c r="AJ51" s="1775"/>
      <c r="AK51" s="1775"/>
      <c r="AL51" s="1775"/>
      <c r="AM51" s="1775"/>
      <c r="AN51" s="1775"/>
      <c r="AO51" s="1775"/>
      <c r="AP51" s="1775"/>
      <c r="AQ51" s="2475"/>
      <c r="AR51" s="2475"/>
      <c r="AS51" s="2475"/>
      <c r="AT51" s="2475"/>
      <c r="AU51" s="2475"/>
      <c r="AV51" s="4008"/>
      <c r="AW51" s="3994"/>
      <c r="AX51" s="3994"/>
      <c r="AY51" s="3994"/>
      <c r="AZ51" s="245">
        <v>1</v>
      </c>
      <c r="BA51" s="245">
        <v>1</v>
      </c>
      <c r="BB51" s="245">
        <v>1</v>
      </c>
      <c r="BC51" s="245">
        <v>1</v>
      </c>
      <c r="BD51" s="245">
        <v>1</v>
      </c>
      <c r="BE51" s="245">
        <v>1</v>
      </c>
      <c r="BF51" s="245">
        <v>1</v>
      </c>
      <c r="BG51" s="245">
        <v>1</v>
      </c>
      <c r="BH51" s="245"/>
    </row>
    <row r="52" spans="1:60" ht="29.25" customHeight="1">
      <c r="A52" s="245">
        <v>41</v>
      </c>
      <c r="B52" s="1758" t="s">
        <v>287</v>
      </c>
      <c r="D52" s="1807"/>
      <c r="E52" s="1807"/>
      <c r="F52" s="1807"/>
      <c r="G52" s="1807"/>
      <c r="H52" s="1807"/>
      <c r="I52" s="1807"/>
      <c r="J52" s="1807"/>
      <c r="K52" s="1807"/>
      <c r="L52" s="1807"/>
      <c r="M52" s="1807"/>
      <c r="N52" s="1807"/>
      <c r="O52" s="1807"/>
      <c r="P52" s="1807"/>
      <c r="Q52" s="1807"/>
      <c r="R52" s="1807"/>
      <c r="S52" s="1807"/>
      <c r="T52" s="1807"/>
      <c r="U52" s="1807"/>
      <c r="V52" s="1807"/>
      <c r="W52" s="1807"/>
      <c r="X52" s="1807"/>
      <c r="Y52" s="1807"/>
      <c r="Z52" s="1807"/>
      <c r="AA52" s="1806"/>
      <c r="AB52" s="1807"/>
      <c r="AC52" s="1807"/>
      <c r="AD52" s="1807"/>
      <c r="AE52" s="1807"/>
      <c r="AF52" s="1775"/>
      <c r="AG52" s="1776"/>
      <c r="AH52" s="1776"/>
      <c r="AI52" s="1774" t="s">
        <v>704</v>
      </c>
      <c r="AJ52" s="1775"/>
      <c r="AK52" s="1775"/>
      <c r="AL52" s="1775"/>
      <c r="AM52" s="1775"/>
      <c r="AN52" s="1775"/>
      <c r="AO52" s="1775"/>
      <c r="AP52" s="1775"/>
      <c r="AQ52" s="2475"/>
      <c r="AR52" s="2475"/>
      <c r="AS52" s="2475"/>
      <c r="AT52" s="2475"/>
      <c r="AU52" s="2475"/>
      <c r="AV52" s="4008"/>
      <c r="AW52" s="3994"/>
      <c r="AX52" s="3994"/>
      <c r="AY52" s="3994"/>
      <c r="BC52" s="245">
        <v>1</v>
      </c>
      <c r="BD52" s="245">
        <v>1</v>
      </c>
      <c r="BE52" s="245">
        <v>1</v>
      </c>
      <c r="BF52" s="245">
        <v>1</v>
      </c>
      <c r="BG52" s="245">
        <v>1</v>
      </c>
      <c r="BH52" s="245"/>
    </row>
    <row r="53" spans="1:60" ht="29.25" customHeight="1">
      <c r="A53" s="245">
        <v>42</v>
      </c>
      <c r="B53" s="1758" t="s">
        <v>770</v>
      </c>
      <c r="C53" s="1773" t="s">
        <v>1721</v>
      </c>
      <c r="D53" s="1807"/>
      <c r="E53" s="1807"/>
      <c r="F53" s="1807"/>
      <c r="G53" s="1807"/>
      <c r="H53" s="1811" t="s">
        <v>259</v>
      </c>
      <c r="I53" s="1807"/>
      <c r="J53" s="1807"/>
      <c r="K53" s="1807"/>
      <c r="L53" s="1807"/>
      <c r="M53" s="1807"/>
      <c r="N53" s="1807"/>
      <c r="O53" s="1807"/>
      <c r="P53" s="1807"/>
      <c r="Q53" s="1807"/>
      <c r="R53" s="1807"/>
      <c r="S53" s="1807"/>
      <c r="T53" s="1807"/>
      <c r="U53" s="1807"/>
      <c r="V53" s="1807"/>
      <c r="W53" s="1807"/>
      <c r="X53" s="1807"/>
      <c r="Y53" s="1807"/>
      <c r="Z53" s="1790" t="s">
        <v>212</v>
      </c>
      <c r="AA53" s="1807"/>
      <c r="AB53" s="1807"/>
      <c r="AC53" s="1777" t="s">
        <v>239</v>
      </c>
      <c r="AD53" s="1807"/>
      <c r="AE53" s="1807"/>
      <c r="AF53" s="1807"/>
      <c r="AG53" s="1775"/>
      <c r="AH53" s="1775"/>
      <c r="AI53" s="1774" t="s">
        <v>704</v>
      </c>
      <c r="AJ53" s="1775"/>
      <c r="AK53" s="1775"/>
      <c r="AL53" s="1775"/>
      <c r="AM53" s="1777" t="s">
        <v>852</v>
      </c>
      <c r="AN53" s="1775"/>
      <c r="AO53" s="1775"/>
      <c r="AP53" s="1775"/>
      <c r="AQ53" s="2475"/>
      <c r="AR53" s="2475"/>
      <c r="AS53" s="2475"/>
      <c r="AT53" s="2475"/>
      <c r="AU53" s="2475"/>
      <c r="AV53" s="4008"/>
      <c r="AW53" s="3994"/>
      <c r="AX53" s="3994"/>
      <c r="AY53" s="3994"/>
      <c r="AZ53" s="245">
        <v>1</v>
      </c>
      <c r="BA53" s="245">
        <v>1</v>
      </c>
      <c r="BB53" s="245">
        <v>1</v>
      </c>
      <c r="BC53" s="245">
        <v>1</v>
      </c>
      <c r="BD53" s="245">
        <v>1</v>
      </c>
      <c r="BE53" s="245">
        <v>1</v>
      </c>
      <c r="BF53" s="245">
        <v>1</v>
      </c>
      <c r="BG53" s="245">
        <v>1</v>
      </c>
      <c r="BH53" s="245">
        <v>1</v>
      </c>
    </row>
    <row r="54" spans="1:60" ht="29.25" customHeight="1">
      <c r="A54" s="245">
        <v>43</v>
      </c>
      <c r="B54" s="1758" t="s">
        <v>771</v>
      </c>
      <c r="C54" s="1773" t="s">
        <v>1721</v>
      </c>
      <c r="D54" s="1807"/>
      <c r="E54" s="1807"/>
      <c r="F54" s="1807"/>
      <c r="G54" s="1807"/>
      <c r="H54" s="1811" t="s">
        <v>259</v>
      </c>
      <c r="I54" s="1807"/>
      <c r="J54" s="1807"/>
      <c r="K54" s="1807"/>
      <c r="L54" s="1807"/>
      <c r="M54" s="1807"/>
      <c r="N54" s="1807"/>
      <c r="O54" s="1807"/>
      <c r="P54" s="1807"/>
      <c r="Q54" s="1807"/>
      <c r="R54" s="1807"/>
      <c r="S54" s="1807"/>
      <c r="T54" s="1807"/>
      <c r="U54" s="1807"/>
      <c r="V54" s="1807"/>
      <c r="W54" s="1807"/>
      <c r="X54" s="1807"/>
      <c r="Y54" s="1807"/>
      <c r="Z54" s="1790" t="s">
        <v>212</v>
      </c>
      <c r="AA54" s="1807"/>
      <c r="AB54" s="1807"/>
      <c r="AC54" s="1777" t="s">
        <v>239</v>
      </c>
      <c r="AD54" s="1807"/>
      <c r="AE54" s="1807"/>
      <c r="AF54" s="1807"/>
      <c r="AG54" s="1775"/>
      <c r="AH54" s="1775"/>
      <c r="AI54" s="1774" t="s">
        <v>704</v>
      </c>
      <c r="AJ54" s="1775"/>
      <c r="AK54" s="1775"/>
      <c r="AL54" s="1775"/>
      <c r="AM54" s="1777" t="s">
        <v>852</v>
      </c>
      <c r="AN54" s="1775"/>
      <c r="AO54" s="1775"/>
      <c r="AP54" s="1775"/>
      <c r="AQ54" s="2475"/>
      <c r="AR54" s="2475"/>
      <c r="AS54" s="2475"/>
      <c r="AT54" s="2475"/>
      <c r="AU54" s="2475"/>
      <c r="AV54" s="4008"/>
      <c r="AW54" s="3994"/>
      <c r="AX54" s="3994"/>
      <c r="AY54" s="3994"/>
      <c r="AZ54" s="245">
        <v>1</v>
      </c>
      <c r="BA54" s="245">
        <v>1</v>
      </c>
      <c r="BB54" s="245">
        <v>1</v>
      </c>
      <c r="BC54" s="245">
        <v>1</v>
      </c>
      <c r="BD54" s="245">
        <v>1</v>
      </c>
      <c r="BE54" s="245">
        <v>1</v>
      </c>
      <c r="BF54" s="245">
        <v>1</v>
      </c>
      <c r="BG54" s="245">
        <v>1</v>
      </c>
      <c r="BH54" s="245">
        <v>1</v>
      </c>
    </row>
    <row r="55" spans="1:60" ht="29.25" customHeight="1">
      <c r="A55" s="245">
        <v>44</v>
      </c>
      <c r="B55" s="1758" t="s">
        <v>772</v>
      </c>
      <c r="C55" s="1773" t="s">
        <v>1720</v>
      </c>
      <c r="D55" s="1807"/>
      <c r="E55" s="1807"/>
      <c r="F55" s="1807"/>
      <c r="G55" s="1807"/>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F55" s="1807"/>
      <c r="AG55" s="1775"/>
      <c r="AH55" s="1775"/>
      <c r="AI55" s="1775"/>
      <c r="AJ55" s="1775"/>
      <c r="AK55" s="1775"/>
      <c r="AL55" s="1774" t="s">
        <v>848</v>
      </c>
      <c r="AM55" s="1775"/>
      <c r="AN55" s="1775"/>
      <c r="AO55" s="1775"/>
      <c r="AP55" s="1775"/>
      <c r="AQ55" s="2475"/>
      <c r="AR55" s="2475"/>
      <c r="AS55" s="2475"/>
      <c r="AT55" s="2475"/>
      <c r="AU55" s="2475"/>
      <c r="AV55" s="4008"/>
      <c r="AW55" s="3994"/>
      <c r="AX55" s="3994"/>
      <c r="AY55" s="3994"/>
      <c r="BC55" s="245"/>
      <c r="BD55" s="245">
        <v>1</v>
      </c>
      <c r="BE55" s="245">
        <v>1</v>
      </c>
      <c r="BF55" s="245">
        <v>1</v>
      </c>
      <c r="BG55" s="245">
        <v>1</v>
      </c>
      <c r="BH55" s="245">
        <v>1</v>
      </c>
    </row>
    <row r="56" spans="1:60" ht="29.25" customHeight="1">
      <c r="A56" s="245">
        <v>45</v>
      </c>
      <c r="B56" s="1758" t="s">
        <v>773</v>
      </c>
      <c r="C56" s="1773" t="s">
        <v>1720</v>
      </c>
      <c r="D56" s="1807"/>
      <c r="E56" s="1807"/>
      <c r="F56" s="1807"/>
      <c r="G56" s="1807"/>
      <c r="H56" s="1807"/>
      <c r="I56" s="1807"/>
      <c r="J56" s="1807"/>
      <c r="K56" s="1807"/>
      <c r="L56" s="1807"/>
      <c r="M56" s="1807"/>
      <c r="N56" s="1807"/>
      <c r="O56" s="1807"/>
      <c r="P56" s="1807"/>
      <c r="Q56" s="1807"/>
      <c r="R56" s="1807"/>
      <c r="S56" s="1807"/>
      <c r="T56" s="1807"/>
      <c r="U56" s="1807"/>
      <c r="V56" s="1807"/>
      <c r="W56" s="1807"/>
      <c r="X56" s="1807"/>
      <c r="Y56" s="1807"/>
      <c r="Z56" s="1807"/>
      <c r="AA56" s="1807"/>
      <c r="AB56" s="1807"/>
      <c r="AC56" s="1807"/>
      <c r="AD56" s="1807"/>
      <c r="AE56" s="1807"/>
      <c r="AF56" s="1807"/>
      <c r="AG56" s="1775"/>
      <c r="AH56" s="1775"/>
      <c r="AI56" s="1775"/>
      <c r="AJ56" s="1775"/>
      <c r="AK56" s="1775"/>
      <c r="AL56" s="1774" t="s">
        <v>848</v>
      </c>
      <c r="AM56" s="1775"/>
      <c r="AN56" s="1775"/>
      <c r="AO56" s="1775"/>
      <c r="AP56" s="1775"/>
      <c r="AQ56" s="2475"/>
      <c r="AR56" s="2475"/>
      <c r="AS56" s="2475"/>
      <c r="AT56" s="2475"/>
      <c r="AU56" s="2475"/>
      <c r="AV56" s="4008"/>
      <c r="AW56" s="3994"/>
      <c r="AX56" s="3994"/>
      <c r="AY56" s="3994"/>
      <c r="BC56" s="245"/>
      <c r="BD56" s="245">
        <v>1</v>
      </c>
      <c r="BE56" s="245">
        <v>1</v>
      </c>
      <c r="BF56" s="245">
        <v>1</v>
      </c>
      <c r="BG56" s="245">
        <v>1</v>
      </c>
      <c r="BH56" s="245">
        <v>1</v>
      </c>
    </row>
    <row r="57" spans="1:60" ht="29.25" customHeight="1">
      <c r="A57" s="245">
        <v>46</v>
      </c>
      <c r="B57" s="1758" t="s">
        <v>774</v>
      </c>
      <c r="C57" s="1787" t="s">
        <v>750</v>
      </c>
      <c r="D57" s="1808"/>
      <c r="E57" s="1808"/>
      <c r="F57" s="1808"/>
      <c r="G57" s="1808"/>
      <c r="H57" s="1808"/>
      <c r="I57" s="1808"/>
      <c r="J57" s="1808"/>
      <c r="K57" s="1808"/>
      <c r="L57" s="1808"/>
      <c r="M57" s="1808"/>
      <c r="N57" s="1808"/>
      <c r="O57" s="1808"/>
      <c r="P57" s="1808"/>
      <c r="Q57" s="1808"/>
      <c r="R57" s="1808"/>
      <c r="S57" s="1808"/>
      <c r="T57" s="1808"/>
      <c r="U57" s="1808"/>
      <c r="V57" s="1808"/>
      <c r="W57" s="1808"/>
      <c r="X57" s="1808"/>
      <c r="Y57" s="1808"/>
      <c r="Z57" s="1808"/>
      <c r="AA57" s="1810" t="s">
        <v>260</v>
      </c>
      <c r="AB57" s="1807"/>
      <c r="AC57" s="1809" t="s">
        <v>239</v>
      </c>
      <c r="AD57" s="1807"/>
      <c r="AE57" s="1807"/>
      <c r="AF57" s="1807"/>
      <c r="AG57" s="1775"/>
      <c r="AH57" s="1775"/>
      <c r="AI57" s="1774" t="s">
        <v>704</v>
      </c>
      <c r="AJ57" s="1775"/>
      <c r="AK57" s="1775"/>
      <c r="AL57" s="1775"/>
      <c r="AM57" s="1775"/>
      <c r="AN57" s="1775"/>
      <c r="AO57" s="1775"/>
      <c r="AP57" s="1775"/>
      <c r="AQ57" s="2475"/>
      <c r="AR57" s="2475"/>
      <c r="AS57" s="2475"/>
      <c r="AT57" s="2475"/>
      <c r="AU57" s="2475"/>
      <c r="AV57" s="4008"/>
      <c r="AW57" s="3994"/>
      <c r="AX57" s="3994"/>
      <c r="AY57" s="3994"/>
      <c r="BA57" s="245">
        <v>1</v>
      </c>
      <c r="BB57" s="245">
        <v>1</v>
      </c>
      <c r="BC57" s="245">
        <v>1</v>
      </c>
      <c r="BD57" s="245">
        <v>1</v>
      </c>
      <c r="BE57" s="245">
        <v>1</v>
      </c>
      <c r="BF57" s="245">
        <v>1</v>
      </c>
      <c r="BG57" s="245">
        <v>1</v>
      </c>
      <c r="BH57" s="245"/>
    </row>
    <row r="58" spans="1:60" ht="29.25" customHeight="1">
      <c r="A58" s="245">
        <v>47</v>
      </c>
      <c r="B58" s="1758" t="s">
        <v>775</v>
      </c>
      <c r="C58" s="1787" t="s">
        <v>750</v>
      </c>
      <c r="D58" s="1807"/>
      <c r="E58" s="1807"/>
      <c r="F58" s="1807"/>
      <c r="G58" s="1807"/>
      <c r="H58" s="1807"/>
      <c r="I58" s="1807"/>
      <c r="J58" s="1807"/>
      <c r="K58" s="1807"/>
      <c r="L58" s="1807"/>
      <c r="M58" s="1807"/>
      <c r="N58" s="1807"/>
      <c r="O58" s="1807"/>
      <c r="P58" s="1807"/>
      <c r="Q58" s="1807"/>
      <c r="R58" s="1807"/>
      <c r="S58" s="1807"/>
      <c r="T58" s="1807"/>
      <c r="U58" s="1807"/>
      <c r="V58" s="1807"/>
      <c r="W58" s="1807"/>
      <c r="X58" s="1807"/>
      <c r="Y58" s="1807"/>
      <c r="Z58" s="1807"/>
      <c r="AA58" s="1810" t="s">
        <v>260</v>
      </c>
      <c r="AB58" s="1807"/>
      <c r="AC58" s="1809" t="s">
        <v>239</v>
      </c>
      <c r="AD58" s="1807"/>
      <c r="AE58" s="1807"/>
      <c r="AF58" s="1807"/>
      <c r="AG58" s="1775"/>
      <c r="AH58" s="1775"/>
      <c r="AI58" s="1774" t="s">
        <v>704</v>
      </c>
      <c r="AJ58" s="1775"/>
      <c r="AK58" s="1775"/>
      <c r="AL58" s="1775"/>
      <c r="AM58" s="1775"/>
      <c r="AN58" s="1775"/>
      <c r="AO58" s="1775"/>
      <c r="AP58" s="1775"/>
      <c r="AQ58" s="2475"/>
      <c r="AR58" s="2475"/>
      <c r="AS58" s="2475"/>
      <c r="AT58" s="2475"/>
      <c r="AU58" s="2475"/>
      <c r="AV58" s="4008"/>
      <c r="AW58" s="3994"/>
      <c r="AX58" s="3994"/>
      <c r="AY58" s="3994"/>
      <c r="BA58" s="245">
        <v>1</v>
      </c>
      <c r="BB58" s="245">
        <v>1</v>
      </c>
      <c r="BC58" s="245">
        <v>1</v>
      </c>
      <c r="BD58" s="245">
        <v>1</v>
      </c>
      <c r="BE58" s="245">
        <v>1</v>
      </c>
      <c r="BF58" s="245">
        <v>1</v>
      </c>
      <c r="BG58" s="245">
        <v>1</v>
      </c>
      <c r="BH58" s="245"/>
    </row>
    <row r="59" spans="1:60" ht="29.25" customHeight="1">
      <c r="A59" s="245">
        <v>48</v>
      </c>
      <c r="B59" s="1758" t="s">
        <v>776</v>
      </c>
      <c r="C59" s="1820" t="s">
        <v>1722</v>
      </c>
      <c r="D59" s="1807"/>
      <c r="E59" s="1807"/>
      <c r="F59" s="1807"/>
      <c r="G59" s="1807"/>
      <c r="H59" s="1807"/>
      <c r="I59" s="1807"/>
      <c r="J59" s="1807"/>
      <c r="K59" s="1807"/>
      <c r="L59" s="1807"/>
      <c r="M59" s="1807"/>
      <c r="N59" s="1807"/>
      <c r="O59" s="1807"/>
      <c r="P59" s="1807"/>
      <c r="Q59" s="1807"/>
      <c r="R59" s="1807"/>
      <c r="S59" s="1807"/>
      <c r="T59" s="1807"/>
      <c r="U59" s="1807"/>
      <c r="V59" s="1807"/>
      <c r="W59" s="1807"/>
      <c r="X59" s="1807"/>
      <c r="Y59" s="1807"/>
      <c r="Z59" s="1807"/>
      <c r="AA59" s="1807"/>
      <c r="AB59" s="1808"/>
      <c r="AC59" s="1807"/>
      <c r="AD59" s="1808"/>
      <c r="AE59" s="1807"/>
      <c r="AF59" s="1810" t="s">
        <v>1770</v>
      </c>
      <c r="AG59" s="1775"/>
      <c r="AH59" s="1775"/>
      <c r="AI59" s="1775"/>
      <c r="AJ59" s="1775"/>
      <c r="AK59" s="1775"/>
      <c r="AL59" s="1775"/>
      <c r="AM59" s="1775"/>
      <c r="AN59" s="1775"/>
      <c r="AO59" s="1774" t="s">
        <v>1771</v>
      </c>
      <c r="AP59" s="1775"/>
      <c r="AQ59" s="2475"/>
      <c r="AR59" s="2475"/>
      <c r="AS59" s="2475"/>
      <c r="AT59" s="2475"/>
      <c r="AU59" s="2475"/>
      <c r="AV59" s="4008"/>
      <c r="AW59" s="3994"/>
      <c r="AX59" s="4032" t="s">
        <v>2833</v>
      </c>
      <c r="AY59" s="3994"/>
      <c r="BB59" s="245">
        <v>1</v>
      </c>
      <c r="BC59" s="245">
        <v>1</v>
      </c>
      <c r="BD59" s="245">
        <v>1</v>
      </c>
      <c r="BE59" s="245">
        <v>1</v>
      </c>
      <c r="BF59" s="245">
        <v>1</v>
      </c>
      <c r="BG59" s="245">
        <v>1</v>
      </c>
      <c r="BH59" s="245">
        <v>1</v>
      </c>
    </row>
    <row r="60" spans="1:60" ht="29.25" customHeight="1">
      <c r="A60" s="245">
        <v>49</v>
      </c>
      <c r="B60" s="1758" t="s">
        <v>777</v>
      </c>
      <c r="C60" s="1820" t="s">
        <v>699</v>
      </c>
      <c r="D60" s="1807"/>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8"/>
      <c r="AC60" s="1807"/>
      <c r="AD60" s="1808"/>
      <c r="AE60" s="1807"/>
      <c r="AF60" s="1810" t="s">
        <v>1770</v>
      </c>
      <c r="AG60" s="1775"/>
      <c r="AH60" s="1775"/>
      <c r="AI60" s="1775"/>
      <c r="AJ60" s="1775"/>
      <c r="AK60" s="1775"/>
      <c r="AL60" s="1775"/>
      <c r="AM60" s="1775"/>
      <c r="AN60" s="1775"/>
      <c r="AO60" s="1775"/>
      <c r="AP60" s="1775"/>
      <c r="AQ60" s="2475"/>
      <c r="AR60" s="2475"/>
      <c r="AS60" s="2475"/>
      <c r="AT60" s="2475"/>
      <c r="AU60" s="2475"/>
      <c r="AV60" s="4008"/>
      <c r="AW60" s="3994"/>
      <c r="AX60" s="4032" t="s">
        <v>2833</v>
      </c>
      <c r="AY60" s="3994"/>
      <c r="BB60" s="245">
        <v>1</v>
      </c>
      <c r="BC60" s="245">
        <v>1</v>
      </c>
      <c r="BD60" s="245">
        <v>1</v>
      </c>
      <c r="BE60" s="245">
        <v>1</v>
      </c>
      <c r="BF60" s="245">
        <v>1</v>
      </c>
      <c r="BG60" s="245"/>
      <c r="BH60" s="245">
        <v>1</v>
      </c>
    </row>
    <row r="61" spans="1:60" ht="29.25" customHeight="1">
      <c r="A61" s="245">
        <v>50</v>
      </c>
      <c r="B61" s="2554" t="s">
        <v>1987</v>
      </c>
      <c r="C61" s="2553" t="s">
        <v>1729</v>
      </c>
      <c r="D61" s="2541"/>
      <c r="E61" s="2541"/>
      <c r="F61" s="2541"/>
      <c r="G61" s="2541"/>
      <c r="H61" s="2541"/>
      <c r="I61" s="2541"/>
      <c r="J61" s="2541"/>
      <c r="K61" s="2541"/>
      <c r="L61" s="2541"/>
      <c r="M61" s="2541"/>
      <c r="N61" s="2541"/>
      <c r="O61" s="2541"/>
      <c r="P61" s="2541"/>
      <c r="Q61" s="2541"/>
      <c r="R61" s="2541"/>
      <c r="S61" s="2541"/>
      <c r="T61" s="2541"/>
      <c r="U61" s="2541"/>
      <c r="V61" s="2541"/>
      <c r="W61" s="2541"/>
      <c r="X61" s="2541"/>
      <c r="Y61" s="2541"/>
      <c r="Z61" s="2541"/>
      <c r="AA61" s="2541"/>
      <c r="AB61" s="2551"/>
      <c r="AC61" s="2541"/>
      <c r="AD61" s="2551"/>
      <c r="AE61" s="2541"/>
      <c r="AF61" s="2551"/>
      <c r="AG61" s="2475"/>
      <c r="AH61" s="2475"/>
      <c r="AI61" s="2475"/>
      <c r="AJ61" s="2475"/>
      <c r="AK61" s="2475"/>
      <c r="AL61" s="2475"/>
      <c r="AM61" s="2475"/>
      <c r="AN61" s="2475"/>
      <c r="AO61" s="2475"/>
      <c r="AP61" s="2547" t="s">
        <v>1988</v>
      </c>
      <c r="AQ61" s="2475"/>
      <c r="AR61" s="2475"/>
      <c r="AS61" s="2475"/>
      <c r="AT61" s="2475"/>
      <c r="AU61" s="2475"/>
      <c r="AV61" s="4008"/>
      <c r="AW61" s="3994"/>
      <c r="AX61" s="3994"/>
      <c r="AY61" s="3994"/>
      <c r="BC61" s="245"/>
      <c r="BD61" s="245"/>
      <c r="BE61" s="245"/>
      <c r="BF61" s="245">
        <v>1</v>
      </c>
      <c r="BG61" s="245">
        <v>1</v>
      </c>
      <c r="BH61" s="245">
        <v>1</v>
      </c>
    </row>
    <row r="62" spans="1:60" ht="15">
      <c r="B62" s="2543" t="s">
        <v>380</v>
      </c>
      <c r="C62" s="2508"/>
      <c r="D62" s="2544"/>
      <c r="E62" s="2544"/>
      <c r="F62" s="2544"/>
      <c r="G62" s="2544"/>
      <c r="H62" s="2544"/>
      <c r="I62" s="2544"/>
      <c r="J62" s="2544"/>
      <c r="K62" s="2544"/>
      <c r="L62" s="2544"/>
      <c r="M62" s="2544"/>
      <c r="N62" s="2544"/>
      <c r="O62" s="2544"/>
      <c r="P62" s="2544"/>
      <c r="Q62" s="2544"/>
      <c r="R62" s="2544"/>
      <c r="S62" s="2544"/>
      <c r="T62" s="2544"/>
      <c r="U62" s="2544"/>
      <c r="V62" s="2544"/>
      <c r="W62" s="2544"/>
      <c r="X62" s="2544"/>
      <c r="Y62" s="2544"/>
      <c r="Z62" s="2544"/>
      <c r="AA62" s="2544"/>
      <c r="AB62" s="2544"/>
      <c r="AC62" s="2544"/>
      <c r="AD62" s="2544"/>
      <c r="AE62" s="2544"/>
      <c r="AF62" s="2544"/>
      <c r="AG62" s="2545"/>
      <c r="AH62" s="2545"/>
      <c r="AI62" s="2545"/>
      <c r="AJ62" s="2545"/>
      <c r="AK62" s="2545"/>
      <c r="AL62" s="2545"/>
      <c r="AM62" s="2545"/>
      <c r="AN62" s="2545"/>
      <c r="AO62" s="2545"/>
      <c r="AP62" s="2545"/>
      <c r="AQ62" s="2542"/>
      <c r="AR62" s="2542"/>
      <c r="AS62" s="2542"/>
      <c r="AT62" s="2542"/>
      <c r="AU62" s="2542"/>
      <c r="AV62" s="2542"/>
      <c r="AW62" s="4016"/>
      <c r="AX62" s="4016"/>
      <c r="AY62" s="4016"/>
      <c r="AZ62" s="2546"/>
      <c r="BA62" s="2546"/>
      <c r="BB62" s="2546"/>
      <c r="BC62" s="2546"/>
      <c r="BD62" s="2546"/>
      <c r="BE62" s="2546"/>
      <c r="BF62" s="2546"/>
      <c r="BG62" s="2546"/>
      <c r="BH62" s="2546"/>
    </row>
    <row r="63" spans="1:60" ht="29.25" customHeight="1">
      <c r="A63" s="245">
        <v>51</v>
      </c>
      <c r="B63" s="1758" t="s">
        <v>778</v>
      </c>
      <c r="C63" s="1759" t="s">
        <v>846</v>
      </c>
      <c r="D63" s="1821"/>
      <c r="E63" s="1806"/>
      <c r="F63" s="1806"/>
      <c r="G63" s="1806"/>
      <c r="H63" s="1806"/>
      <c r="I63" s="1806"/>
      <c r="J63" s="1806"/>
      <c r="K63" s="1806"/>
      <c r="L63" s="1806"/>
      <c r="M63" s="1806"/>
      <c r="N63" s="1806"/>
      <c r="O63" s="1806"/>
      <c r="P63" s="1806"/>
      <c r="Q63" s="1790" t="s">
        <v>238</v>
      </c>
      <c r="R63" s="1807"/>
      <c r="S63" s="1806"/>
      <c r="T63" s="1806"/>
      <c r="U63" s="1806"/>
      <c r="V63" s="1806"/>
      <c r="W63" s="1806"/>
      <c r="X63" s="1806"/>
      <c r="Y63" s="1806"/>
      <c r="Z63" s="1806"/>
      <c r="AA63" s="1790" t="s">
        <v>241</v>
      </c>
      <c r="AB63" s="1807"/>
      <c r="AC63" s="1806"/>
      <c r="AD63" s="1806"/>
      <c r="AE63" s="1807"/>
      <c r="AF63" s="1774" t="s">
        <v>538</v>
      </c>
      <c r="AG63" s="1807"/>
      <c r="AH63" s="1774" t="s">
        <v>702</v>
      </c>
      <c r="AI63" s="1775"/>
      <c r="AJ63" s="1775"/>
      <c r="AK63" s="1775"/>
      <c r="AL63" s="1774" t="s">
        <v>847</v>
      </c>
      <c r="AM63" s="1775"/>
      <c r="AN63" s="1775"/>
      <c r="AO63" s="1775"/>
      <c r="AP63" s="1775"/>
      <c r="AQ63" s="2475"/>
      <c r="AR63" s="2475"/>
      <c r="AS63" s="2475"/>
      <c r="AT63" s="2475"/>
      <c r="AU63" s="4033" t="s">
        <v>2513</v>
      </c>
      <c r="AV63" s="4008"/>
      <c r="AW63" s="3994"/>
      <c r="AX63" s="3994"/>
      <c r="AY63" s="3994"/>
      <c r="AZ63" s="245">
        <v>1</v>
      </c>
      <c r="BA63" s="245">
        <v>1</v>
      </c>
      <c r="BB63" s="245">
        <v>1</v>
      </c>
      <c r="BC63" s="245">
        <v>1</v>
      </c>
      <c r="BD63" s="245">
        <v>1</v>
      </c>
      <c r="BE63" s="245">
        <v>1</v>
      </c>
      <c r="BF63" s="245">
        <v>1</v>
      </c>
      <c r="BG63" s="245">
        <v>1</v>
      </c>
      <c r="BH63" s="245">
        <v>1</v>
      </c>
    </row>
    <row r="64" spans="1:60" ht="29.25" customHeight="1">
      <c r="A64" s="245">
        <v>52</v>
      </c>
      <c r="B64" s="1758" t="s">
        <v>779</v>
      </c>
      <c r="C64" s="1759" t="s">
        <v>846</v>
      </c>
      <c r="D64" s="1821"/>
      <c r="E64" s="1806"/>
      <c r="F64" s="1806"/>
      <c r="G64" s="1806"/>
      <c r="H64" s="1806"/>
      <c r="I64" s="1806"/>
      <c r="J64" s="1806"/>
      <c r="K64" s="1806"/>
      <c r="L64" s="1806"/>
      <c r="M64" s="1806"/>
      <c r="N64" s="1806"/>
      <c r="O64" s="1806"/>
      <c r="P64" s="1806"/>
      <c r="Q64" s="1790" t="s">
        <v>238</v>
      </c>
      <c r="R64" s="1807"/>
      <c r="S64" s="1806"/>
      <c r="T64" s="1806"/>
      <c r="U64" s="1806"/>
      <c r="V64" s="1806"/>
      <c r="W64" s="1806"/>
      <c r="X64" s="1806"/>
      <c r="Y64" s="1806"/>
      <c r="Z64" s="1806"/>
      <c r="AA64" s="1790" t="s">
        <v>241</v>
      </c>
      <c r="AB64" s="1807"/>
      <c r="AC64" s="1806"/>
      <c r="AD64" s="1806"/>
      <c r="AE64" s="1807"/>
      <c r="AF64" s="1774" t="s">
        <v>538</v>
      </c>
      <c r="AG64" s="1807"/>
      <c r="AH64" s="1774" t="s">
        <v>702</v>
      </c>
      <c r="AI64" s="1775"/>
      <c r="AJ64" s="1775"/>
      <c r="AK64" s="1775"/>
      <c r="AL64" s="1774" t="s">
        <v>847</v>
      </c>
      <c r="AM64" s="1775"/>
      <c r="AN64" s="1775"/>
      <c r="AO64" s="1775"/>
      <c r="AP64" s="1775"/>
      <c r="AQ64" s="2475"/>
      <c r="AR64" s="2475"/>
      <c r="AS64" s="2475"/>
      <c r="AT64" s="2475"/>
      <c r="AU64" s="2526" t="s">
        <v>2513</v>
      </c>
      <c r="AV64" s="4008"/>
      <c r="AW64" s="3994"/>
      <c r="AX64" s="3994"/>
      <c r="AY64" s="3994"/>
      <c r="AZ64" s="245">
        <v>1</v>
      </c>
      <c r="BA64" s="245">
        <v>1</v>
      </c>
      <c r="BB64" s="245">
        <v>1</v>
      </c>
      <c r="BC64" s="245">
        <v>1</v>
      </c>
      <c r="BD64" s="245">
        <v>1</v>
      </c>
      <c r="BE64" s="245">
        <v>1</v>
      </c>
      <c r="BF64" s="245">
        <v>1</v>
      </c>
      <c r="BG64" s="245">
        <v>1</v>
      </c>
      <c r="BH64" s="245">
        <v>1</v>
      </c>
    </row>
    <row r="65" spans="1:60" ht="29.25" customHeight="1">
      <c r="A65" s="245">
        <v>53</v>
      </c>
      <c r="B65" s="1758" t="s">
        <v>294</v>
      </c>
      <c r="C65" s="1759" t="s">
        <v>846</v>
      </c>
      <c r="D65" s="1821"/>
      <c r="E65" s="1806"/>
      <c r="F65" s="1806"/>
      <c r="G65" s="1806"/>
      <c r="H65" s="1806"/>
      <c r="I65" s="1806"/>
      <c r="J65" s="1806"/>
      <c r="K65" s="1806"/>
      <c r="L65" s="1806"/>
      <c r="M65" s="1806"/>
      <c r="N65" s="1806"/>
      <c r="O65" s="1806"/>
      <c r="P65" s="1806"/>
      <c r="Q65" s="1790" t="s">
        <v>238</v>
      </c>
      <c r="R65" s="1807"/>
      <c r="S65" s="1806"/>
      <c r="T65" s="1806"/>
      <c r="U65" s="1806"/>
      <c r="V65" s="1806"/>
      <c r="W65" s="1806"/>
      <c r="X65" s="1806"/>
      <c r="Y65" s="1806"/>
      <c r="Z65" s="1806"/>
      <c r="AA65" s="1790" t="s">
        <v>241</v>
      </c>
      <c r="AB65" s="1807"/>
      <c r="AC65" s="1806"/>
      <c r="AD65" s="1806"/>
      <c r="AE65" s="1807"/>
      <c r="AF65" s="1774" t="s">
        <v>538</v>
      </c>
      <c r="AG65" s="1807"/>
      <c r="AH65" s="1774" t="s">
        <v>702</v>
      </c>
      <c r="AI65" s="1775"/>
      <c r="AJ65" s="1775"/>
      <c r="AK65" s="1775"/>
      <c r="AL65" s="1774" t="s">
        <v>847</v>
      </c>
      <c r="AM65" s="1775"/>
      <c r="AN65" s="1775"/>
      <c r="AO65" s="1775"/>
      <c r="AP65" s="1775"/>
      <c r="AQ65" s="2475"/>
      <c r="AR65" s="2475"/>
      <c r="AS65" s="2475"/>
      <c r="AT65" s="2475"/>
      <c r="AU65" s="2526" t="s">
        <v>2513</v>
      </c>
      <c r="AV65" s="4008"/>
      <c r="AW65" s="3994"/>
      <c r="AX65" s="3994"/>
      <c r="AY65" s="3994"/>
      <c r="AZ65" s="245">
        <v>1</v>
      </c>
      <c r="BA65" s="245">
        <v>1</v>
      </c>
      <c r="BB65" s="245">
        <v>1</v>
      </c>
      <c r="BC65" s="245">
        <v>1</v>
      </c>
      <c r="BD65" s="245">
        <v>1</v>
      </c>
      <c r="BE65" s="245">
        <v>1</v>
      </c>
      <c r="BF65" s="245">
        <v>1</v>
      </c>
      <c r="BG65" s="245">
        <v>1</v>
      </c>
      <c r="BH65" s="245">
        <v>1</v>
      </c>
    </row>
    <row r="66" spans="1:60" ht="29.25" customHeight="1">
      <c r="A66" s="245">
        <v>54</v>
      </c>
      <c r="B66" s="1758" t="s">
        <v>780</v>
      </c>
      <c r="C66" s="1773" t="s">
        <v>700</v>
      </c>
      <c r="D66" s="1807"/>
      <c r="E66" s="1807"/>
      <c r="F66" s="1807"/>
      <c r="G66" s="1807"/>
      <c r="H66" s="1807"/>
      <c r="I66" s="1777" t="s">
        <v>210</v>
      </c>
      <c r="J66" s="1807"/>
      <c r="K66" s="1807"/>
      <c r="L66" s="1807"/>
      <c r="M66" s="1807"/>
      <c r="N66" s="1807"/>
      <c r="O66" s="1807"/>
      <c r="P66" s="1807"/>
      <c r="Q66" s="1807"/>
      <c r="R66" s="1807"/>
      <c r="S66" s="1807"/>
      <c r="T66" s="1807"/>
      <c r="U66" s="1807"/>
      <c r="V66" s="1807"/>
      <c r="W66" s="1807"/>
      <c r="X66" s="1807"/>
      <c r="Y66" s="1807"/>
      <c r="Z66" s="1807"/>
      <c r="AA66" s="1777" t="s">
        <v>241</v>
      </c>
      <c r="AB66" s="1807"/>
      <c r="AC66" s="1807"/>
      <c r="AD66" s="1807"/>
      <c r="AE66" s="1807"/>
      <c r="AF66" s="1807"/>
      <c r="AG66" s="1775"/>
      <c r="AH66" s="1774" t="s">
        <v>702</v>
      </c>
      <c r="AI66" s="1775"/>
      <c r="AJ66" s="1775"/>
      <c r="AK66" s="1775"/>
      <c r="AL66" s="1775"/>
      <c r="AM66" s="1775"/>
      <c r="AN66" s="1775"/>
      <c r="AO66" s="1775"/>
      <c r="AP66" s="1775"/>
      <c r="AQ66" s="2475"/>
      <c r="AR66" s="2475"/>
      <c r="AS66" s="2475"/>
      <c r="AT66" s="2475"/>
      <c r="AU66" s="2475"/>
      <c r="AV66" s="4008"/>
      <c r="AW66" s="3994"/>
      <c r="AX66" s="3994"/>
      <c r="AY66" s="3994"/>
      <c r="BA66" s="245">
        <v>1</v>
      </c>
      <c r="BB66" s="245">
        <v>1</v>
      </c>
      <c r="BC66" s="245">
        <v>1</v>
      </c>
      <c r="BD66" s="245">
        <v>1</v>
      </c>
      <c r="BE66" s="245">
        <v>1</v>
      </c>
      <c r="BF66" s="245">
        <v>1</v>
      </c>
      <c r="BG66" s="245">
        <v>1</v>
      </c>
      <c r="BH66" s="245"/>
    </row>
    <row r="67" spans="1:60" ht="29.25" customHeight="1">
      <c r="A67" s="245">
        <v>55</v>
      </c>
      <c r="B67" s="1758" t="s">
        <v>781</v>
      </c>
      <c r="C67" s="1773" t="s">
        <v>700</v>
      </c>
      <c r="D67" s="1807"/>
      <c r="E67" s="1807"/>
      <c r="F67" s="1807"/>
      <c r="G67" s="1807"/>
      <c r="H67" s="1807"/>
      <c r="I67" s="1777" t="s">
        <v>210</v>
      </c>
      <c r="J67" s="1807"/>
      <c r="K67" s="1807"/>
      <c r="L67" s="1807"/>
      <c r="M67" s="1807"/>
      <c r="N67" s="1807"/>
      <c r="O67" s="1807"/>
      <c r="P67" s="1807"/>
      <c r="Q67" s="1807"/>
      <c r="R67" s="1807"/>
      <c r="S67" s="1807"/>
      <c r="T67" s="1807"/>
      <c r="U67" s="1807"/>
      <c r="V67" s="1807"/>
      <c r="W67" s="1807"/>
      <c r="X67" s="1807"/>
      <c r="Y67" s="1807"/>
      <c r="Z67" s="1807"/>
      <c r="AA67" s="1777" t="s">
        <v>241</v>
      </c>
      <c r="AB67" s="1807"/>
      <c r="AC67" s="1807"/>
      <c r="AD67" s="1807"/>
      <c r="AE67" s="1807"/>
      <c r="AF67" s="1807"/>
      <c r="AG67" s="1775"/>
      <c r="AH67" s="1774" t="s">
        <v>702</v>
      </c>
      <c r="AI67" s="1775"/>
      <c r="AJ67" s="1775"/>
      <c r="AK67" s="1775"/>
      <c r="AL67" s="1775"/>
      <c r="AM67" s="1775"/>
      <c r="AN67" s="1775"/>
      <c r="AO67" s="1775"/>
      <c r="AP67" s="1775"/>
      <c r="AQ67" s="2475"/>
      <c r="AR67" s="2475"/>
      <c r="AS67" s="2475"/>
      <c r="AT67" s="2475"/>
      <c r="AU67" s="2475"/>
      <c r="AV67" s="4008"/>
      <c r="AW67" s="3994"/>
      <c r="AX67" s="3994"/>
      <c r="AY67" s="3994"/>
      <c r="BA67" s="245">
        <v>1</v>
      </c>
      <c r="BB67" s="245">
        <v>1</v>
      </c>
      <c r="BC67" s="245">
        <v>1</v>
      </c>
      <c r="BD67" s="245">
        <v>1</v>
      </c>
      <c r="BE67" s="245">
        <v>1</v>
      </c>
      <c r="BF67" s="245">
        <v>1</v>
      </c>
      <c r="BG67" s="245">
        <v>1</v>
      </c>
      <c r="BH67" s="245"/>
    </row>
    <row r="68" spans="1:60" ht="29.25" customHeight="1">
      <c r="A68" s="245">
        <v>56</v>
      </c>
      <c r="B68" s="1758" t="s">
        <v>1772</v>
      </c>
      <c r="C68" s="1773" t="s">
        <v>846</v>
      </c>
      <c r="D68" s="1807"/>
      <c r="E68" s="1807"/>
      <c r="F68" s="1807"/>
      <c r="G68" s="1807"/>
      <c r="H68" s="1807"/>
      <c r="I68" s="1807"/>
      <c r="J68" s="1807"/>
      <c r="K68" s="1807"/>
      <c r="L68" s="1807"/>
      <c r="M68" s="1807"/>
      <c r="N68" s="1777" t="s">
        <v>254</v>
      </c>
      <c r="O68" s="1777" t="s">
        <v>211</v>
      </c>
      <c r="P68" s="1807"/>
      <c r="Q68" s="1807"/>
      <c r="R68" s="1777" t="s">
        <v>910</v>
      </c>
      <c r="S68" s="1768"/>
      <c r="T68" s="1807"/>
      <c r="U68" s="1807"/>
      <c r="V68" s="1807"/>
      <c r="W68" s="1807"/>
      <c r="X68" s="1807"/>
      <c r="Y68" s="1807"/>
      <c r="Z68" s="1807"/>
      <c r="AA68" s="1777" t="s">
        <v>241</v>
      </c>
      <c r="AB68" s="1807"/>
      <c r="AC68" s="1807"/>
      <c r="AD68" s="1807"/>
      <c r="AE68" s="1807"/>
      <c r="AF68" s="1807"/>
      <c r="AG68" s="1775"/>
      <c r="AH68" s="1775"/>
      <c r="AI68" s="1775"/>
      <c r="AJ68" s="1775"/>
      <c r="AK68" s="1775"/>
      <c r="AL68" s="1811" t="s">
        <v>1773</v>
      </c>
      <c r="AM68" s="1775"/>
      <c r="AN68" s="1775"/>
      <c r="AO68" s="1775"/>
      <c r="AP68" s="1775"/>
      <c r="AQ68" s="2475"/>
      <c r="AR68" s="2475"/>
      <c r="AS68" s="2475"/>
      <c r="AT68" s="4011" t="s">
        <v>2520</v>
      </c>
      <c r="AU68" s="2475"/>
      <c r="AV68" s="4405"/>
      <c r="AW68" s="4023"/>
      <c r="AX68" s="4023"/>
      <c r="AY68" s="4023"/>
      <c r="AZ68" s="245">
        <v>1</v>
      </c>
      <c r="BA68" s="245">
        <v>1</v>
      </c>
      <c r="BB68" s="245">
        <v>1</v>
      </c>
      <c r="BC68" s="245">
        <v>1</v>
      </c>
      <c r="BD68" s="245">
        <v>1</v>
      </c>
      <c r="BE68" s="245">
        <v>1</v>
      </c>
      <c r="BF68" s="245">
        <v>1</v>
      </c>
      <c r="BG68" s="245">
        <v>1</v>
      </c>
      <c r="BH68" s="245">
        <v>1</v>
      </c>
    </row>
    <row r="69" spans="1:60" ht="29.25" customHeight="1">
      <c r="A69" s="245">
        <v>57</v>
      </c>
      <c r="B69" s="1758" t="s">
        <v>1774</v>
      </c>
      <c r="C69" s="1773" t="s">
        <v>846</v>
      </c>
      <c r="D69" s="1807"/>
      <c r="E69" s="1807"/>
      <c r="F69" s="1807"/>
      <c r="G69" s="1807"/>
      <c r="H69" s="1807"/>
      <c r="I69" s="1807"/>
      <c r="J69" s="1807"/>
      <c r="K69" s="1807"/>
      <c r="L69" s="1807"/>
      <c r="M69" s="1807"/>
      <c r="N69" s="1777" t="s">
        <v>254</v>
      </c>
      <c r="O69" s="1777" t="s">
        <v>211</v>
      </c>
      <c r="P69" s="1807"/>
      <c r="Q69" s="1807"/>
      <c r="R69" s="1777" t="s">
        <v>910</v>
      </c>
      <c r="S69" s="1768"/>
      <c r="T69" s="1807"/>
      <c r="U69" s="1807"/>
      <c r="V69" s="1807"/>
      <c r="W69" s="1807"/>
      <c r="X69" s="1807"/>
      <c r="Y69" s="1807"/>
      <c r="Z69" s="1807"/>
      <c r="AA69" s="1777" t="s">
        <v>241</v>
      </c>
      <c r="AB69" s="1807"/>
      <c r="AC69" s="1807"/>
      <c r="AD69" s="1807"/>
      <c r="AE69" s="1807"/>
      <c r="AF69" s="1807"/>
      <c r="AG69" s="1775"/>
      <c r="AH69" s="1775"/>
      <c r="AI69" s="1775"/>
      <c r="AJ69" s="1775"/>
      <c r="AK69" s="1775"/>
      <c r="AL69" s="1811" t="s">
        <v>1773</v>
      </c>
      <c r="AM69" s="1775"/>
      <c r="AN69" s="1775"/>
      <c r="AO69" s="1775"/>
      <c r="AP69" s="1775"/>
      <c r="AQ69" s="2475"/>
      <c r="AR69" s="2475"/>
      <c r="AS69" s="2475"/>
      <c r="AT69" s="4011" t="s">
        <v>2520</v>
      </c>
      <c r="AU69" s="2475"/>
      <c r="AW69" s="4023"/>
      <c r="AX69" s="4023"/>
      <c r="AY69" s="4023"/>
      <c r="AZ69" s="245">
        <v>1</v>
      </c>
      <c r="BA69" s="245">
        <v>1</v>
      </c>
      <c r="BB69" s="245">
        <v>1</v>
      </c>
      <c r="BC69" s="245">
        <v>1</v>
      </c>
      <c r="BD69" s="245">
        <v>1</v>
      </c>
      <c r="BE69" s="245">
        <v>1</v>
      </c>
      <c r="BF69" s="245">
        <v>1</v>
      </c>
      <c r="BG69" s="245">
        <v>1</v>
      </c>
      <c r="BH69" s="245">
        <v>1</v>
      </c>
    </row>
    <row r="70" spans="1:60" ht="29.25" customHeight="1">
      <c r="A70" s="245">
        <v>58</v>
      </c>
      <c r="B70" s="2550" t="s">
        <v>291</v>
      </c>
      <c r="C70" s="2556" t="s">
        <v>846</v>
      </c>
      <c r="D70" s="2541"/>
      <c r="E70" s="2541"/>
      <c r="F70" s="2541"/>
      <c r="G70" s="2541"/>
      <c r="H70" s="2541"/>
      <c r="I70" s="2541"/>
      <c r="J70" s="2541"/>
      <c r="K70" s="2541"/>
      <c r="L70" s="2541"/>
      <c r="M70" s="2541"/>
      <c r="N70" s="2538"/>
      <c r="O70" s="2538"/>
      <c r="P70" s="2541"/>
      <c r="Q70" s="2541"/>
      <c r="R70" s="2538"/>
      <c r="S70" s="2477"/>
      <c r="T70" s="2541"/>
      <c r="U70" s="2541"/>
      <c r="V70" s="2541"/>
      <c r="W70" s="2541"/>
      <c r="X70" s="2541"/>
      <c r="Y70" s="2541"/>
      <c r="Z70" s="2541"/>
      <c r="AA70" s="2538"/>
      <c r="AB70" s="2541"/>
      <c r="AC70" s="2541"/>
      <c r="AD70" s="2541"/>
      <c r="AE70" s="2541"/>
      <c r="AF70" s="2541"/>
      <c r="AG70" s="2475"/>
      <c r="AH70" s="2475"/>
      <c r="AI70" s="2475"/>
      <c r="AJ70" s="2475"/>
      <c r="AK70" s="2475"/>
      <c r="AL70" s="1777" t="s">
        <v>847</v>
      </c>
      <c r="AM70" s="2475"/>
      <c r="AN70" s="2475"/>
      <c r="AO70" s="2475"/>
      <c r="AP70" s="2475"/>
      <c r="AQ70" s="2475"/>
      <c r="AR70" s="2475"/>
      <c r="AS70" s="2475"/>
      <c r="AT70" s="2475"/>
      <c r="AU70" s="2475"/>
      <c r="AV70" s="4008"/>
      <c r="AW70" s="3994"/>
      <c r="AX70" s="3994"/>
      <c r="AY70" s="3994"/>
      <c r="BC70" s="245"/>
      <c r="BD70" s="245"/>
      <c r="BE70" s="245"/>
      <c r="BG70" s="245"/>
      <c r="BH70" s="245">
        <v>1</v>
      </c>
    </row>
    <row r="71" spans="1:60" ht="29.25" customHeight="1">
      <c r="A71" s="245">
        <v>59</v>
      </c>
      <c r="B71" s="2550" t="s">
        <v>2506</v>
      </c>
      <c r="C71" s="2556" t="s">
        <v>846</v>
      </c>
      <c r="D71" s="2541"/>
      <c r="E71" s="2541"/>
      <c r="F71" s="2541"/>
      <c r="G71" s="2541"/>
      <c r="H71" s="2541"/>
      <c r="I71" s="2541"/>
      <c r="J71" s="2541"/>
      <c r="K71" s="2541"/>
      <c r="L71" s="2541"/>
      <c r="M71" s="2541"/>
      <c r="N71" s="2538"/>
      <c r="O71" s="2538"/>
      <c r="P71" s="2541"/>
      <c r="Q71" s="2541"/>
      <c r="R71" s="2538"/>
      <c r="S71" s="2477"/>
      <c r="T71" s="2541"/>
      <c r="U71" s="2541"/>
      <c r="V71" s="2541"/>
      <c r="W71" s="2541"/>
      <c r="X71" s="2541"/>
      <c r="Y71" s="2541"/>
      <c r="Z71" s="2541"/>
      <c r="AA71" s="2538"/>
      <c r="AB71" s="2541"/>
      <c r="AC71" s="2541"/>
      <c r="AD71" s="2541"/>
      <c r="AE71" s="2541"/>
      <c r="AF71" s="2541"/>
      <c r="AG71" s="2475"/>
      <c r="AH71" s="2475"/>
      <c r="AI71" s="2475"/>
      <c r="AJ71" s="2475"/>
      <c r="AK71" s="2475"/>
      <c r="AL71" s="1777" t="s">
        <v>847</v>
      </c>
      <c r="AM71" s="2475"/>
      <c r="AN71" s="2475"/>
      <c r="AO71" s="2475"/>
      <c r="AP71" s="2475"/>
      <c r="AQ71" s="2475"/>
      <c r="AR71" s="2475"/>
      <c r="AS71" s="2475"/>
      <c r="AT71" s="2475"/>
      <c r="AU71" s="2475"/>
      <c r="AV71" s="4008"/>
      <c r="AW71" s="3994"/>
      <c r="AX71" s="3994"/>
      <c r="AY71" s="3994"/>
      <c r="BC71" s="245"/>
      <c r="BD71" s="245"/>
      <c r="BE71" s="245"/>
      <c r="BG71" s="245"/>
      <c r="BH71" s="245">
        <v>1</v>
      </c>
    </row>
    <row r="72" spans="1:60" ht="29.25" customHeight="1">
      <c r="A72" s="245">
        <v>60</v>
      </c>
      <c r="B72" s="2550" t="s">
        <v>2504</v>
      </c>
      <c r="C72" s="2556" t="s">
        <v>1761</v>
      </c>
      <c r="D72" s="2541"/>
      <c r="E72" s="2541"/>
      <c r="F72" s="2541"/>
      <c r="G72" s="2541"/>
      <c r="H72" s="2541"/>
      <c r="I72" s="2541"/>
      <c r="J72" s="2541"/>
      <c r="K72" s="2541"/>
      <c r="L72" s="2541"/>
      <c r="M72" s="2541"/>
      <c r="N72" s="2538"/>
      <c r="O72" s="2538"/>
      <c r="P72" s="2541"/>
      <c r="Q72" s="2541"/>
      <c r="R72" s="2538"/>
      <c r="S72" s="2477"/>
      <c r="T72" s="2541"/>
      <c r="U72" s="2541"/>
      <c r="V72" s="2541"/>
      <c r="W72" s="2541"/>
      <c r="X72" s="2541"/>
      <c r="Y72" s="2541"/>
      <c r="Z72" s="2541"/>
      <c r="AA72" s="2538"/>
      <c r="AB72" s="2541"/>
      <c r="AC72" s="2541"/>
      <c r="AD72" s="2541"/>
      <c r="AE72" s="2541"/>
      <c r="AF72" s="2541"/>
      <c r="AG72" s="2475"/>
      <c r="AH72" s="2475"/>
      <c r="AI72" s="2475"/>
      <c r="AJ72" s="2475"/>
      <c r="AK72" s="2475"/>
      <c r="AL72" s="2541"/>
      <c r="AM72" s="2475"/>
      <c r="AN72" s="2475"/>
      <c r="AO72" s="2475"/>
      <c r="AP72" s="2475"/>
      <c r="AQ72" s="2475"/>
      <c r="AR72" s="2475"/>
      <c r="AS72" s="2557" t="s">
        <v>1989</v>
      </c>
      <c r="AT72" s="2541"/>
      <c r="AU72" s="2541"/>
      <c r="AV72" s="4009"/>
      <c r="AW72" s="4014"/>
      <c r="AX72" s="4014"/>
      <c r="AY72" s="4014"/>
      <c r="BC72" s="245"/>
      <c r="BD72" s="245"/>
      <c r="BE72" s="245"/>
      <c r="BF72" s="245">
        <v>1</v>
      </c>
      <c r="BG72" s="245">
        <v>1</v>
      </c>
      <c r="BH72" s="245">
        <v>1</v>
      </c>
    </row>
    <row r="73" spans="1:60" ht="29.25" customHeight="1">
      <c r="A73" s="245">
        <v>61</v>
      </c>
      <c r="B73" s="2550" t="s">
        <v>2505</v>
      </c>
      <c r="C73" s="2556" t="s">
        <v>1761</v>
      </c>
      <c r="D73" s="2541"/>
      <c r="E73" s="2541"/>
      <c r="F73" s="2541"/>
      <c r="G73" s="2541"/>
      <c r="H73" s="2541"/>
      <c r="I73" s="2541"/>
      <c r="J73" s="2541"/>
      <c r="K73" s="2541"/>
      <c r="L73" s="2541"/>
      <c r="M73" s="2541"/>
      <c r="N73" s="2538"/>
      <c r="O73" s="2538"/>
      <c r="P73" s="2541"/>
      <c r="Q73" s="2541"/>
      <c r="R73" s="2538"/>
      <c r="S73" s="2477"/>
      <c r="T73" s="2541"/>
      <c r="U73" s="2541"/>
      <c r="V73" s="2541"/>
      <c r="W73" s="2541"/>
      <c r="X73" s="2541"/>
      <c r="Y73" s="2541"/>
      <c r="Z73" s="2541"/>
      <c r="AA73" s="2538"/>
      <c r="AB73" s="2541"/>
      <c r="AC73" s="2541"/>
      <c r="AD73" s="2541"/>
      <c r="AE73" s="2541"/>
      <c r="AF73" s="2541"/>
      <c r="AG73" s="2475"/>
      <c r="AH73" s="2475"/>
      <c r="AI73" s="2475"/>
      <c r="AJ73" s="2475"/>
      <c r="AK73" s="2475"/>
      <c r="AL73" s="2541"/>
      <c r="AM73" s="2475"/>
      <c r="AN73" s="2475"/>
      <c r="AO73" s="2475"/>
      <c r="AP73" s="2475"/>
      <c r="AQ73" s="2475"/>
      <c r="AR73" s="2475"/>
      <c r="AS73" s="2557" t="s">
        <v>1989</v>
      </c>
      <c r="AT73" s="2541"/>
      <c r="AU73" s="2541"/>
      <c r="AV73" s="4009"/>
      <c r="AW73" s="4014"/>
      <c r="AX73" s="4014"/>
      <c r="AY73" s="4014"/>
      <c r="BC73" s="245"/>
      <c r="BD73" s="245"/>
      <c r="BE73" s="245"/>
      <c r="BF73" s="245">
        <v>1</v>
      </c>
      <c r="BG73" s="245">
        <v>1</v>
      </c>
      <c r="BH73" s="245">
        <v>1</v>
      </c>
    </row>
    <row r="74" spans="1:60" ht="29.25" hidden="1" customHeight="1">
      <c r="B74" s="1822" t="s">
        <v>782</v>
      </c>
      <c r="C74" s="1823"/>
      <c r="D74" s="1817"/>
      <c r="E74" s="1817"/>
      <c r="F74" s="1817"/>
      <c r="G74" s="1817"/>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8"/>
      <c r="AH74" s="1818"/>
      <c r="AI74" s="1818"/>
      <c r="AJ74" s="1818"/>
      <c r="AK74" s="1818"/>
      <c r="AL74" s="1818"/>
      <c r="AM74" s="1818"/>
      <c r="AN74" s="1818"/>
      <c r="AO74" s="1818"/>
      <c r="AP74" s="1818"/>
      <c r="AQ74" s="2558"/>
      <c r="AR74" s="2558"/>
      <c r="AS74" s="2558"/>
      <c r="AT74" s="2475"/>
      <c r="AU74" s="2475"/>
      <c r="AV74" s="4008"/>
      <c r="AW74" s="3994"/>
      <c r="AX74" s="3994"/>
      <c r="AY74" s="3994"/>
      <c r="BC74" s="245"/>
      <c r="BD74" s="245"/>
      <c r="BE74" s="245"/>
      <c r="BG74" s="245"/>
      <c r="BH74" s="245"/>
    </row>
    <row r="75" spans="1:60" ht="29.25" hidden="1" customHeight="1">
      <c r="B75" s="1822" t="s">
        <v>783</v>
      </c>
      <c r="C75" s="1823"/>
      <c r="D75" s="1817"/>
      <c r="E75" s="1817"/>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8"/>
      <c r="AH75" s="1818"/>
      <c r="AI75" s="1818"/>
      <c r="AJ75" s="1818"/>
      <c r="AK75" s="1818"/>
      <c r="AL75" s="1818"/>
      <c r="AM75" s="1818"/>
      <c r="AN75" s="1818"/>
      <c r="AO75" s="1818"/>
      <c r="AP75" s="1818"/>
      <c r="AQ75" s="2558"/>
      <c r="AR75" s="2558"/>
      <c r="AS75" s="2558"/>
      <c r="AT75" s="2475"/>
      <c r="AU75" s="2475"/>
      <c r="AV75" s="4008"/>
      <c r="AW75" s="3994"/>
      <c r="AX75" s="3994"/>
      <c r="AY75" s="3994"/>
      <c r="BC75" s="245"/>
      <c r="BD75" s="245"/>
      <c r="BE75" s="245"/>
      <c r="BG75" s="245"/>
      <c r="BH75" s="245"/>
    </row>
    <row r="76" spans="1:60" ht="29.25" hidden="1" customHeight="1">
      <c r="B76" s="1822" t="s">
        <v>784</v>
      </c>
      <c r="C76" s="1824"/>
      <c r="D76" s="1825"/>
      <c r="E76" s="1825"/>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17"/>
      <c r="AF76" s="1817"/>
      <c r="AG76" s="1818"/>
      <c r="AH76" s="1818"/>
      <c r="AI76" s="1818"/>
      <c r="AJ76" s="1818"/>
      <c r="AK76" s="1818"/>
      <c r="AL76" s="1818"/>
      <c r="AM76" s="1818"/>
      <c r="AN76" s="1818"/>
      <c r="AO76" s="1818"/>
      <c r="AP76" s="1818"/>
      <c r="AQ76" s="2558"/>
      <c r="AR76" s="2558"/>
      <c r="AS76" s="2558"/>
      <c r="AT76" s="2475"/>
      <c r="AU76" s="2475"/>
      <c r="AV76" s="4008"/>
      <c r="AW76" s="3994"/>
      <c r="AX76" s="3994"/>
      <c r="AY76" s="3994"/>
      <c r="BC76" s="245"/>
      <c r="BD76" s="245"/>
      <c r="BE76" s="245"/>
      <c r="BG76" s="245"/>
      <c r="BH76" s="245"/>
    </row>
    <row r="77" spans="1:60" ht="15">
      <c r="B77" s="2543" t="s">
        <v>381</v>
      </c>
      <c r="C77" s="2508"/>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5"/>
      <c r="AH77" s="2545"/>
      <c r="AI77" s="2545"/>
      <c r="AJ77" s="2545"/>
      <c r="AK77" s="2545"/>
      <c r="AL77" s="2545"/>
      <c r="AM77" s="2545"/>
      <c r="AN77" s="2545"/>
      <c r="AO77" s="2545"/>
      <c r="AP77" s="2545"/>
      <c r="AQ77" s="2542"/>
      <c r="AR77" s="2542"/>
      <c r="AS77" s="2542"/>
      <c r="AT77" s="2542"/>
      <c r="AU77" s="2542"/>
      <c r="AV77" s="2542"/>
      <c r="AW77" s="4016"/>
      <c r="AX77" s="4016"/>
      <c r="AY77" s="4016"/>
      <c r="AZ77" s="2546"/>
      <c r="BA77" s="2546"/>
      <c r="BB77" s="2546"/>
      <c r="BC77" s="2546"/>
      <c r="BD77" s="2546"/>
      <c r="BE77" s="2546"/>
      <c r="BF77" s="2546"/>
      <c r="BG77" s="2546"/>
      <c r="BH77" s="2546"/>
    </row>
    <row r="78" spans="1:60" ht="29.25" customHeight="1">
      <c r="A78" s="245">
        <v>62</v>
      </c>
      <c r="B78" s="1758" t="s">
        <v>785</v>
      </c>
      <c r="C78" s="1759" t="s">
        <v>607</v>
      </c>
      <c r="D78" s="1806"/>
      <c r="E78" s="1806"/>
      <c r="F78" s="1806"/>
      <c r="G78" s="1806"/>
      <c r="H78" s="1806"/>
      <c r="I78" s="1806"/>
      <c r="J78" s="1806"/>
      <c r="K78" s="1806"/>
      <c r="L78" s="1806"/>
      <c r="M78" s="1806"/>
      <c r="N78" s="1806"/>
      <c r="O78" s="1806"/>
      <c r="P78" s="1806"/>
      <c r="Q78" s="1806"/>
      <c r="R78" s="1806"/>
      <c r="S78" s="1806"/>
      <c r="T78" s="1806"/>
      <c r="U78" s="1806"/>
      <c r="V78" s="1806"/>
      <c r="W78" s="1806"/>
      <c r="X78" s="1806"/>
      <c r="Y78" s="1806"/>
      <c r="Z78" s="1806"/>
      <c r="AA78" s="1806"/>
      <c r="AB78" s="1806"/>
      <c r="AC78" s="1777" t="s">
        <v>390</v>
      </c>
      <c r="AD78" s="1806"/>
      <c r="AE78" s="317"/>
      <c r="AF78" s="1807"/>
      <c r="AG78" s="1775"/>
      <c r="AH78" s="1775"/>
      <c r="AI78" s="1775"/>
      <c r="AJ78" s="1775"/>
      <c r="AK78" s="1775"/>
      <c r="AL78" s="1775"/>
      <c r="AM78" s="1775"/>
      <c r="AN78" s="1775"/>
      <c r="AO78" s="1775"/>
      <c r="AP78" s="1775"/>
      <c r="AQ78" s="2475"/>
      <c r="AR78" s="2475"/>
      <c r="AS78" s="2475"/>
      <c r="AT78" s="2475"/>
      <c r="AU78" s="2475"/>
      <c r="AV78" s="4008"/>
      <c r="AW78" s="3994"/>
      <c r="AX78" s="4000"/>
      <c r="AY78" s="4018" t="s">
        <v>2518</v>
      </c>
      <c r="BB78" s="245">
        <v>1</v>
      </c>
      <c r="BC78" s="245">
        <v>1</v>
      </c>
      <c r="BD78" s="245">
        <v>1</v>
      </c>
      <c r="BE78" s="245">
        <v>1</v>
      </c>
      <c r="BG78" s="245"/>
      <c r="BH78" s="245">
        <v>1</v>
      </c>
    </row>
    <row r="79" spans="1:60" ht="29.25" customHeight="1">
      <c r="A79" s="245">
        <v>63</v>
      </c>
      <c r="B79" s="1758" t="s">
        <v>786</v>
      </c>
      <c r="C79" s="1773" t="s">
        <v>400</v>
      </c>
      <c r="D79" s="1807"/>
      <c r="E79" s="1807"/>
      <c r="F79" s="1807"/>
      <c r="G79" s="1807"/>
      <c r="H79" s="1807"/>
      <c r="I79" s="1807"/>
      <c r="J79" s="1807"/>
      <c r="K79" s="1807"/>
      <c r="L79" s="1807"/>
      <c r="M79" s="1807"/>
      <c r="N79" s="1807"/>
      <c r="O79" s="1807"/>
      <c r="P79" s="1807"/>
      <c r="Q79" s="1807"/>
      <c r="R79" s="1807"/>
      <c r="S79" s="1807"/>
      <c r="T79" s="1807"/>
      <c r="U79" s="1807"/>
      <c r="V79" s="1807"/>
      <c r="W79" s="1807"/>
      <c r="X79" s="1807"/>
      <c r="Y79" s="1807"/>
      <c r="Z79" s="1807"/>
      <c r="AA79" s="1777" t="s">
        <v>241</v>
      </c>
      <c r="AB79" s="317"/>
      <c r="AC79" s="1807"/>
      <c r="AD79" s="1807"/>
      <c r="AE79" s="1807"/>
      <c r="AF79" s="1807"/>
      <c r="AG79" s="1775"/>
      <c r="AH79" s="1775"/>
      <c r="AI79" s="1775"/>
      <c r="AJ79" s="1775"/>
      <c r="AK79" s="1775"/>
      <c r="AL79" s="1775"/>
      <c r="AM79" s="1775"/>
      <c r="AN79" s="1775"/>
      <c r="AO79" s="1775"/>
      <c r="AP79" s="1775"/>
      <c r="AQ79" s="2475"/>
      <c r="AR79" s="2475"/>
      <c r="AS79" s="2475"/>
      <c r="AT79" s="2475"/>
      <c r="AU79" s="2475"/>
      <c r="AV79" s="4008"/>
      <c r="AW79" s="3994"/>
      <c r="AX79" s="4035" t="s">
        <v>2849</v>
      </c>
      <c r="AY79" s="4000"/>
      <c r="BA79" s="245">
        <v>1</v>
      </c>
      <c r="BB79" s="245">
        <v>1</v>
      </c>
      <c r="BC79" s="245">
        <v>1</v>
      </c>
      <c r="BD79" s="245">
        <v>1</v>
      </c>
      <c r="BE79" s="245"/>
      <c r="BG79" s="245"/>
      <c r="BH79" s="245">
        <v>1</v>
      </c>
    </row>
    <row r="80" spans="1:60" ht="29.25" customHeight="1">
      <c r="A80" s="245">
        <v>64</v>
      </c>
      <c r="B80" s="1758" t="s">
        <v>787</v>
      </c>
      <c r="C80" s="1773" t="s">
        <v>701</v>
      </c>
      <c r="D80" s="1807"/>
      <c r="E80" s="1807"/>
      <c r="F80" s="1807"/>
      <c r="G80" s="1807"/>
      <c r="H80" s="1807"/>
      <c r="I80" s="1807"/>
      <c r="J80" s="1807"/>
      <c r="K80" s="1807"/>
      <c r="L80" s="1807"/>
      <c r="M80" s="1807"/>
      <c r="N80" s="1807"/>
      <c r="O80" s="1807"/>
      <c r="P80" s="1807"/>
      <c r="Q80" s="1807"/>
      <c r="R80" s="1807"/>
      <c r="S80" s="1807"/>
      <c r="T80" s="1807"/>
      <c r="U80" s="1777" t="s">
        <v>208</v>
      </c>
      <c r="V80" s="1807"/>
      <c r="W80" s="1807"/>
      <c r="X80" s="1807"/>
      <c r="Y80" s="1807"/>
      <c r="Z80" s="1807"/>
      <c r="AA80" s="1807"/>
      <c r="AB80" s="1807"/>
      <c r="AC80" s="1807"/>
      <c r="AD80" s="1807"/>
      <c r="AE80" s="1807"/>
      <c r="AF80" s="1807"/>
      <c r="AG80" s="1775"/>
      <c r="AH80" s="1775"/>
      <c r="AI80" s="1775"/>
      <c r="AJ80" s="1774" t="s">
        <v>702</v>
      </c>
      <c r="AK80" s="1775"/>
      <c r="AL80" s="1775"/>
      <c r="AM80" s="1775"/>
      <c r="AN80" s="1775"/>
      <c r="AO80" s="1775"/>
      <c r="AP80" s="1775"/>
      <c r="AQ80" s="2475"/>
      <c r="AR80" s="2475"/>
      <c r="AS80" s="2475"/>
      <c r="AT80" s="2475"/>
      <c r="AU80" s="2475"/>
      <c r="AV80" s="4008"/>
      <c r="AW80" s="3994"/>
      <c r="AX80" s="3994"/>
      <c r="AY80" s="3994"/>
      <c r="AZ80" s="245">
        <v>1</v>
      </c>
      <c r="BA80" s="245">
        <v>1</v>
      </c>
      <c r="BB80" s="245">
        <v>1</v>
      </c>
      <c r="BC80" s="245">
        <v>1</v>
      </c>
      <c r="BD80" s="245">
        <v>1</v>
      </c>
      <c r="BE80" s="245">
        <v>1</v>
      </c>
      <c r="BF80" s="245">
        <v>1</v>
      </c>
      <c r="BG80" s="245">
        <v>1</v>
      </c>
      <c r="BH80" s="245"/>
    </row>
    <row r="81" spans="1:61" ht="29.25" customHeight="1">
      <c r="A81" s="245">
        <v>65</v>
      </c>
      <c r="B81" s="1758" t="s">
        <v>299</v>
      </c>
      <c r="C81" s="1773" t="s">
        <v>700</v>
      </c>
      <c r="D81" s="1777" t="s">
        <v>1775</v>
      </c>
      <c r="E81" s="1807"/>
      <c r="F81" s="1807"/>
      <c r="G81" s="1807"/>
      <c r="H81" s="1807"/>
      <c r="I81" s="1807"/>
      <c r="J81" s="1807"/>
      <c r="K81" s="1807"/>
      <c r="L81" s="1807"/>
      <c r="M81" s="1807"/>
      <c r="N81" s="1807"/>
      <c r="O81" s="1807"/>
      <c r="P81" s="1807"/>
      <c r="Q81" s="1807"/>
      <c r="R81" s="1807"/>
      <c r="S81" s="1807"/>
      <c r="T81" s="1807"/>
      <c r="U81" s="1777" t="s">
        <v>208</v>
      </c>
      <c r="V81" s="1807"/>
      <c r="W81" s="1807"/>
      <c r="X81" s="1807"/>
      <c r="Y81" s="1807"/>
      <c r="Z81" s="1777" t="s">
        <v>212</v>
      </c>
      <c r="AA81" s="1807"/>
      <c r="AB81" s="1807"/>
      <c r="AC81" s="1807"/>
      <c r="AD81" s="1807"/>
      <c r="AE81" s="1807"/>
      <c r="AF81" s="1807"/>
      <c r="AG81" s="1777" t="s">
        <v>1776</v>
      </c>
      <c r="AH81" s="1775"/>
      <c r="AI81" s="1775"/>
      <c r="AJ81" s="1775"/>
      <c r="AK81" s="1775"/>
      <c r="AL81" s="1775"/>
      <c r="AM81" s="1775"/>
      <c r="AN81" s="1775"/>
      <c r="AO81" s="1775"/>
      <c r="AP81" s="1775"/>
      <c r="AQ81" s="2475"/>
      <c r="AR81" s="2475"/>
      <c r="AS81" s="2475"/>
      <c r="AT81" s="2475"/>
      <c r="AU81" s="2475"/>
      <c r="AV81" s="4008"/>
      <c r="AW81" s="3994"/>
      <c r="AX81" s="3994"/>
      <c r="AY81" s="3994"/>
      <c r="AZ81" s="245">
        <v>1</v>
      </c>
      <c r="BA81" s="245">
        <v>1</v>
      </c>
      <c r="BB81" s="245">
        <v>1</v>
      </c>
      <c r="BC81" s="245">
        <v>1</v>
      </c>
      <c r="BD81" s="245">
        <v>1</v>
      </c>
      <c r="BE81" s="245">
        <v>1</v>
      </c>
      <c r="BF81" s="245">
        <v>1</v>
      </c>
      <c r="BG81" s="245"/>
      <c r="BH81" s="245"/>
    </row>
    <row r="82" spans="1:61" ht="29.25" customHeight="1">
      <c r="A82" s="245">
        <v>66</v>
      </c>
      <c r="B82" s="1758" t="s">
        <v>301</v>
      </c>
      <c r="C82" s="1773" t="s">
        <v>700</v>
      </c>
      <c r="D82" s="1777" t="s">
        <v>1775</v>
      </c>
      <c r="E82" s="1807"/>
      <c r="F82" s="1807"/>
      <c r="G82" s="1807"/>
      <c r="H82" s="1807"/>
      <c r="I82" s="1807"/>
      <c r="J82" s="1807"/>
      <c r="K82" s="1807"/>
      <c r="L82" s="1807"/>
      <c r="M82" s="1807"/>
      <c r="N82" s="1807"/>
      <c r="O82" s="1807"/>
      <c r="P82" s="1807"/>
      <c r="Q82" s="1807"/>
      <c r="R82" s="1807"/>
      <c r="S82" s="1807"/>
      <c r="T82" s="1807"/>
      <c r="U82" s="1777" t="s">
        <v>208</v>
      </c>
      <c r="V82" s="1807"/>
      <c r="W82" s="1807"/>
      <c r="X82" s="1807"/>
      <c r="Y82" s="1807"/>
      <c r="Z82" s="1777" t="s">
        <v>212</v>
      </c>
      <c r="AA82" s="1807"/>
      <c r="AB82" s="1807"/>
      <c r="AC82" s="1807"/>
      <c r="AD82" s="1807"/>
      <c r="AE82" s="1807"/>
      <c r="AF82" s="1807"/>
      <c r="AG82" s="1777" t="s">
        <v>1776</v>
      </c>
      <c r="AH82" s="1775"/>
      <c r="AI82" s="1775"/>
      <c r="AJ82" s="1775"/>
      <c r="AK82" s="1775"/>
      <c r="AL82" s="1775"/>
      <c r="AM82" s="1775"/>
      <c r="AN82" s="1775"/>
      <c r="AO82" s="1775"/>
      <c r="AP82" s="1775"/>
      <c r="AQ82" s="2475"/>
      <c r="AR82" s="2475"/>
      <c r="AS82" s="2475"/>
      <c r="AT82" s="2475"/>
      <c r="AU82" s="2475"/>
      <c r="AV82" s="4008"/>
      <c r="AW82" s="3994"/>
      <c r="AX82" s="3994"/>
      <c r="AY82" s="3994"/>
      <c r="AZ82" s="245">
        <v>1</v>
      </c>
      <c r="BA82" s="245">
        <v>1</v>
      </c>
      <c r="BB82" s="245">
        <v>1</v>
      </c>
      <c r="BC82" s="245">
        <v>1</v>
      </c>
      <c r="BD82" s="245">
        <v>1</v>
      </c>
      <c r="BE82" s="245">
        <v>1</v>
      </c>
      <c r="BF82" s="245">
        <v>1</v>
      </c>
      <c r="BG82" s="245"/>
      <c r="BH82" s="245"/>
    </row>
    <row r="83" spans="1:61" ht="29.25" customHeight="1">
      <c r="A83" s="245">
        <v>67</v>
      </c>
      <c r="B83" s="1826" t="s">
        <v>1777</v>
      </c>
      <c r="C83" s="1827" t="s">
        <v>607</v>
      </c>
      <c r="D83" s="1807"/>
      <c r="E83" s="1807"/>
      <c r="F83" s="1807"/>
      <c r="G83" s="1807"/>
      <c r="H83" s="1807"/>
      <c r="I83" s="1807"/>
      <c r="J83" s="1807"/>
      <c r="K83" s="1807"/>
      <c r="L83" s="1807"/>
      <c r="M83" s="1807"/>
      <c r="N83" s="1807"/>
      <c r="O83" s="1807"/>
      <c r="P83" s="1807" t="s">
        <v>332</v>
      </c>
      <c r="Q83" s="1807"/>
      <c r="R83" s="1807"/>
      <c r="S83" s="1807"/>
      <c r="T83" s="1807"/>
      <c r="U83" s="1807"/>
      <c r="V83" s="1807"/>
      <c r="W83" s="1807"/>
      <c r="X83" s="1807"/>
      <c r="Y83" s="1807"/>
      <c r="Z83" s="1807"/>
      <c r="AA83" s="1807"/>
      <c r="AB83" s="1807"/>
      <c r="AC83" s="1811" t="s">
        <v>391</v>
      </c>
      <c r="AD83" s="1807"/>
      <c r="AE83" s="317"/>
      <c r="AF83" s="1807"/>
      <c r="AG83" s="1775"/>
      <c r="AH83" s="1775"/>
      <c r="AI83" s="1775"/>
      <c r="AJ83" s="1775"/>
      <c r="AK83" s="1775"/>
      <c r="AL83" s="1775"/>
      <c r="AM83" s="1775"/>
      <c r="AN83" s="1775"/>
      <c r="AO83" s="1775"/>
      <c r="AP83" s="1775"/>
      <c r="AQ83" s="2475"/>
      <c r="AR83" s="2475"/>
      <c r="AS83" s="2475"/>
      <c r="AT83" s="3016" t="s">
        <v>2520</v>
      </c>
      <c r="AU83" s="2475"/>
      <c r="AV83" s="4008"/>
      <c r="AW83" s="3994"/>
      <c r="AX83" s="3994"/>
      <c r="AY83" s="3994"/>
      <c r="AZ83" s="245">
        <v>1</v>
      </c>
      <c r="BB83" s="245">
        <v>1</v>
      </c>
      <c r="BC83" s="245">
        <v>1</v>
      </c>
      <c r="BD83" s="245">
        <v>1</v>
      </c>
      <c r="BE83" s="245">
        <v>1</v>
      </c>
      <c r="BG83" s="245">
        <v>1</v>
      </c>
      <c r="BH83" s="245">
        <v>1</v>
      </c>
    </row>
    <row r="84" spans="1:61" ht="29.25" customHeight="1">
      <c r="A84" s="245">
        <v>68</v>
      </c>
      <c r="B84" s="1758" t="s">
        <v>504</v>
      </c>
      <c r="C84" s="1787" t="s">
        <v>607</v>
      </c>
      <c r="D84" s="1808"/>
      <c r="E84" s="1808"/>
      <c r="F84" s="1808"/>
      <c r="G84" s="1777" t="s">
        <v>240</v>
      </c>
      <c r="H84" s="1807"/>
      <c r="I84" s="1808"/>
      <c r="J84" s="1808"/>
      <c r="K84" s="1808"/>
      <c r="L84" s="1808"/>
      <c r="M84" s="1808"/>
      <c r="N84" s="1808"/>
      <c r="O84" s="1808"/>
      <c r="P84" s="1808"/>
      <c r="Q84" s="1808"/>
      <c r="R84" s="1808"/>
      <c r="S84" s="1808"/>
      <c r="T84" s="1808"/>
      <c r="U84" s="1777" t="s">
        <v>208</v>
      </c>
      <c r="V84" s="1808"/>
      <c r="W84" s="1808"/>
      <c r="X84" s="1808"/>
      <c r="Y84" s="1808"/>
      <c r="Z84" s="1809" t="s">
        <v>212</v>
      </c>
      <c r="AA84" s="1808"/>
      <c r="AB84" s="1808"/>
      <c r="AC84" s="1809" t="s">
        <v>392</v>
      </c>
      <c r="AD84" s="1807"/>
      <c r="AE84" s="1807"/>
      <c r="AF84" s="1807"/>
      <c r="AG84" s="1775"/>
      <c r="AH84" s="1775"/>
      <c r="AI84" s="1775"/>
      <c r="AJ84" s="1775"/>
      <c r="AK84" s="1775"/>
      <c r="AL84" s="1775"/>
      <c r="AM84" s="1775"/>
      <c r="AN84" s="1775"/>
      <c r="AO84" s="1775"/>
      <c r="AP84" s="1775"/>
      <c r="AQ84" s="2475"/>
      <c r="AR84" s="2475"/>
      <c r="AS84" s="2475"/>
      <c r="AT84" s="2475"/>
      <c r="AU84" s="3008" t="s">
        <v>2518</v>
      </c>
      <c r="AV84" s="4008"/>
      <c r="AW84" s="3994"/>
      <c r="AX84" s="3994"/>
      <c r="AY84" s="3994"/>
      <c r="AZ84" s="245">
        <v>1</v>
      </c>
      <c r="BA84" s="245">
        <v>1</v>
      </c>
      <c r="BB84" s="245">
        <v>1</v>
      </c>
      <c r="BC84" s="245">
        <v>1</v>
      </c>
      <c r="BD84" s="245">
        <v>1</v>
      </c>
      <c r="BE84" s="245">
        <v>1</v>
      </c>
      <c r="BG84" s="245">
        <v>1</v>
      </c>
      <c r="BH84" s="245">
        <v>1</v>
      </c>
    </row>
    <row r="85" spans="1:61" ht="29.25" customHeight="1">
      <c r="A85" s="245">
        <v>69</v>
      </c>
      <c r="B85" s="1758" t="s">
        <v>505</v>
      </c>
      <c r="C85" s="1787" t="s">
        <v>607</v>
      </c>
      <c r="D85" s="1808"/>
      <c r="E85" s="1808"/>
      <c r="F85" s="1808"/>
      <c r="G85" s="1777" t="s">
        <v>240</v>
      </c>
      <c r="H85" s="1807"/>
      <c r="I85" s="1808"/>
      <c r="J85" s="1808"/>
      <c r="K85" s="1808"/>
      <c r="L85" s="1808"/>
      <c r="M85" s="1808"/>
      <c r="N85" s="1808"/>
      <c r="O85" s="1808"/>
      <c r="P85" s="1808"/>
      <c r="Q85" s="1808"/>
      <c r="R85" s="1808"/>
      <c r="S85" s="1808"/>
      <c r="T85" s="1808"/>
      <c r="U85" s="1777" t="s">
        <v>208</v>
      </c>
      <c r="V85" s="1808"/>
      <c r="W85" s="1808"/>
      <c r="X85" s="1808"/>
      <c r="Y85" s="1808"/>
      <c r="Z85" s="1809" t="s">
        <v>212</v>
      </c>
      <c r="AA85" s="1808"/>
      <c r="AB85" s="1808"/>
      <c r="AC85" s="1809" t="s">
        <v>392</v>
      </c>
      <c r="AD85" s="1807"/>
      <c r="AE85" s="1807"/>
      <c r="AF85" s="1807"/>
      <c r="AG85" s="1775"/>
      <c r="AH85" s="1775"/>
      <c r="AI85" s="1775"/>
      <c r="AJ85" s="1775"/>
      <c r="AK85" s="1775"/>
      <c r="AL85" s="1775"/>
      <c r="AM85" s="1775"/>
      <c r="AN85" s="1775"/>
      <c r="AO85" s="1775"/>
      <c r="AP85" s="1775"/>
      <c r="AQ85" s="2475"/>
      <c r="AR85" s="2475"/>
      <c r="AS85" s="2475"/>
      <c r="AT85" s="2475"/>
      <c r="AU85" s="3008" t="s">
        <v>2518</v>
      </c>
      <c r="AV85" s="4008"/>
      <c r="AW85" s="3994"/>
      <c r="AX85" s="3994"/>
      <c r="AY85" s="3994"/>
      <c r="AZ85" s="245">
        <v>1</v>
      </c>
      <c r="BA85" s="245">
        <v>1</v>
      </c>
      <c r="BB85" s="245">
        <v>1</v>
      </c>
      <c r="BC85" s="245">
        <v>1</v>
      </c>
      <c r="BD85" s="245">
        <v>1</v>
      </c>
      <c r="BE85" s="245">
        <v>1</v>
      </c>
      <c r="BG85" s="245">
        <v>1</v>
      </c>
      <c r="BH85" s="245">
        <v>1</v>
      </c>
    </row>
    <row r="86" spans="1:61" ht="29.25" customHeight="1">
      <c r="B86" s="1758" t="s">
        <v>788</v>
      </c>
      <c r="C86" s="1820" t="s">
        <v>699</v>
      </c>
      <c r="D86" s="1807"/>
      <c r="E86" s="1807"/>
      <c r="F86" s="1807"/>
      <c r="G86" s="1807"/>
      <c r="H86" s="1807"/>
      <c r="I86" s="1807"/>
      <c r="J86" s="1807"/>
      <c r="K86" s="1807"/>
      <c r="L86" s="1807"/>
      <c r="M86" s="1807"/>
      <c r="N86" s="1807"/>
      <c r="O86" s="1807"/>
      <c r="P86" s="1807"/>
      <c r="Q86" s="1807"/>
      <c r="R86" s="1807"/>
      <c r="S86" s="1807"/>
      <c r="T86" s="1807"/>
      <c r="U86" s="1807"/>
      <c r="V86" s="1807"/>
      <c r="W86" s="1807"/>
      <c r="X86" s="1807"/>
      <c r="Y86" s="1807"/>
      <c r="Z86" s="1807"/>
      <c r="AA86" s="1807"/>
      <c r="AB86" s="1807"/>
      <c r="AC86" s="1807"/>
      <c r="AD86" s="1807"/>
      <c r="AE86" s="1807"/>
      <c r="AF86" s="1810" t="s">
        <v>582</v>
      </c>
      <c r="AG86" s="1775"/>
      <c r="AH86" s="1775"/>
      <c r="AI86" s="1775"/>
      <c r="AJ86" s="1775"/>
      <c r="AK86" s="1775"/>
      <c r="AL86" s="1775"/>
      <c r="AM86" s="1775"/>
      <c r="AN86" s="1775"/>
      <c r="AO86" s="1775"/>
      <c r="AP86" s="1775"/>
      <c r="AQ86" s="2475"/>
      <c r="AR86" s="2475"/>
      <c r="AS86" s="2475"/>
      <c r="AT86" s="2475"/>
      <c r="AU86" s="2475"/>
      <c r="AV86" s="4008"/>
      <c r="AW86" s="3994"/>
      <c r="AX86" s="4406" t="s">
        <v>2833</v>
      </c>
      <c r="AY86" s="3994"/>
      <c r="BC86" s="245"/>
      <c r="BD86" s="245"/>
      <c r="BE86" s="245"/>
      <c r="BG86" s="245"/>
      <c r="BH86" s="245"/>
      <c r="BI86" s="354" t="s">
        <v>2754</v>
      </c>
    </row>
    <row r="87" spans="1:61" ht="29.25" customHeight="1">
      <c r="B87" s="1758" t="s">
        <v>789</v>
      </c>
      <c r="C87" s="1820" t="s">
        <v>699</v>
      </c>
      <c r="D87" s="1807"/>
      <c r="E87" s="1807"/>
      <c r="F87" s="1807"/>
      <c r="G87" s="1807"/>
      <c r="H87" s="1807"/>
      <c r="I87" s="1807"/>
      <c r="J87" s="1807"/>
      <c r="K87" s="1807"/>
      <c r="L87" s="1807"/>
      <c r="M87" s="1807"/>
      <c r="N87" s="1807"/>
      <c r="O87" s="1807"/>
      <c r="P87" s="1807"/>
      <c r="Q87" s="1807"/>
      <c r="R87" s="1807"/>
      <c r="S87" s="1807"/>
      <c r="T87" s="1807"/>
      <c r="U87" s="1807"/>
      <c r="V87" s="1807"/>
      <c r="W87" s="1807"/>
      <c r="X87" s="1807"/>
      <c r="Y87" s="1807"/>
      <c r="Z87" s="1807"/>
      <c r="AA87" s="1807"/>
      <c r="AB87" s="1807"/>
      <c r="AC87" s="1807"/>
      <c r="AD87" s="1807"/>
      <c r="AE87" s="1807"/>
      <c r="AF87" s="1810" t="s">
        <v>583</v>
      </c>
      <c r="AG87" s="1775"/>
      <c r="AH87" s="1775"/>
      <c r="AI87" s="1775"/>
      <c r="AJ87" s="1775"/>
      <c r="AK87" s="1775"/>
      <c r="AL87" s="1775"/>
      <c r="AM87" s="1775"/>
      <c r="AN87" s="1775"/>
      <c r="AO87" s="1775"/>
      <c r="AP87" s="1775"/>
      <c r="AQ87" s="2475"/>
      <c r="AR87" s="2475"/>
      <c r="AS87" s="2475"/>
      <c r="AT87" s="2475"/>
      <c r="AU87" s="2475"/>
      <c r="AV87" s="4008"/>
      <c r="AW87" s="3994"/>
      <c r="AX87" s="4406" t="s">
        <v>2833</v>
      </c>
      <c r="AY87" s="3994"/>
      <c r="BC87" s="245"/>
      <c r="BD87" s="245"/>
      <c r="BE87" s="245"/>
      <c r="BG87" s="245"/>
      <c r="BH87" s="245"/>
      <c r="BI87" s="354" t="s">
        <v>2754</v>
      </c>
    </row>
    <row r="88" spans="1:61" ht="29.25" customHeight="1">
      <c r="B88" s="2550" t="s">
        <v>1990</v>
      </c>
      <c r="C88" s="2552" t="s">
        <v>1729</v>
      </c>
      <c r="D88" s="2541"/>
      <c r="E88" s="2541"/>
      <c r="F88" s="2541"/>
      <c r="G88" s="2541"/>
      <c r="H88" s="2541"/>
      <c r="I88" s="2541"/>
      <c r="J88" s="2541"/>
      <c r="K88" s="2541"/>
      <c r="L88" s="2541"/>
      <c r="M88" s="2541"/>
      <c r="N88" s="2541"/>
      <c r="O88" s="2541"/>
      <c r="P88" s="2541"/>
      <c r="Q88" s="2541"/>
      <c r="R88" s="2541"/>
      <c r="S88" s="2541"/>
      <c r="T88" s="2541"/>
      <c r="U88" s="2541"/>
      <c r="V88" s="2541"/>
      <c r="W88" s="2541"/>
      <c r="X88" s="2541"/>
      <c r="Y88" s="2541"/>
      <c r="Z88" s="2541"/>
      <c r="AA88" s="2541"/>
      <c r="AB88" s="2541"/>
      <c r="AC88" s="2541"/>
      <c r="AD88" s="2541"/>
      <c r="AE88" s="2541"/>
      <c r="AF88" s="2551"/>
      <c r="AG88" s="2475"/>
      <c r="AH88" s="2475"/>
      <c r="AI88" s="2475"/>
      <c r="AJ88" s="2475"/>
      <c r="AK88" s="2475"/>
      <c r="AL88" s="2475"/>
      <c r="AM88" s="2475"/>
      <c r="AN88" s="2475"/>
      <c r="AO88" s="2475"/>
      <c r="AP88" s="2547" t="s">
        <v>1988</v>
      </c>
      <c r="AQ88" s="2475"/>
      <c r="AR88" s="2475"/>
      <c r="AS88" s="2475"/>
      <c r="AT88" s="2475"/>
      <c r="AU88" s="2475"/>
      <c r="AV88" s="4008"/>
      <c r="AW88" s="3994"/>
      <c r="AX88" s="3994"/>
      <c r="AY88" s="3994"/>
      <c r="BC88" s="245"/>
      <c r="BD88" s="245"/>
      <c r="BE88" s="245"/>
      <c r="BG88" s="245"/>
      <c r="BI88" s="354" t="s">
        <v>2754</v>
      </c>
    </row>
    <row r="89" spans="1:61" ht="15">
      <c r="B89" s="2494" t="s">
        <v>382</v>
      </c>
      <c r="C89" s="2495"/>
      <c r="D89" s="2564"/>
      <c r="E89" s="2564"/>
      <c r="F89" s="2564"/>
      <c r="G89" s="2564"/>
      <c r="H89" s="2564"/>
      <c r="I89" s="2564"/>
      <c r="J89" s="2564"/>
      <c r="K89" s="2564"/>
      <c r="L89" s="2564"/>
      <c r="M89" s="2564"/>
      <c r="N89" s="2564"/>
      <c r="O89" s="2564"/>
      <c r="P89" s="2564"/>
      <c r="Q89" s="2564"/>
      <c r="R89" s="2564"/>
      <c r="S89" s="2564"/>
      <c r="T89" s="2564"/>
      <c r="U89" s="2564"/>
      <c r="V89" s="2564"/>
      <c r="W89" s="2564"/>
      <c r="X89" s="2564"/>
      <c r="Y89" s="2564"/>
      <c r="Z89" s="2564"/>
      <c r="AA89" s="2564"/>
      <c r="AB89" s="2564"/>
      <c r="AC89" s="2564"/>
      <c r="AD89" s="2565"/>
      <c r="AE89" s="2566"/>
      <c r="AF89" s="2566"/>
      <c r="AG89" s="2567"/>
      <c r="AH89" s="2567"/>
      <c r="AI89" s="2567"/>
      <c r="AJ89" s="2567"/>
      <c r="AK89" s="2567"/>
      <c r="AL89" s="2567"/>
      <c r="AM89" s="2567"/>
      <c r="AN89" s="2567"/>
      <c r="AO89" s="2567"/>
      <c r="AP89" s="2567"/>
      <c r="AQ89" s="2568"/>
      <c r="AR89" s="2568"/>
      <c r="AS89" s="2568"/>
      <c r="AT89" s="2996"/>
      <c r="AU89" s="2996"/>
      <c r="AV89" s="2996"/>
      <c r="AW89" s="4017"/>
      <c r="AX89" s="4017"/>
      <c r="AY89" s="4017"/>
      <c r="AZ89" s="2569"/>
      <c r="BA89" s="2569"/>
      <c r="BB89" s="2569"/>
      <c r="BC89" s="2569"/>
      <c r="BD89" s="2569"/>
      <c r="BE89" s="2569"/>
      <c r="BF89" s="2569"/>
      <c r="BG89" s="2569"/>
      <c r="BH89" s="2569"/>
    </row>
    <row r="90" spans="1:61" ht="29.25" customHeight="1">
      <c r="A90" s="245">
        <v>70</v>
      </c>
      <c r="B90" s="1758" t="s">
        <v>303</v>
      </c>
      <c r="C90" s="1759" t="s">
        <v>400</v>
      </c>
      <c r="D90" s="1806"/>
      <c r="E90" s="1806"/>
      <c r="F90" s="1806"/>
      <c r="G90" s="1806"/>
      <c r="H90" s="1806"/>
      <c r="I90" s="1806"/>
      <c r="J90" s="1806"/>
      <c r="K90" s="1806"/>
      <c r="L90" s="1806"/>
      <c r="M90" s="1806"/>
      <c r="N90" s="1806"/>
      <c r="O90" s="1806"/>
      <c r="P90" s="1806"/>
      <c r="Q90" s="1806"/>
      <c r="R90" s="1806"/>
      <c r="S90" s="1806"/>
      <c r="T90" s="1806"/>
      <c r="U90" s="1806"/>
      <c r="V90" s="1806"/>
      <c r="W90" s="1806"/>
      <c r="X90" s="1806"/>
      <c r="Y90" s="1806"/>
      <c r="Z90" s="1806"/>
      <c r="AA90" s="1777" t="s">
        <v>251</v>
      </c>
      <c r="AB90" s="317"/>
      <c r="AC90" s="1806"/>
      <c r="AD90" s="1806"/>
      <c r="AE90" s="2541"/>
      <c r="AF90" s="2541"/>
      <c r="AG90" s="2475"/>
      <c r="AH90" s="2475"/>
      <c r="AI90" s="2475"/>
      <c r="AJ90" s="2475"/>
      <c r="AK90" s="2475"/>
      <c r="AL90" s="2475"/>
      <c r="AM90" s="2475"/>
      <c r="AN90" s="2475"/>
      <c r="AO90" s="2475"/>
      <c r="AP90" s="2475"/>
      <c r="AQ90" s="2475"/>
      <c r="AR90" s="2475"/>
      <c r="AS90" s="2475"/>
      <c r="AT90" s="2475"/>
      <c r="AU90" s="2475"/>
      <c r="AV90" s="4012" t="s">
        <v>2509</v>
      </c>
      <c r="AW90" s="4014"/>
      <c r="AX90" s="4014"/>
      <c r="AY90" s="4014"/>
      <c r="BA90" s="245">
        <v>1</v>
      </c>
      <c r="BB90" s="245">
        <v>1</v>
      </c>
      <c r="BC90" s="245">
        <v>1</v>
      </c>
      <c r="BD90" s="245">
        <v>1</v>
      </c>
      <c r="BE90" s="245"/>
      <c r="BG90" s="245">
        <v>1</v>
      </c>
      <c r="BH90" s="245">
        <v>1</v>
      </c>
    </row>
    <row r="91" spans="1:61" ht="29.25" customHeight="1">
      <c r="A91" s="245">
        <v>71</v>
      </c>
      <c r="B91" s="1758" t="s">
        <v>790</v>
      </c>
      <c r="C91" s="1773" t="s">
        <v>1721</v>
      </c>
      <c r="D91" s="1807"/>
      <c r="E91" s="1807"/>
      <c r="F91" s="1807"/>
      <c r="G91" s="1807"/>
      <c r="H91" s="1807"/>
      <c r="I91" s="1807"/>
      <c r="J91" s="1807"/>
      <c r="K91" s="1807"/>
      <c r="L91" s="1807"/>
      <c r="M91" s="1807"/>
      <c r="N91" s="1807"/>
      <c r="O91" s="1807"/>
      <c r="P91" s="1807"/>
      <c r="Q91" s="1807"/>
      <c r="R91" s="1807"/>
      <c r="S91" s="1807"/>
      <c r="T91" s="1807"/>
      <c r="U91" s="1807"/>
      <c r="V91" s="1807"/>
      <c r="W91" s="1807"/>
      <c r="X91" s="1807"/>
      <c r="Y91" s="1807"/>
      <c r="Z91" s="1807"/>
      <c r="AA91" s="1777" t="s">
        <v>241</v>
      </c>
      <c r="AB91" s="1807"/>
      <c r="AC91" s="1807"/>
      <c r="AD91" s="1807"/>
      <c r="AE91" s="2541"/>
      <c r="AF91" s="2541"/>
      <c r="AG91" s="2475"/>
      <c r="AH91" s="2475"/>
      <c r="AI91" s="2475"/>
      <c r="AJ91" s="2475"/>
      <c r="AK91" s="2475"/>
      <c r="AL91" s="2475"/>
      <c r="AM91" s="2538" t="s">
        <v>852</v>
      </c>
      <c r="AN91" s="2539"/>
      <c r="AO91" s="2539"/>
      <c r="AP91" s="2539"/>
      <c r="AQ91" s="2538" t="s">
        <v>1994</v>
      </c>
      <c r="AR91" s="2539"/>
      <c r="AS91" s="2539"/>
      <c r="AT91" s="2539"/>
      <c r="AU91" s="2539"/>
      <c r="AV91" s="4013"/>
      <c r="AW91" s="4000"/>
      <c r="AX91" s="4000"/>
      <c r="AY91" s="4000"/>
      <c r="BA91" s="245">
        <v>1</v>
      </c>
      <c r="BB91" s="245">
        <v>1</v>
      </c>
      <c r="BC91" s="245">
        <v>1</v>
      </c>
      <c r="BD91" s="245">
        <v>1</v>
      </c>
      <c r="BE91" s="245">
        <v>1</v>
      </c>
      <c r="BF91" s="245">
        <v>1</v>
      </c>
      <c r="BG91" s="245">
        <v>1</v>
      </c>
      <c r="BH91" s="245">
        <v>1</v>
      </c>
    </row>
    <row r="92" spans="1:61" ht="29.25" customHeight="1">
      <c r="A92" s="245">
        <v>72</v>
      </c>
      <c r="B92" s="1758" t="s">
        <v>791</v>
      </c>
      <c r="C92" s="1773" t="s">
        <v>1721</v>
      </c>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777" t="s">
        <v>241</v>
      </c>
      <c r="AB92" s="1807"/>
      <c r="AC92" s="1807"/>
      <c r="AD92" s="1807"/>
      <c r="AE92" s="2541"/>
      <c r="AF92" s="2541"/>
      <c r="AG92" s="2475"/>
      <c r="AH92" s="2475"/>
      <c r="AI92" s="2475"/>
      <c r="AJ92" s="2475"/>
      <c r="AK92" s="2475"/>
      <c r="AL92" s="2475"/>
      <c r="AM92" s="2538" t="s">
        <v>852</v>
      </c>
      <c r="AN92" s="2539"/>
      <c r="AO92" s="2539"/>
      <c r="AP92" s="2539"/>
      <c r="AQ92" s="2538" t="s">
        <v>1994</v>
      </c>
      <c r="AR92" s="2539"/>
      <c r="AS92" s="2539"/>
      <c r="AT92" s="2539"/>
      <c r="AU92" s="2539"/>
      <c r="AV92" s="4013"/>
      <c r="AW92" s="4000"/>
      <c r="AX92" s="4000"/>
      <c r="AY92" s="4000"/>
      <c r="BA92" s="245">
        <v>1</v>
      </c>
      <c r="BB92" s="245">
        <v>1</v>
      </c>
      <c r="BC92" s="245">
        <v>1</v>
      </c>
      <c r="BD92" s="245">
        <v>1</v>
      </c>
      <c r="BE92" s="245">
        <v>1</v>
      </c>
      <c r="BF92" s="245">
        <v>1</v>
      </c>
      <c r="BG92" s="245">
        <v>1</v>
      </c>
      <c r="BH92" s="245">
        <v>1</v>
      </c>
    </row>
    <row r="93" spans="1:61" ht="29.25" customHeight="1">
      <c r="A93" s="245">
        <v>73</v>
      </c>
      <c r="B93" s="1758" t="s">
        <v>792</v>
      </c>
      <c r="C93" s="1773" t="s">
        <v>1721</v>
      </c>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777" t="s">
        <v>241</v>
      </c>
      <c r="AB93" s="1807"/>
      <c r="AC93" s="1807"/>
      <c r="AD93" s="1807"/>
      <c r="AE93" s="2541"/>
      <c r="AF93" s="2541"/>
      <c r="AG93" s="2475"/>
      <c r="AH93" s="2475"/>
      <c r="AI93" s="2475"/>
      <c r="AJ93" s="2475"/>
      <c r="AK93" s="2475"/>
      <c r="AL93" s="2475"/>
      <c r="AM93" s="2538" t="s">
        <v>852</v>
      </c>
      <c r="AN93" s="2539"/>
      <c r="AO93" s="2539"/>
      <c r="AP93" s="2539"/>
      <c r="AQ93" s="2538" t="s">
        <v>1994</v>
      </c>
      <c r="AR93" s="2539"/>
      <c r="AS93" s="2539"/>
      <c r="AT93" s="2539"/>
      <c r="AU93" s="2539"/>
      <c r="AV93" s="4013"/>
      <c r="AW93" s="4000"/>
      <c r="AX93" s="4000"/>
      <c r="AY93" s="4000"/>
      <c r="BA93" s="245">
        <v>1</v>
      </c>
      <c r="BB93" s="245">
        <v>1</v>
      </c>
      <c r="BC93" s="245">
        <v>1</v>
      </c>
      <c r="BD93" s="245">
        <v>1</v>
      </c>
      <c r="BE93" s="245">
        <v>1</v>
      </c>
      <c r="BF93" s="245">
        <v>1</v>
      </c>
      <c r="BG93" s="245">
        <v>1</v>
      </c>
      <c r="BH93" s="245">
        <v>1</v>
      </c>
    </row>
    <row r="94" spans="1:61" ht="29.25" customHeight="1">
      <c r="A94" s="245">
        <v>74</v>
      </c>
      <c r="B94" s="1758" t="s">
        <v>509</v>
      </c>
      <c r="C94" s="1773" t="s">
        <v>1725</v>
      </c>
      <c r="D94" s="1807"/>
      <c r="E94" s="1807"/>
      <c r="F94" s="1807"/>
      <c r="G94" s="1807"/>
      <c r="H94" s="1807"/>
      <c r="I94" s="1807"/>
      <c r="J94" s="1807"/>
      <c r="K94" s="1807"/>
      <c r="L94" s="1807"/>
      <c r="M94" s="1807"/>
      <c r="N94" s="1807"/>
      <c r="O94" s="1807"/>
      <c r="P94" s="1807"/>
      <c r="Q94" s="1777" t="s">
        <v>242</v>
      </c>
      <c r="R94" s="1807"/>
      <c r="S94" s="1807"/>
      <c r="T94" s="1807"/>
      <c r="U94" s="1807"/>
      <c r="V94" s="1807"/>
      <c r="W94" s="1807"/>
      <c r="X94" s="1807"/>
      <c r="Y94" s="1807"/>
      <c r="Z94" s="1807"/>
      <c r="AA94" s="1807"/>
      <c r="AB94" s="1807"/>
      <c r="AC94" s="1807"/>
      <c r="AD94" s="1807"/>
      <c r="AE94" s="2541"/>
      <c r="AF94" s="2541"/>
      <c r="AG94" s="2475"/>
      <c r="AH94" s="2475"/>
      <c r="AI94" s="2475"/>
      <c r="AJ94" s="2475"/>
      <c r="AK94" s="2475"/>
      <c r="AL94" s="2475"/>
      <c r="AM94" s="2475"/>
      <c r="AN94" s="2559" t="s">
        <v>1778</v>
      </c>
      <c r="AO94" s="2475"/>
      <c r="AP94" s="2475"/>
      <c r="AQ94" s="2475"/>
      <c r="AR94" s="2475"/>
      <c r="AS94" s="2475"/>
      <c r="AT94" s="2475"/>
      <c r="AU94" s="2475"/>
      <c r="AV94" s="4008"/>
      <c r="AW94" s="3994"/>
      <c r="AX94" s="3994"/>
      <c r="AY94" s="3994"/>
      <c r="AZ94" s="245">
        <v>1</v>
      </c>
      <c r="BA94" s="245">
        <v>1</v>
      </c>
      <c r="BB94" s="245">
        <v>1</v>
      </c>
      <c r="BC94" s="245"/>
      <c r="BD94" s="245"/>
      <c r="BE94" s="245">
        <v>1</v>
      </c>
      <c r="BF94" s="245">
        <v>1</v>
      </c>
      <c r="BG94" s="245">
        <v>1</v>
      </c>
      <c r="BH94" s="245">
        <v>1</v>
      </c>
    </row>
    <row r="95" spans="1:61" ht="29.25" customHeight="1">
      <c r="A95" s="245">
        <v>75</v>
      </c>
      <c r="B95" s="1758" t="s">
        <v>793</v>
      </c>
      <c r="C95" s="1773" t="s">
        <v>599</v>
      </c>
      <c r="D95" s="1807"/>
      <c r="E95" s="1807"/>
      <c r="F95" s="1807"/>
      <c r="G95" s="1807"/>
      <c r="H95" s="1807"/>
      <c r="I95" s="1807"/>
      <c r="J95" s="1807"/>
      <c r="K95" s="1807"/>
      <c r="L95" s="1807"/>
      <c r="M95" s="1807"/>
      <c r="N95" s="1807"/>
      <c r="O95" s="1807"/>
      <c r="P95" s="1807"/>
      <c r="Q95" s="1777" t="s">
        <v>242</v>
      </c>
      <c r="R95" s="1807"/>
      <c r="S95" s="1807"/>
      <c r="T95" s="1807"/>
      <c r="U95" s="1807"/>
      <c r="V95" s="1807"/>
      <c r="W95" s="1807"/>
      <c r="X95" s="1807"/>
      <c r="Y95" s="1807"/>
      <c r="Z95" s="1807"/>
      <c r="AA95" s="1807"/>
      <c r="AB95" s="1807"/>
      <c r="AC95" s="1807"/>
      <c r="AD95" s="1807"/>
      <c r="AE95" s="2541"/>
      <c r="AF95" s="2541"/>
      <c r="AG95" s="2475"/>
      <c r="AH95" s="2475"/>
      <c r="AI95" s="2475"/>
      <c r="AJ95" s="2475"/>
      <c r="AK95" s="2475"/>
      <c r="AL95" s="2475"/>
      <c r="AM95" s="2475"/>
      <c r="AN95" s="2475"/>
      <c r="AO95" s="2475"/>
      <c r="AP95" s="2475"/>
      <c r="AQ95" s="2475"/>
      <c r="AR95" s="2538" t="s">
        <v>1995</v>
      </c>
      <c r="AS95" s="2475"/>
      <c r="AT95" s="2475"/>
      <c r="AU95" s="2475"/>
      <c r="AV95" s="4008"/>
      <c r="AW95" s="3994"/>
      <c r="AX95" s="3994"/>
      <c r="AY95" s="3994"/>
      <c r="AZ95" s="245">
        <v>1</v>
      </c>
      <c r="BA95" s="245">
        <v>1</v>
      </c>
      <c r="BB95" s="245">
        <v>1</v>
      </c>
      <c r="BC95" s="245"/>
      <c r="BD95" s="245"/>
      <c r="BE95" s="245"/>
      <c r="BF95" s="245">
        <v>1</v>
      </c>
      <c r="BG95" s="245">
        <v>1</v>
      </c>
      <c r="BH95" s="245">
        <v>1</v>
      </c>
    </row>
    <row r="96" spans="1:61" ht="29.25" hidden="1" customHeight="1">
      <c r="A96" s="245">
        <v>76</v>
      </c>
      <c r="B96" s="1822" t="s">
        <v>794</v>
      </c>
      <c r="C96" s="1828" t="s">
        <v>609</v>
      </c>
      <c r="D96" s="1817"/>
      <c r="E96" s="1817"/>
      <c r="F96" s="1817"/>
      <c r="G96" s="1817"/>
      <c r="H96" s="1817"/>
      <c r="I96" s="1817"/>
      <c r="J96" s="1817"/>
      <c r="K96" s="1817"/>
      <c r="L96" s="1817"/>
      <c r="M96" s="1817"/>
      <c r="N96" s="1817"/>
      <c r="O96" s="1817"/>
      <c r="P96" s="1817"/>
      <c r="Q96" s="1777" t="s">
        <v>242</v>
      </c>
      <c r="R96" s="1817"/>
      <c r="S96" s="1817"/>
      <c r="T96" s="1817"/>
      <c r="U96" s="1817"/>
      <c r="V96" s="1817"/>
      <c r="W96" s="1817"/>
      <c r="X96" s="1817"/>
      <c r="Y96" s="1817"/>
      <c r="Z96" s="1817"/>
      <c r="AA96" s="1817"/>
      <c r="AB96" s="1817"/>
      <c r="AC96" s="1817"/>
      <c r="AD96" s="1817"/>
      <c r="AE96" s="1817"/>
      <c r="AF96" s="1829" t="s">
        <v>540</v>
      </c>
      <c r="AG96" s="1817"/>
      <c r="AH96" s="1818"/>
      <c r="AI96" s="1818"/>
      <c r="AJ96" s="1818"/>
      <c r="AK96" s="1818"/>
      <c r="AL96" s="1818"/>
      <c r="AM96" s="1818"/>
      <c r="AN96" s="1818"/>
      <c r="AO96" s="1818"/>
      <c r="AP96" s="1818"/>
      <c r="AQ96" s="2558"/>
      <c r="AR96" s="2558"/>
      <c r="AS96" s="2558"/>
      <c r="AT96" s="2475"/>
      <c r="AU96" s="2475"/>
      <c r="AV96" s="4008"/>
      <c r="AW96" s="3994"/>
      <c r="AX96" s="3994"/>
      <c r="AY96" s="3994"/>
      <c r="AZ96" s="245">
        <v>1</v>
      </c>
      <c r="BA96" s="245">
        <v>1</v>
      </c>
      <c r="BC96" s="245"/>
      <c r="BD96" s="245"/>
      <c r="BE96" s="245"/>
      <c r="BG96" s="245"/>
      <c r="BH96" s="245"/>
    </row>
    <row r="97" spans="1:61" ht="29.25" customHeight="1">
      <c r="A97" s="245">
        <v>76</v>
      </c>
      <c r="B97" s="1758" t="s">
        <v>304</v>
      </c>
      <c r="C97" s="1773" t="s">
        <v>609</v>
      </c>
      <c r="D97" s="1807"/>
      <c r="E97" s="1807"/>
      <c r="F97" s="1807"/>
      <c r="G97" s="1807"/>
      <c r="H97" s="1807"/>
      <c r="I97" s="1807"/>
      <c r="J97" s="1807"/>
      <c r="K97" s="1807"/>
      <c r="L97" s="1807"/>
      <c r="M97" s="1807"/>
      <c r="N97" s="1807"/>
      <c r="O97" s="1807"/>
      <c r="P97" s="1807"/>
      <c r="Q97" s="1777" t="s">
        <v>242</v>
      </c>
      <c r="R97" s="1807"/>
      <c r="S97" s="1807"/>
      <c r="T97" s="1807"/>
      <c r="U97" s="1807"/>
      <c r="V97" s="1807"/>
      <c r="W97" s="1807"/>
      <c r="X97" s="1807"/>
      <c r="Y97" s="1807"/>
      <c r="Z97" s="1807"/>
      <c r="AA97" s="1807"/>
      <c r="AB97" s="1807"/>
      <c r="AC97" s="1807"/>
      <c r="AD97" s="1807"/>
      <c r="AE97" s="2541"/>
      <c r="AF97" s="2559" t="s">
        <v>539</v>
      </c>
      <c r="AG97" s="2541"/>
      <c r="AH97" s="2475"/>
      <c r="AI97" s="2475"/>
      <c r="AJ97" s="2475"/>
      <c r="AK97" s="2475"/>
      <c r="AL97" s="2475"/>
      <c r="AM97" s="2475"/>
      <c r="AN97" s="2475"/>
      <c r="AO97" s="2475"/>
      <c r="AP97" s="2475"/>
      <c r="AQ97" s="2475"/>
      <c r="AR97" s="2475"/>
      <c r="AS97" s="2475"/>
      <c r="AT97" s="2475"/>
      <c r="AU97" s="2475"/>
      <c r="AV97" s="4008"/>
      <c r="AW97" s="3994"/>
      <c r="AX97" s="3994"/>
      <c r="AY97" s="3994"/>
      <c r="AZ97" s="245">
        <v>1</v>
      </c>
      <c r="BA97" s="245">
        <v>1</v>
      </c>
      <c r="BB97" s="245">
        <v>1</v>
      </c>
      <c r="BC97" s="245">
        <v>1</v>
      </c>
      <c r="BD97" s="245">
        <v>1</v>
      </c>
      <c r="BE97" s="245">
        <v>1</v>
      </c>
      <c r="BF97" s="245">
        <v>1</v>
      </c>
      <c r="BG97" s="245">
        <v>1</v>
      </c>
      <c r="BH97" s="245">
        <v>1</v>
      </c>
    </row>
    <row r="98" spans="1:61" ht="29.25" customHeight="1">
      <c r="A98" s="245">
        <v>77</v>
      </c>
      <c r="B98" s="1758" t="s">
        <v>418</v>
      </c>
      <c r="C98" s="1773" t="s">
        <v>599</v>
      </c>
      <c r="D98" s="1807"/>
      <c r="E98" s="1807"/>
      <c r="F98" s="1807"/>
      <c r="G98" s="1807"/>
      <c r="H98" s="1807"/>
      <c r="I98" s="1807"/>
      <c r="J98" s="1807"/>
      <c r="K98" s="1807"/>
      <c r="L98" s="1807"/>
      <c r="M98" s="1807"/>
      <c r="N98" s="1807"/>
      <c r="O98" s="1807"/>
      <c r="P98" s="1807"/>
      <c r="Q98" s="1777" t="s">
        <v>242</v>
      </c>
      <c r="R98" s="1807"/>
      <c r="S98" s="1807"/>
      <c r="T98" s="1807"/>
      <c r="U98" s="1807"/>
      <c r="V98" s="1807"/>
      <c r="W98" s="1807"/>
      <c r="X98" s="1807"/>
      <c r="Y98" s="1807"/>
      <c r="Z98" s="1807"/>
      <c r="AA98" s="1807"/>
      <c r="AB98" s="1807"/>
      <c r="AC98" s="1807"/>
      <c r="AD98" s="1807"/>
      <c r="AE98" s="2541"/>
      <c r="AF98" s="2541"/>
      <c r="AG98" s="2475"/>
      <c r="AH98" s="2475"/>
      <c r="AI98" s="2475"/>
      <c r="AJ98" s="2475"/>
      <c r="AK98" s="2475"/>
      <c r="AL98" s="2475"/>
      <c r="AM98" s="2475"/>
      <c r="AN98" s="2475"/>
      <c r="AO98" s="2475"/>
      <c r="AP98" s="2475"/>
      <c r="AQ98" s="2475"/>
      <c r="AR98" s="2538" t="s">
        <v>1995</v>
      </c>
      <c r="AS98" s="2475"/>
      <c r="AT98" s="2475"/>
      <c r="AU98" s="2475"/>
      <c r="AV98" s="4008"/>
      <c r="AW98" s="3994"/>
      <c r="AX98" s="3994"/>
      <c r="AY98" s="3994"/>
      <c r="AZ98" s="245">
        <v>1</v>
      </c>
      <c r="BA98" s="245">
        <v>1</v>
      </c>
      <c r="BB98" s="245">
        <v>1</v>
      </c>
      <c r="BC98" s="245"/>
      <c r="BD98" s="245"/>
      <c r="BE98" s="245"/>
      <c r="BF98" s="245">
        <v>1</v>
      </c>
      <c r="BG98" s="245">
        <v>1</v>
      </c>
      <c r="BH98" s="245">
        <v>1</v>
      </c>
    </row>
    <row r="99" spans="1:61" ht="29.25" customHeight="1">
      <c r="A99" s="245">
        <v>78</v>
      </c>
      <c r="B99" s="1758" t="s">
        <v>305</v>
      </c>
      <c r="C99" s="1773" t="s">
        <v>1725</v>
      </c>
      <c r="D99" s="1807"/>
      <c r="E99" s="1807"/>
      <c r="F99" s="1807"/>
      <c r="G99" s="1807"/>
      <c r="H99" s="1807"/>
      <c r="I99" s="1807"/>
      <c r="J99" s="1807"/>
      <c r="K99" s="1807"/>
      <c r="L99" s="1807"/>
      <c r="M99" s="1807"/>
      <c r="N99" s="1807"/>
      <c r="O99" s="1807"/>
      <c r="P99" s="1807"/>
      <c r="Q99" s="1777" t="s">
        <v>242</v>
      </c>
      <c r="R99" s="1807"/>
      <c r="S99" s="1807"/>
      <c r="T99" s="1807"/>
      <c r="U99" s="1807"/>
      <c r="V99" s="1807"/>
      <c r="W99" s="1807"/>
      <c r="X99" s="1807"/>
      <c r="Y99" s="1807"/>
      <c r="Z99" s="1807"/>
      <c r="AA99" s="1807"/>
      <c r="AB99" s="1807"/>
      <c r="AC99" s="1807"/>
      <c r="AD99" s="1807"/>
      <c r="AE99" s="2541"/>
      <c r="AF99" s="2541"/>
      <c r="AG99" s="2475"/>
      <c r="AH99" s="2475"/>
      <c r="AI99" s="2475"/>
      <c r="AJ99" s="2475"/>
      <c r="AK99" s="2475"/>
      <c r="AL99" s="2475"/>
      <c r="AM99" s="2475"/>
      <c r="AN99" s="2538" t="s">
        <v>1771</v>
      </c>
      <c r="AO99" s="2541"/>
      <c r="AP99" s="2541"/>
      <c r="AQ99" s="2541"/>
      <c r="AR99" s="2541"/>
      <c r="AS99" s="2541"/>
      <c r="AT99" s="2541"/>
      <c r="AU99" s="2541"/>
      <c r="AV99" s="4009"/>
      <c r="AW99" s="4014"/>
      <c r="AX99" s="4014"/>
      <c r="AY99" s="4014"/>
      <c r="AZ99" s="245">
        <v>1</v>
      </c>
      <c r="BA99" s="245">
        <v>1</v>
      </c>
      <c r="BB99" s="245">
        <v>1</v>
      </c>
      <c r="BC99" s="245"/>
      <c r="BD99" s="245"/>
      <c r="BE99" s="245">
        <v>1</v>
      </c>
      <c r="BF99" s="245">
        <v>1</v>
      </c>
      <c r="BG99" s="245">
        <v>1</v>
      </c>
      <c r="BH99" s="245">
        <v>1</v>
      </c>
    </row>
    <row r="100" spans="1:61" ht="29.25" customHeight="1">
      <c r="A100" s="245">
        <v>79</v>
      </c>
      <c r="B100" s="1758" t="s">
        <v>307</v>
      </c>
      <c r="C100" s="1787" t="s">
        <v>606</v>
      </c>
      <c r="D100" s="1808"/>
      <c r="E100" s="1808"/>
      <c r="F100" s="1808"/>
      <c r="G100" s="1808"/>
      <c r="H100" s="1808"/>
      <c r="I100" s="1808"/>
      <c r="J100" s="1808"/>
      <c r="K100" s="1808"/>
      <c r="L100" s="1808"/>
      <c r="M100" s="1808"/>
      <c r="N100" s="1808"/>
      <c r="O100" s="1808"/>
      <c r="P100" s="1808"/>
      <c r="Q100" s="1777" t="s">
        <v>242</v>
      </c>
      <c r="R100" s="1808"/>
      <c r="S100" s="1807"/>
      <c r="T100" s="1808"/>
      <c r="U100" s="1808"/>
      <c r="V100" s="1808"/>
      <c r="W100" s="1808"/>
      <c r="X100" s="1808"/>
      <c r="Y100" s="1808"/>
      <c r="Z100" s="1777" t="s">
        <v>212</v>
      </c>
      <c r="AA100" s="1768"/>
      <c r="AB100" s="1808"/>
      <c r="AC100" s="1808"/>
      <c r="AD100" s="1808"/>
      <c r="AE100" s="2541"/>
      <c r="AF100" s="2541"/>
      <c r="AG100" s="2475"/>
      <c r="AH100" s="2475"/>
      <c r="AI100" s="2475"/>
      <c r="AJ100" s="2475"/>
      <c r="AK100" s="2475"/>
      <c r="AL100" s="2475"/>
      <c r="AM100" s="2475"/>
      <c r="AN100" s="2475"/>
      <c r="AO100" s="2475"/>
      <c r="AP100" s="2475"/>
      <c r="AQ100" s="2475"/>
      <c r="AR100" s="2475"/>
      <c r="AS100" s="2475"/>
      <c r="AT100" s="2475"/>
      <c r="AU100" s="2475"/>
      <c r="AV100" s="4008"/>
      <c r="AW100" s="3994"/>
      <c r="AX100" s="3994"/>
      <c r="AY100" s="3994"/>
      <c r="AZ100" s="245">
        <v>1</v>
      </c>
      <c r="BA100" s="245">
        <v>1</v>
      </c>
      <c r="BB100" s="245">
        <v>1</v>
      </c>
      <c r="BC100" s="245">
        <v>1</v>
      </c>
      <c r="BD100" s="245">
        <v>1</v>
      </c>
      <c r="BE100" s="245"/>
      <c r="BG100" s="245"/>
      <c r="BH100" s="245"/>
    </row>
    <row r="101" spans="1:61" ht="29.25" customHeight="1">
      <c r="A101" s="245">
        <v>80</v>
      </c>
      <c r="B101" s="1758" t="s">
        <v>795</v>
      </c>
      <c r="C101" s="1813" t="s">
        <v>607</v>
      </c>
      <c r="D101" s="2551"/>
      <c r="E101" s="2551"/>
      <c r="F101" s="2551"/>
      <c r="G101" s="2551"/>
      <c r="H101" s="2551"/>
      <c r="I101" s="2551"/>
      <c r="J101" s="2551"/>
      <c r="K101" s="2551"/>
      <c r="L101" s="2551"/>
      <c r="M101" s="2551"/>
      <c r="N101" s="2551"/>
      <c r="O101" s="2551"/>
      <c r="P101" s="2551"/>
      <c r="Q101" s="2551"/>
      <c r="R101" s="2551"/>
      <c r="S101" s="2551"/>
      <c r="T101" s="2551"/>
      <c r="U101" s="2551"/>
      <c r="V101" s="2551"/>
      <c r="W101" s="2551"/>
      <c r="X101" s="2551"/>
      <c r="Y101" s="2551"/>
      <c r="Z101" s="2551"/>
      <c r="AA101" s="2551"/>
      <c r="AB101" s="2551"/>
      <c r="AC101" s="2547" t="s">
        <v>393</v>
      </c>
      <c r="AD101" s="2551"/>
      <c r="AE101" s="317"/>
      <c r="AF101" s="2551"/>
      <c r="AG101" s="2560"/>
      <c r="AH101" s="2560"/>
      <c r="AI101" s="2560"/>
      <c r="AJ101" s="2560"/>
      <c r="AK101" s="2560"/>
      <c r="AL101" s="2560"/>
      <c r="AM101" s="2560"/>
      <c r="AN101" s="2560"/>
      <c r="AO101" s="2560"/>
      <c r="AP101" s="2560"/>
      <c r="AQ101" s="2560"/>
      <c r="AR101" s="2560"/>
      <c r="AS101" s="2475"/>
      <c r="AT101" s="2475"/>
      <c r="AU101" s="2475"/>
      <c r="AV101" s="4008"/>
      <c r="AW101" s="3994"/>
      <c r="AX101" s="3994"/>
      <c r="AY101" s="3994"/>
      <c r="BB101" s="245">
        <v>1</v>
      </c>
      <c r="BC101" s="245">
        <v>1</v>
      </c>
      <c r="BD101" s="245">
        <v>1</v>
      </c>
      <c r="BE101" s="245">
        <v>1</v>
      </c>
      <c r="BG101" s="245"/>
      <c r="BH101" s="245"/>
    </row>
    <row r="102" spans="1:61" ht="29.25" customHeight="1">
      <c r="A102" s="245">
        <v>81</v>
      </c>
      <c r="B102" s="2550" t="s">
        <v>2418</v>
      </c>
      <c r="C102" s="2539" t="s">
        <v>1991</v>
      </c>
      <c r="D102" s="2541"/>
      <c r="E102" s="2541"/>
      <c r="F102" s="2541"/>
      <c r="G102" s="2541"/>
      <c r="H102" s="2541"/>
      <c r="I102" s="2541"/>
      <c r="J102" s="2541"/>
      <c r="K102" s="2541"/>
      <c r="L102" s="2541"/>
      <c r="M102" s="2541"/>
      <c r="N102" s="2541"/>
      <c r="O102" s="2541"/>
      <c r="P102" s="2541"/>
      <c r="Q102" s="2541"/>
      <c r="R102" s="2541"/>
      <c r="S102" s="2541"/>
      <c r="T102" s="2541"/>
      <c r="U102" s="2541"/>
      <c r="V102" s="2541"/>
      <c r="W102" s="2541"/>
      <c r="X102" s="2541"/>
      <c r="Y102" s="2541"/>
      <c r="Z102" s="2541"/>
      <c r="AA102" s="2541"/>
      <c r="AB102" s="2541"/>
      <c r="AC102" s="2541"/>
      <c r="AD102" s="2541"/>
      <c r="AE102" s="2541"/>
      <c r="AF102" s="2541"/>
      <c r="AG102" s="2475"/>
      <c r="AH102" s="2475"/>
      <c r="AI102" s="2475"/>
      <c r="AJ102" s="2475"/>
      <c r="AK102" s="2475"/>
      <c r="AL102" s="2475"/>
      <c r="AM102" s="2475"/>
      <c r="AN102" s="2475"/>
      <c r="AO102" s="2475"/>
      <c r="AP102" s="2475"/>
      <c r="AQ102" s="2557" t="s">
        <v>1992</v>
      </c>
      <c r="AR102" s="2475"/>
      <c r="AS102" s="2475"/>
      <c r="AT102" s="2475"/>
      <c r="AU102" s="2475"/>
      <c r="AV102" s="4008"/>
      <c r="AW102" s="3994"/>
      <c r="AX102" s="3994"/>
      <c r="AY102" s="3994"/>
      <c r="BC102" s="245"/>
      <c r="BD102" s="245"/>
      <c r="BE102" s="245"/>
      <c r="BF102" s="245">
        <v>1</v>
      </c>
      <c r="BG102" s="245">
        <v>1</v>
      </c>
      <c r="BH102" s="245">
        <v>1</v>
      </c>
    </row>
    <row r="103" spans="1:61" ht="29.25" customHeight="1">
      <c r="A103" s="245">
        <v>82</v>
      </c>
      <c r="B103" s="2550" t="s">
        <v>293</v>
      </c>
      <c r="C103" s="2539" t="s">
        <v>1761</v>
      </c>
      <c r="D103" s="2541"/>
      <c r="E103" s="2541"/>
      <c r="F103" s="2541"/>
      <c r="G103" s="2541"/>
      <c r="H103" s="2541"/>
      <c r="I103" s="2541"/>
      <c r="J103" s="2541"/>
      <c r="K103" s="2541"/>
      <c r="L103" s="2541"/>
      <c r="M103" s="2541"/>
      <c r="N103" s="2541"/>
      <c r="O103" s="2541"/>
      <c r="P103" s="2541"/>
      <c r="Q103" s="2541"/>
      <c r="R103" s="2541"/>
      <c r="S103" s="2541"/>
      <c r="T103" s="2541"/>
      <c r="U103" s="2541"/>
      <c r="V103" s="2541"/>
      <c r="W103" s="2541"/>
      <c r="X103" s="2541"/>
      <c r="Y103" s="2541"/>
      <c r="Z103" s="2541"/>
      <c r="AA103" s="2541"/>
      <c r="AB103" s="2541"/>
      <c r="AC103" s="2541"/>
      <c r="AD103" s="2541"/>
      <c r="AE103" s="2541"/>
      <c r="AF103" s="2541"/>
      <c r="AG103" s="2475"/>
      <c r="AH103" s="2475"/>
      <c r="AI103" s="2475"/>
      <c r="AJ103" s="2475"/>
      <c r="AK103" s="2475"/>
      <c r="AL103" s="2475"/>
      <c r="AM103" s="2475"/>
      <c r="AN103" s="2475"/>
      <c r="AO103" s="2475"/>
      <c r="AP103" s="2475"/>
      <c r="AQ103" s="2557" t="s">
        <v>1993</v>
      </c>
      <c r="AR103" s="2475"/>
      <c r="AS103" s="2475"/>
      <c r="AT103" s="2475"/>
      <c r="AU103" s="2475"/>
      <c r="AV103" s="4008"/>
      <c r="AW103" s="3994"/>
      <c r="AX103" s="3994"/>
      <c r="AY103" s="3994"/>
      <c r="BC103" s="245"/>
      <c r="BD103" s="245"/>
      <c r="BE103" s="245"/>
      <c r="BF103" s="245">
        <v>1</v>
      </c>
      <c r="BG103" s="245">
        <v>1</v>
      </c>
      <c r="BH103" s="245">
        <v>1</v>
      </c>
    </row>
    <row r="104" spans="1:61" ht="29.25" customHeight="1">
      <c r="A104" s="245">
        <v>83</v>
      </c>
      <c r="B104" s="3007" t="s">
        <v>2507</v>
      </c>
      <c r="C104" s="2539" t="s">
        <v>2508</v>
      </c>
      <c r="D104" s="2541"/>
      <c r="E104" s="2541"/>
      <c r="F104" s="2541"/>
      <c r="G104" s="2541"/>
      <c r="H104" s="2541"/>
      <c r="I104" s="2541"/>
      <c r="J104" s="2541"/>
      <c r="K104" s="2541"/>
      <c r="L104" s="2541"/>
      <c r="M104" s="2541"/>
      <c r="N104" s="2541"/>
      <c r="O104" s="2541"/>
      <c r="P104" s="2541"/>
      <c r="Q104" s="2541"/>
      <c r="R104" s="2541"/>
      <c r="S104" s="2541"/>
      <c r="T104" s="2541"/>
      <c r="U104" s="2541"/>
      <c r="V104" s="2541"/>
      <c r="W104" s="2541"/>
      <c r="X104" s="2541"/>
      <c r="Y104" s="2541"/>
      <c r="Z104" s="2541"/>
      <c r="AA104" s="2541"/>
      <c r="AB104" s="2541"/>
      <c r="AC104" s="2541"/>
      <c r="AD104" s="2541"/>
      <c r="AE104" s="2541"/>
      <c r="AF104" s="2541"/>
      <c r="AG104" s="2475"/>
      <c r="AH104" s="2475"/>
      <c r="AI104" s="2475"/>
      <c r="AJ104" s="2475"/>
      <c r="AK104" s="2475"/>
      <c r="AL104" s="2475"/>
      <c r="AM104" s="2475"/>
      <c r="AN104" s="2475"/>
      <c r="AO104" s="2475"/>
      <c r="AP104" s="2475"/>
      <c r="AQ104" s="2475"/>
      <c r="AR104" s="2475"/>
      <c r="AS104" s="2475"/>
      <c r="AT104" s="2475"/>
      <c r="AU104" s="3009" t="s">
        <v>2510</v>
      </c>
      <c r="AV104" s="4008"/>
      <c r="AW104" s="3994"/>
      <c r="AX104" s="3994"/>
      <c r="AY104" s="3994"/>
      <c r="BC104" s="245"/>
      <c r="BD104" s="245"/>
      <c r="BE104" s="245"/>
      <c r="BG104" s="245"/>
      <c r="BH104" s="245">
        <v>1</v>
      </c>
      <c r="BI104" s="354"/>
    </row>
    <row r="105" spans="1:61" ht="15">
      <c r="B105" s="3001" t="s">
        <v>383</v>
      </c>
      <c r="C105" s="3002"/>
      <c r="D105" s="3003"/>
      <c r="E105" s="3003"/>
      <c r="F105" s="3003"/>
      <c r="G105" s="3003"/>
      <c r="H105" s="3003"/>
      <c r="I105" s="3003"/>
      <c r="J105" s="3003"/>
      <c r="K105" s="3003"/>
      <c r="L105" s="3003"/>
      <c r="M105" s="3003"/>
      <c r="N105" s="3003"/>
      <c r="O105" s="3003"/>
      <c r="P105" s="3003"/>
      <c r="Q105" s="3003"/>
      <c r="R105" s="3003"/>
      <c r="S105" s="3003"/>
      <c r="T105" s="3003"/>
      <c r="U105" s="3003"/>
      <c r="V105" s="3003"/>
      <c r="W105" s="3003"/>
      <c r="X105" s="3003"/>
      <c r="Y105" s="3003"/>
      <c r="Z105" s="3003"/>
      <c r="AA105" s="3003"/>
      <c r="AB105" s="3003"/>
      <c r="AC105" s="3003"/>
      <c r="AD105" s="3004"/>
      <c r="AE105" s="3005"/>
      <c r="AF105" s="3005"/>
      <c r="AG105" s="3006"/>
      <c r="AH105" s="3006"/>
      <c r="AI105" s="3006"/>
      <c r="AJ105" s="3006"/>
      <c r="AK105" s="3006"/>
      <c r="AL105" s="3006"/>
      <c r="AM105" s="3006"/>
      <c r="AN105" s="3006"/>
      <c r="AO105" s="3006"/>
      <c r="AP105" s="3006"/>
      <c r="AQ105" s="3006"/>
      <c r="AR105" s="3006"/>
      <c r="AS105" s="3006"/>
      <c r="AT105" s="2996"/>
      <c r="AU105" s="2996"/>
      <c r="AV105" s="2996"/>
      <c r="AW105" s="4017"/>
      <c r="AX105" s="4017"/>
      <c r="AY105" s="4017"/>
      <c r="AZ105" s="2569"/>
      <c r="BA105" s="2569"/>
      <c r="BB105" s="2569"/>
      <c r="BC105" s="2569"/>
      <c r="BD105" s="2569"/>
      <c r="BE105" s="2569"/>
      <c r="BF105" s="2569"/>
      <c r="BG105" s="2569"/>
      <c r="BH105" s="2569"/>
    </row>
    <row r="106" spans="1:61" ht="29.25" customHeight="1">
      <c r="A106" s="245">
        <v>84</v>
      </c>
      <c r="B106" s="1758" t="s">
        <v>796</v>
      </c>
      <c r="C106" s="1759" t="s">
        <v>596</v>
      </c>
      <c r="D106" s="1806"/>
      <c r="E106" s="1806"/>
      <c r="F106" s="1806"/>
      <c r="G106" s="1806"/>
      <c r="H106" s="1806"/>
      <c r="I106" s="1806"/>
      <c r="J106" s="1806"/>
      <c r="K106" s="1806"/>
      <c r="L106" s="1806"/>
      <c r="M106" s="1806"/>
      <c r="N106" s="1790" t="s">
        <v>207</v>
      </c>
      <c r="O106" s="1806"/>
      <c r="P106" s="317"/>
      <c r="Q106" s="1806"/>
      <c r="R106" s="1806"/>
      <c r="S106" s="1806"/>
      <c r="T106" s="1806"/>
      <c r="U106" s="1806"/>
      <c r="V106" s="1806"/>
      <c r="W106" s="1806"/>
      <c r="X106" s="1806"/>
      <c r="Y106" s="1806"/>
      <c r="Z106" s="1806"/>
      <c r="AA106" s="1806"/>
      <c r="AB106" s="1806"/>
      <c r="AC106" s="1806"/>
      <c r="AD106" s="1806"/>
      <c r="AE106" s="2541"/>
      <c r="AF106" s="2541"/>
      <c r="AG106" s="2475"/>
      <c r="AH106" s="2475"/>
      <c r="AI106" s="2475"/>
      <c r="AJ106" s="2475"/>
      <c r="AK106" s="2475"/>
      <c r="AL106" s="2475"/>
      <c r="AM106" s="2475"/>
      <c r="AN106" s="2475"/>
      <c r="AO106" s="2475"/>
      <c r="AP106" s="2475"/>
      <c r="AQ106" s="2475"/>
      <c r="AR106" s="2475"/>
      <c r="AS106" s="2538" t="s">
        <v>1995</v>
      </c>
      <c r="AT106" s="2541"/>
      <c r="AU106" s="2541"/>
      <c r="AV106" s="4009"/>
      <c r="AW106" s="4014"/>
      <c r="AX106" s="4014"/>
      <c r="AY106" s="4014"/>
      <c r="AZ106" s="245">
        <v>1</v>
      </c>
      <c r="BA106" s="245">
        <v>1</v>
      </c>
      <c r="BC106" s="245"/>
      <c r="BD106" s="245"/>
      <c r="BE106" s="245"/>
      <c r="BF106" s="245">
        <v>1</v>
      </c>
      <c r="BG106" s="245">
        <v>1</v>
      </c>
      <c r="BH106" s="245">
        <v>1</v>
      </c>
    </row>
    <row r="107" spans="1:61" ht="29.25" customHeight="1">
      <c r="A107" s="245">
        <v>85</v>
      </c>
      <c r="B107" s="1758" t="s">
        <v>797</v>
      </c>
      <c r="C107" s="1773" t="s">
        <v>590</v>
      </c>
      <c r="D107" s="1807"/>
      <c r="E107" s="1807"/>
      <c r="F107" s="1807"/>
      <c r="G107" s="1807"/>
      <c r="H107" s="1807"/>
      <c r="I107" s="1777" t="s">
        <v>243</v>
      </c>
      <c r="J107" s="317"/>
      <c r="K107" s="1807"/>
      <c r="L107" s="1807"/>
      <c r="M107" s="1807"/>
      <c r="N107" s="1807"/>
      <c r="O107" s="1807"/>
      <c r="P107" s="1807"/>
      <c r="Q107" s="1807"/>
      <c r="R107" s="1807"/>
      <c r="S107" s="1807"/>
      <c r="T107" s="1807"/>
      <c r="U107" s="1807"/>
      <c r="V107" s="1807"/>
      <c r="W107" s="1807"/>
      <c r="X107" s="1807"/>
      <c r="Y107" s="1807"/>
      <c r="Z107" s="1807"/>
      <c r="AA107" s="1807"/>
      <c r="AB107" s="1807"/>
      <c r="AC107" s="1807"/>
      <c r="AD107" s="1807"/>
      <c r="AE107" s="2541"/>
      <c r="AF107" s="2541"/>
      <c r="AG107" s="2475"/>
      <c r="AH107" s="2475"/>
      <c r="AI107" s="2475"/>
      <c r="AJ107" s="2475"/>
      <c r="AK107" s="2475"/>
      <c r="AL107" s="2475"/>
      <c r="AM107" s="2475"/>
      <c r="AN107" s="2475"/>
      <c r="AO107" s="2475"/>
      <c r="AP107" s="2475"/>
      <c r="AQ107" s="2475"/>
      <c r="AR107" s="2475"/>
      <c r="AS107" s="2475"/>
      <c r="AT107" s="2475"/>
      <c r="AU107" s="2475"/>
      <c r="AV107" s="4008"/>
      <c r="AW107" s="3994"/>
      <c r="AX107" s="3994"/>
      <c r="AY107" s="3994"/>
      <c r="BC107" s="245"/>
      <c r="BD107" s="245"/>
      <c r="BE107" s="245"/>
      <c r="BG107" s="245"/>
      <c r="BH107" s="245"/>
    </row>
    <row r="108" spans="1:61" ht="29.25" customHeight="1">
      <c r="A108" s="245">
        <v>86</v>
      </c>
      <c r="B108" s="1758" t="s">
        <v>798</v>
      </c>
      <c r="C108" s="1773" t="s">
        <v>1721</v>
      </c>
      <c r="D108" s="1807"/>
      <c r="E108" s="1807"/>
      <c r="F108" s="1807"/>
      <c r="G108" s="1807"/>
      <c r="H108" s="1807"/>
      <c r="I108" s="1807"/>
      <c r="J108" s="1807"/>
      <c r="K108" s="1807"/>
      <c r="L108" s="1807"/>
      <c r="M108" s="1807"/>
      <c r="N108" s="1807"/>
      <c r="O108" s="1807"/>
      <c r="P108" s="1807"/>
      <c r="Q108" s="1807"/>
      <c r="R108" s="1807"/>
      <c r="S108" s="1807"/>
      <c r="T108" s="1807"/>
      <c r="U108" s="1807"/>
      <c r="V108" s="1807"/>
      <c r="W108" s="1807"/>
      <c r="X108" s="1807"/>
      <c r="Y108" s="1807"/>
      <c r="Z108" s="1807"/>
      <c r="AA108" s="1807"/>
      <c r="AB108" s="1807"/>
      <c r="AC108" s="1807"/>
      <c r="AD108" s="1807"/>
      <c r="AE108" s="2541"/>
      <c r="AF108" s="2541"/>
      <c r="AG108" s="2475"/>
      <c r="AH108" s="2475"/>
      <c r="AI108" s="2475"/>
      <c r="AJ108" s="2475"/>
      <c r="AK108" s="2475"/>
      <c r="AL108" s="2475"/>
      <c r="AM108" s="2538" t="s">
        <v>852</v>
      </c>
      <c r="AN108" s="2475"/>
      <c r="AO108" s="2475"/>
      <c r="AP108" s="2475"/>
      <c r="AQ108" s="2475"/>
      <c r="AR108" s="2475"/>
      <c r="AS108" s="2475"/>
      <c r="AT108" s="2475"/>
      <c r="AU108" s="2475"/>
      <c r="AV108" s="4008"/>
      <c r="AW108" s="3994"/>
      <c r="AX108" s="3994"/>
      <c r="AY108" s="3994"/>
      <c r="BC108" s="245"/>
      <c r="BD108" s="245">
        <v>1</v>
      </c>
      <c r="BE108" s="245">
        <v>1</v>
      </c>
      <c r="BF108" s="245">
        <v>1</v>
      </c>
      <c r="BG108" s="245">
        <v>1</v>
      </c>
      <c r="BH108" s="245">
        <v>1</v>
      </c>
    </row>
    <row r="109" spans="1:61" ht="29.25" customHeight="1">
      <c r="A109" s="245">
        <v>87</v>
      </c>
      <c r="B109" s="1758" t="s">
        <v>309</v>
      </c>
      <c r="C109" s="1773" t="s">
        <v>402</v>
      </c>
      <c r="D109" s="1807"/>
      <c r="E109" s="1807"/>
      <c r="F109" s="1807"/>
      <c r="G109" s="1807"/>
      <c r="H109" s="1807"/>
      <c r="I109" s="1807"/>
      <c r="J109" s="1807"/>
      <c r="K109" s="1777" t="s">
        <v>262</v>
      </c>
      <c r="L109" s="317"/>
      <c r="M109" s="1807"/>
      <c r="N109" s="1807"/>
      <c r="O109" s="1807"/>
      <c r="P109" s="1807"/>
      <c r="Q109" s="1807"/>
      <c r="R109" s="1807"/>
      <c r="S109" s="1807"/>
      <c r="T109" s="1807"/>
      <c r="U109" s="1807"/>
      <c r="V109" s="1807"/>
      <c r="W109" s="1807"/>
      <c r="X109" s="1807"/>
      <c r="Y109" s="1807"/>
      <c r="Z109" s="1807"/>
      <c r="AA109" s="1807"/>
      <c r="AB109" s="1807"/>
      <c r="AC109" s="1777" t="s">
        <v>239</v>
      </c>
      <c r="AD109" s="1807"/>
      <c r="AE109" s="2541"/>
      <c r="AF109" s="2541"/>
      <c r="AG109" s="2475"/>
      <c r="AH109" s="2475"/>
      <c r="AI109" s="2475"/>
      <c r="AJ109" s="2475"/>
      <c r="AK109" s="2475"/>
      <c r="AL109" s="2475"/>
      <c r="AM109" s="2475"/>
      <c r="AN109" s="2475"/>
      <c r="AO109" s="2475"/>
      <c r="AP109" s="2475"/>
      <c r="AQ109" s="2475"/>
      <c r="AR109" s="2475"/>
      <c r="AS109" s="2475"/>
      <c r="AT109" s="2475"/>
      <c r="AU109" s="2475"/>
      <c r="AV109" s="4008"/>
      <c r="AW109" s="3994"/>
      <c r="AX109" s="3994"/>
      <c r="AY109" s="3994"/>
      <c r="BA109" s="245">
        <v>1</v>
      </c>
      <c r="BB109" s="245">
        <v>1</v>
      </c>
      <c r="BC109" s="245">
        <v>1</v>
      </c>
      <c r="BD109" s="245">
        <v>1</v>
      </c>
      <c r="BE109" s="245">
        <v>1</v>
      </c>
      <c r="BG109" s="245"/>
      <c r="BH109" s="245"/>
    </row>
    <row r="110" spans="1:61" ht="29.25" customHeight="1">
      <c r="A110" s="245">
        <v>88</v>
      </c>
      <c r="B110" s="1758" t="s">
        <v>313</v>
      </c>
      <c r="C110" s="1773" t="s">
        <v>701</v>
      </c>
      <c r="D110" s="1807"/>
      <c r="E110" s="1807"/>
      <c r="F110" s="73"/>
      <c r="G110" s="1807"/>
      <c r="H110" s="1807"/>
      <c r="I110" s="1807"/>
      <c r="J110" s="1807"/>
      <c r="K110" s="1807"/>
      <c r="L110" s="1807"/>
      <c r="M110" s="1807"/>
      <c r="N110" s="1807"/>
      <c r="O110" s="1807"/>
      <c r="P110" s="1807"/>
      <c r="Q110" s="1807"/>
      <c r="R110" s="1807"/>
      <c r="S110" s="1807"/>
      <c r="T110" s="1807"/>
      <c r="U110" s="1807"/>
      <c r="V110" s="1807"/>
      <c r="W110" s="1807"/>
      <c r="X110" s="1807"/>
      <c r="Y110" s="1807"/>
      <c r="Z110" s="1807"/>
      <c r="AA110" s="1807"/>
      <c r="AB110" s="1807"/>
      <c r="AC110" s="1807"/>
      <c r="AD110" s="1807"/>
      <c r="AE110" s="2541"/>
      <c r="AF110" s="2541"/>
      <c r="AG110" s="2475"/>
      <c r="AH110" s="2475"/>
      <c r="AI110" s="2538" t="s">
        <v>1996</v>
      </c>
      <c r="AJ110" s="2475"/>
      <c r="AK110" s="2475"/>
      <c r="AL110" s="2475"/>
      <c r="AM110" s="2475"/>
      <c r="AN110" s="2475"/>
      <c r="AO110" s="2475"/>
      <c r="AP110" s="2475"/>
      <c r="AQ110" s="2475"/>
      <c r="AR110" s="2475"/>
      <c r="AS110" s="2475"/>
      <c r="AT110" s="2475"/>
      <c r="AU110" s="2475"/>
      <c r="AV110" s="4008"/>
      <c r="AW110" s="3994"/>
      <c r="AX110" s="3994"/>
      <c r="AY110" s="3994"/>
      <c r="BC110" s="245">
        <v>1</v>
      </c>
      <c r="BD110" s="245">
        <v>1</v>
      </c>
      <c r="BE110" s="245">
        <v>1</v>
      </c>
      <c r="BF110" s="245">
        <v>1</v>
      </c>
      <c r="BG110" s="245">
        <v>1</v>
      </c>
      <c r="BH110" s="245"/>
    </row>
    <row r="111" spans="1:61" ht="29.25" customHeight="1">
      <c r="A111" s="245">
        <v>89</v>
      </c>
      <c r="B111" s="1758" t="s">
        <v>799</v>
      </c>
      <c r="C111" s="1773" t="s">
        <v>751</v>
      </c>
      <c r="D111" s="1807"/>
      <c r="E111" s="1807"/>
      <c r="F111" s="1807"/>
      <c r="G111" s="1807"/>
      <c r="H111" s="1807"/>
      <c r="I111" s="1807"/>
      <c r="J111" s="1807"/>
      <c r="K111" s="1807"/>
      <c r="L111" s="1807"/>
      <c r="M111" s="1807"/>
      <c r="N111" s="1807"/>
      <c r="O111" s="1807"/>
      <c r="P111" s="1807"/>
      <c r="Q111" s="1807"/>
      <c r="R111" s="1807"/>
      <c r="S111" s="1807"/>
      <c r="T111" s="1807"/>
      <c r="U111" s="1807"/>
      <c r="V111" s="1807"/>
      <c r="W111" s="1807"/>
      <c r="X111" s="1807"/>
      <c r="Y111" s="1807"/>
      <c r="Z111" s="1807"/>
      <c r="AA111" s="1807"/>
      <c r="AB111" s="1807"/>
      <c r="AC111" s="1807"/>
      <c r="AD111" s="1807"/>
      <c r="AE111" s="2541"/>
      <c r="AF111" s="2541"/>
      <c r="AG111" s="2475"/>
      <c r="AH111" s="2475"/>
      <c r="AI111" s="2475"/>
      <c r="AJ111" s="2475"/>
      <c r="AK111" s="2475"/>
      <c r="AL111" s="2475"/>
      <c r="AM111" s="2475"/>
      <c r="AN111" s="2475"/>
      <c r="AO111" s="2475"/>
      <c r="AP111" s="2475"/>
      <c r="AQ111" s="2475"/>
      <c r="AR111" s="2475"/>
      <c r="AS111" s="2475"/>
      <c r="AT111" s="2475"/>
      <c r="AU111" s="2475"/>
      <c r="AV111" s="4008"/>
      <c r="AW111" s="3994"/>
      <c r="AX111" s="3994"/>
      <c r="AY111" s="3994"/>
      <c r="BC111" s="245"/>
      <c r="BD111" s="245"/>
      <c r="BE111" s="245"/>
      <c r="BG111" s="245"/>
      <c r="BH111" s="245"/>
    </row>
    <row r="112" spans="1:61" ht="29.25" customHeight="1">
      <c r="A112" s="245">
        <v>90</v>
      </c>
      <c r="B112" s="1758" t="s">
        <v>800</v>
      </c>
      <c r="C112" s="1773" t="s">
        <v>752</v>
      </c>
      <c r="D112" s="1807"/>
      <c r="E112" s="1807"/>
      <c r="F112" s="1807"/>
      <c r="G112" s="1807"/>
      <c r="H112" s="1807"/>
      <c r="I112" s="1807"/>
      <c r="J112" s="1807"/>
      <c r="K112" s="1807"/>
      <c r="L112" s="1807"/>
      <c r="M112" s="1807"/>
      <c r="N112" s="1807"/>
      <c r="O112" s="1807"/>
      <c r="P112" s="1807"/>
      <c r="Q112" s="1807"/>
      <c r="R112" s="1807"/>
      <c r="S112" s="1807"/>
      <c r="T112" s="1807"/>
      <c r="U112" s="1807"/>
      <c r="V112" s="1807"/>
      <c r="W112" s="1807"/>
      <c r="X112" s="1807"/>
      <c r="Y112" s="1807"/>
      <c r="Z112" s="1807"/>
      <c r="AA112" s="1807"/>
      <c r="AB112" s="1807"/>
      <c r="AC112" s="1807"/>
      <c r="AD112" s="1807"/>
      <c r="AE112" s="2541"/>
      <c r="AF112" s="2541"/>
      <c r="AG112" s="2475"/>
      <c r="AH112" s="2475"/>
      <c r="AI112" s="2475"/>
      <c r="AJ112" s="2475"/>
      <c r="AK112" s="2475"/>
      <c r="AL112" s="2475"/>
      <c r="AM112" s="2475"/>
      <c r="AN112" s="2475"/>
      <c r="AO112" s="2475"/>
      <c r="AP112" s="2475"/>
      <c r="AQ112" s="2475"/>
      <c r="AR112" s="2475"/>
      <c r="AS112" s="2475"/>
      <c r="AT112" s="2475"/>
      <c r="AU112" s="2475"/>
      <c r="AV112" s="4008"/>
      <c r="AW112" s="3994"/>
      <c r="AX112" s="3994"/>
      <c r="AY112" s="3994"/>
      <c r="BC112" s="245"/>
      <c r="BD112" s="245"/>
      <c r="BE112" s="245"/>
      <c r="BG112" s="245"/>
      <c r="BH112" s="245"/>
    </row>
    <row r="113" spans="1:61" ht="29.25" customHeight="1">
      <c r="B113" s="1758" t="s">
        <v>801</v>
      </c>
      <c r="C113" s="1773" t="s">
        <v>753</v>
      </c>
      <c r="D113" s="1807"/>
      <c r="E113" s="1807"/>
      <c r="F113" s="1807"/>
      <c r="G113" s="1807"/>
      <c r="H113" s="1807"/>
      <c r="I113" s="1807"/>
      <c r="J113" s="1807"/>
      <c r="K113" s="1807"/>
      <c r="L113" s="1807"/>
      <c r="M113" s="1807"/>
      <c r="N113" s="1807"/>
      <c r="O113" s="1807"/>
      <c r="P113" s="1807"/>
      <c r="Q113" s="1807"/>
      <c r="R113" s="1807"/>
      <c r="S113" s="1807"/>
      <c r="T113" s="1807"/>
      <c r="U113" s="1807"/>
      <c r="V113" s="1807"/>
      <c r="W113" s="1807"/>
      <c r="X113" s="1807"/>
      <c r="Y113" s="1807"/>
      <c r="Z113" s="1807"/>
      <c r="AA113" s="1807"/>
      <c r="AB113" s="1807"/>
      <c r="AC113" s="1807"/>
      <c r="AD113" s="1807"/>
      <c r="AE113" s="2541"/>
      <c r="AF113" s="2541"/>
      <c r="AG113" s="2475"/>
      <c r="AH113" s="2475"/>
      <c r="AI113" s="2475"/>
      <c r="AJ113" s="2475"/>
      <c r="AK113" s="2475"/>
      <c r="AL113" s="2475"/>
      <c r="AM113" s="2475"/>
      <c r="AN113" s="2475"/>
      <c r="AO113" s="2475"/>
      <c r="AP113" s="2475"/>
      <c r="AQ113" s="2475"/>
      <c r="AR113" s="2475"/>
      <c r="AS113" s="2475"/>
      <c r="AT113" s="2475"/>
      <c r="AU113" s="2475"/>
      <c r="AV113" s="4008"/>
      <c r="AW113" s="4407" t="s">
        <v>2878</v>
      </c>
      <c r="AX113" s="3994"/>
      <c r="AY113" s="3994"/>
      <c r="BC113" s="245"/>
      <c r="BD113" s="245"/>
      <c r="BE113" s="245"/>
      <c r="BG113" s="245"/>
      <c r="BH113" s="245"/>
    </row>
    <row r="114" spans="1:61" ht="29.25" customHeight="1">
      <c r="A114" s="245">
        <v>91</v>
      </c>
      <c r="B114" s="1758" t="s">
        <v>802</v>
      </c>
      <c r="C114" s="1773" t="s">
        <v>753</v>
      </c>
      <c r="D114" s="1807"/>
      <c r="E114" s="1807"/>
      <c r="F114" s="1807"/>
      <c r="G114" s="1807"/>
      <c r="H114" s="1807"/>
      <c r="I114" s="1807"/>
      <c r="J114" s="1807"/>
      <c r="K114" s="1807"/>
      <c r="L114" s="1807"/>
      <c r="M114" s="1807"/>
      <c r="N114" s="1807"/>
      <c r="O114" s="1807"/>
      <c r="P114" s="1807"/>
      <c r="Q114" s="1807"/>
      <c r="R114" s="1807"/>
      <c r="S114" s="1807"/>
      <c r="T114" s="1807"/>
      <c r="U114" s="1807"/>
      <c r="V114" s="1807"/>
      <c r="W114" s="1807"/>
      <c r="X114" s="1807"/>
      <c r="Y114" s="1807"/>
      <c r="Z114" s="1807"/>
      <c r="AA114" s="1807"/>
      <c r="AB114" s="1807"/>
      <c r="AC114" s="1807"/>
      <c r="AD114" s="1807"/>
      <c r="AE114" s="2541"/>
      <c r="AF114" s="2541"/>
      <c r="AG114" s="2475"/>
      <c r="AH114" s="2475"/>
      <c r="AI114" s="2475"/>
      <c r="AJ114" s="2475"/>
      <c r="AK114" s="2475"/>
      <c r="AL114" s="2475"/>
      <c r="AM114" s="2475"/>
      <c r="AN114" s="2475"/>
      <c r="AO114" s="2475"/>
      <c r="AP114" s="2475"/>
      <c r="AQ114" s="2475"/>
      <c r="AR114" s="2475"/>
      <c r="AS114" s="2475"/>
      <c r="AT114" s="2475"/>
      <c r="AU114" s="2475"/>
      <c r="AV114" s="4008"/>
      <c r="AW114" s="3994"/>
      <c r="AX114" s="3994"/>
      <c r="AY114" s="3994"/>
      <c r="BC114" s="245"/>
      <c r="BD114" s="245"/>
      <c r="BE114" s="245"/>
      <c r="BG114" s="245"/>
      <c r="BH114" s="245"/>
    </row>
    <row r="115" spans="1:61" ht="29.25" hidden="1" customHeight="1">
      <c r="A115" s="245">
        <v>93</v>
      </c>
      <c r="B115" s="1830" t="s">
        <v>803</v>
      </c>
      <c r="C115" s="1787" t="s">
        <v>1720</v>
      </c>
      <c r="D115" s="1808"/>
      <c r="E115" s="1808"/>
      <c r="F115" s="1808"/>
      <c r="G115" s="1808"/>
      <c r="H115" s="1808"/>
      <c r="I115" s="1808"/>
      <c r="J115" s="1808"/>
      <c r="K115" s="1808"/>
      <c r="L115" s="1808"/>
      <c r="M115" s="1808"/>
      <c r="N115" s="1808"/>
      <c r="O115" s="1808"/>
      <c r="P115" s="1808"/>
      <c r="Q115" s="1808"/>
      <c r="R115" s="1808"/>
      <c r="S115" s="1808"/>
      <c r="T115" s="1810" t="s">
        <v>394</v>
      </c>
      <c r="U115" s="1808"/>
      <c r="V115" s="1807"/>
      <c r="W115" s="1808"/>
      <c r="X115" s="1808"/>
      <c r="Y115" s="1808"/>
      <c r="Z115" s="1808"/>
      <c r="AA115" s="1808"/>
      <c r="AB115" s="1808"/>
      <c r="AC115" s="1808"/>
      <c r="AD115" s="1808"/>
      <c r="AE115" s="2541"/>
      <c r="AF115" s="2541"/>
      <c r="AG115" s="2475"/>
      <c r="AH115" s="2475"/>
      <c r="AI115" s="2475"/>
      <c r="AJ115" s="2475"/>
      <c r="AK115" s="2475"/>
      <c r="AL115" s="2475"/>
      <c r="AM115" s="2559" t="s">
        <v>853</v>
      </c>
      <c r="AN115" s="2475"/>
      <c r="AO115" s="2475"/>
      <c r="AP115" s="2475"/>
      <c r="AQ115" s="2475"/>
      <c r="AR115" s="2475"/>
      <c r="AS115" s="2475"/>
      <c r="AT115" s="2475"/>
      <c r="AU115" s="2475"/>
      <c r="AV115" s="4008"/>
      <c r="AW115" s="3994"/>
      <c r="AX115" s="3994"/>
      <c r="AY115" s="3994"/>
      <c r="AZ115" s="245">
        <v>1</v>
      </c>
      <c r="BA115" s="245">
        <v>1</v>
      </c>
      <c r="BB115" s="245">
        <v>1</v>
      </c>
      <c r="BC115" s="245">
        <v>1</v>
      </c>
      <c r="BD115" s="245">
        <v>1</v>
      </c>
      <c r="BE115" s="245">
        <v>1</v>
      </c>
      <c r="BF115" s="245">
        <v>1</v>
      </c>
      <c r="BG115" s="245"/>
      <c r="BH115" s="245"/>
    </row>
    <row r="116" spans="1:61" ht="29.25" customHeight="1">
      <c r="A116" s="245">
        <v>92</v>
      </c>
      <c r="B116" s="1758" t="s">
        <v>804</v>
      </c>
      <c r="C116" s="1787" t="s">
        <v>1720</v>
      </c>
      <c r="D116" s="1808"/>
      <c r="E116" s="1808"/>
      <c r="F116" s="1808"/>
      <c r="G116" s="1808"/>
      <c r="H116" s="1808"/>
      <c r="I116" s="1808"/>
      <c r="J116" s="1808"/>
      <c r="K116" s="1808"/>
      <c r="L116" s="1808"/>
      <c r="M116" s="1808"/>
      <c r="N116" s="1808"/>
      <c r="O116" s="1808"/>
      <c r="P116" s="1808"/>
      <c r="Q116" s="1808"/>
      <c r="R116" s="1808"/>
      <c r="S116" s="1808"/>
      <c r="T116" s="1810" t="s">
        <v>394</v>
      </c>
      <c r="U116" s="1808"/>
      <c r="V116" s="1807"/>
      <c r="W116" s="1808"/>
      <c r="X116" s="1808"/>
      <c r="Y116" s="1808"/>
      <c r="Z116" s="1808"/>
      <c r="AA116" s="1808"/>
      <c r="AB116" s="1808"/>
      <c r="AC116" s="1808"/>
      <c r="AD116" s="1808"/>
      <c r="AE116" s="2541"/>
      <c r="AF116" s="2541"/>
      <c r="AG116" s="2475"/>
      <c r="AH116" s="2475"/>
      <c r="AI116" s="2475"/>
      <c r="AJ116" s="2475"/>
      <c r="AK116" s="2475"/>
      <c r="AL116" s="2475"/>
      <c r="AM116" s="2559" t="s">
        <v>853</v>
      </c>
      <c r="AN116" s="2475"/>
      <c r="AO116" s="2475"/>
      <c r="AP116" s="2475"/>
      <c r="AQ116" s="2475"/>
      <c r="AR116" s="2475"/>
      <c r="AS116" s="2475"/>
      <c r="AT116" s="2475"/>
      <c r="AU116" s="2475"/>
      <c r="AV116" s="4008"/>
      <c r="AW116" s="3994"/>
      <c r="AX116" s="3994"/>
      <c r="AY116" s="3994"/>
      <c r="AZ116" s="245">
        <v>1</v>
      </c>
      <c r="BA116" s="245">
        <v>1</v>
      </c>
      <c r="BB116" s="245">
        <v>1</v>
      </c>
      <c r="BC116" s="245">
        <v>1</v>
      </c>
      <c r="BD116" s="245">
        <v>1</v>
      </c>
      <c r="BE116" s="245">
        <v>1</v>
      </c>
      <c r="BF116" s="245">
        <v>1</v>
      </c>
      <c r="BG116" s="245">
        <v>1</v>
      </c>
      <c r="BH116" s="245">
        <v>1</v>
      </c>
    </row>
    <row r="117" spans="1:61" ht="29.25" customHeight="1">
      <c r="A117" s="245">
        <v>93</v>
      </c>
      <c r="B117" s="1758" t="s">
        <v>805</v>
      </c>
      <c r="C117" s="1773" t="s">
        <v>699</v>
      </c>
      <c r="D117" s="1807"/>
      <c r="E117" s="1807"/>
      <c r="F117" s="1807"/>
      <c r="G117" s="1807"/>
      <c r="H117" s="1807"/>
      <c r="I117" s="1807"/>
      <c r="J117" s="1807"/>
      <c r="K117" s="1807"/>
      <c r="L117" s="1807"/>
      <c r="M117" s="1807"/>
      <c r="N117" s="1807"/>
      <c r="O117" s="1807"/>
      <c r="P117" s="1807"/>
      <c r="Q117" s="1807"/>
      <c r="R117" s="1807"/>
      <c r="S117" s="1807"/>
      <c r="T117" s="1807"/>
      <c r="U117" s="1807"/>
      <c r="V117" s="1807"/>
      <c r="W117" s="1807"/>
      <c r="X117" s="1807"/>
      <c r="Y117" s="1807"/>
      <c r="Z117" s="1807"/>
      <c r="AA117" s="1807"/>
      <c r="AB117" s="1807"/>
      <c r="AC117" s="1807"/>
      <c r="AD117" s="1807"/>
      <c r="AE117" s="2541"/>
      <c r="AF117" s="2547" t="s">
        <v>584</v>
      </c>
      <c r="AG117" s="2475"/>
      <c r="AH117" s="2475"/>
      <c r="AI117" s="2475"/>
      <c r="AJ117" s="2475"/>
      <c r="AK117" s="2475"/>
      <c r="AL117" s="2475"/>
      <c r="AM117" s="2475"/>
      <c r="AN117" s="2475"/>
      <c r="AO117" s="2475"/>
      <c r="AP117" s="2475"/>
      <c r="AQ117" s="2475"/>
      <c r="AR117" s="2475"/>
      <c r="AS117" s="2475"/>
      <c r="AT117" s="2475"/>
      <c r="AU117" s="2475"/>
      <c r="AV117" s="4008"/>
      <c r="AW117" s="3994"/>
      <c r="AX117" s="1774" t="s">
        <v>2833</v>
      </c>
      <c r="AY117" s="3994"/>
      <c r="BB117" s="245">
        <v>1</v>
      </c>
      <c r="BC117" s="245">
        <v>1</v>
      </c>
      <c r="BD117" s="245">
        <v>1</v>
      </c>
      <c r="BE117" s="245">
        <v>1</v>
      </c>
      <c r="BF117" s="245">
        <v>1</v>
      </c>
      <c r="BG117" s="245"/>
      <c r="BH117" s="245">
        <v>1</v>
      </c>
    </row>
    <row r="118" spans="1:61" ht="29.25" customHeight="1">
      <c r="A118" s="245">
        <v>94</v>
      </c>
      <c r="B118" s="1758" t="s">
        <v>806</v>
      </c>
      <c r="C118" s="1773"/>
      <c r="D118" s="1807"/>
      <c r="E118" s="1807"/>
      <c r="F118" s="1807"/>
      <c r="G118" s="1807"/>
      <c r="H118" s="1807"/>
      <c r="I118" s="1807"/>
      <c r="J118" s="1807"/>
      <c r="K118" s="1807"/>
      <c r="L118" s="1807"/>
      <c r="M118" s="1807"/>
      <c r="N118" s="1807"/>
      <c r="O118" s="1807"/>
      <c r="P118" s="1807"/>
      <c r="Q118" s="1807"/>
      <c r="R118" s="1807"/>
      <c r="S118" s="1807"/>
      <c r="T118" s="1807"/>
      <c r="U118" s="1807"/>
      <c r="V118" s="1807"/>
      <c r="W118" s="1807"/>
      <c r="X118" s="1807"/>
      <c r="Y118" s="1807"/>
      <c r="Z118" s="1807"/>
      <c r="AA118" s="1807"/>
      <c r="AB118" s="1807"/>
      <c r="AC118" s="1807"/>
      <c r="AD118" s="1807"/>
      <c r="AE118" s="2541"/>
      <c r="AF118" s="2541"/>
      <c r="AG118" s="2475"/>
      <c r="AH118" s="2475"/>
      <c r="AI118" s="2475"/>
      <c r="AJ118" s="2557" t="s">
        <v>705</v>
      </c>
      <c r="AK118" s="2541"/>
      <c r="AL118" s="2541"/>
      <c r="AM118" s="2541"/>
      <c r="AN118" s="2541"/>
      <c r="AO118" s="2541"/>
      <c r="AP118" s="2541"/>
      <c r="AQ118" s="2541"/>
      <c r="AR118" s="2541"/>
      <c r="AS118" s="2541"/>
      <c r="AT118" s="2541"/>
      <c r="AU118" s="2541"/>
      <c r="AV118" s="4009"/>
      <c r="AW118" s="4014"/>
      <c r="AX118" s="4014"/>
      <c r="AY118" s="4014"/>
      <c r="BC118" s="245">
        <v>1</v>
      </c>
      <c r="BD118" s="245">
        <v>1</v>
      </c>
      <c r="BE118" s="245">
        <v>1</v>
      </c>
      <c r="BF118" s="245">
        <v>1</v>
      </c>
      <c r="BG118" s="245">
        <v>1</v>
      </c>
      <c r="BH118" s="245"/>
    </row>
    <row r="119" spans="1:61" ht="29.25" customHeight="1">
      <c r="A119" s="245">
        <v>95</v>
      </c>
      <c r="B119" s="1758" t="s">
        <v>2511</v>
      </c>
      <c r="C119" s="2539" t="s">
        <v>2495</v>
      </c>
      <c r="D119" s="2541"/>
      <c r="E119" s="2541"/>
      <c r="F119" s="2541"/>
      <c r="G119" s="2541"/>
      <c r="H119" s="2541"/>
      <c r="I119" s="2541"/>
      <c r="J119" s="2541"/>
      <c r="K119" s="2541"/>
      <c r="L119" s="2541"/>
      <c r="M119" s="2541"/>
      <c r="N119" s="2541"/>
      <c r="O119" s="2541"/>
      <c r="P119" s="2541"/>
      <c r="Q119" s="2541"/>
      <c r="R119" s="2541"/>
      <c r="S119" s="2541"/>
      <c r="T119" s="2541"/>
      <c r="U119" s="2541"/>
      <c r="V119" s="2541"/>
      <c r="W119" s="2541"/>
      <c r="X119" s="2541"/>
      <c r="Y119" s="2541"/>
      <c r="Z119" s="2541"/>
      <c r="AA119" s="2541"/>
      <c r="AB119" s="2541"/>
      <c r="AC119" s="2541"/>
      <c r="AD119" s="2541"/>
      <c r="AE119" s="2541"/>
      <c r="AF119" s="2541"/>
      <c r="AG119" s="2475"/>
      <c r="AH119" s="2475"/>
      <c r="AI119" s="2475"/>
      <c r="AJ119" s="2475"/>
      <c r="AK119" s="2541"/>
      <c r="AL119" s="2541"/>
      <c r="AM119" s="2541"/>
      <c r="AN119" s="2541"/>
      <c r="AO119" s="2541"/>
      <c r="AP119" s="2541"/>
      <c r="AQ119" s="2541"/>
      <c r="AR119" s="2541"/>
      <c r="AS119" s="2541"/>
      <c r="AT119" s="2541"/>
      <c r="AU119" s="2541"/>
      <c r="AV119" s="4010" t="s">
        <v>2512</v>
      </c>
      <c r="AW119" s="4022"/>
      <c r="AX119" s="4022"/>
      <c r="AY119" s="4022"/>
      <c r="BC119" s="245"/>
      <c r="BD119" s="245"/>
      <c r="BE119" s="245"/>
      <c r="BG119" s="245"/>
      <c r="BH119" s="245">
        <v>1</v>
      </c>
      <c r="BI119" s="354"/>
    </row>
    <row r="120" spans="1:61" ht="15">
      <c r="B120" s="3001" t="s">
        <v>384</v>
      </c>
      <c r="C120" s="3002"/>
      <c r="D120" s="3003"/>
      <c r="E120" s="3003"/>
      <c r="F120" s="3003"/>
      <c r="G120" s="3003"/>
      <c r="H120" s="3003"/>
      <c r="I120" s="3003"/>
      <c r="J120" s="3003"/>
      <c r="K120" s="3003"/>
      <c r="L120" s="3003"/>
      <c r="M120" s="3003"/>
      <c r="N120" s="3003"/>
      <c r="O120" s="3003"/>
      <c r="P120" s="3003"/>
      <c r="Q120" s="3003"/>
      <c r="R120" s="3003"/>
      <c r="S120" s="3003"/>
      <c r="T120" s="3003"/>
      <c r="U120" s="3003"/>
      <c r="V120" s="3003"/>
      <c r="W120" s="3003"/>
      <c r="X120" s="3003"/>
      <c r="Y120" s="3003"/>
      <c r="Z120" s="3003"/>
      <c r="AA120" s="3003"/>
      <c r="AB120" s="3003"/>
      <c r="AC120" s="3003"/>
      <c r="AD120" s="3004"/>
      <c r="AE120" s="3005"/>
      <c r="AF120" s="3005"/>
      <c r="AG120" s="3006"/>
      <c r="AH120" s="3006"/>
      <c r="AI120" s="3006"/>
      <c r="AJ120" s="3006"/>
      <c r="AK120" s="3006"/>
      <c r="AL120" s="3006"/>
      <c r="AM120" s="3006"/>
      <c r="AN120" s="3006"/>
      <c r="AO120" s="3006"/>
      <c r="AP120" s="3006"/>
      <c r="AQ120" s="3006"/>
      <c r="AR120" s="3006"/>
      <c r="AS120" s="3006"/>
      <c r="AT120" s="2996"/>
      <c r="AU120" s="2996"/>
      <c r="AV120" s="2996"/>
      <c r="AW120" s="4017"/>
      <c r="AX120" s="4017"/>
      <c r="AY120" s="4017"/>
      <c r="AZ120" s="2569"/>
      <c r="BA120" s="2569"/>
      <c r="BB120" s="2569"/>
      <c r="BC120" s="2569"/>
      <c r="BD120" s="2569"/>
      <c r="BE120" s="2569"/>
      <c r="BF120" s="2569"/>
      <c r="BG120" s="2569"/>
      <c r="BH120" s="2569"/>
    </row>
    <row r="121" spans="1:61" ht="29.25" customHeight="1">
      <c r="A121" s="245">
        <v>96</v>
      </c>
      <c r="B121" s="1758" t="s">
        <v>807</v>
      </c>
      <c r="C121" s="1759" t="s">
        <v>754</v>
      </c>
      <c r="D121" s="1806"/>
      <c r="E121" s="1806"/>
      <c r="F121" s="1806"/>
      <c r="G121" s="1806"/>
      <c r="H121" s="1806"/>
      <c r="I121" s="1806"/>
      <c r="J121" s="1806"/>
      <c r="K121" s="1806"/>
      <c r="L121" s="1806"/>
      <c r="M121" s="1806"/>
      <c r="N121" s="1806"/>
      <c r="O121" s="1806"/>
      <c r="P121" s="1806"/>
      <c r="Q121" s="1806"/>
      <c r="R121" s="1806"/>
      <c r="S121" s="1806"/>
      <c r="T121" s="1806"/>
      <c r="U121" s="1806"/>
      <c r="V121" s="1806"/>
      <c r="W121" s="1806"/>
      <c r="X121" s="1806"/>
      <c r="Y121" s="1806"/>
      <c r="Z121" s="1806"/>
      <c r="AA121" s="1806"/>
      <c r="AB121" s="1806"/>
      <c r="AC121" s="1806"/>
      <c r="AD121" s="1806"/>
      <c r="AE121" s="2541"/>
      <c r="AF121" s="2541"/>
      <c r="AG121" s="2475"/>
      <c r="AH121" s="2475"/>
      <c r="AI121" s="2475"/>
      <c r="AJ121" s="2475"/>
      <c r="AK121" s="2475"/>
      <c r="AL121" s="2475"/>
      <c r="AM121" s="2475"/>
      <c r="AN121" s="2475"/>
      <c r="AO121" s="2475"/>
      <c r="AP121" s="2475"/>
      <c r="AQ121" s="2475"/>
      <c r="AR121" s="2475"/>
      <c r="AS121" s="2475"/>
      <c r="AT121" s="2475"/>
      <c r="AU121" s="2475"/>
      <c r="AV121" s="4008"/>
      <c r="AW121" s="3994"/>
      <c r="AX121" s="3994"/>
      <c r="AY121" s="3994"/>
      <c r="BC121" s="245"/>
      <c r="BD121" s="245"/>
      <c r="BE121" s="245"/>
      <c r="BG121" s="245"/>
      <c r="BH121" s="245"/>
    </row>
    <row r="122" spans="1:61" ht="29.25" customHeight="1">
      <c r="A122" s="245">
        <v>97</v>
      </c>
      <c r="B122" s="1758" t="s">
        <v>808</v>
      </c>
      <c r="C122" s="1773" t="s">
        <v>1725</v>
      </c>
      <c r="D122" s="1807"/>
      <c r="E122" s="1807"/>
      <c r="F122" s="1807"/>
      <c r="G122" s="1807"/>
      <c r="H122" s="1807"/>
      <c r="I122" s="1807"/>
      <c r="J122" s="1807"/>
      <c r="K122" s="1807"/>
      <c r="L122" s="1807"/>
      <c r="M122" s="1807"/>
      <c r="N122" s="1807"/>
      <c r="O122" s="1807"/>
      <c r="P122" s="1807"/>
      <c r="Q122" s="1807"/>
      <c r="R122" s="1807"/>
      <c r="S122" s="1807"/>
      <c r="T122" s="1807"/>
      <c r="U122" s="1807"/>
      <c r="V122" s="1807"/>
      <c r="W122" s="1807"/>
      <c r="X122" s="1807"/>
      <c r="Y122" s="1807"/>
      <c r="Z122" s="1807"/>
      <c r="AA122" s="1807"/>
      <c r="AB122" s="1807"/>
      <c r="AC122" s="1807"/>
      <c r="AD122" s="1807"/>
      <c r="AE122" s="1774" t="s">
        <v>536</v>
      </c>
      <c r="AF122" s="317"/>
      <c r="AG122" s="2475"/>
      <c r="AH122" s="2475"/>
      <c r="AI122" s="2475"/>
      <c r="AJ122" s="2475"/>
      <c r="AK122" s="2475"/>
      <c r="AL122" s="2475"/>
      <c r="AM122" s="2475"/>
      <c r="AN122" s="2475"/>
      <c r="AO122" s="1774" t="s">
        <v>1771</v>
      </c>
      <c r="AP122" s="2475"/>
      <c r="AQ122" s="2475"/>
      <c r="AR122" s="2475"/>
      <c r="AS122" s="2475"/>
      <c r="AT122" s="2475"/>
      <c r="AU122" s="2475"/>
      <c r="AV122" s="4008"/>
      <c r="AW122" s="3994"/>
      <c r="AX122" s="3994"/>
      <c r="AY122" s="3994"/>
      <c r="BB122" s="245">
        <v>1</v>
      </c>
      <c r="BC122" s="245">
        <v>1</v>
      </c>
      <c r="BD122" s="245">
        <v>1</v>
      </c>
      <c r="BE122" s="245">
        <v>1</v>
      </c>
      <c r="BF122" s="245">
        <v>1</v>
      </c>
      <c r="BG122" s="245">
        <v>1</v>
      </c>
      <c r="BH122" s="245">
        <v>1</v>
      </c>
    </row>
    <row r="123" spans="1:61" ht="29.25" customHeight="1">
      <c r="A123" s="245">
        <v>98</v>
      </c>
      <c r="B123" s="1758" t="s">
        <v>809</v>
      </c>
      <c r="C123" s="1773" t="s">
        <v>602</v>
      </c>
      <c r="D123" s="1807"/>
      <c r="E123" s="1807"/>
      <c r="F123" s="1807"/>
      <c r="G123" s="1807"/>
      <c r="H123" s="1807"/>
      <c r="I123" s="1807"/>
      <c r="J123" s="1807"/>
      <c r="K123" s="1807"/>
      <c r="L123" s="1807"/>
      <c r="M123" s="1807"/>
      <c r="N123" s="1807"/>
      <c r="O123" s="1807"/>
      <c r="P123" s="1807"/>
      <c r="Q123" s="1807"/>
      <c r="R123" s="1807"/>
      <c r="S123" s="1807"/>
      <c r="T123" s="1810" t="s">
        <v>395</v>
      </c>
      <c r="U123" s="1807"/>
      <c r="V123" s="1807"/>
      <c r="W123" s="317"/>
      <c r="X123" s="1807"/>
      <c r="Y123" s="1807"/>
      <c r="Z123" s="1807"/>
      <c r="AA123" s="1807"/>
      <c r="AB123" s="1807"/>
      <c r="AC123" s="1807"/>
      <c r="AD123" s="1807"/>
      <c r="AE123" s="2541"/>
      <c r="AF123" s="2541"/>
      <c r="AG123" s="2475"/>
      <c r="AH123" s="2475"/>
      <c r="AI123" s="2475"/>
      <c r="AJ123" s="2475"/>
      <c r="AK123" s="2475"/>
      <c r="AL123" s="2475"/>
      <c r="AM123" s="2475"/>
      <c r="AN123" s="2475"/>
      <c r="AO123" s="2475"/>
      <c r="AP123" s="2475"/>
      <c r="AQ123" s="2475"/>
      <c r="AR123" s="2475"/>
      <c r="AS123" s="2475"/>
      <c r="AT123" s="2475"/>
      <c r="AU123" s="3010" t="s">
        <v>2513</v>
      </c>
      <c r="AV123" s="4008"/>
      <c r="AW123" s="3994"/>
      <c r="AX123" s="3994"/>
      <c r="AY123" s="3994"/>
      <c r="AZ123" s="245">
        <v>1</v>
      </c>
      <c r="BA123" s="245">
        <v>1</v>
      </c>
      <c r="BB123" s="245">
        <v>1</v>
      </c>
      <c r="BC123" s="245">
        <v>1</v>
      </c>
      <c r="BD123" s="245"/>
      <c r="BE123" s="245"/>
      <c r="BG123" s="245">
        <v>1</v>
      </c>
      <c r="BH123" s="245">
        <v>1</v>
      </c>
    </row>
    <row r="124" spans="1:61" ht="29.25" customHeight="1">
      <c r="A124" s="245">
        <v>99</v>
      </c>
      <c r="B124" s="1758" t="s">
        <v>810</v>
      </c>
      <c r="C124" s="245" t="s">
        <v>1721</v>
      </c>
      <c r="D124" s="317"/>
      <c r="E124" s="1808"/>
      <c r="F124" s="1808"/>
      <c r="G124" s="1808"/>
      <c r="H124" s="1808"/>
      <c r="I124" s="1808"/>
      <c r="J124" s="1808"/>
      <c r="K124" s="1808"/>
      <c r="L124" s="1808"/>
      <c r="M124" s="1808"/>
      <c r="N124" s="1808"/>
      <c r="O124" s="1808"/>
      <c r="P124" s="1808"/>
      <c r="Q124" s="1808"/>
      <c r="R124" s="1808"/>
      <c r="S124" s="1808"/>
      <c r="T124" s="1808"/>
      <c r="U124" s="1808"/>
      <c r="V124" s="1810" t="s">
        <v>396</v>
      </c>
      <c r="W124" s="1810" t="s">
        <v>1779</v>
      </c>
      <c r="X124" s="317"/>
      <c r="Y124" s="1808"/>
      <c r="Z124" s="1808"/>
      <c r="AA124" s="1808"/>
      <c r="AB124" s="1808"/>
      <c r="AC124" s="1808"/>
      <c r="AD124" s="1808"/>
      <c r="AE124" s="2541"/>
      <c r="AF124" s="2541"/>
      <c r="AG124" s="2475"/>
      <c r="AH124" s="2475"/>
      <c r="AI124" s="2475"/>
      <c r="AJ124" s="2475"/>
      <c r="AK124" s="2475"/>
      <c r="AL124" s="2475"/>
      <c r="AM124" s="1774" t="s">
        <v>852</v>
      </c>
      <c r="AN124" s="2475"/>
      <c r="AO124" s="2475"/>
      <c r="AP124" s="2475"/>
      <c r="AQ124" s="2475"/>
      <c r="AR124" s="2475"/>
      <c r="AS124" s="2475"/>
      <c r="AT124" s="2475"/>
      <c r="AU124" s="2475"/>
      <c r="AV124" s="4008"/>
      <c r="AW124" s="3994"/>
      <c r="AX124" s="3994"/>
      <c r="AY124" s="3994"/>
      <c r="AZ124" s="245">
        <v>1</v>
      </c>
      <c r="BA124" s="245">
        <v>1</v>
      </c>
      <c r="BB124" s="245">
        <v>1</v>
      </c>
      <c r="BC124" s="245">
        <v>1</v>
      </c>
      <c r="BD124" s="245">
        <v>1</v>
      </c>
      <c r="BE124" s="245">
        <v>1</v>
      </c>
      <c r="BF124" s="245">
        <v>1</v>
      </c>
      <c r="BG124" s="245">
        <v>1</v>
      </c>
      <c r="BH124" s="245">
        <v>1</v>
      </c>
    </row>
    <row r="125" spans="1:61" ht="15">
      <c r="B125" s="2570" t="s">
        <v>245</v>
      </c>
      <c r="C125" s="2498"/>
      <c r="D125" s="2571"/>
      <c r="E125" s="2571"/>
      <c r="F125" s="2571"/>
      <c r="G125" s="2571"/>
      <c r="H125" s="2571"/>
      <c r="I125" s="2571"/>
      <c r="J125" s="2571"/>
      <c r="K125" s="2571"/>
      <c r="L125" s="2571"/>
      <c r="M125" s="2571"/>
      <c r="N125" s="2571"/>
      <c r="O125" s="2571"/>
      <c r="P125" s="2571"/>
      <c r="Q125" s="2571"/>
      <c r="R125" s="2571"/>
      <c r="S125" s="2571"/>
      <c r="T125" s="2571"/>
      <c r="U125" s="2571"/>
      <c r="V125" s="2571"/>
      <c r="W125" s="2571"/>
      <c r="X125" s="2571"/>
      <c r="Y125" s="2571"/>
      <c r="Z125" s="2571"/>
      <c r="AA125" s="2571"/>
      <c r="AB125" s="2571"/>
      <c r="AC125" s="2571"/>
      <c r="AD125" s="2572"/>
      <c r="AE125" s="2573"/>
      <c r="AF125" s="2573"/>
      <c r="AG125" s="2574"/>
      <c r="AH125" s="2574"/>
      <c r="AI125" s="2574"/>
      <c r="AJ125" s="2574"/>
      <c r="AK125" s="2574"/>
      <c r="AL125" s="2574"/>
      <c r="AM125" s="2574"/>
      <c r="AN125" s="2574"/>
      <c r="AO125" s="2574"/>
      <c r="AP125" s="2574"/>
      <c r="AQ125" s="2575"/>
      <c r="AR125" s="2575"/>
      <c r="AS125" s="2575"/>
      <c r="AT125" s="2575"/>
      <c r="AU125" s="2575"/>
      <c r="AV125" s="2575"/>
      <c r="AW125" s="4019"/>
      <c r="AX125" s="4019"/>
      <c r="AY125" s="4019"/>
      <c r="AZ125" s="2576"/>
      <c r="BA125" s="2576"/>
      <c r="BB125" s="2576"/>
      <c r="BC125" s="2576"/>
      <c r="BD125" s="2576"/>
      <c r="BE125" s="2576"/>
      <c r="BF125" s="2576"/>
      <c r="BG125" s="2576"/>
      <c r="BH125" s="2576"/>
    </row>
    <row r="126" spans="1:61" ht="29.25" customHeight="1">
      <c r="A126" s="245">
        <v>100</v>
      </c>
      <c r="B126" s="1758" t="s">
        <v>811</v>
      </c>
      <c r="C126" s="1773" t="s">
        <v>1720</v>
      </c>
      <c r="D126" s="1806"/>
      <c r="E126" s="1808"/>
      <c r="F126" s="1806"/>
      <c r="G126" s="1806"/>
      <c r="H126" s="1806"/>
      <c r="I126" s="1806"/>
      <c r="J126" s="1806"/>
      <c r="K126" s="1806"/>
      <c r="L126" s="1806"/>
      <c r="M126" s="1806"/>
      <c r="N126" s="1806"/>
      <c r="O126" s="1806"/>
      <c r="P126" s="1806"/>
      <c r="Q126" s="1806"/>
      <c r="R126" s="1806"/>
      <c r="S126" s="1807"/>
      <c r="T126" s="1806"/>
      <c r="U126" s="1806"/>
      <c r="V126" s="1806"/>
      <c r="W126" s="1806"/>
      <c r="X126" s="1806"/>
      <c r="Y126" s="1806"/>
      <c r="Z126" s="1806"/>
      <c r="AA126" s="1806"/>
      <c r="AB126" s="1806"/>
      <c r="AC126" s="1806"/>
      <c r="AD126" s="1810" t="s">
        <v>397</v>
      </c>
      <c r="AE126" s="1807"/>
      <c r="AF126" s="1807"/>
      <c r="AG126" s="1775"/>
      <c r="AH126" s="1775"/>
      <c r="AI126" s="1775"/>
      <c r="AJ126" s="1775"/>
      <c r="AK126" s="1775"/>
      <c r="AL126" s="1775"/>
      <c r="AM126" s="1777" t="s">
        <v>852</v>
      </c>
      <c r="AN126" s="1775"/>
      <c r="AO126" s="1775"/>
      <c r="AP126" s="1775"/>
      <c r="AQ126" s="2475"/>
      <c r="AR126" s="2475"/>
      <c r="AS126" s="2475"/>
      <c r="AT126" s="2475"/>
      <c r="AU126" s="2475"/>
      <c r="AV126" s="4008"/>
      <c r="AW126" s="3994"/>
      <c r="AX126" s="3994"/>
      <c r="AY126" s="3994"/>
      <c r="BA126" s="318"/>
      <c r="BB126" s="245">
        <v>1</v>
      </c>
      <c r="BC126" s="245">
        <v>1</v>
      </c>
      <c r="BD126" s="245">
        <v>1</v>
      </c>
      <c r="BE126" s="245">
        <v>1</v>
      </c>
      <c r="BF126" s="245">
        <v>1</v>
      </c>
      <c r="BG126" s="245">
        <v>1</v>
      </c>
      <c r="BH126" s="245">
        <v>1</v>
      </c>
    </row>
    <row r="127" spans="1:61" ht="29.25" customHeight="1">
      <c r="A127" s="245">
        <v>101</v>
      </c>
      <c r="B127" s="1758" t="s">
        <v>812</v>
      </c>
      <c r="C127" s="1773" t="s">
        <v>1720</v>
      </c>
      <c r="D127" s="1806"/>
      <c r="E127" s="1808"/>
      <c r="F127" s="1806"/>
      <c r="G127" s="1806"/>
      <c r="H127" s="1806"/>
      <c r="I127" s="1806"/>
      <c r="J127" s="1806"/>
      <c r="K127" s="1806"/>
      <c r="L127" s="1806"/>
      <c r="M127" s="1806"/>
      <c r="N127" s="1806"/>
      <c r="O127" s="1806"/>
      <c r="P127" s="1806"/>
      <c r="Q127" s="1806"/>
      <c r="R127" s="1806"/>
      <c r="S127" s="1807"/>
      <c r="T127" s="1806"/>
      <c r="U127" s="1806"/>
      <c r="V127" s="1806"/>
      <c r="W127" s="1806"/>
      <c r="X127" s="1806"/>
      <c r="Y127" s="1806"/>
      <c r="Z127" s="1806"/>
      <c r="AA127" s="1806"/>
      <c r="AB127" s="1806"/>
      <c r="AC127" s="1806"/>
      <c r="AD127" s="1810" t="s">
        <v>397</v>
      </c>
      <c r="AE127" s="1807"/>
      <c r="AF127" s="1807"/>
      <c r="AG127" s="1775"/>
      <c r="AH127" s="1775"/>
      <c r="AI127" s="1775"/>
      <c r="AJ127" s="1775"/>
      <c r="AK127" s="1775"/>
      <c r="AL127" s="1775"/>
      <c r="AM127" s="1777" t="s">
        <v>852</v>
      </c>
      <c r="AN127" s="1775"/>
      <c r="AO127" s="1775"/>
      <c r="AP127" s="1775"/>
      <c r="AQ127" s="2475"/>
      <c r="AR127" s="2475"/>
      <c r="AS127" s="2475"/>
      <c r="AT127" s="2475"/>
      <c r="AU127" s="2475"/>
      <c r="AV127" s="4008"/>
      <c r="AW127" s="3994"/>
      <c r="AX127" s="3994"/>
      <c r="AY127" s="3994"/>
      <c r="BA127" s="318"/>
      <c r="BB127" s="245">
        <v>1</v>
      </c>
      <c r="BC127" s="245">
        <v>1</v>
      </c>
      <c r="BD127" s="245">
        <v>1</v>
      </c>
      <c r="BE127" s="245">
        <v>1</v>
      </c>
      <c r="BF127" s="245">
        <v>1</v>
      </c>
      <c r="BG127" s="245">
        <v>1</v>
      </c>
      <c r="BH127" s="245">
        <v>1</v>
      </c>
    </row>
    <row r="128" spans="1:61" ht="29.25" customHeight="1">
      <c r="A128" s="245">
        <v>102</v>
      </c>
      <c r="B128" s="1758" t="s">
        <v>813</v>
      </c>
      <c r="C128" s="1773" t="s">
        <v>1720</v>
      </c>
      <c r="D128" s="1807"/>
      <c r="E128" s="1807"/>
      <c r="F128" s="1807"/>
      <c r="G128" s="1807"/>
      <c r="H128" s="1807"/>
      <c r="I128" s="1807"/>
      <c r="J128" s="1807"/>
      <c r="K128" s="1807"/>
      <c r="L128" s="1807"/>
      <c r="M128" s="1807"/>
      <c r="N128" s="1807"/>
      <c r="O128" s="1807"/>
      <c r="P128" s="1807"/>
      <c r="Q128" s="1807"/>
      <c r="R128" s="1807"/>
      <c r="S128" s="1807"/>
      <c r="T128" s="1807"/>
      <c r="U128" s="1807"/>
      <c r="V128" s="1807"/>
      <c r="W128" s="1807"/>
      <c r="X128" s="1807"/>
      <c r="Y128" s="1807"/>
      <c r="Z128" s="1807"/>
      <c r="AA128" s="1807"/>
      <c r="AB128" s="1807"/>
      <c r="AC128" s="1807"/>
      <c r="AD128" s="1810" t="s">
        <v>397</v>
      </c>
      <c r="AE128" s="1807"/>
      <c r="AF128" s="1807"/>
      <c r="AG128" s="1775"/>
      <c r="AH128" s="1775"/>
      <c r="AI128" s="1775"/>
      <c r="AJ128" s="1775"/>
      <c r="AK128" s="1775"/>
      <c r="AL128" s="1775"/>
      <c r="AM128" s="1777" t="s">
        <v>852</v>
      </c>
      <c r="AN128" s="1775"/>
      <c r="AO128" s="1775"/>
      <c r="AP128" s="1775"/>
      <c r="AQ128" s="2475"/>
      <c r="AR128" s="2475"/>
      <c r="AS128" s="2475"/>
      <c r="AT128" s="2475"/>
      <c r="AU128" s="2475"/>
      <c r="AV128" s="4008"/>
      <c r="AW128" s="3994"/>
      <c r="AX128" s="3994"/>
      <c r="AY128" s="3994"/>
      <c r="BB128" s="245">
        <v>1</v>
      </c>
      <c r="BC128" s="245">
        <v>1</v>
      </c>
      <c r="BD128" s="245">
        <v>1</v>
      </c>
      <c r="BE128" s="245">
        <v>1</v>
      </c>
      <c r="BF128" s="245">
        <v>1</v>
      </c>
      <c r="BG128" s="245">
        <v>1</v>
      </c>
      <c r="BH128" s="245">
        <v>1</v>
      </c>
    </row>
    <row r="129" spans="1:60" ht="15">
      <c r="B129" s="2570" t="s">
        <v>263</v>
      </c>
      <c r="C129" s="2498"/>
      <c r="D129" s="2571"/>
      <c r="E129" s="2571"/>
      <c r="F129" s="2571"/>
      <c r="G129" s="2571"/>
      <c r="H129" s="2571"/>
      <c r="I129" s="2571"/>
      <c r="J129" s="2571"/>
      <c r="K129" s="2571"/>
      <c r="L129" s="2571"/>
      <c r="M129" s="2571"/>
      <c r="N129" s="2571"/>
      <c r="O129" s="2571"/>
      <c r="P129" s="2571"/>
      <c r="Q129" s="2571"/>
      <c r="R129" s="2571"/>
      <c r="S129" s="2571"/>
      <c r="T129" s="2571"/>
      <c r="U129" s="2571"/>
      <c r="V129" s="2571"/>
      <c r="W129" s="2571"/>
      <c r="X129" s="2571"/>
      <c r="Y129" s="2571"/>
      <c r="Z129" s="2571"/>
      <c r="AA129" s="2571"/>
      <c r="AB129" s="2571"/>
      <c r="AC129" s="2571"/>
      <c r="AD129" s="2572"/>
      <c r="AE129" s="2573"/>
      <c r="AF129" s="2573"/>
      <c r="AG129" s="2574"/>
      <c r="AH129" s="2574"/>
      <c r="AI129" s="2574"/>
      <c r="AJ129" s="2574"/>
      <c r="AK129" s="2574"/>
      <c r="AL129" s="2574"/>
      <c r="AM129" s="2574"/>
      <c r="AN129" s="2574"/>
      <c r="AO129" s="2574"/>
      <c r="AP129" s="2574"/>
      <c r="AQ129" s="2575"/>
      <c r="AR129" s="2575"/>
      <c r="AS129" s="2575"/>
      <c r="AT129" s="2575"/>
      <c r="AU129" s="2575"/>
      <c r="AV129" s="2575"/>
      <c r="AW129" s="4019"/>
      <c r="AX129" s="4019"/>
      <c r="AY129" s="4019"/>
      <c r="AZ129" s="2576"/>
      <c r="BA129" s="2576"/>
      <c r="BB129" s="2576"/>
      <c r="BC129" s="2576"/>
      <c r="BD129" s="2576"/>
      <c r="BE129" s="2576"/>
      <c r="BF129" s="2576"/>
      <c r="BG129" s="2576"/>
      <c r="BH129" s="2576"/>
    </row>
    <row r="130" spans="1:60" ht="29.25" customHeight="1">
      <c r="A130" s="245">
        <v>103</v>
      </c>
      <c r="B130" s="1758" t="s">
        <v>814</v>
      </c>
      <c r="C130" s="1773" t="s">
        <v>609</v>
      </c>
      <c r="D130" s="1807"/>
      <c r="E130" s="1807"/>
      <c r="F130" s="1807"/>
      <c r="G130" s="1807"/>
      <c r="H130" s="1807"/>
      <c r="I130" s="1807"/>
      <c r="J130" s="1807"/>
      <c r="K130" s="1807"/>
      <c r="L130" s="1807"/>
      <c r="M130" s="1807"/>
      <c r="N130" s="1807"/>
      <c r="O130" s="1807"/>
      <c r="P130" s="1807"/>
      <c r="Q130" s="1807"/>
      <c r="R130" s="1807"/>
      <c r="S130" s="1807"/>
      <c r="T130" s="1807"/>
      <c r="U130" s="1807"/>
      <c r="V130" s="1807"/>
      <c r="W130" s="1807"/>
      <c r="X130" s="1807"/>
      <c r="Y130" s="1807"/>
      <c r="Z130" s="1810" t="s">
        <v>246</v>
      </c>
      <c r="AA130" s="1807"/>
      <c r="AB130" s="1807"/>
      <c r="AC130" s="1807"/>
      <c r="AD130" s="1807"/>
      <c r="AE130" s="1807"/>
      <c r="AF130" s="1774" t="s">
        <v>541</v>
      </c>
      <c r="AG130" s="1807"/>
      <c r="AH130" s="1776"/>
      <c r="AI130" s="1775"/>
      <c r="AJ130" s="1775"/>
      <c r="AK130" s="1775"/>
      <c r="AL130" s="1775"/>
      <c r="AM130" s="1775"/>
      <c r="AN130" s="1775"/>
      <c r="AO130" s="1775"/>
      <c r="AP130" s="1775"/>
      <c r="AQ130" s="2475"/>
      <c r="AR130" s="2475"/>
      <c r="AS130" s="2475"/>
      <c r="AT130" s="2475"/>
      <c r="AU130" s="2475"/>
      <c r="AV130" s="4008"/>
      <c r="AW130" s="3994"/>
      <c r="AX130" s="2982" t="s">
        <v>2833</v>
      </c>
      <c r="AY130" s="4034"/>
      <c r="BA130" s="245">
        <v>1</v>
      </c>
      <c r="BB130" s="245">
        <v>1</v>
      </c>
      <c r="BC130" s="245">
        <v>1</v>
      </c>
      <c r="BD130" s="245">
        <v>1</v>
      </c>
      <c r="BE130" s="245">
        <v>1</v>
      </c>
      <c r="BF130" s="245">
        <v>1</v>
      </c>
      <c r="BG130" s="245">
        <v>1</v>
      </c>
      <c r="BH130" s="245">
        <v>1</v>
      </c>
    </row>
    <row r="131" spans="1:60" ht="29.25" customHeight="1">
      <c r="A131" s="245">
        <v>104</v>
      </c>
      <c r="B131" s="1758" t="s">
        <v>815</v>
      </c>
      <c r="C131" s="1773" t="s">
        <v>609</v>
      </c>
      <c r="D131" s="1807"/>
      <c r="E131" s="1807"/>
      <c r="F131" s="1807"/>
      <c r="G131" s="1807"/>
      <c r="H131" s="1807"/>
      <c r="I131" s="1807"/>
      <c r="J131" s="1807"/>
      <c r="K131" s="1807"/>
      <c r="L131" s="1807"/>
      <c r="M131" s="1807"/>
      <c r="N131" s="1807"/>
      <c r="O131" s="1807"/>
      <c r="P131" s="1807"/>
      <c r="Q131" s="1807"/>
      <c r="R131" s="1807"/>
      <c r="S131" s="1807"/>
      <c r="T131" s="1807"/>
      <c r="U131" s="1807"/>
      <c r="V131" s="1807"/>
      <c r="W131" s="1807"/>
      <c r="X131" s="1807"/>
      <c r="Y131" s="1807"/>
      <c r="Z131" s="1810" t="s">
        <v>246</v>
      </c>
      <c r="AA131" s="1807"/>
      <c r="AB131" s="1807"/>
      <c r="AC131" s="1807"/>
      <c r="AD131" s="1807"/>
      <c r="AE131" s="1807"/>
      <c r="AF131" s="1774" t="s">
        <v>541</v>
      </c>
      <c r="AG131" s="1807"/>
      <c r="AH131" s="1776"/>
      <c r="AI131" s="1775"/>
      <c r="AJ131" s="1775"/>
      <c r="AK131" s="1775"/>
      <c r="AL131" s="1775"/>
      <c r="AM131" s="1775"/>
      <c r="AN131" s="1775"/>
      <c r="AO131" s="1775"/>
      <c r="AP131" s="1775"/>
      <c r="AQ131" s="2475"/>
      <c r="AR131" s="2475"/>
      <c r="AS131" s="2475"/>
      <c r="AT131" s="2475"/>
      <c r="AU131" s="2475"/>
      <c r="AV131" s="4008"/>
      <c r="AW131" s="3994"/>
      <c r="AX131" s="2982" t="s">
        <v>2833</v>
      </c>
      <c r="AY131" s="4034"/>
      <c r="BA131" s="245">
        <v>1</v>
      </c>
      <c r="BB131" s="245">
        <v>1</v>
      </c>
      <c r="BC131" s="245">
        <v>1</v>
      </c>
      <c r="BD131" s="245">
        <v>1</v>
      </c>
      <c r="BE131" s="245">
        <v>1</v>
      </c>
      <c r="BF131" s="245">
        <v>1</v>
      </c>
      <c r="BG131" s="245">
        <v>1</v>
      </c>
      <c r="BH131" s="245">
        <v>1</v>
      </c>
    </row>
    <row r="132" spans="1:60" ht="15">
      <c r="B132" s="2570" t="s">
        <v>466</v>
      </c>
      <c r="C132" s="2498"/>
      <c r="D132" s="2571"/>
      <c r="E132" s="2571"/>
      <c r="F132" s="2571"/>
      <c r="G132" s="2571"/>
      <c r="H132" s="2571"/>
      <c r="I132" s="2571"/>
      <c r="J132" s="2571"/>
      <c r="K132" s="2571"/>
      <c r="L132" s="2571"/>
      <c r="M132" s="2571"/>
      <c r="N132" s="2571"/>
      <c r="O132" s="2571"/>
      <c r="P132" s="2571"/>
      <c r="Q132" s="2571"/>
      <c r="R132" s="2571"/>
      <c r="S132" s="2571"/>
      <c r="T132" s="2571"/>
      <c r="U132" s="2571"/>
      <c r="V132" s="2571"/>
      <c r="W132" s="2571"/>
      <c r="X132" s="2571"/>
      <c r="Y132" s="2571"/>
      <c r="Z132" s="2571"/>
      <c r="AA132" s="2571"/>
      <c r="AB132" s="2571"/>
      <c r="AC132" s="2571"/>
      <c r="AD132" s="2572"/>
      <c r="AE132" s="2573"/>
      <c r="AF132" s="2573"/>
      <c r="AG132" s="2574"/>
      <c r="AH132" s="2574"/>
      <c r="AI132" s="2574"/>
      <c r="AJ132" s="2574"/>
      <c r="AK132" s="2574"/>
      <c r="AL132" s="2574"/>
      <c r="AM132" s="2574"/>
      <c r="AN132" s="2574"/>
      <c r="AO132" s="2574"/>
      <c r="AP132" s="2574"/>
      <c r="AQ132" s="2575"/>
      <c r="AR132" s="2575"/>
      <c r="AS132" s="2575"/>
      <c r="AT132" s="2575"/>
      <c r="AU132" s="2575"/>
      <c r="AV132" s="2575"/>
      <c r="AW132" s="4019"/>
      <c r="AX132" s="4036"/>
      <c r="AY132" s="4036"/>
      <c r="AZ132" s="2576"/>
      <c r="BA132" s="2576"/>
      <c r="BB132" s="2576"/>
      <c r="BC132" s="2576"/>
      <c r="BD132" s="2576"/>
      <c r="BE132" s="2576"/>
      <c r="BF132" s="2576"/>
      <c r="BG132" s="2576"/>
      <c r="BH132" s="2576"/>
    </row>
    <row r="133" spans="1:60" ht="29.25" customHeight="1">
      <c r="A133" s="245">
        <v>105</v>
      </c>
      <c r="B133" s="1758" t="s">
        <v>816</v>
      </c>
      <c r="C133" s="1831" t="s">
        <v>609</v>
      </c>
      <c r="D133" s="1832"/>
      <c r="E133" s="1832"/>
      <c r="F133" s="1832"/>
      <c r="G133" s="1832"/>
      <c r="H133" s="1832"/>
      <c r="I133" s="1832"/>
      <c r="J133" s="1832"/>
      <c r="K133" s="1832"/>
      <c r="L133" s="1832"/>
      <c r="M133" s="1832"/>
      <c r="N133" s="1832"/>
      <c r="O133" s="1832"/>
      <c r="P133" s="1832"/>
      <c r="Q133" s="1832"/>
      <c r="R133" s="1832"/>
      <c r="S133" s="1832"/>
      <c r="T133" s="1832"/>
      <c r="U133" s="1832"/>
      <c r="V133" s="1832"/>
      <c r="W133" s="1832"/>
      <c r="X133" s="1832"/>
      <c r="Y133" s="1832"/>
      <c r="Z133" s="1832"/>
      <c r="AA133" s="1832"/>
      <c r="AB133" s="1832"/>
      <c r="AC133" s="1832"/>
      <c r="AD133" s="1812" t="s">
        <v>427</v>
      </c>
      <c r="AE133" s="1832"/>
      <c r="AF133" s="1832"/>
      <c r="AG133" s="317"/>
      <c r="AH133" s="1807"/>
      <c r="AI133" s="1807"/>
      <c r="AJ133" s="1807"/>
      <c r="AK133" s="1807"/>
      <c r="AL133" s="1807"/>
      <c r="AM133" s="1807"/>
      <c r="AN133" s="1807"/>
      <c r="AO133" s="1807"/>
      <c r="AP133" s="1807"/>
      <c r="AQ133" s="2541"/>
      <c r="AR133" s="2541"/>
      <c r="AS133" s="2541"/>
      <c r="AT133" s="2541"/>
      <c r="AU133" s="2982" t="s">
        <v>2514</v>
      </c>
      <c r="AV133" s="4009"/>
      <c r="AW133" s="4014"/>
      <c r="AX133" s="4034"/>
      <c r="AY133" s="4034"/>
      <c r="BB133" s="245">
        <v>1</v>
      </c>
      <c r="BC133" s="245">
        <v>1</v>
      </c>
      <c r="BD133" s="245">
        <v>1</v>
      </c>
      <c r="BE133" s="245">
        <v>1</v>
      </c>
      <c r="BG133" s="245">
        <v>1</v>
      </c>
      <c r="BH133" s="245">
        <v>1</v>
      </c>
    </row>
    <row r="134" spans="1:60" ht="15">
      <c r="B134" s="2577" t="s">
        <v>616</v>
      </c>
      <c r="C134" s="2578"/>
      <c r="D134" s="2579"/>
      <c r="E134" s="2579"/>
      <c r="F134" s="2579"/>
      <c r="G134" s="2579"/>
      <c r="H134" s="2579"/>
      <c r="I134" s="2579"/>
      <c r="J134" s="2579"/>
      <c r="K134" s="2579"/>
      <c r="L134" s="2579"/>
      <c r="M134" s="2579"/>
      <c r="N134" s="2579"/>
      <c r="O134" s="2579"/>
      <c r="P134" s="2579"/>
      <c r="Q134" s="2579"/>
      <c r="R134" s="2579"/>
      <c r="S134" s="2579"/>
      <c r="T134" s="2579"/>
      <c r="U134" s="2579"/>
      <c r="V134" s="2579"/>
      <c r="W134" s="2579"/>
      <c r="X134" s="2579"/>
      <c r="Y134" s="2579"/>
      <c r="Z134" s="2579"/>
      <c r="AA134" s="2579"/>
      <c r="AB134" s="2579"/>
      <c r="AC134" s="2579"/>
      <c r="AD134" s="2579"/>
      <c r="AE134" s="2579"/>
      <c r="AF134" s="2579"/>
      <c r="AG134" s="2580"/>
      <c r="AH134" s="2580"/>
      <c r="AI134" s="2581"/>
      <c r="AJ134" s="2581"/>
      <c r="AK134" s="2581"/>
      <c r="AL134" s="2581"/>
      <c r="AM134" s="2581"/>
      <c r="AN134" s="2581"/>
      <c r="AO134" s="2581"/>
      <c r="AP134" s="2581"/>
      <c r="AQ134" s="2579"/>
      <c r="AR134" s="2579"/>
      <c r="AS134" s="2579"/>
      <c r="AT134" s="2579"/>
      <c r="AU134" s="2579"/>
      <c r="AV134" s="2579"/>
      <c r="AW134" s="4020"/>
      <c r="AX134" s="4020"/>
      <c r="AY134" s="4020"/>
      <c r="AZ134" s="2582"/>
      <c r="BA134" s="2582"/>
      <c r="BB134" s="2582"/>
      <c r="BC134" s="2582"/>
      <c r="BD134" s="2582"/>
      <c r="BE134" s="2582"/>
      <c r="BF134" s="2582"/>
      <c r="BG134" s="2582"/>
      <c r="BH134" s="2582"/>
    </row>
    <row r="135" spans="1:60" ht="29.25" customHeight="1">
      <c r="A135" s="245">
        <v>106</v>
      </c>
      <c r="B135" s="1758" t="s">
        <v>817</v>
      </c>
      <c r="C135" s="2556" t="s">
        <v>1720</v>
      </c>
      <c r="D135" s="1807"/>
      <c r="E135" s="1807"/>
      <c r="F135" s="1807"/>
      <c r="G135" s="1807"/>
      <c r="H135" s="1809" t="s">
        <v>209</v>
      </c>
      <c r="I135" s="1807"/>
      <c r="J135" s="1807"/>
      <c r="K135" s="1807"/>
      <c r="L135" s="1807"/>
      <c r="M135" s="1807"/>
      <c r="N135" s="1807"/>
      <c r="O135" s="1807"/>
      <c r="P135" s="1807"/>
      <c r="Q135" s="1807"/>
      <c r="R135" s="1807"/>
      <c r="S135" s="1807"/>
      <c r="T135" s="1807"/>
      <c r="U135" s="1807"/>
      <c r="V135" s="1807"/>
      <c r="W135" s="1807"/>
      <c r="X135" s="1807"/>
      <c r="Y135" s="1807"/>
      <c r="Z135" s="1777" t="s">
        <v>212</v>
      </c>
      <c r="AA135" s="1807"/>
      <c r="AB135" s="1807"/>
      <c r="AC135" s="1807"/>
      <c r="AD135" s="1807"/>
      <c r="AE135" s="1807"/>
      <c r="AF135" s="1807"/>
      <c r="AG135" s="1775"/>
      <c r="AH135" s="1775"/>
      <c r="AI135" s="1775"/>
      <c r="AJ135" s="1775"/>
      <c r="AK135" s="1775"/>
      <c r="AL135" s="1775"/>
      <c r="AM135" s="1777" t="s">
        <v>851</v>
      </c>
      <c r="AN135" s="1807"/>
      <c r="AO135" s="1807"/>
      <c r="AP135" s="1807"/>
      <c r="AQ135" s="2541"/>
      <c r="AR135" s="2541"/>
      <c r="AS135" s="2541"/>
      <c r="AT135" s="2541"/>
      <c r="AU135" s="2541"/>
      <c r="AV135" s="4009"/>
      <c r="AW135" s="4014"/>
      <c r="AX135" s="4034"/>
      <c r="AY135" s="2982" t="s">
        <v>2833</v>
      </c>
      <c r="AZ135" s="245">
        <v>1</v>
      </c>
      <c r="BA135" s="245">
        <v>1</v>
      </c>
      <c r="BB135" s="245">
        <v>1</v>
      </c>
      <c r="BC135" s="245">
        <v>1</v>
      </c>
      <c r="BD135" s="245">
        <v>1</v>
      </c>
      <c r="BE135" s="245">
        <v>1</v>
      </c>
      <c r="BF135" s="245">
        <v>1</v>
      </c>
      <c r="BG135" s="245">
        <v>1</v>
      </c>
      <c r="BH135" s="245">
        <v>1</v>
      </c>
    </row>
    <row r="136" spans="1:60" ht="29.25" customHeight="1">
      <c r="A136" s="245">
        <v>107</v>
      </c>
      <c r="B136" s="1758" t="s">
        <v>818</v>
      </c>
      <c r="C136" s="2556" t="s">
        <v>1720</v>
      </c>
      <c r="D136" s="1807"/>
      <c r="E136" s="1807"/>
      <c r="F136" s="1807"/>
      <c r="G136" s="1807"/>
      <c r="H136" s="1809" t="s">
        <v>209</v>
      </c>
      <c r="I136" s="1807"/>
      <c r="J136" s="1807"/>
      <c r="K136" s="1807"/>
      <c r="L136" s="1807"/>
      <c r="M136" s="1807"/>
      <c r="N136" s="1807"/>
      <c r="O136" s="1807"/>
      <c r="P136" s="1807"/>
      <c r="Q136" s="1807"/>
      <c r="R136" s="1807"/>
      <c r="S136" s="1807"/>
      <c r="T136" s="1807"/>
      <c r="U136" s="1807"/>
      <c r="V136" s="1807"/>
      <c r="W136" s="1807"/>
      <c r="X136" s="1807"/>
      <c r="Y136" s="1807"/>
      <c r="Z136" s="1777" t="s">
        <v>212</v>
      </c>
      <c r="AA136" s="1807"/>
      <c r="AB136" s="1807"/>
      <c r="AC136" s="1807"/>
      <c r="AD136" s="1807"/>
      <c r="AE136" s="1807"/>
      <c r="AF136" s="1807"/>
      <c r="AG136" s="1775"/>
      <c r="AH136" s="1775"/>
      <c r="AI136" s="1775"/>
      <c r="AJ136" s="1775"/>
      <c r="AK136" s="1775"/>
      <c r="AL136" s="1775"/>
      <c r="AM136" s="1777" t="s">
        <v>851</v>
      </c>
      <c r="AN136" s="1807"/>
      <c r="AO136" s="1807"/>
      <c r="AP136" s="1807"/>
      <c r="AQ136" s="2541"/>
      <c r="AR136" s="2541"/>
      <c r="AS136" s="2541"/>
      <c r="AT136" s="2541"/>
      <c r="AU136" s="2541"/>
      <c r="AV136" s="4009"/>
      <c r="AW136" s="4014"/>
      <c r="AX136" s="4034"/>
      <c r="AY136" s="2982" t="s">
        <v>2833</v>
      </c>
      <c r="AZ136" s="245">
        <v>1</v>
      </c>
      <c r="BA136" s="245">
        <v>1</v>
      </c>
      <c r="BB136" s="245">
        <v>1</v>
      </c>
      <c r="BC136" s="245">
        <v>1</v>
      </c>
      <c r="BD136" s="245">
        <v>1</v>
      </c>
      <c r="BE136" s="245">
        <v>1</v>
      </c>
      <c r="BF136" s="245">
        <v>1</v>
      </c>
      <c r="BG136" s="245">
        <v>1</v>
      </c>
      <c r="BH136" s="245">
        <v>1</v>
      </c>
    </row>
    <row r="137" spans="1:60" ht="29.25" customHeight="1">
      <c r="A137" s="245">
        <v>108</v>
      </c>
      <c r="B137" s="2561" t="s">
        <v>819</v>
      </c>
      <c r="C137" s="2556" t="s">
        <v>1761</v>
      </c>
      <c r="D137" s="2551"/>
      <c r="E137" s="2551"/>
      <c r="F137" s="2562" t="s">
        <v>206</v>
      </c>
      <c r="G137" s="2551"/>
      <c r="H137" s="2551"/>
      <c r="I137" s="2551"/>
      <c r="J137" s="2551"/>
      <c r="K137" s="2551"/>
      <c r="L137" s="2551"/>
      <c r="M137" s="2551"/>
      <c r="N137" s="2551"/>
      <c r="O137" s="2551"/>
      <c r="P137" s="2551"/>
      <c r="Q137" s="2551"/>
      <c r="R137" s="2563" t="s">
        <v>261</v>
      </c>
      <c r="S137" s="2551"/>
      <c r="T137" s="2551"/>
      <c r="U137" s="2551"/>
      <c r="V137" s="2551"/>
      <c r="W137" s="2551"/>
      <c r="X137" s="2551"/>
      <c r="Y137" s="2551"/>
      <c r="Z137" s="2551"/>
      <c r="AA137" s="2562" t="s">
        <v>241</v>
      </c>
      <c r="AB137" s="2551"/>
      <c r="AC137" s="2551"/>
      <c r="AD137" s="2551"/>
      <c r="AE137" s="2551"/>
      <c r="AF137" s="2551"/>
      <c r="AG137" s="2560"/>
      <c r="AH137" s="2560"/>
      <c r="AI137" s="2560"/>
      <c r="AJ137" s="2560"/>
      <c r="AK137" s="2560"/>
      <c r="AL137" s="2562" t="s">
        <v>849</v>
      </c>
      <c r="AM137" s="2551"/>
      <c r="AN137" s="2551"/>
      <c r="AO137" s="2551"/>
      <c r="AP137" s="2551"/>
      <c r="AQ137" s="2541"/>
      <c r="AR137" s="2541"/>
      <c r="AS137" s="2541"/>
      <c r="AT137" s="3015" t="s">
        <v>2517</v>
      </c>
      <c r="AU137" s="2541"/>
      <c r="AV137" s="4009"/>
      <c r="AW137" s="4014"/>
      <c r="AX137" s="4034"/>
      <c r="AY137" s="2982" t="s">
        <v>2836</v>
      </c>
      <c r="AZ137" s="245">
        <v>1</v>
      </c>
      <c r="BA137" s="245">
        <v>1</v>
      </c>
      <c r="BB137" s="245">
        <v>1</v>
      </c>
      <c r="BC137" s="245">
        <v>1</v>
      </c>
      <c r="BD137" s="245">
        <v>1</v>
      </c>
      <c r="BE137" s="245">
        <v>1</v>
      </c>
      <c r="BF137" s="245">
        <v>1</v>
      </c>
      <c r="BG137" s="245">
        <v>1</v>
      </c>
      <c r="BH137" s="245">
        <v>1</v>
      </c>
    </row>
    <row r="138" spans="1:60" ht="29.25" customHeight="1">
      <c r="A138" s="245">
        <v>109</v>
      </c>
      <c r="B138" s="2550" t="s">
        <v>2515</v>
      </c>
      <c r="C138" s="2556" t="s">
        <v>1991</v>
      </c>
      <c r="D138" s="3011"/>
      <c r="E138" s="3011"/>
      <c r="F138" s="3012"/>
      <c r="G138" s="3011"/>
      <c r="H138" s="3011"/>
      <c r="I138" s="3011"/>
      <c r="J138" s="3011"/>
      <c r="K138" s="3011"/>
      <c r="L138" s="3011"/>
      <c r="M138" s="3011"/>
      <c r="N138" s="3011"/>
      <c r="O138" s="3011"/>
      <c r="P138" s="3011"/>
      <c r="Q138" s="3011"/>
      <c r="R138" s="3013"/>
      <c r="S138" s="3011"/>
      <c r="T138" s="3011"/>
      <c r="U138" s="3011"/>
      <c r="V138" s="3011"/>
      <c r="W138" s="3011"/>
      <c r="X138" s="3011"/>
      <c r="Y138" s="3011"/>
      <c r="Z138" s="3011"/>
      <c r="AA138" s="3011"/>
      <c r="AB138" s="3011"/>
      <c r="AC138" s="3011"/>
      <c r="AD138" s="3011"/>
      <c r="AE138" s="3011"/>
      <c r="AF138" s="3011"/>
      <c r="AG138" s="3014"/>
      <c r="AH138" s="3014"/>
      <c r="AI138" s="3014"/>
      <c r="AJ138" s="3014"/>
      <c r="AK138" s="3014"/>
      <c r="AL138" s="3014"/>
      <c r="AM138" s="3011"/>
      <c r="AN138" s="3011"/>
      <c r="AO138" s="3011"/>
      <c r="AP138" s="3011"/>
      <c r="AQ138" s="2541"/>
      <c r="AR138" s="2541"/>
      <c r="AS138" s="4408" t="s">
        <v>2879</v>
      </c>
      <c r="AT138" s="2541"/>
      <c r="AU138" s="2541"/>
      <c r="AV138" s="4009"/>
      <c r="AW138" s="4014"/>
      <c r="AX138" s="4014"/>
      <c r="AY138" s="4014"/>
      <c r="BC138" s="245"/>
      <c r="BD138" s="245"/>
      <c r="BE138" s="245"/>
      <c r="BG138" s="245"/>
      <c r="BH138" s="245">
        <v>1</v>
      </c>
    </row>
    <row r="139" spans="1:60" ht="29.25" customHeight="1">
      <c r="A139" s="245">
        <v>110</v>
      </c>
      <c r="B139" s="2550" t="s">
        <v>2516</v>
      </c>
      <c r="C139" s="2556" t="s">
        <v>1991</v>
      </c>
      <c r="D139" s="2541"/>
      <c r="E139" s="2541"/>
      <c r="F139" s="2538"/>
      <c r="G139" s="2541"/>
      <c r="H139" s="2541"/>
      <c r="I139" s="2541"/>
      <c r="J139" s="2541"/>
      <c r="K139" s="2541"/>
      <c r="L139" s="2541"/>
      <c r="M139" s="2541"/>
      <c r="N139" s="2541"/>
      <c r="O139" s="2541"/>
      <c r="P139" s="2541"/>
      <c r="Q139" s="2541"/>
      <c r="R139" s="2540"/>
      <c r="S139" s="2541"/>
      <c r="T139" s="2541"/>
      <c r="U139" s="2541"/>
      <c r="V139" s="2541"/>
      <c r="W139" s="2541"/>
      <c r="X139" s="2541"/>
      <c r="Y139" s="2541"/>
      <c r="Z139" s="2541"/>
      <c r="AA139" s="2541"/>
      <c r="AB139" s="2541"/>
      <c r="AC139" s="2541"/>
      <c r="AD139" s="2541"/>
      <c r="AE139" s="2541"/>
      <c r="AF139" s="2541"/>
      <c r="AG139" s="2475"/>
      <c r="AH139" s="2475"/>
      <c r="AI139" s="2475"/>
      <c r="AJ139" s="2475"/>
      <c r="AK139" s="2475"/>
      <c r="AL139" s="2541"/>
      <c r="AM139" s="2541"/>
      <c r="AN139" s="2541"/>
      <c r="AO139" s="2541"/>
      <c r="AP139" s="2557" t="s">
        <v>1997</v>
      </c>
      <c r="AQ139" s="2541"/>
      <c r="AR139" s="2541"/>
      <c r="AS139" s="4408" t="s">
        <v>2879</v>
      </c>
      <c r="AT139" s="2541"/>
      <c r="AU139" s="2541"/>
      <c r="AV139" s="4009"/>
      <c r="AW139" s="4014"/>
      <c r="AX139" s="4014"/>
      <c r="AY139" s="4014"/>
      <c r="BC139" s="245"/>
      <c r="BD139" s="245"/>
      <c r="BE139" s="245"/>
      <c r="BF139" s="245">
        <v>1</v>
      </c>
      <c r="BG139" s="245">
        <v>1</v>
      </c>
      <c r="BH139" s="245">
        <v>1</v>
      </c>
    </row>
    <row r="140" spans="1:60" ht="15">
      <c r="B140" s="1833" t="s">
        <v>469</v>
      </c>
      <c r="D140" s="242"/>
      <c r="E140" s="242"/>
      <c r="F140" s="242"/>
      <c r="G140" s="242"/>
      <c r="H140" s="242"/>
      <c r="I140" s="242"/>
      <c r="J140" s="242"/>
      <c r="K140" s="242"/>
      <c r="L140" s="242"/>
      <c r="M140" s="242"/>
      <c r="N140" s="242"/>
      <c r="O140" s="242"/>
      <c r="P140" s="242"/>
      <c r="Q140" s="242"/>
      <c r="R140" s="242"/>
      <c r="S140" s="242"/>
      <c r="T140" s="242"/>
      <c r="U140" s="242"/>
      <c r="V140" s="242"/>
      <c r="W140" s="242"/>
      <c r="X140" s="242"/>
      <c r="Y140" s="242"/>
      <c r="Z140" s="242"/>
      <c r="AA140" s="292"/>
      <c r="AB140" s="242"/>
      <c r="AC140" s="242"/>
      <c r="AD140" s="242"/>
      <c r="AE140" s="242"/>
      <c r="AF140" s="242"/>
      <c r="AG140" s="242"/>
      <c r="AH140" s="242"/>
      <c r="AI140" s="242"/>
      <c r="AJ140" s="242"/>
      <c r="AK140" s="242"/>
      <c r="AL140" s="242"/>
      <c r="AM140" s="242"/>
      <c r="AN140" s="242"/>
      <c r="AO140" s="242"/>
      <c r="AP140" s="242"/>
      <c r="AQ140" s="242"/>
      <c r="AR140" s="242"/>
      <c r="AS140" s="242"/>
      <c r="AT140" s="242"/>
      <c r="AU140" s="242"/>
      <c r="AV140" s="242"/>
      <c r="AW140" s="242"/>
      <c r="AX140" s="242"/>
      <c r="AY140" s="242"/>
      <c r="AZ140" s="1834">
        <v>42</v>
      </c>
      <c r="BA140" s="1834">
        <f>SUM(BA5:BA137)</f>
        <v>53</v>
      </c>
      <c r="BB140" s="1834">
        <f>SUM(BB5:BB137)</f>
        <v>61</v>
      </c>
      <c r="BC140" s="1834">
        <f>SUM(BC5:BC137)</f>
        <v>59</v>
      </c>
      <c r="BD140" s="1834">
        <f>SUM(BD5:BD137)</f>
        <v>64</v>
      </c>
      <c r="BE140" s="1834">
        <f>SUM(BE4:BE137)</f>
        <v>73</v>
      </c>
      <c r="BF140" s="1834">
        <f>SUM(BF5:BF139)</f>
        <v>84</v>
      </c>
      <c r="BG140" s="1834">
        <f>SUM(BG5:BG139)</f>
        <v>83</v>
      </c>
      <c r="BH140" s="4025">
        <f>SUM(BH5:BH139)</f>
        <v>81</v>
      </c>
    </row>
    <row r="141" spans="1:60" ht="15">
      <c r="B141" s="1835" t="s">
        <v>467</v>
      </c>
      <c r="C141" s="240"/>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BC141" s="245"/>
      <c r="BG141" s="245"/>
      <c r="BH141" s="245"/>
    </row>
    <row r="142" spans="1:60" ht="15.75">
      <c r="B142" s="1835" t="s">
        <v>468</v>
      </c>
      <c r="C142" s="240"/>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4"/>
      <c r="AA142" s="244"/>
      <c r="AB142" s="244"/>
      <c r="AC142" s="244"/>
      <c r="AD142" s="244"/>
      <c r="AR142" s="4024"/>
      <c r="AS142" s="4024"/>
      <c r="AT142" s="4024"/>
      <c r="AU142" s="4024"/>
      <c r="AV142" s="4024"/>
      <c r="AW142" s="3905"/>
      <c r="AX142" s="3905"/>
      <c r="AY142" s="3905" t="s">
        <v>465</v>
      </c>
      <c r="AZ142" s="1836">
        <f>AZ140/73</f>
        <v>0.57534246575342463</v>
      </c>
      <c r="BA142" s="1836">
        <f>BA140/75</f>
        <v>0.70666666666666667</v>
      </c>
      <c r="BB142" s="1836">
        <f>BB140/90</f>
        <v>0.67777777777777781</v>
      </c>
      <c r="BC142" s="1836">
        <f>BC140/90</f>
        <v>0.65555555555555556</v>
      </c>
      <c r="BD142" s="1837">
        <f>BD140/91</f>
        <v>0.70329670329670335</v>
      </c>
      <c r="BE142" s="1837">
        <f>BE140/98</f>
        <v>0.74489795918367352</v>
      </c>
      <c r="BF142" s="1837">
        <f>BF140/99</f>
        <v>0.84848484848484851</v>
      </c>
      <c r="BG142" s="1837">
        <f>BG140/108</f>
        <v>0.76851851851851849</v>
      </c>
      <c r="BH142" s="1838">
        <f>BH140/110</f>
        <v>0.73636363636363633</v>
      </c>
    </row>
    <row r="143" spans="1:60" ht="15"/>
    <row r="144" spans="1:60" ht="15">
      <c r="B144" s="319" t="s">
        <v>586</v>
      </c>
      <c r="C144" s="319"/>
      <c r="AZ144" s="5143"/>
      <c r="BA144" s="1839"/>
    </row>
    <row r="145" spans="2:58" ht="15">
      <c r="B145" s="320" t="s">
        <v>213</v>
      </c>
      <c r="C145" s="320"/>
      <c r="AZ145" s="5143"/>
      <c r="BA145" s="1839"/>
      <c r="BB145" s="1839"/>
      <c r="BC145" s="1839"/>
      <c r="BD145" s="1839"/>
      <c r="BE145" s="1839"/>
      <c r="BF145" s="2467"/>
    </row>
    <row r="146" spans="2:58" ht="15">
      <c r="B146" s="321" t="s">
        <v>214</v>
      </c>
      <c r="C146" s="321"/>
      <c r="AZ146" s="5143"/>
      <c r="BA146" s="1839"/>
      <c r="BB146" s="1839"/>
      <c r="BC146" s="1839"/>
      <c r="BD146" s="1839"/>
      <c r="BE146" s="1839"/>
      <c r="BF146" s="2467"/>
    </row>
    <row r="147" spans="2:58" ht="15">
      <c r="B147" s="322" t="s">
        <v>215</v>
      </c>
      <c r="C147" s="322"/>
      <c r="AZ147" s="5143"/>
      <c r="BA147" s="1839"/>
      <c r="BB147" s="1839"/>
      <c r="BC147" s="1839"/>
      <c r="BD147" s="1839"/>
      <c r="BE147" s="1839"/>
      <c r="BF147" s="2467"/>
    </row>
    <row r="148" spans="2:58" ht="15">
      <c r="B148" s="323" t="s">
        <v>611</v>
      </c>
      <c r="C148" s="323"/>
      <c r="AZ148" s="5143"/>
      <c r="BA148" s="1839"/>
    </row>
    <row r="149" spans="2:58" ht="15">
      <c r="B149" s="348" t="s">
        <v>585</v>
      </c>
      <c r="AZ149" s="1839"/>
    </row>
    <row r="150" spans="2:58" ht="15">
      <c r="B150" s="1799" t="s">
        <v>610</v>
      </c>
      <c r="C150" s="316"/>
      <c r="AZ150" s="1839"/>
    </row>
    <row r="151" spans="2:58" ht="15">
      <c r="B151" s="1801" t="s">
        <v>1749</v>
      </c>
    </row>
  </sheetData>
  <mergeCells count="1">
    <mergeCell ref="AZ144:AZ148"/>
  </mergeCells>
  <pageMargins left="0.75" right="0.75" top="1" bottom="1" header="0" footer="0"/>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sheetPr>
    <tabColor theme="9" tint="-0.499984740745262"/>
  </sheetPr>
  <dimension ref="A2:R36"/>
  <sheetViews>
    <sheetView workbookViewId="0">
      <selection activeCell="U32" sqref="U32"/>
    </sheetView>
  </sheetViews>
  <sheetFormatPr baseColWidth="10" defaultRowHeight="15"/>
  <cols>
    <col min="1" max="1" width="3.7109375" customWidth="1"/>
    <col min="2" max="2" width="15.7109375" customWidth="1"/>
    <col min="3" max="3" width="1.7109375" customWidth="1"/>
    <col min="4" max="8" width="7.7109375" customWidth="1"/>
    <col min="11" max="11" width="1.7109375" customWidth="1"/>
    <col min="12" max="16" width="7.7109375" customWidth="1"/>
  </cols>
  <sheetData>
    <row r="2" spans="2:18" ht="15.75" customHeight="1">
      <c r="B2" s="1842" t="s">
        <v>480</v>
      </c>
    </row>
    <row r="3" spans="2:18" ht="15.75" customHeight="1">
      <c r="B3" s="1843" t="s">
        <v>481</v>
      </c>
    </row>
    <row r="4" spans="2:18">
      <c r="B4" s="1844" t="s">
        <v>1786</v>
      </c>
    </row>
    <row r="5" spans="2:18" ht="15" customHeight="1">
      <c r="B5" s="5144" t="s">
        <v>2763</v>
      </c>
      <c r="D5" s="5146">
        <v>2017</v>
      </c>
      <c r="E5" s="5147"/>
      <c r="F5" s="5147"/>
      <c r="G5" s="5147"/>
      <c r="H5" s="5148"/>
      <c r="I5" s="5149" t="s">
        <v>456</v>
      </c>
      <c r="J5" s="5151" t="s">
        <v>457</v>
      </c>
      <c r="L5" s="5146">
        <v>2018</v>
      </c>
      <c r="M5" s="5147"/>
      <c r="N5" s="5147"/>
      <c r="O5" s="5147"/>
      <c r="P5" s="5148"/>
      <c r="Q5" s="5149" t="s">
        <v>456</v>
      </c>
      <c r="R5" s="5151" t="s">
        <v>457</v>
      </c>
    </row>
    <row r="6" spans="2:18">
      <c r="B6" s="5145"/>
      <c r="D6" s="1845" t="s">
        <v>77</v>
      </c>
      <c r="E6" s="1845" t="s">
        <v>78</v>
      </c>
      <c r="F6" s="1845" t="s">
        <v>79</v>
      </c>
      <c r="G6" s="1845" t="s">
        <v>80</v>
      </c>
      <c r="H6" s="1845" t="s">
        <v>71</v>
      </c>
      <c r="I6" s="5150"/>
      <c r="J6" s="5152"/>
      <c r="L6" s="1845" t="s">
        <v>77</v>
      </c>
      <c r="M6" s="1845" t="s">
        <v>78</v>
      </c>
      <c r="N6" s="1845" t="s">
        <v>79</v>
      </c>
      <c r="O6" s="1845" t="s">
        <v>80</v>
      </c>
      <c r="P6" s="1845" t="s">
        <v>71</v>
      </c>
      <c r="Q6" s="5150"/>
      <c r="R6" s="5152"/>
    </row>
    <row r="7" spans="2:18">
      <c r="B7" s="37"/>
      <c r="D7" s="37"/>
      <c r="E7" s="37"/>
      <c r="F7" s="37"/>
      <c r="G7" s="37"/>
      <c r="H7" s="37"/>
      <c r="L7" s="37"/>
      <c r="M7" s="37"/>
      <c r="N7" s="37"/>
      <c r="O7" s="37"/>
      <c r="P7" s="37"/>
    </row>
    <row r="8" spans="2:18">
      <c r="B8" s="1846" t="s">
        <v>4</v>
      </c>
      <c r="D8" s="1847">
        <v>56</v>
      </c>
      <c r="E8" s="1848">
        <v>5</v>
      </c>
      <c r="F8" s="1848">
        <v>115</v>
      </c>
      <c r="G8" s="1848">
        <v>222</v>
      </c>
      <c r="H8" s="1849">
        <f>SUM(D8:G8)</f>
        <v>398</v>
      </c>
      <c r="I8" s="1850">
        <f>(E8+F8+G8)/H8</f>
        <v>0.85929648241206025</v>
      </c>
      <c r="J8" s="1851">
        <f>G8/H8</f>
        <v>0.55778894472361806</v>
      </c>
      <c r="L8" s="1847">
        <v>53</v>
      </c>
      <c r="M8" s="1848">
        <v>4</v>
      </c>
      <c r="N8" s="1848">
        <v>116</v>
      </c>
      <c r="O8" s="1848">
        <v>229</v>
      </c>
      <c r="P8" s="1849">
        <f>SUM(L8:O8)</f>
        <v>402</v>
      </c>
      <c r="Q8" s="1850">
        <f>(M8+N8+O8)/P8</f>
        <v>0.86815920398009949</v>
      </c>
      <c r="R8" s="1851">
        <f>O8/P8</f>
        <v>0.56965174129353235</v>
      </c>
    </row>
    <row r="9" spans="2:18">
      <c r="B9" s="1852" t="s">
        <v>16</v>
      </c>
      <c r="D9" s="1853">
        <v>83</v>
      </c>
      <c r="E9" s="1854">
        <v>1</v>
      </c>
      <c r="F9" s="1854">
        <v>104</v>
      </c>
      <c r="G9" s="1854">
        <v>179</v>
      </c>
      <c r="H9" s="1855">
        <f t="shared" ref="H9:H10" si="0">SUM(D9:G9)</f>
        <v>367</v>
      </c>
      <c r="I9" s="187">
        <f t="shared" ref="I9:I11" si="1">(E9+F9+G9)/H9</f>
        <v>0.77384196185286103</v>
      </c>
      <c r="J9" s="188">
        <f t="shared" ref="J9:J11" si="2">G9/H9</f>
        <v>0.4877384196185286</v>
      </c>
      <c r="L9" s="1853">
        <v>85</v>
      </c>
      <c r="M9" s="1854">
        <v>1</v>
      </c>
      <c r="N9" s="1854">
        <v>100</v>
      </c>
      <c r="O9" s="1854">
        <v>187</v>
      </c>
      <c r="P9" s="1855">
        <f t="shared" ref="P9:P10" si="3">SUM(L9:O9)</f>
        <v>373</v>
      </c>
      <c r="Q9" s="187">
        <f t="shared" ref="Q9:Q11" si="4">(M9+N9+O9)/P9</f>
        <v>0.77211796246648789</v>
      </c>
      <c r="R9" s="188">
        <f t="shared" ref="R9:R11" si="5">O9/P9</f>
        <v>0.50134048257372654</v>
      </c>
    </row>
    <row r="10" spans="2:18">
      <c r="B10" s="1852" t="s">
        <v>21</v>
      </c>
      <c r="D10" s="1853">
        <v>51</v>
      </c>
      <c r="E10" s="1854">
        <v>4</v>
      </c>
      <c r="F10" s="1854">
        <v>123</v>
      </c>
      <c r="G10" s="1854">
        <v>59</v>
      </c>
      <c r="H10" s="1855">
        <f t="shared" si="0"/>
        <v>237</v>
      </c>
      <c r="I10" s="187">
        <f t="shared" si="1"/>
        <v>0.78481012658227844</v>
      </c>
      <c r="J10" s="188">
        <f t="shared" si="2"/>
        <v>0.24894514767932491</v>
      </c>
      <c r="L10" s="1853">
        <v>45</v>
      </c>
      <c r="M10" s="1854">
        <v>4</v>
      </c>
      <c r="N10" s="1854">
        <v>130</v>
      </c>
      <c r="O10" s="1854">
        <v>62</v>
      </c>
      <c r="P10" s="1855">
        <f t="shared" si="3"/>
        <v>241</v>
      </c>
      <c r="Q10" s="187">
        <f t="shared" si="4"/>
        <v>0.81327800829875518</v>
      </c>
      <c r="R10" s="188">
        <f t="shared" si="5"/>
        <v>0.25726141078838172</v>
      </c>
    </row>
    <row r="11" spans="2:18">
      <c r="B11" s="1856" t="s">
        <v>3</v>
      </c>
      <c r="D11" s="1858">
        <f>SUM(D8:D10)</f>
        <v>190</v>
      </c>
      <c r="E11" s="1859">
        <f>SUM(E8:E10)</f>
        <v>10</v>
      </c>
      <c r="F11" s="1859">
        <f>SUM(F8:F10)</f>
        <v>342</v>
      </c>
      <c r="G11" s="1859">
        <f>SUM(G8:G10)</f>
        <v>460</v>
      </c>
      <c r="H11" s="1860">
        <f>SUM(H8:H10)</f>
        <v>1002</v>
      </c>
      <c r="I11" s="1857">
        <f t="shared" si="1"/>
        <v>0.81037924151696605</v>
      </c>
      <c r="J11" s="325">
        <f t="shared" si="2"/>
        <v>0.45908183632734528</v>
      </c>
      <c r="L11" s="1858">
        <f>SUM(L8:L10)</f>
        <v>183</v>
      </c>
      <c r="M11" s="1859">
        <f>SUM(M8:M10)</f>
        <v>9</v>
      </c>
      <c r="N11" s="1859">
        <f>SUM(N8:N10)</f>
        <v>346</v>
      </c>
      <c r="O11" s="1859">
        <f>SUM(O8:O10)</f>
        <v>478</v>
      </c>
      <c r="P11" s="1860">
        <f>SUM(P8:P10)</f>
        <v>1016</v>
      </c>
      <c r="Q11" s="1857">
        <f t="shared" si="4"/>
        <v>0.81988188976377951</v>
      </c>
      <c r="R11" s="325">
        <f t="shared" si="5"/>
        <v>0.47047244094488189</v>
      </c>
    </row>
    <row r="12" spans="2:18">
      <c r="B12" s="1861"/>
      <c r="D12" s="1861"/>
      <c r="E12" s="1861"/>
      <c r="F12" s="1861"/>
      <c r="G12" s="1861"/>
      <c r="H12" s="1861"/>
      <c r="I12" s="46"/>
      <c r="J12" s="46"/>
      <c r="L12" s="1861"/>
      <c r="M12" s="1861"/>
      <c r="N12" s="1861"/>
      <c r="O12" s="1861"/>
      <c r="P12" s="1861"/>
      <c r="Q12" s="46"/>
      <c r="R12" s="46"/>
    </row>
    <row r="13" spans="2:18">
      <c r="B13" s="1846" t="s">
        <v>16</v>
      </c>
      <c r="D13" s="1847"/>
      <c r="E13" s="1848"/>
      <c r="F13" s="1848"/>
      <c r="G13" s="1848">
        <v>63</v>
      </c>
      <c r="H13" s="1849">
        <f>SUM(D13:G13)</f>
        <v>63</v>
      </c>
      <c r="I13" s="1850">
        <f t="shared" ref="I13:I16" si="6">(E13+F13+G13)/H13</f>
        <v>1</v>
      </c>
      <c r="J13" s="1851">
        <f t="shared" ref="J13:J16" si="7">G13/H13</f>
        <v>1</v>
      </c>
      <c r="L13" s="1847"/>
      <c r="M13" s="1848"/>
      <c r="N13" s="1848"/>
      <c r="O13" s="1848">
        <v>61</v>
      </c>
      <c r="P13" s="1849">
        <f>SUM(L13:O13)</f>
        <v>61</v>
      </c>
      <c r="Q13" s="1850">
        <f t="shared" ref="Q13:Q16" si="8">(M13+N13+O13)/P13</f>
        <v>1</v>
      </c>
      <c r="R13" s="1851">
        <f t="shared" ref="R13:R16" si="9">O13/P13</f>
        <v>1</v>
      </c>
    </row>
    <row r="14" spans="2:18">
      <c r="B14" s="1852" t="s">
        <v>61</v>
      </c>
      <c r="D14" s="1853">
        <v>1</v>
      </c>
      <c r="E14" s="1854"/>
      <c r="F14" s="1854">
        <v>13</v>
      </c>
      <c r="G14" s="1854">
        <v>40</v>
      </c>
      <c r="H14" s="1855">
        <f>SUM(D14:G14)</f>
        <v>54</v>
      </c>
      <c r="I14" s="187">
        <f t="shared" si="6"/>
        <v>0.98148148148148151</v>
      </c>
      <c r="J14" s="188">
        <f t="shared" si="7"/>
        <v>0.7407407407407407</v>
      </c>
      <c r="L14" s="1853">
        <v>1</v>
      </c>
      <c r="M14" s="1854"/>
      <c r="N14" s="1854">
        <v>13</v>
      </c>
      <c r="O14" s="1854">
        <v>38</v>
      </c>
      <c r="P14" s="1855">
        <f>SUM(L14:O14)</f>
        <v>52</v>
      </c>
      <c r="Q14" s="187">
        <f t="shared" si="8"/>
        <v>0.98076923076923073</v>
      </c>
      <c r="R14" s="188">
        <f t="shared" si="9"/>
        <v>0.73076923076923073</v>
      </c>
    </row>
    <row r="15" spans="2:18">
      <c r="B15" s="1852" t="s">
        <v>64</v>
      </c>
      <c r="D15" s="1853">
        <v>2</v>
      </c>
      <c r="E15" s="1854"/>
      <c r="F15" s="1854">
        <v>4</v>
      </c>
      <c r="G15" s="1854">
        <v>48</v>
      </c>
      <c r="H15" s="1855">
        <f>SUM(D15:G15)</f>
        <v>54</v>
      </c>
      <c r="I15" s="187">
        <f t="shared" si="6"/>
        <v>0.96296296296296291</v>
      </c>
      <c r="J15" s="188">
        <f t="shared" si="7"/>
        <v>0.88888888888888884</v>
      </c>
      <c r="L15" s="1853">
        <v>1</v>
      </c>
      <c r="M15" s="1854"/>
      <c r="N15" s="1854">
        <v>4</v>
      </c>
      <c r="O15" s="1854">
        <v>48</v>
      </c>
      <c r="P15" s="1855">
        <f>SUM(L15:O15)</f>
        <v>53</v>
      </c>
      <c r="Q15" s="187">
        <f t="shared" si="8"/>
        <v>0.98113207547169812</v>
      </c>
      <c r="R15" s="188">
        <f t="shared" si="9"/>
        <v>0.90566037735849059</v>
      </c>
    </row>
    <row r="16" spans="2:18">
      <c r="B16" s="1856" t="s">
        <v>59</v>
      </c>
      <c r="D16" s="1858">
        <f t="shared" ref="D16" si="10">SUM(D13:D15)</f>
        <v>3</v>
      </c>
      <c r="E16" s="1859"/>
      <c r="F16" s="1859">
        <f t="shared" ref="F16:H16" si="11">SUM(F13:F15)</f>
        <v>17</v>
      </c>
      <c r="G16" s="1859">
        <f t="shared" si="11"/>
        <v>151</v>
      </c>
      <c r="H16" s="1860">
        <f t="shared" si="11"/>
        <v>171</v>
      </c>
      <c r="I16" s="1857">
        <f t="shared" si="6"/>
        <v>0.98245614035087714</v>
      </c>
      <c r="J16" s="325">
        <f t="shared" si="7"/>
        <v>0.88304093567251463</v>
      </c>
      <c r="L16" s="1858">
        <f t="shared" ref="L16" si="12">SUM(L13:L15)</f>
        <v>2</v>
      </c>
      <c r="M16" s="1859"/>
      <c r="N16" s="1859">
        <f t="shared" ref="N16:P16" si="13">SUM(N13:N15)</f>
        <v>17</v>
      </c>
      <c r="O16" s="1859">
        <f t="shared" si="13"/>
        <v>147</v>
      </c>
      <c r="P16" s="1860">
        <f t="shared" si="13"/>
        <v>166</v>
      </c>
      <c r="Q16" s="1857">
        <f t="shared" si="8"/>
        <v>0.98795180722891562</v>
      </c>
      <c r="R16" s="325">
        <f t="shared" si="9"/>
        <v>0.88554216867469882</v>
      </c>
    </row>
    <row r="17" spans="2:18">
      <c r="B17" s="1861"/>
      <c r="D17" s="1861"/>
      <c r="E17" s="1861"/>
      <c r="F17" s="1861"/>
      <c r="G17" s="1861"/>
      <c r="H17" s="1861"/>
      <c r="I17" s="46"/>
      <c r="J17" s="46"/>
      <c r="L17" s="1861"/>
      <c r="M17" s="1861"/>
      <c r="N17" s="1861"/>
      <c r="O17" s="1861"/>
      <c r="P17" s="1861"/>
      <c r="Q17" s="46"/>
      <c r="R17" s="46"/>
    </row>
    <row r="18" spans="2:18">
      <c r="B18" s="1846" t="s">
        <v>4</v>
      </c>
      <c r="D18" s="1847">
        <v>10</v>
      </c>
      <c r="E18" s="1848">
        <v>1</v>
      </c>
      <c r="F18" s="1848">
        <v>44</v>
      </c>
      <c r="G18" s="1848">
        <v>234</v>
      </c>
      <c r="H18" s="1849">
        <f>SUM(D18:G18)</f>
        <v>289</v>
      </c>
      <c r="I18" s="1850">
        <f t="shared" ref="I18:I21" si="14">(E18+F18+G18)/H18</f>
        <v>0.96539792387543255</v>
      </c>
      <c r="J18" s="1851">
        <f t="shared" ref="J18:J21" si="15">G18/H18</f>
        <v>0.80968858131487886</v>
      </c>
      <c r="L18" s="1847">
        <v>11</v>
      </c>
      <c r="M18" s="1848">
        <v>1</v>
      </c>
      <c r="N18" s="1848">
        <v>43</v>
      </c>
      <c r="O18" s="1848">
        <v>234</v>
      </c>
      <c r="P18" s="1849">
        <f>SUM(L18:O18)</f>
        <v>289</v>
      </c>
      <c r="Q18" s="1850">
        <f t="shared" ref="Q18:Q21" si="16">(M18+N18+O18)/P18</f>
        <v>0.96193771626297575</v>
      </c>
      <c r="R18" s="1851">
        <f t="shared" ref="R18:R21" si="17">O18/P18</f>
        <v>0.80968858131487886</v>
      </c>
    </row>
    <row r="19" spans="2:18">
      <c r="B19" s="1852" t="s">
        <v>16</v>
      </c>
      <c r="D19" s="1853">
        <v>45</v>
      </c>
      <c r="E19" s="1854">
        <v>1</v>
      </c>
      <c r="F19" s="1854">
        <v>83</v>
      </c>
      <c r="G19" s="1854">
        <v>220</v>
      </c>
      <c r="H19" s="1855">
        <f>SUM(D19:G19)</f>
        <v>349</v>
      </c>
      <c r="I19" s="187">
        <f t="shared" si="14"/>
        <v>0.87106017191977081</v>
      </c>
      <c r="J19" s="188">
        <f t="shared" si="15"/>
        <v>0.63037249283667618</v>
      </c>
      <c r="L19" s="1853">
        <v>37</v>
      </c>
      <c r="M19" s="1854">
        <v>1</v>
      </c>
      <c r="N19" s="1854">
        <v>88</v>
      </c>
      <c r="O19" s="1854">
        <v>228</v>
      </c>
      <c r="P19" s="1855">
        <f>SUM(L19:O19)</f>
        <v>354</v>
      </c>
      <c r="Q19" s="187">
        <f t="shared" si="16"/>
        <v>0.89548022598870058</v>
      </c>
      <c r="R19" s="188">
        <f t="shared" si="17"/>
        <v>0.64406779661016944</v>
      </c>
    </row>
    <row r="20" spans="2:18">
      <c r="B20" s="1852" t="s">
        <v>41</v>
      </c>
      <c r="D20" s="1862">
        <v>20</v>
      </c>
      <c r="E20" s="1863">
        <v>2</v>
      </c>
      <c r="F20" s="1863">
        <v>54</v>
      </c>
      <c r="G20" s="1863">
        <v>176</v>
      </c>
      <c r="H20" s="1855">
        <f>SUM(D20:G20)</f>
        <v>252</v>
      </c>
      <c r="I20" s="187">
        <f t="shared" si="14"/>
        <v>0.92063492063492058</v>
      </c>
      <c r="J20" s="188">
        <f t="shared" si="15"/>
        <v>0.69841269841269837</v>
      </c>
      <c r="L20" s="1862">
        <v>20</v>
      </c>
      <c r="M20" s="1863">
        <v>2</v>
      </c>
      <c r="N20" s="1863">
        <v>52</v>
      </c>
      <c r="O20" s="1863">
        <v>175</v>
      </c>
      <c r="P20" s="1855">
        <f>SUM(L20:O20)</f>
        <v>249</v>
      </c>
      <c r="Q20" s="187">
        <f t="shared" si="16"/>
        <v>0.91967871485943775</v>
      </c>
      <c r="R20" s="188">
        <f t="shared" si="17"/>
        <v>0.70281124497991965</v>
      </c>
    </row>
    <row r="21" spans="2:18">
      <c r="B21" s="1856" t="s">
        <v>25</v>
      </c>
      <c r="D21" s="1858">
        <f>SUM(D18:D20)</f>
        <v>75</v>
      </c>
      <c r="E21" s="1859">
        <f>SUM(E18:E20)</f>
        <v>4</v>
      </c>
      <c r="F21" s="1859">
        <f>SUM(F18:F20)</f>
        <v>181</v>
      </c>
      <c r="G21" s="1859">
        <f>SUM(G18:G20)</f>
        <v>630</v>
      </c>
      <c r="H21" s="1860">
        <f>SUM(D21:G21)</f>
        <v>890</v>
      </c>
      <c r="I21" s="1857">
        <f t="shared" si="14"/>
        <v>0.9157303370786517</v>
      </c>
      <c r="J21" s="325">
        <f t="shared" si="15"/>
        <v>0.7078651685393258</v>
      </c>
      <c r="L21" s="1858">
        <f>SUM(L18:L20)</f>
        <v>68</v>
      </c>
      <c r="M21" s="1859">
        <f>SUM(M18:M20)</f>
        <v>4</v>
      </c>
      <c r="N21" s="1859">
        <f>SUM(N18:N20)</f>
        <v>183</v>
      </c>
      <c r="O21" s="1859">
        <f>SUM(O18:O20)</f>
        <v>637</v>
      </c>
      <c r="P21" s="1860">
        <f>SUM(L21:O21)</f>
        <v>892</v>
      </c>
      <c r="Q21" s="1857">
        <f t="shared" si="16"/>
        <v>0.92376681614349776</v>
      </c>
      <c r="R21" s="325">
        <f t="shared" si="17"/>
        <v>0.7141255605381166</v>
      </c>
    </row>
    <row r="23" spans="2:18">
      <c r="B23" s="1846" t="s">
        <v>4</v>
      </c>
      <c r="D23" s="1847"/>
      <c r="E23" s="1848"/>
      <c r="F23" s="1848">
        <v>2</v>
      </c>
      <c r="G23" s="1848">
        <v>17</v>
      </c>
      <c r="H23" s="1849">
        <f>SUM(D23:G23)</f>
        <v>19</v>
      </c>
      <c r="I23" s="1850">
        <f t="shared" ref="I23:I26" si="18">(E23+F23+G23)/H23</f>
        <v>1</v>
      </c>
      <c r="J23" s="1851">
        <f t="shared" ref="J23:J26" si="19">G23/H23</f>
        <v>0.89473684210526316</v>
      </c>
      <c r="L23" s="1847"/>
      <c r="M23" s="1848"/>
      <c r="N23" s="1848">
        <v>3</v>
      </c>
      <c r="O23" s="1848">
        <v>18</v>
      </c>
      <c r="P23" s="1849">
        <f>SUM(L23:O23)</f>
        <v>21</v>
      </c>
      <c r="Q23" s="1850">
        <f t="shared" ref="Q23:Q26" si="20">(M23+N23+O23)/P23</f>
        <v>1</v>
      </c>
      <c r="R23" s="1851">
        <f t="shared" ref="R23:R26" si="21">O23/P23</f>
        <v>0.8571428571428571</v>
      </c>
    </row>
    <row r="24" spans="2:18">
      <c r="B24" s="1852" t="s">
        <v>16</v>
      </c>
      <c r="D24" s="1853"/>
      <c r="E24" s="1854"/>
      <c r="F24" s="1854">
        <v>7</v>
      </c>
      <c r="G24" s="1854">
        <v>22</v>
      </c>
      <c r="H24" s="1855">
        <f>SUM(D24:G24)</f>
        <v>29</v>
      </c>
      <c r="I24" s="187">
        <f t="shared" si="18"/>
        <v>1</v>
      </c>
      <c r="J24" s="188">
        <f t="shared" si="19"/>
        <v>0.75862068965517238</v>
      </c>
      <c r="L24" s="1853"/>
      <c r="M24" s="1854"/>
      <c r="N24" s="1854">
        <v>6</v>
      </c>
      <c r="O24" s="1854">
        <v>26</v>
      </c>
      <c r="P24" s="1855">
        <f>SUM(L24:O24)</f>
        <v>32</v>
      </c>
      <c r="Q24" s="187">
        <f t="shared" si="20"/>
        <v>1</v>
      </c>
      <c r="R24" s="188">
        <f t="shared" si="21"/>
        <v>0.8125</v>
      </c>
    </row>
    <row r="25" spans="2:18">
      <c r="B25" s="1852" t="s">
        <v>41</v>
      </c>
      <c r="D25" s="1862"/>
      <c r="E25" s="1863"/>
      <c r="F25" s="1863"/>
      <c r="G25" s="1863">
        <v>20</v>
      </c>
      <c r="H25" s="1855">
        <f>SUM(D25:G25)</f>
        <v>20</v>
      </c>
      <c r="I25" s="187">
        <f t="shared" si="18"/>
        <v>1</v>
      </c>
      <c r="J25" s="188">
        <f t="shared" si="19"/>
        <v>1</v>
      </c>
      <c r="L25" s="1862"/>
      <c r="M25" s="1863"/>
      <c r="N25" s="1863"/>
      <c r="O25" s="1863">
        <v>20</v>
      </c>
      <c r="P25" s="1855">
        <f>SUM(L25:O25)</f>
        <v>20</v>
      </c>
      <c r="Q25" s="187">
        <f t="shared" si="20"/>
        <v>1</v>
      </c>
      <c r="R25" s="188">
        <f t="shared" si="21"/>
        <v>1</v>
      </c>
    </row>
    <row r="26" spans="2:18">
      <c r="B26" s="1856" t="s">
        <v>249</v>
      </c>
      <c r="D26" s="1858"/>
      <c r="E26" s="1859"/>
      <c r="F26" s="1859">
        <f>SUM(F23:F25)</f>
        <v>9</v>
      </c>
      <c r="G26" s="1859">
        <f>SUM(G23:G25)</f>
        <v>59</v>
      </c>
      <c r="H26" s="1860">
        <f>SUM(D26:G26)</f>
        <v>68</v>
      </c>
      <c r="I26" s="1857">
        <f t="shared" si="18"/>
        <v>1</v>
      </c>
      <c r="J26" s="325">
        <f t="shared" si="19"/>
        <v>0.86764705882352944</v>
      </c>
      <c r="L26" s="1858"/>
      <c r="M26" s="1859"/>
      <c r="N26" s="1859">
        <f>SUM(N23:N25)</f>
        <v>9</v>
      </c>
      <c r="O26" s="1859">
        <f>SUM(O23:O25)</f>
        <v>64</v>
      </c>
      <c r="P26" s="1860">
        <f>SUM(L26:O26)</f>
        <v>73</v>
      </c>
      <c r="Q26" s="1857">
        <f t="shared" si="20"/>
        <v>1</v>
      </c>
      <c r="R26" s="325">
        <f t="shared" si="21"/>
        <v>0.87671232876712324</v>
      </c>
    </row>
    <row r="27" spans="2:18">
      <c r="B27" s="1861"/>
      <c r="D27" s="1861"/>
      <c r="E27" s="1861"/>
      <c r="F27" s="1861"/>
      <c r="G27" s="1861"/>
      <c r="H27" s="1861"/>
      <c r="I27" s="46"/>
      <c r="J27" s="46"/>
      <c r="L27" s="1861"/>
      <c r="M27" s="1861"/>
      <c r="N27" s="1861"/>
      <c r="O27" s="1861"/>
      <c r="P27" s="1861"/>
      <c r="Q27" s="46"/>
      <c r="R27" s="46"/>
    </row>
    <row r="28" spans="2:18">
      <c r="B28" s="1846" t="s">
        <v>16</v>
      </c>
      <c r="D28" s="1847">
        <v>54</v>
      </c>
      <c r="E28" s="1848">
        <v>2</v>
      </c>
      <c r="F28" s="1848">
        <v>122</v>
      </c>
      <c r="G28" s="1848">
        <v>210</v>
      </c>
      <c r="H28" s="1849">
        <f>SUM(D28:G28)</f>
        <v>388</v>
      </c>
      <c r="I28" s="1850">
        <f t="shared" ref="I28:I31" si="22">(E28+F28+G28)/H28</f>
        <v>0.86082474226804129</v>
      </c>
      <c r="J28" s="1851">
        <f t="shared" ref="J28:J31" si="23">G28/H28</f>
        <v>0.54123711340206182</v>
      </c>
      <c r="L28" s="1847">
        <v>52</v>
      </c>
      <c r="M28" s="1848">
        <v>1</v>
      </c>
      <c r="N28" s="1848">
        <v>122</v>
      </c>
      <c r="O28" s="1848">
        <v>218</v>
      </c>
      <c r="P28" s="1849">
        <f>SUM(L28:O28)</f>
        <v>393</v>
      </c>
      <c r="Q28" s="1850">
        <f t="shared" ref="Q28:Q31" si="24">(M28+N28+O28)/P28</f>
        <v>0.86768447837150131</v>
      </c>
      <c r="R28" s="1851">
        <f t="shared" ref="R28:R31" si="25">O28/P28</f>
        <v>0.55470737913486001</v>
      </c>
    </row>
    <row r="29" spans="2:18">
      <c r="B29" s="1852" t="s">
        <v>41</v>
      </c>
      <c r="D29" s="1853">
        <v>42</v>
      </c>
      <c r="E29" s="1854">
        <v>7</v>
      </c>
      <c r="F29" s="1854">
        <v>143</v>
      </c>
      <c r="G29" s="1854">
        <v>194</v>
      </c>
      <c r="H29" s="1855">
        <f>SUM(D29:G29)</f>
        <v>386</v>
      </c>
      <c r="I29" s="187">
        <f t="shared" si="22"/>
        <v>0.89119170984455953</v>
      </c>
      <c r="J29" s="188">
        <f t="shared" si="23"/>
        <v>0.50259067357512954</v>
      </c>
      <c r="L29" s="1853">
        <v>40</v>
      </c>
      <c r="M29" s="1854">
        <v>6</v>
      </c>
      <c r="N29" s="1854">
        <v>142</v>
      </c>
      <c r="O29" s="1854">
        <v>195</v>
      </c>
      <c r="P29" s="1855">
        <f>SUM(L29:O29)</f>
        <v>383</v>
      </c>
      <c r="Q29" s="187">
        <f t="shared" si="24"/>
        <v>0.8955613577023499</v>
      </c>
      <c r="R29" s="188">
        <f t="shared" si="25"/>
        <v>0.50913838120104438</v>
      </c>
    </row>
    <row r="30" spans="2:18">
      <c r="B30" s="1864" t="s">
        <v>21</v>
      </c>
      <c r="D30" s="1853">
        <v>43</v>
      </c>
      <c r="E30" s="1854">
        <v>4</v>
      </c>
      <c r="F30" s="1854">
        <v>79</v>
      </c>
      <c r="G30" s="1854">
        <v>41</v>
      </c>
      <c r="H30" s="1855">
        <f>SUM(D30:G30)</f>
        <v>167</v>
      </c>
      <c r="I30" s="187">
        <f t="shared" si="22"/>
        <v>0.74251497005988021</v>
      </c>
      <c r="J30" s="188">
        <f t="shared" si="23"/>
        <v>0.24550898203592814</v>
      </c>
      <c r="L30" s="1853">
        <v>39</v>
      </c>
      <c r="M30" s="1854">
        <v>4</v>
      </c>
      <c r="N30" s="1854">
        <v>79</v>
      </c>
      <c r="O30" s="1854">
        <v>43</v>
      </c>
      <c r="P30" s="1855">
        <f>SUM(L30:O30)</f>
        <v>165</v>
      </c>
      <c r="Q30" s="187">
        <f t="shared" si="24"/>
        <v>0.76363636363636367</v>
      </c>
      <c r="R30" s="188">
        <f t="shared" si="25"/>
        <v>0.26060606060606062</v>
      </c>
    </row>
    <row r="31" spans="2:18">
      <c r="B31" s="1856" t="s">
        <v>48</v>
      </c>
      <c r="D31" s="1858">
        <f t="shared" ref="D31:H31" si="26">SUM(D28:D30)</f>
        <v>139</v>
      </c>
      <c r="E31" s="1859">
        <f t="shared" si="26"/>
        <v>13</v>
      </c>
      <c r="F31" s="1859">
        <f t="shared" si="26"/>
        <v>344</v>
      </c>
      <c r="G31" s="1859">
        <f t="shared" si="26"/>
        <v>445</v>
      </c>
      <c r="H31" s="1860">
        <f t="shared" si="26"/>
        <v>941</v>
      </c>
      <c r="I31" s="1857">
        <f t="shared" si="22"/>
        <v>0.85228480340063761</v>
      </c>
      <c r="J31" s="325">
        <f t="shared" si="23"/>
        <v>0.47290116896918172</v>
      </c>
      <c r="L31" s="1858">
        <f t="shared" ref="L31:P31" si="27">SUM(L28:L30)</f>
        <v>131</v>
      </c>
      <c r="M31" s="1859">
        <f t="shared" si="27"/>
        <v>11</v>
      </c>
      <c r="N31" s="1859">
        <f t="shared" si="27"/>
        <v>343</v>
      </c>
      <c r="O31" s="1859">
        <f t="shared" si="27"/>
        <v>456</v>
      </c>
      <c r="P31" s="1860">
        <f t="shared" si="27"/>
        <v>941</v>
      </c>
      <c r="Q31" s="1857">
        <f t="shared" si="24"/>
        <v>0.86078639744952179</v>
      </c>
      <c r="R31" s="325">
        <f t="shared" si="25"/>
        <v>0.48459086078639746</v>
      </c>
    </row>
    <row r="32" spans="2:18">
      <c r="B32" s="37"/>
      <c r="D32" s="37"/>
      <c r="E32" s="37"/>
      <c r="F32" s="37"/>
      <c r="G32" s="37"/>
      <c r="H32" s="37"/>
      <c r="I32" s="37"/>
      <c r="J32" s="37"/>
      <c r="L32" s="37"/>
      <c r="M32" s="37"/>
      <c r="N32" s="37"/>
      <c r="O32" s="37"/>
      <c r="P32" s="37"/>
      <c r="Q32" s="37"/>
      <c r="R32" s="37"/>
    </row>
    <row r="33" spans="1:18" s="1" customFormat="1" ht="20.25" customHeight="1">
      <c r="A33"/>
      <c r="B33" s="3500" t="s">
        <v>114</v>
      </c>
      <c r="D33" s="1858">
        <f>SUM(D11,D16,D21,D26,D31)</f>
        <v>407</v>
      </c>
      <c r="E33" s="1859">
        <f t="shared" ref="E33:H33" si="28">SUM(E11,E16,E21,E26,E31)</f>
        <v>27</v>
      </c>
      <c r="F33" s="1859">
        <f t="shared" si="28"/>
        <v>893</v>
      </c>
      <c r="G33" s="1859">
        <f t="shared" si="28"/>
        <v>1745</v>
      </c>
      <c r="H33" s="1860">
        <f t="shared" si="28"/>
        <v>3072</v>
      </c>
      <c r="I33" s="3498">
        <f t="shared" ref="I33" si="29">(E33+F33+G33)/H33</f>
        <v>0.86751302083333337</v>
      </c>
      <c r="J33" s="3499">
        <f t="shared" ref="J33" si="30">G33/H33</f>
        <v>0.56803385416666663</v>
      </c>
      <c r="L33" s="1858">
        <f>SUM(L11,L16,L21,L26,L31)</f>
        <v>384</v>
      </c>
      <c r="M33" s="1859">
        <f t="shared" ref="M33:P33" si="31">SUM(M11,M16,M21,M26,M31)</f>
        <v>24</v>
      </c>
      <c r="N33" s="1859">
        <f t="shared" si="31"/>
        <v>898</v>
      </c>
      <c r="O33" s="1859">
        <f t="shared" si="31"/>
        <v>1782</v>
      </c>
      <c r="P33" s="1860">
        <f t="shared" si="31"/>
        <v>3088</v>
      </c>
      <c r="Q33" s="3498">
        <f t="shared" ref="Q33" si="32">(M33+N33+O33)/P33</f>
        <v>0.87564766839378239</v>
      </c>
      <c r="R33" s="3499">
        <f t="shared" ref="R33" si="33">O33/P33</f>
        <v>0.57707253886010368</v>
      </c>
    </row>
    <row r="35" spans="1:18" ht="15" customHeight="1"/>
    <row r="36" spans="1:18" ht="15" customHeight="1"/>
  </sheetData>
  <mergeCells count="7">
    <mergeCell ref="B5:B6"/>
    <mergeCell ref="L5:P5"/>
    <mergeCell ref="Q5:Q6"/>
    <mergeCell ref="R5:R6"/>
    <mergeCell ref="D5:H5"/>
    <mergeCell ref="I5:I6"/>
    <mergeCell ref="J5:J6"/>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sheetPr>
    <tabColor theme="9" tint="-0.499984740745262"/>
  </sheetPr>
  <dimension ref="A2:AZ198"/>
  <sheetViews>
    <sheetView showGridLines="0" workbookViewId="0">
      <selection activeCell="AB37" sqref="AB37"/>
    </sheetView>
  </sheetViews>
  <sheetFormatPr baseColWidth="10" defaultColWidth="11.42578125" defaultRowHeight="15"/>
  <cols>
    <col min="1" max="1" width="2.7109375" customWidth="1"/>
    <col min="2" max="2" width="14.42578125" customWidth="1"/>
    <col min="3" max="3" width="1.7109375" customWidth="1"/>
    <col min="6" max="6" width="1.7109375" customWidth="1"/>
    <col min="9" max="9" width="1.7109375" customWidth="1"/>
    <col min="12" max="12" width="1.7109375" customWidth="1"/>
    <col min="15" max="15" width="1.7109375" customWidth="1"/>
    <col min="16" max="17" width="11.42578125" customWidth="1"/>
    <col min="18" max="18" width="1.7109375" customWidth="1"/>
    <col min="19" max="20" width="11.42578125" customWidth="1"/>
    <col min="21" max="21" width="1.7109375" customWidth="1"/>
    <col min="22" max="23" width="11.42578125" customWidth="1"/>
    <col min="24" max="24" width="1.7109375" customWidth="1"/>
    <col min="25" max="26" width="11.42578125" customWidth="1"/>
    <col min="27" max="27" width="1.7109375" customWidth="1"/>
    <col min="28" max="29" width="11.42578125" customWidth="1"/>
    <col min="31" max="31" width="45.42578125" bestFit="1" customWidth="1"/>
    <col min="32" max="40" width="8.7109375" customWidth="1"/>
    <col min="42" max="42" width="6.140625" bestFit="1" customWidth="1"/>
    <col min="43" max="43" width="59" bestFit="1" customWidth="1"/>
    <col min="44" max="49" width="7.7109375" customWidth="1"/>
    <col min="50" max="52" width="7.85546875" customWidth="1"/>
  </cols>
  <sheetData>
    <row r="2" spans="1:43" ht="15.75" customHeight="1">
      <c r="B2" s="286" t="s">
        <v>482</v>
      </c>
      <c r="C2" s="31"/>
      <c r="E2" s="31"/>
      <c r="F2" s="31"/>
      <c r="G2" s="31"/>
      <c r="H2" s="31"/>
      <c r="I2" s="31"/>
      <c r="J2" s="31"/>
      <c r="K2" s="31"/>
      <c r="L2" s="31"/>
      <c r="M2" s="31"/>
      <c r="N2" s="31"/>
      <c r="O2" s="31"/>
      <c r="AJ2" s="42"/>
      <c r="AK2" s="42"/>
      <c r="AL2" s="42"/>
      <c r="AM2" s="42"/>
      <c r="AN2" s="42"/>
    </row>
    <row r="3" spans="1:43" ht="15.75">
      <c r="B3" s="117"/>
      <c r="C3" s="31"/>
      <c r="D3" s="117"/>
      <c r="E3" s="117"/>
      <c r="F3" s="117"/>
      <c r="G3" s="123"/>
      <c r="H3" s="118"/>
      <c r="J3" s="118"/>
      <c r="K3" s="118"/>
      <c r="L3" s="118"/>
      <c r="M3" s="118"/>
      <c r="N3" s="118"/>
      <c r="O3" s="118"/>
      <c r="Q3" s="31"/>
      <c r="R3" s="31"/>
      <c r="S3" s="31"/>
      <c r="T3" s="31"/>
      <c r="U3" s="31"/>
      <c r="V3" s="31"/>
      <c r="W3" s="31"/>
      <c r="X3" s="31"/>
      <c r="Y3" s="31"/>
      <c r="Z3" s="31"/>
      <c r="AB3" s="31"/>
      <c r="AC3" s="31"/>
    </row>
    <row r="4" spans="1:43" ht="15.75" customHeight="1">
      <c r="C4" s="31"/>
      <c r="D4" s="5161">
        <v>2010</v>
      </c>
      <c r="E4" s="5161"/>
      <c r="F4" s="4733"/>
      <c r="G4" s="5161">
        <v>2011</v>
      </c>
      <c r="H4" s="5161"/>
      <c r="I4" s="4734"/>
      <c r="J4" s="5161">
        <v>2012</v>
      </c>
      <c r="K4" s="5161"/>
      <c r="L4" s="4734"/>
      <c r="M4" s="5161">
        <v>2013</v>
      </c>
      <c r="N4" s="5161"/>
      <c r="O4" s="4734"/>
      <c r="P4" s="5161">
        <v>2014</v>
      </c>
      <c r="Q4" s="5161"/>
      <c r="R4" s="4735"/>
      <c r="S4" s="5161">
        <v>2015</v>
      </c>
      <c r="T4" s="5161"/>
      <c r="U4" s="4736"/>
      <c r="V4" s="5161">
        <v>2016</v>
      </c>
      <c r="W4" s="5161"/>
      <c r="X4" s="4737"/>
      <c r="Y4" s="5161">
        <v>2017</v>
      </c>
      <c r="Z4" s="5161"/>
      <c r="AA4" s="4738"/>
      <c r="AB4" s="5161">
        <v>2018</v>
      </c>
      <c r="AC4" s="5161"/>
    </row>
    <row r="5" spans="1:43" ht="15" customHeight="1">
      <c r="B5" s="5166" t="s">
        <v>1134</v>
      </c>
      <c r="C5" s="31"/>
      <c r="D5" s="5162" t="s">
        <v>459</v>
      </c>
      <c r="E5" s="5162" t="s">
        <v>460</v>
      </c>
      <c r="F5" s="4733"/>
      <c r="G5" s="5162" t="s">
        <v>459</v>
      </c>
      <c r="H5" s="5162" t="s">
        <v>460</v>
      </c>
      <c r="I5" s="4734"/>
      <c r="J5" s="5162" t="s">
        <v>459</v>
      </c>
      <c r="K5" s="5162" t="s">
        <v>460</v>
      </c>
      <c r="L5" s="4734"/>
      <c r="M5" s="5162" t="s">
        <v>459</v>
      </c>
      <c r="N5" s="5162" t="s">
        <v>460</v>
      </c>
      <c r="O5" s="4734"/>
      <c r="P5" s="5162" t="s">
        <v>459</v>
      </c>
      <c r="Q5" s="5162" t="s">
        <v>460</v>
      </c>
      <c r="R5" s="4735"/>
      <c r="S5" s="5162" t="s">
        <v>459</v>
      </c>
      <c r="T5" s="5162" t="s">
        <v>460</v>
      </c>
      <c r="U5" s="4736"/>
      <c r="V5" s="5162" t="s">
        <v>459</v>
      </c>
      <c r="W5" s="5162" t="s">
        <v>460</v>
      </c>
      <c r="X5" s="4739"/>
      <c r="Y5" s="5164" t="s">
        <v>459</v>
      </c>
      <c r="Z5" s="5162" t="s">
        <v>460</v>
      </c>
      <c r="AA5" s="4738"/>
      <c r="AB5" s="5162" t="s">
        <v>459</v>
      </c>
      <c r="AC5" s="5162" t="s">
        <v>460</v>
      </c>
    </row>
    <row r="6" spans="1:43" s="47" customFormat="1" ht="15.75" customHeight="1" thickBot="1">
      <c r="A6"/>
      <c r="B6" s="5167"/>
      <c r="C6" s="31"/>
      <c r="D6" s="5163"/>
      <c r="E6" s="5163"/>
      <c r="F6" s="4733"/>
      <c r="G6" s="5163"/>
      <c r="H6" s="5163"/>
      <c r="I6" s="4734"/>
      <c r="J6" s="5163"/>
      <c r="K6" s="5163"/>
      <c r="L6" s="4734"/>
      <c r="M6" s="5163"/>
      <c r="N6" s="5163"/>
      <c r="O6" s="4734"/>
      <c r="P6" s="5163"/>
      <c r="Q6" s="5163"/>
      <c r="R6" s="4735"/>
      <c r="S6" s="5163"/>
      <c r="T6" s="5163"/>
      <c r="U6" s="4736"/>
      <c r="V6" s="5163"/>
      <c r="W6" s="5163"/>
      <c r="X6" s="4739"/>
      <c r="Y6" s="5165"/>
      <c r="Z6" s="5163"/>
      <c r="AA6" s="4738"/>
      <c r="AB6" s="5163"/>
      <c r="AC6" s="5163"/>
      <c r="AQ6"/>
    </row>
    <row r="7" spans="1:43" s="48" customFormat="1" ht="14.25" customHeight="1">
      <c r="A7"/>
      <c r="C7" s="31"/>
      <c r="F7" s="4733"/>
      <c r="I7" s="4734"/>
      <c r="L7" s="4734"/>
      <c r="O7" s="4734"/>
      <c r="R7" s="4735"/>
      <c r="U7" s="4736"/>
      <c r="X7" s="4739"/>
      <c r="AA7" s="4738"/>
      <c r="AQ7"/>
    </row>
    <row r="8" spans="1:43" s="48" customFormat="1" ht="15.75">
      <c r="A8"/>
      <c r="B8" s="4740" t="s">
        <v>4</v>
      </c>
      <c r="C8" s="31"/>
      <c r="D8" s="4744">
        <v>8519</v>
      </c>
      <c r="E8" s="4745">
        <v>2.0072778495128535E-2</v>
      </c>
      <c r="F8" s="4733"/>
      <c r="G8" s="4744">
        <v>8730</v>
      </c>
      <c r="H8" s="4745">
        <v>2.0389461626575029E-2</v>
      </c>
      <c r="I8" s="4734"/>
      <c r="J8" s="4744">
        <v>8645</v>
      </c>
      <c r="K8" s="4745">
        <v>1.8970503181029497E-2</v>
      </c>
      <c r="L8" s="4734"/>
      <c r="M8" s="4744">
        <v>8601</v>
      </c>
      <c r="N8" s="4745">
        <v>2.185792349726776E-2</v>
      </c>
      <c r="O8" s="4734"/>
      <c r="P8" s="4744">
        <v>8372</v>
      </c>
      <c r="Q8" s="4745">
        <v>2.7472527472527472E-2</v>
      </c>
      <c r="R8" s="4735"/>
      <c r="S8" s="4744">
        <v>8005</v>
      </c>
      <c r="T8" s="4745">
        <v>3.16052467207995E-2</v>
      </c>
      <c r="U8" s="4736"/>
      <c r="V8" s="4744">
        <v>7725</v>
      </c>
      <c r="W8" s="4745">
        <v>3.7281553398058255E-2</v>
      </c>
      <c r="X8" s="4739"/>
      <c r="Y8" s="4744">
        <f>SUM(AM47,AY50)</f>
        <v>7316</v>
      </c>
      <c r="Z8" s="4745">
        <f>AY50/Y8</f>
        <v>3.9092400218698739E-2</v>
      </c>
      <c r="AA8" s="4738"/>
      <c r="AB8" s="4744">
        <f>SUM(AN47,AZ50)</f>
        <v>7262</v>
      </c>
      <c r="AC8" s="4745">
        <f>AZ50/AB8</f>
        <v>3.9796199394106307E-2</v>
      </c>
    </row>
    <row r="9" spans="1:43" s="48" customFormat="1" ht="15.75">
      <c r="A9"/>
      <c r="B9" s="4741" t="s">
        <v>16</v>
      </c>
      <c r="C9" s="31"/>
      <c r="D9" s="4746">
        <v>5806</v>
      </c>
      <c r="E9" s="4747">
        <v>3.0485704443678954E-2</v>
      </c>
      <c r="F9" s="117"/>
      <c r="G9" s="4746">
        <v>5968</v>
      </c>
      <c r="H9" s="4747">
        <v>3.5690348525469172E-2</v>
      </c>
      <c r="I9"/>
      <c r="J9" s="4746">
        <v>6339</v>
      </c>
      <c r="K9" s="4747">
        <v>2.9815428300993846E-2</v>
      </c>
      <c r="L9" s="4734"/>
      <c r="M9" s="4746">
        <v>6601</v>
      </c>
      <c r="N9" s="4747">
        <v>3.6206635358279046E-2</v>
      </c>
      <c r="P9" s="4746">
        <v>6619</v>
      </c>
      <c r="Q9" s="4747">
        <v>3.6863574558090348E-2</v>
      </c>
      <c r="R9" s="327"/>
      <c r="S9" s="4746">
        <v>6812</v>
      </c>
      <c r="T9" s="4747">
        <v>3.5525543159130944E-2</v>
      </c>
      <c r="U9" s="31"/>
      <c r="V9" s="4746">
        <v>6934</v>
      </c>
      <c r="W9" s="4747">
        <v>3.4179405826362849E-2</v>
      </c>
      <c r="X9" s="4739"/>
      <c r="Y9" s="4746">
        <f>SUM(AM52,AY67)</f>
        <v>6941</v>
      </c>
      <c r="Z9" s="4747">
        <f>AY67/Y9</f>
        <v>4.3653652211496904E-2</v>
      </c>
      <c r="AA9" s="4738"/>
      <c r="AB9" s="4746">
        <f>SUM(AN52,AZ67)</f>
        <v>7173</v>
      </c>
      <c r="AC9" s="4747">
        <f>AZ67/AB9</f>
        <v>4.1126446396208001E-2</v>
      </c>
    </row>
    <row r="10" spans="1:43" s="48" customFormat="1" ht="15.75">
      <c r="A10"/>
      <c r="B10" s="4741" t="s">
        <v>21</v>
      </c>
      <c r="C10" s="31"/>
      <c r="D10" s="4746">
        <v>3309</v>
      </c>
      <c r="E10" s="4747">
        <v>7.5853732245391353E-2</v>
      </c>
      <c r="F10" s="117"/>
      <c r="G10" s="4746">
        <v>3268</v>
      </c>
      <c r="H10" s="4747">
        <v>5.6303549571603426E-2</v>
      </c>
      <c r="I10"/>
      <c r="J10" s="4746">
        <v>3461</v>
      </c>
      <c r="K10" s="4747">
        <v>6.8477318694019074E-2</v>
      </c>
      <c r="L10" s="118"/>
      <c r="M10" s="4746">
        <v>3543</v>
      </c>
      <c r="N10" s="4747">
        <v>5.0804403048264182E-2</v>
      </c>
      <c r="P10" s="4746">
        <v>3673</v>
      </c>
      <c r="Q10" s="4747">
        <v>6.0985570378437243E-2</v>
      </c>
      <c r="R10" s="327"/>
      <c r="S10" s="4746">
        <v>3698</v>
      </c>
      <c r="T10" s="4747">
        <v>5.7328285559762035E-2</v>
      </c>
      <c r="U10" s="31"/>
      <c r="V10" s="4746">
        <v>3705</v>
      </c>
      <c r="W10" s="4747">
        <v>5.4520917678812418E-2</v>
      </c>
      <c r="X10" s="31"/>
      <c r="Y10" s="4746">
        <f>SUM(AM56,AY85)</f>
        <v>3808</v>
      </c>
      <c r="Z10" s="4747">
        <f>AY85/Y10</f>
        <v>5.9611344537815129E-2</v>
      </c>
      <c r="AA10"/>
      <c r="AB10" s="4746">
        <f>SUM(AN56,AZ85)</f>
        <v>3830</v>
      </c>
      <c r="AC10" s="4747">
        <f>AZ85/AB10</f>
        <v>4.804177545691906E-2</v>
      </c>
    </row>
    <row r="11" spans="1:43" s="50" customFormat="1" ht="15.75">
      <c r="A11"/>
      <c r="B11" s="4742" t="s">
        <v>3</v>
      </c>
      <c r="C11" s="31"/>
      <c r="D11" s="4748">
        <f>SUM(D8:D10)</f>
        <v>17634</v>
      </c>
      <c r="E11" s="4749">
        <v>3.396847000113417E-2</v>
      </c>
      <c r="F11" s="117"/>
      <c r="G11" s="4748">
        <f>SUM(G8:G10)</f>
        <v>17966</v>
      </c>
      <c r="H11" s="4749">
        <v>3.2004898140932873E-2</v>
      </c>
      <c r="I11"/>
      <c r="J11" s="4748">
        <f>SUM(J8:J10)</f>
        <v>18445</v>
      </c>
      <c r="K11" s="4749">
        <v>3.1986988343724584E-2</v>
      </c>
      <c r="L11" s="118"/>
      <c r="M11" s="4748">
        <f>SUM(M8:M10)</f>
        <v>18745</v>
      </c>
      <c r="N11" s="4749">
        <v>3.2381968524939984E-2</v>
      </c>
      <c r="P11" s="4748">
        <f>SUM(P8:P10)</f>
        <v>18664</v>
      </c>
      <c r="Q11" s="4749">
        <v>3.7398199742820402E-2</v>
      </c>
      <c r="R11" s="327"/>
      <c r="S11" s="4748">
        <f>SUM(S8:S10)</f>
        <v>18515</v>
      </c>
      <c r="T11" s="4749">
        <v>3.8185255198487714E-2</v>
      </c>
      <c r="U11" s="31"/>
      <c r="V11" s="4748">
        <f>SUM(V8:V10)</f>
        <v>18364</v>
      </c>
      <c r="W11" s="4749">
        <v>3.9588324983663693E-2</v>
      </c>
      <c r="X11" s="31"/>
      <c r="Y11" s="4748">
        <f>SUM(Y8:Y10)</f>
        <v>18065</v>
      </c>
      <c r="Z11" s="4749">
        <f>AY86/Y11</f>
        <v>4.5170218654857458E-2</v>
      </c>
      <c r="AA11"/>
      <c r="AB11" s="4748">
        <f>SUM(AN57,AZ86)</f>
        <v>18265</v>
      </c>
      <c r="AC11" s="4749">
        <f>AZ86/AB11</f>
        <v>4.2047632083219273E-2</v>
      </c>
    </row>
    <row r="12" spans="1:43" s="48" customFormat="1" ht="15.75">
      <c r="A12"/>
      <c r="C12" s="31"/>
      <c r="D12" s="115"/>
      <c r="E12" s="116"/>
      <c r="F12" s="117"/>
      <c r="G12" s="115"/>
      <c r="H12" s="116"/>
      <c r="I12" s="118"/>
      <c r="J12" s="115"/>
      <c r="K12" s="116"/>
      <c r="L12" s="118"/>
      <c r="M12" s="115"/>
      <c r="N12" s="116"/>
      <c r="P12" s="115"/>
      <c r="Q12" s="116"/>
      <c r="R12" s="327"/>
      <c r="S12" s="115"/>
      <c r="T12" s="116"/>
      <c r="U12" s="31"/>
      <c r="V12" s="115"/>
      <c r="W12" s="116"/>
      <c r="X12" s="31"/>
      <c r="Y12" s="115"/>
      <c r="Z12" s="116"/>
      <c r="AA12"/>
      <c r="AB12" s="115"/>
      <c r="AC12" s="116"/>
    </row>
    <row r="13" spans="1:43" s="48" customFormat="1" ht="15.75">
      <c r="A13"/>
      <c r="B13" s="4740" t="s">
        <v>16</v>
      </c>
      <c r="C13" s="31"/>
      <c r="D13" s="4744">
        <v>420</v>
      </c>
      <c r="E13" s="4745">
        <v>0</v>
      </c>
      <c r="F13" s="117"/>
      <c r="G13" s="4744">
        <v>487</v>
      </c>
      <c r="H13" s="4745">
        <v>6.5708418891170434E-2</v>
      </c>
      <c r="I13"/>
      <c r="J13" s="4744">
        <v>499</v>
      </c>
      <c r="K13" s="4745">
        <v>0.10621242484969939</v>
      </c>
      <c r="L13" s="118"/>
      <c r="M13" s="4744">
        <v>533</v>
      </c>
      <c r="N13" s="4745">
        <v>0.13883677298311445</v>
      </c>
      <c r="P13" s="4744">
        <v>654</v>
      </c>
      <c r="Q13" s="4745">
        <v>0.11926605504587157</v>
      </c>
      <c r="R13" s="327"/>
      <c r="S13" s="4744">
        <v>794</v>
      </c>
      <c r="T13" s="4745">
        <v>0.11586901763224182</v>
      </c>
      <c r="U13" s="31"/>
      <c r="V13" s="4744">
        <v>944</v>
      </c>
      <c r="W13" s="4745">
        <v>0.11228813559322035</v>
      </c>
      <c r="X13" s="31"/>
      <c r="Y13" s="4744">
        <f>SUM(AM62,AY179)</f>
        <v>1060</v>
      </c>
      <c r="Z13" s="4745">
        <f>AY179/Y13</f>
        <v>9.6226415094339629E-2</v>
      </c>
      <c r="AA13"/>
      <c r="AB13" s="4744">
        <f>SUM(AN62,AZ179)</f>
        <v>1143</v>
      </c>
      <c r="AC13" s="4745">
        <f>AZ179/AB13</f>
        <v>8.0489938757655297E-2</v>
      </c>
    </row>
    <row r="14" spans="1:43" s="48" customFormat="1" ht="15.75">
      <c r="A14"/>
      <c r="B14" s="4741" t="s">
        <v>61</v>
      </c>
      <c r="C14" s="31"/>
      <c r="D14" s="4746">
        <v>462</v>
      </c>
      <c r="E14" s="4747">
        <v>0</v>
      </c>
      <c r="F14" s="117"/>
      <c r="G14" s="4746">
        <v>539</v>
      </c>
      <c r="H14" s="4747">
        <v>0</v>
      </c>
      <c r="I14"/>
      <c r="J14" s="4746">
        <v>615</v>
      </c>
      <c r="K14" s="4747">
        <v>1.9512195121951219E-2</v>
      </c>
      <c r="L14" s="118"/>
      <c r="M14" s="4746">
        <v>653</v>
      </c>
      <c r="N14" s="4747">
        <v>3.6753445635528334E-2</v>
      </c>
      <c r="P14" s="4746">
        <v>753</v>
      </c>
      <c r="Q14" s="4747">
        <v>5.5776892430278883E-2</v>
      </c>
      <c r="R14" s="327"/>
      <c r="S14" s="4746">
        <v>866</v>
      </c>
      <c r="T14" s="4747">
        <v>5.7736720554272515E-2</v>
      </c>
      <c r="U14" s="31"/>
      <c r="V14" s="4746">
        <v>994</v>
      </c>
      <c r="W14" s="4747">
        <v>6.1368209255533199E-2</v>
      </c>
      <c r="X14" s="31"/>
      <c r="Y14" s="4746">
        <f>SUM(AM66,AY181)</f>
        <v>1101</v>
      </c>
      <c r="Z14" s="4747">
        <f>AY181/Y14</f>
        <v>5.6312443233424159E-2</v>
      </c>
      <c r="AA14"/>
      <c r="AB14" s="4746">
        <f>SUM(AN66,AZ181)</f>
        <v>1171</v>
      </c>
      <c r="AC14" s="4747">
        <f>AZ181/AB14</f>
        <v>5.6362083689154567E-2</v>
      </c>
    </row>
    <row r="15" spans="1:43" s="48" customFormat="1" ht="15.75">
      <c r="A15"/>
      <c r="B15" s="4741" t="s">
        <v>64</v>
      </c>
      <c r="C15" s="31"/>
      <c r="D15" s="4746">
        <v>323</v>
      </c>
      <c r="E15" s="4747">
        <v>0</v>
      </c>
      <c r="F15" s="117"/>
      <c r="G15" s="4746">
        <v>394</v>
      </c>
      <c r="H15" s="4747">
        <v>0</v>
      </c>
      <c r="I15"/>
      <c r="J15" s="4746">
        <v>498</v>
      </c>
      <c r="K15" s="4747">
        <v>3.8152610441767071E-2</v>
      </c>
      <c r="L15" s="118"/>
      <c r="M15" s="4746">
        <v>606</v>
      </c>
      <c r="N15" s="4747">
        <v>6.6006600660066E-2</v>
      </c>
      <c r="P15" s="4746">
        <v>781</v>
      </c>
      <c r="Q15" s="4747">
        <v>7.5544174135723438E-2</v>
      </c>
      <c r="R15" s="327"/>
      <c r="S15" s="4746">
        <v>885</v>
      </c>
      <c r="T15" s="4747">
        <v>8.7005649717514122E-2</v>
      </c>
      <c r="U15" s="31"/>
      <c r="V15" s="4746">
        <v>1012</v>
      </c>
      <c r="W15" s="4747">
        <v>8.4980237154150193E-2</v>
      </c>
      <c r="X15" s="31"/>
      <c r="Y15" s="4746">
        <f>SUM(AM71,AY186)</f>
        <v>1097</v>
      </c>
      <c r="Z15" s="4747">
        <f>AY186/Y15</f>
        <v>8.0218778486782133E-2</v>
      </c>
      <c r="AA15"/>
      <c r="AB15" s="4746">
        <f>SUM(AN71,AZ186)</f>
        <v>1175</v>
      </c>
      <c r="AC15" s="4747">
        <f>AZ186/AB15</f>
        <v>7.3191489361702125E-2</v>
      </c>
    </row>
    <row r="16" spans="1:43" s="50" customFormat="1" ht="15.75">
      <c r="A16"/>
      <c r="B16" s="4742" t="s">
        <v>59</v>
      </c>
      <c r="C16" s="31"/>
      <c r="D16" s="4748">
        <f>SUM(D13:D15)</f>
        <v>1205</v>
      </c>
      <c r="E16" s="4749">
        <v>0</v>
      </c>
      <c r="F16" s="117"/>
      <c r="G16" s="4748">
        <f>SUM(G13:G15)</f>
        <v>1420</v>
      </c>
      <c r="H16" s="4749">
        <v>2.2535211267605635E-2</v>
      </c>
      <c r="I16"/>
      <c r="J16" s="4748">
        <f>SUM(J13:J15)</f>
        <v>1612</v>
      </c>
      <c r="K16" s="4749">
        <v>5.2109181141439205E-2</v>
      </c>
      <c r="L16" s="118"/>
      <c r="M16" s="4748">
        <f>SUM(M13:M15)</f>
        <v>1792</v>
      </c>
      <c r="N16" s="4749">
        <v>7.7008928571428575E-2</v>
      </c>
      <c r="P16" s="4748">
        <f>SUM(P13:P15)</f>
        <v>2188</v>
      </c>
      <c r="Q16" s="4749">
        <v>8.1809872029250455E-2</v>
      </c>
      <c r="R16" s="327"/>
      <c r="S16" s="4748">
        <f>SUM(S13:S15)</f>
        <v>2545</v>
      </c>
      <c r="T16" s="4749">
        <v>8.6051080550098233E-2</v>
      </c>
      <c r="U16" s="31"/>
      <c r="V16" s="4748">
        <f>SUM(V13:V15)</f>
        <v>2950</v>
      </c>
      <c r="W16" s="4749">
        <v>8.5762711864406774E-2</v>
      </c>
      <c r="X16" s="31"/>
      <c r="Y16" s="4748">
        <f>SUM(Y13:Y15)</f>
        <v>3258</v>
      </c>
      <c r="Z16" s="4749">
        <f>AY187/Y16</f>
        <v>7.7348066298342538E-2</v>
      </c>
      <c r="AA16"/>
      <c r="AB16" s="4748">
        <f>SUM(AN72,AZ187)</f>
        <v>3489</v>
      </c>
      <c r="AC16" s="4749">
        <f>AZ187/AB16</f>
        <v>6.9934078532530808E-2</v>
      </c>
    </row>
    <row r="17" spans="1:29" s="48" customFormat="1" ht="15.75">
      <c r="A17"/>
      <c r="C17" s="31"/>
      <c r="D17" s="115"/>
      <c r="E17" s="116"/>
      <c r="F17" s="117"/>
      <c r="G17" s="115"/>
      <c r="H17" s="116"/>
      <c r="I17"/>
      <c r="J17" s="115"/>
      <c r="K17" s="116"/>
      <c r="L17" s="118"/>
      <c r="M17" s="115"/>
      <c r="N17" s="116"/>
      <c r="P17" s="115"/>
      <c r="Q17" s="116"/>
      <c r="R17" s="327"/>
      <c r="S17" s="115"/>
      <c r="T17" s="116"/>
      <c r="U17" s="31"/>
      <c r="V17" s="115"/>
      <c r="W17" s="116"/>
      <c r="X17" s="31"/>
      <c r="Y17" s="115"/>
      <c r="Z17" s="116"/>
      <c r="AA17"/>
      <c r="AB17" s="115"/>
      <c r="AC17" s="116"/>
    </row>
    <row r="18" spans="1:29" s="48" customFormat="1" ht="15.75">
      <c r="A18"/>
      <c r="B18" s="4740" t="s">
        <v>4</v>
      </c>
      <c r="C18" s="31"/>
      <c r="D18" s="4744">
        <v>3834</v>
      </c>
      <c r="E18" s="4745">
        <v>0.11841418883672405</v>
      </c>
      <c r="F18" s="117"/>
      <c r="G18" s="4744">
        <v>4031</v>
      </c>
      <c r="H18" s="4745">
        <v>0.12329446787397669</v>
      </c>
      <c r="I18"/>
      <c r="J18" s="4744">
        <v>4250</v>
      </c>
      <c r="K18" s="4745">
        <v>0.12235294117647059</v>
      </c>
      <c r="L18" s="118"/>
      <c r="M18" s="4744">
        <v>4653</v>
      </c>
      <c r="N18" s="4745">
        <v>0.11949280034386417</v>
      </c>
      <c r="P18" s="4744">
        <v>4858</v>
      </c>
      <c r="Q18" s="4745">
        <v>0.11650885137916839</v>
      </c>
      <c r="R18" s="327"/>
      <c r="S18" s="4744">
        <v>4953</v>
      </c>
      <c r="T18" s="4745">
        <v>0.11467797294568947</v>
      </c>
      <c r="U18" s="31"/>
      <c r="V18" s="4744">
        <v>5074</v>
      </c>
      <c r="W18" s="4745">
        <v>0.11726448561292865</v>
      </c>
      <c r="X18" s="31"/>
      <c r="Y18" s="4744">
        <f>SUM(AM83,AY103)</f>
        <v>4932</v>
      </c>
      <c r="Z18" s="4745">
        <f>AY103/Y18</f>
        <v>0.11658556366585564</v>
      </c>
      <c r="AA18"/>
      <c r="AB18" s="4744">
        <f>SUM(AN83,AZ103)</f>
        <v>4905</v>
      </c>
      <c r="AC18" s="4745">
        <f>AZ103/AB18</f>
        <v>0.11580020387359836</v>
      </c>
    </row>
    <row r="19" spans="1:29" s="48" customFormat="1" ht="15.75">
      <c r="A19"/>
      <c r="B19" s="4741" t="s">
        <v>16</v>
      </c>
      <c r="C19" s="31"/>
      <c r="D19" s="4746">
        <v>7118</v>
      </c>
      <c r="E19" s="4747">
        <v>0.12166338859230121</v>
      </c>
      <c r="F19" s="117"/>
      <c r="G19" s="4746">
        <v>7153</v>
      </c>
      <c r="H19" s="4747">
        <v>0.11533622256395917</v>
      </c>
      <c r="I19"/>
      <c r="J19" s="4746">
        <v>7332</v>
      </c>
      <c r="K19" s="4747">
        <v>0.10488270594653573</v>
      </c>
      <c r="L19" s="118"/>
      <c r="M19" s="4746">
        <v>7294</v>
      </c>
      <c r="N19" s="4747">
        <v>8.8977241568412399E-2</v>
      </c>
      <c r="P19" s="4746">
        <v>7318</v>
      </c>
      <c r="Q19" s="4747">
        <v>9.7567641432085267E-2</v>
      </c>
      <c r="R19" s="327"/>
      <c r="S19" s="4746">
        <v>7237</v>
      </c>
      <c r="T19" s="4747">
        <v>8.8434434157800196E-2</v>
      </c>
      <c r="U19" s="31"/>
      <c r="V19" s="4746">
        <v>7330</v>
      </c>
      <c r="W19" s="4747">
        <v>9.1950886766712148E-2</v>
      </c>
      <c r="X19" s="31"/>
      <c r="Y19" s="4746">
        <f>SUM(AM95,AY121)</f>
        <v>7191</v>
      </c>
      <c r="Z19" s="4747">
        <f>AY121/Y19</f>
        <v>8.4967320261437912E-2</v>
      </c>
      <c r="AA19"/>
      <c r="AB19" s="4746">
        <f>SUM(AN95,AZ121)</f>
        <v>7281</v>
      </c>
      <c r="AC19" s="4747">
        <f>AZ121/AB19</f>
        <v>8.5565169619557749E-2</v>
      </c>
    </row>
    <row r="20" spans="1:29" s="48" customFormat="1" ht="15.75">
      <c r="A20"/>
      <c r="B20" s="4741" t="s">
        <v>41</v>
      </c>
      <c r="C20" s="31"/>
      <c r="D20" s="4746">
        <v>4217</v>
      </c>
      <c r="E20" s="4747">
        <v>0.10931942138961347</v>
      </c>
      <c r="F20" s="117"/>
      <c r="G20" s="4746">
        <v>4478</v>
      </c>
      <c r="H20" s="4747">
        <v>0.11143367574810183</v>
      </c>
      <c r="I20"/>
      <c r="J20" s="4746">
        <v>4791</v>
      </c>
      <c r="K20" s="4747">
        <v>0.11208515967438948</v>
      </c>
      <c r="L20" s="118"/>
      <c r="M20" s="4746">
        <v>5141</v>
      </c>
      <c r="N20" s="4747">
        <v>0.11048434156778837</v>
      </c>
      <c r="P20" s="4746">
        <v>5281</v>
      </c>
      <c r="Q20" s="4747">
        <v>0.11266805529255823</v>
      </c>
      <c r="R20" s="327"/>
      <c r="S20" s="4746">
        <v>5289</v>
      </c>
      <c r="T20" s="4747">
        <v>0.11230856494611458</v>
      </c>
      <c r="U20" s="31"/>
      <c r="V20" s="4746">
        <v>5207</v>
      </c>
      <c r="W20" s="4747">
        <v>0.10831572882657961</v>
      </c>
      <c r="X20" s="31"/>
      <c r="Y20" s="4746">
        <f>SUM(AM102,AY132)</f>
        <v>5080</v>
      </c>
      <c r="Z20" s="4747">
        <f>AY132/Y20</f>
        <v>0.10452755905511811</v>
      </c>
      <c r="AA20"/>
      <c r="AB20" s="4746">
        <f>SUM(AN102,AZ132)</f>
        <v>4825</v>
      </c>
      <c r="AC20" s="4747">
        <f>AZ132/AB20</f>
        <v>0.10756476683937824</v>
      </c>
    </row>
    <row r="21" spans="1:29" s="50" customFormat="1" ht="15" customHeight="1">
      <c r="A21"/>
      <c r="B21" s="4742" t="s">
        <v>25</v>
      </c>
      <c r="C21" s="31"/>
      <c r="D21" s="4748">
        <f>SUM(D18:D20)</f>
        <v>15169</v>
      </c>
      <c r="E21" s="4749">
        <v>0.11741050827345244</v>
      </c>
      <c r="F21" s="117"/>
      <c r="G21" s="4748">
        <f>SUM(G18:G20)</f>
        <v>15662</v>
      </c>
      <c r="H21" s="4749">
        <v>0.116268675775763</v>
      </c>
      <c r="I21"/>
      <c r="J21" s="4748">
        <f>SUM(J18:J20)</f>
        <v>16373</v>
      </c>
      <c r="K21" s="4749">
        <v>0.11152507176449032</v>
      </c>
      <c r="L21" s="118"/>
      <c r="M21" s="4748">
        <f>SUM(M18:M20)</f>
        <v>17088</v>
      </c>
      <c r="N21" s="4749">
        <v>0.10375702247191011</v>
      </c>
      <c r="P21" s="4748">
        <f>SUM(P18:P20)</f>
        <v>17457</v>
      </c>
      <c r="Q21" s="4749">
        <v>0.10740677092283897</v>
      </c>
      <c r="R21" s="327"/>
      <c r="S21" s="4748">
        <f>SUM(S18:S20)</f>
        <v>17479</v>
      </c>
      <c r="T21" s="4749">
        <v>0.10309514274271983</v>
      </c>
      <c r="U21" s="31"/>
      <c r="V21" s="4748">
        <f>SUM(V18:V20)</f>
        <v>17611</v>
      </c>
      <c r="W21" s="4749">
        <v>0.10408267560047697</v>
      </c>
      <c r="X21" s="31"/>
      <c r="Y21" s="4748">
        <f>SUM(Y18:Y20)</f>
        <v>17203</v>
      </c>
      <c r="Z21" s="4749">
        <f>AY133/Y21</f>
        <v>9.9808172993082603E-2</v>
      </c>
      <c r="AA21"/>
      <c r="AB21" s="4748">
        <f>SUM(AN103,AZ133)</f>
        <v>17011</v>
      </c>
      <c r="AC21" s="4749">
        <f>AZ133/AB21</f>
        <v>0.10052319087649168</v>
      </c>
    </row>
    <row r="22" spans="1:29" s="48" customFormat="1" ht="15.75">
      <c r="A22"/>
      <c r="B22"/>
      <c r="C22" s="31"/>
      <c r="D22"/>
      <c r="E22"/>
      <c r="F22"/>
      <c r="G22" s="4731"/>
      <c r="H22" s="4731"/>
      <c r="I22"/>
      <c r="J22" s="4731"/>
      <c r="K22" s="4731"/>
      <c r="L22" s="118"/>
      <c r="M22" s="4731"/>
      <c r="N22" s="4731"/>
      <c r="P22" s="4731"/>
      <c r="Q22" s="4731"/>
      <c r="R22" s="327"/>
      <c r="S22" s="4731"/>
      <c r="T22" s="4731"/>
      <c r="U22" s="31"/>
      <c r="V22" s="4731"/>
      <c r="W22" s="4731"/>
      <c r="X22" s="31"/>
      <c r="Y22" s="4731"/>
      <c r="Z22" s="4731"/>
      <c r="AA22"/>
      <c r="AB22" s="4731"/>
      <c r="AC22" s="4731"/>
    </row>
    <row r="23" spans="1:29" s="48" customFormat="1" ht="15.75">
      <c r="A23"/>
      <c r="B23" s="4740" t="s">
        <v>4</v>
      </c>
      <c r="C23" s="31"/>
      <c r="D23" s="4744"/>
      <c r="E23" s="4745"/>
      <c r="F23" s="117"/>
      <c r="G23" s="4744">
        <v>60</v>
      </c>
      <c r="H23" s="4745"/>
      <c r="I23"/>
      <c r="J23" s="4744">
        <v>79</v>
      </c>
      <c r="K23" s="4745"/>
      <c r="L23" s="118"/>
      <c r="M23" s="4744">
        <v>123</v>
      </c>
      <c r="N23" s="4745"/>
      <c r="P23" s="4744">
        <v>139</v>
      </c>
      <c r="Q23" s="4745"/>
      <c r="R23" s="327"/>
      <c r="S23" s="4744">
        <v>173</v>
      </c>
      <c r="T23" s="4745"/>
      <c r="U23" s="31"/>
      <c r="V23" s="4744">
        <v>180</v>
      </c>
      <c r="W23" s="4745"/>
      <c r="X23" s="31"/>
      <c r="Y23" s="4744">
        <f>+AM107</f>
        <v>268</v>
      </c>
      <c r="Z23" s="4745"/>
      <c r="AA23"/>
      <c r="AB23" s="4744">
        <f>SUM(AN107)</f>
        <v>334</v>
      </c>
      <c r="AC23" s="4745"/>
    </row>
    <row r="24" spans="1:29" s="48" customFormat="1" ht="15.75">
      <c r="A24"/>
      <c r="B24" s="4741" t="s">
        <v>16</v>
      </c>
      <c r="C24" s="31"/>
      <c r="D24" s="4746"/>
      <c r="E24" s="4747"/>
      <c r="F24" s="117"/>
      <c r="G24" s="4746">
        <v>58</v>
      </c>
      <c r="H24" s="4747"/>
      <c r="I24"/>
      <c r="J24" s="4746">
        <v>80</v>
      </c>
      <c r="K24" s="4747"/>
      <c r="L24" s="118"/>
      <c r="M24" s="4746">
        <v>138</v>
      </c>
      <c r="N24" s="4747"/>
      <c r="P24" s="4746">
        <v>172</v>
      </c>
      <c r="Q24" s="4747"/>
      <c r="R24" s="327"/>
      <c r="S24" s="4746">
        <v>213</v>
      </c>
      <c r="T24" s="4747"/>
      <c r="U24" s="31"/>
      <c r="V24" s="4746">
        <v>247</v>
      </c>
      <c r="W24" s="4747"/>
      <c r="X24" s="31"/>
      <c r="Y24" s="4746">
        <f>+AM111</f>
        <v>301</v>
      </c>
      <c r="Z24" s="4747"/>
      <c r="AA24"/>
      <c r="AB24" s="4746">
        <f>SUM(AN111)</f>
        <v>371</v>
      </c>
      <c r="AC24" s="4747"/>
    </row>
    <row r="25" spans="1:29" s="48" customFormat="1" ht="15" customHeight="1">
      <c r="A25"/>
      <c r="B25" s="4741" t="s">
        <v>41</v>
      </c>
      <c r="C25" s="31"/>
      <c r="D25" s="4746"/>
      <c r="E25" s="4747"/>
      <c r="F25" s="117"/>
      <c r="G25" s="4746">
        <v>55</v>
      </c>
      <c r="H25" s="4747"/>
      <c r="I25"/>
      <c r="J25" s="4746">
        <v>69</v>
      </c>
      <c r="K25" s="4747"/>
      <c r="L25" s="118"/>
      <c r="M25" s="4746">
        <v>116</v>
      </c>
      <c r="N25" s="4747"/>
      <c r="P25" s="4746">
        <v>147</v>
      </c>
      <c r="Q25" s="4747"/>
      <c r="R25" s="327"/>
      <c r="S25" s="4746">
        <v>208</v>
      </c>
      <c r="T25" s="4747"/>
      <c r="U25" s="31"/>
      <c r="V25" s="4746">
        <v>247</v>
      </c>
      <c r="W25" s="4747"/>
      <c r="X25" s="31"/>
      <c r="Y25" s="4746">
        <f>+AM115</f>
        <v>299</v>
      </c>
      <c r="Z25" s="4747"/>
      <c r="AA25"/>
      <c r="AB25" s="4746">
        <f>SUM(AN115,AZ189)</f>
        <v>341</v>
      </c>
      <c r="AC25" s="4747">
        <f>AZ189/AB25</f>
        <v>2.9325513196480938E-3</v>
      </c>
    </row>
    <row r="26" spans="1:29" s="50" customFormat="1" ht="15.75">
      <c r="A26"/>
      <c r="B26" s="4742" t="s">
        <v>249</v>
      </c>
      <c r="C26" s="31"/>
      <c r="D26" s="4748"/>
      <c r="E26" s="4749"/>
      <c r="F26" s="117"/>
      <c r="G26" s="4748">
        <f>SUM(G23:G25)</f>
        <v>173</v>
      </c>
      <c r="H26" s="4749"/>
      <c r="I26"/>
      <c r="J26" s="4748">
        <f>SUM(J23:J25)</f>
        <v>228</v>
      </c>
      <c r="K26" s="4749"/>
      <c r="L26" s="118"/>
      <c r="M26" s="4748">
        <f>SUM(M23:M25)</f>
        <v>377</v>
      </c>
      <c r="N26" s="4749"/>
      <c r="P26" s="4748">
        <f>SUM(P23:P25)</f>
        <v>458</v>
      </c>
      <c r="Q26" s="4749"/>
      <c r="R26" s="327"/>
      <c r="S26" s="4748">
        <f>SUM(S23:S25)</f>
        <v>594</v>
      </c>
      <c r="T26" s="4749"/>
      <c r="U26" s="31"/>
      <c r="V26" s="4748">
        <f>SUM(V23:V25)</f>
        <v>674</v>
      </c>
      <c r="W26" s="4749"/>
      <c r="X26" s="31"/>
      <c r="Y26" s="4748">
        <f>SUM(Y23:Y25)</f>
        <v>868</v>
      </c>
      <c r="Z26" s="4749"/>
      <c r="AA26"/>
      <c r="AB26" s="4748">
        <f>SUM(AN116,AZ190)</f>
        <v>1046</v>
      </c>
      <c r="AC26" s="4749">
        <f>AZ190/AB26</f>
        <v>9.5602294455066918E-4</v>
      </c>
    </row>
    <row r="27" spans="1:29" s="48" customFormat="1" ht="15.75">
      <c r="A27"/>
      <c r="C27" s="31"/>
      <c r="D27" s="115"/>
      <c r="E27" s="116"/>
      <c r="F27" s="117"/>
      <c r="G27" s="115"/>
      <c r="H27" s="116"/>
      <c r="I27"/>
      <c r="J27" s="115"/>
      <c r="K27" s="116"/>
      <c r="L27" s="118"/>
      <c r="M27" s="115"/>
      <c r="N27" s="116"/>
      <c r="P27" s="115"/>
      <c r="Q27" s="116"/>
      <c r="R27" s="327"/>
      <c r="S27" s="115"/>
      <c r="T27" s="116"/>
      <c r="U27" s="31"/>
      <c r="V27" s="115"/>
      <c r="W27" s="116"/>
      <c r="X27" s="31"/>
      <c r="Y27" s="115"/>
      <c r="Z27" s="116"/>
      <c r="AA27"/>
      <c r="AB27" s="115"/>
      <c r="AC27" s="116"/>
    </row>
    <row r="28" spans="1:29" s="48" customFormat="1" ht="15.75">
      <c r="A28"/>
      <c r="B28" s="4740" t="s">
        <v>16</v>
      </c>
      <c r="C28" s="31"/>
      <c r="D28" s="4744">
        <v>6625</v>
      </c>
      <c r="E28" s="4745">
        <v>7.3509433962264156E-2</v>
      </c>
      <c r="F28" s="117"/>
      <c r="G28" s="4744">
        <v>6485</v>
      </c>
      <c r="H28" s="4745">
        <v>6.6152659984579795E-2</v>
      </c>
      <c r="I28"/>
      <c r="J28" s="4744">
        <v>6593</v>
      </c>
      <c r="K28" s="4745">
        <v>7.083270134991658E-2</v>
      </c>
      <c r="L28" s="118"/>
      <c r="M28" s="4744">
        <v>6662</v>
      </c>
      <c r="N28" s="4745">
        <v>6.3794656259381563E-2</v>
      </c>
      <c r="P28" s="4744">
        <v>6602</v>
      </c>
      <c r="Q28" s="4745">
        <v>6.8767040290820966E-2</v>
      </c>
      <c r="R28" s="327"/>
      <c r="S28" s="4744">
        <v>6598</v>
      </c>
      <c r="T28" s="4745">
        <v>6.1382237041527739E-2</v>
      </c>
      <c r="U28" s="31"/>
      <c r="V28" s="4744">
        <v>6700</v>
      </c>
      <c r="W28" s="4745">
        <v>6.9850746268656713E-2</v>
      </c>
      <c r="X28" s="31"/>
      <c r="Y28" s="4744">
        <f>SUM(AM123,AY154)</f>
        <v>6734</v>
      </c>
      <c r="Z28" s="4745">
        <f>AY154/Y28</f>
        <v>6.7419067419067419E-2</v>
      </c>
      <c r="AA28"/>
      <c r="AB28" s="4744">
        <f>SUM(AN123,AZ154)</f>
        <v>6983</v>
      </c>
      <c r="AC28" s="4745">
        <f>AZ154/AB28</f>
        <v>8.4490906487183159E-2</v>
      </c>
    </row>
    <row r="29" spans="1:29" s="48" customFormat="1" ht="15.75">
      <c r="A29"/>
      <c r="B29" s="4741" t="s">
        <v>41</v>
      </c>
      <c r="C29" s="31"/>
      <c r="D29" s="4746">
        <v>7952</v>
      </c>
      <c r="E29" s="4747">
        <v>3.8983903420523137E-2</v>
      </c>
      <c r="F29" s="117"/>
      <c r="G29" s="4746">
        <v>7901</v>
      </c>
      <c r="H29" s="4747">
        <v>4.2146563726110621E-2</v>
      </c>
      <c r="I29"/>
      <c r="J29" s="4746">
        <v>7833</v>
      </c>
      <c r="K29" s="4747">
        <v>4.1363462274990423E-2</v>
      </c>
      <c r="L29" s="118"/>
      <c r="M29" s="4746">
        <v>7938</v>
      </c>
      <c r="N29" s="4747">
        <v>4.6989166036785088E-2</v>
      </c>
      <c r="P29" s="4746">
        <v>7914</v>
      </c>
      <c r="Q29" s="4747">
        <v>4.2835481425322217E-2</v>
      </c>
      <c r="R29" s="327"/>
      <c r="S29" s="4746">
        <v>8022</v>
      </c>
      <c r="T29" s="4747">
        <v>4.8117676389927699E-2</v>
      </c>
      <c r="U29" s="31"/>
      <c r="V29" s="4746">
        <v>8088</v>
      </c>
      <c r="W29" s="4747">
        <v>4.9332344213649855E-2</v>
      </c>
      <c r="X29" s="31"/>
      <c r="Y29" s="4746">
        <f>SUM(AM132,AY170)</f>
        <v>8318</v>
      </c>
      <c r="Z29" s="4747">
        <f>AY170/Y29</f>
        <v>4.8809810050492904E-2</v>
      </c>
      <c r="AA29"/>
      <c r="AB29" s="4746">
        <f>SUM(AN132,AZ170)</f>
        <v>8461</v>
      </c>
      <c r="AC29" s="4747">
        <f>AZ170/AB29</f>
        <v>4.7630303746602057E-2</v>
      </c>
    </row>
    <row r="30" spans="1:29" s="48" customFormat="1" ht="15.75">
      <c r="A30"/>
      <c r="B30" s="4741" t="s">
        <v>21</v>
      </c>
      <c r="C30" s="31"/>
      <c r="D30" s="4746">
        <v>3337</v>
      </c>
      <c r="E30" s="4747">
        <v>4.4650884027569671E-2</v>
      </c>
      <c r="F30" s="117"/>
      <c r="G30" s="4746">
        <v>3281</v>
      </c>
      <c r="H30" s="4747">
        <v>5.790917403230722E-2</v>
      </c>
      <c r="I30"/>
      <c r="J30" s="4746">
        <v>3280</v>
      </c>
      <c r="K30" s="4747">
        <v>4.4207317073170729E-2</v>
      </c>
      <c r="L30" s="118"/>
      <c r="M30" s="4746">
        <v>3365</v>
      </c>
      <c r="N30" s="4747">
        <v>5.7057949479940563E-2</v>
      </c>
      <c r="P30" s="4746">
        <v>3323</v>
      </c>
      <c r="Q30" s="4747">
        <v>4.9052061390309959E-2</v>
      </c>
      <c r="R30" s="327"/>
      <c r="S30" s="4746">
        <v>3339</v>
      </c>
      <c r="T30" s="4747">
        <v>5.9598682240191672E-2</v>
      </c>
      <c r="U30" s="31"/>
      <c r="V30" s="4746">
        <v>3355</v>
      </c>
      <c r="W30" s="4747">
        <v>4.8286140089418776E-2</v>
      </c>
      <c r="X30" s="31"/>
      <c r="Y30" s="4746">
        <f>SUM(AM137,AY175)</f>
        <v>3381</v>
      </c>
      <c r="Z30" s="4747">
        <f>AY175/Y30</f>
        <v>5.7083703046435966E-2</v>
      </c>
      <c r="AA30"/>
      <c r="AB30" s="4746">
        <f>SUM(AN137,AZ175)</f>
        <v>3368</v>
      </c>
      <c r="AC30" s="4747">
        <f>AZ175/AB30</f>
        <v>4.5130641330166268E-2</v>
      </c>
    </row>
    <row r="31" spans="1:29" s="48" customFormat="1" ht="15.75">
      <c r="A31"/>
      <c r="B31" s="4742" t="s">
        <v>48</v>
      </c>
      <c r="C31" s="31"/>
      <c r="D31" s="4748">
        <f>SUM(D28:D30)</f>
        <v>17914</v>
      </c>
      <c r="E31" s="4749">
        <v>5.2807859774478064E-2</v>
      </c>
      <c r="F31" s="117"/>
      <c r="G31" s="4748">
        <f>SUM(G28:G30)</f>
        <v>17667</v>
      </c>
      <c r="H31" s="4749">
        <v>5.3885775740080376E-2</v>
      </c>
      <c r="I31"/>
      <c r="J31" s="4748">
        <f>SUM(J28:J30)</f>
        <v>17706</v>
      </c>
      <c r="K31" s="4749">
        <v>5.2863436123348019E-2</v>
      </c>
      <c r="L31" s="118"/>
      <c r="M31" s="4748">
        <f>SUM(M28:M30)</f>
        <v>17965</v>
      </c>
      <c r="N31" s="4749">
        <v>5.5107152797105485E-2</v>
      </c>
      <c r="P31" s="4748">
        <f>SUM(P28:P30)</f>
        <v>17839</v>
      </c>
      <c r="Q31" s="4749">
        <v>5.3590447895061386E-2</v>
      </c>
      <c r="R31" s="327"/>
      <c r="S31" s="4748">
        <f>SUM(S28:S30)</f>
        <v>17959</v>
      </c>
      <c r="T31" s="4749">
        <v>5.5125563784175068E-2</v>
      </c>
      <c r="U31" s="31"/>
      <c r="V31" s="4748">
        <f>SUM(V28:V30)</f>
        <v>18143</v>
      </c>
      <c r="W31" s="4749">
        <v>5.6716088849694098E-2</v>
      </c>
      <c r="X31" s="31"/>
      <c r="Y31" s="4748">
        <f>SUM(Y28:Y30)</f>
        <v>18433</v>
      </c>
      <c r="Z31" s="4749">
        <f>AY176/Y31</f>
        <v>5.7125806976618024E-2</v>
      </c>
      <c r="AA31"/>
      <c r="AB31" s="4748">
        <f>SUM(AN138,AZ176)</f>
        <v>18812</v>
      </c>
      <c r="AC31" s="4749">
        <f>AZ176/AB31</f>
        <v>6.086540506059962E-2</v>
      </c>
    </row>
    <row r="32" spans="1:29" s="48" customFormat="1" ht="15.75">
      <c r="A32"/>
      <c r="C32" s="31"/>
      <c r="D32" s="115"/>
      <c r="E32" s="116"/>
      <c r="F32" s="117"/>
      <c r="G32" s="115"/>
      <c r="H32" s="116"/>
      <c r="I32"/>
      <c r="J32" s="115"/>
      <c r="K32" s="116"/>
      <c r="L32" s="118"/>
      <c r="M32" s="115"/>
      <c r="N32" s="116"/>
      <c r="P32" s="115"/>
      <c r="Q32" s="116"/>
      <c r="R32" s="327"/>
      <c r="S32" s="115"/>
      <c r="T32" s="116"/>
      <c r="U32" s="31"/>
      <c r="V32" s="115"/>
      <c r="W32" s="116"/>
      <c r="X32" s="31"/>
      <c r="Y32" s="115"/>
      <c r="Z32" s="116"/>
      <c r="AA32"/>
      <c r="AB32" s="115"/>
      <c r="AC32" s="116"/>
    </row>
    <row r="33" spans="1:52" s="48" customFormat="1" ht="15.75">
      <c r="A33"/>
      <c r="B33" s="4743" t="s">
        <v>67</v>
      </c>
      <c r="C33" s="31"/>
      <c r="D33" s="4750">
        <f>SUM(D11,D16,D21,D31)</f>
        <v>51922</v>
      </c>
      <c r="E33" s="4751">
        <v>6.4057624898886792E-2</v>
      </c>
      <c r="F33" s="117"/>
      <c r="G33" s="4750">
        <v>52888</v>
      </c>
      <c r="H33" s="4751">
        <v>6.3908637119951595E-2</v>
      </c>
      <c r="I33"/>
      <c r="J33" s="4750">
        <f>SUM(J11,J16,J21,J26,J31)</f>
        <v>54364</v>
      </c>
      <c r="K33" s="4751">
        <v>6.3203590611434032E-2</v>
      </c>
      <c r="L33" s="118"/>
      <c r="M33" s="4750">
        <f>SUM(M11,M16,M21,M26,M31)</f>
        <v>55967</v>
      </c>
      <c r="N33" s="4751">
        <v>6.2679793449711432E-2</v>
      </c>
      <c r="P33" s="4750">
        <f>SUM(P11,P16,P21,P26,P31)</f>
        <v>56606</v>
      </c>
      <c r="Q33" s="4751">
        <v>6.5505423453344175E-2</v>
      </c>
      <c r="R33" s="327"/>
      <c r="S33" s="4750">
        <f>SUM(S11,S16,S21,S26,S31)</f>
        <v>57092</v>
      </c>
      <c r="T33" s="4751">
        <v>6.5122959433896163E-2</v>
      </c>
      <c r="U33" s="31"/>
      <c r="V33" s="4750">
        <f>SUM(V11,V16,V21,V26,V31)</f>
        <v>57742</v>
      </c>
      <c r="W33" s="4751">
        <v>6.6537355824183436E-2</v>
      </c>
      <c r="X33" s="31"/>
      <c r="Y33" s="4750">
        <f>SUM(Y11,Y16,Y21,Y26,Y31)</f>
        <v>57827</v>
      </c>
      <c r="Z33" s="4751">
        <f>AY192/Y33</f>
        <v>6.6370380618050395E-2</v>
      </c>
      <c r="AA33"/>
      <c r="AB33" s="4750">
        <f>SUM(AN140,AZ192)</f>
        <v>58623</v>
      </c>
      <c r="AC33" s="4751">
        <f>AZ192/AB33</f>
        <v>6.5980928986916404E-2</v>
      </c>
    </row>
    <row r="34" spans="1:52" s="50" customFormat="1" ht="15.75" customHeight="1">
      <c r="A34"/>
      <c r="B34"/>
      <c r="C34" s="31"/>
      <c r="D34" s="2"/>
      <c r="E34"/>
      <c r="F34" s="117"/>
      <c r="G34"/>
      <c r="H34" s="114"/>
      <c r="I34"/>
      <c r="J34" s="114"/>
      <c r="K34" s="114"/>
      <c r="L34" s="118"/>
      <c r="M34" s="114"/>
      <c r="N34" s="114"/>
      <c r="R34" s="327"/>
      <c r="U34" s="31"/>
      <c r="X34" s="31"/>
      <c r="AA34"/>
    </row>
    <row r="35" spans="1:52" s="51" customFormat="1" ht="15.75">
      <c r="A35"/>
      <c r="B35"/>
      <c r="C35" s="31"/>
      <c r="AA35"/>
    </row>
    <row r="36" spans="1:52" s="51" customFormat="1" ht="15.75">
      <c r="A36"/>
      <c r="B36"/>
      <c r="C36"/>
      <c r="D36"/>
      <c r="E36"/>
      <c r="F36"/>
      <c r="G36"/>
      <c r="H36"/>
      <c r="I36"/>
      <c r="J36"/>
      <c r="K36"/>
      <c r="L36"/>
      <c r="M36"/>
      <c r="N36"/>
      <c r="U36" s="31"/>
      <c r="AE36" s="3444" t="s">
        <v>2755</v>
      </c>
      <c r="AF36" s="257">
        <v>2010</v>
      </c>
      <c r="AG36" s="257">
        <v>2011</v>
      </c>
      <c r="AH36" s="257">
        <v>2012</v>
      </c>
      <c r="AI36" s="257">
        <v>2013</v>
      </c>
      <c r="AJ36" s="257">
        <v>2014</v>
      </c>
      <c r="AK36" s="257">
        <v>2015</v>
      </c>
      <c r="AL36" s="257">
        <v>2016</v>
      </c>
      <c r="AM36" s="257">
        <v>2017</v>
      </c>
      <c r="AN36" s="257">
        <v>2018</v>
      </c>
      <c r="AP36" s="3444" t="s">
        <v>476</v>
      </c>
      <c r="AQ36" s="3444" t="s">
        <v>2755</v>
      </c>
      <c r="AR36" s="2911">
        <v>2010</v>
      </c>
      <c r="AS36" s="2911">
        <v>2011</v>
      </c>
      <c r="AT36" s="2911">
        <v>2012</v>
      </c>
      <c r="AU36" s="2911">
        <v>2013</v>
      </c>
      <c r="AV36" s="2911">
        <v>2014</v>
      </c>
      <c r="AW36" s="2911">
        <v>2015</v>
      </c>
      <c r="AX36" s="2911">
        <v>2016</v>
      </c>
      <c r="AY36" s="2911">
        <v>2017</v>
      </c>
      <c r="AZ36" s="2911">
        <v>2018</v>
      </c>
    </row>
    <row r="37" spans="1:52" ht="15" customHeight="1">
      <c r="C37" s="31"/>
      <c r="J37" s="40"/>
      <c r="U37" s="31"/>
      <c r="AE37" s="253" t="s">
        <v>554</v>
      </c>
      <c r="AF37" s="258">
        <v>774</v>
      </c>
      <c r="AG37" s="258">
        <v>827</v>
      </c>
      <c r="AH37" s="258">
        <v>848</v>
      </c>
      <c r="AI37" s="258">
        <v>847</v>
      </c>
      <c r="AJ37" s="258">
        <v>821</v>
      </c>
      <c r="AK37" s="258">
        <v>820</v>
      </c>
      <c r="AL37" s="258">
        <v>774</v>
      </c>
      <c r="AM37" s="258">
        <v>739</v>
      </c>
      <c r="AN37" s="258">
        <v>691</v>
      </c>
      <c r="AP37" s="3450" t="s">
        <v>747</v>
      </c>
      <c r="AQ37" s="262" t="s">
        <v>2359</v>
      </c>
      <c r="AR37" s="271"/>
      <c r="AS37" s="271"/>
      <c r="AT37" s="271"/>
      <c r="AU37" s="271"/>
      <c r="AV37" s="271"/>
      <c r="AW37" s="271"/>
      <c r="AX37" s="271"/>
      <c r="AY37" s="271"/>
      <c r="AZ37" s="271"/>
    </row>
    <row r="38" spans="1:52" ht="15" customHeight="1">
      <c r="C38" s="31"/>
      <c r="AE38" s="254" t="s">
        <v>555</v>
      </c>
      <c r="AF38" s="259">
        <v>861</v>
      </c>
      <c r="AG38" s="259">
        <v>907</v>
      </c>
      <c r="AH38" s="259">
        <v>892</v>
      </c>
      <c r="AI38" s="259">
        <v>920</v>
      </c>
      <c r="AJ38" s="259">
        <v>901</v>
      </c>
      <c r="AK38" s="259">
        <v>884</v>
      </c>
      <c r="AL38" s="259">
        <v>858</v>
      </c>
      <c r="AM38" s="259">
        <v>800</v>
      </c>
      <c r="AN38" s="259">
        <v>774</v>
      </c>
      <c r="AP38" s="5155" t="s">
        <v>748</v>
      </c>
      <c r="AQ38" s="263" t="s">
        <v>2360</v>
      </c>
      <c r="AR38" s="272">
        <v>74</v>
      </c>
      <c r="AS38" s="272">
        <v>74</v>
      </c>
      <c r="AT38" s="272">
        <v>65</v>
      </c>
      <c r="AU38" s="272">
        <v>72</v>
      </c>
      <c r="AV38" s="272">
        <v>96</v>
      </c>
      <c r="AW38" s="272">
        <v>98</v>
      </c>
      <c r="AX38" s="272">
        <v>110</v>
      </c>
      <c r="AY38" s="272">
        <v>19</v>
      </c>
      <c r="AZ38" s="272"/>
    </row>
    <row r="39" spans="1:52" ht="15.75">
      <c r="C39" s="31"/>
      <c r="AE39" s="254" t="s">
        <v>822</v>
      </c>
      <c r="AF39" s="259">
        <v>404</v>
      </c>
      <c r="AG39" s="259">
        <v>482</v>
      </c>
      <c r="AH39" s="259">
        <v>521</v>
      </c>
      <c r="AI39" s="259">
        <v>567</v>
      </c>
      <c r="AJ39" s="259">
        <v>565</v>
      </c>
      <c r="AK39" s="259">
        <v>558</v>
      </c>
      <c r="AL39" s="259">
        <v>519</v>
      </c>
      <c r="AM39" s="259">
        <v>515</v>
      </c>
      <c r="AN39" s="259">
        <v>484</v>
      </c>
      <c r="AP39" s="5156"/>
      <c r="AQ39" s="264" t="s">
        <v>279</v>
      </c>
      <c r="AR39" s="272">
        <v>27</v>
      </c>
      <c r="AS39" s="272">
        <v>38</v>
      </c>
      <c r="AT39" s="272">
        <v>39</v>
      </c>
      <c r="AU39" s="272">
        <v>43</v>
      </c>
      <c r="AV39" s="272">
        <v>47</v>
      </c>
      <c r="AW39" s="272">
        <v>49</v>
      </c>
      <c r="AX39" s="272">
        <v>54</v>
      </c>
      <c r="AY39" s="272">
        <v>58</v>
      </c>
      <c r="AZ39" s="272">
        <v>58</v>
      </c>
    </row>
    <row r="40" spans="1:52" ht="15.75">
      <c r="C40" s="31"/>
      <c r="AE40" s="254" t="s">
        <v>557</v>
      </c>
      <c r="AF40" s="259">
        <v>369</v>
      </c>
      <c r="AG40" s="259">
        <v>441</v>
      </c>
      <c r="AH40" s="259">
        <v>479</v>
      </c>
      <c r="AI40" s="259">
        <v>507</v>
      </c>
      <c r="AJ40" s="259">
        <v>545</v>
      </c>
      <c r="AK40" s="259">
        <v>545</v>
      </c>
      <c r="AL40" s="259">
        <v>565</v>
      </c>
      <c r="AM40" s="259">
        <v>580</v>
      </c>
      <c r="AN40" s="259">
        <v>641</v>
      </c>
      <c r="AP40" s="5156"/>
      <c r="AQ40" s="265" t="s">
        <v>708</v>
      </c>
      <c r="AR40" s="273"/>
      <c r="AS40" s="273"/>
      <c r="AT40" s="273">
        <v>12</v>
      </c>
      <c r="AU40" s="273">
        <v>21</v>
      </c>
      <c r="AV40" s="273">
        <v>36</v>
      </c>
      <c r="AW40" s="273">
        <v>41</v>
      </c>
      <c r="AX40" s="273">
        <v>45</v>
      </c>
      <c r="AY40" s="273">
        <v>46</v>
      </c>
      <c r="AZ40" s="273">
        <v>43</v>
      </c>
    </row>
    <row r="41" spans="1:52" ht="15.75">
      <c r="C41" s="31"/>
      <c r="AE41" s="254" t="s">
        <v>823</v>
      </c>
      <c r="AF41" s="259">
        <v>1174</v>
      </c>
      <c r="AG41" s="259">
        <v>1131</v>
      </c>
      <c r="AH41" s="259">
        <v>1076</v>
      </c>
      <c r="AI41" s="259">
        <v>1030</v>
      </c>
      <c r="AJ41" s="259">
        <v>941</v>
      </c>
      <c r="AK41" s="259">
        <v>872</v>
      </c>
      <c r="AL41" s="259">
        <v>815</v>
      </c>
      <c r="AM41" s="259">
        <v>740</v>
      </c>
      <c r="AN41" s="259">
        <v>740</v>
      </c>
      <c r="AP41" s="5156"/>
      <c r="AQ41" s="265" t="s">
        <v>707</v>
      </c>
      <c r="AR41" s="273"/>
      <c r="AS41" s="273"/>
      <c r="AT41" s="273">
        <v>4</v>
      </c>
      <c r="AU41" s="273">
        <v>8</v>
      </c>
      <c r="AV41" s="273">
        <v>11</v>
      </c>
      <c r="AW41" s="273">
        <v>14</v>
      </c>
      <c r="AX41" s="273">
        <v>16</v>
      </c>
      <c r="AY41" s="273">
        <v>18</v>
      </c>
      <c r="AZ41" s="273">
        <v>19</v>
      </c>
    </row>
    <row r="42" spans="1:52" ht="15.75">
      <c r="C42" s="31"/>
      <c r="AE42" s="254" t="s">
        <v>824</v>
      </c>
      <c r="AF42" s="259">
        <v>870</v>
      </c>
      <c r="AG42" s="259">
        <v>884</v>
      </c>
      <c r="AH42" s="259">
        <v>871</v>
      </c>
      <c r="AI42" s="259">
        <v>842</v>
      </c>
      <c r="AJ42" s="259">
        <v>800</v>
      </c>
      <c r="AK42" s="259">
        <v>785</v>
      </c>
      <c r="AL42" s="259">
        <v>753</v>
      </c>
      <c r="AM42" s="259">
        <v>709</v>
      </c>
      <c r="AN42" s="259">
        <v>715</v>
      </c>
      <c r="AP42" s="5156"/>
      <c r="AQ42" s="265" t="s">
        <v>278</v>
      </c>
      <c r="AR42" s="273">
        <v>30</v>
      </c>
      <c r="AS42" s="273">
        <v>24</v>
      </c>
      <c r="AT42" s="273">
        <v>11</v>
      </c>
      <c r="AU42" s="273">
        <v>9</v>
      </c>
      <c r="AV42" s="273">
        <v>4</v>
      </c>
      <c r="AW42" s="273">
        <v>7</v>
      </c>
      <c r="AX42" s="273">
        <v>11</v>
      </c>
      <c r="AY42" s="273">
        <v>15</v>
      </c>
      <c r="AZ42" s="273">
        <v>16</v>
      </c>
    </row>
    <row r="43" spans="1:52" ht="15.75">
      <c r="C43" s="31"/>
      <c r="AE43" s="254" t="s">
        <v>825</v>
      </c>
      <c r="AF43" s="259">
        <v>207</v>
      </c>
      <c r="AG43" s="259">
        <v>283</v>
      </c>
      <c r="AH43" s="259">
        <v>355</v>
      </c>
      <c r="AI43" s="259">
        <v>416</v>
      </c>
      <c r="AJ43" s="259">
        <v>473</v>
      </c>
      <c r="AK43" s="259">
        <v>501</v>
      </c>
      <c r="AL43" s="259">
        <v>485</v>
      </c>
      <c r="AM43" s="259">
        <v>475</v>
      </c>
      <c r="AN43" s="259">
        <v>494</v>
      </c>
      <c r="AP43" s="5156"/>
      <c r="AQ43" s="266" t="s">
        <v>2361</v>
      </c>
      <c r="AR43" s="273"/>
      <c r="AS43" s="273"/>
      <c r="AT43" s="273"/>
      <c r="AU43" s="273"/>
      <c r="AV43" s="273"/>
      <c r="AW43" s="273"/>
      <c r="AX43" s="273"/>
      <c r="AY43" s="273">
        <v>75</v>
      </c>
      <c r="AZ43" s="273">
        <v>88</v>
      </c>
    </row>
    <row r="44" spans="1:52" ht="15.75">
      <c r="C44" s="31"/>
      <c r="AE44" s="254" t="s">
        <v>558</v>
      </c>
      <c r="AF44" s="259">
        <v>839</v>
      </c>
      <c r="AG44" s="259">
        <v>843</v>
      </c>
      <c r="AH44" s="259">
        <v>849</v>
      </c>
      <c r="AI44" s="259">
        <v>867</v>
      </c>
      <c r="AJ44" s="259">
        <v>840</v>
      </c>
      <c r="AK44" s="259">
        <v>780</v>
      </c>
      <c r="AL44" s="259">
        <v>761</v>
      </c>
      <c r="AM44" s="259">
        <v>742</v>
      </c>
      <c r="AN44" s="259">
        <v>758</v>
      </c>
      <c r="AP44" s="5157"/>
      <c r="AQ44" s="266" t="s">
        <v>2759</v>
      </c>
      <c r="AR44" s="273"/>
      <c r="AS44" s="273"/>
      <c r="AT44" s="273"/>
      <c r="AU44" s="273"/>
      <c r="AV44" s="273"/>
      <c r="AW44" s="273"/>
      <c r="AX44" s="273"/>
      <c r="AY44" s="273"/>
      <c r="AZ44" s="273">
        <v>6</v>
      </c>
    </row>
    <row r="45" spans="1:52" ht="15.75">
      <c r="C45" s="31"/>
      <c r="AE45" s="254" t="s">
        <v>826</v>
      </c>
      <c r="AF45" s="259">
        <v>1292</v>
      </c>
      <c r="AG45" s="259">
        <v>1262</v>
      </c>
      <c r="AH45" s="259">
        <v>1196</v>
      </c>
      <c r="AI45" s="259">
        <v>1128</v>
      </c>
      <c r="AJ45" s="259">
        <v>1034</v>
      </c>
      <c r="AK45" s="259">
        <v>951</v>
      </c>
      <c r="AL45" s="259">
        <v>895</v>
      </c>
      <c r="AM45" s="259">
        <v>817</v>
      </c>
      <c r="AN45" s="259">
        <v>784</v>
      </c>
      <c r="AP45" s="5155" t="s">
        <v>832</v>
      </c>
      <c r="AQ45" s="266" t="s">
        <v>2362</v>
      </c>
      <c r="AR45" s="273">
        <v>30</v>
      </c>
      <c r="AS45" s="273">
        <v>35</v>
      </c>
      <c r="AT45" s="273">
        <v>27</v>
      </c>
      <c r="AU45" s="273">
        <v>24</v>
      </c>
      <c r="AV45" s="273">
        <v>26</v>
      </c>
      <c r="AW45" s="273">
        <v>27</v>
      </c>
      <c r="AX45" s="273">
        <v>30</v>
      </c>
      <c r="AY45" s="273">
        <v>6</v>
      </c>
      <c r="AZ45" s="273"/>
    </row>
    <row r="46" spans="1:52" ht="15.75">
      <c r="C46" s="31"/>
      <c r="AE46" s="255" t="s">
        <v>827</v>
      </c>
      <c r="AF46" s="260">
        <v>1558</v>
      </c>
      <c r="AG46" s="260">
        <v>1492</v>
      </c>
      <c r="AH46" s="260">
        <v>1394</v>
      </c>
      <c r="AI46" s="260">
        <v>1289</v>
      </c>
      <c r="AJ46" s="260">
        <v>1222</v>
      </c>
      <c r="AK46" s="260">
        <v>1056</v>
      </c>
      <c r="AL46" s="260">
        <v>1012</v>
      </c>
      <c r="AM46" s="260">
        <v>913</v>
      </c>
      <c r="AN46" s="260">
        <v>892</v>
      </c>
      <c r="AP46" s="5156"/>
      <c r="AQ46" s="266" t="s">
        <v>280</v>
      </c>
      <c r="AR46" s="272">
        <v>10</v>
      </c>
      <c r="AS46" s="272">
        <v>7</v>
      </c>
      <c r="AT46" s="272">
        <v>6</v>
      </c>
      <c r="AU46" s="272">
        <v>6</v>
      </c>
      <c r="AV46" s="272">
        <v>5</v>
      </c>
      <c r="AW46" s="272">
        <v>5</v>
      </c>
      <c r="AX46" s="272">
        <v>7</v>
      </c>
      <c r="AY46" s="272">
        <v>12</v>
      </c>
      <c r="AZ46" s="272">
        <v>12</v>
      </c>
    </row>
    <row r="47" spans="1:52" ht="15.75">
      <c r="C47" s="31"/>
      <c r="AE47" s="2944" t="s">
        <v>4</v>
      </c>
      <c r="AF47" s="2945">
        <f>SUM(AF37:AF46)</f>
        <v>8348</v>
      </c>
      <c r="AG47" s="2945">
        <f t="shared" ref="AG47:AM47" si="0">SUM(AG37:AG46)</f>
        <v>8552</v>
      </c>
      <c r="AH47" s="2945">
        <f t="shared" si="0"/>
        <v>8481</v>
      </c>
      <c r="AI47" s="2945">
        <f t="shared" si="0"/>
        <v>8413</v>
      </c>
      <c r="AJ47" s="2945">
        <f t="shared" si="0"/>
        <v>8142</v>
      </c>
      <c r="AK47" s="2945">
        <f t="shared" si="0"/>
        <v>7752</v>
      </c>
      <c r="AL47" s="2945">
        <f t="shared" si="0"/>
        <v>7437</v>
      </c>
      <c r="AM47" s="2946">
        <f t="shared" si="0"/>
        <v>7030</v>
      </c>
      <c r="AN47" s="2946">
        <v>6973</v>
      </c>
      <c r="AP47" s="5156"/>
      <c r="AQ47" s="266" t="s">
        <v>708</v>
      </c>
      <c r="AR47" s="274"/>
      <c r="AS47" s="274"/>
      <c r="AT47" s="274"/>
      <c r="AU47" s="274">
        <v>3</v>
      </c>
      <c r="AV47" s="274">
        <v>3</v>
      </c>
      <c r="AW47" s="274">
        <v>9</v>
      </c>
      <c r="AX47" s="274">
        <v>9</v>
      </c>
      <c r="AY47" s="274">
        <v>9</v>
      </c>
      <c r="AZ47" s="274">
        <v>15</v>
      </c>
    </row>
    <row r="48" spans="1:52" ht="15.75">
      <c r="C48" s="31"/>
      <c r="AE48" s="253" t="s">
        <v>17</v>
      </c>
      <c r="AF48" s="258">
        <v>1377</v>
      </c>
      <c r="AG48" s="258">
        <v>1394</v>
      </c>
      <c r="AH48" s="258">
        <v>1447</v>
      </c>
      <c r="AI48" s="258">
        <v>1458</v>
      </c>
      <c r="AJ48" s="258">
        <v>1481</v>
      </c>
      <c r="AK48" s="258">
        <v>1506</v>
      </c>
      <c r="AL48" s="258">
        <v>1510</v>
      </c>
      <c r="AM48" s="258">
        <v>1463</v>
      </c>
      <c r="AN48" s="258">
        <v>1515</v>
      </c>
      <c r="AP48" s="5156"/>
      <c r="AQ48" s="266" t="s">
        <v>707</v>
      </c>
      <c r="AR48" s="273"/>
      <c r="AS48" s="273"/>
      <c r="AT48" s="273"/>
      <c r="AU48" s="273">
        <v>2</v>
      </c>
      <c r="AV48" s="273">
        <v>2</v>
      </c>
      <c r="AW48" s="273">
        <v>3</v>
      </c>
      <c r="AX48" s="273">
        <v>6</v>
      </c>
      <c r="AY48" s="273">
        <v>6</v>
      </c>
      <c r="AZ48" s="273">
        <v>3</v>
      </c>
    </row>
    <row r="49" spans="3:52" ht="15.75">
      <c r="C49" s="31"/>
      <c r="AE49" s="254" t="s">
        <v>18</v>
      </c>
      <c r="AF49" s="259">
        <v>2070</v>
      </c>
      <c r="AG49" s="259">
        <v>2142</v>
      </c>
      <c r="AH49" s="259">
        <v>2332</v>
      </c>
      <c r="AI49" s="259">
        <v>2445</v>
      </c>
      <c r="AJ49" s="259">
        <v>2427</v>
      </c>
      <c r="AK49" s="259">
        <v>2518</v>
      </c>
      <c r="AL49" s="259">
        <v>2574</v>
      </c>
      <c r="AM49" s="259">
        <v>2494</v>
      </c>
      <c r="AN49" s="259">
        <v>2538</v>
      </c>
      <c r="AP49" s="5157"/>
      <c r="AQ49" s="266" t="s">
        <v>2361</v>
      </c>
      <c r="AR49" s="273"/>
      <c r="AS49" s="273"/>
      <c r="AT49" s="273"/>
      <c r="AU49" s="273"/>
      <c r="AV49" s="273"/>
      <c r="AW49" s="273"/>
      <c r="AX49" s="273"/>
      <c r="AY49" s="273">
        <v>22</v>
      </c>
      <c r="AZ49" s="273">
        <v>29</v>
      </c>
    </row>
    <row r="50" spans="3:52" ht="15.75">
      <c r="C50" s="31"/>
      <c r="AE50" s="254" t="s">
        <v>19</v>
      </c>
      <c r="AF50" s="259">
        <v>1041</v>
      </c>
      <c r="AG50" s="259">
        <v>1083</v>
      </c>
      <c r="AH50" s="259">
        <v>1148</v>
      </c>
      <c r="AI50" s="259">
        <v>1186</v>
      </c>
      <c r="AJ50" s="259">
        <v>1180</v>
      </c>
      <c r="AK50" s="259">
        <v>1223</v>
      </c>
      <c r="AL50" s="259">
        <v>1287</v>
      </c>
      <c r="AM50" s="259">
        <v>1377</v>
      </c>
      <c r="AN50" s="259">
        <v>1452</v>
      </c>
      <c r="AP50" s="3451"/>
      <c r="AQ50" s="2924" t="s">
        <v>4</v>
      </c>
      <c r="AR50" s="275">
        <f>SUM(AR37:AR46)</f>
        <v>171</v>
      </c>
      <c r="AS50" s="275">
        <f>SUM(AS37:AS46)</f>
        <v>178</v>
      </c>
      <c r="AT50" s="275">
        <f>SUM(AT37:AT46)</f>
        <v>164</v>
      </c>
      <c r="AU50" s="275">
        <f>SUM(AU37:AU48)</f>
        <v>188</v>
      </c>
      <c r="AV50" s="275">
        <f>SUM(AV37:AV48)</f>
        <v>230</v>
      </c>
      <c r="AW50" s="275">
        <f>SUM(AW38:AW48)</f>
        <v>253</v>
      </c>
      <c r="AX50" s="275">
        <f>SUM(AX38:AX48)</f>
        <v>288</v>
      </c>
      <c r="AY50" s="275">
        <f>SUM(AY38:AY49)</f>
        <v>286</v>
      </c>
      <c r="AZ50" s="275">
        <v>289</v>
      </c>
    </row>
    <row r="51" spans="3:52" ht="15.75">
      <c r="C51" s="31"/>
      <c r="AE51" s="254" t="s">
        <v>20</v>
      </c>
      <c r="AF51" s="259">
        <v>1141</v>
      </c>
      <c r="AG51" s="259">
        <v>1136</v>
      </c>
      <c r="AH51" s="259">
        <v>1223</v>
      </c>
      <c r="AI51" s="259">
        <v>1273</v>
      </c>
      <c r="AJ51" s="259">
        <v>1287</v>
      </c>
      <c r="AK51" s="259">
        <v>1323</v>
      </c>
      <c r="AL51" s="259">
        <v>1326</v>
      </c>
      <c r="AM51" s="259">
        <v>1304</v>
      </c>
      <c r="AN51" s="259">
        <v>1373</v>
      </c>
      <c r="AP51" s="5155" t="s">
        <v>747</v>
      </c>
      <c r="AQ51" s="267" t="s">
        <v>492</v>
      </c>
      <c r="AR51" s="271">
        <v>29</v>
      </c>
      <c r="AS51" s="271">
        <v>31</v>
      </c>
      <c r="AT51" s="271">
        <v>35</v>
      </c>
      <c r="AU51" s="271">
        <v>36</v>
      </c>
      <c r="AV51" s="271">
        <v>37</v>
      </c>
      <c r="AW51" s="271">
        <v>40</v>
      </c>
      <c r="AX51" s="271">
        <v>43</v>
      </c>
      <c r="AY51" s="271">
        <v>40</v>
      </c>
      <c r="AZ51" s="271">
        <v>35</v>
      </c>
    </row>
    <row r="52" spans="3:52" ht="15.75" customHeight="1">
      <c r="C52" s="31"/>
      <c r="AE52" s="2944" t="s">
        <v>16</v>
      </c>
      <c r="AF52" s="2945">
        <f t="shared" ref="AF52:AH52" si="1">SUM(AF48:AF51)</f>
        <v>5629</v>
      </c>
      <c r="AG52" s="2945">
        <f t="shared" si="1"/>
        <v>5755</v>
      </c>
      <c r="AH52" s="2945">
        <f t="shared" si="1"/>
        <v>6150</v>
      </c>
      <c r="AI52" s="2945">
        <f>SUM(AI48:AI51)</f>
        <v>6362</v>
      </c>
      <c r="AJ52" s="2945">
        <f>SUM(AJ48:AJ51)</f>
        <v>6375</v>
      </c>
      <c r="AK52" s="2945">
        <f>SUM(AK48:AK51)</f>
        <v>6570</v>
      </c>
      <c r="AL52" s="2945">
        <f>SUM(AL48:AL51)</f>
        <v>6697</v>
      </c>
      <c r="AM52" s="2946">
        <f>SUM(AM48:AM51)</f>
        <v>6638</v>
      </c>
      <c r="AN52" s="2946">
        <v>6878</v>
      </c>
      <c r="AP52" s="5156"/>
      <c r="AQ52" s="263" t="s">
        <v>347</v>
      </c>
      <c r="AR52" s="272">
        <v>12</v>
      </c>
      <c r="AS52" s="272">
        <v>21</v>
      </c>
      <c r="AT52" s="272">
        <v>10</v>
      </c>
      <c r="AU52" s="272">
        <v>11</v>
      </c>
      <c r="AV52" s="272">
        <v>9</v>
      </c>
      <c r="AW52" s="272">
        <v>9</v>
      </c>
      <c r="AX52" s="272">
        <v>6</v>
      </c>
      <c r="AY52" s="272"/>
      <c r="AZ52" s="272"/>
    </row>
    <row r="53" spans="3:52" ht="15.75">
      <c r="C53" s="31"/>
      <c r="AE53" s="253" t="s">
        <v>22</v>
      </c>
      <c r="AF53" s="258">
        <v>1300</v>
      </c>
      <c r="AG53" s="258">
        <v>1274</v>
      </c>
      <c r="AH53" s="258">
        <v>1296</v>
      </c>
      <c r="AI53" s="258">
        <v>1316</v>
      </c>
      <c r="AJ53" s="258">
        <v>1283</v>
      </c>
      <c r="AK53" s="258">
        <v>1267</v>
      </c>
      <c r="AL53" s="258">
        <v>1181</v>
      </c>
      <c r="AM53" s="258">
        <v>1252</v>
      </c>
      <c r="AN53" s="258">
        <v>1320</v>
      </c>
      <c r="AP53" s="5157"/>
      <c r="AQ53" s="263" t="s">
        <v>833</v>
      </c>
      <c r="AR53" s="272"/>
      <c r="AS53" s="272"/>
      <c r="AT53" s="272">
        <v>2</v>
      </c>
      <c r="AU53" s="272"/>
      <c r="AV53" s="272"/>
      <c r="AW53" s="272"/>
      <c r="AX53" s="272"/>
      <c r="AY53" s="272"/>
      <c r="AZ53" s="272"/>
    </row>
    <row r="54" spans="3:52" ht="15" customHeight="1">
      <c r="C54" s="31"/>
      <c r="AE54" s="254" t="s">
        <v>23</v>
      </c>
      <c r="AF54" s="259">
        <v>949</v>
      </c>
      <c r="AG54" s="259">
        <v>985</v>
      </c>
      <c r="AH54" s="259">
        <v>1057</v>
      </c>
      <c r="AI54" s="259">
        <v>1144</v>
      </c>
      <c r="AJ54" s="259">
        <v>1230</v>
      </c>
      <c r="AK54" s="259">
        <v>1275</v>
      </c>
      <c r="AL54" s="259">
        <v>1356</v>
      </c>
      <c r="AM54" s="259">
        <v>1360</v>
      </c>
      <c r="AN54" s="259">
        <v>1350</v>
      </c>
      <c r="AP54" s="5155" t="s">
        <v>748</v>
      </c>
      <c r="AQ54" s="263" t="s">
        <v>120</v>
      </c>
      <c r="AR54" s="272">
        <v>21</v>
      </c>
      <c r="AS54" s="272">
        <v>22</v>
      </c>
      <c r="AT54" s="272">
        <v>8</v>
      </c>
      <c r="AU54" s="272">
        <v>20</v>
      </c>
      <c r="AV54" s="272">
        <v>18</v>
      </c>
      <c r="AW54" s="272">
        <v>17</v>
      </c>
      <c r="AX54" s="272">
        <v>13</v>
      </c>
      <c r="AY54" s="272">
        <v>13</v>
      </c>
      <c r="AZ54" s="272">
        <v>10</v>
      </c>
    </row>
    <row r="55" spans="3:52" ht="15" customHeight="1">
      <c r="C55" s="31"/>
      <c r="AE55" s="255" t="s">
        <v>24</v>
      </c>
      <c r="AF55" s="260">
        <v>809</v>
      </c>
      <c r="AG55" s="260">
        <v>825</v>
      </c>
      <c r="AH55" s="260">
        <v>871</v>
      </c>
      <c r="AI55" s="260">
        <v>903</v>
      </c>
      <c r="AJ55" s="260">
        <v>936</v>
      </c>
      <c r="AK55" s="260">
        <v>944</v>
      </c>
      <c r="AL55" s="260">
        <v>966</v>
      </c>
      <c r="AM55" s="260">
        <v>969</v>
      </c>
      <c r="AN55" s="260">
        <v>976</v>
      </c>
      <c r="AP55" s="5156"/>
      <c r="AQ55" s="263" t="s">
        <v>495</v>
      </c>
      <c r="AR55" s="272">
        <v>2</v>
      </c>
      <c r="AS55" s="272">
        <v>3</v>
      </c>
      <c r="AT55" s="272"/>
      <c r="AU55" s="272"/>
      <c r="AV55" s="272"/>
      <c r="AW55" s="272"/>
      <c r="AX55" s="272"/>
      <c r="AY55" s="272"/>
      <c r="AZ55" s="272"/>
    </row>
    <row r="56" spans="3:52" ht="15.75">
      <c r="C56" s="31"/>
      <c r="AE56" s="2944" t="s">
        <v>21</v>
      </c>
      <c r="AF56" s="2945">
        <f t="shared" ref="AF56:AH56" si="2">SUM(AF53:AF55)</f>
        <v>3058</v>
      </c>
      <c r="AG56" s="2945">
        <f t="shared" si="2"/>
        <v>3084</v>
      </c>
      <c r="AH56" s="2945">
        <f t="shared" si="2"/>
        <v>3224</v>
      </c>
      <c r="AI56" s="2945">
        <f>SUM(AI53:AI55)</f>
        <v>3363</v>
      </c>
      <c r="AJ56" s="2945">
        <f>SUM(AJ53:AJ55)</f>
        <v>3449</v>
      </c>
      <c r="AK56" s="2945">
        <f>SUM(AK53:AK55)</f>
        <v>3486</v>
      </c>
      <c r="AL56" s="2945">
        <f>SUM(AL53:AL55)</f>
        <v>3503</v>
      </c>
      <c r="AM56" s="2946">
        <f>SUM(AM53:AM55)</f>
        <v>3581</v>
      </c>
      <c r="AN56" s="2946">
        <v>3646</v>
      </c>
      <c r="AP56" s="5156"/>
      <c r="AQ56" s="264" t="s">
        <v>281</v>
      </c>
      <c r="AR56" s="272"/>
      <c r="AS56" s="272">
        <v>1</v>
      </c>
      <c r="AT56" s="272">
        <v>1</v>
      </c>
      <c r="AU56" s="272"/>
      <c r="AV56" s="272"/>
      <c r="AW56" s="272"/>
      <c r="AX56" s="272"/>
      <c r="AY56" s="272"/>
      <c r="AZ56" s="272"/>
    </row>
    <row r="57" spans="3:52" ht="15.75">
      <c r="C57" s="31"/>
      <c r="AE57" s="3445" t="s">
        <v>3</v>
      </c>
      <c r="AF57" s="2912">
        <f t="shared" ref="AF57:AH57" si="3">SUM(AF47,AF52,AF56)</f>
        <v>17035</v>
      </c>
      <c r="AG57" s="2912">
        <f t="shared" si="3"/>
        <v>17391</v>
      </c>
      <c r="AH57" s="2913">
        <f t="shared" si="3"/>
        <v>17855</v>
      </c>
      <c r="AI57" s="2913">
        <f>SUM(AI47,AI52,AI56)</f>
        <v>18138</v>
      </c>
      <c r="AJ57" s="2913">
        <f>SUM(AJ47,AJ52,AJ56)</f>
        <v>17966</v>
      </c>
      <c r="AK57" s="2913">
        <f>SUM(AK47,AK52,AK56)</f>
        <v>17808</v>
      </c>
      <c r="AL57" s="2913">
        <f>SUM(AL47,AL52,AL56)</f>
        <v>17637</v>
      </c>
      <c r="AM57" s="2913">
        <f>SUM(AM47,AM52,AM56)</f>
        <v>17249</v>
      </c>
      <c r="AN57" s="2913">
        <v>17497</v>
      </c>
      <c r="AP57" s="5156"/>
      <c r="AQ57" s="263" t="s">
        <v>496</v>
      </c>
      <c r="AR57" s="272">
        <v>16</v>
      </c>
      <c r="AS57" s="272">
        <v>13</v>
      </c>
      <c r="AT57" s="272">
        <v>16</v>
      </c>
      <c r="AU57" s="272">
        <v>14</v>
      </c>
      <c r="AV57" s="272">
        <v>32</v>
      </c>
      <c r="AW57" s="272">
        <v>42</v>
      </c>
      <c r="AX57" s="272">
        <v>28</v>
      </c>
      <c r="AY57" s="272">
        <v>40</v>
      </c>
      <c r="AZ57" s="272">
        <v>33</v>
      </c>
    </row>
    <row r="58" spans="3:52" ht="15.75">
      <c r="C58" s="31"/>
      <c r="AE58" s="253" t="s">
        <v>17</v>
      </c>
      <c r="AF58" s="258">
        <v>223</v>
      </c>
      <c r="AG58" s="258">
        <v>225</v>
      </c>
      <c r="AH58" s="258">
        <v>201</v>
      </c>
      <c r="AI58" s="258">
        <v>199</v>
      </c>
      <c r="AJ58" s="258">
        <v>217</v>
      </c>
      <c r="AK58" s="258">
        <v>236</v>
      </c>
      <c r="AL58" s="258">
        <v>270</v>
      </c>
      <c r="AM58" s="258">
        <v>287</v>
      </c>
      <c r="AN58" s="258">
        <v>306</v>
      </c>
      <c r="AP58" s="5156"/>
      <c r="AQ58" s="263" t="s">
        <v>283</v>
      </c>
      <c r="AR58" s="272">
        <v>25</v>
      </c>
      <c r="AS58" s="272">
        <v>37</v>
      </c>
      <c r="AT58" s="272">
        <v>37</v>
      </c>
      <c r="AU58" s="272">
        <v>43</v>
      </c>
      <c r="AV58" s="272">
        <v>42</v>
      </c>
      <c r="AW58" s="272">
        <v>33</v>
      </c>
      <c r="AX58" s="272">
        <v>29</v>
      </c>
      <c r="AY58" s="272">
        <v>26</v>
      </c>
      <c r="AZ58" s="272">
        <v>34</v>
      </c>
    </row>
    <row r="59" spans="3:52" ht="15.75">
      <c r="C59" s="31"/>
      <c r="AE59" s="254" t="s">
        <v>18</v>
      </c>
      <c r="AF59" s="259">
        <v>7</v>
      </c>
      <c r="AG59" s="259">
        <v>3</v>
      </c>
      <c r="AH59" s="259"/>
      <c r="AI59" s="259"/>
      <c r="AJ59" s="259"/>
      <c r="AK59" s="259">
        <v>36</v>
      </c>
      <c r="AL59" s="259">
        <v>72</v>
      </c>
      <c r="AM59" s="259">
        <v>100</v>
      </c>
      <c r="AN59" s="259">
        <v>127</v>
      </c>
      <c r="AP59" s="5156"/>
      <c r="AQ59" s="268" t="s">
        <v>533</v>
      </c>
      <c r="AR59" s="273"/>
      <c r="AS59" s="273"/>
      <c r="AT59" s="273">
        <v>8</v>
      </c>
      <c r="AU59" s="273">
        <v>12</v>
      </c>
      <c r="AV59" s="273">
        <v>29</v>
      </c>
      <c r="AW59" s="273">
        <v>19</v>
      </c>
      <c r="AX59" s="273">
        <v>33</v>
      </c>
      <c r="AY59" s="273">
        <v>23</v>
      </c>
      <c r="AZ59" s="273">
        <v>37</v>
      </c>
    </row>
    <row r="60" spans="3:52" ht="15" customHeight="1">
      <c r="C60" s="31"/>
      <c r="AE60" s="254" t="s">
        <v>60</v>
      </c>
      <c r="AF60" s="259">
        <v>89</v>
      </c>
      <c r="AG60" s="259">
        <v>101</v>
      </c>
      <c r="AH60" s="259">
        <v>105</v>
      </c>
      <c r="AI60" s="259">
        <v>110</v>
      </c>
      <c r="AJ60" s="259">
        <v>161</v>
      </c>
      <c r="AK60" s="259">
        <v>197</v>
      </c>
      <c r="AL60" s="259">
        <v>244</v>
      </c>
      <c r="AM60" s="259">
        <v>279</v>
      </c>
      <c r="AN60" s="259">
        <v>304</v>
      </c>
      <c r="AP60" s="5156"/>
      <c r="AQ60" s="268" t="s">
        <v>282</v>
      </c>
      <c r="AR60" s="272">
        <v>18</v>
      </c>
      <c r="AS60" s="272">
        <v>40</v>
      </c>
      <c r="AT60" s="272">
        <v>26</v>
      </c>
      <c r="AU60" s="272">
        <v>49</v>
      </c>
      <c r="AV60" s="272">
        <v>26</v>
      </c>
      <c r="AW60" s="272">
        <v>32</v>
      </c>
      <c r="AX60" s="272">
        <v>18</v>
      </c>
      <c r="AY60" s="272">
        <v>29</v>
      </c>
      <c r="AZ60" s="272">
        <v>10</v>
      </c>
    </row>
    <row r="61" spans="3:52" ht="15.75">
      <c r="C61" s="31"/>
      <c r="AE61" s="254" t="s">
        <v>828</v>
      </c>
      <c r="AF61" s="259">
        <v>101</v>
      </c>
      <c r="AG61" s="259">
        <v>126</v>
      </c>
      <c r="AH61" s="259">
        <v>140</v>
      </c>
      <c r="AI61" s="259">
        <v>150</v>
      </c>
      <c r="AJ61" s="259">
        <v>198</v>
      </c>
      <c r="AK61" s="259">
        <v>233</v>
      </c>
      <c r="AL61" s="259">
        <v>252</v>
      </c>
      <c r="AM61" s="259">
        <v>292</v>
      </c>
      <c r="AN61" s="259">
        <v>314</v>
      </c>
      <c r="AP61" s="5156"/>
      <c r="AQ61" s="2925" t="s">
        <v>2363</v>
      </c>
      <c r="AR61" s="272"/>
      <c r="AS61" s="272"/>
      <c r="AT61" s="272"/>
      <c r="AU61" s="272"/>
      <c r="AV61" s="272"/>
      <c r="AW61" s="272"/>
      <c r="AX61" s="272"/>
      <c r="AY61" s="272">
        <v>52</v>
      </c>
      <c r="AZ61" s="272">
        <v>36</v>
      </c>
    </row>
    <row r="62" spans="3:52" ht="15.75">
      <c r="C62" s="31"/>
      <c r="AE62" s="2944" t="s">
        <v>16</v>
      </c>
      <c r="AF62" s="2945">
        <f t="shared" ref="AF62:AH62" si="4">SUM(AF58:AF61)</f>
        <v>420</v>
      </c>
      <c r="AG62" s="2945">
        <f t="shared" si="4"/>
        <v>455</v>
      </c>
      <c r="AH62" s="2945">
        <f t="shared" si="4"/>
        <v>446</v>
      </c>
      <c r="AI62" s="2945">
        <f>SUM(AI58:AI61)</f>
        <v>459</v>
      </c>
      <c r="AJ62" s="2945">
        <f>SUM(AJ58:AJ61)</f>
        <v>576</v>
      </c>
      <c r="AK62" s="2945">
        <f>SUM(AK58:AK61)</f>
        <v>702</v>
      </c>
      <c r="AL62" s="2945">
        <f>SUM(AL58:AL61)</f>
        <v>838</v>
      </c>
      <c r="AM62" s="2946">
        <f>SUM(AM58:AM61)</f>
        <v>958</v>
      </c>
      <c r="AN62" s="2946">
        <v>1051</v>
      </c>
      <c r="AP62" s="5157"/>
      <c r="AQ62" s="2925" t="s">
        <v>2364</v>
      </c>
      <c r="AR62" s="272"/>
      <c r="AS62" s="272"/>
      <c r="AT62" s="272"/>
      <c r="AU62" s="272"/>
      <c r="AV62" s="272"/>
      <c r="AW62" s="272"/>
      <c r="AX62" s="272"/>
      <c r="AY62" s="272">
        <v>13</v>
      </c>
      <c r="AZ62" s="272">
        <v>12</v>
      </c>
    </row>
    <row r="63" spans="3:52" ht="15.75">
      <c r="C63" s="31"/>
      <c r="AE63" s="256" t="s">
        <v>62</v>
      </c>
      <c r="AF63" s="261">
        <v>204</v>
      </c>
      <c r="AG63" s="261">
        <v>199</v>
      </c>
      <c r="AH63" s="261">
        <v>215</v>
      </c>
      <c r="AI63" s="261">
        <v>214</v>
      </c>
      <c r="AJ63" s="261">
        <v>257</v>
      </c>
      <c r="AK63" s="261">
        <v>280</v>
      </c>
      <c r="AL63" s="261">
        <v>314</v>
      </c>
      <c r="AM63" s="261">
        <v>343</v>
      </c>
      <c r="AN63" s="261">
        <v>360</v>
      </c>
      <c r="AP63" s="5155" t="s">
        <v>832</v>
      </c>
      <c r="AQ63" s="2926" t="s">
        <v>120</v>
      </c>
      <c r="AR63" s="272">
        <v>18</v>
      </c>
      <c r="AS63" s="272">
        <v>17</v>
      </c>
      <c r="AT63" s="272">
        <v>15</v>
      </c>
      <c r="AU63" s="272">
        <v>24</v>
      </c>
      <c r="AV63" s="272">
        <v>24</v>
      </c>
      <c r="AW63" s="272">
        <v>26</v>
      </c>
      <c r="AX63" s="272">
        <v>18</v>
      </c>
      <c r="AY63" s="272">
        <v>17</v>
      </c>
      <c r="AZ63" s="272">
        <v>18</v>
      </c>
    </row>
    <row r="64" spans="3:52" ht="15.75">
      <c r="C64" s="31"/>
      <c r="AE64" s="254" t="s">
        <v>421</v>
      </c>
      <c r="AF64" s="259">
        <v>108</v>
      </c>
      <c r="AG64" s="259">
        <v>136</v>
      </c>
      <c r="AH64" s="259">
        <v>160</v>
      </c>
      <c r="AI64" s="259">
        <v>175</v>
      </c>
      <c r="AJ64" s="259">
        <v>184</v>
      </c>
      <c r="AK64" s="259">
        <v>215</v>
      </c>
      <c r="AL64" s="259">
        <v>242</v>
      </c>
      <c r="AM64" s="259">
        <v>276</v>
      </c>
      <c r="AN64" s="259">
        <v>307</v>
      </c>
      <c r="AP64" s="5156"/>
      <c r="AQ64" s="2050" t="s">
        <v>285</v>
      </c>
      <c r="AR64" s="272">
        <v>3</v>
      </c>
      <c r="AS64" s="272">
        <v>3</v>
      </c>
      <c r="AT64" s="272">
        <v>2</v>
      </c>
      <c r="AU64" s="272">
        <v>1</v>
      </c>
      <c r="AV64" s="272">
        <v>1</v>
      </c>
      <c r="AW64" s="272"/>
      <c r="AX64" s="272"/>
      <c r="AY64" s="272"/>
      <c r="AZ64" s="272"/>
    </row>
    <row r="65" spans="3:52" ht="15.75">
      <c r="C65" s="31"/>
      <c r="AE65" s="254" t="s">
        <v>63</v>
      </c>
      <c r="AF65" s="259">
        <v>150</v>
      </c>
      <c r="AG65" s="259">
        <v>204</v>
      </c>
      <c r="AH65" s="259">
        <v>228</v>
      </c>
      <c r="AI65" s="259">
        <v>240</v>
      </c>
      <c r="AJ65" s="259">
        <v>270</v>
      </c>
      <c r="AK65" s="259">
        <v>321</v>
      </c>
      <c r="AL65" s="259">
        <v>377</v>
      </c>
      <c r="AM65" s="259">
        <v>420</v>
      </c>
      <c r="AN65" s="259">
        <v>438</v>
      </c>
      <c r="AP65" s="5156"/>
      <c r="AQ65" s="2926" t="s">
        <v>284</v>
      </c>
      <c r="AR65" s="272">
        <v>33</v>
      </c>
      <c r="AS65" s="272">
        <v>25</v>
      </c>
      <c r="AT65" s="272">
        <v>29</v>
      </c>
      <c r="AU65" s="272">
        <v>29</v>
      </c>
      <c r="AV65" s="272">
        <v>26</v>
      </c>
      <c r="AW65" s="272">
        <v>24</v>
      </c>
      <c r="AX65" s="272">
        <v>49</v>
      </c>
      <c r="AY65" s="272">
        <v>47</v>
      </c>
      <c r="AZ65" s="272">
        <v>68</v>
      </c>
    </row>
    <row r="66" spans="3:52" ht="15" customHeight="1">
      <c r="C66" s="31"/>
      <c r="AE66" s="2944" t="s">
        <v>61</v>
      </c>
      <c r="AF66" s="2945">
        <f t="shared" ref="AF66:AH66" si="5">SUM(AF63:AF65)</f>
        <v>462</v>
      </c>
      <c r="AG66" s="2945">
        <f t="shared" si="5"/>
        <v>539</v>
      </c>
      <c r="AH66" s="2945">
        <f t="shared" si="5"/>
        <v>603</v>
      </c>
      <c r="AI66" s="2945">
        <f>SUM(AI63:AI65)</f>
        <v>629</v>
      </c>
      <c r="AJ66" s="2945">
        <f>SUM(AJ63:AJ65)</f>
        <v>711</v>
      </c>
      <c r="AK66" s="2945">
        <f>SUM(AK63:AK65)</f>
        <v>816</v>
      </c>
      <c r="AL66" s="2945">
        <f>SUM(AL63:AL65)</f>
        <v>933</v>
      </c>
      <c r="AM66" s="2946">
        <f>SUM(AM63:AM65)</f>
        <v>1039</v>
      </c>
      <c r="AN66" s="2946">
        <v>1105</v>
      </c>
      <c r="AP66" s="3440"/>
      <c r="AQ66" s="2927" t="s">
        <v>2364</v>
      </c>
      <c r="AR66" s="2936"/>
      <c r="AS66" s="2936"/>
      <c r="AT66" s="2936"/>
      <c r="AU66" s="2936"/>
      <c r="AV66" s="2936"/>
      <c r="AW66" s="2936"/>
      <c r="AX66" s="2936"/>
      <c r="AY66" s="2936">
        <v>3</v>
      </c>
      <c r="AZ66" s="2936">
        <v>2</v>
      </c>
    </row>
    <row r="67" spans="3:52" ht="15.75">
      <c r="C67" s="31"/>
      <c r="AE67" s="253" t="s">
        <v>556</v>
      </c>
      <c r="AF67" s="258">
        <v>147</v>
      </c>
      <c r="AG67" s="258">
        <v>155</v>
      </c>
      <c r="AH67" s="258">
        <v>162</v>
      </c>
      <c r="AI67" s="258">
        <v>181</v>
      </c>
      <c r="AJ67" s="258">
        <v>223</v>
      </c>
      <c r="AK67" s="258">
        <v>235</v>
      </c>
      <c r="AL67" s="258">
        <v>266</v>
      </c>
      <c r="AM67" s="258">
        <v>296</v>
      </c>
      <c r="AN67" s="258">
        <v>323</v>
      </c>
      <c r="AP67" s="3451"/>
      <c r="AQ67" s="2928" t="s">
        <v>16</v>
      </c>
      <c r="AR67" s="2937">
        <f t="shared" ref="AR67:AT67" si="6">SUM(AR51:AR65)</f>
        <v>177</v>
      </c>
      <c r="AS67" s="2937">
        <f t="shared" si="6"/>
        <v>213</v>
      </c>
      <c r="AT67" s="2937">
        <f t="shared" si="6"/>
        <v>189</v>
      </c>
      <c r="AU67" s="2937">
        <f>SUM(AU51:AU65)</f>
        <v>239</v>
      </c>
      <c r="AV67" s="2937">
        <f>SUM(AV51:AV65)</f>
        <v>244</v>
      </c>
      <c r="AW67" s="2937">
        <f>SUM(AW51:AW65)</f>
        <v>242</v>
      </c>
      <c r="AX67" s="2937">
        <f>SUM(AX51:AX65)</f>
        <v>237</v>
      </c>
      <c r="AY67" s="2937">
        <f>SUM(AY51:AY66)</f>
        <v>303</v>
      </c>
      <c r="AZ67" s="2937">
        <v>295</v>
      </c>
    </row>
    <row r="68" spans="3:52" ht="15.75">
      <c r="C68" s="31"/>
      <c r="AE68" s="254" t="s">
        <v>65</v>
      </c>
      <c r="AF68" s="259">
        <v>79</v>
      </c>
      <c r="AG68" s="259">
        <v>96</v>
      </c>
      <c r="AH68" s="259">
        <v>112</v>
      </c>
      <c r="AI68" s="259">
        <v>124</v>
      </c>
      <c r="AJ68" s="259">
        <v>140</v>
      </c>
      <c r="AK68" s="259">
        <v>146</v>
      </c>
      <c r="AL68" s="259">
        <v>145</v>
      </c>
      <c r="AM68" s="259">
        <v>151</v>
      </c>
      <c r="AN68" s="259">
        <v>151</v>
      </c>
      <c r="AP68" s="5155" t="s">
        <v>747</v>
      </c>
      <c r="AQ68" s="262" t="s">
        <v>497</v>
      </c>
      <c r="AR68" s="276">
        <v>102</v>
      </c>
      <c r="AS68" s="276">
        <v>20</v>
      </c>
      <c r="AT68" s="276">
        <v>95</v>
      </c>
      <c r="AU68" s="276">
        <v>23</v>
      </c>
      <c r="AV68" s="276">
        <v>70</v>
      </c>
      <c r="AW68" s="276">
        <v>24</v>
      </c>
      <c r="AX68" s="276"/>
      <c r="AY68" s="276"/>
      <c r="AZ68" s="276"/>
    </row>
    <row r="69" spans="3:52" ht="15.75">
      <c r="C69" s="31"/>
      <c r="O69" s="82"/>
      <c r="AE69" s="254" t="s">
        <v>422</v>
      </c>
      <c r="AF69" s="259">
        <v>70</v>
      </c>
      <c r="AG69" s="259">
        <v>74</v>
      </c>
      <c r="AH69" s="259">
        <v>84</v>
      </c>
      <c r="AI69" s="259">
        <v>101</v>
      </c>
      <c r="AJ69" s="259">
        <v>145</v>
      </c>
      <c r="AK69" s="259">
        <v>176</v>
      </c>
      <c r="AL69" s="259">
        <v>220</v>
      </c>
      <c r="AM69" s="259">
        <v>250</v>
      </c>
      <c r="AN69" s="259">
        <v>285</v>
      </c>
      <c r="AP69" s="5156"/>
      <c r="AQ69" s="267" t="s">
        <v>2365</v>
      </c>
      <c r="AR69" s="276"/>
      <c r="AS69" s="276"/>
      <c r="AT69" s="276"/>
      <c r="AU69" s="276"/>
      <c r="AV69" s="276"/>
      <c r="AW69" s="276"/>
      <c r="AX69" s="276"/>
      <c r="AY69" s="276">
        <v>5</v>
      </c>
      <c r="AZ69" s="276">
        <v>11</v>
      </c>
    </row>
    <row r="70" spans="3:52" ht="15" customHeight="1">
      <c r="C70" s="31"/>
      <c r="AE70" s="254" t="s">
        <v>81</v>
      </c>
      <c r="AF70" s="259">
        <v>27</v>
      </c>
      <c r="AG70" s="259">
        <v>69</v>
      </c>
      <c r="AH70" s="259">
        <v>121</v>
      </c>
      <c r="AI70" s="259">
        <v>160</v>
      </c>
      <c r="AJ70" s="259">
        <v>214</v>
      </c>
      <c r="AK70" s="259">
        <v>251</v>
      </c>
      <c r="AL70" s="259">
        <v>295</v>
      </c>
      <c r="AM70" s="259">
        <v>312</v>
      </c>
      <c r="AN70" s="259">
        <v>330</v>
      </c>
      <c r="AP70" s="5157"/>
      <c r="AQ70" s="263" t="s">
        <v>1691</v>
      </c>
      <c r="AR70" s="276"/>
      <c r="AS70" s="276"/>
      <c r="AT70" s="276"/>
      <c r="AU70" s="276"/>
      <c r="AV70" s="276"/>
      <c r="AW70" s="276"/>
      <c r="AX70" s="276">
        <v>9</v>
      </c>
      <c r="AY70" s="276">
        <v>9</v>
      </c>
      <c r="AZ70" s="276">
        <v>14</v>
      </c>
    </row>
    <row r="71" spans="3:52" ht="15" customHeight="1">
      <c r="C71" s="31"/>
      <c r="AE71" s="2944" t="s">
        <v>64</v>
      </c>
      <c r="AF71" s="2945">
        <f t="shared" ref="AF71:AH71" si="7">SUM(AF67:AF70)</f>
        <v>323</v>
      </c>
      <c r="AG71" s="2945">
        <f t="shared" si="7"/>
        <v>394</v>
      </c>
      <c r="AH71" s="2945">
        <f t="shared" si="7"/>
        <v>479</v>
      </c>
      <c r="AI71" s="2945">
        <f>SUM(AI67:AI70)</f>
        <v>566</v>
      </c>
      <c r="AJ71" s="2945">
        <f>SUM(AJ67:AJ70)</f>
        <v>722</v>
      </c>
      <c r="AK71" s="2945">
        <f>SUM(AK67:AK70)</f>
        <v>808</v>
      </c>
      <c r="AL71" s="2945">
        <f>SUM(AL67:AL70)</f>
        <v>926</v>
      </c>
      <c r="AM71" s="2946">
        <f>SUM(AM67:AM70)</f>
        <v>1009</v>
      </c>
      <c r="AN71" s="2946">
        <v>1089</v>
      </c>
      <c r="AP71" s="5155" t="s">
        <v>748</v>
      </c>
      <c r="AQ71" s="263" t="s">
        <v>498</v>
      </c>
      <c r="AR71" s="272">
        <v>87</v>
      </c>
      <c r="AS71" s="272">
        <v>108</v>
      </c>
      <c r="AT71" s="272">
        <v>79</v>
      </c>
      <c r="AU71" s="272">
        <v>102</v>
      </c>
      <c r="AV71" s="272">
        <v>74</v>
      </c>
      <c r="AW71" s="272">
        <v>38</v>
      </c>
      <c r="AX71" s="272"/>
      <c r="AY71" s="272"/>
      <c r="AZ71" s="272"/>
    </row>
    <row r="72" spans="3:52" ht="15.75">
      <c r="C72" s="31"/>
      <c r="AE72" s="3446" t="s">
        <v>59</v>
      </c>
      <c r="AF72" s="2914">
        <f t="shared" ref="AF72:AH72" si="8">SUM(AF71,AF66,AF62)</f>
        <v>1205</v>
      </c>
      <c r="AG72" s="2914">
        <f t="shared" si="8"/>
        <v>1388</v>
      </c>
      <c r="AH72" s="2915">
        <f t="shared" si="8"/>
        <v>1528</v>
      </c>
      <c r="AI72" s="2915">
        <f>SUM(AI71,AI66,AI62)</f>
        <v>1654</v>
      </c>
      <c r="AJ72" s="2915">
        <f>SUM(AJ71,AJ66,AJ62)</f>
        <v>2009</v>
      </c>
      <c r="AK72" s="2915">
        <f>SUM(AK71,AK66,AK62)</f>
        <v>2326</v>
      </c>
      <c r="AL72" s="2915">
        <f>SUM(AL71,AL66,AL62)</f>
        <v>2697</v>
      </c>
      <c r="AM72" s="2915">
        <f>SUM(AM71,AM66,AM62)</f>
        <v>3006</v>
      </c>
      <c r="AN72" s="2915">
        <v>3245</v>
      </c>
      <c r="AP72" s="5156"/>
      <c r="AQ72" s="263" t="s">
        <v>1692</v>
      </c>
      <c r="AR72" s="272"/>
      <c r="AS72" s="272"/>
      <c r="AT72" s="272"/>
      <c r="AU72" s="272"/>
      <c r="AV72" s="272"/>
      <c r="AW72" s="272">
        <v>16</v>
      </c>
      <c r="AX72" s="272">
        <v>22</v>
      </c>
      <c r="AY72" s="272">
        <v>10</v>
      </c>
      <c r="AZ72" s="272">
        <v>9</v>
      </c>
    </row>
    <row r="73" spans="3:52" ht="15.75">
      <c r="C73" s="31"/>
      <c r="AE73" s="256" t="s">
        <v>559</v>
      </c>
      <c r="AF73" s="261">
        <v>548</v>
      </c>
      <c r="AG73" s="261">
        <v>527</v>
      </c>
      <c r="AH73" s="261">
        <v>550</v>
      </c>
      <c r="AI73" s="261">
        <v>605</v>
      </c>
      <c r="AJ73" s="261">
        <v>626</v>
      </c>
      <c r="AK73" s="261">
        <v>650</v>
      </c>
      <c r="AL73" s="261">
        <v>665</v>
      </c>
      <c r="AM73" s="261">
        <v>651</v>
      </c>
      <c r="AN73" s="261">
        <v>657</v>
      </c>
      <c r="AP73" s="5156"/>
      <c r="AQ73" s="263" t="s">
        <v>1693</v>
      </c>
      <c r="AR73" s="272"/>
      <c r="AS73" s="272"/>
      <c r="AT73" s="272"/>
      <c r="AU73" s="272"/>
      <c r="AV73" s="272"/>
      <c r="AW73" s="272">
        <v>14</v>
      </c>
      <c r="AX73" s="272">
        <v>18</v>
      </c>
      <c r="AY73" s="272">
        <v>20</v>
      </c>
      <c r="AZ73" s="272">
        <v>15</v>
      </c>
    </row>
    <row r="74" spans="3:52" ht="15.75">
      <c r="C74" s="31"/>
      <c r="AE74" s="254" t="s">
        <v>829</v>
      </c>
      <c r="AF74" s="259">
        <v>89</v>
      </c>
      <c r="AG74" s="259">
        <v>104</v>
      </c>
      <c r="AH74" s="259">
        <v>127</v>
      </c>
      <c r="AI74" s="259">
        <v>140</v>
      </c>
      <c r="AJ74" s="259">
        <v>164</v>
      </c>
      <c r="AK74" s="259">
        <v>157</v>
      </c>
      <c r="AL74" s="259">
        <v>149</v>
      </c>
      <c r="AM74" s="259">
        <v>141</v>
      </c>
      <c r="AN74" s="259">
        <v>142</v>
      </c>
      <c r="AP74" s="5156"/>
      <c r="AQ74" s="263" t="s">
        <v>1694</v>
      </c>
      <c r="AR74" s="272"/>
      <c r="AS74" s="272"/>
      <c r="AT74" s="272"/>
      <c r="AU74" s="272"/>
      <c r="AV74" s="272"/>
      <c r="AW74" s="272">
        <v>21</v>
      </c>
      <c r="AX74" s="272">
        <v>28</v>
      </c>
      <c r="AY74" s="272">
        <v>28</v>
      </c>
      <c r="AZ74" s="272">
        <v>19</v>
      </c>
    </row>
    <row r="75" spans="3:52" ht="30">
      <c r="C75" s="31"/>
      <c r="AE75" s="254" t="s">
        <v>558</v>
      </c>
      <c r="AF75" s="259">
        <v>360</v>
      </c>
      <c r="AG75" s="259">
        <v>405</v>
      </c>
      <c r="AH75" s="259">
        <v>455</v>
      </c>
      <c r="AI75" s="259">
        <v>533</v>
      </c>
      <c r="AJ75" s="259">
        <v>564</v>
      </c>
      <c r="AK75" s="259">
        <v>593</v>
      </c>
      <c r="AL75" s="259">
        <v>604</v>
      </c>
      <c r="AM75" s="259">
        <v>589</v>
      </c>
      <c r="AN75" s="259">
        <v>573</v>
      </c>
      <c r="AP75" s="5156"/>
      <c r="AQ75" s="263" t="s">
        <v>1691</v>
      </c>
      <c r="AR75" s="272"/>
      <c r="AS75" s="272"/>
      <c r="AT75" s="272"/>
      <c r="AU75" s="272"/>
      <c r="AV75" s="272"/>
      <c r="AW75" s="272">
        <v>9</v>
      </c>
      <c r="AX75" s="272">
        <v>21</v>
      </c>
      <c r="AY75" s="272">
        <v>26</v>
      </c>
      <c r="AZ75" s="272">
        <v>23</v>
      </c>
    </row>
    <row r="76" spans="3:52" ht="15" customHeight="1">
      <c r="C76" s="31"/>
      <c r="AE76" s="254" t="s">
        <v>274</v>
      </c>
      <c r="AF76" s="259">
        <v>322</v>
      </c>
      <c r="AG76" s="259">
        <v>378</v>
      </c>
      <c r="AH76" s="259">
        <v>412</v>
      </c>
      <c r="AI76" s="259">
        <v>475</v>
      </c>
      <c r="AJ76" s="259">
        <v>515</v>
      </c>
      <c r="AK76" s="259">
        <v>549</v>
      </c>
      <c r="AL76" s="259">
        <v>549</v>
      </c>
      <c r="AM76" s="259">
        <v>521</v>
      </c>
      <c r="AN76" s="259">
        <v>485</v>
      </c>
      <c r="AP76" s="5156"/>
      <c r="AQ76" s="263" t="s">
        <v>1695</v>
      </c>
      <c r="AR76" s="272"/>
      <c r="AS76" s="272"/>
      <c r="AT76" s="272"/>
      <c r="AU76" s="272"/>
      <c r="AV76" s="272"/>
      <c r="AW76" s="272">
        <v>12</v>
      </c>
      <c r="AX76" s="272">
        <v>24</v>
      </c>
      <c r="AY76" s="272">
        <v>25</v>
      </c>
      <c r="AZ76" s="272">
        <v>17</v>
      </c>
    </row>
    <row r="77" spans="3:52" ht="30">
      <c r="C77" s="31"/>
      <c r="AE77" s="254" t="s">
        <v>29</v>
      </c>
      <c r="AF77" s="259">
        <v>262</v>
      </c>
      <c r="AG77" s="259">
        <v>336</v>
      </c>
      <c r="AH77" s="259">
        <v>405</v>
      </c>
      <c r="AI77" s="259">
        <v>474</v>
      </c>
      <c r="AJ77" s="259">
        <v>516</v>
      </c>
      <c r="AK77" s="259">
        <v>536</v>
      </c>
      <c r="AL77" s="259">
        <v>542</v>
      </c>
      <c r="AM77" s="259">
        <v>544</v>
      </c>
      <c r="AN77" s="259">
        <v>553</v>
      </c>
      <c r="AP77" s="5157"/>
      <c r="AQ77" s="263" t="s">
        <v>1790</v>
      </c>
      <c r="AR77" s="272"/>
      <c r="AS77" s="272"/>
      <c r="AT77" s="272"/>
      <c r="AU77" s="272"/>
      <c r="AV77" s="272"/>
      <c r="AW77" s="272">
        <v>7</v>
      </c>
      <c r="AX77" s="272">
        <v>9</v>
      </c>
      <c r="AY77" s="272">
        <v>14</v>
      </c>
      <c r="AZ77" s="272">
        <v>14</v>
      </c>
    </row>
    <row r="78" spans="3:52" ht="15.75">
      <c r="C78" s="31"/>
      <c r="AE78" s="254" t="s">
        <v>826</v>
      </c>
      <c r="AF78" s="259">
        <v>529</v>
      </c>
      <c r="AG78" s="259">
        <v>517</v>
      </c>
      <c r="AH78" s="259">
        <v>517</v>
      </c>
      <c r="AI78" s="259">
        <v>535</v>
      </c>
      <c r="AJ78" s="259">
        <v>533</v>
      </c>
      <c r="AK78" s="259">
        <v>529</v>
      </c>
      <c r="AL78" s="259">
        <v>505</v>
      </c>
      <c r="AM78" s="259">
        <v>472</v>
      </c>
      <c r="AN78" s="259">
        <v>451</v>
      </c>
      <c r="AP78" s="5155" t="s">
        <v>832</v>
      </c>
      <c r="AQ78" s="268" t="s">
        <v>499</v>
      </c>
      <c r="AR78" s="272">
        <v>62</v>
      </c>
      <c r="AS78" s="272">
        <v>56</v>
      </c>
      <c r="AT78" s="272">
        <v>63</v>
      </c>
      <c r="AU78" s="272">
        <v>55</v>
      </c>
      <c r="AV78" s="272">
        <v>80</v>
      </c>
      <c r="AW78" s="272">
        <v>15</v>
      </c>
      <c r="AX78" s="272"/>
      <c r="AY78" s="272"/>
      <c r="AZ78" s="272"/>
    </row>
    <row r="79" spans="3:52" ht="15.75">
      <c r="C79" s="31"/>
      <c r="AE79" s="254" t="s">
        <v>30</v>
      </c>
      <c r="AF79" s="259">
        <v>377</v>
      </c>
      <c r="AG79" s="259">
        <v>358</v>
      </c>
      <c r="AH79" s="259">
        <v>344</v>
      </c>
      <c r="AI79" s="259">
        <v>370</v>
      </c>
      <c r="AJ79" s="259">
        <v>399</v>
      </c>
      <c r="AK79" s="259">
        <v>414</v>
      </c>
      <c r="AL79" s="259">
        <v>450</v>
      </c>
      <c r="AM79" s="259">
        <v>454</v>
      </c>
      <c r="AN79" s="259">
        <v>462</v>
      </c>
      <c r="AP79" s="5156"/>
      <c r="AQ79" s="263" t="s">
        <v>1692</v>
      </c>
      <c r="AR79" s="272"/>
      <c r="AS79" s="272"/>
      <c r="AT79" s="272"/>
      <c r="AU79" s="272"/>
      <c r="AV79" s="272"/>
      <c r="AW79" s="272">
        <v>4</v>
      </c>
      <c r="AX79" s="272">
        <v>4</v>
      </c>
      <c r="AY79" s="272">
        <v>8</v>
      </c>
      <c r="AZ79" s="272">
        <v>5</v>
      </c>
    </row>
    <row r="80" spans="3:52" ht="15.75">
      <c r="C80" s="31"/>
      <c r="AE80" s="254" t="s">
        <v>31</v>
      </c>
      <c r="AF80" s="259">
        <v>163</v>
      </c>
      <c r="AG80" s="259">
        <v>196</v>
      </c>
      <c r="AH80" s="259">
        <v>234</v>
      </c>
      <c r="AI80" s="259">
        <v>274</v>
      </c>
      <c r="AJ80" s="259">
        <v>309</v>
      </c>
      <c r="AK80" s="259">
        <v>324</v>
      </c>
      <c r="AL80" s="259">
        <v>358</v>
      </c>
      <c r="AM80" s="259">
        <v>351</v>
      </c>
      <c r="AN80" s="259">
        <v>384</v>
      </c>
      <c r="AP80" s="5156"/>
      <c r="AQ80" s="263" t="s">
        <v>1693</v>
      </c>
      <c r="AR80" s="272"/>
      <c r="AS80" s="272"/>
      <c r="AT80" s="272"/>
      <c r="AU80" s="272"/>
      <c r="AV80" s="272"/>
      <c r="AW80" s="272">
        <v>9</v>
      </c>
      <c r="AX80" s="272">
        <v>11</v>
      </c>
      <c r="AY80" s="272">
        <v>12</v>
      </c>
      <c r="AZ80" s="272">
        <v>7</v>
      </c>
    </row>
    <row r="81" spans="3:52" ht="15.75">
      <c r="C81" s="31"/>
      <c r="AE81" s="254" t="s">
        <v>32</v>
      </c>
      <c r="AF81" s="259">
        <v>730</v>
      </c>
      <c r="AG81" s="259">
        <v>713</v>
      </c>
      <c r="AH81" s="259">
        <v>686</v>
      </c>
      <c r="AI81" s="259">
        <v>691</v>
      </c>
      <c r="AJ81" s="259">
        <v>666</v>
      </c>
      <c r="AK81" s="259">
        <v>633</v>
      </c>
      <c r="AL81" s="259">
        <v>626</v>
      </c>
      <c r="AM81" s="259">
        <v>583</v>
      </c>
      <c r="AN81" s="259">
        <v>559</v>
      </c>
      <c r="AP81" s="5156"/>
      <c r="AQ81" s="263" t="s">
        <v>1694</v>
      </c>
      <c r="AR81" s="272"/>
      <c r="AS81" s="272"/>
      <c r="AT81" s="272"/>
      <c r="AU81" s="272"/>
      <c r="AV81" s="272"/>
      <c r="AW81" s="272">
        <v>23</v>
      </c>
      <c r="AX81" s="272">
        <v>28</v>
      </c>
      <c r="AY81" s="272">
        <v>34</v>
      </c>
      <c r="AZ81" s="272">
        <v>24</v>
      </c>
    </row>
    <row r="82" spans="3:52" ht="30">
      <c r="C82" s="31"/>
      <c r="AE82" s="254" t="s">
        <v>1882</v>
      </c>
      <c r="AF82" s="259"/>
      <c r="AG82" s="259"/>
      <c r="AH82" s="259"/>
      <c r="AI82" s="259"/>
      <c r="AJ82" s="259"/>
      <c r="AK82" s="259"/>
      <c r="AL82" s="259">
        <v>31</v>
      </c>
      <c r="AM82" s="259">
        <v>51</v>
      </c>
      <c r="AN82" s="259">
        <v>71</v>
      </c>
      <c r="AP82" s="5156"/>
      <c r="AQ82" s="263" t="s">
        <v>1691</v>
      </c>
      <c r="AR82" s="272"/>
      <c r="AS82" s="272"/>
      <c r="AT82" s="272"/>
      <c r="AU82" s="272"/>
      <c r="AV82" s="272"/>
      <c r="AW82" s="272">
        <v>2</v>
      </c>
      <c r="AX82" s="272">
        <v>2</v>
      </c>
      <c r="AY82" s="272">
        <v>5</v>
      </c>
      <c r="AZ82" s="272">
        <v>4</v>
      </c>
    </row>
    <row r="83" spans="3:52" ht="15.75">
      <c r="C83" s="31"/>
      <c r="AE83" s="2944" t="s">
        <v>4</v>
      </c>
      <c r="AF83" s="2945">
        <f t="shared" ref="AF83:AH83" si="9">SUM(AF73:AF81)</f>
        <v>3380</v>
      </c>
      <c r="AG83" s="2945">
        <f t="shared" si="9"/>
        <v>3534</v>
      </c>
      <c r="AH83" s="2945">
        <f t="shared" si="9"/>
        <v>3730</v>
      </c>
      <c r="AI83" s="2945">
        <f>SUM(AI73:AI81)</f>
        <v>4097</v>
      </c>
      <c r="AJ83" s="2945">
        <f>SUM(AJ73:AJ81)</f>
        <v>4292</v>
      </c>
      <c r="AK83" s="2945">
        <f>SUM(AK73:AK81)</f>
        <v>4385</v>
      </c>
      <c r="AL83" s="2945">
        <f>SUM(AL73:AL82)</f>
        <v>4479</v>
      </c>
      <c r="AM83" s="2946">
        <f>SUM(AM73:AM82)</f>
        <v>4357</v>
      </c>
      <c r="AN83" s="2946">
        <v>4337</v>
      </c>
      <c r="AP83" s="5156"/>
      <c r="AQ83" s="263" t="s">
        <v>1695</v>
      </c>
      <c r="AR83" s="272"/>
      <c r="AS83" s="272"/>
      <c r="AT83" s="272"/>
      <c r="AU83" s="272"/>
      <c r="AV83" s="272"/>
      <c r="AW83" s="272">
        <v>18</v>
      </c>
      <c r="AX83" s="272">
        <v>26</v>
      </c>
      <c r="AY83" s="272">
        <v>28</v>
      </c>
      <c r="AZ83" s="272">
        <v>18</v>
      </c>
    </row>
    <row r="84" spans="3:52" ht="30">
      <c r="C84" s="31"/>
      <c r="AE84" s="253" t="s">
        <v>17</v>
      </c>
      <c r="AF84" s="258">
        <v>1280</v>
      </c>
      <c r="AG84" s="258">
        <v>1266</v>
      </c>
      <c r="AH84" s="258">
        <v>1300</v>
      </c>
      <c r="AI84" s="258">
        <v>1308</v>
      </c>
      <c r="AJ84" s="258">
        <v>1232</v>
      </c>
      <c r="AK84" s="258">
        <v>1207</v>
      </c>
      <c r="AL84" s="258">
        <v>1180</v>
      </c>
      <c r="AM84" s="258">
        <v>1157</v>
      </c>
      <c r="AN84" s="258">
        <v>1148</v>
      </c>
      <c r="AP84" s="5157"/>
      <c r="AQ84" s="263" t="s">
        <v>1790</v>
      </c>
      <c r="AR84" s="272"/>
      <c r="AS84" s="272"/>
      <c r="AT84" s="272"/>
      <c r="AU84" s="272"/>
      <c r="AV84" s="272"/>
      <c r="AW84" s="2936">
        <v>0</v>
      </c>
      <c r="AX84" s="2936"/>
      <c r="AY84" s="2936">
        <v>3</v>
      </c>
      <c r="AZ84" s="2936">
        <v>4</v>
      </c>
    </row>
    <row r="85" spans="3:52" ht="15.75">
      <c r="C85" s="31"/>
      <c r="AE85" s="254" t="s">
        <v>33</v>
      </c>
      <c r="AF85" s="259">
        <v>381</v>
      </c>
      <c r="AG85" s="259">
        <v>388</v>
      </c>
      <c r="AH85" s="259">
        <v>416</v>
      </c>
      <c r="AI85" s="259">
        <v>406</v>
      </c>
      <c r="AJ85" s="259">
        <v>411</v>
      </c>
      <c r="AK85" s="259">
        <v>409</v>
      </c>
      <c r="AL85" s="259">
        <v>420</v>
      </c>
      <c r="AM85" s="259">
        <v>384</v>
      </c>
      <c r="AN85" s="259">
        <v>393</v>
      </c>
      <c r="AP85" s="3451"/>
      <c r="AQ85" s="2929" t="s">
        <v>21</v>
      </c>
      <c r="AR85" s="2937">
        <f t="shared" ref="AR85:AT85" si="10">SUM(AR68:AR78)</f>
        <v>251</v>
      </c>
      <c r="AS85" s="2937">
        <f t="shared" si="10"/>
        <v>184</v>
      </c>
      <c r="AT85" s="2937">
        <f t="shared" si="10"/>
        <v>237</v>
      </c>
      <c r="AU85" s="2937">
        <f>SUM(AU68:AU78)</f>
        <v>180</v>
      </c>
      <c r="AV85" s="2937">
        <f>SUM(AV68:AV78)</f>
        <v>224</v>
      </c>
      <c r="AW85" s="2937">
        <f>SUM(AW68:AW84)</f>
        <v>212</v>
      </c>
      <c r="AX85" s="2937">
        <f>SUM(AX68:AX84)</f>
        <v>202</v>
      </c>
      <c r="AY85" s="2937">
        <f>SUM(AY68:AY84)</f>
        <v>227</v>
      </c>
      <c r="AZ85" s="2937">
        <v>184</v>
      </c>
    </row>
    <row r="86" spans="3:52" ht="15" customHeight="1">
      <c r="C86" s="31"/>
      <c r="AE86" s="254" t="s">
        <v>34</v>
      </c>
      <c r="AF86" s="259">
        <v>419</v>
      </c>
      <c r="AG86" s="259">
        <v>425</v>
      </c>
      <c r="AH86" s="259">
        <v>431</v>
      </c>
      <c r="AI86" s="259">
        <v>409</v>
      </c>
      <c r="AJ86" s="259">
        <v>409</v>
      </c>
      <c r="AK86" s="259">
        <v>428</v>
      </c>
      <c r="AL86" s="259">
        <v>434</v>
      </c>
      <c r="AM86" s="259">
        <v>444</v>
      </c>
      <c r="AN86" s="259">
        <v>454</v>
      </c>
      <c r="AP86" s="3452"/>
      <c r="AQ86" s="2930" t="s">
        <v>107</v>
      </c>
      <c r="AR86" s="2938">
        <f t="shared" ref="AR86:AT86" si="11">SUM(AR50,AR67,AR85)</f>
        <v>599</v>
      </c>
      <c r="AS86" s="2938">
        <f t="shared" si="11"/>
        <v>575</v>
      </c>
      <c r="AT86" s="2938">
        <f t="shared" si="11"/>
        <v>590</v>
      </c>
      <c r="AU86" s="2938">
        <f>SUM(AU50,AU67,AU85)</f>
        <v>607</v>
      </c>
      <c r="AV86" s="2938">
        <f>SUM(AV50,AV67,AV85)</f>
        <v>698</v>
      </c>
      <c r="AW86" s="2938">
        <f>SUM(AW50,AW67,AW85)</f>
        <v>707</v>
      </c>
      <c r="AX86" s="2938">
        <f>SUM(AX50,AX67,AX85)</f>
        <v>727</v>
      </c>
      <c r="AY86" s="2938">
        <f>SUM(AY50,AY67,AY85)</f>
        <v>816</v>
      </c>
      <c r="AZ86" s="2938">
        <v>768</v>
      </c>
    </row>
    <row r="87" spans="3:52" ht="15.75">
      <c r="C87" s="31"/>
      <c r="AE87" s="254" t="s">
        <v>35</v>
      </c>
      <c r="AF87" s="259">
        <v>453</v>
      </c>
      <c r="AG87" s="259">
        <v>455</v>
      </c>
      <c r="AH87" s="259">
        <v>472</v>
      </c>
      <c r="AI87" s="259">
        <v>496</v>
      </c>
      <c r="AJ87" s="259">
        <v>499</v>
      </c>
      <c r="AK87" s="259">
        <v>504</v>
      </c>
      <c r="AL87" s="259">
        <v>496</v>
      </c>
      <c r="AM87" s="259">
        <v>505</v>
      </c>
      <c r="AN87" s="259">
        <v>531</v>
      </c>
      <c r="AP87" s="3453" t="s">
        <v>747</v>
      </c>
      <c r="AQ87" s="2050" t="s">
        <v>1883</v>
      </c>
      <c r="AR87" s="272"/>
      <c r="AS87" s="272"/>
      <c r="AT87" s="272"/>
      <c r="AU87" s="272"/>
      <c r="AV87" s="272"/>
      <c r="AW87" s="272"/>
      <c r="AX87" s="272">
        <v>2</v>
      </c>
      <c r="AY87" s="272">
        <v>4</v>
      </c>
      <c r="AZ87" s="272">
        <v>5</v>
      </c>
    </row>
    <row r="88" spans="3:52" ht="15.75">
      <c r="C88" s="31"/>
      <c r="AE88" s="254" t="s">
        <v>19</v>
      </c>
      <c r="AF88" s="259">
        <v>555</v>
      </c>
      <c r="AG88" s="259">
        <v>563</v>
      </c>
      <c r="AH88" s="259">
        <v>598</v>
      </c>
      <c r="AI88" s="259">
        <v>625</v>
      </c>
      <c r="AJ88" s="259">
        <v>628</v>
      </c>
      <c r="AK88" s="259">
        <v>643</v>
      </c>
      <c r="AL88" s="259">
        <v>661</v>
      </c>
      <c r="AM88" s="259">
        <v>679</v>
      </c>
      <c r="AN88" s="259">
        <v>669</v>
      </c>
      <c r="AP88" s="5155" t="s">
        <v>748</v>
      </c>
      <c r="AQ88" s="2051" t="s">
        <v>121</v>
      </c>
      <c r="AR88" s="272">
        <v>12</v>
      </c>
      <c r="AS88" s="272">
        <v>16</v>
      </c>
      <c r="AT88" s="272">
        <v>29</v>
      </c>
      <c r="AU88" s="272">
        <v>30</v>
      </c>
      <c r="AV88" s="272">
        <v>30</v>
      </c>
      <c r="AW88" s="272">
        <v>36</v>
      </c>
      <c r="AX88" s="272">
        <v>49</v>
      </c>
      <c r="AY88" s="272">
        <v>63</v>
      </c>
      <c r="AZ88" s="272">
        <v>66</v>
      </c>
    </row>
    <row r="89" spans="3:52" ht="15.75">
      <c r="C89" s="31"/>
      <c r="AE89" s="254" t="s">
        <v>20</v>
      </c>
      <c r="AF89" s="259">
        <v>541</v>
      </c>
      <c r="AG89" s="259">
        <v>540</v>
      </c>
      <c r="AH89" s="259">
        <v>571</v>
      </c>
      <c r="AI89" s="259">
        <v>610</v>
      </c>
      <c r="AJ89" s="259">
        <v>623</v>
      </c>
      <c r="AK89" s="259">
        <v>609</v>
      </c>
      <c r="AL89" s="259">
        <v>617</v>
      </c>
      <c r="AM89" s="259">
        <v>595</v>
      </c>
      <c r="AN89" s="259">
        <v>597</v>
      </c>
      <c r="AP89" s="5156"/>
      <c r="AQ89" s="2050" t="s">
        <v>122</v>
      </c>
      <c r="AR89" s="272">
        <v>52</v>
      </c>
      <c r="AS89" s="272">
        <v>72</v>
      </c>
      <c r="AT89" s="272">
        <v>96</v>
      </c>
      <c r="AU89" s="272">
        <v>74</v>
      </c>
      <c r="AV89" s="272">
        <v>82</v>
      </c>
      <c r="AW89" s="272">
        <v>79</v>
      </c>
      <c r="AX89" s="272">
        <v>71</v>
      </c>
      <c r="AY89" s="272">
        <v>59</v>
      </c>
      <c r="AZ89" s="272">
        <v>55</v>
      </c>
    </row>
    <row r="90" spans="3:52" ht="15.75">
      <c r="C90" s="31"/>
      <c r="AE90" s="254" t="s">
        <v>36</v>
      </c>
      <c r="AF90" s="259">
        <v>495</v>
      </c>
      <c r="AG90" s="259">
        <v>493</v>
      </c>
      <c r="AH90" s="259">
        <v>506</v>
      </c>
      <c r="AI90" s="259">
        <v>508</v>
      </c>
      <c r="AJ90" s="259">
        <v>532</v>
      </c>
      <c r="AK90" s="259">
        <v>537</v>
      </c>
      <c r="AL90" s="259">
        <v>533</v>
      </c>
      <c r="AM90" s="259">
        <v>531</v>
      </c>
      <c r="AN90" s="259">
        <v>548</v>
      </c>
      <c r="AP90" s="5156"/>
      <c r="AQ90" s="2050" t="s">
        <v>123</v>
      </c>
      <c r="AR90" s="272">
        <v>18</v>
      </c>
      <c r="AS90" s="272">
        <v>17</v>
      </c>
      <c r="AT90" s="272">
        <v>68</v>
      </c>
      <c r="AU90" s="272">
        <v>18</v>
      </c>
      <c r="AV90" s="272">
        <v>20</v>
      </c>
      <c r="AW90" s="272">
        <v>22</v>
      </c>
      <c r="AX90" s="272">
        <v>36</v>
      </c>
      <c r="AY90" s="272">
        <v>36</v>
      </c>
      <c r="AZ90" s="272">
        <v>24</v>
      </c>
    </row>
    <row r="91" spans="3:52" ht="15.75">
      <c r="C91" s="31"/>
      <c r="AE91" s="254" t="s">
        <v>560</v>
      </c>
      <c r="AF91" s="259">
        <v>213</v>
      </c>
      <c r="AG91" s="259">
        <v>228</v>
      </c>
      <c r="AH91" s="259">
        <v>259</v>
      </c>
      <c r="AI91" s="259">
        <v>273</v>
      </c>
      <c r="AJ91" s="259">
        <v>283</v>
      </c>
      <c r="AK91" s="259">
        <v>284</v>
      </c>
      <c r="AL91" s="259">
        <v>294</v>
      </c>
      <c r="AM91" s="259">
        <v>299</v>
      </c>
      <c r="AN91" s="259">
        <v>320</v>
      </c>
      <c r="AP91" s="5156"/>
      <c r="AQ91" s="2050" t="s">
        <v>124</v>
      </c>
      <c r="AR91" s="272">
        <v>38</v>
      </c>
      <c r="AS91" s="272">
        <v>30</v>
      </c>
      <c r="AT91" s="272">
        <v>36</v>
      </c>
      <c r="AU91" s="272">
        <v>31</v>
      </c>
      <c r="AV91" s="272">
        <v>26</v>
      </c>
      <c r="AW91" s="272">
        <v>32</v>
      </c>
      <c r="AX91" s="272">
        <v>35</v>
      </c>
      <c r="AY91" s="272">
        <v>35</v>
      </c>
      <c r="AZ91" s="272">
        <v>37</v>
      </c>
    </row>
    <row r="92" spans="3:52" ht="15.75">
      <c r="C92" s="31"/>
      <c r="AE92" s="254" t="s">
        <v>38</v>
      </c>
      <c r="AF92" s="259">
        <v>659</v>
      </c>
      <c r="AG92" s="259">
        <v>658</v>
      </c>
      <c r="AH92" s="259">
        <v>689</v>
      </c>
      <c r="AI92" s="259">
        <v>692</v>
      </c>
      <c r="AJ92" s="259">
        <v>677</v>
      </c>
      <c r="AK92" s="259">
        <v>694</v>
      </c>
      <c r="AL92" s="259">
        <v>683</v>
      </c>
      <c r="AM92" s="259">
        <v>688</v>
      </c>
      <c r="AN92" s="259">
        <v>665</v>
      </c>
      <c r="AP92" s="5156"/>
      <c r="AQ92" s="2050" t="s">
        <v>125</v>
      </c>
      <c r="AR92" s="272">
        <v>52</v>
      </c>
      <c r="AS92" s="272">
        <v>58</v>
      </c>
      <c r="AT92" s="272">
        <v>56</v>
      </c>
      <c r="AU92" s="272">
        <v>43</v>
      </c>
      <c r="AV92" s="272">
        <v>32</v>
      </c>
      <c r="AW92" s="272">
        <v>26</v>
      </c>
      <c r="AX92" s="272">
        <v>32</v>
      </c>
      <c r="AY92" s="272">
        <v>33</v>
      </c>
      <c r="AZ92" s="272">
        <v>33</v>
      </c>
    </row>
    <row r="93" spans="3:52" ht="15.75">
      <c r="C93" s="31"/>
      <c r="AE93" s="254" t="s">
        <v>39</v>
      </c>
      <c r="AF93" s="259">
        <v>1062</v>
      </c>
      <c r="AG93" s="259">
        <v>1100</v>
      </c>
      <c r="AH93" s="259">
        <v>1080</v>
      </c>
      <c r="AI93" s="259">
        <v>1046</v>
      </c>
      <c r="AJ93" s="259">
        <v>1021</v>
      </c>
      <c r="AK93" s="259">
        <v>989</v>
      </c>
      <c r="AL93" s="259">
        <v>1039</v>
      </c>
      <c r="AM93" s="259">
        <v>998</v>
      </c>
      <c r="AN93" s="259">
        <v>1024</v>
      </c>
      <c r="AP93" s="5156"/>
      <c r="AQ93" s="2050" t="s">
        <v>286</v>
      </c>
      <c r="AR93" s="272">
        <v>48</v>
      </c>
      <c r="AS93" s="272">
        <v>58</v>
      </c>
      <c r="AT93" s="272">
        <v>60</v>
      </c>
      <c r="AU93" s="272">
        <v>52</v>
      </c>
      <c r="AV93" s="272">
        <v>47</v>
      </c>
      <c r="AW93" s="272">
        <v>41</v>
      </c>
      <c r="AX93" s="272">
        <v>38</v>
      </c>
      <c r="AY93" s="272">
        <v>36</v>
      </c>
      <c r="AZ93" s="272">
        <v>32</v>
      </c>
    </row>
    <row r="94" spans="3:52" ht="15.75">
      <c r="C94" s="31"/>
      <c r="AE94" s="254" t="s">
        <v>40</v>
      </c>
      <c r="AF94" s="259">
        <v>194</v>
      </c>
      <c r="AG94" s="259">
        <v>212</v>
      </c>
      <c r="AH94" s="259">
        <v>241</v>
      </c>
      <c r="AI94" s="259">
        <v>272</v>
      </c>
      <c r="AJ94" s="259">
        <v>289</v>
      </c>
      <c r="AK94" s="259">
        <v>293</v>
      </c>
      <c r="AL94" s="259">
        <v>299</v>
      </c>
      <c r="AM94" s="259">
        <v>300</v>
      </c>
      <c r="AN94" s="259">
        <v>309</v>
      </c>
      <c r="AP94" s="5157"/>
      <c r="AQ94" s="2050" t="s">
        <v>834</v>
      </c>
      <c r="AR94" s="272"/>
      <c r="AS94" s="272"/>
      <c r="AT94" s="272"/>
      <c r="AU94" s="272">
        <v>25</v>
      </c>
      <c r="AV94" s="272">
        <v>33</v>
      </c>
      <c r="AW94" s="272">
        <v>44</v>
      </c>
      <c r="AX94" s="272">
        <v>63</v>
      </c>
      <c r="AY94" s="272">
        <v>62</v>
      </c>
      <c r="AZ94" s="272">
        <v>57</v>
      </c>
    </row>
    <row r="95" spans="3:52" ht="15.75">
      <c r="C95" s="31"/>
      <c r="AE95" s="2944" t="s">
        <v>16</v>
      </c>
      <c r="AF95" s="2945">
        <f t="shared" ref="AF95:AH95" si="12">SUM(AF84:AF94)</f>
        <v>6252</v>
      </c>
      <c r="AG95" s="2945">
        <f t="shared" si="12"/>
        <v>6328</v>
      </c>
      <c r="AH95" s="2945">
        <f t="shared" si="12"/>
        <v>6563</v>
      </c>
      <c r="AI95" s="2945">
        <f>SUM(AI84:AI94)</f>
        <v>6645</v>
      </c>
      <c r="AJ95" s="2945">
        <f>SUM(AJ84:AJ94)</f>
        <v>6604</v>
      </c>
      <c r="AK95" s="2945">
        <f>SUM(AK84:AK94)</f>
        <v>6597</v>
      </c>
      <c r="AL95" s="2945">
        <f>SUM(AL84:AL94)</f>
        <v>6656</v>
      </c>
      <c r="AM95" s="2946">
        <f>SUM(AM84:AM94)</f>
        <v>6580</v>
      </c>
      <c r="AN95" s="2946">
        <v>6658</v>
      </c>
      <c r="AP95" s="5155" t="s">
        <v>832</v>
      </c>
      <c r="AQ95" s="264" t="s">
        <v>121</v>
      </c>
      <c r="AR95" s="272">
        <v>30</v>
      </c>
      <c r="AS95" s="272">
        <v>27</v>
      </c>
      <c r="AT95" s="272">
        <v>19</v>
      </c>
      <c r="AU95" s="272">
        <v>24</v>
      </c>
      <c r="AV95" s="272">
        <v>26</v>
      </c>
      <c r="AW95" s="272">
        <v>27</v>
      </c>
      <c r="AX95" s="272">
        <v>25</v>
      </c>
      <c r="AY95" s="272">
        <v>25</v>
      </c>
      <c r="AZ95" s="272">
        <v>33</v>
      </c>
    </row>
    <row r="96" spans="3:52" ht="15.75">
      <c r="C96" s="31"/>
      <c r="AE96" s="253" t="s">
        <v>42</v>
      </c>
      <c r="AF96" s="258">
        <v>743</v>
      </c>
      <c r="AG96" s="258">
        <v>787</v>
      </c>
      <c r="AH96" s="258">
        <v>824</v>
      </c>
      <c r="AI96" s="258">
        <v>862</v>
      </c>
      <c r="AJ96" s="258">
        <v>875</v>
      </c>
      <c r="AK96" s="258">
        <v>856</v>
      </c>
      <c r="AL96" s="258">
        <v>854</v>
      </c>
      <c r="AM96" s="258">
        <v>803</v>
      </c>
      <c r="AN96" s="258">
        <v>750</v>
      </c>
      <c r="AP96" s="5156"/>
      <c r="AQ96" s="264" t="s">
        <v>122</v>
      </c>
      <c r="AR96" s="272">
        <v>51</v>
      </c>
      <c r="AS96" s="272">
        <v>58</v>
      </c>
      <c r="AT96" s="272">
        <v>43</v>
      </c>
      <c r="AU96" s="272">
        <v>62</v>
      </c>
      <c r="AV96" s="272">
        <v>61</v>
      </c>
      <c r="AW96" s="272">
        <v>63</v>
      </c>
      <c r="AX96" s="272">
        <v>61</v>
      </c>
      <c r="AY96" s="272">
        <v>52</v>
      </c>
      <c r="AZ96" s="272">
        <v>49</v>
      </c>
    </row>
    <row r="97" spans="3:52" ht="15.75">
      <c r="C97" s="31"/>
      <c r="AE97" s="254" t="s">
        <v>43</v>
      </c>
      <c r="AF97" s="259">
        <v>559</v>
      </c>
      <c r="AG97" s="259">
        <v>578</v>
      </c>
      <c r="AH97" s="259">
        <v>600</v>
      </c>
      <c r="AI97" s="259">
        <v>664</v>
      </c>
      <c r="AJ97" s="259">
        <v>706</v>
      </c>
      <c r="AK97" s="259">
        <v>709</v>
      </c>
      <c r="AL97" s="259">
        <v>728</v>
      </c>
      <c r="AM97" s="259">
        <v>721</v>
      </c>
      <c r="AN97" s="259">
        <v>679</v>
      </c>
      <c r="AP97" s="5156"/>
      <c r="AQ97" s="264" t="s">
        <v>123</v>
      </c>
      <c r="AR97" s="272">
        <v>90</v>
      </c>
      <c r="AS97" s="272">
        <v>93</v>
      </c>
      <c r="AT97" s="272">
        <v>49</v>
      </c>
      <c r="AU97" s="272">
        <v>100</v>
      </c>
      <c r="AV97" s="272">
        <v>104</v>
      </c>
      <c r="AW97" s="272">
        <v>86</v>
      </c>
      <c r="AX97" s="272">
        <v>70</v>
      </c>
      <c r="AY97" s="272">
        <v>63</v>
      </c>
      <c r="AZ97" s="272">
        <v>61</v>
      </c>
    </row>
    <row r="98" spans="3:52" ht="15.75">
      <c r="C98" s="31"/>
      <c r="AE98" s="254" t="s">
        <v>44</v>
      </c>
      <c r="AF98" s="259">
        <v>352</v>
      </c>
      <c r="AG98" s="259">
        <v>412</v>
      </c>
      <c r="AH98" s="259">
        <v>474</v>
      </c>
      <c r="AI98" s="259">
        <v>532</v>
      </c>
      <c r="AJ98" s="259">
        <v>536</v>
      </c>
      <c r="AK98" s="259">
        <v>562</v>
      </c>
      <c r="AL98" s="259">
        <v>551</v>
      </c>
      <c r="AM98" s="259">
        <v>553</v>
      </c>
      <c r="AN98" s="259">
        <v>502</v>
      </c>
      <c r="AP98" s="5156"/>
      <c r="AQ98" s="264" t="s">
        <v>124</v>
      </c>
      <c r="AR98" s="272">
        <v>34</v>
      </c>
      <c r="AS98" s="272">
        <v>43</v>
      </c>
      <c r="AT98" s="272">
        <v>40</v>
      </c>
      <c r="AU98" s="272">
        <v>41</v>
      </c>
      <c r="AV98" s="272">
        <v>37</v>
      </c>
      <c r="AW98" s="272">
        <v>41</v>
      </c>
      <c r="AX98" s="272">
        <v>40</v>
      </c>
      <c r="AY98" s="272">
        <v>37</v>
      </c>
      <c r="AZ98" s="272">
        <v>43</v>
      </c>
    </row>
    <row r="99" spans="3:52" ht="15.75">
      <c r="C99" s="31"/>
      <c r="AE99" s="254" t="s">
        <v>45</v>
      </c>
      <c r="AF99" s="259">
        <v>215</v>
      </c>
      <c r="AG99" s="259">
        <v>251</v>
      </c>
      <c r="AH99" s="259">
        <v>283</v>
      </c>
      <c r="AI99" s="259">
        <v>321</v>
      </c>
      <c r="AJ99" s="259">
        <v>357</v>
      </c>
      <c r="AK99" s="259">
        <v>363</v>
      </c>
      <c r="AL99" s="259">
        <v>349</v>
      </c>
      <c r="AM99" s="259">
        <v>342</v>
      </c>
      <c r="AN99" s="259">
        <v>321</v>
      </c>
      <c r="AP99" s="5156"/>
      <c r="AQ99" s="264" t="s">
        <v>125</v>
      </c>
      <c r="AR99" s="272">
        <v>21</v>
      </c>
      <c r="AS99" s="272">
        <v>19</v>
      </c>
      <c r="AT99" s="272">
        <v>18</v>
      </c>
      <c r="AU99" s="272">
        <v>27</v>
      </c>
      <c r="AV99" s="272">
        <v>29</v>
      </c>
      <c r="AW99" s="272">
        <v>32</v>
      </c>
      <c r="AX99" s="272">
        <v>29</v>
      </c>
      <c r="AY99" s="272">
        <v>26</v>
      </c>
      <c r="AZ99" s="272">
        <v>25</v>
      </c>
    </row>
    <row r="100" spans="3:52" ht="15.75">
      <c r="C100" s="31"/>
      <c r="AE100" s="254" t="s">
        <v>275</v>
      </c>
      <c r="AF100" s="259">
        <v>914</v>
      </c>
      <c r="AG100" s="259">
        <v>934</v>
      </c>
      <c r="AH100" s="259">
        <v>1018</v>
      </c>
      <c r="AI100" s="259">
        <v>1077</v>
      </c>
      <c r="AJ100" s="259">
        <v>1094</v>
      </c>
      <c r="AK100" s="259">
        <v>1104</v>
      </c>
      <c r="AL100" s="259">
        <v>1120</v>
      </c>
      <c r="AM100" s="259">
        <v>1121</v>
      </c>
      <c r="AN100" s="259">
        <v>1078</v>
      </c>
      <c r="AP100" s="5156"/>
      <c r="AQ100" s="264" t="s">
        <v>500</v>
      </c>
      <c r="AR100" s="273"/>
      <c r="AS100" s="273">
        <v>6</v>
      </c>
      <c r="AT100" s="273">
        <v>6</v>
      </c>
      <c r="AU100" s="273">
        <v>24</v>
      </c>
      <c r="AV100" s="273">
        <v>31</v>
      </c>
      <c r="AW100" s="273">
        <v>29</v>
      </c>
      <c r="AX100" s="273">
        <v>30</v>
      </c>
      <c r="AY100" s="273">
        <v>28</v>
      </c>
      <c r="AZ100" s="273">
        <v>27</v>
      </c>
    </row>
    <row r="101" spans="3:52" ht="15.75">
      <c r="C101" s="31"/>
      <c r="AE101" s="254" t="s">
        <v>276</v>
      </c>
      <c r="AF101" s="259">
        <v>973</v>
      </c>
      <c r="AG101" s="259">
        <v>1017</v>
      </c>
      <c r="AH101" s="259">
        <v>1055</v>
      </c>
      <c r="AI101" s="259">
        <v>1117</v>
      </c>
      <c r="AJ101" s="259">
        <v>1118</v>
      </c>
      <c r="AK101" s="259">
        <v>1101</v>
      </c>
      <c r="AL101" s="259">
        <v>1041</v>
      </c>
      <c r="AM101" s="259">
        <v>1009</v>
      </c>
      <c r="AN101" s="259">
        <v>976</v>
      </c>
      <c r="AP101" s="5156"/>
      <c r="AQ101" s="264" t="s">
        <v>2366</v>
      </c>
      <c r="AR101" s="272">
        <v>8</v>
      </c>
      <c r="AS101" s="272"/>
      <c r="AT101" s="272"/>
      <c r="AU101" s="272"/>
      <c r="AV101" s="272"/>
      <c r="AW101" s="272"/>
      <c r="AX101" s="272"/>
      <c r="AY101" s="272"/>
      <c r="AZ101" s="272"/>
    </row>
    <row r="102" spans="3:52" ht="15.75">
      <c r="C102" s="31"/>
      <c r="AE102" s="2944" t="s">
        <v>41</v>
      </c>
      <c r="AF102" s="2945">
        <f t="shared" ref="AF102:AH102" si="13">SUM(AF96:AF101)</f>
        <v>3756</v>
      </c>
      <c r="AG102" s="2945">
        <f t="shared" si="13"/>
        <v>3979</v>
      </c>
      <c r="AH102" s="2945">
        <f t="shared" si="13"/>
        <v>4254</v>
      </c>
      <c r="AI102" s="2945">
        <f>SUM(AI96:AI101)</f>
        <v>4573</v>
      </c>
      <c r="AJ102" s="2945">
        <f>SUM(AJ96:AJ101)</f>
        <v>4686</v>
      </c>
      <c r="AK102" s="2945">
        <f>SUM(AK96:AK101)</f>
        <v>4695</v>
      </c>
      <c r="AL102" s="2945">
        <f>SUM(AL96:AL101)</f>
        <v>4643</v>
      </c>
      <c r="AM102" s="2946">
        <f>SUM(AM96:AM101)</f>
        <v>4549</v>
      </c>
      <c r="AN102" s="2946">
        <v>4306</v>
      </c>
      <c r="AP102" s="5157"/>
      <c r="AQ102" s="264" t="s">
        <v>834</v>
      </c>
      <c r="AR102" s="272"/>
      <c r="AS102" s="272"/>
      <c r="AT102" s="272"/>
      <c r="AU102" s="272">
        <v>5</v>
      </c>
      <c r="AV102" s="272">
        <v>8</v>
      </c>
      <c r="AW102" s="272">
        <v>10</v>
      </c>
      <c r="AX102" s="272">
        <v>14</v>
      </c>
      <c r="AY102" s="272">
        <v>16</v>
      </c>
      <c r="AZ102" s="272">
        <v>21</v>
      </c>
    </row>
    <row r="103" spans="3:52" ht="15" customHeight="1">
      <c r="C103" s="31"/>
      <c r="AE103" s="3447" t="s">
        <v>25</v>
      </c>
      <c r="AF103" s="2916">
        <f t="shared" ref="AF103:AH103" si="14">SUM(AF102,AF95,AF83)</f>
        <v>13388</v>
      </c>
      <c r="AG103" s="2916">
        <f t="shared" si="14"/>
        <v>13841</v>
      </c>
      <c r="AH103" s="2917">
        <f t="shared" si="14"/>
        <v>14547</v>
      </c>
      <c r="AI103" s="2917">
        <f>SUM(AI102,AI95,AI83)</f>
        <v>15315</v>
      </c>
      <c r="AJ103" s="2917">
        <f>SUM(AJ102,AJ95,AJ83)</f>
        <v>15582</v>
      </c>
      <c r="AK103" s="2917">
        <f>SUM(AK102,AK95,AK83)</f>
        <v>15677</v>
      </c>
      <c r="AL103" s="2917">
        <f>SUM(AL102,AL95,AL83)</f>
        <v>15778</v>
      </c>
      <c r="AM103" s="2917">
        <f>SUM(AM102,AM95,AM83)</f>
        <v>15486</v>
      </c>
      <c r="AN103" s="2917">
        <v>15301</v>
      </c>
      <c r="AP103" s="3451"/>
      <c r="AQ103" s="2928" t="s">
        <v>4</v>
      </c>
      <c r="AR103" s="2937">
        <f t="shared" ref="AR103:AT103" si="15">SUM(AR88:AR101)</f>
        <v>454</v>
      </c>
      <c r="AS103" s="2937">
        <f t="shared" si="15"/>
        <v>497</v>
      </c>
      <c r="AT103" s="2937">
        <f t="shared" si="15"/>
        <v>520</v>
      </c>
      <c r="AU103" s="2937">
        <f>SUM(AU88:AU102)</f>
        <v>556</v>
      </c>
      <c r="AV103" s="2937">
        <f>SUM(AV88:AV102)</f>
        <v>566</v>
      </c>
      <c r="AW103" s="2937">
        <f>SUM(AW88:AW102)</f>
        <v>568</v>
      </c>
      <c r="AX103" s="2937">
        <f>SUM(AX87:AX102)</f>
        <v>595</v>
      </c>
      <c r="AY103" s="2937">
        <f>SUM(AY87:AY102)</f>
        <v>575</v>
      </c>
      <c r="AZ103" s="2937">
        <v>568</v>
      </c>
    </row>
    <row r="104" spans="3:52" ht="15.75">
      <c r="C104" s="31"/>
      <c r="AE104" s="254" t="s">
        <v>2356</v>
      </c>
      <c r="AF104" s="259"/>
      <c r="AG104" s="259">
        <v>60</v>
      </c>
      <c r="AH104" s="259">
        <v>79</v>
      </c>
      <c r="AI104" s="259">
        <v>123</v>
      </c>
      <c r="AJ104" s="259">
        <v>139</v>
      </c>
      <c r="AK104" s="259">
        <v>173</v>
      </c>
      <c r="AL104" s="259">
        <v>180</v>
      </c>
      <c r="AM104" s="259">
        <v>209</v>
      </c>
      <c r="AN104" s="259">
        <v>214</v>
      </c>
      <c r="AP104" s="3454" t="s">
        <v>747</v>
      </c>
      <c r="AQ104" s="270" t="s">
        <v>288</v>
      </c>
      <c r="AR104" s="271">
        <v>169</v>
      </c>
      <c r="AS104" s="271">
        <v>153</v>
      </c>
      <c r="AT104" s="271">
        <v>83</v>
      </c>
      <c r="AU104" s="271">
        <v>36</v>
      </c>
      <c r="AV104" s="271">
        <v>44</v>
      </c>
      <c r="AW104" s="271">
        <v>59</v>
      </c>
      <c r="AX104" s="271">
        <v>34</v>
      </c>
      <c r="AY104" s="271">
        <v>61</v>
      </c>
      <c r="AZ104" s="271">
        <v>110</v>
      </c>
    </row>
    <row r="105" spans="3:52" ht="15.75">
      <c r="C105" s="31"/>
      <c r="AE105" s="254" t="s">
        <v>2357</v>
      </c>
      <c r="AF105" s="259"/>
      <c r="AG105" s="259"/>
      <c r="AH105" s="259"/>
      <c r="AI105" s="259"/>
      <c r="AJ105" s="259"/>
      <c r="AK105" s="259"/>
      <c r="AL105" s="259"/>
      <c r="AM105" s="259">
        <v>59</v>
      </c>
      <c r="AN105" s="259">
        <v>92</v>
      </c>
      <c r="AP105" s="5155" t="s">
        <v>748</v>
      </c>
      <c r="AQ105" s="264" t="s">
        <v>290</v>
      </c>
      <c r="AR105" s="272">
        <v>16</v>
      </c>
      <c r="AS105" s="272">
        <v>4</v>
      </c>
      <c r="AT105" s="272">
        <v>15</v>
      </c>
      <c r="AU105" s="272">
        <v>15</v>
      </c>
      <c r="AV105" s="272">
        <v>4</v>
      </c>
      <c r="AW105" s="272">
        <v>15</v>
      </c>
      <c r="AX105" s="272">
        <v>6</v>
      </c>
      <c r="AY105" s="272">
        <v>12</v>
      </c>
      <c r="AZ105" s="272">
        <v>2</v>
      </c>
    </row>
    <row r="106" spans="3:52" ht="15.75">
      <c r="C106" s="31"/>
      <c r="AE106" s="3443" t="s">
        <v>2756</v>
      </c>
      <c r="AF106" s="3441"/>
      <c r="AG106" s="3441"/>
      <c r="AH106" s="3441"/>
      <c r="AI106" s="3441"/>
      <c r="AJ106" s="3441"/>
      <c r="AK106" s="3441"/>
      <c r="AL106" s="3441"/>
      <c r="AM106" s="3442"/>
      <c r="AN106" s="3442">
        <v>28</v>
      </c>
      <c r="AP106" s="5156"/>
      <c r="AQ106" s="264" t="s">
        <v>501</v>
      </c>
      <c r="AR106" s="272">
        <v>1</v>
      </c>
      <c r="AS106" s="272">
        <v>1</v>
      </c>
      <c r="AT106" s="272"/>
      <c r="AU106" s="272"/>
      <c r="AV106" s="272"/>
      <c r="AW106" s="272"/>
      <c r="AX106" s="272"/>
      <c r="AY106" s="272"/>
      <c r="AZ106" s="272"/>
    </row>
    <row r="107" spans="3:52" ht="15.75">
      <c r="C107" s="31"/>
      <c r="AE107" s="2944" t="s">
        <v>4</v>
      </c>
      <c r="AF107" s="2945"/>
      <c r="AG107" s="2945"/>
      <c r="AH107" s="2945"/>
      <c r="AI107" s="2945"/>
      <c r="AJ107" s="2945"/>
      <c r="AK107" s="2945"/>
      <c r="AL107" s="2945"/>
      <c r="AM107" s="2946">
        <f>SUM(AM104:AM105)</f>
        <v>268</v>
      </c>
      <c r="AN107" s="2946">
        <v>334</v>
      </c>
      <c r="AP107" s="5156"/>
      <c r="AQ107" s="264" t="s">
        <v>502</v>
      </c>
      <c r="AR107" s="272"/>
      <c r="AS107" s="272"/>
      <c r="AT107" s="272"/>
      <c r="AU107" s="272"/>
      <c r="AV107" s="272"/>
      <c r="AW107" s="272"/>
      <c r="AX107" s="272"/>
      <c r="AY107" s="272"/>
      <c r="AZ107" s="272"/>
    </row>
    <row r="108" spans="3:52" ht="15" customHeight="1">
      <c r="C108" s="31"/>
      <c r="AE108" s="254" t="s">
        <v>830</v>
      </c>
      <c r="AF108" s="259"/>
      <c r="AG108" s="259">
        <v>58</v>
      </c>
      <c r="AH108" s="259">
        <v>80</v>
      </c>
      <c r="AI108" s="259">
        <v>120</v>
      </c>
      <c r="AJ108" s="259">
        <v>140</v>
      </c>
      <c r="AK108" s="259">
        <v>163</v>
      </c>
      <c r="AL108" s="259">
        <v>178</v>
      </c>
      <c r="AM108" s="259">
        <v>212</v>
      </c>
      <c r="AN108" s="259">
        <v>207</v>
      </c>
      <c r="AP108" s="5156"/>
      <c r="AQ108" s="264" t="s">
        <v>291</v>
      </c>
      <c r="AR108" s="272">
        <v>32</v>
      </c>
      <c r="AS108" s="272">
        <v>43</v>
      </c>
      <c r="AT108" s="272">
        <v>32</v>
      </c>
      <c r="AU108" s="272">
        <v>22</v>
      </c>
      <c r="AV108" s="272">
        <v>33</v>
      </c>
      <c r="AW108" s="272">
        <v>46</v>
      </c>
      <c r="AX108" s="272">
        <v>43</v>
      </c>
      <c r="AY108" s="272">
        <v>54</v>
      </c>
      <c r="AZ108" s="272">
        <v>21</v>
      </c>
    </row>
    <row r="109" spans="3:52" ht="15.75">
      <c r="C109" s="31"/>
      <c r="AE109" s="254" t="s">
        <v>579</v>
      </c>
      <c r="AF109" s="259"/>
      <c r="AG109" s="259"/>
      <c r="AH109" s="259"/>
      <c r="AI109" s="259">
        <v>18</v>
      </c>
      <c r="AJ109" s="259">
        <v>32</v>
      </c>
      <c r="AK109" s="259">
        <v>50</v>
      </c>
      <c r="AL109" s="259">
        <v>69</v>
      </c>
      <c r="AM109" s="259">
        <v>89</v>
      </c>
      <c r="AN109" s="259">
        <v>107</v>
      </c>
      <c r="AP109" s="5156"/>
      <c r="AQ109" s="264" t="s">
        <v>289</v>
      </c>
      <c r="AR109" s="272">
        <v>191</v>
      </c>
      <c r="AS109" s="272">
        <v>153</v>
      </c>
      <c r="AT109" s="272">
        <v>142</v>
      </c>
      <c r="AU109" s="272">
        <v>101</v>
      </c>
      <c r="AV109" s="272">
        <v>131</v>
      </c>
      <c r="AW109" s="272">
        <v>82</v>
      </c>
      <c r="AX109" s="272">
        <v>111</v>
      </c>
      <c r="AY109" s="272">
        <v>61</v>
      </c>
      <c r="AZ109" s="272">
        <v>103</v>
      </c>
    </row>
    <row r="110" spans="3:52" ht="15.75">
      <c r="C110" s="31"/>
      <c r="AE110" s="3443" t="s">
        <v>2757</v>
      </c>
      <c r="AF110" s="3441"/>
      <c r="AG110" s="3441"/>
      <c r="AH110" s="3441"/>
      <c r="AI110" s="3441"/>
      <c r="AJ110" s="3441"/>
      <c r="AK110" s="3441"/>
      <c r="AL110" s="3441"/>
      <c r="AM110" s="3442"/>
      <c r="AN110" s="3442">
        <v>57</v>
      </c>
      <c r="AP110" s="5156"/>
      <c r="AQ110" s="264" t="s">
        <v>292</v>
      </c>
      <c r="AR110" s="272">
        <v>58</v>
      </c>
      <c r="AS110" s="272">
        <v>44</v>
      </c>
      <c r="AT110" s="272">
        <v>52</v>
      </c>
      <c r="AU110" s="272">
        <v>30</v>
      </c>
      <c r="AV110" s="272">
        <v>36</v>
      </c>
      <c r="AW110" s="272">
        <v>25</v>
      </c>
      <c r="AX110" s="272">
        <v>32</v>
      </c>
      <c r="AY110" s="272">
        <v>19</v>
      </c>
      <c r="AZ110" s="272">
        <v>28</v>
      </c>
    </row>
    <row r="111" spans="3:52" ht="15.75">
      <c r="C111" s="31"/>
      <c r="AE111" s="2944" t="s">
        <v>16</v>
      </c>
      <c r="AF111" s="2945"/>
      <c r="AG111" s="2945">
        <f t="shared" ref="AG111:AM111" si="16">SUM(AG108:AG109)</f>
        <v>58</v>
      </c>
      <c r="AH111" s="2945">
        <f t="shared" si="16"/>
        <v>80</v>
      </c>
      <c r="AI111" s="2945">
        <f t="shared" si="16"/>
        <v>138</v>
      </c>
      <c r="AJ111" s="2945">
        <f t="shared" si="16"/>
        <v>172</v>
      </c>
      <c r="AK111" s="2945">
        <f t="shared" si="16"/>
        <v>213</v>
      </c>
      <c r="AL111" s="2945">
        <f t="shared" si="16"/>
        <v>247</v>
      </c>
      <c r="AM111" s="2946">
        <f t="shared" si="16"/>
        <v>301</v>
      </c>
      <c r="AN111" s="2946">
        <v>371</v>
      </c>
      <c r="AP111" s="5156"/>
      <c r="AQ111" s="263" t="s">
        <v>281</v>
      </c>
      <c r="AR111" s="272">
        <v>24</v>
      </c>
      <c r="AS111" s="272">
        <v>29</v>
      </c>
      <c r="AT111" s="272">
        <v>28</v>
      </c>
      <c r="AU111" s="272">
        <v>40</v>
      </c>
      <c r="AV111" s="272">
        <v>34</v>
      </c>
      <c r="AW111" s="272">
        <v>23</v>
      </c>
      <c r="AX111" s="272">
        <v>22</v>
      </c>
      <c r="AY111" s="272">
        <v>24</v>
      </c>
      <c r="AZ111" s="272">
        <v>4</v>
      </c>
    </row>
    <row r="112" spans="3:52" ht="15.75">
      <c r="C112" s="31"/>
      <c r="AE112" s="254" t="s">
        <v>831</v>
      </c>
      <c r="AF112" s="259"/>
      <c r="AG112" s="259">
        <v>55</v>
      </c>
      <c r="AH112" s="259">
        <v>69</v>
      </c>
      <c r="AI112" s="259">
        <v>116</v>
      </c>
      <c r="AJ112" s="259">
        <v>147</v>
      </c>
      <c r="AK112" s="259">
        <v>208</v>
      </c>
      <c r="AL112" s="259">
        <v>247</v>
      </c>
      <c r="AM112" s="259">
        <v>268</v>
      </c>
      <c r="AN112" s="259">
        <v>244</v>
      </c>
      <c r="AP112" s="5156"/>
      <c r="AQ112" s="2931" t="s">
        <v>2364</v>
      </c>
      <c r="AR112" s="272"/>
      <c r="AS112" s="272"/>
      <c r="AT112" s="272"/>
      <c r="AU112" s="272"/>
      <c r="AV112" s="272"/>
      <c r="AW112" s="272"/>
      <c r="AX112" s="272"/>
      <c r="AY112" s="272">
        <v>10</v>
      </c>
      <c r="AZ112" s="272">
        <v>3</v>
      </c>
    </row>
    <row r="113" spans="3:52" ht="15.75">
      <c r="C113" s="31"/>
      <c r="AE113" s="254" t="s">
        <v>2358</v>
      </c>
      <c r="AF113" s="259"/>
      <c r="AG113" s="259"/>
      <c r="AH113" s="259"/>
      <c r="AI113" s="259"/>
      <c r="AJ113" s="259"/>
      <c r="AK113" s="259"/>
      <c r="AL113" s="259"/>
      <c r="AM113" s="259">
        <v>31</v>
      </c>
      <c r="AN113" s="259">
        <v>68</v>
      </c>
      <c r="AP113" s="5157"/>
      <c r="AQ113" s="2931" t="s">
        <v>2367</v>
      </c>
      <c r="AR113" s="272"/>
      <c r="AS113" s="272"/>
      <c r="AT113" s="272"/>
      <c r="AU113" s="272"/>
      <c r="AV113" s="272"/>
      <c r="AW113" s="272"/>
      <c r="AX113" s="272"/>
      <c r="AY113" s="272">
        <v>9</v>
      </c>
      <c r="AZ113" s="272">
        <v>9</v>
      </c>
    </row>
    <row r="114" spans="3:52" ht="15.75">
      <c r="C114" s="31"/>
      <c r="AE114" s="3443" t="s">
        <v>2758</v>
      </c>
      <c r="AF114" s="3441"/>
      <c r="AG114" s="3441"/>
      <c r="AH114" s="3441"/>
      <c r="AI114" s="3441"/>
      <c r="AJ114" s="3441"/>
      <c r="AK114" s="3441"/>
      <c r="AL114" s="3441"/>
      <c r="AM114" s="3442"/>
      <c r="AN114" s="3442">
        <v>28</v>
      </c>
      <c r="AP114" s="5155" t="s">
        <v>832</v>
      </c>
      <c r="AQ114" s="264" t="s">
        <v>294</v>
      </c>
      <c r="AR114" s="272">
        <v>79</v>
      </c>
      <c r="AS114" s="272">
        <v>76</v>
      </c>
      <c r="AT114" s="272">
        <v>71</v>
      </c>
      <c r="AU114" s="272">
        <v>69</v>
      </c>
      <c r="AV114" s="272">
        <v>76</v>
      </c>
      <c r="AW114" s="272">
        <v>63</v>
      </c>
      <c r="AX114" s="272">
        <v>76</v>
      </c>
      <c r="AY114" s="272">
        <v>51</v>
      </c>
      <c r="AZ114" s="272">
        <v>62</v>
      </c>
    </row>
    <row r="115" spans="3:52" ht="15.75">
      <c r="C115" s="31"/>
      <c r="AE115" s="2944" t="s">
        <v>41</v>
      </c>
      <c r="AF115" s="2945"/>
      <c r="AG115" s="2945"/>
      <c r="AH115" s="2945"/>
      <c r="AI115" s="2945"/>
      <c r="AJ115" s="2945"/>
      <c r="AK115" s="2945"/>
      <c r="AL115" s="2945"/>
      <c r="AM115" s="2946">
        <f>SUM(AM112:AM113)</f>
        <v>299</v>
      </c>
      <c r="AN115" s="2946">
        <v>340</v>
      </c>
      <c r="AP115" s="5156"/>
      <c r="AQ115" s="264" t="s">
        <v>295</v>
      </c>
      <c r="AR115" s="272">
        <v>77</v>
      </c>
      <c r="AS115" s="272">
        <v>84</v>
      </c>
      <c r="AT115" s="272">
        <v>81</v>
      </c>
      <c r="AU115" s="272">
        <v>77</v>
      </c>
      <c r="AV115" s="272">
        <v>73</v>
      </c>
      <c r="AW115" s="272">
        <v>53</v>
      </c>
      <c r="AX115" s="272">
        <v>57</v>
      </c>
      <c r="AY115" s="272">
        <v>47</v>
      </c>
      <c r="AZ115" s="272">
        <v>59</v>
      </c>
    </row>
    <row r="116" spans="3:52">
      <c r="AE116" s="3448" t="s">
        <v>249</v>
      </c>
      <c r="AF116" s="2918"/>
      <c r="AG116" s="2919">
        <f t="shared" ref="AG116:AL116" si="17">SUM(AG104,AG111,AG112)</f>
        <v>173</v>
      </c>
      <c r="AH116" s="2919">
        <f t="shared" si="17"/>
        <v>228</v>
      </c>
      <c r="AI116" s="2919">
        <f t="shared" si="17"/>
        <v>377</v>
      </c>
      <c r="AJ116" s="2919">
        <f t="shared" si="17"/>
        <v>458</v>
      </c>
      <c r="AK116" s="2919">
        <f t="shared" si="17"/>
        <v>594</v>
      </c>
      <c r="AL116" s="2919">
        <f t="shared" si="17"/>
        <v>674</v>
      </c>
      <c r="AM116" s="2919">
        <f>SUM(AM107,AM111,AM115)</f>
        <v>868</v>
      </c>
      <c r="AN116" s="2919">
        <v>1045</v>
      </c>
      <c r="AP116" s="5156"/>
      <c r="AQ116" s="264" t="s">
        <v>293</v>
      </c>
      <c r="AR116" s="272">
        <v>121</v>
      </c>
      <c r="AS116" s="272">
        <v>137</v>
      </c>
      <c r="AT116" s="272">
        <v>142</v>
      </c>
      <c r="AU116" s="272">
        <v>139</v>
      </c>
      <c r="AV116" s="272">
        <v>140</v>
      </c>
      <c r="AW116" s="272">
        <v>135</v>
      </c>
      <c r="AX116" s="272">
        <v>136</v>
      </c>
      <c r="AY116" s="272">
        <v>129</v>
      </c>
      <c r="AZ116" s="272">
        <v>129</v>
      </c>
    </row>
    <row r="117" spans="3:52">
      <c r="AE117" s="256" t="s">
        <v>17</v>
      </c>
      <c r="AF117" s="261">
        <v>982</v>
      </c>
      <c r="AG117" s="261">
        <v>995</v>
      </c>
      <c r="AH117" s="258">
        <v>1010</v>
      </c>
      <c r="AI117" s="258">
        <v>1019</v>
      </c>
      <c r="AJ117" s="258">
        <v>1000</v>
      </c>
      <c r="AK117" s="258">
        <v>1018</v>
      </c>
      <c r="AL117" s="258">
        <v>1028</v>
      </c>
      <c r="AM117" s="258">
        <v>1054</v>
      </c>
      <c r="AN117" s="258">
        <v>1055</v>
      </c>
      <c r="AP117" s="5156"/>
      <c r="AQ117" s="264" t="s">
        <v>296</v>
      </c>
      <c r="AR117" s="272">
        <v>64</v>
      </c>
      <c r="AS117" s="272">
        <v>53</v>
      </c>
      <c r="AT117" s="272">
        <v>67</v>
      </c>
      <c r="AU117" s="272">
        <v>52</v>
      </c>
      <c r="AV117" s="272">
        <v>71</v>
      </c>
      <c r="AW117" s="272">
        <v>60</v>
      </c>
      <c r="AX117" s="272">
        <v>74</v>
      </c>
      <c r="AY117" s="272">
        <v>49</v>
      </c>
      <c r="AZ117" s="272">
        <v>64</v>
      </c>
    </row>
    <row r="118" spans="3:52">
      <c r="AE118" s="254" t="s">
        <v>49</v>
      </c>
      <c r="AF118" s="259">
        <v>1119</v>
      </c>
      <c r="AG118" s="259">
        <v>1079</v>
      </c>
      <c r="AH118" s="259">
        <v>1073</v>
      </c>
      <c r="AI118" s="259">
        <v>1091</v>
      </c>
      <c r="AJ118" s="259">
        <v>1081</v>
      </c>
      <c r="AK118" s="259">
        <v>1085</v>
      </c>
      <c r="AL118" s="259">
        <v>1085</v>
      </c>
      <c r="AM118" s="259">
        <v>1106</v>
      </c>
      <c r="AN118" s="259">
        <v>1113</v>
      </c>
      <c r="AP118" s="5156"/>
      <c r="AQ118" s="263" t="s">
        <v>285</v>
      </c>
      <c r="AR118" s="272">
        <v>34</v>
      </c>
      <c r="AS118" s="272">
        <v>48</v>
      </c>
      <c r="AT118" s="272">
        <v>56</v>
      </c>
      <c r="AU118" s="272">
        <v>68</v>
      </c>
      <c r="AV118" s="272">
        <v>72</v>
      </c>
      <c r="AW118" s="272">
        <v>79</v>
      </c>
      <c r="AX118" s="272">
        <v>83</v>
      </c>
      <c r="AY118" s="272">
        <v>75</v>
      </c>
      <c r="AZ118" s="272">
        <v>12</v>
      </c>
    </row>
    <row r="119" spans="3:52">
      <c r="AE119" s="254" t="s">
        <v>19</v>
      </c>
      <c r="AF119" s="259">
        <v>940</v>
      </c>
      <c r="AG119" s="259">
        <v>882</v>
      </c>
      <c r="AH119" s="259">
        <v>918</v>
      </c>
      <c r="AI119" s="259">
        <v>968</v>
      </c>
      <c r="AJ119" s="259">
        <v>991</v>
      </c>
      <c r="AK119" s="259">
        <v>1013</v>
      </c>
      <c r="AL119" s="259">
        <v>1014</v>
      </c>
      <c r="AM119" s="259">
        <v>1009</v>
      </c>
      <c r="AN119" s="259">
        <v>1069</v>
      </c>
      <c r="AP119" s="5156"/>
      <c r="AQ119" s="2931" t="s">
        <v>2364</v>
      </c>
      <c r="AR119" s="272"/>
      <c r="AS119" s="272"/>
      <c r="AT119" s="272"/>
      <c r="AU119" s="272"/>
      <c r="AV119" s="272"/>
      <c r="AW119" s="272"/>
      <c r="AX119" s="272"/>
      <c r="AY119" s="272">
        <v>7</v>
      </c>
      <c r="AZ119" s="272">
        <v>14</v>
      </c>
    </row>
    <row r="120" spans="3:52">
      <c r="AE120" s="254" t="s">
        <v>50</v>
      </c>
      <c r="AF120" s="259">
        <v>1851</v>
      </c>
      <c r="AG120" s="259">
        <v>1824</v>
      </c>
      <c r="AH120" s="259">
        <v>1843</v>
      </c>
      <c r="AI120" s="259">
        <v>1863</v>
      </c>
      <c r="AJ120" s="259">
        <v>1787</v>
      </c>
      <c r="AK120" s="259">
        <v>1738</v>
      </c>
      <c r="AL120" s="259">
        <v>1721</v>
      </c>
      <c r="AM120" s="259">
        <v>1685</v>
      </c>
      <c r="AN120" s="259">
        <v>1676</v>
      </c>
      <c r="AP120" s="5157"/>
      <c r="AQ120" s="2931" t="s">
        <v>2367</v>
      </c>
      <c r="AR120" s="272"/>
      <c r="AS120" s="272"/>
      <c r="AT120" s="272"/>
      <c r="AU120" s="272"/>
      <c r="AV120" s="272"/>
      <c r="AW120" s="272"/>
      <c r="AX120" s="272"/>
      <c r="AY120" s="272">
        <v>3</v>
      </c>
      <c r="AZ120" s="272">
        <v>3</v>
      </c>
    </row>
    <row r="121" spans="3:52">
      <c r="AE121" s="254" t="s">
        <v>20</v>
      </c>
      <c r="AF121" s="259">
        <v>894</v>
      </c>
      <c r="AG121" s="259">
        <v>917</v>
      </c>
      <c r="AH121" s="259">
        <v>927</v>
      </c>
      <c r="AI121" s="259">
        <v>936</v>
      </c>
      <c r="AJ121" s="259">
        <v>902</v>
      </c>
      <c r="AK121" s="259">
        <v>909</v>
      </c>
      <c r="AL121" s="259">
        <v>884</v>
      </c>
      <c r="AM121" s="259">
        <v>891</v>
      </c>
      <c r="AN121" s="259">
        <v>922</v>
      </c>
      <c r="AP121" s="3451"/>
      <c r="AQ121" s="2929" t="s">
        <v>16</v>
      </c>
      <c r="AR121" s="2937">
        <f t="shared" ref="AR121:AT121" si="18">SUM(AR104:AR118)</f>
        <v>866</v>
      </c>
      <c r="AS121" s="2937">
        <f t="shared" si="18"/>
        <v>825</v>
      </c>
      <c r="AT121" s="2937">
        <f t="shared" si="18"/>
        <v>769</v>
      </c>
      <c r="AU121" s="2937">
        <f>SUM(AU104:AU118)</f>
        <v>649</v>
      </c>
      <c r="AV121" s="2937">
        <f>SUM(AV104:AV118)</f>
        <v>714</v>
      </c>
      <c r="AW121" s="2937">
        <f>SUM(AW104:AW118)</f>
        <v>640</v>
      </c>
      <c r="AX121" s="2937">
        <f>SUM(AX104:AX118)</f>
        <v>674</v>
      </c>
      <c r="AY121" s="2937">
        <f>SUM(AY104:AY120)</f>
        <v>611</v>
      </c>
      <c r="AZ121" s="2937">
        <v>623</v>
      </c>
    </row>
    <row r="122" spans="3:52">
      <c r="AE122" s="255" t="s">
        <v>51</v>
      </c>
      <c r="AF122" s="260">
        <v>352</v>
      </c>
      <c r="AG122" s="260">
        <v>359</v>
      </c>
      <c r="AH122" s="260">
        <v>355</v>
      </c>
      <c r="AI122" s="260">
        <v>360</v>
      </c>
      <c r="AJ122" s="260">
        <v>387</v>
      </c>
      <c r="AK122" s="260">
        <v>430</v>
      </c>
      <c r="AL122" s="260">
        <v>500</v>
      </c>
      <c r="AM122" s="260">
        <v>535</v>
      </c>
      <c r="AN122" s="260">
        <v>558</v>
      </c>
      <c r="AP122" s="5155" t="s">
        <v>747</v>
      </c>
      <c r="AQ122" s="267" t="s">
        <v>297</v>
      </c>
      <c r="AR122" s="276">
        <v>40</v>
      </c>
      <c r="AS122" s="276">
        <v>43</v>
      </c>
      <c r="AT122" s="276">
        <v>42</v>
      </c>
      <c r="AU122" s="276">
        <v>35</v>
      </c>
      <c r="AV122" s="276">
        <v>28</v>
      </c>
      <c r="AW122" s="276">
        <v>34</v>
      </c>
      <c r="AX122" s="276">
        <v>29</v>
      </c>
      <c r="AY122" s="276">
        <v>24</v>
      </c>
      <c r="AZ122" s="276">
        <v>17</v>
      </c>
    </row>
    <row r="123" spans="3:52">
      <c r="AE123" s="2944" t="s">
        <v>16</v>
      </c>
      <c r="AF123" s="2945">
        <f t="shared" ref="AF123:AH123" si="19">SUM(AF117:AF122)</f>
        <v>6138</v>
      </c>
      <c r="AG123" s="2945">
        <f t="shared" si="19"/>
        <v>6056</v>
      </c>
      <c r="AH123" s="2945">
        <f t="shared" si="19"/>
        <v>6126</v>
      </c>
      <c r="AI123" s="2945">
        <f>SUM(AI117:AI122)</f>
        <v>6237</v>
      </c>
      <c r="AJ123" s="2945">
        <f>SUM(AJ117:AJ122)</f>
        <v>6148</v>
      </c>
      <c r="AK123" s="2945">
        <f>SUM(AK117:AK122)</f>
        <v>6193</v>
      </c>
      <c r="AL123" s="2945">
        <f>SUM(AL117:AL122)</f>
        <v>6232</v>
      </c>
      <c r="AM123" s="2946">
        <f>SUM(AM117:AM122)</f>
        <v>6280</v>
      </c>
      <c r="AN123" s="2946">
        <v>6393</v>
      </c>
      <c r="AP123" s="5156"/>
      <c r="AQ123" s="263" t="s">
        <v>298</v>
      </c>
      <c r="AR123" s="272">
        <v>23</v>
      </c>
      <c r="AS123" s="272">
        <v>23</v>
      </c>
      <c r="AT123" s="272">
        <v>23</v>
      </c>
      <c r="AU123" s="272">
        <v>28</v>
      </c>
      <c r="AV123" s="272">
        <v>27</v>
      </c>
      <c r="AW123" s="272">
        <v>17</v>
      </c>
      <c r="AX123" s="272">
        <v>13</v>
      </c>
      <c r="AY123" s="272">
        <v>13</v>
      </c>
      <c r="AZ123" s="272">
        <v>13</v>
      </c>
    </row>
    <row r="124" spans="3:52">
      <c r="AE124" s="253" t="s">
        <v>42</v>
      </c>
      <c r="AF124" s="258">
        <v>933</v>
      </c>
      <c r="AG124" s="258">
        <v>918</v>
      </c>
      <c r="AH124" s="258">
        <v>922</v>
      </c>
      <c r="AI124" s="258">
        <v>928</v>
      </c>
      <c r="AJ124" s="258">
        <v>931</v>
      </c>
      <c r="AK124" s="258">
        <v>923</v>
      </c>
      <c r="AL124" s="258">
        <v>971</v>
      </c>
      <c r="AM124" s="258">
        <v>1004</v>
      </c>
      <c r="AN124" s="258">
        <v>992</v>
      </c>
      <c r="AP124" s="3440"/>
      <c r="AQ124" s="2050" t="s">
        <v>1883</v>
      </c>
      <c r="AR124" s="272"/>
      <c r="AS124" s="272"/>
      <c r="AT124" s="272"/>
      <c r="AU124" s="272"/>
      <c r="AV124" s="272"/>
      <c r="AW124" s="272"/>
      <c r="AX124" s="272">
        <v>1</v>
      </c>
      <c r="AY124" s="272"/>
      <c r="AZ124" s="272"/>
    </row>
    <row r="125" spans="3:52">
      <c r="AE125" s="254" t="s">
        <v>52</v>
      </c>
      <c r="AF125" s="259">
        <v>714</v>
      </c>
      <c r="AG125" s="259">
        <v>707</v>
      </c>
      <c r="AH125" s="259">
        <v>704</v>
      </c>
      <c r="AI125" s="259">
        <v>659</v>
      </c>
      <c r="AJ125" s="259">
        <v>619</v>
      </c>
      <c r="AK125" s="259">
        <v>591</v>
      </c>
      <c r="AL125" s="259">
        <v>589</v>
      </c>
      <c r="AM125" s="259">
        <v>604</v>
      </c>
      <c r="AN125" s="259">
        <v>616</v>
      </c>
      <c r="AP125" s="5155" t="s">
        <v>748</v>
      </c>
      <c r="AQ125" s="264" t="s">
        <v>130</v>
      </c>
      <c r="AR125" s="272">
        <v>59</v>
      </c>
      <c r="AS125" s="272">
        <v>53</v>
      </c>
      <c r="AT125" s="272">
        <v>56</v>
      </c>
      <c r="AU125" s="272">
        <v>62</v>
      </c>
      <c r="AV125" s="272">
        <v>69</v>
      </c>
      <c r="AW125" s="272">
        <v>65</v>
      </c>
      <c r="AX125" s="272">
        <v>52</v>
      </c>
      <c r="AY125" s="272">
        <v>41</v>
      </c>
      <c r="AZ125" s="272">
        <v>43</v>
      </c>
    </row>
    <row r="126" spans="3:52">
      <c r="AE126" s="254" t="s">
        <v>53</v>
      </c>
      <c r="AF126" s="259">
        <v>903</v>
      </c>
      <c r="AG126" s="259">
        <v>857</v>
      </c>
      <c r="AH126" s="259">
        <v>844</v>
      </c>
      <c r="AI126" s="259">
        <v>842</v>
      </c>
      <c r="AJ126" s="259">
        <v>874</v>
      </c>
      <c r="AK126" s="259">
        <v>888</v>
      </c>
      <c r="AL126" s="259">
        <v>920</v>
      </c>
      <c r="AM126" s="259">
        <v>948</v>
      </c>
      <c r="AN126" s="259">
        <v>979</v>
      </c>
      <c r="AP126" s="5156"/>
      <c r="AQ126" s="263" t="s">
        <v>503</v>
      </c>
      <c r="AR126" s="272">
        <v>1</v>
      </c>
      <c r="AS126" s="272"/>
      <c r="AT126" s="272">
        <v>16</v>
      </c>
      <c r="AU126" s="272">
        <v>26</v>
      </c>
      <c r="AV126" s="272">
        <v>41</v>
      </c>
      <c r="AW126" s="272">
        <v>41</v>
      </c>
      <c r="AX126" s="272">
        <v>47</v>
      </c>
      <c r="AY126" s="272">
        <v>51</v>
      </c>
      <c r="AZ126" s="272">
        <v>54</v>
      </c>
    </row>
    <row r="127" spans="3:52">
      <c r="AE127" s="254" t="s">
        <v>54</v>
      </c>
      <c r="AF127" s="259">
        <v>1284</v>
      </c>
      <c r="AG127" s="259">
        <v>1263</v>
      </c>
      <c r="AH127" s="259">
        <v>1241</v>
      </c>
      <c r="AI127" s="259">
        <v>1239</v>
      </c>
      <c r="AJ127" s="259">
        <v>1243</v>
      </c>
      <c r="AK127" s="259">
        <v>1318</v>
      </c>
      <c r="AL127" s="259">
        <v>1366</v>
      </c>
      <c r="AM127" s="259">
        <v>1456</v>
      </c>
      <c r="AN127" s="259">
        <v>1488</v>
      </c>
      <c r="AP127" s="5156"/>
      <c r="AQ127" s="264" t="s">
        <v>131</v>
      </c>
      <c r="AR127" s="272">
        <v>63</v>
      </c>
      <c r="AS127" s="272">
        <v>71</v>
      </c>
      <c r="AT127" s="272">
        <v>71</v>
      </c>
      <c r="AU127" s="272">
        <v>62</v>
      </c>
      <c r="AV127" s="272">
        <v>55</v>
      </c>
      <c r="AW127" s="272">
        <v>48</v>
      </c>
      <c r="AX127" s="272">
        <v>46</v>
      </c>
      <c r="AY127" s="272">
        <v>38</v>
      </c>
      <c r="AZ127" s="272">
        <v>39</v>
      </c>
    </row>
    <row r="128" spans="3:52">
      <c r="AE128" s="254" t="s">
        <v>55</v>
      </c>
      <c r="AF128" s="259">
        <v>1237</v>
      </c>
      <c r="AG128" s="259">
        <v>1182</v>
      </c>
      <c r="AH128" s="259">
        <v>1158</v>
      </c>
      <c r="AI128" s="259">
        <v>1201</v>
      </c>
      <c r="AJ128" s="259">
        <v>1254</v>
      </c>
      <c r="AK128" s="259">
        <v>1262</v>
      </c>
      <c r="AL128" s="259">
        <v>1297</v>
      </c>
      <c r="AM128" s="259">
        <v>1314</v>
      </c>
      <c r="AN128" s="259">
        <v>1407</v>
      </c>
      <c r="AP128" s="5157"/>
      <c r="AQ128" s="263" t="s">
        <v>300</v>
      </c>
      <c r="AR128" s="272">
        <v>58</v>
      </c>
      <c r="AS128" s="272">
        <v>74</v>
      </c>
      <c r="AT128" s="272">
        <v>66</v>
      </c>
      <c r="AU128" s="272">
        <v>83</v>
      </c>
      <c r="AV128" s="272">
        <v>84</v>
      </c>
      <c r="AW128" s="272">
        <v>87</v>
      </c>
      <c r="AX128" s="272">
        <v>80</v>
      </c>
      <c r="AY128" s="272">
        <v>64</v>
      </c>
      <c r="AZ128" s="272">
        <v>57</v>
      </c>
    </row>
    <row r="129" spans="31:52">
      <c r="AE129" s="254" t="s">
        <v>56</v>
      </c>
      <c r="AF129" s="259">
        <v>775</v>
      </c>
      <c r="AG129" s="259">
        <v>840</v>
      </c>
      <c r="AH129" s="259">
        <v>867</v>
      </c>
      <c r="AI129" s="259">
        <v>859</v>
      </c>
      <c r="AJ129" s="259">
        <v>827</v>
      </c>
      <c r="AK129" s="259">
        <v>826</v>
      </c>
      <c r="AL129" s="259">
        <v>785</v>
      </c>
      <c r="AM129" s="259">
        <v>802</v>
      </c>
      <c r="AN129" s="259">
        <v>820</v>
      </c>
      <c r="AP129" s="5155" t="s">
        <v>832</v>
      </c>
      <c r="AQ129" s="264" t="s">
        <v>130</v>
      </c>
      <c r="AR129" s="272">
        <v>105</v>
      </c>
      <c r="AS129" s="272">
        <v>111</v>
      </c>
      <c r="AT129" s="272">
        <v>115</v>
      </c>
      <c r="AU129" s="272">
        <v>115</v>
      </c>
      <c r="AV129" s="272">
        <v>115</v>
      </c>
      <c r="AW129" s="272">
        <v>116</v>
      </c>
      <c r="AX129" s="272">
        <v>110</v>
      </c>
      <c r="AY129" s="272">
        <v>117</v>
      </c>
      <c r="AZ129" s="272">
        <v>116</v>
      </c>
    </row>
    <row r="130" spans="31:52">
      <c r="AE130" s="254" t="s">
        <v>264</v>
      </c>
      <c r="AF130" s="259">
        <v>1184</v>
      </c>
      <c r="AG130" s="259">
        <v>1135</v>
      </c>
      <c r="AH130" s="259">
        <v>1106</v>
      </c>
      <c r="AI130" s="259">
        <v>1135</v>
      </c>
      <c r="AJ130" s="259">
        <v>1098</v>
      </c>
      <c r="AK130" s="259">
        <v>1070</v>
      </c>
      <c r="AL130" s="259">
        <v>1018</v>
      </c>
      <c r="AM130" s="259">
        <v>1015</v>
      </c>
      <c r="AN130" s="259">
        <v>1009</v>
      </c>
      <c r="AP130" s="5156"/>
      <c r="AQ130" s="264" t="s">
        <v>131</v>
      </c>
      <c r="AR130" s="272">
        <v>47</v>
      </c>
      <c r="AS130" s="272">
        <v>55</v>
      </c>
      <c r="AT130" s="272">
        <v>67</v>
      </c>
      <c r="AU130" s="272">
        <v>70</v>
      </c>
      <c r="AV130" s="272">
        <v>74</v>
      </c>
      <c r="AW130" s="272">
        <v>74</v>
      </c>
      <c r="AX130" s="272">
        <v>62</v>
      </c>
      <c r="AY130" s="272">
        <v>64</v>
      </c>
      <c r="AZ130" s="272">
        <v>59</v>
      </c>
    </row>
    <row r="131" spans="31:52">
      <c r="AE131" s="254" t="s">
        <v>57</v>
      </c>
      <c r="AF131" s="259">
        <v>612</v>
      </c>
      <c r="AG131" s="259">
        <v>666</v>
      </c>
      <c r="AH131" s="259">
        <v>667</v>
      </c>
      <c r="AI131" s="259">
        <v>702</v>
      </c>
      <c r="AJ131" s="259">
        <v>729</v>
      </c>
      <c r="AK131" s="259">
        <v>758</v>
      </c>
      <c r="AL131" s="259">
        <v>743</v>
      </c>
      <c r="AM131" s="259">
        <v>769</v>
      </c>
      <c r="AN131" s="259">
        <v>747</v>
      </c>
      <c r="AP131" s="5157"/>
      <c r="AQ131" s="2931" t="s">
        <v>506</v>
      </c>
      <c r="AR131" s="272">
        <v>65</v>
      </c>
      <c r="AS131" s="272">
        <v>69</v>
      </c>
      <c r="AT131" s="272">
        <v>81</v>
      </c>
      <c r="AU131" s="272">
        <v>87</v>
      </c>
      <c r="AV131" s="272">
        <v>102</v>
      </c>
      <c r="AW131" s="272">
        <v>112</v>
      </c>
      <c r="AX131" s="272">
        <v>124</v>
      </c>
      <c r="AY131" s="272">
        <v>119</v>
      </c>
      <c r="AZ131" s="272">
        <v>121</v>
      </c>
    </row>
    <row r="132" spans="31:52">
      <c r="AE132" s="2944" t="s">
        <v>41</v>
      </c>
      <c r="AF132" s="2945">
        <f t="shared" ref="AF132:AH132" si="20">SUM(AF124:AF131)</f>
        <v>7642</v>
      </c>
      <c r="AG132" s="2945">
        <f t="shared" si="20"/>
        <v>7568</v>
      </c>
      <c r="AH132" s="2945">
        <f t="shared" si="20"/>
        <v>7509</v>
      </c>
      <c r="AI132" s="2945">
        <f>SUM(AI124:AI131)</f>
        <v>7565</v>
      </c>
      <c r="AJ132" s="2945">
        <f>SUM(AJ124:AJ131)</f>
        <v>7575</v>
      </c>
      <c r="AK132" s="2945">
        <f>SUM(AK124:AK131)</f>
        <v>7636</v>
      </c>
      <c r="AL132" s="2945">
        <f>SUM(AL124:AL131)</f>
        <v>7689</v>
      </c>
      <c r="AM132" s="2946">
        <f>SUM(AM124:AM131)</f>
        <v>7912</v>
      </c>
      <c r="AN132" s="2946">
        <v>8058</v>
      </c>
      <c r="AP132" s="3451"/>
      <c r="AQ132" s="2929" t="s">
        <v>41</v>
      </c>
      <c r="AR132" s="2937">
        <f t="shared" ref="AR132:AT132" si="21">SUM(AR122:AR131)</f>
        <v>461</v>
      </c>
      <c r="AS132" s="2937">
        <f t="shared" si="21"/>
        <v>499</v>
      </c>
      <c r="AT132" s="2937">
        <f t="shared" si="21"/>
        <v>537</v>
      </c>
      <c r="AU132" s="2937">
        <f>SUM(AU122:AU131)</f>
        <v>568</v>
      </c>
      <c r="AV132" s="2937">
        <f>SUM(AV122:AV131)</f>
        <v>595</v>
      </c>
      <c r="AW132" s="2937">
        <f>SUM(AW122:AW131)</f>
        <v>594</v>
      </c>
      <c r="AX132" s="2937">
        <f>SUM(AX122:AX131)</f>
        <v>564</v>
      </c>
      <c r="AY132" s="2937">
        <f>SUM(AY122:AY131)</f>
        <v>531</v>
      </c>
      <c r="AZ132" s="2937">
        <v>519</v>
      </c>
    </row>
    <row r="133" spans="31:52" ht="15" customHeight="1">
      <c r="AE133" s="256" t="s">
        <v>22</v>
      </c>
      <c r="AF133" s="261">
        <v>1485</v>
      </c>
      <c r="AG133" s="261">
        <v>1400</v>
      </c>
      <c r="AH133" s="261">
        <v>1380</v>
      </c>
      <c r="AI133" s="261">
        <v>1362</v>
      </c>
      <c r="AJ133" s="261">
        <v>1372</v>
      </c>
      <c r="AK133" s="261">
        <v>1340</v>
      </c>
      <c r="AL133" s="261">
        <v>1365</v>
      </c>
      <c r="AM133" s="261">
        <v>1402</v>
      </c>
      <c r="AN133" s="261">
        <v>1447</v>
      </c>
      <c r="AP133" s="3455"/>
      <c r="AQ133" s="2932" t="s">
        <v>111</v>
      </c>
      <c r="AR133" s="2939">
        <f t="shared" ref="AR133:AT133" si="22">SUM(AR132,AR121,AR103)</f>
        <v>1781</v>
      </c>
      <c r="AS133" s="2939">
        <f t="shared" si="22"/>
        <v>1821</v>
      </c>
      <c r="AT133" s="2939">
        <f t="shared" si="22"/>
        <v>1826</v>
      </c>
      <c r="AU133" s="2939">
        <f>SUM(AU132,AU121,AU103)</f>
        <v>1773</v>
      </c>
      <c r="AV133" s="2939">
        <f>SUM(AV132,AV121,AV103)</f>
        <v>1875</v>
      </c>
      <c r="AW133" s="2939">
        <f>SUM(AW132,AW121,AW103)</f>
        <v>1802</v>
      </c>
      <c r="AX133" s="2939">
        <f>SUM(AX132,AX121,AX103)</f>
        <v>1833</v>
      </c>
      <c r="AY133" s="2939">
        <f>SUM(AY103,AY121,AY132)</f>
        <v>1717</v>
      </c>
      <c r="AZ133" s="2939">
        <v>1710</v>
      </c>
    </row>
    <row r="134" spans="31:52">
      <c r="AE134" s="254" t="s">
        <v>23</v>
      </c>
      <c r="AF134" s="259">
        <v>637</v>
      </c>
      <c r="AG134" s="259">
        <v>628</v>
      </c>
      <c r="AH134" s="259">
        <v>665</v>
      </c>
      <c r="AI134" s="259">
        <v>665</v>
      </c>
      <c r="AJ134" s="259">
        <v>653</v>
      </c>
      <c r="AK134" s="259">
        <v>637</v>
      </c>
      <c r="AL134" s="259">
        <v>637</v>
      </c>
      <c r="AM134" s="259">
        <v>609</v>
      </c>
      <c r="AN134" s="259">
        <v>631</v>
      </c>
      <c r="AP134" s="5155" t="s">
        <v>747</v>
      </c>
      <c r="AQ134" s="270" t="s">
        <v>835</v>
      </c>
      <c r="AR134" s="271">
        <v>19</v>
      </c>
      <c r="AS134" s="271">
        <v>1</v>
      </c>
      <c r="AT134" s="271"/>
      <c r="AU134" s="271"/>
      <c r="AV134" s="271"/>
      <c r="AW134" s="271"/>
      <c r="AX134" s="271"/>
      <c r="AY134" s="271"/>
      <c r="AZ134" s="271"/>
    </row>
    <row r="135" spans="31:52">
      <c r="AE135" s="254" t="s">
        <v>24</v>
      </c>
      <c r="AF135" s="259">
        <v>583</v>
      </c>
      <c r="AG135" s="259">
        <v>572</v>
      </c>
      <c r="AH135" s="259">
        <v>578</v>
      </c>
      <c r="AI135" s="259">
        <v>622</v>
      </c>
      <c r="AJ135" s="259">
        <v>635</v>
      </c>
      <c r="AK135" s="259">
        <v>659</v>
      </c>
      <c r="AL135" s="259">
        <v>682</v>
      </c>
      <c r="AM135" s="259">
        <v>679</v>
      </c>
      <c r="AN135" s="259">
        <v>674</v>
      </c>
      <c r="AP135" s="5156"/>
      <c r="AQ135" s="269" t="s">
        <v>135</v>
      </c>
      <c r="AR135" s="276"/>
      <c r="AS135" s="276"/>
      <c r="AT135" s="276">
        <v>17</v>
      </c>
      <c r="AU135" s="276"/>
      <c r="AV135" s="276"/>
      <c r="AW135" s="276"/>
      <c r="AX135" s="276"/>
      <c r="AY135" s="276"/>
      <c r="AZ135" s="276"/>
    </row>
    <row r="136" spans="31:52">
      <c r="AE136" s="254" t="s">
        <v>58</v>
      </c>
      <c r="AF136" s="259">
        <v>483</v>
      </c>
      <c r="AG136" s="259">
        <v>491</v>
      </c>
      <c r="AH136" s="259">
        <v>512</v>
      </c>
      <c r="AI136" s="259">
        <v>524</v>
      </c>
      <c r="AJ136" s="259">
        <v>500</v>
      </c>
      <c r="AK136" s="259">
        <v>504</v>
      </c>
      <c r="AL136" s="259">
        <v>509</v>
      </c>
      <c r="AM136" s="259">
        <v>498</v>
      </c>
      <c r="AN136" s="259">
        <v>464</v>
      </c>
      <c r="AP136" s="5157"/>
      <c r="AQ136" s="264" t="s">
        <v>507</v>
      </c>
      <c r="AR136" s="272"/>
      <c r="AS136" s="272">
        <v>35</v>
      </c>
      <c r="AT136" s="272">
        <v>39</v>
      </c>
      <c r="AU136" s="272">
        <v>34</v>
      </c>
      <c r="AV136" s="272">
        <v>2</v>
      </c>
      <c r="AW136" s="272"/>
      <c r="AX136" s="272"/>
      <c r="AY136" s="272">
        <v>30</v>
      </c>
      <c r="AZ136" s="272">
        <v>4</v>
      </c>
    </row>
    <row r="137" spans="31:52">
      <c r="AE137" s="2944" t="s">
        <v>21</v>
      </c>
      <c r="AF137" s="2945">
        <f t="shared" ref="AF137:AH137" si="23">SUM(AF133:AF136)</f>
        <v>3188</v>
      </c>
      <c r="AG137" s="2945">
        <f t="shared" si="23"/>
        <v>3091</v>
      </c>
      <c r="AH137" s="2945">
        <f t="shared" si="23"/>
        <v>3135</v>
      </c>
      <c r="AI137" s="2945">
        <f>SUM(AI133:AI136)</f>
        <v>3173</v>
      </c>
      <c r="AJ137" s="2945">
        <f>SUM(AJ133:AJ136)</f>
        <v>3160</v>
      </c>
      <c r="AK137" s="2945">
        <f>SUM(AK133:AK136)</f>
        <v>3140</v>
      </c>
      <c r="AL137" s="2945">
        <f>SUM(AL133:AL136)</f>
        <v>3193</v>
      </c>
      <c r="AM137" s="2946">
        <f>SUM(AM133:AM136)</f>
        <v>3188</v>
      </c>
      <c r="AN137" s="2946">
        <v>3216</v>
      </c>
      <c r="AP137" s="5155" t="s">
        <v>748</v>
      </c>
      <c r="AQ137" s="264" t="s">
        <v>304</v>
      </c>
      <c r="AR137" s="272">
        <v>18</v>
      </c>
      <c r="AS137" s="272">
        <v>20</v>
      </c>
      <c r="AT137" s="272">
        <v>23</v>
      </c>
      <c r="AU137" s="272">
        <v>23</v>
      </c>
      <c r="AV137" s="272">
        <v>45</v>
      </c>
      <c r="AW137" s="272">
        <v>22</v>
      </c>
      <c r="AX137" s="272">
        <v>43</v>
      </c>
      <c r="AY137" s="272">
        <v>24</v>
      </c>
      <c r="AZ137" s="272">
        <v>42</v>
      </c>
    </row>
    <row r="138" spans="31:52">
      <c r="AE138" s="3449" t="s">
        <v>48</v>
      </c>
      <c r="AF138" s="2920">
        <f t="shared" ref="AF138:AH138" si="24">SUM(AF137,AF132,AF123)</f>
        <v>16968</v>
      </c>
      <c r="AG138" s="2920">
        <f t="shared" si="24"/>
        <v>16715</v>
      </c>
      <c r="AH138" s="2921">
        <f t="shared" si="24"/>
        <v>16770</v>
      </c>
      <c r="AI138" s="2921">
        <f>SUM(AI137,AI132,AI123)</f>
        <v>16975</v>
      </c>
      <c r="AJ138" s="2921">
        <f>SUM(AJ137,AJ132,AJ123)</f>
        <v>16883</v>
      </c>
      <c r="AK138" s="2921">
        <f>SUM(AK137,AK132,AK123)</f>
        <v>16969</v>
      </c>
      <c r="AL138" s="2921">
        <f>SUM(AL137,AL132,AL123)</f>
        <v>17114</v>
      </c>
      <c r="AM138" s="2921">
        <f>SUM(AM137,AM132,AM123)</f>
        <v>17380</v>
      </c>
      <c r="AN138" s="2921">
        <v>17667</v>
      </c>
      <c r="AP138" s="5156"/>
      <c r="AQ138" s="264" t="s">
        <v>508</v>
      </c>
      <c r="AR138" s="272">
        <v>41</v>
      </c>
      <c r="AS138" s="272">
        <v>39</v>
      </c>
      <c r="AT138" s="272">
        <v>1</v>
      </c>
      <c r="AU138" s="272">
        <v>40</v>
      </c>
      <c r="AV138" s="272">
        <v>33</v>
      </c>
      <c r="AW138" s="272">
        <v>66</v>
      </c>
      <c r="AX138" s="272">
        <v>37</v>
      </c>
      <c r="AY138" s="272">
        <v>34</v>
      </c>
      <c r="AZ138" s="272">
        <v>28</v>
      </c>
    </row>
    <row r="139" spans="31:52">
      <c r="AE139" s="128"/>
      <c r="AF139" s="128"/>
      <c r="AG139" s="128"/>
      <c r="AH139" s="128"/>
      <c r="AI139" s="128"/>
      <c r="AJ139" s="128"/>
      <c r="AK139" s="128"/>
      <c r="AL139" s="2922"/>
      <c r="AM139" s="2922"/>
      <c r="AN139" s="2922"/>
      <c r="AP139" s="5156"/>
      <c r="AQ139" s="263" t="s">
        <v>418</v>
      </c>
      <c r="AR139" s="272">
        <v>60</v>
      </c>
      <c r="AS139" s="272">
        <v>37</v>
      </c>
      <c r="AT139" s="272">
        <v>72</v>
      </c>
      <c r="AU139" s="272">
        <v>47</v>
      </c>
      <c r="AV139" s="272">
        <v>66</v>
      </c>
      <c r="AW139" s="272">
        <v>34</v>
      </c>
      <c r="AX139" s="272">
        <v>61</v>
      </c>
      <c r="AY139" s="272">
        <v>29</v>
      </c>
      <c r="AZ139" s="272">
        <v>50</v>
      </c>
    </row>
    <row r="140" spans="31:52">
      <c r="AE140" s="3439" t="s">
        <v>67</v>
      </c>
      <c r="AF140" s="2923">
        <f t="shared" ref="AF140:AM140" si="25">SUM(AF57,AF72,AF103,AF116,AF138)</f>
        <v>48596</v>
      </c>
      <c r="AG140" s="2923">
        <f t="shared" si="25"/>
        <v>49508</v>
      </c>
      <c r="AH140" s="2923">
        <f t="shared" si="25"/>
        <v>50928</v>
      </c>
      <c r="AI140" s="2923">
        <f t="shared" si="25"/>
        <v>52459</v>
      </c>
      <c r="AJ140" s="2923">
        <f t="shared" si="25"/>
        <v>52898</v>
      </c>
      <c r="AK140" s="2923">
        <f t="shared" si="25"/>
        <v>53374</v>
      </c>
      <c r="AL140" s="2923">
        <f t="shared" si="25"/>
        <v>53900</v>
      </c>
      <c r="AM140" s="2923">
        <f t="shared" si="25"/>
        <v>53989</v>
      </c>
      <c r="AN140" s="2923">
        <v>54755</v>
      </c>
      <c r="AP140" s="5156"/>
      <c r="AQ140" s="263" t="s">
        <v>2368</v>
      </c>
      <c r="AR140" s="272">
        <v>54</v>
      </c>
      <c r="AS140" s="272">
        <v>27</v>
      </c>
      <c r="AT140" s="272">
        <v>52</v>
      </c>
      <c r="AU140" s="272">
        <v>24</v>
      </c>
      <c r="AV140" s="272">
        <v>37</v>
      </c>
      <c r="AW140" s="272">
        <v>15</v>
      </c>
      <c r="AX140" s="272">
        <v>31</v>
      </c>
      <c r="AY140" s="272">
        <v>18</v>
      </c>
      <c r="AZ140" s="272">
        <v>45</v>
      </c>
    </row>
    <row r="141" spans="31:52">
      <c r="AP141" s="5156"/>
      <c r="AQ141" s="263" t="s">
        <v>302</v>
      </c>
      <c r="AR141" s="272">
        <v>46</v>
      </c>
      <c r="AS141" s="272">
        <v>23</v>
      </c>
      <c r="AT141" s="272">
        <v>39</v>
      </c>
      <c r="AU141" s="272">
        <v>28</v>
      </c>
      <c r="AV141" s="272">
        <v>41</v>
      </c>
      <c r="AW141" s="272">
        <v>21</v>
      </c>
      <c r="AX141" s="272">
        <v>43</v>
      </c>
      <c r="AY141" s="272">
        <v>25</v>
      </c>
      <c r="AZ141" s="272">
        <v>41</v>
      </c>
    </row>
    <row r="142" spans="31:52">
      <c r="AP142" s="5156"/>
      <c r="AQ142" s="263" t="s">
        <v>303</v>
      </c>
      <c r="AR142" s="272">
        <v>42</v>
      </c>
      <c r="AS142" s="272">
        <v>20</v>
      </c>
      <c r="AT142" s="272">
        <v>35</v>
      </c>
      <c r="AU142" s="272">
        <v>15</v>
      </c>
      <c r="AV142" s="272">
        <v>29</v>
      </c>
      <c r="AW142" s="272">
        <v>19</v>
      </c>
      <c r="AX142" s="272">
        <v>35</v>
      </c>
      <c r="AY142" s="272">
        <v>21</v>
      </c>
      <c r="AZ142" s="272">
        <v>34</v>
      </c>
    </row>
    <row r="143" spans="31:52">
      <c r="AP143" s="5156"/>
      <c r="AQ143" s="263" t="s">
        <v>509</v>
      </c>
      <c r="AR143" s="272">
        <v>35</v>
      </c>
      <c r="AS143" s="272">
        <v>16</v>
      </c>
      <c r="AT143" s="272">
        <v>27</v>
      </c>
      <c r="AU143" s="272">
        <v>20</v>
      </c>
      <c r="AV143" s="272">
        <v>31</v>
      </c>
      <c r="AW143" s="272">
        <v>25</v>
      </c>
      <c r="AX143" s="272">
        <v>35</v>
      </c>
      <c r="AY143" s="272">
        <v>17</v>
      </c>
      <c r="AZ143" s="272">
        <v>29</v>
      </c>
    </row>
    <row r="144" spans="31:52">
      <c r="AP144" s="5156"/>
      <c r="AQ144" s="264" t="s">
        <v>281</v>
      </c>
      <c r="AR144" s="272">
        <v>1</v>
      </c>
      <c r="AS144" s="272"/>
      <c r="AT144" s="272"/>
      <c r="AU144" s="272"/>
      <c r="AV144" s="272"/>
      <c r="AW144" s="272"/>
      <c r="AX144" s="272"/>
      <c r="AY144" s="272"/>
      <c r="AZ144" s="272">
        <v>22</v>
      </c>
    </row>
    <row r="145" spans="42:52">
      <c r="AP145" s="5156"/>
      <c r="AQ145" s="265" t="s">
        <v>534</v>
      </c>
      <c r="AR145" s="273"/>
      <c r="AS145" s="273"/>
      <c r="AT145" s="273">
        <v>19</v>
      </c>
      <c r="AU145" s="273">
        <v>16</v>
      </c>
      <c r="AV145" s="273">
        <v>22</v>
      </c>
      <c r="AW145" s="273">
        <v>20</v>
      </c>
      <c r="AX145" s="273">
        <v>29</v>
      </c>
      <c r="AY145" s="273">
        <v>16</v>
      </c>
      <c r="AZ145" s="273">
        <v>27</v>
      </c>
    </row>
    <row r="146" spans="42:52">
      <c r="AP146" s="5156"/>
      <c r="AQ146" s="3459" t="s">
        <v>2364</v>
      </c>
      <c r="AR146" s="273"/>
      <c r="AS146" s="273"/>
      <c r="AT146" s="273"/>
      <c r="AU146" s="273"/>
      <c r="AV146" s="273"/>
      <c r="AW146" s="273"/>
      <c r="AX146" s="273"/>
      <c r="AY146" s="273">
        <v>4</v>
      </c>
      <c r="AZ146" s="273">
        <v>3</v>
      </c>
    </row>
    <row r="147" spans="42:52">
      <c r="AP147" s="5157"/>
      <c r="AQ147" s="3459" t="s">
        <v>2369</v>
      </c>
      <c r="AR147" s="273"/>
      <c r="AS147" s="273"/>
      <c r="AT147" s="273"/>
      <c r="AU147" s="273"/>
      <c r="AV147" s="273"/>
      <c r="AW147" s="273"/>
      <c r="AX147" s="273"/>
      <c r="AY147" s="273">
        <v>19</v>
      </c>
      <c r="AZ147" s="273">
        <v>17</v>
      </c>
    </row>
    <row r="148" spans="42:52">
      <c r="AP148" s="5158" t="s">
        <v>832</v>
      </c>
      <c r="AQ148" s="264" t="s">
        <v>306</v>
      </c>
      <c r="AR148" s="272">
        <v>32</v>
      </c>
      <c r="AS148" s="272">
        <v>53</v>
      </c>
      <c r="AT148" s="272">
        <v>31</v>
      </c>
      <c r="AU148" s="272">
        <v>52</v>
      </c>
      <c r="AV148" s="272">
        <v>40</v>
      </c>
      <c r="AW148" s="272">
        <v>63</v>
      </c>
      <c r="AX148" s="272">
        <v>45</v>
      </c>
      <c r="AY148" s="272">
        <v>57</v>
      </c>
      <c r="AZ148" s="272">
        <v>46</v>
      </c>
    </row>
    <row r="149" spans="42:52">
      <c r="AP149" s="5159"/>
      <c r="AQ149" s="264" t="s">
        <v>285</v>
      </c>
      <c r="AR149" s="272">
        <v>4</v>
      </c>
      <c r="AS149" s="272">
        <v>4</v>
      </c>
      <c r="AT149" s="272">
        <v>5</v>
      </c>
      <c r="AU149" s="272">
        <v>3</v>
      </c>
      <c r="AV149" s="272">
        <v>2</v>
      </c>
      <c r="AW149" s="272"/>
      <c r="AX149" s="272"/>
      <c r="AY149" s="272">
        <v>8</v>
      </c>
      <c r="AZ149" s="272">
        <v>60</v>
      </c>
    </row>
    <row r="150" spans="42:52">
      <c r="AP150" s="5159"/>
      <c r="AQ150" s="265" t="s">
        <v>307</v>
      </c>
      <c r="AR150" s="277">
        <v>135</v>
      </c>
      <c r="AS150" s="277">
        <v>154</v>
      </c>
      <c r="AT150" s="277">
        <v>107</v>
      </c>
      <c r="AU150" s="277">
        <v>123</v>
      </c>
      <c r="AV150" s="277">
        <v>106</v>
      </c>
      <c r="AW150" s="277">
        <v>120</v>
      </c>
      <c r="AX150" s="277">
        <v>109</v>
      </c>
      <c r="AY150" s="277">
        <v>136</v>
      </c>
      <c r="AZ150" s="277">
        <v>117</v>
      </c>
    </row>
    <row r="151" spans="42:52">
      <c r="AP151" s="5159"/>
      <c r="AQ151" s="264" t="s">
        <v>2364</v>
      </c>
      <c r="AR151" s="272"/>
      <c r="AS151" s="272"/>
      <c r="AT151" s="272"/>
      <c r="AU151" s="272"/>
      <c r="AV151" s="272"/>
      <c r="AW151" s="272"/>
      <c r="AX151" s="272"/>
      <c r="AY151" s="272">
        <v>1</v>
      </c>
      <c r="AZ151" s="272">
        <v>1</v>
      </c>
    </row>
    <row r="152" spans="42:52">
      <c r="AP152" s="5159"/>
      <c r="AQ152" s="265" t="s">
        <v>2370</v>
      </c>
      <c r="AR152" s="273"/>
      <c r="AS152" s="273"/>
      <c r="AT152" s="273"/>
      <c r="AU152" s="273"/>
      <c r="AV152" s="273"/>
      <c r="AW152" s="273"/>
      <c r="AX152" s="273"/>
      <c r="AY152" s="273">
        <v>15</v>
      </c>
      <c r="AZ152" s="273">
        <v>15</v>
      </c>
    </row>
    <row r="153" spans="42:52">
      <c r="AP153" s="5160"/>
      <c r="AQ153" s="2931" t="s">
        <v>2507</v>
      </c>
      <c r="AR153" s="2936"/>
      <c r="AS153" s="2936"/>
      <c r="AT153" s="2936"/>
      <c r="AU153" s="2936"/>
      <c r="AV153" s="2936"/>
      <c r="AW153" s="2936"/>
      <c r="AX153" s="2936"/>
      <c r="AY153" s="2936"/>
      <c r="AZ153" s="2936">
        <v>9</v>
      </c>
    </row>
    <row r="154" spans="42:52">
      <c r="AP154" s="3451"/>
      <c r="AQ154" s="2929" t="s">
        <v>16</v>
      </c>
      <c r="AR154" s="2937">
        <f t="shared" ref="AR154:AX154" si="26">SUM(AR134:AR150)</f>
        <v>487</v>
      </c>
      <c r="AS154" s="2937">
        <f t="shared" si="26"/>
        <v>429</v>
      </c>
      <c r="AT154" s="2937">
        <f t="shared" si="26"/>
        <v>467</v>
      </c>
      <c r="AU154" s="2937">
        <f t="shared" si="26"/>
        <v>425</v>
      </c>
      <c r="AV154" s="2937">
        <f t="shared" si="26"/>
        <v>454</v>
      </c>
      <c r="AW154" s="2937">
        <f t="shared" si="26"/>
        <v>405</v>
      </c>
      <c r="AX154" s="2937">
        <f t="shared" si="26"/>
        <v>468</v>
      </c>
      <c r="AY154" s="2937">
        <f>SUM(AY134:AY152)</f>
        <v>454</v>
      </c>
      <c r="AZ154" s="2937">
        <v>590</v>
      </c>
    </row>
    <row r="155" spans="42:52">
      <c r="AP155" s="5155" t="s">
        <v>747</v>
      </c>
      <c r="AQ155" s="267" t="s">
        <v>510</v>
      </c>
      <c r="AR155" s="271"/>
      <c r="AS155" s="271">
        <v>16</v>
      </c>
      <c r="AT155" s="271">
        <v>1</v>
      </c>
      <c r="AU155" s="271">
        <v>12</v>
      </c>
      <c r="AV155" s="271"/>
      <c r="AW155" s="271"/>
      <c r="AX155" s="271"/>
      <c r="AY155" s="271"/>
      <c r="AZ155" s="271"/>
    </row>
    <row r="156" spans="42:52">
      <c r="AP156" s="5156"/>
      <c r="AQ156" s="263" t="s">
        <v>512</v>
      </c>
      <c r="AR156" s="272"/>
      <c r="AS156" s="272"/>
      <c r="AT156" s="272"/>
      <c r="AU156" s="272"/>
      <c r="AV156" s="272"/>
      <c r="AW156" s="272"/>
      <c r="AX156" s="272"/>
      <c r="AY156" s="272"/>
      <c r="AZ156" s="272"/>
    </row>
    <row r="157" spans="42:52">
      <c r="AP157" s="5157"/>
      <c r="AQ157" s="263" t="s">
        <v>308</v>
      </c>
      <c r="AR157" s="272"/>
      <c r="AS157" s="272">
        <v>20</v>
      </c>
      <c r="AT157" s="272">
        <v>16</v>
      </c>
      <c r="AU157" s="272">
        <v>1</v>
      </c>
      <c r="AV157" s="272"/>
      <c r="AW157" s="272"/>
      <c r="AX157" s="272"/>
      <c r="AY157" s="272"/>
      <c r="AZ157" s="272"/>
    </row>
    <row r="158" spans="42:52">
      <c r="AP158" s="5155" t="s">
        <v>748</v>
      </c>
      <c r="AQ158" s="263" t="s">
        <v>511</v>
      </c>
      <c r="AR158" s="272">
        <v>6</v>
      </c>
      <c r="AS158" s="272">
        <v>1</v>
      </c>
      <c r="AT158" s="272">
        <v>9</v>
      </c>
      <c r="AU158" s="272">
        <v>7</v>
      </c>
      <c r="AV158" s="272">
        <v>8</v>
      </c>
      <c r="AW158" s="272">
        <v>12</v>
      </c>
      <c r="AX158" s="272">
        <v>10</v>
      </c>
      <c r="AY158" s="272">
        <v>12</v>
      </c>
      <c r="AZ158" s="272">
        <v>11</v>
      </c>
    </row>
    <row r="159" spans="42:52">
      <c r="AP159" s="5156"/>
      <c r="AQ159" s="263" t="s">
        <v>311</v>
      </c>
      <c r="AR159" s="272">
        <v>16</v>
      </c>
      <c r="AS159" s="272">
        <v>14</v>
      </c>
      <c r="AT159" s="272">
        <v>6</v>
      </c>
      <c r="AU159" s="272">
        <v>31</v>
      </c>
      <c r="AV159" s="272">
        <v>11</v>
      </c>
      <c r="AW159" s="272">
        <v>25</v>
      </c>
      <c r="AX159" s="272">
        <v>13</v>
      </c>
      <c r="AY159" s="272">
        <v>20</v>
      </c>
      <c r="AZ159" s="272">
        <v>9</v>
      </c>
    </row>
    <row r="160" spans="42:52">
      <c r="AP160" s="5156"/>
      <c r="AQ160" s="263" t="s">
        <v>310</v>
      </c>
      <c r="AR160" s="272">
        <v>46</v>
      </c>
      <c r="AS160" s="272">
        <v>43</v>
      </c>
      <c r="AT160" s="272">
        <v>42</v>
      </c>
      <c r="AU160" s="272">
        <v>50</v>
      </c>
      <c r="AV160" s="272">
        <v>45</v>
      </c>
      <c r="AW160" s="272">
        <v>45</v>
      </c>
      <c r="AX160" s="272">
        <v>41</v>
      </c>
      <c r="AY160" s="272">
        <v>39</v>
      </c>
      <c r="AZ160" s="272">
        <v>43</v>
      </c>
    </row>
    <row r="161" spans="42:52">
      <c r="AP161" s="5156"/>
      <c r="AQ161" s="263" t="s">
        <v>513</v>
      </c>
      <c r="AR161" s="272">
        <v>16</v>
      </c>
      <c r="AS161" s="272">
        <v>24</v>
      </c>
      <c r="AT161" s="272">
        <v>18</v>
      </c>
      <c r="AU161" s="272">
        <v>26</v>
      </c>
      <c r="AV161" s="272">
        <v>10</v>
      </c>
      <c r="AW161" s="272">
        <v>19</v>
      </c>
      <c r="AX161" s="272">
        <v>29</v>
      </c>
      <c r="AY161" s="272">
        <v>24</v>
      </c>
      <c r="AZ161" s="272">
        <v>24</v>
      </c>
    </row>
    <row r="162" spans="42:52">
      <c r="AP162" s="5156"/>
      <c r="AQ162" s="263" t="s">
        <v>348</v>
      </c>
      <c r="AR162" s="272">
        <v>6</v>
      </c>
      <c r="AS162" s="272">
        <v>6</v>
      </c>
      <c r="AT162" s="272">
        <v>11</v>
      </c>
      <c r="AU162" s="272">
        <v>6</v>
      </c>
      <c r="AV162" s="272">
        <v>4</v>
      </c>
      <c r="AW162" s="272">
        <v>7</v>
      </c>
      <c r="AX162" s="272">
        <v>7</v>
      </c>
      <c r="AY162" s="272">
        <v>17</v>
      </c>
      <c r="AZ162" s="272">
        <v>11</v>
      </c>
    </row>
    <row r="163" spans="42:52">
      <c r="AP163" s="5156"/>
      <c r="AQ163" s="263" t="s">
        <v>312</v>
      </c>
      <c r="AR163" s="272">
        <v>50</v>
      </c>
      <c r="AS163" s="272">
        <v>41</v>
      </c>
      <c r="AT163" s="272">
        <v>37</v>
      </c>
      <c r="AU163" s="272">
        <v>43</v>
      </c>
      <c r="AV163" s="272">
        <v>48</v>
      </c>
      <c r="AW163" s="272">
        <v>50</v>
      </c>
      <c r="AX163" s="272">
        <v>53</v>
      </c>
      <c r="AY163" s="272">
        <v>50</v>
      </c>
      <c r="AZ163" s="272">
        <v>45</v>
      </c>
    </row>
    <row r="164" spans="42:52">
      <c r="AP164" s="5156"/>
      <c r="AQ164" s="263" t="s">
        <v>309</v>
      </c>
      <c r="AR164" s="272">
        <v>60</v>
      </c>
      <c r="AS164" s="272">
        <v>64</v>
      </c>
      <c r="AT164" s="272">
        <v>70</v>
      </c>
      <c r="AU164" s="272">
        <v>79</v>
      </c>
      <c r="AV164" s="272">
        <v>76</v>
      </c>
      <c r="AW164" s="272">
        <v>80</v>
      </c>
      <c r="AX164" s="272">
        <v>72</v>
      </c>
      <c r="AY164" s="272">
        <v>69</v>
      </c>
      <c r="AZ164" s="272">
        <v>77</v>
      </c>
    </row>
    <row r="165" spans="42:52">
      <c r="AP165" s="5156"/>
      <c r="AQ165" s="263" t="s">
        <v>711</v>
      </c>
      <c r="AR165" s="272"/>
      <c r="AS165" s="272"/>
      <c r="AT165" s="272"/>
      <c r="AU165" s="272"/>
      <c r="AV165" s="272">
        <v>10</v>
      </c>
      <c r="AW165" s="272">
        <v>20</v>
      </c>
      <c r="AX165" s="272">
        <v>30</v>
      </c>
      <c r="AY165" s="272">
        <v>28</v>
      </c>
      <c r="AZ165" s="272">
        <v>23</v>
      </c>
    </row>
    <row r="166" spans="42:52">
      <c r="AP166" s="5157"/>
      <c r="AQ166" s="263" t="s">
        <v>2760</v>
      </c>
      <c r="AR166" s="272"/>
      <c r="AS166" s="272"/>
      <c r="AT166" s="272"/>
      <c r="AU166" s="272"/>
      <c r="AV166" s="272"/>
      <c r="AW166" s="272"/>
      <c r="AX166" s="272"/>
      <c r="AY166" s="272"/>
      <c r="AZ166" s="272">
        <v>10</v>
      </c>
    </row>
    <row r="167" spans="42:52">
      <c r="AP167" s="5155" t="s">
        <v>832</v>
      </c>
      <c r="AQ167" s="264" t="s">
        <v>417</v>
      </c>
      <c r="AR167" s="278">
        <v>69</v>
      </c>
      <c r="AS167" s="278">
        <v>76</v>
      </c>
      <c r="AT167" s="278">
        <v>73</v>
      </c>
      <c r="AU167" s="278">
        <v>71</v>
      </c>
      <c r="AV167" s="278">
        <v>70</v>
      </c>
      <c r="AW167" s="278">
        <v>80</v>
      </c>
      <c r="AX167" s="278">
        <v>85</v>
      </c>
      <c r="AY167" s="278">
        <v>82</v>
      </c>
      <c r="AZ167" s="278">
        <v>82</v>
      </c>
    </row>
    <row r="168" spans="42:52">
      <c r="AP168" s="5156"/>
      <c r="AQ168" s="263" t="s">
        <v>313</v>
      </c>
      <c r="AR168" s="272">
        <v>41</v>
      </c>
      <c r="AS168" s="272">
        <v>28</v>
      </c>
      <c r="AT168" s="272">
        <v>41</v>
      </c>
      <c r="AU168" s="272">
        <v>38</v>
      </c>
      <c r="AV168" s="272">
        <v>41</v>
      </c>
      <c r="AW168" s="272">
        <v>27</v>
      </c>
      <c r="AX168" s="272">
        <v>34</v>
      </c>
      <c r="AY168" s="272">
        <v>35</v>
      </c>
      <c r="AZ168" s="272">
        <v>41</v>
      </c>
    </row>
    <row r="169" spans="42:52">
      <c r="AP169" s="5157"/>
      <c r="AQ169" s="263" t="s">
        <v>615</v>
      </c>
      <c r="AR169" s="272"/>
      <c r="AS169" s="272"/>
      <c r="AT169" s="272"/>
      <c r="AU169" s="272">
        <v>9</v>
      </c>
      <c r="AV169" s="272">
        <v>16</v>
      </c>
      <c r="AW169" s="272">
        <v>21</v>
      </c>
      <c r="AX169" s="272">
        <v>25</v>
      </c>
      <c r="AY169" s="272">
        <v>30</v>
      </c>
      <c r="AZ169" s="272">
        <v>27</v>
      </c>
    </row>
    <row r="170" spans="42:52">
      <c r="AP170" s="3451"/>
      <c r="AQ170" s="2929" t="s">
        <v>41</v>
      </c>
      <c r="AR170" s="2937">
        <f>SUM(AR155:AR168)</f>
        <v>310</v>
      </c>
      <c r="AS170" s="2937">
        <f>SUM(AS155:AS168)</f>
        <v>333</v>
      </c>
      <c r="AT170" s="2937">
        <f>SUM(AT155:AT168)</f>
        <v>324</v>
      </c>
      <c r="AU170" s="2937">
        <f>SUM(AU155:AU169)</f>
        <v>373</v>
      </c>
      <c r="AV170" s="2937">
        <f>SUM(AV155:AV169)</f>
        <v>339</v>
      </c>
      <c r="AW170" s="2937">
        <f>SUM(AW155:AW169)</f>
        <v>386</v>
      </c>
      <c r="AX170" s="2937">
        <f>SUM(AX155:AX169)</f>
        <v>399</v>
      </c>
      <c r="AY170" s="2937">
        <f>SUM(AY155:AY169)</f>
        <v>406</v>
      </c>
      <c r="AZ170" s="2937">
        <v>403</v>
      </c>
    </row>
    <row r="171" spans="42:52">
      <c r="AP171" s="5155" t="s">
        <v>748</v>
      </c>
      <c r="AQ171" s="270" t="s">
        <v>314</v>
      </c>
      <c r="AR171" s="276">
        <v>60</v>
      </c>
      <c r="AS171" s="276">
        <v>58</v>
      </c>
      <c r="AT171" s="276">
        <v>53</v>
      </c>
      <c r="AU171" s="276">
        <v>62</v>
      </c>
      <c r="AV171" s="276">
        <v>68</v>
      </c>
      <c r="AW171" s="276">
        <v>72</v>
      </c>
      <c r="AX171" s="276">
        <v>75</v>
      </c>
      <c r="AY171" s="276">
        <v>71</v>
      </c>
      <c r="AZ171" s="276">
        <v>73</v>
      </c>
    </row>
    <row r="172" spans="42:52">
      <c r="AP172" s="5156"/>
      <c r="AQ172" s="263" t="s">
        <v>514</v>
      </c>
      <c r="AR172" s="272">
        <v>17</v>
      </c>
      <c r="AS172" s="272">
        <v>32</v>
      </c>
      <c r="AT172" s="272">
        <v>16</v>
      </c>
      <c r="AU172" s="272">
        <v>35</v>
      </c>
      <c r="AV172" s="272">
        <v>21</v>
      </c>
      <c r="AW172" s="272">
        <v>42</v>
      </c>
      <c r="AX172" s="272">
        <v>21</v>
      </c>
      <c r="AY172" s="272">
        <v>37</v>
      </c>
      <c r="AZ172" s="272">
        <v>15</v>
      </c>
    </row>
    <row r="173" spans="42:52">
      <c r="AP173" s="5157"/>
      <c r="AQ173" s="265" t="s">
        <v>515</v>
      </c>
      <c r="AR173" s="277">
        <v>33</v>
      </c>
      <c r="AS173" s="277">
        <v>57</v>
      </c>
      <c r="AT173" s="277">
        <v>31</v>
      </c>
      <c r="AU173" s="277">
        <v>48</v>
      </c>
      <c r="AV173" s="277">
        <v>25</v>
      </c>
      <c r="AW173" s="277">
        <v>45</v>
      </c>
      <c r="AX173" s="277">
        <v>25</v>
      </c>
      <c r="AY173" s="277">
        <v>48</v>
      </c>
      <c r="AZ173" s="277">
        <v>23</v>
      </c>
    </row>
    <row r="174" spans="42:52" ht="15" customHeight="1">
      <c r="AP174" s="3450" t="s">
        <v>832</v>
      </c>
      <c r="AQ174" s="263" t="s">
        <v>315</v>
      </c>
      <c r="AR174" s="272">
        <v>39</v>
      </c>
      <c r="AS174" s="272">
        <v>43</v>
      </c>
      <c r="AT174" s="272">
        <v>45</v>
      </c>
      <c r="AU174" s="272">
        <v>47</v>
      </c>
      <c r="AV174" s="272">
        <v>49</v>
      </c>
      <c r="AW174" s="272">
        <v>40</v>
      </c>
      <c r="AX174" s="272">
        <v>41</v>
      </c>
      <c r="AY174" s="272">
        <v>37</v>
      </c>
      <c r="AZ174" s="272">
        <v>41</v>
      </c>
    </row>
    <row r="175" spans="42:52">
      <c r="AP175" s="3451"/>
      <c r="AQ175" s="2929" t="s">
        <v>21</v>
      </c>
      <c r="AR175" s="2937">
        <f t="shared" ref="AR175:AT175" si="27">SUM(AR171:AR174)</f>
        <v>149</v>
      </c>
      <c r="AS175" s="2937">
        <f t="shared" si="27"/>
        <v>190</v>
      </c>
      <c r="AT175" s="2937">
        <f t="shared" si="27"/>
        <v>145</v>
      </c>
      <c r="AU175" s="2937">
        <f>SUM(AU171:AU174)</f>
        <v>192</v>
      </c>
      <c r="AV175" s="2937">
        <f>SUM(AV171:AV174)</f>
        <v>163</v>
      </c>
      <c r="AW175" s="2937">
        <f>SUM(AW171:AW174)</f>
        <v>199</v>
      </c>
      <c r="AX175" s="2937">
        <f>SUM(AX171:AX174)</f>
        <v>162</v>
      </c>
      <c r="AY175" s="2937">
        <f>SUM(AY171:AY174)</f>
        <v>193</v>
      </c>
      <c r="AZ175" s="2937">
        <v>152</v>
      </c>
    </row>
    <row r="176" spans="42:52">
      <c r="AP176" s="3456"/>
      <c r="AQ176" s="2933" t="s">
        <v>461</v>
      </c>
      <c r="AR176" s="2940">
        <f t="shared" ref="AR176:AX176" si="28">SUM(AR175,AR170,AR154)</f>
        <v>946</v>
      </c>
      <c r="AS176" s="2940">
        <f t="shared" si="28"/>
        <v>952</v>
      </c>
      <c r="AT176" s="2940">
        <f t="shared" si="28"/>
        <v>936</v>
      </c>
      <c r="AU176" s="2940">
        <f t="shared" si="28"/>
        <v>990</v>
      </c>
      <c r="AV176" s="2940">
        <f t="shared" si="28"/>
        <v>956</v>
      </c>
      <c r="AW176" s="2940">
        <f t="shared" si="28"/>
        <v>990</v>
      </c>
      <c r="AX176" s="2940">
        <f t="shared" si="28"/>
        <v>1029</v>
      </c>
      <c r="AY176" s="2940">
        <f>SUM(AY154,AY170,AY175)</f>
        <v>1053</v>
      </c>
      <c r="AZ176" s="2940">
        <v>1145</v>
      </c>
    </row>
    <row r="177" spans="42:52">
      <c r="AP177" s="3450" t="s">
        <v>748</v>
      </c>
      <c r="AQ177" s="2934" t="s">
        <v>516</v>
      </c>
      <c r="AR177" s="2941"/>
      <c r="AS177" s="2941">
        <v>20</v>
      </c>
      <c r="AT177" s="2941">
        <v>31</v>
      </c>
      <c r="AU177" s="2941">
        <v>38</v>
      </c>
      <c r="AV177" s="2941">
        <v>36</v>
      </c>
      <c r="AW177" s="2941">
        <v>36</v>
      </c>
      <c r="AX177" s="2941">
        <v>43</v>
      </c>
      <c r="AY177" s="2941">
        <v>43</v>
      </c>
      <c r="AZ177" s="2941">
        <v>34</v>
      </c>
    </row>
    <row r="178" spans="42:52">
      <c r="AP178" s="3450" t="s">
        <v>832</v>
      </c>
      <c r="AQ178" s="265" t="s">
        <v>517</v>
      </c>
      <c r="AR178" s="277"/>
      <c r="AS178" s="277">
        <v>12</v>
      </c>
      <c r="AT178" s="277">
        <v>22</v>
      </c>
      <c r="AU178" s="277">
        <v>36</v>
      </c>
      <c r="AV178" s="277">
        <v>42</v>
      </c>
      <c r="AW178" s="277">
        <v>56</v>
      </c>
      <c r="AX178" s="277">
        <v>63</v>
      </c>
      <c r="AY178" s="277">
        <v>59</v>
      </c>
      <c r="AZ178" s="277">
        <v>58</v>
      </c>
    </row>
    <row r="179" spans="42:52">
      <c r="AP179" s="3457"/>
      <c r="AQ179" s="2929" t="s">
        <v>16</v>
      </c>
      <c r="AR179" s="2937"/>
      <c r="AS179" s="2937">
        <f t="shared" ref="AS179:AX179" si="29">SUM(AS177:AS178)</f>
        <v>32</v>
      </c>
      <c r="AT179" s="2937">
        <f t="shared" si="29"/>
        <v>53</v>
      </c>
      <c r="AU179" s="2937">
        <f t="shared" si="29"/>
        <v>74</v>
      </c>
      <c r="AV179" s="2937">
        <f t="shared" si="29"/>
        <v>78</v>
      </c>
      <c r="AW179" s="2937">
        <f t="shared" si="29"/>
        <v>92</v>
      </c>
      <c r="AX179" s="2937">
        <f t="shared" si="29"/>
        <v>106</v>
      </c>
      <c r="AY179" s="2937">
        <f>SUM(AY177:AY178)</f>
        <v>102</v>
      </c>
      <c r="AZ179" s="2937">
        <v>92</v>
      </c>
    </row>
    <row r="180" spans="42:52">
      <c r="AP180" s="3450" t="s">
        <v>748</v>
      </c>
      <c r="AQ180" s="265" t="s">
        <v>419</v>
      </c>
      <c r="AR180" s="277"/>
      <c r="AS180" s="277"/>
      <c r="AT180" s="277">
        <v>12</v>
      </c>
      <c r="AU180" s="277">
        <v>24</v>
      </c>
      <c r="AV180" s="277">
        <v>42</v>
      </c>
      <c r="AW180" s="277">
        <v>50</v>
      </c>
      <c r="AX180" s="277">
        <v>61</v>
      </c>
      <c r="AY180" s="277">
        <v>62</v>
      </c>
      <c r="AZ180" s="277">
        <v>66</v>
      </c>
    </row>
    <row r="181" spans="42:52">
      <c r="AP181" s="3457"/>
      <c r="AQ181" s="2929" t="s">
        <v>61</v>
      </c>
      <c r="AR181" s="2937"/>
      <c r="AS181" s="2937"/>
      <c r="AT181" s="2937">
        <f t="shared" ref="AT181:AY181" si="30">SUM(AT180)</f>
        <v>12</v>
      </c>
      <c r="AU181" s="2937">
        <f t="shared" si="30"/>
        <v>24</v>
      </c>
      <c r="AV181" s="2937">
        <f t="shared" si="30"/>
        <v>42</v>
      </c>
      <c r="AW181" s="2937">
        <f t="shared" si="30"/>
        <v>50</v>
      </c>
      <c r="AX181" s="2937">
        <f t="shared" si="30"/>
        <v>61</v>
      </c>
      <c r="AY181" s="2937">
        <f t="shared" si="30"/>
        <v>62</v>
      </c>
      <c r="AZ181" s="2937">
        <v>66</v>
      </c>
    </row>
    <row r="182" spans="42:52">
      <c r="AP182" s="3453" t="s">
        <v>747</v>
      </c>
      <c r="AQ182" s="2934" t="s">
        <v>836</v>
      </c>
      <c r="AR182" s="2941"/>
      <c r="AS182" s="2941"/>
      <c r="AT182" s="2941">
        <v>3</v>
      </c>
      <c r="AU182" s="2941">
        <v>5</v>
      </c>
      <c r="AV182" s="2941">
        <v>4</v>
      </c>
      <c r="AW182" s="2941">
        <v>7</v>
      </c>
      <c r="AX182" s="2941">
        <v>8</v>
      </c>
      <c r="AY182" s="2941">
        <v>6</v>
      </c>
      <c r="AZ182" s="2941">
        <v>3</v>
      </c>
    </row>
    <row r="183" spans="42:52">
      <c r="AP183" s="3450" t="s">
        <v>748</v>
      </c>
      <c r="AQ183" s="263" t="s">
        <v>837</v>
      </c>
      <c r="AR183" s="272"/>
      <c r="AS183" s="272"/>
      <c r="AT183" s="272">
        <v>9</v>
      </c>
      <c r="AU183" s="272">
        <v>22</v>
      </c>
      <c r="AV183" s="272">
        <v>34</v>
      </c>
      <c r="AW183" s="272">
        <v>37</v>
      </c>
      <c r="AX183" s="272">
        <v>42</v>
      </c>
      <c r="AY183" s="272">
        <v>42</v>
      </c>
      <c r="AZ183" s="272">
        <v>37</v>
      </c>
    </row>
    <row r="184" spans="42:52">
      <c r="AP184" s="5155" t="s">
        <v>832</v>
      </c>
      <c r="AQ184" s="265" t="s">
        <v>838</v>
      </c>
      <c r="AR184" s="278"/>
      <c r="AS184" s="278"/>
      <c r="AT184" s="278">
        <v>7</v>
      </c>
      <c r="AU184" s="278">
        <v>13</v>
      </c>
      <c r="AV184" s="278">
        <v>21</v>
      </c>
      <c r="AW184" s="278">
        <v>33</v>
      </c>
      <c r="AX184" s="278">
        <v>34</v>
      </c>
      <c r="AY184" s="278">
        <v>38</v>
      </c>
      <c r="AZ184" s="278">
        <v>44</v>
      </c>
    </row>
    <row r="185" spans="42:52">
      <c r="AP185" s="5157"/>
      <c r="AQ185" s="264" t="s">
        <v>417</v>
      </c>
      <c r="AR185" s="272"/>
      <c r="AS185" s="272"/>
      <c r="AT185" s="272"/>
      <c r="AU185" s="272"/>
      <c r="AV185" s="272"/>
      <c r="AW185" s="272"/>
      <c r="AX185" s="272">
        <v>2</v>
      </c>
      <c r="AY185" s="272">
        <v>2</v>
      </c>
      <c r="AZ185" s="272">
        <v>2</v>
      </c>
    </row>
    <row r="186" spans="42:52">
      <c r="AP186" s="3457"/>
      <c r="AQ186" s="2929" t="s">
        <v>64</v>
      </c>
      <c r="AR186" s="2937"/>
      <c r="AS186" s="2937"/>
      <c r="AT186" s="2937">
        <f>SUM(AT182:AT184)</f>
        <v>19</v>
      </c>
      <c r="AU186" s="2937">
        <f>SUM(AU182:AU184)</f>
        <v>40</v>
      </c>
      <c r="AV186" s="2937">
        <f>SUM(AV182:AV184)</f>
        <v>59</v>
      </c>
      <c r="AW186" s="2937">
        <f>SUM(AW182:AW184)</f>
        <v>77</v>
      </c>
      <c r="AX186" s="2937">
        <f>SUM(AX182:AX185)</f>
        <v>86</v>
      </c>
      <c r="AY186" s="2937">
        <f>SUM(AY182:AY185)</f>
        <v>88</v>
      </c>
      <c r="AZ186" s="2937">
        <v>86</v>
      </c>
    </row>
    <row r="187" spans="42:52">
      <c r="AP187" s="3458"/>
      <c r="AQ187" s="2935" t="s">
        <v>265</v>
      </c>
      <c r="AR187" s="2942"/>
      <c r="AS187" s="2942">
        <f t="shared" ref="AS187:AX187" si="31">SUM(AS179,AS181,AS186)</f>
        <v>32</v>
      </c>
      <c r="AT187" s="2942">
        <f t="shared" si="31"/>
        <v>84</v>
      </c>
      <c r="AU187" s="2942">
        <f t="shared" si="31"/>
        <v>138</v>
      </c>
      <c r="AV187" s="2942">
        <f t="shared" si="31"/>
        <v>179</v>
      </c>
      <c r="AW187" s="2942">
        <f t="shared" si="31"/>
        <v>219</v>
      </c>
      <c r="AX187" s="2942">
        <f t="shared" si="31"/>
        <v>253</v>
      </c>
      <c r="AY187" s="2942">
        <f>SUM(AY179,AY181,AY186)</f>
        <v>252</v>
      </c>
      <c r="AZ187" s="2942">
        <v>244</v>
      </c>
    </row>
    <row r="188" spans="42:52">
      <c r="AP188" s="3450" t="s">
        <v>2761</v>
      </c>
      <c r="AQ188" s="264" t="s">
        <v>417</v>
      </c>
      <c r="AR188" s="272"/>
      <c r="AS188" s="272"/>
      <c r="AT188" s="272"/>
      <c r="AU188" s="272"/>
      <c r="AV188" s="272"/>
      <c r="AW188" s="272"/>
      <c r="AX188" s="272"/>
      <c r="AY188" s="272"/>
      <c r="AZ188" s="272">
        <v>1</v>
      </c>
    </row>
    <row r="189" spans="42:52">
      <c r="AP189" s="3457"/>
      <c r="AQ189" s="2929" t="s">
        <v>41</v>
      </c>
      <c r="AR189" s="2937"/>
      <c r="AS189" s="2937"/>
      <c r="AT189" s="2937"/>
      <c r="AU189" s="2937"/>
      <c r="AV189" s="2937"/>
      <c r="AW189" s="2937"/>
      <c r="AX189" s="2937"/>
      <c r="AY189" s="2937"/>
      <c r="AZ189" s="2937">
        <v>1</v>
      </c>
    </row>
    <row r="190" spans="42:52">
      <c r="AP190" s="3458"/>
      <c r="AQ190" s="3460" t="s">
        <v>1211</v>
      </c>
      <c r="AR190" s="3461"/>
      <c r="AS190" s="3461"/>
      <c r="AT190" s="3461"/>
      <c r="AU190" s="3461"/>
      <c r="AV190" s="3461"/>
      <c r="AW190" s="3461"/>
      <c r="AX190" s="3461"/>
      <c r="AY190" s="3461"/>
      <c r="AZ190" s="3461">
        <v>1</v>
      </c>
    </row>
    <row r="191" spans="42:52">
      <c r="AP191" s="82"/>
      <c r="AQ191" s="82"/>
      <c r="AR191" s="82"/>
      <c r="AS191" s="82"/>
      <c r="AT191" s="82"/>
      <c r="AU191" s="82"/>
      <c r="AV191" s="82"/>
      <c r="AW191" s="82"/>
      <c r="AX191" s="82"/>
      <c r="AY191" s="82"/>
      <c r="AZ191" s="82"/>
    </row>
    <row r="192" spans="42:52">
      <c r="AP192" s="5153" t="s">
        <v>67</v>
      </c>
      <c r="AQ192" s="5154"/>
      <c r="AR192" s="2943">
        <f t="shared" ref="AR192:AY192" si="32">SUM(AR86,AR133,AR176,AR187)</f>
        <v>3326</v>
      </c>
      <c r="AS192" s="2943">
        <f t="shared" si="32"/>
        <v>3380</v>
      </c>
      <c r="AT192" s="2943">
        <f t="shared" si="32"/>
        <v>3436</v>
      </c>
      <c r="AU192" s="2943">
        <f t="shared" si="32"/>
        <v>3508</v>
      </c>
      <c r="AV192" s="2943">
        <f t="shared" si="32"/>
        <v>3708</v>
      </c>
      <c r="AW192" s="2943">
        <f t="shared" si="32"/>
        <v>3718</v>
      </c>
      <c r="AX192" s="2943">
        <f t="shared" si="32"/>
        <v>3842</v>
      </c>
      <c r="AY192" s="2943">
        <f t="shared" si="32"/>
        <v>3838</v>
      </c>
      <c r="AZ192" s="2943">
        <v>3868</v>
      </c>
    </row>
    <row r="194" spans="43:52">
      <c r="AQ194" s="2053" t="s">
        <v>1884</v>
      </c>
      <c r="AR194" s="52">
        <f t="shared" ref="AR194:AZ194" si="33">+AF140</f>
        <v>48596</v>
      </c>
      <c r="AS194" s="52">
        <f t="shared" si="33"/>
        <v>49508</v>
      </c>
      <c r="AT194" s="52">
        <f t="shared" si="33"/>
        <v>50928</v>
      </c>
      <c r="AU194" s="52">
        <f t="shared" si="33"/>
        <v>52459</v>
      </c>
      <c r="AV194" s="52">
        <f t="shared" si="33"/>
        <v>52898</v>
      </c>
      <c r="AW194" s="52">
        <f t="shared" si="33"/>
        <v>53374</v>
      </c>
      <c r="AX194" s="52">
        <f t="shared" si="33"/>
        <v>53900</v>
      </c>
      <c r="AY194" s="52">
        <f t="shared" si="33"/>
        <v>53989</v>
      </c>
      <c r="AZ194" s="52">
        <f t="shared" si="33"/>
        <v>54755</v>
      </c>
    </row>
    <row r="196" spans="43:52">
      <c r="AQ196" s="2053" t="s">
        <v>1885</v>
      </c>
      <c r="AR196" s="2052">
        <f>SUM(AR192,AR194)</f>
        <v>51922</v>
      </c>
      <c r="AS196" s="2052">
        <f t="shared" ref="AS196:AZ196" si="34">SUM(AS192,AS194)</f>
        <v>52888</v>
      </c>
      <c r="AT196" s="2052">
        <f t="shared" si="34"/>
        <v>54364</v>
      </c>
      <c r="AU196" s="2052">
        <f t="shared" si="34"/>
        <v>55967</v>
      </c>
      <c r="AV196" s="2052">
        <f t="shared" si="34"/>
        <v>56606</v>
      </c>
      <c r="AW196" s="2052">
        <f t="shared" si="34"/>
        <v>57092</v>
      </c>
      <c r="AX196" s="2052">
        <f t="shared" si="34"/>
        <v>57742</v>
      </c>
      <c r="AY196" s="2052">
        <f t="shared" si="34"/>
        <v>57827</v>
      </c>
      <c r="AZ196" s="2052">
        <f t="shared" si="34"/>
        <v>58623</v>
      </c>
    </row>
    <row r="198" spans="43:52">
      <c r="AV198" s="39"/>
    </row>
  </sheetData>
  <mergeCells count="52">
    <mergeCell ref="E5:E6"/>
    <mergeCell ref="G5:G6"/>
    <mergeCell ref="H5:H6"/>
    <mergeCell ref="B5:B6"/>
    <mergeCell ref="M4:N4"/>
    <mergeCell ref="D4:E4"/>
    <mergeCell ref="G4:H4"/>
    <mergeCell ref="D5:D6"/>
    <mergeCell ref="P4:Q4"/>
    <mergeCell ref="S4:T4"/>
    <mergeCell ref="K5:K6"/>
    <mergeCell ref="M5:M6"/>
    <mergeCell ref="N5:N6"/>
    <mergeCell ref="J4:K4"/>
    <mergeCell ref="J5:J6"/>
    <mergeCell ref="P5:P6"/>
    <mergeCell ref="Q5:Q6"/>
    <mergeCell ref="S5:S6"/>
    <mergeCell ref="T5:T6"/>
    <mergeCell ref="V4:W4"/>
    <mergeCell ref="V5:V6"/>
    <mergeCell ref="W5:W6"/>
    <mergeCell ref="Y4:Z4"/>
    <mergeCell ref="Y5:Y6"/>
    <mergeCell ref="Z5:Z6"/>
    <mergeCell ref="AB4:AC4"/>
    <mergeCell ref="AB5:AB6"/>
    <mergeCell ref="AC5:AC6"/>
    <mergeCell ref="AP171:AP173"/>
    <mergeCell ref="AP184:AP185"/>
    <mergeCell ref="AP105:AP113"/>
    <mergeCell ref="AP114:AP120"/>
    <mergeCell ref="AP122:AP123"/>
    <mergeCell ref="AP125:AP128"/>
    <mergeCell ref="AP129:AP131"/>
    <mergeCell ref="AP51:AP53"/>
    <mergeCell ref="AP54:AP62"/>
    <mergeCell ref="AP63:AP65"/>
    <mergeCell ref="AP68:AP70"/>
    <mergeCell ref="AP78:AP84"/>
    <mergeCell ref="AP95:AP102"/>
    <mergeCell ref="AP192:AQ192"/>
    <mergeCell ref="AP38:AP44"/>
    <mergeCell ref="AP45:AP49"/>
    <mergeCell ref="AP158:AP166"/>
    <mergeCell ref="AP167:AP169"/>
    <mergeCell ref="AP148:AP153"/>
    <mergeCell ref="AP71:AP77"/>
    <mergeCell ref="AP88:AP94"/>
    <mergeCell ref="AP155:AP157"/>
    <mergeCell ref="AP134:AP136"/>
    <mergeCell ref="AP137:AP147"/>
  </mergeCells>
  <pageMargins left="0.7" right="0.7" top="0.75" bottom="0.75" header="0.3" footer="0.3"/>
  <pageSetup orientation="portrait" r:id="rId1"/>
  <ignoredErrors>
    <ignoredError sqref="AF47:AM47" formulaRange="1"/>
  </ignoredErrors>
  <drawing r:id="rId2"/>
</worksheet>
</file>

<file path=xl/worksheets/sheet29.xml><?xml version="1.0" encoding="utf-8"?>
<worksheet xmlns="http://schemas.openxmlformats.org/spreadsheetml/2006/main" xmlns:r="http://schemas.openxmlformats.org/officeDocument/2006/relationships">
  <sheetPr>
    <tabColor theme="9" tint="-0.499984740745262"/>
  </sheetPr>
  <dimension ref="A2:AZ63"/>
  <sheetViews>
    <sheetView zoomScale="110" zoomScaleNormal="110" workbookViewId="0">
      <pane ySplit="3" topLeftCell="A4" activePane="bottomLeft" state="frozen"/>
      <selection pane="bottomLeft" activeCell="R53" sqref="R53"/>
    </sheetView>
  </sheetViews>
  <sheetFormatPr baseColWidth="10" defaultRowHeight="15"/>
  <cols>
    <col min="1" max="1" width="18.7109375" customWidth="1"/>
    <col min="2" max="2" width="25.5703125" bestFit="1" customWidth="1"/>
    <col min="3" max="3" width="1.7109375" customWidth="1"/>
    <col min="4" max="6" width="8.7109375" customWidth="1"/>
    <col min="7" max="7" width="1.7109375" customWidth="1"/>
    <col min="8" max="10" width="8.7109375" customWidth="1"/>
    <col min="11" max="11" width="1.7109375" customWidth="1"/>
    <col min="12" max="14" width="8.7109375" customWidth="1"/>
    <col min="15" max="15" width="1.7109375" customWidth="1"/>
    <col min="16" max="18" width="8.7109375" customWidth="1"/>
    <col min="19" max="19" width="1.7109375" customWidth="1"/>
    <col min="20" max="22" width="8.7109375" customWidth="1"/>
    <col min="23" max="23" width="1.7109375" customWidth="1"/>
    <col min="24" max="26" width="8.7109375" customWidth="1"/>
    <col min="27" max="27" width="1.7109375" customWidth="1"/>
    <col min="28" max="28" width="8.7109375" customWidth="1"/>
    <col min="29" max="29" width="13.5703125" customWidth="1"/>
    <col min="30" max="30" width="8.7109375" customWidth="1"/>
    <col min="31" max="31" width="1.7109375" customWidth="1"/>
    <col min="32" max="32" width="10" customWidth="1"/>
    <col min="33" max="33" width="10.28515625" customWidth="1"/>
    <col min="34" max="34" width="8.7109375" style="191" customWidth="1"/>
    <col min="35" max="35" width="11.42578125" style="191"/>
  </cols>
  <sheetData>
    <row r="2" spans="1:36" ht="15.75">
      <c r="A2" s="220" t="s">
        <v>1056</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370"/>
      <c r="AF2" s="370"/>
      <c r="AG2" s="370"/>
    </row>
    <row r="3" spans="1:36" ht="15.7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row>
    <row r="4" spans="1:36" s="73" customFormat="1" ht="12">
      <c r="A4" s="5208" t="s">
        <v>1058</v>
      </c>
      <c r="B4" s="5210" t="s">
        <v>1059</v>
      </c>
      <c r="C4" s="1870"/>
      <c r="D4" s="5179" t="s">
        <v>3973</v>
      </c>
      <c r="E4" s="5180"/>
      <c r="F4" s="5181"/>
      <c r="G4" s="1870"/>
      <c r="H4" s="5179" t="s">
        <v>2525</v>
      </c>
      <c r="I4" s="5180"/>
      <c r="J4" s="5181"/>
      <c r="K4" s="1870"/>
      <c r="L4" s="5179" t="s">
        <v>1894</v>
      </c>
      <c r="M4" s="5180"/>
      <c r="N4" s="5181"/>
      <c r="O4" s="1870"/>
      <c r="P4" s="5179" t="s">
        <v>1793</v>
      </c>
      <c r="Q4" s="5180"/>
      <c r="R4" s="5181"/>
      <c r="S4" s="1870"/>
      <c r="T4" s="5179" t="s">
        <v>1060</v>
      </c>
      <c r="U4" s="5180"/>
      <c r="V4" s="5181"/>
      <c r="X4" s="5179" t="s">
        <v>1061</v>
      </c>
      <c r="Y4" s="5180"/>
      <c r="Z4" s="5181"/>
      <c r="AB4" s="5179" t="s">
        <v>1062</v>
      </c>
      <c r="AC4" s="5180"/>
      <c r="AD4" s="5181"/>
      <c r="AE4" s="163"/>
      <c r="AF4" s="5179" t="s">
        <v>1063</v>
      </c>
      <c r="AG4" s="5180"/>
      <c r="AH4" s="5181"/>
      <c r="AI4" s="80"/>
      <c r="AJ4" s="80"/>
    </row>
    <row r="5" spans="1:36" s="73" customFormat="1" ht="12">
      <c r="A5" s="5209"/>
      <c r="B5" s="5211"/>
      <c r="C5" s="1870"/>
      <c r="D5" s="1871" t="s">
        <v>1064</v>
      </c>
      <c r="E5" s="1871" t="s">
        <v>1065</v>
      </c>
      <c r="F5" s="1871" t="s">
        <v>1066</v>
      </c>
      <c r="G5" s="1870"/>
      <c r="H5" s="1871" t="s">
        <v>1064</v>
      </c>
      <c r="I5" s="1871" t="s">
        <v>1065</v>
      </c>
      <c r="J5" s="1871" t="s">
        <v>1066</v>
      </c>
      <c r="K5" s="1870"/>
      <c r="L5" s="1871" t="s">
        <v>1064</v>
      </c>
      <c r="M5" s="1871" t="s">
        <v>1065</v>
      </c>
      <c r="N5" s="1871" t="s">
        <v>1066</v>
      </c>
      <c r="O5" s="1870"/>
      <c r="P5" s="1871" t="s">
        <v>1064</v>
      </c>
      <c r="Q5" s="1871" t="s">
        <v>1065</v>
      </c>
      <c r="R5" s="1871" t="s">
        <v>1066</v>
      </c>
      <c r="S5" s="1870"/>
      <c r="T5" s="1871" t="s">
        <v>1064</v>
      </c>
      <c r="U5" s="1871" t="s">
        <v>1065</v>
      </c>
      <c r="V5" s="1871" t="s">
        <v>1066</v>
      </c>
      <c r="X5" s="1871" t="s">
        <v>1064</v>
      </c>
      <c r="Y5" s="1871" t="s">
        <v>1065</v>
      </c>
      <c r="Z5" s="1871" t="s">
        <v>1066</v>
      </c>
      <c r="AA5" s="1870"/>
      <c r="AB5" s="1871" t="s">
        <v>1064</v>
      </c>
      <c r="AC5" s="1871" t="s">
        <v>1065</v>
      </c>
      <c r="AD5" s="1871" t="s">
        <v>1066</v>
      </c>
      <c r="AE5" s="213"/>
      <c r="AF5" s="1871" t="s">
        <v>1064</v>
      </c>
      <c r="AG5" s="1871" t="s">
        <v>1065</v>
      </c>
      <c r="AH5" s="1871" t="s">
        <v>1066</v>
      </c>
      <c r="AI5" s="80"/>
      <c r="AJ5" s="80"/>
    </row>
    <row r="6" spans="1:36" s="73" customFormat="1" ht="12">
      <c r="A6" s="5201" t="s">
        <v>1067</v>
      </c>
      <c r="B6" s="1872" t="s">
        <v>1068</v>
      </c>
      <c r="C6" s="1870"/>
      <c r="D6" s="1873">
        <v>1221</v>
      </c>
      <c r="E6" s="1873">
        <v>1231</v>
      </c>
      <c r="F6" s="1873">
        <v>1187</v>
      </c>
      <c r="G6" s="1870"/>
      <c r="H6" s="1873">
        <v>1198</v>
      </c>
      <c r="I6" s="1873">
        <v>1138</v>
      </c>
      <c r="J6" s="1873">
        <v>1166</v>
      </c>
      <c r="K6" s="1870"/>
      <c r="L6" s="1873">
        <v>1000</v>
      </c>
      <c r="M6" s="1873">
        <v>1027</v>
      </c>
      <c r="N6" s="1873">
        <v>998</v>
      </c>
      <c r="O6" s="1870"/>
      <c r="P6" s="1873">
        <v>1000</v>
      </c>
      <c r="Q6" s="1873">
        <v>1027</v>
      </c>
      <c r="R6" s="1873">
        <v>998</v>
      </c>
      <c r="S6" s="1870"/>
      <c r="T6" s="1873">
        <v>838</v>
      </c>
      <c r="U6" s="1873">
        <v>934</v>
      </c>
      <c r="V6" s="1873">
        <v>951</v>
      </c>
      <c r="X6" s="1873">
        <v>481</v>
      </c>
      <c r="Y6" s="1873">
        <v>437</v>
      </c>
      <c r="Z6" s="1873">
        <v>466</v>
      </c>
      <c r="AA6" s="1870"/>
      <c r="AB6" s="1873">
        <v>857</v>
      </c>
      <c r="AC6" s="1873">
        <v>974</v>
      </c>
      <c r="AD6" s="1873">
        <v>915</v>
      </c>
      <c r="AE6" s="213"/>
      <c r="AF6" s="1873">
        <v>579</v>
      </c>
      <c r="AG6" s="1873">
        <v>687</v>
      </c>
      <c r="AH6" s="1873">
        <v>633</v>
      </c>
      <c r="AI6" s="80"/>
      <c r="AJ6" s="80"/>
    </row>
    <row r="7" spans="1:36" s="73" customFormat="1" ht="12">
      <c r="A7" s="5201"/>
      <c r="B7" s="1874" t="s">
        <v>1069</v>
      </c>
      <c r="C7" s="1870"/>
      <c r="D7" s="1875">
        <v>171</v>
      </c>
      <c r="E7" s="1875">
        <v>164</v>
      </c>
      <c r="F7" s="1875">
        <v>143</v>
      </c>
      <c r="G7" s="1870"/>
      <c r="H7" s="1875">
        <v>158</v>
      </c>
      <c r="I7" s="1875">
        <v>162</v>
      </c>
      <c r="J7" s="1875">
        <v>152</v>
      </c>
      <c r="K7" s="1870"/>
      <c r="L7" s="1875">
        <v>175</v>
      </c>
      <c r="M7" s="1875">
        <v>185</v>
      </c>
      <c r="N7" s="1875">
        <v>194</v>
      </c>
      <c r="O7" s="1870"/>
      <c r="P7" s="1875">
        <v>175</v>
      </c>
      <c r="Q7" s="1875">
        <v>185</v>
      </c>
      <c r="R7" s="1875">
        <v>194</v>
      </c>
      <c r="S7" s="1870"/>
      <c r="T7" s="1875">
        <v>141</v>
      </c>
      <c r="U7" s="1875">
        <v>184</v>
      </c>
      <c r="V7" s="1875">
        <v>186</v>
      </c>
      <c r="X7" s="1875">
        <v>51</v>
      </c>
      <c r="Y7" s="1875">
        <v>41</v>
      </c>
      <c r="Z7" s="1875">
        <v>55</v>
      </c>
      <c r="AA7" s="1870"/>
      <c r="AB7" s="1875">
        <v>92</v>
      </c>
      <c r="AC7" s="1875">
        <v>109</v>
      </c>
      <c r="AD7" s="1875">
        <v>118</v>
      </c>
      <c r="AE7" s="213"/>
      <c r="AF7" s="1875">
        <v>184</v>
      </c>
      <c r="AG7" s="1875">
        <v>99</v>
      </c>
      <c r="AH7" s="1875">
        <v>105</v>
      </c>
      <c r="AI7" s="80"/>
      <c r="AJ7" s="80"/>
    </row>
    <row r="8" spans="1:36" s="73" customFormat="1" ht="12">
      <c r="A8" s="5201"/>
      <c r="B8" s="1874" t="s">
        <v>1070</v>
      </c>
      <c r="C8" s="1870"/>
      <c r="D8" s="1876">
        <v>25</v>
      </c>
      <c r="E8" s="1876">
        <v>41</v>
      </c>
      <c r="F8" s="1876">
        <v>55</v>
      </c>
      <c r="G8" s="1870"/>
      <c r="H8" s="1876">
        <v>41</v>
      </c>
      <c r="I8" s="1876">
        <v>53</v>
      </c>
      <c r="J8" s="1876">
        <v>37</v>
      </c>
      <c r="K8" s="1870"/>
      <c r="L8" s="1876">
        <v>33</v>
      </c>
      <c r="M8" s="1876">
        <v>28</v>
      </c>
      <c r="N8" s="1876">
        <v>49</v>
      </c>
      <c r="O8" s="1870"/>
      <c r="P8" s="1876">
        <v>33</v>
      </c>
      <c r="Q8" s="1876">
        <v>28</v>
      </c>
      <c r="R8" s="1876">
        <v>49</v>
      </c>
      <c r="S8" s="1870"/>
      <c r="T8" s="1876">
        <v>12</v>
      </c>
      <c r="U8" s="1876">
        <v>13</v>
      </c>
      <c r="V8" s="1876">
        <v>16</v>
      </c>
      <c r="X8" s="1876">
        <v>6</v>
      </c>
      <c r="Y8" s="1876">
        <v>6</v>
      </c>
      <c r="Z8" s="1876">
        <v>7</v>
      </c>
      <c r="AA8" s="1870"/>
      <c r="AB8" s="1876">
        <v>44</v>
      </c>
      <c r="AC8" s="1876">
        <v>44</v>
      </c>
      <c r="AD8" s="1876">
        <v>15</v>
      </c>
      <c r="AE8" s="213"/>
      <c r="AF8" s="1876">
        <v>52</v>
      </c>
      <c r="AG8" s="1876">
        <v>41</v>
      </c>
      <c r="AH8" s="1876">
        <v>23</v>
      </c>
      <c r="AI8" s="80"/>
      <c r="AJ8" s="80"/>
    </row>
    <row r="9" spans="1:36" s="73" customFormat="1" ht="12">
      <c r="A9" s="5212" t="s">
        <v>1071</v>
      </c>
      <c r="B9" s="5213"/>
      <c r="C9" s="1870"/>
      <c r="D9" s="1877">
        <f>SUM(D6:D8)</f>
        <v>1417</v>
      </c>
      <c r="E9" s="1877">
        <f t="shared" ref="E9:F9" si="0">SUM(E6:E8)</f>
        <v>1436</v>
      </c>
      <c r="F9" s="1877">
        <f t="shared" si="0"/>
        <v>1385</v>
      </c>
      <c r="G9" s="1870"/>
      <c r="H9" s="1877">
        <f>SUM(H6:H8)</f>
        <v>1397</v>
      </c>
      <c r="I9" s="1877">
        <f t="shared" ref="I9:J9" si="1">SUM(I6:I8)</f>
        <v>1353</v>
      </c>
      <c r="J9" s="1877">
        <f t="shared" si="1"/>
        <v>1355</v>
      </c>
      <c r="K9" s="1870"/>
      <c r="L9" s="1877">
        <f>SUM(L6:L8)</f>
        <v>1208</v>
      </c>
      <c r="M9" s="1877">
        <f t="shared" ref="M9:N9" si="2">SUM(M6:M8)</f>
        <v>1240</v>
      </c>
      <c r="N9" s="1877">
        <f t="shared" si="2"/>
        <v>1241</v>
      </c>
      <c r="O9" s="1870"/>
      <c r="P9" s="1877">
        <f>SUM(P6:P8)</f>
        <v>1208</v>
      </c>
      <c r="Q9" s="1877">
        <f t="shared" ref="Q9:R9" si="3">SUM(Q6:Q8)</f>
        <v>1240</v>
      </c>
      <c r="R9" s="1877">
        <f t="shared" si="3"/>
        <v>1241</v>
      </c>
      <c r="S9" s="1870"/>
      <c r="T9" s="1877">
        <f>SUM(T6:T8)</f>
        <v>991</v>
      </c>
      <c r="U9" s="1877">
        <f t="shared" ref="U9:V9" si="4">SUM(U6:U8)</f>
        <v>1131</v>
      </c>
      <c r="V9" s="1877">
        <f t="shared" si="4"/>
        <v>1153</v>
      </c>
      <c r="X9" s="1877">
        <f>SUM(X6:X8)</f>
        <v>538</v>
      </c>
      <c r="Y9" s="1877">
        <f t="shared" ref="Y9:Z9" si="5">SUM(Y6:Y8)</f>
        <v>484</v>
      </c>
      <c r="Z9" s="1877">
        <f t="shared" si="5"/>
        <v>528</v>
      </c>
      <c r="AA9" s="1870"/>
      <c r="AB9" s="1877">
        <f>SUM(AB6:AB8)</f>
        <v>993</v>
      </c>
      <c r="AC9" s="1877">
        <f t="shared" ref="AC9:AD9" si="6">SUM(AC6:AC8)</f>
        <v>1127</v>
      </c>
      <c r="AD9" s="1877">
        <f t="shared" si="6"/>
        <v>1048</v>
      </c>
      <c r="AE9" s="213"/>
      <c r="AF9" s="1877">
        <f>SUM(AF6:AF8)</f>
        <v>815</v>
      </c>
      <c r="AG9" s="1877">
        <f t="shared" ref="AG9:AH9" si="7">SUM(AG6:AG8)</f>
        <v>827</v>
      </c>
      <c r="AH9" s="1877">
        <f t="shared" si="7"/>
        <v>761</v>
      </c>
      <c r="AI9" s="80"/>
      <c r="AJ9" s="80"/>
    </row>
    <row r="10" spans="1:36" s="73" customFormat="1" ht="12">
      <c r="A10" s="1878" t="s">
        <v>1072</v>
      </c>
      <c r="B10" s="1878"/>
      <c r="C10" s="1878"/>
      <c r="D10" s="2651"/>
      <c r="E10" s="1878"/>
      <c r="F10" s="1878"/>
      <c r="G10" s="1878"/>
      <c r="H10" s="2651"/>
      <c r="I10" s="1878"/>
      <c r="J10" s="1878"/>
      <c r="K10" s="1878"/>
      <c r="L10" s="3021" t="s">
        <v>2033</v>
      </c>
      <c r="M10" s="1878"/>
      <c r="N10" s="1878"/>
      <c r="O10" s="1878"/>
      <c r="P10" s="1878"/>
      <c r="Q10" s="1878"/>
      <c r="R10" s="1878"/>
      <c r="S10" s="1878"/>
      <c r="T10" s="1878"/>
      <c r="U10" s="1878"/>
      <c r="V10" s="1878"/>
      <c r="X10" s="1878"/>
      <c r="Y10" s="1878"/>
      <c r="Z10" s="1878"/>
      <c r="AA10" s="1878"/>
      <c r="AB10" s="1878"/>
      <c r="AC10" s="1878"/>
      <c r="AD10" s="1878"/>
      <c r="AE10" s="213"/>
      <c r="AF10" s="1879"/>
      <c r="AG10" s="1879"/>
      <c r="AH10" s="1879"/>
      <c r="AI10" s="80"/>
      <c r="AJ10" s="80"/>
    </row>
    <row r="11" spans="1:36" s="73" customFormat="1" ht="12">
      <c r="B11" s="1870"/>
      <c r="C11" s="1870"/>
      <c r="D11" s="1870"/>
      <c r="E11" s="1870"/>
      <c r="F11" s="1870"/>
      <c r="G11" s="1870"/>
      <c r="H11" s="1870"/>
      <c r="I11" s="1870"/>
      <c r="J11" s="1870"/>
      <c r="K11" s="1870"/>
      <c r="L11" s="1870"/>
      <c r="M11" s="1870"/>
      <c r="N11" s="1870"/>
      <c r="O11" s="1870"/>
      <c r="P11" s="1870"/>
      <c r="Q11" s="1870"/>
      <c r="R11" s="1870"/>
      <c r="S11" s="1870"/>
      <c r="T11" s="1870"/>
      <c r="U11" s="1870"/>
      <c r="V11" s="1870"/>
      <c r="X11" s="1870"/>
      <c r="Y11" s="1870"/>
      <c r="Z11" s="1870"/>
      <c r="AA11" s="1870"/>
      <c r="AB11" s="1870"/>
      <c r="AC11" s="1870"/>
      <c r="AD11" s="1870"/>
      <c r="AE11" s="213"/>
      <c r="AF11" s="80"/>
      <c r="AI11" s="80"/>
      <c r="AJ11" s="80"/>
    </row>
    <row r="12" spans="1:36" s="73" customFormat="1" ht="12">
      <c r="A12" s="5214" t="s">
        <v>1058</v>
      </c>
      <c r="B12" s="5216" t="s">
        <v>1059</v>
      </c>
      <c r="C12" s="1870"/>
      <c r="D12" s="5179" t="s">
        <v>3973</v>
      </c>
      <c r="E12" s="5180"/>
      <c r="F12" s="5181"/>
      <c r="G12" s="1870"/>
      <c r="H12" s="5179" t="s">
        <v>2525</v>
      </c>
      <c r="I12" s="5180"/>
      <c r="J12" s="5181"/>
      <c r="K12" s="1870"/>
      <c r="L12" s="5179" t="s">
        <v>1894</v>
      </c>
      <c r="M12" s="5180"/>
      <c r="N12" s="5181"/>
      <c r="O12" s="1870"/>
      <c r="P12" s="5179" t="s">
        <v>1793</v>
      </c>
      <c r="Q12" s="5180"/>
      <c r="R12" s="5181"/>
      <c r="S12" s="1870"/>
      <c r="T12" s="5179" t="s">
        <v>1060</v>
      </c>
      <c r="U12" s="5180"/>
      <c r="V12" s="5181"/>
      <c r="X12" s="5179" t="s">
        <v>1061</v>
      </c>
      <c r="Y12" s="5180"/>
      <c r="Z12" s="5181"/>
      <c r="AB12" s="5179" t="s">
        <v>1062</v>
      </c>
      <c r="AC12" s="5180"/>
      <c r="AD12" s="5181"/>
      <c r="AE12" s="163"/>
      <c r="AF12" s="5179" t="s">
        <v>1063</v>
      </c>
      <c r="AG12" s="5180"/>
      <c r="AH12" s="5181"/>
      <c r="AI12" s="80"/>
      <c r="AJ12" s="80"/>
    </row>
    <row r="13" spans="1:36" s="73" customFormat="1" ht="12">
      <c r="A13" s="5215"/>
      <c r="B13" s="5217"/>
      <c r="C13" s="1870"/>
      <c r="D13" s="1880" t="s">
        <v>1064</v>
      </c>
      <c r="E13" s="1880" t="s">
        <v>1065</v>
      </c>
      <c r="F13" s="1880" t="s">
        <v>1073</v>
      </c>
      <c r="G13" s="1870"/>
      <c r="H13" s="1880" t="s">
        <v>1064</v>
      </c>
      <c r="I13" s="1880" t="s">
        <v>1065</v>
      </c>
      <c r="J13" s="1880" t="s">
        <v>1073</v>
      </c>
      <c r="K13" s="1870"/>
      <c r="L13" s="1880" t="s">
        <v>1064</v>
      </c>
      <c r="M13" s="1880" t="s">
        <v>1065</v>
      </c>
      <c r="N13" s="1880" t="s">
        <v>1073</v>
      </c>
      <c r="O13" s="1870"/>
      <c r="P13" s="1880" t="s">
        <v>1064</v>
      </c>
      <c r="Q13" s="1880" t="s">
        <v>1065</v>
      </c>
      <c r="R13" s="1880" t="s">
        <v>1073</v>
      </c>
      <c r="S13" s="1870"/>
      <c r="T13" s="1880" t="s">
        <v>1064</v>
      </c>
      <c r="U13" s="1880" t="s">
        <v>1065</v>
      </c>
      <c r="V13" s="1880" t="s">
        <v>1073</v>
      </c>
      <c r="X13" s="1880" t="s">
        <v>1064</v>
      </c>
      <c r="Y13" s="1880" t="s">
        <v>1065</v>
      </c>
      <c r="Z13" s="1880" t="s">
        <v>1073</v>
      </c>
      <c r="AA13" s="1870"/>
      <c r="AB13" s="1880" t="s">
        <v>1064</v>
      </c>
      <c r="AC13" s="1880" t="s">
        <v>1065</v>
      </c>
      <c r="AD13" s="1880" t="s">
        <v>1066</v>
      </c>
      <c r="AE13" s="213"/>
      <c r="AF13" s="1880" t="s">
        <v>1064</v>
      </c>
      <c r="AG13" s="1880" t="s">
        <v>1065</v>
      </c>
      <c r="AH13" s="1880" t="s">
        <v>1066</v>
      </c>
      <c r="AI13" s="80"/>
      <c r="AJ13" s="80"/>
    </row>
    <row r="14" spans="1:36" s="73" customFormat="1" ht="12">
      <c r="A14" s="5201" t="s">
        <v>1067</v>
      </c>
      <c r="B14" s="1872" t="s">
        <v>1068</v>
      </c>
      <c r="C14" s="1870"/>
      <c r="D14" s="1881">
        <v>139</v>
      </c>
      <c r="E14" s="1881">
        <v>240</v>
      </c>
      <c r="F14" s="1881">
        <v>308</v>
      </c>
      <c r="G14" s="1870"/>
      <c r="H14" s="1881">
        <v>236</v>
      </c>
      <c r="I14" s="1881">
        <v>200</v>
      </c>
      <c r="J14" s="1881">
        <v>233</v>
      </c>
      <c r="K14" s="1870"/>
      <c r="L14" s="1881">
        <v>242</v>
      </c>
      <c r="M14" s="1881">
        <v>209</v>
      </c>
      <c r="N14" s="1881">
        <v>422</v>
      </c>
      <c r="O14" s="1870"/>
      <c r="P14" s="1881">
        <v>202</v>
      </c>
      <c r="Q14" s="1881">
        <v>181</v>
      </c>
      <c r="R14" s="1881">
        <v>392</v>
      </c>
      <c r="S14" s="1870"/>
      <c r="T14" s="1881">
        <v>128</v>
      </c>
      <c r="U14" s="1881">
        <v>131</v>
      </c>
      <c r="V14" s="1881">
        <v>293</v>
      </c>
      <c r="X14" s="1881">
        <v>144</v>
      </c>
      <c r="Y14" s="1881">
        <v>104</v>
      </c>
      <c r="Z14" s="1881">
        <v>276</v>
      </c>
      <c r="AA14" s="1870"/>
      <c r="AB14" s="1881">
        <v>140</v>
      </c>
      <c r="AC14" s="1881">
        <v>92</v>
      </c>
      <c r="AD14" s="1881">
        <v>43</v>
      </c>
      <c r="AE14" s="213"/>
      <c r="AF14" s="1881">
        <v>202</v>
      </c>
      <c r="AG14" s="1881">
        <v>102</v>
      </c>
      <c r="AH14" s="1881">
        <v>28</v>
      </c>
      <c r="AI14" s="80"/>
      <c r="AJ14" s="80"/>
    </row>
    <row r="15" spans="1:36" s="73" customFormat="1" ht="12">
      <c r="A15" s="5201"/>
      <c r="B15" s="1874" t="s">
        <v>1069</v>
      </c>
      <c r="C15" s="1870"/>
      <c r="D15" s="1881">
        <v>130</v>
      </c>
      <c r="E15" s="1881">
        <v>116</v>
      </c>
      <c r="F15" s="1881">
        <v>169</v>
      </c>
      <c r="G15" s="1870"/>
      <c r="H15" s="1881">
        <v>127</v>
      </c>
      <c r="I15" s="1881">
        <v>112</v>
      </c>
      <c r="J15" s="1881">
        <v>117</v>
      </c>
      <c r="K15" s="1870"/>
      <c r="L15" s="1881">
        <v>111</v>
      </c>
      <c r="M15" s="1881">
        <v>75</v>
      </c>
      <c r="N15" s="1881">
        <v>229</v>
      </c>
      <c r="O15" s="1870"/>
      <c r="P15" s="1881">
        <v>77</v>
      </c>
      <c r="Q15" s="1881">
        <v>66</v>
      </c>
      <c r="R15" s="1881">
        <v>108</v>
      </c>
      <c r="S15" s="1870"/>
      <c r="T15" s="1881">
        <v>89</v>
      </c>
      <c r="U15" s="1881">
        <v>87</v>
      </c>
      <c r="V15" s="1881">
        <v>140</v>
      </c>
      <c r="X15" s="1881">
        <v>82</v>
      </c>
      <c r="Y15" s="1881">
        <v>67</v>
      </c>
      <c r="Z15" s="1881">
        <v>133</v>
      </c>
      <c r="AA15" s="1870"/>
      <c r="AB15" s="1881">
        <v>76</v>
      </c>
      <c r="AC15" s="1881">
        <v>50</v>
      </c>
      <c r="AD15" s="1881">
        <v>30</v>
      </c>
      <c r="AE15" s="213"/>
      <c r="AF15" s="1881">
        <v>50</v>
      </c>
      <c r="AG15" s="1881">
        <v>24</v>
      </c>
      <c r="AH15" s="1881">
        <v>17</v>
      </c>
      <c r="AI15" s="80"/>
      <c r="AJ15" s="80"/>
    </row>
    <row r="16" spans="1:36" s="73" customFormat="1" ht="12">
      <c r="A16" s="5201"/>
      <c r="B16" s="1874" t="s">
        <v>1070</v>
      </c>
      <c r="C16" s="1870"/>
      <c r="D16" s="1881">
        <v>30</v>
      </c>
      <c r="E16" s="1881">
        <v>50</v>
      </c>
      <c r="F16" s="1881">
        <v>57</v>
      </c>
      <c r="G16" s="1870"/>
      <c r="H16" s="1881">
        <v>91</v>
      </c>
      <c r="I16" s="1881">
        <v>38</v>
      </c>
      <c r="J16" s="1881">
        <v>32</v>
      </c>
      <c r="K16" s="1870"/>
      <c r="L16" s="1881">
        <v>82</v>
      </c>
      <c r="M16" s="1881">
        <v>44</v>
      </c>
      <c r="N16" s="1881">
        <v>136</v>
      </c>
      <c r="O16" s="1870"/>
      <c r="P16" s="1881">
        <v>61</v>
      </c>
      <c r="Q16" s="1881">
        <v>40</v>
      </c>
      <c r="R16" s="1881">
        <v>108</v>
      </c>
      <c r="S16" s="1870"/>
      <c r="T16" s="1881">
        <v>70</v>
      </c>
      <c r="U16" s="1881">
        <v>62</v>
      </c>
      <c r="V16" s="1881">
        <v>63</v>
      </c>
      <c r="X16" s="1881">
        <v>37</v>
      </c>
      <c r="Y16" s="1881">
        <v>39</v>
      </c>
      <c r="Z16" s="1881">
        <v>71</v>
      </c>
      <c r="AA16" s="1870"/>
      <c r="AB16" s="1881">
        <v>59</v>
      </c>
      <c r="AC16" s="1881">
        <v>20</v>
      </c>
      <c r="AD16" s="1881"/>
      <c r="AE16" s="213"/>
      <c r="AF16" s="1881">
        <v>41</v>
      </c>
      <c r="AG16" s="1881">
        <v>24</v>
      </c>
      <c r="AH16" s="1881"/>
      <c r="AI16" s="80"/>
      <c r="AJ16" s="80"/>
    </row>
    <row r="17" spans="1:36" s="73" customFormat="1" ht="12">
      <c r="A17" s="5201"/>
      <c r="B17" s="1882" t="s">
        <v>1895</v>
      </c>
      <c r="C17" s="1870"/>
      <c r="D17" s="1883"/>
      <c r="E17" s="1883"/>
      <c r="F17" s="1883"/>
      <c r="G17" s="1870"/>
      <c r="H17" s="1883"/>
      <c r="I17" s="1883"/>
      <c r="J17" s="1883"/>
      <c r="K17" s="1870"/>
      <c r="L17" s="1883">
        <v>14</v>
      </c>
      <c r="M17" s="1883">
        <v>16</v>
      </c>
      <c r="N17" s="1883">
        <v>1</v>
      </c>
      <c r="O17" s="1870"/>
      <c r="P17" s="1883"/>
      <c r="Q17" s="1883"/>
      <c r="R17" s="1883"/>
      <c r="S17" s="1870"/>
      <c r="T17" s="1883"/>
      <c r="U17" s="1883"/>
      <c r="V17" s="1883"/>
      <c r="X17" s="1883">
        <v>80</v>
      </c>
      <c r="Y17" s="1883">
        <v>64</v>
      </c>
      <c r="Z17" s="1883">
        <v>93</v>
      </c>
      <c r="AA17" s="1870"/>
      <c r="AB17" s="1883">
        <v>9</v>
      </c>
      <c r="AC17" s="1883">
        <v>5</v>
      </c>
      <c r="AD17" s="1883"/>
      <c r="AE17" s="213"/>
      <c r="AF17" s="1883">
        <v>21</v>
      </c>
      <c r="AG17" s="1883">
        <v>21</v>
      </c>
      <c r="AH17" s="1883"/>
      <c r="AI17" s="80"/>
      <c r="AJ17" s="80"/>
    </row>
    <row r="18" spans="1:36" s="73" customFormat="1" ht="12">
      <c r="A18" s="5202" t="s">
        <v>1074</v>
      </c>
      <c r="B18" s="5203"/>
      <c r="C18" s="1870"/>
      <c r="D18" s="1884">
        <f>SUM(D14:D17)</f>
        <v>299</v>
      </c>
      <c r="E18" s="1884">
        <f t="shared" ref="E18:F18" si="8">SUM(E14:E17)</f>
        <v>406</v>
      </c>
      <c r="F18" s="1884">
        <f t="shared" si="8"/>
        <v>534</v>
      </c>
      <c r="G18" s="1870"/>
      <c r="H18" s="1884">
        <f>SUM(H14:H17)</f>
        <v>454</v>
      </c>
      <c r="I18" s="1884">
        <f t="shared" ref="I18" si="9">SUM(I14:I17)</f>
        <v>350</v>
      </c>
      <c r="J18" s="1884">
        <f>SUM(J14:J17)</f>
        <v>382</v>
      </c>
      <c r="K18" s="1870"/>
      <c r="L18" s="1884">
        <f>SUM(L14:L17)</f>
        <v>449</v>
      </c>
      <c r="M18" s="1884">
        <f t="shared" ref="M18" si="10">SUM(M14:M17)</f>
        <v>344</v>
      </c>
      <c r="N18" s="1884">
        <f>SUM(N14:N17)</f>
        <v>788</v>
      </c>
      <c r="O18" s="1870"/>
      <c r="P18" s="1884">
        <f>SUM(P14:P17)</f>
        <v>340</v>
      </c>
      <c r="Q18" s="1884">
        <f t="shared" ref="Q18" si="11">SUM(Q14:Q17)</f>
        <v>287</v>
      </c>
      <c r="R18" s="1884">
        <f>SUM(R14:R17)</f>
        <v>608</v>
      </c>
      <c r="S18" s="1870"/>
      <c r="T18" s="1884">
        <f>SUM(T14:T17)</f>
        <v>287</v>
      </c>
      <c r="U18" s="1884">
        <f t="shared" ref="U18" si="12">SUM(U14:U17)</f>
        <v>280</v>
      </c>
      <c r="V18" s="1884">
        <f>SUM(V14:V17)</f>
        <v>496</v>
      </c>
      <c r="X18" s="1884">
        <f>SUM(X14:X17)</f>
        <v>343</v>
      </c>
      <c r="Y18" s="1884">
        <f t="shared" ref="Y18" si="13">SUM(Y14:Y17)</f>
        <v>274</v>
      </c>
      <c r="Z18" s="1884">
        <f>SUM(Z14:Z17)</f>
        <v>573</v>
      </c>
      <c r="AA18" s="1870"/>
      <c r="AB18" s="1884">
        <f>SUM(AB14:AB17)</f>
        <v>284</v>
      </c>
      <c r="AC18" s="1884">
        <f t="shared" ref="AC18:AD18" si="14">SUM(AC14:AC17)</f>
        <v>167</v>
      </c>
      <c r="AD18" s="1884">
        <f t="shared" si="14"/>
        <v>73</v>
      </c>
      <c r="AE18" s="213"/>
      <c r="AF18" s="1884">
        <f>SUM(AF14:AF17)</f>
        <v>314</v>
      </c>
      <c r="AG18" s="1884">
        <f t="shared" ref="AG18:AH18" si="15">SUM(AG14:AG17)</f>
        <v>171</v>
      </c>
      <c r="AH18" s="1884">
        <f t="shared" si="15"/>
        <v>45</v>
      </c>
      <c r="AI18" s="80"/>
      <c r="AJ18" s="80"/>
    </row>
    <row r="19" spans="1:36" s="73" customFormat="1" ht="12">
      <c r="A19" s="1878" t="s">
        <v>1075</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X19" s="1878"/>
      <c r="Y19" s="1878"/>
      <c r="Z19" s="1878"/>
      <c r="AA19" s="1878"/>
      <c r="AB19" s="1878"/>
      <c r="AC19" s="1878"/>
      <c r="AD19" s="1878"/>
      <c r="AE19" s="213"/>
      <c r="AF19" s="1879"/>
      <c r="AG19" s="1879"/>
      <c r="AH19" s="1879"/>
      <c r="AI19" s="80"/>
      <c r="AJ19" s="80"/>
    </row>
    <row r="20" spans="1:36" s="73" customFormat="1" ht="12">
      <c r="AE20" s="213"/>
      <c r="AI20" s="80"/>
      <c r="AJ20" s="80"/>
    </row>
    <row r="21" spans="1:36" s="73" customFormat="1" ht="15" customHeight="1">
      <c r="A21" s="5204" t="s">
        <v>1058</v>
      </c>
      <c r="B21" s="5206" t="s">
        <v>1059</v>
      </c>
      <c r="D21" s="5179" t="s">
        <v>3973</v>
      </c>
      <c r="E21" s="5180"/>
      <c r="F21" s="5181"/>
      <c r="H21" s="5179" t="s">
        <v>2525</v>
      </c>
      <c r="I21" s="5180"/>
      <c r="J21" s="5181"/>
      <c r="L21" s="5168" t="s">
        <v>1894</v>
      </c>
      <c r="M21" s="5169"/>
      <c r="N21" s="5170"/>
      <c r="P21" s="5168" t="s">
        <v>1793</v>
      </c>
      <c r="Q21" s="5169"/>
      <c r="R21" s="5170"/>
      <c r="T21" s="5168" t="s">
        <v>1060</v>
      </c>
      <c r="U21" s="5169"/>
      <c r="V21" s="5170"/>
      <c r="X21" s="5168" t="s">
        <v>1061</v>
      </c>
      <c r="Y21" s="5169"/>
      <c r="Z21" s="5170"/>
      <c r="AB21" s="5168" t="s">
        <v>1062</v>
      </c>
      <c r="AC21" s="5169"/>
      <c r="AD21" s="5170"/>
      <c r="AE21" s="213"/>
      <c r="AF21" s="5168" t="s">
        <v>1062</v>
      </c>
      <c r="AG21" s="5169"/>
      <c r="AH21" s="5170"/>
    </row>
    <row r="22" spans="1:36" s="73" customFormat="1" ht="15" customHeight="1">
      <c r="A22" s="5205"/>
      <c r="B22" s="5207"/>
      <c r="D22" s="1885" t="s">
        <v>1064</v>
      </c>
      <c r="E22" s="1885" t="s">
        <v>1065</v>
      </c>
      <c r="F22" s="1885" t="s">
        <v>1066</v>
      </c>
      <c r="H22" s="1885" t="s">
        <v>1064</v>
      </c>
      <c r="I22" s="1885" t="s">
        <v>1065</v>
      </c>
      <c r="J22" s="1885" t="s">
        <v>1066</v>
      </c>
      <c r="L22" s="1885" t="s">
        <v>1064</v>
      </c>
      <c r="M22" s="1885" t="s">
        <v>1065</v>
      </c>
      <c r="N22" s="1885" t="s">
        <v>1066</v>
      </c>
      <c r="P22" s="1885" t="s">
        <v>1064</v>
      </c>
      <c r="Q22" s="1885" t="s">
        <v>1065</v>
      </c>
      <c r="R22" s="1885" t="s">
        <v>1066</v>
      </c>
      <c r="T22" s="1885" t="s">
        <v>1064</v>
      </c>
      <c r="U22" s="1885" t="s">
        <v>1065</v>
      </c>
      <c r="V22" s="1885" t="s">
        <v>1066</v>
      </c>
      <c r="X22" s="1885" t="s">
        <v>1064</v>
      </c>
      <c r="Y22" s="1885" t="s">
        <v>1065</v>
      </c>
      <c r="Z22" s="1885" t="s">
        <v>1066</v>
      </c>
      <c r="AB22" s="1885" t="s">
        <v>1064</v>
      </c>
      <c r="AC22" s="1885" t="s">
        <v>1065</v>
      </c>
      <c r="AD22" s="1885" t="s">
        <v>1066</v>
      </c>
      <c r="AE22" s="213"/>
      <c r="AF22" s="1885" t="s">
        <v>1064</v>
      </c>
      <c r="AG22" s="1885" t="s">
        <v>1065</v>
      </c>
      <c r="AH22" s="1885" t="s">
        <v>1066</v>
      </c>
    </row>
    <row r="23" spans="1:36" s="73" customFormat="1" ht="12">
      <c r="A23" s="5186" t="s">
        <v>1067</v>
      </c>
      <c r="B23" s="1886" t="s">
        <v>1068</v>
      </c>
      <c r="D23" s="1887">
        <v>1199</v>
      </c>
      <c r="E23" s="1887">
        <v>1155</v>
      </c>
      <c r="F23" s="1887">
        <v>1249</v>
      </c>
      <c r="H23" s="1887">
        <v>2465</v>
      </c>
      <c r="I23" s="1887">
        <v>2328</v>
      </c>
      <c r="J23" s="1887">
        <v>2295</v>
      </c>
      <c r="L23" s="1887">
        <v>1675</v>
      </c>
      <c r="M23" s="1887">
        <v>1567</v>
      </c>
      <c r="N23" s="1887">
        <v>1516</v>
      </c>
      <c r="P23" s="1887">
        <v>2091</v>
      </c>
      <c r="Q23" s="1887">
        <v>1734</v>
      </c>
      <c r="R23" s="1887">
        <v>1424</v>
      </c>
      <c r="T23" s="1887">
        <v>2054</v>
      </c>
      <c r="U23" s="1887">
        <v>1907</v>
      </c>
      <c r="V23" s="1887">
        <v>2195</v>
      </c>
      <c r="X23" s="1887">
        <v>1963</v>
      </c>
      <c r="Y23" s="1887">
        <v>1757</v>
      </c>
      <c r="Z23" s="1887">
        <v>1994</v>
      </c>
      <c r="AB23" s="1887">
        <v>1646</v>
      </c>
      <c r="AC23" s="1887">
        <v>1459</v>
      </c>
      <c r="AD23" s="1887">
        <v>1998</v>
      </c>
      <c r="AE23" s="213"/>
      <c r="AF23" s="1887">
        <v>1022</v>
      </c>
      <c r="AG23" s="1887">
        <v>1061</v>
      </c>
      <c r="AH23" s="1887">
        <v>1068</v>
      </c>
    </row>
    <row r="24" spans="1:36" s="73" customFormat="1" ht="12">
      <c r="A24" s="5187"/>
      <c r="B24" s="1888" t="s">
        <v>1069</v>
      </c>
      <c r="D24" s="1889">
        <v>1197</v>
      </c>
      <c r="E24" s="1889">
        <v>1152</v>
      </c>
      <c r="F24" s="1889">
        <v>1130</v>
      </c>
      <c r="H24" s="1889">
        <v>418</v>
      </c>
      <c r="I24" s="1889">
        <v>430</v>
      </c>
      <c r="J24" s="1889">
        <v>413</v>
      </c>
      <c r="L24" s="1889">
        <v>1252</v>
      </c>
      <c r="M24" s="1889">
        <v>1260</v>
      </c>
      <c r="N24" s="1889">
        <v>1276</v>
      </c>
      <c r="P24" s="1889">
        <v>1287</v>
      </c>
      <c r="Q24" s="1889">
        <v>1369</v>
      </c>
      <c r="R24" s="1889">
        <v>1443</v>
      </c>
      <c r="T24" s="1889">
        <v>1025</v>
      </c>
      <c r="U24" s="1889">
        <v>997</v>
      </c>
      <c r="V24" s="1889">
        <v>1101</v>
      </c>
      <c r="X24" s="1889">
        <v>949</v>
      </c>
      <c r="Y24" s="1889">
        <v>946</v>
      </c>
      <c r="Z24" s="1889">
        <v>1087</v>
      </c>
      <c r="AB24" s="1889">
        <v>494</v>
      </c>
      <c r="AC24" s="1889">
        <v>548</v>
      </c>
      <c r="AD24" s="1889">
        <v>699</v>
      </c>
      <c r="AE24" s="213"/>
      <c r="AF24" s="1889">
        <v>429</v>
      </c>
      <c r="AG24" s="1889">
        <v>455</v>
      </c>
      <c r="AH24" s="1889">
        <v>394</v>
      </c>
    </row>
    <row r="25" spans="1:36" s="73" customFormat="1" ht="12">
      <c r="A25" s="5188"/>
      <c r="B25" s="1890" t="s">
        <v>1070</v>
      </c>
      <c r="D25" s="1891">
        <v>115</v>
      </c>
      <c r="E25" s="1891">
        <v>144</v>
      </c>
      <c r="F25" s="1891">
        <v>154</v>
      </c>
      <c r="H25" s="1891">
        <v>176</v>
      </c>
      <c r="I25" s="1891">
        <v>184</v>
      </c>
      <c r="J25" s="1891">
        <v>190</v>
      </c>
      <c r="L25" s="1891">
        <v>142</v>
      </c>
      <c r="M25" s="1891">
        <v>185</v>
      </c>
      <c r="N25" s="1891">
        <v>157</v>
      </c>
      <c r="P25" s="1891">
        <v>107</v>
      </c>
      <c r="Q25" s="1891">
        <v>140</v>
      </c>
      <c r="R25" s="1891">
        <v>278</v>
      </c>
      <c r="T25" s="1891">
        <v>99</v>
      </c>
      <c r="U25" s="1891">
        <v>88</v>
      </c>
      <c r="V25" s="1891">
        <v>185</v>
      </c>
      <c r="X25" s="1891">
        <v>62</v>
      </c>
      <c r="Y25" s="1891">
        <v>113</v>
      </c>
      <c r="Z25" s="1891">
        <v>101</v>
      </c>
      <c r="AB25" s="1891">
        <v>53</v>
      </c>
      <c r="AC25" s="1891">
        <v>49</v>
      </c>
      <c r="AD25" s="1891">
        <v>65</v>
      </c>
      <c r="AE25" s="213"/>
      <c r="AF25" s="1891">
        <v>50</v>
      </c>
      <c r="AG25" s="1891">
        <v>65</v>
      </c>
      <c r="AH25" s="1891">
        <v>45</v>
      </c>
    </row>
    <row r="26" spans="1:36" s="73" customFormat="1" ht="15" customHeight="1">
      <c r="A26" s="5195" t="s">
        <v>1077</v>
      </c>
      <c r="B26" s="5196"/>
      <c r="D26" s="1892">
        <f>SUM(D23:D25)</f>
        <v>2511</v>
      </c>
      <c r="E26" s="1892">
        <f t="shared" ref="E26:F26" si="16">SUM(E23:E25)</f>
        <v>2451</v>
      </c>
      <c r="F26" s="1892">
        <f t="shared" si="16"/>
        <v>2533</v>
      </c>
      <c r="H26" s="1892">
        <f>SUM(H23:H25)</f>
        <v>3059</v>
      </c>
      <c r="I26" s="1892">
        <f t="shared" ref="I26:J26" si="17">SUM(I23:I25)</f>
        <v>2942</v>
      </c>
      <c r="J26" s="1892">
        <f t="shared" si="17"/>
        <v>2898</v>
      </c>
      <c r="L26" s="1892">
        <f>SUM(L23:L25)</f>
        <v>3069</v>
      </c>
      <c r="M26" s="1892">
        <f t="shared" ref="M26:N26" si="18">SUM(M23:M25)</f>
        <v>3012</v>
      </c>
      <c r="N26" s="1892">
        <f t="shared" si="18"/>
        <v>2949</v>
      </c>
      <c r="P26" s="1892">
        <f>SUM(P23:P25)</f>
        <v>3485</v>
      </c>
      <c r="Q26" s="1892">
        <f t="shared" ref="Q26:R26" si="19">SUM(Q23:Q25)</f>
        <v>3243</v>
      </c>
      <c r="R26" s="1892">
        <f t="shared" si="19"/>
        <v>3145</v>
      </c>
      <c r="T26" s="1892">
        <f>SUM(T23:T25)</f>
        <v>3178</v>
      </c>
      <c r="U26" s="1892">
        <f t="shared" ref="U26:V26" si="20">SUM(U23:U25)</f>
        <v>2992</v>
      </c>
      <c r="V26" s="1892">
        <f t="shared" si="20"/>
        <v>3481</v>
      </c>
      <c r="W26" s="80"/>
      <c r="X26" s="1892">
        <f>SUM(X23:X25)</f>
        <v>2974</v>
      </c>
      <c r="Y26" s="1892">
        <f t="shared" ref="Y26:Z26" si="21">SUM(Y23:Y25)</f>
        <v>2816</v>
      </c>
      <c r="Z26" s="1892">
        <f t="shared" si="21"/>
        <v>3182</v>
      </c>
      <c r="AA26" s="80"/>
      <c r="AB26" s="1892">
        <f>SUM(AB23:AB25)</f>
        <v>2193</v>
      </c>
      <c r="AC26" s="1892">
        <f>SUM(AC23:AC25)</f>
        <v>2056</v>
      </c>
      <c r="AD26" s="1892">
        <f>SUM(AD23:AD25)</f>
        <v>2762</v>
      </c>
      <c r="AE26" s="213"/>
      <c r="AF26" s="1892">
        <f>SUM(AF23:AF25)</f>
        <v>1501</v>
      </c>
      <c r="AG26" s="1892">
        <f>SUM(AG23:AG25)</f>
        <v>1581</v>
      </c>
      <c r="AH26" s="1892">
        <f>SUM(AH23:AH25)</f>
        <v>1507</v>
      </c>
    </row>
    <row r="27" spans="1:36" s="73" customFormat="1" ht="15" customHeight="1">
      <c r="A27" s="80" t="s">
        <v>1078</v>
      </c>
      <c r="AE27" s="213"/>
      <c r="AF27" s="80"/>
    </row>
    <row r="28" spans="1:36" s="73" customFormat="1" ht="12">
      <c r="B28" s="80"/>
      <c r="C28" s="80"/>
      <c r="D28" s="80"/>
      <c r="E28" s="80"/>
      <c r="F28" s="80"/>
      <c r="G28" s="80"/>
      <c r="H28" s="80"/>
      <c r="I28" s="80"/>
      <c r="J28" s="80"/>
      <c r="K28" s="80"/>
      <c r="L28" s="80"/>
      <c r="M28" s="80"/>
      <c r="N28" s="80"/>
      <c r="O28" s="80"/>
      <c r="S28" s="80"/>
      <c r="X28" s="80"/>
      <c r="Y28" s="80"/>
      <c r="Z28" s="80"/>
      <c r="AA28" s="80"/>
      <c r="AB28" s="80"/>
      <c r="AC28" s="80"/>
      <c r="AD28" s="80"/>
      <c r="AE28" s="213"/>
      <c r="AF28" s="80"/>
      <c r="AG28" s="80"/>
      <c r="AH28" s="80"/>
    </row>
    <row r="29" spans="1:36" s="73" customFormat="1" ht="12">
      <c r="A29" s="5197" t="s">
        <v>1058</v>
      </c>
      <c r="B29" s="5199" t="s">
        <v>1059</v>
      </c>
      <c r="D29" s="5179" t="s">
        <v>3973</v>
      </c>
      <c r="E29" s="5180"/>
      <c r="F29" s="5181"/>
      <c r="H29" s="5179" t="s">
        <v>2525</v>
      </c>
      <c r="I29" s="5180"/>
      <c r="J29" s="5181"/>
      <c r="L29" s="5168" t="s">
        <v>1894</v>
      </c>
      <c r="M29" s="5169"/>
      <c r="N29" s="5170"/>
      <c r="P29" s="5168" t="s">
        <v>1793</v>
      </c>
      <c r="Q29" s="5169"/>
      <c r="R29" s="5170"/>
      <c r="T29" s="5168" t="s">
        <v>1060</v>
      </c>
      <c r="U29" s="5169"/>
      <c r="V29" s="5170"/>
      <c r="X29" s="5168" t="s">
        <v>1061</v>
      </c>
      <c r="Y29" s="5169"/>
      <c r="Z29" s="5170"/>
      <c r="AA29" s="80"/>
      <c r="AB29" s="80"/>
      <c r="AC29" s="80"/>
      <c r="AD29" s="80"/>
      <c r="AE29" s="213"/>
      <c r="AF29" s="80"/>
      <c r="AG29" s="80"/>
      <c r="AH29" s="80"/>
    </row>
    <row r="30" spans="1:36" s="73" customFormat="1" ht="12">
      <c r="A30" s="5198"/>
      <c r="B30" s="5200"/>
      <c r="D30" s="1893" t="s">
        <v>1064</v>
      </c>
      <c r="E30" s="1893" t="s">
        <v>1065</v>
      </c>
      <c r="F30" s="1893" t="s">
        <v>1066</v>
      </c>
      <c r="H30" s="1893" t="s">
        <v>1064</v>
      </c>
      <c r="I30" s="1893" t="s">
        <v>1065</v>
      </c>
      <c r="J30" s="1893" t="s">
        <v>1066</v>
      </c>
      <c r="L30" s="1893" t="s">
        <v>1064</v>
      </c>
      <c r="M30" s="1893" t="s">
        <v>1065</v>
      </c>
      <c r="N30" s="1893" t="s">
        <v>1066</v>
      </c>
      <c r="P30" s="1893" t="s">
        <v>1064</v>
      </c>
      <c r="Q30" s="1893" t="s">
        <v>1065</v>
      </c>
      <c r="R30" s="1893" t="s">
        <v>1066</v>
      </c>
      <c r="T30" s="1893" t="s">
        <v>1064</v>
      </c>
      <c r="U30" s="1893" t="s">
        <v>1065</v>
      </c>
      <c r="V30" s="1893" t="s">
        <v>1066</v>
      </c>
      <c r="X30" s="1893" t="s">
        <v>1064</v>
      </c>
      <c r="Y30" s="1893" t="s">
        <v>1065</v>
      </c>
      <c r="Z30" s="1893" t="s">
        <v>1066</v>
      </c>
      <c r="AA30" s="80"/>
      <c r="AB30" s="80"/>
      <c r="AC30" s="80"/>
      <c r="AD30" s="80"/>
      <c r="AE30" s="213"/>
      <c r="AF30" s="80"/>
      <c r="AG30" s="80"/>
      <c r="AH30" s="80"/>
    </row>
    <row r="31" spans="1:36" s="73" customFormat="1" ht="12">
      <c r="A31" s="5186" t="s">
        <v>1067</v>
      </c>
      <c r="B31" s="1886" t="s">
        <v>1068</v>
      </c>
      <c r="D31" s="1887"/>
      <c r="E31" s="1887">
        <v>40</v>
      </c>
      <c r="F31" s="1887">
        <v>125</v>
      </c>
      <c r="H31" s="1887"/>
      <c r="I31" s="1887">
        <v>12</v>
      </c>
      <c r="J31" s="1887"/>
      <c r="L31" s="1887"/>
      <c r="M31" s="1887">
        <v>12</v>
      </c>
      <c r="N31" s="1887"/>
      <c r="P31" s="1887">
        <v>24</v>
      </c>
      <c r="Q31" s="1887">
        <v>89</v>
      </c>
      <c r="R31" s="1887">
        <v>24</v>
      </c>
      <c r="T31" s="1887"/>
      <c r="U31" s="1887"/>
      <c r="V31" s="1887">
        <v>50</v>
      </c>
      <c r="X31" s="1887">
        <v>37</v>
      </c>
      <c r="Y31" s="1887"/>
      <c r="Z31" s="1887">
        <v>16</v>
      </c>
      <c r="AA31" s="80"/>
      <c r="AB31" s="80"/>
      <c r="AC31" s="80"/>
      <c r="AD31" s="80"/>
      <c r="AE31" s="213"/>
      <c r="AF31" s="80"/>
      <c r="AG31" s="80"/>
      <c r="AH31" s="80"/>
    </row>
    <row r="32" spans="1:36" s="73" customFormat="1" ht="12">
      <c r="A32" s="5187"/>
      <c r="B32" s="1888" t="s">
        <v>1069</v>
      </c>
      <c r="D32" s="1889"/>
      <c r="E32" s="1889">
        <v>33</v>
      </c>
      <c r="F32" s="1889">
        <v>42</v>
      </c>
      <c r="H32" s="1889"/>
      <c r="I32" s="1889">
        <v>17</v>
      </c>
      <c r="J32" s="1889"/>
      <c r="L32" s="1889"/>
      <c r="M32" s="1889">
        <v>17</v>
      </c>
      <c r="N32" s="1889"/>
      <c r="P32" s="1889"/>
      <c r="Q32" s="1889"/>
      <c r="R32" s="1889"/>
      <c r="T32" s="1889"/>
      <c r="U32" s="1889"/>
      <c r="V32" s="1889"/>
      <c r="X32" s="1889"/>
      <c r="Y32" s="1889">
        <v>23</v>
      </c>
      <c r="Z32" s="1889">
        <v>25</v>
      </c>
      <c r="AA32" s="80"/>
      <c r="AB32" s="80"/>
      <c r="AC32" s="80"/>
      <c r="AD32" s="80"/>
      <c r="AE32" s="213"/>
      <c r="AF32" s="80"/>
      <c r="AG32" s="80"/>
      <c r="AH32" s="80"/>
    </row>
    <row r="33" spans="1:36" s="73" customFormat="1" ht="12">
      <c r="A33" s="5188"/>
      <c r="B33" s="1890" t="s">
        <v>1070</v>
      </c>
      <c r="D33" s="1891"/>
      <c r="E33" s="1891">
        <v>14</v>
      </c>
      <c r="F33" s="1891">
        <v>9</v>
      </c>
      <c r="H33" s="1891"/>
      <c r="I33" s="1891">
        <v>5</v>
      </c>
      <c r="J33" s="1891"/>
      <c r="L33" s="1891"/>
      <c r="M33" s="1891">
        <v>5</v>
      </c>
      <c r="N33" s="1891"/>
      <c r="P33" s="1891"/>
      <c r="Q33" s="1891"/>
      <c r="R33" s="1891"/>
      <c r="T33" s="1891"/>
      <c r="U33" s="1891"/>
      <c r="V33" s="1891"/>
      <c r="X33" s="1891"/>
      <c r="Y33" s="1891"/>
      <c r="Z33" s="1891">
        <v>25</v>
      </c>
      <c r="AA33" s="80"/>
      <c r="AB33" s="80"/>
      <c r="AC33" s="80"/>
      <c r="AD33" s="80"/>
      <c r="AE33" s="213"/>
      <c r="AF33" s="80"/>
      <c r="AG33" s="80"/>
      <c r="AH33" s="80"/>
    </row>
    <row r="34" spans="1:36" s="73" customFormat="1" ht="12">
      <c r="A34" s="5189" t="s">
        <v>1079</v>
      </c>
      <c r="B34" s="5190"/>
      <c r="D34" s="1894"/>
      <c r="E34" s="1894">
        <f>SUM(E31:E33)</f>
        <v>87</v>
      </c>
      <c r="F34" s="1894">
        <f>SUM(F31:F33)</f>
        <v>176</v>
      </c>
      <c r="H34" s="1894">
        <f>SUM(H31:H33)</f>
        <v>0</v>
      </c>
      <c r="I34" s="1894">
        <f t="shared" ref="I34:J34" si="22">SUM(I31:I33)</f>
        <v>34</v>
      </c>
      <c r="J34" s="1894">
        <f t="shared" si="22"/>
        <v>0</v>
      </c>
      <c r="L34" s="1894">
        <f>SUM(L31:L33)</f>
        <v>0</v>
      </c>
      <c r="M34" s="1894">
        <f t="shared" ref="M34:N34" si="23">SUM(M31:M33)</f>
        <v>34</v>
      </c>
      <c r="N34" s="1894">
        <f t="shared" si="23"/>
        <v>0</v>
      </c>
      <c r="P34" s="1894">
        <f>SUM(P31:P33)</f>
        <v>24</v>
      </c>
      <c r="Q34" s="1894">
        <f t="shared" ref="Q34:R34" si="24">SUM(Q31:Q33)</f>
        <v>89</v>
      </c>
      <c r="R34" s="1894">
        <f t="shared" si="24"/>
        <v>24</v>
      </c>
      <c r="T34" s="1894">
        <f>SUM(T31:T33)</f>
        <v>0</v>
      </c>
      <c r="U34" s="1894">
        <f t="shared" ref="U34:V34" si="25">SUM(U31:U33)</f>
        <v>0</v>
      </c>
      <c r="V34" s="1894">
        <f t="shared" si="25"/>
        <v>50</v>
      </c>
      <c r="X34" s="1894">
        <f>SUM(X31:X33)</f>
        <v>37</v>
      </c>
      <c r="Y34" s="1894">
        <f t="shared" ref="Y34:Z34" si="26">SUM(Y31:Y33)</f>
        <v>23</v>
      </c>
      <c r="Z34" s="1894">
        <f t="shared" si="26"/>
        <v>66</v>
      </c>
      <c r="AA34" s="80"/>
      <c r="AB34" s="80"/>
      <c r="AC34" s="80"/>
      <c r="AD34" s="80"/>
      <c r="AE34" s="213"/>
      <c r="AF34" s="80"/>
      <c r="AG34" s="80"/>
      <c r="AH34" s="80"/>
    </row>
    <row r="35" spans="1:36" s="73" customFormat="1" ht="12">
      <c r="A35" s="3020"/>
      <c r="B35" s="3020"/>
      <c r="D35" s="3022"/>
      <c r="E35" s="80"/>
      <c r="F35" s="80"/>
      <c r="H35" s="3022" t="s">
        <v>2033</v>
      </c>
      <c r="I35" s="80"/>
      <c r="J35" s="80"/>
      <c r="K35" s="80"/>
      <c r="L35" s="80"/>
      <c r="M35" s="80"/>
      <c r="N35" s="80"/>
      <c r="O35" s="80"/>
      <c r="P35" s="80"/>
      <c r="Q35" s="80"/>
      <c r="R35" s="80"/>
      <c r="S35" s="80"/>
      <c r="T35" s="80"/>
      <c r="U35" s="80"/>
      <c r="V35" s="80"/>
      <c r="W35" s="80"/>
      <c r="X35" s="80"/>
      <c r="Y35" s="80"/>
      <c r="Z35" s="80"/>
      <c r="AA35" s="80"/>
      <c r="AB35" s="80"/>
      <c r="AC35" s="80"/>
      <c r="AD35" s="80"/>
      <c r="AE35" s="213"/>
      <c r="AF35" s="80"/>
      <c r="AG35" s="80"/>
      <c r="AH35" s="80"/>
    </row>
    <row r="36" spans="1:36" s="73" customFormat="1" ht="12">
      <c r="AE36" s="213"/>
      <c r="AI36" s="80"/>
      <c r="AJ36" s="80"/>
    </row>
    <row r="37" spans="1:36" s="73" customFormat="1" ht="12">
      <c r="A37" s="5191" t="s">
        <v>1058</v>
      </c>
      <c r="B37" s="5193" t="s">
        <v>1059</v>
      </c>
      <c r="D37" s="5179" t="s">
        <v>3973</v>
      </c>
      <c r="E37" s="5180"/>
      <c r="F37" s="5181"/>
      <c r="H37" s="5179" t="s">
        <v>2525</v>
      </c>
      <c r="I37" s="5180"/>
      <c r="J37" s="5181"/>
      <c r="L37" s="5168" t="s">
        <v>1894</v>
      </c>
      <c r="M37" s="5169"/>
      <c r="N37" s="5170"/>
      <c r="P37" s="5168" t="s">
        <v>1793</v>
      </c>
      <c r="Q37" s="5169"/>
      <c r="R37" s="5170"/>
      <c r="T37" s="5168" t="s">
        <v>1060</v>
      </c>
      <c r="U37" s="5169"/>
      <c r="V37" s="5170"/>
      <c r="X37" s="5168" t="s">
        <v>1061</v>
      </c>
      <c r="Y37" s="5169"/>
      <c r="Z37" s="5170"/>
      <c r="AB37" s="5168" t="s">
        <v>1062</v>
      </c>
      <c r="AC37" s="5169"/>
      <c r="AD37" s="5170"/>
      <c r="AE37" s="163"/>
      <c r="AF37" s="5168" t="s">
        <v>1063</v>
      </c>
      <c r="AG37" s="5169"/>
      <c r="AH37" s="5170"/>
      <c r="AI37" s="80"/>
    </row>
    <row r="38" spans="1:36" s="73" customFormat="1" ht="12">
      <c r="A38" s="5192"/>
      <c r="B38" s="5194"/>
      <c r="D38" s="1895" t="s">
        <v>1064</v>
      </c>
      <c r="E38" s="1895" t="s">
        <v>1065</v>
      </c>
      <c r="F38" s="1895" t="s">
        <v>1066</v>
      </c>
      <c r="H38" s="1895" t="s">
        <v>1064</v>
      </c>
      <c r="I38" s="1895" t="s">
        <v>1065</v>
      </c>
      <c r="J38" s="1895" t="s">
        <v>1066</v>
      </c>
      <c r="L38" s="1895" t="s">
        <v>1064</v>
      </c>
      <c r="M38" s="1895" t="s">
        <v>1065</v>
      </c>
      <c r="N38" s="1895" t="s">
        <v>1066</v>
      </c>
      <c r="P38" s="1895" t="s">
        <v>1064</v>
      </c>
      <c r="Q38" s="1895" t="s">
        <v>1065</v>
      </c>
      <c r="R38" s="1895" t="s">
        <v>1066</v>
      </c>
      <c r="T38" s="1895" t="s">
        <v>1064</v>
      </c>
      <c r="U38" s="1895" t="s">
        <v>1065</v>
      </c>
      <c r="V38" s="1895" t="s">
        <v>1066</v>
      </c>
      <c r="X38" s="1895" t="s">
        <v>1064</v>
      </c>
      <c r="Y38" s="1895" t="s">
        <v>1065</v>
      </c>
      <c r="Z38" s="1895" t="s">
        <v>1066</v>
      </c>
      <c r="AB38" s="1895" t="s">
        <v>1064</v>
      </c>
      <c r="AC38" s="1895" t="s">
        <v>1065</v>
      </c>
      <c r="AD38" s="1895" t="s">
        <v>1066</v>
      </c>
      <c r="AE38" s="213"/>
      <c r="AF38" s="1895" t="s">
        <v>1064</v>
      </c>
      <c r="AG38" s="1895" t="s">
        <v>1065</v>
      </c>
      <c r="AH38" s="1895" t="s">
        <v>1066</v>
      </c>
      <c r="AI38" s="80"/>
    </row>
    <row r="39" spans="1:36" s="73" customFormat="1" ht="12">
      <c r="A39" s="5182" t="s">
        <v>1080</v>
      </c>
      <c r="B39" s="1886" t="s">
        <v>1068</v>
      </c>
      <c r="C39" s="1896"/>
      <c r="D39" s="1887">
        <v>64</v>
      </c>
      <c r="E39" s="1887">
        <v>63</v>
      </c>
      <c r="F39" s="1887">
        <v>33</v>
      </c>
      <c r="G39" s="1896"/>
      <c r="H39" s="1887">
        <v>154</v>
      </c>
      <c r="I39" s="1887">
        <v>136</v>
      </c>
      <c r="J39" s="1887">
        <v>115</v>
      </c>
      <c r="K39" s="1896"/>
      <c r="L39" s="1887">
        <v>150</v>
      </c>
      <c r="M39" s="1887">
        <v>148</v>
      </c>
      <c r="N39" s="1887">
        <v>145</v>
      </c>
      <c r="O39" s="1896"/>
      <c r="P39" s="1887">
        <v>150</v>
      </c>
      <c r="Q39" s="1887">
        <v>148</v>
      </c>
      <c r="R39" s="1887">
        <v>145</v>
      </c>
      <c r="S39" s="1896"/>
      <c r="T39" s="80"/>
      <c r="U39" s="80"/>
      <c r="V39" s="161"/>
      <c r="X39" s="80"/>
      <c r="Y39" s="80"/>
      <c r="Z39" s="161"/>
      <c r="AA39" s="1896"/>
      <c r="AB39" s="1897">
        <v>144</v>
      </c>
      <c r="AC39" s="1897">
        <v>153</v>
      </c>
      <c r="AD39" s="1897">
        <v>198</v>
      </c>
      <c r="AE39" s="213"/>
      <c r="AF39" s="1897">
        <v>112</v>
      </c>
      <c r="AG39" s="1897">
        <v>145</v>
      </c>
      <c r="AH39" s="1897">
        <v>71</v>
      </c>
      <c r="AI39" s="80"/>
    </row>
    <row r="40" spans="1:36" s="73" customFormat="1" ht="12">
      <c r="A40" s="5183"/>
      <c r="B40" s="1888" t="s">
        <v>1069</v>
      </c>
      <c r="C40" s="1896"/>
      <c r="D40" s="1889">
        <v>38</v>
      </c>
      <c r="E40" s="1889">
        <v>40</v>
      </c>
      <c r="F40" s="1889">
        <v>26</v>
      </c>
      <c r="G40" s="1896"/>
      <c r="H40" s="1889">
        <v>81</v>
      </c>
      <c r="I40" s="1889">
        <v>75</v>
      </c>
      <c r="J40" s="1889">
        <v>52</v>
      </c>
      <c r="K40" s="1896"/>
      <c r="L40" s="1889">
        <v>152</v>
      </c>
      <c r="M40" s="1889">
        <v>151</v>
      </c>
      <c r="N40" s="1889">
        <v>132</v>
      </c>
      <c r="O40" s="1896"/>
      <c r="P40" s="1889">
        <v>152</v>
      </c>
      <c r="Q40" s="1889">
        <v>151</v>
      </c>
      <c r="R40" s="1889">
        <v>132</v>
      </c>
      <c r="S40" s="1896"/>
      <c r="T40" s="80"/>
      <c r="U40" s="80"/>
      <c r="V40" s="161"/>
      <c r="X40" s="80"/>
      <c r="Y40" s="80"/>
      <c r="Z40" s="161"/>
      <c r="AA40" s="1896"/>
      <c r="AB40" s="1898">
        <v>170</v>
      </c>
      <c r="AC40" s="1898">
        <v>146</v>
      </c>
      <c r="AD40" s="1898">
        <v>213</v>
      </c>
      <c r="AE40" s="213"/>
      <c r="AF40" s="1898">
        <v>7</v>
      </c>
      <c r="AG40" s="1898">
        <v>8</v>
      </c>
      <c r="AH40" s="1898">
        <v>4</v>
      </c>
      <c r="AI40" s="80"/>
    </row>
    <row r="41" spans="1:36" s="73" customFormat="1" ht="12">
      <c r="A41" s="5184"/>
      <c r="B41" s="1890" t="s">
        <v>1070</v>
      </c>
      <c r="C41" s="1896"/>
      <c r="D41" s="1891">
        <v>49</v>
      </c>
      <c r="E41" s="1891">
        <v>52</v>
      </c>
      <c r="F41" s="1891">
        <v>27</v>
      </c>
      <c r="G41" s="1896"/>
      <c r="H41" s="1891"/>
      <c r="I41" s="1891"/>
      <c r="J41" s="1891"/>
      <c r="K41" s="1896"/>
      <c r="L41" s="1891">
        <v>145</v>
      </c>
      <c r="M41" s="1891">
        <v>133</v>
      </c>
      <c r="N41" s="1891">
        <v>121</v>
      </c>
      <c r="O41" s="1896"/>
      <c r="P41" s="1891">
        <v>145</v>
      </c>
      <c r="Q41" s="1891">
        <v>133</v>
      </c>
      <c r="R41" s="1891">
        <v>121</v>
      </c>
      <c r="S41" s="1896"/>
      <c r="T41" s="80"/>
      <c r="U41" s="80"/>
      <c r="V41" s="161"/>
      <c r="X41" s="80"/>
      <c r="Y41" s="80"/>
      <c r="Z41" s="161"/>
      <c r="AA41" s="1896"/>
      <c r="AB41" s="1899">
        <v>144</v>
      </c>
      <c r="AC41" s="1899">
        <v>128</v>
      </c>
      <c r="AD41" s="1899">
        <v>129</v>
      </c>
      <c r="AE41" s="213"/>
      <c r="AF41" s="1899"/>
      <c r="AG41" s="1899"/>
      <c r="AH41" s="1899"/>
      <c r="AI41" s="80"/>
    </row>
    <row r="42" spans="1:36" s="73" customFormat="1" ht="12">
      <c r="A42" s="5182" t="s">
        <v>1081</v>
      </c>
      <c r="B42" s="1886" t="s">
        <v>1068</v>
      </c>
      <c r="C42" s="1896"/>
      <c r="D42" s="1887">
        <v>270</v>
      </c>
      <c r="E42" s="1887">
        <v>265</v>
      </c>
      <c r="F42" s="1887">
        <v>175</v>
      </c>
      <c r="G42" s="1896"/>
      <c r="H42" s="1887">
        <v>207</v>
      </c>
      <c r="I42" s="1887">
        <v>209</v>
      </c>
      <c r="J42" s="1887">
        <v>270</v>
      </c>
      <c r="K42" s="1896"/>
      <c r="L42" s="1887">
        <v>79</v>
      </c>
      <c r="M42" s="1887">
        <v>80</v>
      </c>
      <c r="N42" s="1887">
        <v>83</v>
      </c>
      <c r="O42" s="1896"/>
      <c r="P42" s="1887">
        <v>79</v>
      </c>
      <c r="Q42" s="1887">
        <v>80</v>
      </c>
      <c r="R42" s="1887">
        <v>83</v>
      </c>
      <c r="S42" s="1896"/>
      <c r="T42" s="1897"/>
      <c r="U42" s="1897"/>
      <c r="V42" s="1897">
        <v>668</v>
      </c>
      <c r="X42" s="1897">
        <v>214</v>
      </c>
      <c r="Y42" s="1897">
        <v>216</v>
      </c>
      <c r="Z42" s="1897">
        <v>157</v>
      </c>
      <c r="AA42" s="1896"/>
      <c r="AB42" s="1897">
        <v>113</v>
      </c>
      <c r="AC42" s="1897">
        <v>91</v>
      </c>
      <c r="AD42" s="1897">
        <v>114</v>
      </c>
      <c r="AE42" s="213"/>
      <c r="AF42" s="1897">
        <v>204</v>
      </c>
      <c r="AG42" s="1897">
        <v>185</v>
      </c>
      <c r="AH42" s="1897">
        <v>215</v>
      </c>
    </row>
    <row r="43" spans="1:36" s="73" customFormat="1" ht="12">
      <c r="A43" s="5183"/>
      <c r="B43" s="1888" t="s">
        <v>1069</v>
      </c>
      <c r="C43" s="1896"/>
      <c r="D43" s="1889">
        <v>149</v>
      </c>
      <c r="E43" s="1889">
        <v>134</v>
      </c>
      <c r="F43" s="1889">
        <v>130</v>
      </c>
      <c r="G43" s="1896"/>
      <c r="H43" s="1889">
        <v>145</v>
      </c>
      <c r="I43" s="1889">
        <v>161</v>
      </c>
      <c r="J43" s="1889">
        <v>160</v>
      </c>
      <c r="K43" s="1896"/>
      <c r="L43" s="1889">
        <v>58</v>
      </c>
      <c r="M43" s="1889">
        <v>58</v>
      </c>
      <c r="N43" s="1889">
        <v>59</v>
      </c>
      <c r="O43" s="1896"/>
      <c r="P43" s="1889">
        <v>58</v>
      </c>
      <c r="Q43" s="1889">
        <v>58</v>
      </c>
      <c r="R43" s="1889">
        <v>59</v>
      </c>
      <c r="S43" s="1896"/>
      <c r="T43" s="1898"/>
      <c r="U43" s="1898"/>
      <c r="V43" s="1898"/>
      <c r="X43" s="1898">
        <v>277</v>
      </c>
      <c r="Y43" s="1898">
        <v>206</v>
      </c>
      <c r="Z43" s="1898">
        <v>260</v>
      </c>
      <c r="AA43" s="1896"/>
      <c r="AB43" s="1898">
        <v>3</v>
      </c>
      <c r="AC43" s="1898">
        <v>6</v>
      </c>
      <c r="AD43" s="1898">
        <v>0</v>
      </c>
      <c r="AE43" s="213"/>
      <c r="AF43" s="1898">
        <v>195</v>
      </c>
      <c r="AG43" s="1898">
        <v>161</v>
      </c>
      <c r="AH43" s="1898">
        <v>188</v>
      </c>
    </row>
    <row r="44" spans="1:36" s="73" customFormat="1" ht="12">
      <c r="A44" s="5184"/>
      <c r="B44" s="1890" t="s">
        <v>1070</v>
      </c>
      <c r="C44" s="1896"/>
      <c r="D44" s="1891">
        <v>34</v>
      </c>
      <c r="E44" s="1891">
        <v>52</v>
      </c>
      <c r="F44" s="1891">
        <v>40</v>
      </c>
      <c r="G44" s="1896"/>
      <c r="H44" s="1891"/>
      <c r="I44" s="1891"/>
      <c r="J44" s="1891"/>
      <c r="K44" s="1896"/>
      <c r="L44" s="1891">
        <v>27</v>
      </c>
      <c r="M44" s="1891">
        <v>33</v>
      </c>
      <c r="N44" s="1891">
        <v>41</v>
      </c>
      <c r="O44" s="1896"/>
      <c r="P44" s="1891">
        <v>27</v>
      </c>
      <c r="Q44" s="1891">
        <v>33</v>
      </c>
      <c r="R44" s="1891">
        <v>41</v>
      </c>
      <c r="S44" s="1896"/>
      <c r="T44" s="1899"/>
      <c r="U44" s="1899"/>
      <c r="V44" s="1899"/>
      <c r="X44" s="1899">
        <v>174</v>
      </c>
      <c r="Y44" s="1899">
        <v>208</v>
      </c>
      <c r="Z44" s="1899">
        <v>197</v>
      </c>
      <c r="AA44" s="1896"/>
      <c r="AB44" s="1899">
        <v>0</v>
      </c>
      <c r="AC44" s="1899">
        <v>0</v>
      </c>
      <c r="AD44" s="1899">
        <v>0</v>
      </c>
      <c r="AE44" s="213"/>
      <c r="AF44" s="1899">
        <v>121</v>
      </c>
      <c r="AG44" s="1899">
        <v>130</v>
      </c>
      <c r="AH44" s="1899">
        <v>116</v>
      </c>
    </row>
    <row r="45" spans="1:36" s="73" customFormat="1" ht="12">
      <c r="A45" s="5185" t="s">
        <v>1082</v>
      </c>
      <c r="B45" s="5185"/>
      <c r="C45" s="1896"/>
      <c r="D45" s="1900">
        <f>SUM(D39:D44)</f>
        <v>604</v>
      </c>
      <c r="E45" s="1900">
        <f t="shared" ref="E45:F45" si="27">SUM(E39:E44)</f>
        <v>606</v>
      </c>
      <c r="F45" s="1900">
        <f t="shared" si="27"/>
        <v>431</v>
      </c>
      <c r="G45" s="1896"/>
      <c r="H45" s="1900">
        <f>SUM(H39:H44)</f>
        <v>587</v>
      </c>
      <c r="I45" s="1900">
        <f t="shared" ref="I45:J45" si="28">SUM(I39:I44)</f>
        <v>581</v>
      </c>
      <c r="J45" s="1900">
        <f t="shared" si="28"/>
        <v>597</v>
      </c>
      <c r="K45" s="1896"/>
      <c r="L45" s="1900">
        <f>SUM(L39:L44)</f>
        <v>611</v>
      </c>
      <c r="M45" s="1900">
        <f t="shared" ref="M45:N45" si="29">SUM(M39:M44)</f>
        <v>603</v>
      </c>
      <c r="N45" s="1900">
        <f t="shared" si="29"/>
        <v>581</v>
      </c>
      <c r="O45" s="1896"/>
      <c r="P45" s="1900">
        <f>SUM(P39:P44)</f>
        <v>611</v>
      </c>
      <c r="Q45" s="1900">
        <f t="shared" ref="Q45:R45" si="30">SUM(Q39:Q44)</f>
        <v>603</v>
      </c>
      <c r="R45" s="1900">
        <f t="shared" si="30"/>
        <v>581</v>
      </c>
      <c r="S45" s="1896"/>
      <c r="T45" s="1900">
        <f>SUM(T42:T44)</f>
        <v>0</v>
      </c>
      <c r="U45" s="1900">
        <f t="shared" ref="U45:V45" si="31">SUM(U42:U44)</f>
        <v>0</v>
      </c>
      <c r="V45" s="1900">
        <f t="shared" si="31"/>
        <v>668</v>
      </c>
      <c r="X45" s="1900">
        <f>SUM(X42:X44)</f>
        <v>665</v>
      </c>
      <c r="Y45" s="1900">
        <f t="shared" ref="Y45:Z45" si="32">SUM(Y42:Y44)</f>
        <v>630</v>
      </c>
      <c r="Z45" s="1900">
        <f t="shared" si="32"/>
        <v>614</v>
      </c>
      <c r="AA45" s="1896"/>
      <c r="AB45" s="1900">
        <f>SUM(AB39:AB44)</f>
        <v>574</v>
      </c>
      <c r="AC45" s="1900">
        <f t="shared" ref="AC45:AD45" si="33">SUM(AC39:AC44)</f>
        <v>524</v>
      </c>
      <c r="AD45" s="1900">
        <f t="shared" si="33"/>
        <v>654</v>
      </c>
      <c r="AE45" s="213"/>
      <c r="AF45" s="1900">
        <f>SUM(AF39:AF44)</f>
        <v>639</v>
      </c>
      <c r="AG45" s="1900">
        <f t="shared" ref="AG45:AH45" si="34">SUM(AG39:AG44)</f>
        <v>629</v>
      </c>
      <c r="AH45" s="1900">
        <f t="shared" si="34"/>
        <v>594</v>
      </c>
      <c r="AI45" s="80"/>
    </row>
    <row r="46" spans="1:36" s="73" customFormat="1" ht="12">
      <c r="A46" s="1878"/>
      <c r="B46" s="1878"/>
      <c r="C46" s="1878"/>
      <c r="D46" s="3019"/>
      <c r="E46" s="80"/>
      <c r="G46" s="1878"/>
      <c r="H46" s="3019"/>
      <c r="I46" s="80"/>
      <c r="K46" s="1878"/>
      <c r="L46" s="3019" t="s">
        <v>2033</v>
      </c>
      <c r="M46" s="80"/>
      <c r="O46" s="1878"/>
      <c r="P46" s="80"/>
      <c r="Q46" s="80"/>
      <c r="R46" s="161"/>
      <c r="S46" s="1878"/>
      <c r="T46" s="80"/>
      <c r="U46" s="80"/>
      <c r="V46" s="161"/>
      <c r="X46" s="80"/>
      <c r="Y46" s="80"/>
      <c r="Z46" s="161"/>
      <c r="AA46" s="1878"/>
      <c r="AB46" s="1878"/>
      <c r="AC46" s="1878"/>
      <c r="AD46" s="1878"/>
      <c r="AE46" s="213"/>
      <c r="AF46" s="1879"/>
      <c r="AG46" s="1879"/>
      <c r="AH46" s="1879"/>
      <c r="AI46" s="80"/>
    </row>
    <row r="47" spans="1:36" s="73" customFormat="1" ht="12">
      <c r="A47" s="1878"/>
      <c r="B47" s="1878"/>
      <c r="C47" s="80"/>
      <c r="D47" s="80"/>
      <c r="E47" s="80"/>
      <c r="F47" s="161"/>
      <c r="G47" s="80"/>
      <c r="H47" s="80"/>
      <c r="I47" s="80"/>
      <c r="J47" s="161"/>
      <c r="K47" s="80"/>
      <c r="L47" s="80"/>
      <c r="M47" s="80"/>
      <c r="N47" s="161"/>
      <c r="O47" s="80"/>
      <c r="P47" s="80"/>
      <c r="Q47" s="80"/>
      <c r="R47" s="161"/>
      <c r="S47" s="80"/>
      <c r="T47" s="80"/>
      <c r="U47" s="80"/>
      <c r="V47" s="161"/>
      <c r="X47" s="80"/>
      <c r="Y47" s="80"/>
      <c r="Z47" s="161"/>
      <c r="AA47" s="80"/>
      <c r="AB47" s="1878"/>
      <c r="AC47" s="1878"/>
      <c r="AD47" s="1878"/>
      <c r="AE47" s="213"/>
      <c r="AF47" s="1879"/>
      <c r="AG47" s="1879"/>
      <c r="AH47" s="1879"/>
      <c r="AI47" s="80"/>
    </row>
    <row r="48" spans="1:36" s="73" customFormat="1" ht="12">
      <c r="A48" s="5175" t="s">
        <v>1058</v>
      </c>
      <c r="B48" s="5177" t="s">
        <v>1059</v>
      </c>
      <c r="C48" s="80"/>
      <c r="D48" s="5179" t="s">
        <v>3973</v>
      </c>
      <c r="E48" s="5180"/>
      <c r="F48" s="5181"/>
      <c r="G48" s="80"/>
      <c r="H48" s="5179" t="s">
        <v>2525</v>
      </c>
      <c r="I48" s="5180"/>
      <c r="J48" s="5181"/>
      <c r="K48" s="80"/>
      <c r="L48" s="5168" t="s">
        <v>1894</v>
      </c>
      <c r="M48" s="5169"/>
      <c r="N48" s="5170"/>
      <c r="O48" s="80"/>
      <c r="P48" s="5168" t="s">
        <v>1793</v>
      </c>
      <c r="Q48" s="5169"/>
      <c r="R48" s="5170"/>
      <c r="S48" s="80"/>
      <c r="T48" s="5168" t="s">
        <v>1060</v>
      </c>
      <c r="U48" s="5169"/>
      <c r="V48" s="5170"/>
      <c r="X48" s="5168" t="s">
        <v>1061</v>
      </c>
      <c r="Y48" s="5169"/>
      <c r="Z48" s="5170"/>
      <c r="AA48" s="80"/>
      <c r="AB48" s="5168" t="s">
        <v>1062</v>
      </c>
      <c r="AC48" s="5169"/>
      <c r="AD48" s="5170"/>
      <c r="AE48" s="163"/>
      <c r="AF48" s="5168" t="s">
        <v>1063</v>
      </c>
      <c r="AG48" s="5169"/>
      <c r="AH48" s="5170"/>
      <c r="AI48" s="80"/>
    </row>
    <row r="49" spans="1:52" s="73" customFormat="1" ht="12">
      <c r="A49" s="5176"/>
      <c r="B49" s="5178"/>
      <c r="C49" s="80"/>
      <c r="D49" s="1901" t="s">
        <v>1064</v>
      </c>
      <c r="E49" s="1901" t="s">
        <v>1065</v>
      </c>
      <c r="F49" s="1901" t="s">
        <v>1066</v>
      </c>
      <c r="G49" s="80"/>
      <c r="H49" s="1901" t="s">
        <v>1064</v>
      </c>
      <c r="I49" s="1901" t="s">
        <v>1065</v>
      </c>
      <c r="J49" s="1901" t="s">
        <v>1066</v>
      </c>
      <c r="K49" s="80"/>
      <c r="L49" s="1901" t="s">
        <v>1064</v>
      </c>
      <c r="M49" s="1901" t="s">
        <v>1065</v>
      </c>
      <c r="N49" s="1901" t="s">
        <v>1066</v>
      </c>
      <c r="O49" s="80"/>
      <c r="P49" s="1901" t="s">
        <v>1064</v>
      </c>
      <c r="Q49" s="1901" t="s">
        <v>1065</v>
      </c>
      <c r="R49" s="1901" t="s">
        <v>1066</v>
      </c>
      <c r="S49" s="80"/>
      <c r="T49" s="1901" t="s">
        <v>1064</v>
      </c>
      <c r="U49" s="1901" t="s">
        <v>1065</v>
      </c>
      <c r="V49" s="1901" t="s">
        <v>1066</v>
      </c>
      <c r="X49" s="1901" t="s">
        <v>1064</v>
      </c>
      <c r="Y49" s="1901" t="s">
        <v>1065</v>
      </c>
      <c r="Z49" s="1901" t="s">
        <v>1066</v>
      </c>
      <c r="AA49" s="80"/>
      <c r="AB49" s="1901" t="s">
        <v>1064</v>
      </c>
      <c r="AC49" s="1901" t="s">
        <v>1065</v>
      </c>
      <c r="AD49" s="1901" t="s">
        <v>1066</v>
      </c>
      <c r="AE49" s="213"/>
      <c r="AF49" s="1901" t="s">
        <v>1064</v>
      </c>
      <c r="AG49" s="1901" t="s">
        <v>1065</v>
      </c>
      <c r="AH49" s="1901" t="s">
        <v>1066</v>
      </c>
      <c r="AI49" s="80"/>
    </row>
    <row r="50" spans="1:52" s="73" customFormat="1" ht="12">
      <c r="A50" s="5171" t="s">
        <v>1076</v>
      </c>
      <c r="B50" s="1886" t="s">
        <v>1068</v>
      </c>
      <c r="C50" s="80"/>
      <c r="D50" s="1902">
        <f t="shared" ref="D50:F50" si="35">SUM(D6,D14,D23,D31,D39,D42)</f>
        <v>2893</v>
      </c>
      <c r="E50" s="1902">
        <f t="shared" si="35"/>
        <v>2994</v>
      </c>
      <c r="F50" s="1902">
        <f t="shared" si="35"/>
        <v>3077</v>
      </c>
      <c r="G50" s="80"/>
      <c r="H50" s="1902">
        <f t="shared" ref="H50:J52" si="36">SUM(H6,H14,H23,H31,H39,H42)</f>
        <v>4260</v>
      </c>
      <c r="I50" s="1902">
        <f t="shared" si="36"/>
        <v>4023</v>
      </c>
      <c r="J50" s="1902">
        <f t="shared" si="36"/>
        <v>4079</v>
      </c>
      <c r="K50" s="80"/>
      <c r="L50" s="1902">
        <f t="shared" ref="L50:N52" si="37">SUM(L6,L14,L23,L31,L39,L42)</f>
        <v>3146</v>
      </c>
      <c r="M50" s="1902">
        <f t="shared" si="37"/>
        <v>3043</v>
      </c>
      <c r="N50" s="1902">
        <f t="shared" si="37"/>
        <v>3164</v>
      </c>
      <c r="O50" s="80"/>
      <c r="P50" s="1902">
        <f t="shared" ref="P50:R52" si="38">SUM(P6,P14,P23,P31,P39,P42)</f>
        <v>3546</v>
      </c>
      <c r="Q50" s="1902">
        <f t="shared" si="38"/>
        <v>3259</v>
      </c>
      <c r="R50" s="1902">
        <f t="shared" si="38"/>
        <v>3066</v>
      </c>
      <c r="S50" s="80"/>
      <c r="T50" s="1902">
        <f t="shared" ref="T50:V52" si="39">SUM(T6,T14,T23,T31,T42)</f>
        <v>3020</v>
      </c>
      <c r="U50" s="1902">
        <f t="shared" si="39"/>
        <v>2972</v>
      </c>
      <c r="V50" s="1902">
        <f t="shared" si="39"/>
        <v>4157</v>
      </c>
      <c r="X50" s="1902">
        <f t="shared" ref="X50:Z52" si="40">SUM(X6,X14,X23,X31,X42)</f>
        <v>2839</v>
      </c>
      <c r="Y50" s="1902">
        <f t="shared" si="40"/>
        <v>2514</v>
      </c>
      <c r="Z50" s="1902">
        <f t="shared" si="40"/>
        <v>2909</v>
      </c>
      <c r="AA50" s="80"/>
      <c r="AB50" s="1902">
        <f t="shared" ref="AB50:AD51" si="41">SUM(AB6,AB14,AB23,AB39,AB42)</f>
        <v>2900</v>
      </c>
      <c r="AC50" s="1902">
        <f t="shared" si="41"/>
        <v>2769</v>
      </c>
      <c r="AD50" s="1902">
        <f t="shared" si="41"/>
        <v>3268</v>
      </c>
      <c r="AE50" s="213"/>
      <c r="AF50" s="1902">
        <f t="shared" ref="AF50:AH51" si="42">SUM(AF6,AF14,AF23,AF39,AF42)</f>
        <v>2119</v>
      </c>
      <c r="AG50" s="1902">
        <f t="shared" si="42"/>
        <v>2180</v>
      </c>
      <c r="AH50" s="1902">
        <f t="shared" si="42"/>
        <v>2015</v>
      </c>
      <c r="AI50" s="80"/>
    </row>
    <row r="51" spans="1:52" s="73" customFormat="1" ht="12">
      <c r="A51" s="5171"/>
      <c r="B51" s="1888" t="s">
        <v>1069</v>
      </c>
      <c r="C51" s="80"/>
      <c r="D51" s="1902">
        <f t="shared" ref="D51:E51" si="43">SUM(D7,D15,D24,D32,D40,D43)</f>
        <v>1685</v>
      </c>
      <c r="E51" s="1902">
        <f t="shared" si="43"/>
        <v>1639</v>
      </c>
      <c r="F51" s="1902">
        <f>SUM(F7,F15,F24,F32,F40,F43)</f>
        <v>1640</v>
      </c>
      <c r="G51" s="80"/>
      <c r="H51" s="1902">
        <f t="shared" si="36"/>
        <v>929</v>
      </c>
      <c r="I51" s="1902">
        <f t="shared" si="36"/>
        <v>957</v>
      </c>
      <c r="J51" s="1902">
        <f>SUM(J7,J15,J24,J32,J40,J43)</f>
        <v>894</v>
      </c>
      <c r="K51" s="80"/>
      <c r="L51" s="1902">
        <f t="shared" si="37"/>
        <v>1748</v>
      </c>
      <c r="M51" s="1902">
        <f t="shared" si="37"/>
        <v>1746</v>
      </c>
      <c r="N51" s="1902">
        <f t="shared" si="37"/>
        <v>1890</v>
      </c>
      <c r="O51" s="80"/>
      <c r="P51" s="1902">
        <f t="shared" si="38"/>
        <v>1749</v>
      </c>
      <c r="Q51" s="1902">
        <f t="shared" si="38"/>
        <v>1829</v>
      </c>
      <c r="R51" s="1902">
        <f t="shared" si="38"/>
        <v>1936</v>
      </c>
      <c r="S51" s="80"/>
      <c r="T51" s="1902">
        <f t="shared" si="39"/>
        <v>1255</v>
      </c>
      <c r="U51" s="1902">
        <f t="shared" si="39"/>
        <v>1268</v>
      </c>
      <c r="V51" s="1902">
        <f t="shared" si="39"/>
        <v>1427</v>
      </c>
      <c r="X51" s="1902">
        <f t="shared" si="40"/>
        <v>1359</v>
      </c>
      <c r="Y51" s="1902">
        <f t="shared" si="40"/>
        <v>1283</v>
      </c>
      <c r="Z51" s="1902">
        <f t="shared" si="40"/>
        <v>1560</v>
      </c>
      <c r="AA51" s="80"/>
      <c r="AB51" s="1902">
        <f t="shared" si="41"/>
        <v>835</v>
      </c>
      <c r="AC51" s="1902">
        <f t="shared" si="41"/>
        <v>859</v>
      </c>
      <c r="AD51" s="1902">
        <f t="shared" si="41"/>
        <v>1060</v>
      </c>
      <c r="AE51" s="213"/>
      <c r="AF51" s="1902">
        <f t="shared" si="42"/>
        <v>865</v>
      </c>
      <c r="AG51" s="1902">
        <f t="shared" si="42"/>
        <v>747</v>
      </c>
      <c r="AH51" s="1902">
        <f t="shared" si="42"/>
        <v>708</v>
      </c>
      <c r="AI51" s="80"/>
    </row>
    <row r="52" spans="1:52" s="73" customFormat="1" ht="12">
      <c r="A52" s="5171"/>
      <c r="B52" s="1890" t="s">
        <v>1070</v>
      </c>
      <c r="C52" s="80"/>
      <c r="D52" s="1902">
        <f t="shared" ref="D52:E52" si="44">SUM(D8,D16,D25,D33,D41,D44)</f>
        <v>253</v>
      </c>
      <c r="E52" s="1902">
        <f t="shared" si="44"/>
        <v>353</v>
      </c>
      <c r="F52" s="1902">
        <f>SUM(F8,F16,F25,F33,F41,F44)</f>
        <v>342</v>
      </c>
      <c r="G52" s="80"/>
      <c r="H52" s="1902">
        <f t="shared" si="36"/>
        <v>308</v>
      </c>
      <c r="I52" s="1902">
        <f t="shared" si="36"/>
        <v>280</v>
      </c>
      <c r="J52" s="1902">
        <f>SUM(J8,J16,J25,J33,J41,J44)</f>
        <v>259</v>
      </c>
      <c r="K52" s="80"/>
      <c r="L52" s="1902">
        <f t="shared" si="37"/>
        <v>429</v>
      </c>
      <c r="M52" s="1902">
        <f t="shared" si="37"/>
        <v>428</v>
      </c>
      <c r="N52" s="1902">
        <f t="shared" si="37"/>
        <v>504</v>
      </c>
      <c r="O52" s="80"/>
      <c r="P52" s="1902">
        <f t="shared" si="38"/>
        <v>373</v>
      </c>
      <c r="Q52" s="1902">
        <f t="shared" si="38"/>
        <v>374</v>
      </c>
      <c r="R52" s="1902">
        <f t="shared" si="38"/>
        <v>597</v>
      </c>
      <c r="S52" s="80"/>
      <c r="T52" s="1902">
        <f t="shared" si="39"/>
        <v>181</v>
      </c>
      <c r="U52" s="1902">
        <f t="shared" si="39"/>
        <v>163</v>
      </c>
      <c r="V52" s="1902">
        <f t="shared" si="39"/>
        <v>264</v>
      </c>
      <c r="X52" s="1902">
        <f t="shared" si="40"/>
        <v>279</v>
      </c>
      <c r="Y52" s="1902">
        <f t="shared" si="40"/>
        <v>366</v>
      </c>
      <c r="Z52" s="1902">
        <f t="shared" si="40"/>
        <v>401</v>
      </c>
      <c r="AA52" s="80"/>
      <c r="AB52" s="1902">
        <f>SUM(AB8,AB16:AB17,AB25,AB41,AB44)</f>
        <v>309</v>
      </c>
      <c r="AC52" s="1902">
        <f>SUM(AC8,AC16:AC17,AC25,AC41,AC44)</f>
        <v>246</v>
      </c>
      <c r="AD52" s="1902">
        <f>SUM(AD8,AD16:AD17,AD25,AD41,AD44)</f>
        <v>209</v>
      </c>
      <c r="AE52" s="213"/>
      <c r="AF52" s="1902">
        <f>SUM(AF8,AF16:AF17,AF25,AF41,AF44)</f>
        <v>285</v>
      </c>
      <c r="AG52" s="1902">
        <f>SUM(AG8,AG16:AG17,AG25,AG41,AG44)</f>
        <v>281</v>
      </c>
      <c r="AH52" s="1902">
        <f>SUM(AH8,AH16:AH17,AH25,AH41,AH44)</f>
        <v>184</v>
      </c>
      <c r="AI52" s="80"/>
    </row>
    <row r="53" spans="1:52" s="73" customFormat="1" ht="12">
      <c r="A53" s="5172" t="s">
        <v>67</v>
      </c>
      <c r="B53" s="5173"/>
      <c r="C53" s="80"/>
      <c r="D53" s="1903">
        <f>SUM(D50:D52)</f>
        <v>4831</v>
      </c>
      <c r="E53" s="1903">
        <f t="shared" ref="E53:F53" si="45">SUM(E50:E52)</f>
        <v>4986</v>
      </c>
      <c r="F53" s="1903">
        <f t="shared" si="45"/>
        <v>5059</v>
      </c>
      <c r="G53" s="80"/>
      <c r="H53" s="1903">
        <f>SUM(H50:H52)</f>
        <v>5497</v>
      </c>
      <c r="I53" s="1903">
        <f t="shared" ref="I53:J53" si="46">SUM(I50:I52)</f>
        <v>5260</v>
      </c>
      <c r="J53" s="1903">
        <f t="shared" si="46"/>
        <v>5232</v>
      </c>
      <c r="K53" s="80"/>
      <c r="L53" s="1903">
        <f>SUM(L50:L52)</f>
        <v>5323</v>
      </c>
      <c r="M53" s="1903">
        <f t="shared" ref="M53:N53" si="47">SUM(M50:M52)</f>
        <v>5217</v>
      </c>
      <c r="N53" s="1903">
        <f t="shared" si="47"/>
        <v>5558</v>
      </c>
      <c r="O53" s="80"/>
      <c r="P53" s="1903">
        <f>SUM(P50:P52)</f>
        <v>5668</v>
      </c>
      <c r="Q53" s="1903">
        <f t="shared" ref="Q53:R53" si="48">SUM(Q50:Q52)</f>
        <v>5462</v>
      </c>
      <c r="R53" s="1903">
        <f t="shared" si="48"/>
        <v>5599</v>
      </c>
      <c r="S53" s="80"/>
      <c r="T53" s="1903">
        <f>SUM(T50:T52)</f>
        <v>4456</v>
      </c>
      <c r="U53" s="1903">
        <f t="shared" ref="U53:V53" si="49">SUM(U50:U52)</f>
        <v>4403</v>
      </c>
      <c r="V53" s="1903">
        <f t="shared" si="49"/>
        <v>5848</v>
      </c>
      <c r="X53" s="1903">
        <f>SUM(X50:X52)</f>
        <v>4477</v>
      </c>
      <c r="Y53" s="1903">
        <f t="shared" ref="Y53:Z53" si="50">SUM(Y50:Y52)</f>
        <v>4163</v>
      </c>
      <c r="Z53" s="1903">
        <f t="shared" si="50"/>
        <v>4870</v>
      </c>
      <c r="AA53" s="80"/>
      <c r="AB53" s="1903">
        <f>SUM(AB50:AB52)</f>
        <v>4044</v>
      </c>
      <c r="AC53" s="1903">
        <f t="shared" ref="AC53:AD53" si="51">SUM(AC50:AC52)</f>
        <v>3874</v>
      </c>
      <c r="AD53" s="1903">
        <f t="shared" si="51"/>
        <v>4537</v>
      </c>
      <c r="AE53" s="213"/>
      <c r="AF53" s="1903">
        <f>SUM(AF50:AF52)</f>
        <v>3269</v>
      </c>
      <c r="AG53" s="1903">
        <f t="shared" ref="AG53:AH53" si="52">SUM(AG50:AG52)</f>
        <v>3208</v>
      </c>
      <c r="AH53" s="1903">
        <f t="shared" si="52"/>
        <v>2907</v>
      </c>
      <c r="AI53" s="80"/>
    </row>
    <row r="54" spans="1:52">
      <c r="A54" s="77"/>
      <c r="B54" s="77"/>
      <c r="C54" s="77"/>
      <c r="D54" s="77"/>
      <c r="E54" s="77"/>
      <c r="F54" s="77"/>
      <c r="G54" s="77"/>
      <c r="H54" s="77"/>
      <c r="I54" s="77"/>
      <c r="J54" s="77"/>
      <c r="K54" s="77"/>
      <c r="L54" s="77"/>
      <c r="M54" s="77"/>
      <c r="N54" s="77"/>
      <c r="O54" s="77"/>
      <c r="P54" s="77"/>
      <c r="Q54" s="77"/>
      <c r="R54" s="77"/>
      <c r="S54" s="77"/>
      <c r="X54" s="77"/>
      <c r="Y54" s="77"/>
      <c r="Z54" s="191"/>
      <c r="AA54" s="77"/>
      <c r="AB54" s="77"/>
      <c r="AC54" s="77"/>
      <c r="AD54" s="77"/>
      <c r="AE54" s="77"/>
      <c r="AF54" s="77"/>
      <c r="AG54" s="77"/>
      <c r="AH54" s="77"/>
      <c r="AI54" s="77"/>
      <c r="AJ54" s="73"/>
      <c r="AK54" s="73"/>
      <c r="AL54" s="73"/>
    </row>
    <row r="55" spans="1:52" ht="15.75">
      <c r="A55" s="372"/>
      <c r="B55" s="372"/>
      <c r="C55" s="372"/>
      <c r="D55" s="372"/>
      <c r="E55" s="372"/>
      <c r="F55" s="372"/>
      <c r="G55" s="372"/>
      <c r="H55" s="372"/>
      <c r="I55" s="372"/>
      <c r="J55" s="372"/>
      <c r="K55" s="372"/>
      <c r="L55" s="372"/>
      <c r="M55" s="372"/>
      <c r="N55" s="372"/>
      <c r="O55" s="372"/>
      <c r="P55" s="372"/>
      <c r="Q55" s="372"/>
      <c r="R55" s="372"/>
      <c r="S55" s="372"/>
      <c r="X55" s="77"/>
      <c r="Y55" s="77"/>
      <c r="Z55" s="191"/>
      <c r="AA55" s="372"/>
      <c r="AB55" s="372"/>
      <c r="AC55" s="372"/>
      <c r="AD55" s="372"/>
      <c r="AE55" s="366"/>
      <c r="AF55" s="77"/>
      <c r="AG55" s="77"/>
      <c r="AH55" s="77"/>
      <c r="AI55" s="77"/>
      <c r="AJ55" s="73"/>
      <c r="AK55" s="73"/>
      <c r="AL55" s="73"/>
    </row>
    <row r="56" spans="1:52" ht="15.75">
      <c r="A56" s="1" t="s">
        <v>1083</v>
      </c>
      <c r="B56" s="77"/>
      <c r="C56" s="77"/>
      <c r="E56" s="77"/>
      <c r="F56" s="1865">
        <f>SUM(F51:F52)</f>
        <v>1982</v>
      </c>
      <c r="G56" s="77"/>
      <c r="I56" s="77"/>
      <c r="J56" s="1865">
        <f>SUM(J51:J52)</f>
        <v>1153</v>
      </c>
      <c r="K56" s="77"/>
      <c r="L56" s="77"/>
      <c r="M56" s="77"/>
      <c r="N56" s="1865">
        <f>SUM(N51:N52)</f>
        <v>2394</v>
      </c>
      <c r="O56" s="77"/>
      <c r="P56" s="77"/>
      <c r="Q56" s="77"/>
      <c r="R56" s="1865">
        <f>SUM(R51:R52)</f>
        <v>2533</v>
      </c>
      <c r="S56" s="77"/>
      <c r="V56" s="1865">
        <f>SUM(V51:V52)</f>
        <v>1691</v>
      </c>
      <c r="X56" s="77"/>
      <c r="Y56" s="77"/>
      <c r="Z56" s="1865">
        <f>SUM(Z51:Z52)</f>
        <v>1961</v>
      </c>
      <c r="AA56" s="77"/>
      <c r="AB56" s="77"/>
      <c r="AC56" s="77"/>
      <c r="AD56" s="1865">
        <f>SUM(AD51:AD52)</f>
        <v>1269</v>
      </c>
      <c r="AE56" s="366"/>
      <c r="AH56" s="1865">
        <f>SUM(AH51:AH52)</f>
        <v>892</v>
      </c>
      <c r="AI56" s="77"/>
    </row>
    <row r="57" spans="1:52" ht="15.75">
      <c r="A57" s="2285" t="s">
        <v>1084</v>
      </c>
      <c r="B57" s="1866"/>
      <c r="C57" s="1866"/>
      <c r="E57" s="1866"/>
      <c r="F57" s="1867">
        <v>9224</v>
      </c>
      <c r="G57" s="1866"/>
      <c r="I57" s="1866"/>
      <c r="J57" s="1867">
        <v>8700</v>
      </c>
      <c r="K57" s="1866"/>
      <c r="L57" s="1866"/>
      <c r="M57" s="1866"/>
      <c r="N57" s="1867">
        <v>7927</v>
      </c>
      <c r="O57" s="1866"/>
      <c r="P57" s="1866"/>
      <c r="Q57" s="77"/>
      <c r="R57" s="1867">
        <v>7502</v>
      </c>
      <c r="S57" s="77"/>
      <c r="V57" s="1867">
        <v>6904</v>
      </c>
      <c r="X57" s="77"/>
      <c r="Y57" s="77"/>
      <c r="Z57" s="1867">
        <v>6362</v>
      </c>
      <c r="AA57" s="77"/>
      <c r="AB57" s="77"/>
      <c r="AC57" s="77"/>
      <c r="AD57" s="1867">
        <v>6405</v>
      </c>
      <c r="AE57" s="366"/>
      <c r="AH57" s="1867">
        <v>5891</v>
      </c>
      <c r="AI57" s="77"/>
    </row>
    <row r="58" spans="1:52">
      <c r="A58" s="77"/>
      <c r="B58" s="77"/>
      <c r="C58" s="77"/>
      <c r="E58" s="77"/>
      <c r="F58" s="1868">
        <f>F56/F57</f>
        <v>0.21487424111014744</v>
      </c>
      <c r="G58" s="77"/>
      <c r="I58" s="77"/>
      <c r="J58" s="1869">
        <f>J56/J57</f>
        <v>0.1325287356321839</v>
      </c>
      <c r="K58" s="77"/>
      <c r="L58" s="77"/>
      <c r="M58" s="77"/>
      <c r="N58" s="1869">
        <f>N56/N57</f>
        <v>0.30200580295193641</v>
      </c>
      <c r="O58" s="77"/>
      <c r="P58" s="77"/>
      <c r="Q58" s="77"/>
      <c r="R58" s="1869">
        <f>R56/R57</f>
        <v>0.33764329512130098</v>
      </c>
      <c r="S58" s="77"/>
      <c r="V58" s="1869">
        <f>V56/V57</f>
        <v>0.24493047508690613</v>
      </c>
      <c r="X58" s="77"/>
      <c r="Y58" s="77"/>
      <c r="Z58" s="1869">
        <f>Z56/Z57</f>
        <v>0.308236403646652</v>
      </c>
      <c r="AA58" s="77"/>
      <c r="AB58" s="77" t="s">
        <v>332</v>
      </c>
      <c r="AC58" s="77"/>
      <c r="AD58" s="1869">
        <f>AD56/AD57</f>
        <v>0.19812646370023418</v>
      </c>
      <c r="AE58" s="77"/>
      <c r="AH58" s="1869">
        <f>AH56/AH57</f>
        <v>0.1514174163978951</v>
      </c>
      <c r="AI58" s="373"/>
    </row>
    <row r="59" spans="1:52">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row>
    <row r="61" spans="1:52" ht="42" customHeight="1">
      <c r="A61" s="5174" t="s">
        <v>1085</v>
      </c>
      <c r="B61" s="5017"/>
      <c r="C61" s="5017"/>
      <c r="D61" s="5017"/>
      <c r="E61" s="5017"/>
      <c r="F61" s="5017"/>
      <c r="G61" s="5017"/>
      <c r="H61" s="5017"/>
      <c r="I61" s="5017"/>
      <c r="J61" s="5017"/>
      <c r="K61" s="5017"/>
      <c r="L61" s="5017"/>
      <c r="M61" s="5017"/>
      <c r="N61" s="5017"/>
      <c r="O61" s="5017"/>
      <c r="P61" s="5017"/>
      <c r="Q61" s="5017"/>
      <c r="R61" s="5017"/>
      <c r="S61" s="5017"/>
      <c r="T61" s="5017"/>
      <c r="U61" s="5017"/>
      <c r="V61" s="5017"/>
      <c r="W61" s="5017"/>
      <c r="X61" s="5017"/>
      <c r="Y61" s="5017"/>
      <c r="Z61" s="5017"/>
      <c r="AA61" s="5017"/>
      <c r="AB61" s="5017"/>
      <c r="AC61" s="5017"/>
      <c r="AD61" s="5017"/>
      <c r="AE61" s="236"/>
      <c r="AF61" s="236"/>
      <c r="AG61" s="236"/>
      <c r="AH61" s="121"/>
      <c r="AI61" s="121"/>
      <c r="AJ61" s="74"/>
      <c r="AK61" s="74"/>
      <c r="AL61" s="74"/>
      <c r="AM61" s="74"/>
      <c r="AN61" s="74"/>
      <c r="AO61" s="74"/>
      <c r="AP61" s="74"/>
      <c r="AQ61" s="74"/>
      <c r="AR61" s="74"/>
      <c r="AS61" s="74"/>
      <c r="AT61" s="74"/>
      <c r="AU61" s="74"/>
      <c r="AV61" s="74"/>
      <c r="AW61" s="74"/>
      <c r="AX61" s="74"/>
      <c r="AY61" s="74"/>
      <c r="AZ61" s="74"/>
    </row>
    <row r="62" spans="1:52">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row>
    <row r="63" spans="1:52" ht="22.5" customHeight="1">
      <c r="A63" s="5174" t="s">
        <v>1086</v>
      </c>
      <c r="B63" s="5017"/>
      <c r="C63" s="5017"/>
      <c r="D63" s="5017"/>
      <c r="E63" s="5017"/>
      <c r="F63" s="5017"/>
      <c r="G63" s="5017"/>
      <c r="H63" s="5017"/>
      <c r="I63" s="5017"/>
      <c r="J63" s="5017"/>
      <c r="K63" s="5017"/>
      <c r="L63" s="5017"/>
      <c r="M63" s="5017"/>
      <c r="N63" s="5017"/>
      <c r="O63" s="5017"/>
      <c r="P63" s="5017"/>
      <c r="Q63" s="5017"/>
      <c r="R63" s="5017"/>
      <c r="S63" s="5017"/>
      <c r="T63" s="5017"/>
      <c r="U63" s="5017"/>
      <c r="V63" s="5017"/>
      <c r="W63" s="5017"/>
      <c r="X63" s="5017"/>
      <c r="Y63" s="5017"/>
      <c r="Z63" s="5017"/>
      <c r="AA63" s="5017"/>
      <c r="AB63" s="5017"/>
      <c r="AC63" s="5017"/>
      <c r="AD63" s="5017"/>
      <c r="AE63" s="236"/>
      <c r="AF63" s="236"/>
      <c r="AG63" s="236"/>
      <c r="AH63" s="121"/>
      <c r="AI63" s="121"/>
      <c r="AJ63" s="74"/>
      <c r="AK63" s="74"/>
      <c r="AL63" s="74"/>
      <c r="AM63" s="74"/>
      <c r="AN63" s="74"/>
      <c r="AO63" s="74"/>
      <c r="AP63" s="74"/>
      <c r="AQ63" s="74"/>
      <c r="AR63" s="74"/>
      <c r="AS63" s="74"/>
      <c r="AT63" s="74"/>
      <c r="AU63" s="74"/>
      <c r="AV63" s="74"/>
      <c r="AW63" s="74"/>
      <c r="AX63" s="74"/>
      <c r="AY63" s="74"/>
      <c r="AZ63" s="74"/>
    </row>
  </sheetData>
  <mergeCells count="73">
    <mergeCell ref="AF21:AH21"/>
    <mergeCell ref="H4:J4"/>
    <mergeCell ref="H12:J12"/>
    <mergeCell ref="H21:J21"/>
    <mergeCell ref="H29:J29"/>
    <mergeCell ref="AB4:AD4"/>
    <mergeCell ref="L4:N4"/>
    <mergeCell ref="L12:N12"/>
    <mergeCell ref="AF4:AH4"/>
    <mergeCell ref="T12:V12"/>
    <mergeCell ref="X12:Z12"/>
    <mergeCell ref="AB12:AD12"/>
    <mergeCell ref="AF12:AH12"/>
    <mergeCell ref="A6:A8"/>
    <mergeCell ref="A9:B9"/>
    <mergeCell ref="A12:A13"/>
    <mergeCell ref="B12:B13"/>
    <mergeCell ref="P12:R12"/>
    <mergeCell ref="D12:F12"/>
    <mergeCell ref="A4:A5"/>
    <mergeCell ref="B4:B5"/>
    <mergeCell ref="P4:R4"/>
    <mergeCell ref="T4:V4"/>
    <mergeCell ref="X4:Z4"/>
    <mergeCell ref="D4:F4"/>
    <mergeCell ref="A14:A17"/>
    <mergeCell ref="A18:B18"/>
    <mergeCell ref="A21:A22"/>
    <mergeCell ref="B21:B22"/>
    <mergeCell ref="P21:R21"/>
    <mergeCell ref="D21:F21"/>
    <mergeCell ref="A29:A30"/>
    <mergeCell ref="B29:B30"/>
    <mergeCell ref="P29:R29"/>
    <mergeCell ref="T29:V29"/>
    <mergeCell ref="X29:Z29"/>
    <mergeCell ref="L29:N29"/>
    <mergeCell ref="D29:F29"/>
    <mergeCell ref="A23:A25"/>
    <mergeCell ref="A26:B26"/>
    <mergeCell ref="T21:V21"/>
    <mergeCell ref="X21:Z21"/>
    <mergeCell ref="AB21:AD21"/>
    <mergeCell ref="L21:N21"/>
    <mergeCell ref="A45:B45"/>
    <mergeCell ref="A31:A33"/>
    <mergeCell ref="A34:B34"/>
    <mergeCell ref="A37:A38"/>
    <mergeCell ref="B37:B38"/>
    <mergeCell ref="X37:Z37"/>
    <mergeCell ref="AB37:AD37"/>
    <mergeCell ref="AF37:AH37"/>
    <mergeCell ref="A39:A41"/>
    <mergeCell ref="A42:A44"/>
    <mergeCell ref="P37:R37"/>
    <mergeCell ref="T37:V37"/>
    <mergeCell ref="L37:N37"/>
    <mergeCell ref="H37:J37"/>
    <mergeCell ref="D37:F37"/>
    <mergeCell ref="AF48:AH48"/>
    <mergeCell ref="A50:A52"/>
    <mergeCell ref="A53:B53"/>
    <mergeCell ref="A61:AD61"/>
    <mergeCell ref="A63:AD63"/>
    <mergeCell ref="A48:A49"/>
    <mergeCell ref="B48:B49"/>
    <mergeCell ref="P48:R48"/>
    <mergeCell ref="T48:V48"/>
    <mergeCell ref="X48:Z48"/>
    <mergeCell ref="AB48:AD48"/>
    <mergeCell ref="L48:N48"/>
    <mergeCell ref="H48:J48"/>
    <mergeCell ref="D48:F48"/>
  </mergeCells>
  <pageMargins left="0.70866141732283472" right="0.70866141732283472" top="0.74803149606299213" bottom="0.74803149606299213" header="0.31496062992125984" footer="0.31496062992125984"/>
  <pageSetup scale="45" orientation="portrait" r:id="rId1"/>
  <ignoredErrors>
    <ignoredError sqref="AF52:AH52" formulaRange="1"/>
  </ignoredErrors>
  <drawing r:id="rId2"/>
</worksheet>
</file>

<file path=xl/worksheets/sheet3.xml><?xml version="1.0" encoding="utf-8"?>
<worksheet xmlns="http://schemas.openxmlformats.org/spreadsheetml/2006/main" xmlns:r="http://schemas.openxmlformats.org/officeDocument/2006/relationships">
  <dimension ref="A2:N151"/>
  <sheetViews>
    <sheetView showGridLines="0" topLeftCell="A118" workbookViewId="0">
      <selection activeCell="A47" sqref="A47:A72"/>
    </sheetView>
  </sheetViews>
  <sheetFormatPr baseColWidth="10" defaultRowHeight="12.75"/>
  <cols>
    <col min="1" max="1" width="20.42578125" style="99" bestFit="1" customWidth="1"/>
    <col min="2" max="2" width="8.28515625" style="99" customWidth="1"/>
    <col min="3" max="3" width="4.140625" style="99" bestFit="1" customWidth="1"/>
    <col min="4" max="4" width="39.28515625" style="99" customWidth="1"/>
    <col min="5" max="5" width="4.140625" style="99" bestFit="1" customWidth="1"/>
    <col min="6" max="6" width="9.85546875" style="99" customWidth="1"/>
    <col min="7" max="7" width="4.140625" style="99" customWidth="1"/>
    <col min="8" max="8" width="28.7109375" style="99" customWidth="1"/>
    <col min="9" max="9" width="3" style="99" customWidth="1"/>
    <col min="10" max="10" width="30.7109375" style="99" customWidth="1"/>
    <col min="11" max="11" width="4.140625" style="99" bestFit="1" customWidth="1"/>
    <col min="12" max="16384" width="11.42578125" style="99"/>
  </cols>
  <sheetData>
    <row r="2" spans="1:14" ht="25.5" customHeight="1">
      <c r="A2" s="1521" t="s">
        <v>191</v>
      </c>
      <c r="C2" s="4826" t="s">
        <v>1339</v>
      </c>
      <c r="D2" s="705" t="s">
        <v>1338</v>
      </c>
      <c r="E2" s="4826" t="s">
        <v>1340</v>
      </c>
      <c r="F2" s="4827" t="s">
        <v>1336</v>
      </c>
    </row>
    <row r="3" spans="1:14" ht="25.5" customHeight="1">
      <c r="C3" s="4826"/>
      <c r="D3" s="140" t="s">
        <v>1337</v>
      </c>
      <c r="E3" s="4826"/>
      <c r="F3" s="4827"/>
    </row>
    <row r="4" spans="1:14">
      <c r="F4" s="1438"/>
    </row>
    <row r="5" spans="1:14" ht="38.25">
      <c r="C5" s="4826" t="s">
        <v>1339</v>
      </c>
      <c r="D5" s="705" t="s">
        <v>1350</v>
      </c>
      <c r="E5" s="4826" t="s">
        <v>1340</v>
      </c>
      <c r="F5" s="4827" t="s">
        <v>1336</v>
      </c>
    </row>
    <row r="6" spans="1:14" ht="25.5">
      <c r="C6" s="4826"/>
      <c r="D6" s="140" t="s">
        <v>1349</v>
      </c>
      <c r="E6" s="4826"/>
      <c r="F6" s="4827"/>
    </row>
    <row r="7" spans="1:14">
      <c r="F7" s="1438"/>
    </row>
    <row r="8" spans="1:14" ht="25.5">
      <c r="C8" s="4826" t="s">
        <v>1339</v>
      </c>
      <c r="D8" s="705" t="s">
        <v>1351</v>
      </c>
      <c r="E8" s="4826" t="s">
        <v>1340</v>
      </c>
      <c r="F8" s="4827" t="s">
        <v>1336</v>
      </c>
    </row>
    <row r="9" spans="1:14">
      <c r="C9" s="4826"/>
      <c r="D9" s="99" t="s">
        <v>1352</v>
      </c>
      <c r="E9" s="4826"/>
      <c r="F9" s="4827"/>
    </row>
    <row r="10" spans="1:14">
      <c r="F10" s="1438"/>
    </row>
    <row r="11" spans="1:14" ht="38.25">
      <c r="C11" s="4826" t="s">
        <v>1339</v>
      </c>
      <c r="D11" s="705" t="s">
        <v>1353</v>
      </c>
      <c r="E11" s="4826" t="s">
        <v>1340</v>
      </c>
      <c r="F11" s="4827" t="s">
        <v>1336</v>
      </c>
    </row>
    <row r="12" spans="1:14" ht="25.5">
      <c r="C12" s="4826"/>
      <c r="D12" s="140" t="s">
        <v>1354</v>
      </c>
      <c r="E12" s="4826"/>
      <c r="F12" s="4827"/>
    </row>
    <row r="13" spans="1:14">
      <c r="F13" s="1438"/>
    </row>
    <row r="14" spans="1:14" ht="42" customHeight="1">
      <c r="F14" s="1438"/>
      <c r="G14" s="1518" t="s">
        <v>1339</v>
      </c>
      <c r="H14" s="1436" t="s">
        <v>1442</v>
      </c>
      <c r="I14" s="1296"/>
      <c r="J14" s="1437" t="s">
        <v>1443</v>
      </c>
      <c r="K14" s="1518" t="s">
        <v>1340</v>
      </c>
      <c r="M14" s="1295"/>
      <c r="N14" s="728"/>
    </row>
    <row r="15" spans="1:14" ht="12.75" customHeight="1">
      <c r="F15" s="1438"/>
      <c r="G15" s="1518"/>
      <c r="K15" s="1518"/>
    </row>
    <row r="16" spans="1:14" ht="38.25">
      <c r="C16" s="4826" t="s">
        <v>1339</v>
      </c>
      <c r="D16" s="705" t="s">
        <v>1446</v>
      </c>
      <c r="E16" s="4826" t="s">
        <v>1340</v>
      </c>
      <c r="F16" s="4827" t="s">
        <v>1336</v>
      </c>
    </row>
    <row r="17" spans="3:11" ht="25.5">
      <c r="C17" s="4826"/>
      <c r="D17" s="140" t="s">
        <v>1445</v>
      </c>
      <c r="E17" s="4826"/>
      <c r="F17" s="4827"/>
    </row>
    <row r="18" spans="3:11">
      <c r="F18" s="1438"/>
    </row>
    <row r="19" spans="3:11" ht="38.25">
      <c r="C19" s="4826" t="s">
        <v>1339</v>
      </c>
      <c r="D19" s="705" t="s">
        <v>1447</v>
      </c>
      <c r="E19" s="4826" t="s">
        <v>1340</v>
      </c>
      <c r="F19" s="4827" t="s">
        <v>1336</v>
      </c>
    </row>
    <row r="20" spans="3:11" ht="25.5">
      <c r="C20" s="4826"/>
      <c r="D20" s="140" t="s">
        <v>1445</v>
      </c>
      <c r="E20" s="4826"/>
      <c r="F20" s="4827"/>
    </row>
    <row r="21" spans="3:11">
      <c r="F21" s="1438"/>
    </row>
    <row r="22" spans="3:11" ht="38.25">
      <c r="C22" s="4826" t="s">
        <v>1339</v>
      </c>
      <c r="D22" s="705" t="s">
        <v>1448</v>
      </c>
      <c r="E22" s="4826" t="s">
        <v>1340</v>
      </c>
      <c r="F22" s="4827" t="s">
        <v>1336</v>
      </c>
    </row>
    <row r="23" spans="3:11" ht="25.5">
      <c r="C23" s="4826"/>
      <c r="D23" s="140" t="s">
        <v>1445</v>
      </c>
      <c r="E23" s="4826"/>
      <c r="F23" s="4827"/>
    </row>
    <row r="26" spans="3:11" ht="51">
      <c r="G26" s="1518" t="s">
        <v>1339</v>
      </c>
      <c r="H26" s="1436" t="s">
        <v>1449</v>
      </c>
      <c r="I26" s="1296"/>
      <c r="J26" s="1437" t="s">
        <v>1450</v>
      </c>
      <c r="K26" s="1518" t="s">
        <v>1340</v>
      </c>
    </row>
    <row r="27" spans="3:11">
      <c r="H27" s="1436"/>
      <c r="J27" s="1438"/>
    </row>
    <row r="28" spans="3:11" ht="51">
      <c r="G28" s="1518" t="s">
        <v>1339</v>
      </c>
      <c r="H28" s="1436" t="s">
        <v>1451</v>
      </c>
      <c r="I28" s="1296"/>
      <c r="J28" s="1437" t="s">
        <v>1452</v>
      </c>
      <c r="K28" s="1518" t="s">
        <v>1340</v>
      </c>
    </row>
    <row r="29" spans="3:11">
      <c r="H29" s="1436"/>
      <c r="J29" s="1438"/>
    </row>
    <row r="30" spans="3:11" ht="51">
      <c r="G30" s="1518" t="s">
        <v>1339</v>
      </c>
      <c r="H30" s="1436" t="s">
        <v>1453</v>
      </c>
      <c r="I30" s="1296"/>
      <c r="J30" s="1437" t="s">
        <v>1454</v>
      </c>
      <c r="K30" s="1518" t="s">
        <v>1340</v>
      </c>
    </row>
    <row r="33" spans="3:6" ht="38.25">
      <c r="C33" s="4826" t="s">
        <v>1339</v>
      </c>
      <c r="D33" s="705" t="s">
        <v>1456</v>
      </c>
      <c r="E33" s="4826" t="s">
        <v>1340</v>
      </c>
      <c r="F33" s="4827" t="s">
        <v>1336</v>
      </c>
    </row>
    <row r="34" spans="3:6">
      <c r="C34" s="4826"/>
      <c r="D34" s="140" t="s">
        <v>1455</v>
      </c>
      <c r="E34" s="4826"/>
      <c r="F34" s="4827"/>
    </row>
    <row r="35" spans="3:6">
      <c r="F35" s="716"/>
    </row>
    <row r="36" spans="3:6" ht="38.25">
      <c r="C36" s="4826" t="s">
        <v>1339</v>
      </c>
      <c r="D36" s="705" t="s">
        <v>1683</v>
      </c>
      <c r="E36" s="4826" t="s">
        <v>1340</v>
      </c>
      <c r="F36" s="4827" t="s">
        <v>1336</v>
      </c>
    </row>
    <row r="37" spans="3:6">
      <c r="C37" s="4826"/>
      <c r="D37" s="140" t="s">
        <v>1682</v>
      </c>
      <c r="E37" s="4826"/>
      <c r="F37" s="4827"/>
    </row>
    <row r="38" spans="3:6">
      <c r="F38" s="716"/>
    </row>
    <row r="39" spans="3:6">
      <c r="F39" s="716"/>
    </row>
    <row r="40" spans="3:6" ht="25.5">
      <c r="C40" s="4826" t="s">
        <v>1339</v>
      </c>
      <c r="D40" s="705" t="s">
        <v>1457</v>
      </c>
      <c r="E40" s="4826" t="s">
        <v>1340</v>
      </c>
      <c r="F40" s="4827" t="s">
        <v>1336</v>
      </c>
    </row>
    <row r="41" spans="3:6">
      <c r="C41" s="4826"/>
      <c r="D41" s="728" t="s">
        <v>1458</v>
      </c>
      <c r="E41" s="4826"/>
      <c r="F41" s="4827"/>
    </row>
    <row r="42" spans="3:6">
      <c r="F42" s="716"/>
    </row>
    <row r="43" spans="3:6" ht="25.5">
      <c r="C43" s="4826" t="s">
        <v>1339</v>
      </c>
      <c r="D43" s="705" t="s">
        <v>1684</v>
      </c>
      <c r="E43" s="4826" t="s">
        <v>1340</v>
      </c>
      <c r="F43" s="4827" t="s">
        <v>1336</v>
      </c>
    </row>
    <row r="44" spans="3:6">
      <c r="C44" s="4826"/>
      <c r="D44" s="728" t="s">
        <v>1685</v>
      </c>
      <c r="E44" s="4826"/>
      <c r="F44" s="4827"/>
    </row>
    <row r="45" spans="3:6">
      <c r="F45" s="716"/>
    </row>
    <row r="46" spans="3:6">
      <c r="F46" s="716"/>
    </row>
    <row r="47" spans="3:6" ht="38.25">
      <c r="C47" s="4826" t="s">
        <v>1339</v>
      </c>
      <c r="D47" s="705" t="s">
        <v>1460</v>
      </c>
      <c r="E47" s="4826" t="s">
        <v>1340</v>
      </c>
      <c r="F47" s="4827" t="s">
        <v>1336</v>
      </c>
    </row>
    <row r="48" spans="3:6">
      <c r="C48" s="4826"/>
      <c r="D48" s="140" t="s">
        <v>1459</v>
      </c>
      <c r="E48" s="4826"/>
      <c r="F48" s="4827"/>
    </row>
    <row r="49" spans="3:6">
      <c r="F49" s="716"/>
    </row>
    <row r="50" spans="3:6" ht="38.25">
      <c r="C50" s="4826" t="s">
        <v>1339</v>
      </c>
      <c r="D50" s="705" t="s">
        <v>1461</v>
      </c>
      <c r="E50" s="4826" t="s">
        <v>1340</v>
      </c>
      <c r="F50" s="4827" t="s">
        <v>1336</v>
      </c>
    </row>
    <row r="51" spans="3:6">
      <c r="C51" s="4826"/>
      <c r="D51" s="140" t="s">
        <v>1458</v>
      </c>
      <c r="E51" s="4826"/>
      <c r="F51" s="4827"/>
    </row>
    <row r="52" spans="3:6">
      <c r="F52" s="716"/>
    </row>
    <row r="53" spans="3:6">
      <c r="F53" s="716"/>
    </row>
    <row r="54" spans="3:6" ht="12.75" customHeight="1">
      <c r="C54" s="4828" t="s">
        <v>1339</v>
      </c>
      <c r="D54" s="1423" t="s">
        <v>1462</v>
      </c>
      <c r="E54" s="4828" t="s">
        <v>1340</v>
      </c>
      <c r="F54" s="4827" t="s">
        <v>1336</v>
      </c>
    </row>
    <row r="55" spans="3:6" ht="12.75" customHeight="1">
      <c r="C55" s="4828"/>
      <c r="D55" s="728" t="s">
        <v>1463</v>
      </c>
      <c r="E55" s="4828"/>
      <c r="F55" s="4827"/>
    </row>
    <row r="56" spans="3:6">
      <c r="F56" s="716"/>
    </row>
    <row r="57" spans="3:6" ht="25.5">
      <c r="C57" s="4826" t="s">
        <v>1339</v>
      </c>
      <c r="D57" s="705" t="s">
        <v>1464</v>
      </c>
      <c r="E57" s="4826" t="s">
        <v>1340</v>
      </c>
      <c r="F57" s="4827" t="s">
        <v>1336</v>
      </c>
    </row>
    <row r="58" spans="3:6">
      <c r="C58" s="4826"/>
      <c r="D58" s="140" t="s">
        <v>1465</v>
      </c>
      <c r="E58" s="4826"/>
      <c r="F58" s="4827"/>
    </row>
    <row r="59" spans="3:6">
      <c r="F59" s="716"/>
    </row>
    <row r="60" spans="3:6" ht="38.25">
      <c r="C60" s="4826" t="s">
        <v>1339</v>
      </c>
      <c r="D60" s="705" t="s">
        <v>1466</v>
      </c>
      <c r="E60" s="4826" t="s">
        <v>1340</v>
      </c>
      <c r="F60" s="4827" t="s">
        <v>1336</v>
      </c>
    </row>
    <row r="61" spans="3:6" ht="25.5">
      <c r="C61" s="4826"/>
      <c r="D61" s="140" t="s">
        <v>1467</v>
      </c>
      <c r="E61" s="4826"/>
      <c r="F61" s="4827"/>
    </row>
    <row r="62" spans="3:6">
      <c r="F62" s="716"/>
    </row>
    <row r="63" spans="3:6" ht="38.25">
      <c r="C63" s="4826" t="s">
        <v>1339</v>
      </c>
      <c r="D63" s="705" t="s">
        <v>1468</v>
      </c>
      <c r="E63" s="4826" t="s">
        <v>1340</v>
      </c>
      <c r="F63" s="4827" t="s">
        <v>1336</v>
      </c>
    </row>
    <row r="64" spans="3:6" ht="25.5">
      <c r="C64" s="4826"/>
      <c r="D64" s="140" t="s">
        <v>1469</v>
      </c>
      <c r="E64" s="4826"/>
      <c r="F64" s="4827"/>
    </row>
    <row r="65" spans="1:6">
      <c r="F65" s="716"/>
    </row>
    <row r="66" spans="1:6" ht="25.5">
      <c r="C66" s="4826" t="s">
        <v>1339</v>
      </c>
      <c r="D66" s="705" t="s">
        <v>1470</v>
      </c>
      <c r="E66" s="4826" t="s">
        <v>1340</v>
      </c>
      <c r="F66" s="4827" t="s">
        <v>1336</v>
      </c>
    </row>
    <row r="67" spans="1:6" ht="25.5">
      <c r="C67" s="4826"/>
      <c r="D67" s="140" t="s">
        <v>1469</v>
      </c>
      <c r="E67" s="4826"/>
      <c r="F67" s="4827"/>
    </row>
    <row r="68" spans="1:6">
      <c r="F68" s="716"/>
    </row>
    <row r="69" spans="1:6" ht="25.5">
      <c r="A69" s="1521" t="s">
        <v>84</v>
      </c>
      <c r="C69" s="4826" t="s">
        <v>1339</v>
      </c>
      <c r="D69" s="705" t="s">
        <v>1475</v>
      </c>
      <c r="E69" s="4826" t="s">
        <v>1340</v>
      </c>
      <c r="F69" s="4827" t="s">
        <v>1336</v>
      </c>
    </row>
    <row r="70" spans="1:6">
      <c r="C70" s="4826"/>
      <c r="D70" s="728" t="s">
        <v>1476</v>
      </c>
      <c r="E70" s="4826"/>
      <c r="F70" s="4827"/>
    </row>
    <row r="71" spans="1:6">
      <c r="F71" s="716"/>
    </row>
    <row r="72" spans="1:6">
      <c r="F72" s="716"/>
    </row>
    <row r="73" spans="1:6" ht="25.5">
      <c r="C73" s="4826" t="s">
        <v>1339</v>
      </c>
      <c r="D73" s="705" t="s">
        <v>1475</v>
      </c>
      <c r="E73" s="4826" t="s">
        <v>1340</v>
      </c>
      <c r="F73" s="4827" t="s">
        <v>1336</v>
      </c>
    </row>
    <row r="74" spans="1:6" ht="25.5">
      <c r="C74" s="4826"/>
      <c r="D74" s="140" t="s">
        <v>1477</v>
      </c>
      <c r="E74" s="4826"/>
      <c r="F74" s="4827"/>
    </row>
    <row r="75" spans="1:6">
      <c r="F75" s="716"/>
    </row>
    <row r="76" spans="1:6" ht="25.5">
      <c r="C76" s="4826" t="s">
        <v>1339</v>
      </c>
      <c r="D76" s="705" t="s">
        <v>1479</v>
      </c>
      <c r="E76" s="4826" t="s">
        <v>1340</v>
      </c>
      <c r="F76" s="4827" t="s">
        <v>1336</v>
      </c>
    </row>
    <row r="77" spans="1:6" ht="25.5">
      <c r="C77" s="4826"/>
      <c r="D77" s="140" t="s">
        <v>1480</v>
      </c>
      <c r="E77" s="4826"/>
      <c r="F77" s="4827"/>
    </row>
    <row r="78" spans="1:6">
      <c r="F78" s="716"/>
    </row>
    <row r="79" spans="1:6">
      <c r="F79" s="716"/>
    </row>
    <row r="80" spans="1:6">
      <c r="C80" s="4828" t="s">
        <v>1339</v>
      </c>
      <c r="D80" s="1423" t="s">
        <v>1481</v>
      </c>
      <c r="E80" s="4828" t="s">
        <v>1340</v>
      </c>
      <c r="F80" s="4827" t="s">
        <v>1336</v>
      </c>
    </row>
    <row r="81" spans="3:6">
      <c r="C81" s="4828"/>
      <c r="D81" s="728" t="s">
        <v>1482</v>
      </c>
      <c r="E81" s="4828"/>
      <c r="F81" s="4827"/>
    </row>
    <row r="82" spans="3:6">
      <c r="F82" s="716"/>
    </row>
    <row r="83" spans="3:6" ht="25.5">
      <c r="C83" s="4830" t="s">
        <v>1339</v>
      </c>
      <c r="D83" s="705" t="s">
        <v>1483</v>
      </c>
      <c r="E83" s="4830" t="s">
        <v>1340</v>
      </c>
      <c r="F83" s="4827" t="s">
        <v>1336</v>
      </c>
    </row>
    <row r="84" spans="3:6" ht="38.25">
      <c r="C84" s="4830"/>
      <c r="D84" s="140" t="s">
        <v>1484</v>
      </c>
      <c r="E84" s="4830"/>
      <c r="F84" s="4827"/>
    </row>
    <row r="85" spans="3:6">
      <c r="F85" s="716"/>
    </row>
    <row r="86" spans="3:6" ht="25.5">
      <c r="C86" s="4826" t="s">
        <v>1339</v>
      </c>
      <c r="D86" s="705" t="s">
        <v>1492</v>
      </c>
      <c r="E86" s="4826" t="s">
        <v>1340</v>
      </c>
      <c r="F86" s="4827" t="s">
        <v>1336</v>
      </c>
    </row>
    <row r="87" spans="3:6" ht="25.5">
      <c r="C87" s="4826"/>
      <c r="D87" s="140" t="s">
        <v>1469</v>
      </c>
      <c r="E87" s="4826"/>
      <c r="F87" s="4827"/>
    </row>
    <row r="88" spans="3:6">
      <c r="F88" s="716"/>
    </row>
    <row r="89" spans="3:6">
      <c r="F89" s="716"/>
    </row>
    <row r="90" spans="3:6" ht="25.5">
      <c r="C90" s="4826" t="s">
        <v>1339</v>
      </c>
      <c r="D90" s="705" t="s">
        <v>1493</v>
      </c>
      <c r="E90" s="4826" t="s">
        <v>1340</v>
      </c>
      <c r="F90" s="4827" t="s">
        <v>1336</v>
      </c>
    </row>
    <row r="91" spans="3:6" ht="25.5">
      <c r="C91" s="4826"/>
      <c r="D91" s="140" t="s">
        <v>1469</v>
      </c>
      <c r="E91" s="4826"/>
      <c r="F91" s="4827"/>
    </row>
    <row r="92" spans="3:6">
      <c r="F92" s="716"/>
    </row>
    <row r="93" spans="3:6">
      <c r="F93" s="716"/>
    </row>
    <row r="94" spans="3:6" ht="25.5">
      <c r="C94" s="4826" t="s">
        <v>1339</v>
      </c>
      <c r="D94" s="705" t="s">
        <v>1493</v>
      </c>
      <c r="E94" s="4826" t="s">
        <v>1340</v>
      </c>
      <c r="F94" s="4827" t="s">
        <v>1336</v>
      </c>
    </row>
    <row r="95" spans="3:6" ht="25.5">
      <c r="C95" s="4826"/>
      <c r="D95" s="140" t="s">
        <v>1492</v>
      </c>
      <c r="E95" s="4826"/>
      <c r="F95" s="4827"/>
    </row>
    <row r="96" spans="3:6">
      <c r="F96" s="716"/>
    </row>
    <row r="97" spans="1:6">
      <c r="F97" s="716"/>
    </row>
    <row r="98" spans="1:6" ht="19.5" customHeight="1">
      <c r="C98" s="4826" t="s">
        <v>1339</v>
      </c>
      <c r="D98" s="705" t="s">
        <v>1497</v>
      </c>
      <c r="E98" s="4826" t="s">
        <v>1340</v>
      </c>
      <c r="F98" s="4827" t="s">
        <v>1508</v>
      </c>
    </row>
    <row r="99" spans="1:6" ht="15.75" customHeight="1">
      <c r="C99" s="4826"/>
      <c r="D99" s="140" t="s">
        <v>1504</v>
      </c>
      <c r="E99" s="4826"/>
      <c r="F99" s="4827"/>
    </row>
    <row r="100" spans="1:6" ht="13.5" customHeight="1">
      <c r="F100" s="716"/>
    </row>
    <row r="101" spans="1:6" ht="25.5">
      <c r="C101" s="4826" t="s">
        <v>1339</v>
      </c>
      <c r="D101" s="705" t="s">
        <v>1551</v>
      </c>
      <c r="E101" s="4826" t="s">
        <v>1340</v>
      </c>
      <c r="F101" s="4827" t="s">
        <v>1336</v>
      </c>
    </row>
    <row r="102" spans="1:6">
      <c r="C102" s="4826"/>
      <c r="D102" s="140" t="s">
        <v>1552</v>
      </c>
      <c r="E102" s="4826"/>
      <c r="F102" s="4827"/>
    </row>
    <row r="103" spans="1:6" ht="13.5" customHeight="1">
      <c r="F103" s="716"/>
    </row>
    <row r="104" spans="1:6" ht="13.5" customHeight="1">
      <c r="F104" s="716"/>
    </row>
    <row r="105" spans="1:6" ht="13.5" customHeight="1">
      <c r="F105" s="716"/>
    </row>
    <row r="106" spans="1:6">
      <c r="F106" s="716"/>
    </row>
    <row r="107" spans="1:6" ht="12.75" customHeight="1">
      <c r="A107" s="1521" t="s">
        <v>1506</v>
      </c>
      <c r="C107" s="4828" t="s">
        <v>1339</v>
      </c>
      <c r="D107" s="1423" t="s">
        <v>1498</v>
      </c>
      <c r="E107" s="4828" t="s">
        <v>1340</v>
      </c>
      <c r="F107" s="4827" t="s">
        <v>1336</v>
      </c>
    </row>
    <row r="108" spans="1:6" ht="12.75" customHeight="1">
      <c r="C108" s="4828"/>
      <c r="D108" s="728" t="s">
        <v>1499</v>
      </c>
      <c r="E108" s="4828"/>
      <c r="F108" s="4827"/>
    </row>
    <row r="110" spans="1:6" ht="31.5">
      <c r="C110" s="4826" t="s">
        <v>1339</v>
      </c>
      <c r="D110" s="1439" t="s">
        <v>1502</v>
      </c>
      <c r="E110" s="4826" t="s">
        <v>1340</v>
      </c>
      <c r="F110" s="4799"/>
    </row>
    <row r="111" spans="1:6">
      <c r="C111" s="4826"/>
      <c r="D111" s="728" t="s">
        <v>1501</v>
      </c>
      <c r="E111" s="4826"/>
      <c r="F111" s="4799"/>
    </row>
    <row r="114" spans="1:6" ht="12.75" customHeight="1">
      <c r="C114" s="4828" t="s">
        <v>1339</v>
      </c>
      <c r="D114" s="705" t="s">
        <v>1505</v>
      </c>
      <c r="E114" s="4828" t="s">
        <v>1340</v>
      </c>
      <c r="F114" s="4829" t="s">
        <v>1508</v>
      </c>
    </row>
    <row r="115" spans="1:6" ht="12.75" customHeight="1">
      <c r="C115" s="4828"/>
      <c r="D115" s="140" t="s">
        <v>1553</v>
      </c>
      <c r="E115" s="4828"/>
      <c r="F115" s="4829"/>
    </row>
    <row r="118" spans="1:6">
      <c r="A118" s="1521" t="s">
        <v>1507</v>
      </c>
      <c r="C118" s="4828" t="s">
        <v>1339</v>
      </c>
      <c r="D118" s="1423" t="s">
        <v>1509</v>
      </c>
      <c r="E118" s="4828" t="s">
        <v>1340</v>
      </c>
      <c r="F118" s="4829" t="s">
        <v>1508</v>
      </c>
    </row>
    <row r="119" spans="1:6">
      <c r="C119" s="4828"/>
      <c r="D119" s="728" t="s">
        <v>1510</v>
      </c>
      <c r="E119" s="4828"/>
      <c r="F119" s="4829"/>
    </row>
    <row r="121" spans="1:6">
      <c r="C121" s="4828" t="s">
        <v>1339</v>
      </c>
      <c r="D121" s="1423" t="s">
        <v>1511</v>
      </c>
      <c r="E121" s="4828" t="s">
        <v>1340</v>
      </c>
      <c r="F121" s="4827" t="s">
        <v>1336</v>
      </c>
    </row>
    <row r="122" spans="1:6">
      <c r="C122" s="4828"/>
      <c r="D122" s="728" t="s">
        <v>1512</v>
      </c>
      <c r="E122" s="4828"/>
      <c r="F122" s="4827"/>
    </row>
    <row r="124" spans="1:6">
      <c r="C124" s="4828" t="s">
        <v>1339</v>
      </c>
      <c r="D124" s="1423" t="s">
        <v>1513</v>
      </c>
      <c r="E124" s="4828" t="s">
        <v>1340</v>
      </c>
      <c r="F124" s="4827" t="s">
        <v>1336</v>
      </c>
    </row>
    <row r="125" spans="1:6" ht="12.75" customHeight="1">
      <c r="C125" s="4828"/>
      <c r="D125" s="728" t="s">
        <v>1514</v>
      </c>
      <c r="E125" s="4828"/>
      <c r="F125" s="4827"/>
    </row>
    <row r="127" spans="1:6" ht="25.5">
      <c r="C127" s="4826" t="s">
        <v>1339</v>
      </c>
      <c r="D127" s="705" t="s">
        <v>1515</v>
      </c>
      <c r="E127" s="4826" t="s">
        <v>1340</v>
      </c>
      <c r="F127" s="4827" t="s">
        <v>1336</v>
      </c>
    </row>
    <row r="128" spans="1:6" ht="38.25">
      <c r="C128" s="4826"/>
      <c r="D128" s="140" t="s">
        <v>1516</v>
      </c>
      <c r="E128" s="4826"/>
      <c r="F128" s="4827"/>
    </row>
    <row r="130" spans="3:6" ht="25.5">
      <c r="C130" s="4826" t="s">
        <v>1339</v>
      </c>
      <c r="D130" s="705" t="s">
        <v>1517</v>
      </c>
      <c r="E130" s="4826" t="s">
        <v>1340</v>
      </c>
      <c r="F130" s="4827" t="s">
        <v>1336</v>
      </c>
    </row>
    <row r="131" spans="3:6" ht="38.25">
      <c r="C131" s="4826"/>
      <c r="D131" s="140" t="s">
        <v>1516</v>
      </c>
      <c r="E131" s="4826"/>
      <c r="F131" s="4827"/>
    </row>
    <row r="133" spans="3:6">
      <c r="C133" s="4826" t="s">
        <v>1339</v>
      </c>
      <c r="D133" s="705" t="s">
        <v>1518</v>
      </c>
      <c r="E133" s="4826" t="s">
        <v>1340</v>
      </c>
    </row>
    <row r="134" spans="3:6" ht="25.5">
      <c r="C134" s="4826"/>
      <c r="D134" s="140" t="s">
        <v>1520</v>
      </c>
      <c r="E134" s="4826"/>
    </row>
    <row r="136" spans="3:6">
      <c r="C136" s="4826" t="s">
        <v>1339</v>
      </c>
      <c r="D136" s="705" t="s">
        <v>1519</v>
      </c>
      <c r="E136" s="4826" t="s">
        <v>1340</v>
      </c>
    </row>
    <row r="137" spans="3:6" ht="25.5">
      <c r="C137" s="4826"/>
      <c r="D137" s="140" t="s">
        <v>1521</v>
      </c>
      <c r="E137" s="4826"/>
    </row>
    <row r="139" spans="3:6">
      <c r="C139" s="4826" t="s">
        <v>1339</v>
      </c>
      <c r="D139" s="705" t="s">
        <v>1523</v>
      </c>
      <c r="E139" s="4826" t="s">
        <v>1340</v>
      </c>
    </row>
    <row r="140" spans="3:6" ht="25.5">
      <c r="C140" s="4826"/>
      <c r="D140" s="140" t="s">
        <v>1522</v>
      </c>
      <c r="E140" s="4826"/>
    </row>
    <row r="143" spans="3:6">
      <c r="C143" s="4826" t="s">
        <v>1339</v>
      </c>
      <c r="D143" s="705" t="s">
        <v>1525</v>
      </c>
      <c r="E143" s="4826" t="s">
        <v>1340</v>
      </c>
      <c r="F143" s="4827" t="s">
        <v>1336</v>
      </c>
    </row>
    <row r="144" spans="3:6" ht="25.5">
      <c r="C144" s="4826"/>
      <c r="D144" s="140" t="s">
        <v>464</v>
      </c>
      <c r="E144" s="4826"/>
      <c r="F144" s="4827"/>
    </row>
    <row r="147" spans="3:6" ht="25.5">
      <c r="C147" s="4826" t="s">
        <v>1339</v>
      </c>
      <c r="D147" s="705" t="s">
        <v>1526</v>
      </c>
      <c r="E147" s="4826" t="s">
        <v>1340</v>
      </c>
      <c r="F147" s="4827" t="s">
        <v>1508</v>
      </c>
    </row>
    <row r="148" spans="3:6" ht="25.5">
      <c r="C148" s="4826"/>
      <c r="D148" s="140" t="s">
        <v>1527</v>
      </c>
      <c r="E148" s="4826"/>
      <c r="F148" s="4827"/>
    </row>
    <row r="150" spans="3:6" ht="25.5">
      <c r="C150" s="4826" t="s">
        <v>1339</v>
      </c>
      <c r="D150" s="705" t="s">
        <v>1528</v>
      </c>
      <c r="E150" s="4826" t="s">
        <v>1340</v>
      </c>
      <c r="F150" s="4827" t="s">
        <v>1508</v>
      </c>
    </row>
    <row r="151" spans="3:6" ht="25.5">
      <c r="C151" s="4826"/>
      <c r="D151" s="140" t="s">
        <v>1529</v>
      </c>
      <c r="E151" s="4826"/>
      <c r="F151" s="4827"/>
    </row>
  </sheetData>
  <mergeCells count="123">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22:C23"/>
    <mergeCell ref="E22:E23"/>
    <mergeCell ref="F22:F23"/>
    <mergeCell ref="E33:E34"/>
    <mergeCell ref="F33:F34"/>
    <mergeCell ref="C33:C34"/>
    <mergeCell ref="C40:C41"/>
    <mergeCell ref="E40:E41"/>
    <mergeCell ref="F40:F41"/>
    <mergeCell ref="C36:C37"/>
    <mergeCell ref="E36:E37"/>
    <mergeCell ref="F36:F37"/>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50:C151"/>
    <mergeCell ref="E150:E151"/>
    <mergeCell ref="F150:F151"/>
    <mergeCell ref="C143:C144"/>
    <mergeCell ref="E143:E144"/>
    <mergeCell ref="F143:F144"/>
    <mergeCell ref="C147:C148"/>
    <mergeCell ref="E147:E148"/>
    <mergeCell ref="F147:F14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sheetPr>
    <tabColor theme="4" tint="-0.499984740745262"/>
  </sheetPr>
  <dimension ref="A2:AC84"/>
  <sheetViews>
    <sheetView workbookViewId="0">
      <pane xSplit="2" ySplit="5" topLeftCell="R6" activePane="bottomRight" state="frozen"/>
      <selection activeCell="A14" sqref="A14:XFD20"/>
      <selection pane="topRight" activeCell="A14" sqref="A14:XFD20"/>
      <selection pane="bottomLeft" activeCell="A14" sqref="A14:XFD20"/>
      <selection pane="bottomRight" activeCell="AB84" sqref="AB84"/>
    </sheetView>
  </sheetViews>
  <sheetFormatPr baseColWidth="10" defaultRowHeight="15"/>
  <cols>
    <col min="1" max="1" width="2.7109375" style="237" customWidth="1"/>
    <col min="2" max="2" width="45.5703125" customWidth="1"/>
    <col min="3" max="20" width="9.7109375" customWidth="1"/>
    <col min="21" max="21" width="11.140625" customWidth="1"/>
    <col min="22" max="43" width="9.7109375" customWidth="1"/>
  </cols>
  <sheetData>
    <row r="2" spans="1:29" ht="47.25">
      <c r="B2" s="4356" t="s">
        <v>2484</v>
      </c>
      <c r="C2" s="142"/>
      <c r="D2" s="142"/>
      <c r="E2" s="142"/>
      <c r="F2" s="142"/>
      <c r="G2" s="142"/>
      <c r="P2" s="308"/>
    </row>
    <row r="3" spans="1:29" ht="15" customHeight="1">
      <c r="B3" s="4356"/>
    </row>
    <row r="4" spans="1:29">
      <c r="B4" s="128"/>
      <c r="C4" s="5218">
        <v>2010</v>
      </c>
      <c r="D4" s="5219"/>
      <c r="E4" s="5220"/>
      <c r="F4" s="5218">
        <v>2011</v>
      </c>
      <c r="G4" s="5219"/>
      <c r="H4" s="5220"/>
      <c r="I4" s="5218">
        <v>2012</v>
      </c>
      <c r="J4" s="5219"/>
      <c r="K4" s="5220"/>
      <c r="L4" s="5218">
        <v>2013</v>
      </c>
      <c r="M4" s="5219"/>
      <c r="N4" s="5220"/>
      <c r="O4" s="5218">
        <v>2014</v>
      </c>
      <c r="P4" s="5219"/>
      <c r="Q4" s="5220"/>
      <c r="R4" s="5218">
        <v>2015</v>
      </c>
      <c r="S4" s="5219"/>
      <c r="T4" s="5220"/>
      <c r="U4" s="5218">
        <v>2016</v>
      </c>
      <c r="V4" s="5219"/>
      <c r="W4" s="5220"/>
      <c r="X4" s="5218">
        <v>2017</v>
      </c>
      <c r="Y4" s="5219"/>
      <c r="Z4" s="5220"/>
      <c r="AA4" s="5218">
        <v>2018</v>
      </c>
      <c r="AB4" s="5219"/>
      <c r="AC4" s="5220"/>
    </row>
    <row r="5" spans="1:29" s="1" customFormat="1" ht="51.75" thickBot="1">
      <c r="A5" s="237"/>
      <c r="B5" s="4358" t="s">
        <v>2868</v>
      </c>
      <c r="C5" s="4359" t="s">
        <v>83</v>
      </c>
      <c r="D5" s="4290" t="s">
        <v>1147</v>
      </c>
      <c r="E5" s="4355" t="s">
        <v>76</v>
      </c>
      <c r="F5" s="4337" t="s">
        <v>83</v>
      </c>
      <c r="G5" s="4290" t="s">
        <v>1147</v>
      </c>
      <c r="H5" s="4355" t="s">
        <v>76</v>
      </c>
      <c r="I5" s="4338" t="s">
        <v>83</v>
      </c>
      <c r="J5" s="4290" t="s">
        <v>1147</v>
      </c>
      <c r="K5" s="4355" t="s">
        <v>76</v>
      </c>
      <c r="L5" s="4338" t="s">
        <v>83</v>
      </c>
      <c r="M5" s="4290" t="s">
        <v>1147</v>
      </c>
      <c r="N5" s="4355" t="s">
        <v>76</v>
      </c>
      <c r="O5" s="4338" t="s">
        <v>83</v>
      </c>
      <c r="P5" s="4290" t="s">
        <v>1147</v>
      </c>
      <c r="Q5" s="4355" t="s">
        <v>76</v>
      </c>
      <c r="R5" s="4338" t="s">
        <v>83</v>
      </c>
      <c r="S5" s="4290" t="s">
        <v>1147</v>
      </c>
      <c r="T5" s="4355" t="s">
        <v>76</v>
      </c>
      <c r="U5" s="4338" t="s">
        <v>83</v>
      </c>
      <c r="V5" s="4290" t="s">
        <v>1147</v>
      </c>
      <c r="W5" s="4355" t="s">
        <v>76</v>
      </c>
      <c r="X5" s="4338" t="s">
        <v>83</v>
      </c>
      <c r="Y5" s="4290" t="s">
        <v>1147</v>
      </c>
      <c r="Z5" s="4355" t="s">
        <v>76</v>
      </c>
      <c r="AA5" s="4338" t="s">
        <v>83</v>
      </c>
      <c r="AB5" s="4290" t="s">
        <v>1147</v>
      </c>
      <c r="AC5" s="4355" t="s">
        <v>76</v>
      </c>
    </row>
    <row r="6" spans="1:29" s="1" customFormat="1">
      <c r="A6" s="237"/>
      <c r="B6" s="4357" t="s">
        <v>1150</v>
      </c>
      <c r="C6" s="2071">
        <v>49</v>
      </c>
      <c r="D6" s="4289">
        <v>134</v>
      </c>
      <c r="E6" s="2067">
        <f>C6/D6</f>
        <v>0.36567164179104478</v>
      </c>
      <c r="F6" s="2085">
        <v>53</v>
      </c>
      <c r="G6" s="4289">
        <v>136</v>
      </c>
      <c r="H6" s="2067">
        <f>F6/G6</f>
        <v>0.38970588235294118</v>
      </c>
      <c r="I6" s="2085">
        <v>52</v>
      </c>
      <c r="J6" s="4289">
        <v>139</v>
      </c>
      <c r="K6" s="2067">
        <f>I6/J6</f>
        <v>0.37410071942446044</v>
      </c>
      <c r="L6" s="2085">
        <v>57</v>
      </c>
      <c r="M6" s="4289">
        <v>139</v>
      </c>
      <c r="N6" s="2067">
        <f>L6/M6</f>
        <v>0.41007194244604317</v>
      </c>
      <c r="O6" s="2085">
        <v>59</v>
      </c>
      <c r="P6" s="4289">
        <v>145</v>
      </c>
      <c r="Q6" s="2067">
        <f>O6/P6</f>
        <v>0.40689655172413791</v>
      </c>
      <c r="R6" s="2085">
        <v>59</v>
      </c>
      <c r="S6" s="4289">
        <v>143</v>
      </c>
      <c r="T6" s="2067">
        <f>R6/S6</f>
        <v>0.41258741258741261</v>
      </c>
      <c r="U6" s="2085">
        <v>60</v>
      </c>
      <c r="V6" s="4289">
        <v>142</v>
      </c>
      <c r="W6" s="2067">
        <f>U6/V6</f>
        <v>0.42253521126760563</v>
      </c>
      <c r="X6" s="2085">
        <v>50</v>
      </c>
      <c r="Y6" s="4289">
        <v>142</v>
      </c>
      <c r="Z6" s="2067">
        <f>X6/Y6</f>
        <v>0.352112676056338</v>
      </c>
      <c r="AA6" s="2085">
        <v>49</v>
      </c>
      <c r="AB6" s="4289">
        <v>143</v>
      </c>
      <c r="AC6" s="2067">
        <f>AA6/AB6</f>
        <v>0.34265734265734266</v>
      </c>
    </row>
    <row r="7" spans="1:29" s="1" customFormat="1">
      <c r="A7" s="237"/>
      <c r="B7" s="1609" t="s">
        <v>1151</v>
      </c>
      <c r="C7" s="2055">
        <v>4</v>
      </c>
      <c r="D7" s="2056">
        <v>52</v>
      </c>
      <c r="E7" s="2057">
        <f t="shared" ref="E7:E70" si="0">C7/D7</f>
        <v>7.6923076923076927E-2</v>
      </c>
      <c r="F7" s="2078">
        <v>5</v>
      </c>
      <c r="G7" s="2056">
        <v>52</v>
      </c>
      <c r="H7" s="2057">
        <f t="shared" ref="H7:H70" si="1">F7/G7</f>
        <v>9.6153846153846159E-2</v>
      </c>
      <c r="I7" s="2078">
        <v>4</v>
      </c>
      <c r="J7" s="2056">
        <v>52</v>
      </c>
      <c r="K7" s="2057">
        <f t="shared" ref="K7:K70" si="2">I7/J7</f>
        <v>7.6923076923076927E-2</v>
      </c>
      <c r="L7" s="2078">
        <v>5</v>
      </c>
      <c r="M7" s="2056">
        <v>51</v>
      </c>
      <c r="N7" s="2057">
        <f t="shared" ref="N7:N70" si="3">L7/M7</f>
        <v>9.8039215686274508E-2</v>
      </c>
      <c r="O7" s="2078">
        <v>5</v>
      </c>
      <c r="P7" s="2056">
        <v>53</v>
      </c>
      <c r="Q7" s="2057">
        <f t="shared" ref="Q7:Q70" si="4">O7/P7</f>
        <v>9.4339622641509441E-2</v>
      </c>
      <c r="R7" s="2078">
        <v>5</v>
      </c>
      <c r="S7" s="2056">
        <v>56</v>
      </c>
      <c r="T7" s="2057">
        <f t="shared" ref="T7:T70" si="5">R7/S7</f>
        <v>8.9285714285714288E-2</v>
      </c>
      <c r="U7" s="2078">
        <v>7</v>
      </c>
      <c r="V7" s="2056">
        <v>54</v>
      </c>
      <c r="W7" s="2057">
        <f t="shared" ref="W7:W21" si="6">U7/V7</f>
        <v>0.12962962962962962</v>
      </c>
      <c r="X7" s="2078">
        <v>9</v>
      </c>
      <c r="Y7" s="2056">
        <v>56</v>
      </c>
      <c r="Z7" s="2057">
        <f t="shared" ref="Z7:Z70" si="7">X7/Y7</f>
        <v>0.16071428571428573</v>
      </c>
      <c r="AA7" s="2078">
        <v>8</v>
      </c>
      <c r="AB7" s="2056">
        <v>55</v>
      </c>
      <c r="AC7" s="2057">
        <f t="shared" ref="AC7:AC70" si="8">AA7/AB7</f>
        <v>0.14545454545454545</v>
      </c>
    </row>
    <row r="8" spans="1:29" s="1" customFormat="1">
      <c r="A8" s="237"/>
      <c r="B8" s="1609" t="s">
        <v>1152</v>
      </c>
      <c r="C8" s="2055">
        <v>11</v>
      </c>
      <c r="D8" s="2056">
        <v>64</v>
      </c>
      <c r="E8" s="2057">
        <f t="shared" si="0"/>
        <v>0.171875</v>
      </c>
      <c r="F8" s="2078">
        <v>13</v>
      </c>
      <c r="G8" s="2056">
        <v>62</v>
      </c>
      <c r="H8" s="2057">
        <f t="shared" si="1"/>
        <v>0.20967741935483872</v>
      </c>
      <c r="I8" s="2078">
        <v>14</v>
      </c>
      <c r="J8" s="2056">
        <v>63</v>
      </c>
      <c r="K8" s="2057">
        <f t="shared" si="2"/>
        <v>0.22222222222222221</v>
      </c>
      <c r="L8" s="2078">
        <v>17</v>
      </c>
      <c r="M8" s="2056">
        <v>64</v>
      </c>
      <c r="N8" s="2057">
        <f t="shared" si="3"/>
        <v>0.265625</v>
      </c>
      <c r="O8" s="2078">
        <v>16</v>
      </c>
      <c r="P8" s="2056">
        <v>66</v>
      </c>
      <c r="Q8" s="2057">
        <f t="shared" si="4"/>
        <v>0.24242424242424243</v>
      </c>
      <c r="R8" s="2078">
        <v>17</v>
      </c>
      <c r="S8" s="2056">
        <v>61</v>
      </c>
      <c r="T8" s="2057">
        <f t="shared" si="5"/>
        <v>0.27868852459016391</v>
      </c>
      <c r="U8" s="2078">
        <v>23</v>
      </c>
      <c r="V8" s="2056">
        <v>60</v>
      </c>
      <c r="W8" s="2057">
        <f t="shared" si="6"/>
        <v>0.38333333333333336</v>
      </c>
      <c r="X8" s="2078">
        <v>26</v>
      </c>
      <c r="Y8" s="2056">
        <v>62</v>
      </c>
      <c r="Z8" s="2057">
        <f t="shared" si="7"/>
        <v>0.41935483870967744</v>
      </c>
      <c r="AA8" s="2078">
        <v>22</v>
      </c>
      <c r="AB8" s="2056">
        <v>65</v>
      </c>
      <c r="AC8" s="2057">
        <f t="shared" si="8"/>
        <v>0.33846153846153848</v>
      </c>
    </row>
    <row r="9" spans="1:29" s="1" customFormat="1">
      <c r="A9" s="237"/>
      <c r="B9" s="1609" t="s">
        <v>1153</v>
      </c>
      <c r="C9" s="2055">
        <v>15</v>
      </c>
      <c r="D9" s="2056">
        <v>50</v>
      </c>
      <c r="E9" s="2057">
        <f t="shared" si="0"/>
        <v>0.3</v>
      </c>
      <c r="F9" s="2078">
        <v>14</v>
      </c>
      <c r="G9" s="2056">
        <v>51</v>
      </c>
      <c r="H9" s="2057">
        <f t="shared" si="1"/>
        <v>0.27450980392156865</v>
      </c>
      <c r="I9" s="2078">
        <v>13</v>
      </c>
      <c r="J9" s="2056">
        <v>49</v>
      </c>
      <c r="K9" s="2057">
        <f t="shared" si="2"/>
        <v>0.26530612244897961</v>
      </c>
      <c r="L9" s="2078">
        <v>15</v>
      </c>
      <c r="M9" s="2056">
        <v>51</v>
      </c>
      <c r="N9" s="2057">
        <f t="shared" si="3"/>
        <v>0.29411764705882354</v>
      </c>
      <c r="O9" s="2078">
        <v>16</v>
      </c>
      <c r="P9" s="2056">
        <v>51</v>
      </c>
      <c r="Q9" s="2057">
        <f t="shared" si="4"/>
        <v>0.31372549019607843</v>
      </c>
      <c r="R9" s="2078">
        <v>16</v>
      </c>
      <c r="S9" s="2056">
        <v>50</v>
      </c>
      <c r="T9" s="2057">
        <f t="shared" si="5"/>
        <v>0.32</v>
      </c>
      <c r="U9" s="2078">
        <v>18</v>
      </c>
      <c r="V9" s="2056">
        <v>49</v>
      </c>
      <c r="W9" s="2057">
        <f t="shared" si="6"/>
        <v>0.36734693877551022</v>
      </c>
      <c r="X9" s="2078">
        <v>19</v>
      </c>
      <c r="Y9" s="2056">
        <v>50</v>
      </c>
      <c r="Z9" s="2057">
        <f t="shared" si="7"/>
        <v>0.38</v>
      </c>
      <c r="AA9" s="2078">
        <v>19</v>
      </c>
      <c r="AB9" s="2056">
        <v>50</v>
      </c>
      <c r="AC9" s="2057">
        <f t="shared" si="8"/>
        <v>0.38</v>
      </c>
    </row>
    <row r="10" spans="1:29" s="1" customFormat="1" ht="15.75" thickBot="1">
      <c r="A10" s="237"/>
      <c r="B10" s="1613" t="s">
        <v>1154</v>
      </c>
      <c r="C10" s="2055">
        <v>9</v>
      </c>
      <c r="D10" s="2058">
        <v>42</v>
      </c>
      <c r="E10" s="2057">
        <f t="shared" si="0"/>
        <v>0.21428571428571427</v>
      </c>
      <c r="F10" s="2078">
        <v>9</v>
      </c>
      <c r="G10" s="2058">
        <v>41</v>
      </c>
      <c r="H10" s="2057">
        <f t="shared" si="1"/>
        <v>0.21951219512195122</v>
      </c>
      <c r="I10" s="2078">
        <v>13</v>
      </c>
      <c r="J10" s="2058">
        <v>45</v>
      </c>
      <c r="K10" s="2057">
        <f t="shared" si="2"/>
        <v>0.28888888888888886</v>
      </c>
      <c r="L10" s="2078">
        <v>16</v>
      </c>
      <c r="M10" s="2058">
        <v>44</v>
      </c>
      <c r="N10" s="2057">
        <f t="shared" si="3"/>
        <v>0.36363636363636365</v>
      </c>
      <c r="O10" s="2078">
        <v>15</v>
      </c>
      <c r="P10" s="2058">
        <v>42</v>
      </c>
      <c r="Q10" s="2057">
        <f t="shared" si="4"/>
        <v>0.35714285714285715</v>
      </c>
      <c r="R10" s="2078">
        <v>13</v>
      </c>
      <c r="S10" s="2058">
        <v>41</v>
      </c>
      <c r="T10" s="2057">
        <f t="shared" si="5"/>
        <v>0.31707317073170732</v>
      </c>
      <c r="U10" s="2078">
        <v>16</v>
      </c>
      <c r="V10" s="2058">
        <v>43</v>
      </c>
      <c r="W10" s="2057">
        <f t="shared" si="6"/>
        <v>0.37209302325581395</v>
      </c>
      <c r="X10" s="2078">
        <v>16</v>
      </c>
      <c r="Y10" s="2058">
        <v>45</v>
      </c>
      <c r="Z10" s="2057">
        <f t="shared" si="7"/>
        <v>0.35555555555555557</v>
      </c>
      <c r="AA10" s="2078">
        <v>15</v>
      </c>
      <c r="AB10" s="2058">
        <v>47</v>
      </c>
      <c r="AC10" s="2057">
        <f t="shared" si="8"/>
        <v>0.31914893617021278</v>
      </c>
    </row>
    <row r="11" spans="1:29" s="1" customFormat="1" ht="15.75" thickBot="1">
      <c r="A11" s="237"/>
      <c r="B11" s="4177" t="s">
        <v>4</v>
      </c>
      <c r="C11" s="2059">
        <f>SUM(C6:C10)</f>
        <v>88</v>
      </c>
      <c r="D11" s="2060">
        <f>SUM(D6:D10)</f>
        <v>342</v>
      </c>
      <c r="E11" s="2061">
        <f t="shared" si="0"/>
        <v>0.25730994152046782</v>
      </c>
      <c r="F11" s="2079">
        <v>94</v>
      </c>
      <c r="G11" s="2060">
        <f t="shared" ref="G11" si="9">SUM(G6:G10)</f>
        <v>342</v>
      </c>
      <c r="H11" s="2061">
        <f t="shared" si="1"/>
        <v>0.27485380116959063</v>
      </c>
      <c r="I11" s="2079">
        <v>96</v>
      </c>
      <c r="J11" s="2060">
        <f t="shared" ref="J11" si="10">SUM(J6:J10)</f>
        <v>348</v>
      </c>
      <c r="K11" s="2061">
        <f t="shared" si="2"/>
        <v>0.27586206896551724</v>
      </c>
      <c r="L11" s="2079">
        <v>110</v>
      </c>
      <c r="M11" s="2060">
        <f t="shared" ref="M11" si="11">SUM(M6:M10)</f>
        <v>349</v>
      </c>
      <c r="N11" s="2061">
        <f t="shared" si="3"/>
        <v>0.31518624641833809</v>
      </c>
      <c r="O11" s="2079">
        <v>111</v>
      </c>
      <c r="P11" s="2060">
        <f t="shared" ref="P11" si="12">SUM(P6:P10)</f>
        <v>357</v>
      </c>
      <c r="Q11" s="2061">
        <f t="shared" si="4"/>
        <v>0.31092436974789917</v>
      </c>
      <c r="R11" s="2079">
        <f>SUM(R6:R10)</f>
        <v>110</v>
      </c>
      <c r="S11" s="2060">
        <v>351</v>
      </c>
      <c r="T11" s="2061">
        <f t="shared" si="5"/>
        <v>0.31339031339031337</v>
      </c>
      <c r="U11" s="2079">
        <f>SUM(U6:U10)</f>
        <v>124</v>
      </c>
      <c r="V11" s="2060">
        <f>SUM(V6:V10)</f>
        <v>348</v>
      </c>
      <c r="W11" s="2061">
        <f t="shared" si="6"/>
        <v>0.35632183908045978</v>
      </c>
      <c r="X11" s="2079">
        <v>120</v>
      </c>
      <c r="Y11" s="2060">
        <f>SUM(Y6:Y10)</f>
        <v>355</v>
      </c>
      <c r="Z11" s="2061">
        <f t="shared" si="7"/>
        <v>0.3380281690140845</v>
      </c>
      <c r="AA11" s="2079">
        <v>113</v>
      </c>
      <c r="AB11" s="2060">
        <f>SUM(AB6:AB10)</f>
        <v>360</v>
      </c>
      <c r="AC11" s="2061">
        <f t="shared" si="8"/>
        <v>0.31388888888888888</v>
      </c>
    </row>
    <row r="12" spans="1:29" s="1" customFormat="1">
      <c r="A12" s="237"/>
      <c r="B12" s="1607" t="s">
        <v>1155</v>
      </c>
      <c r="C12" s="2055">
        <v>9</v>
      </c>
      <c r="D12" s="2062">
        <v>42</v>
      </c>
      <c r="E12" s="2057">
        <f t="shared" si="0"/>
        <v>0.21428571428571427</v>
      </c>
      <c r="F12" s="2078">
        <v>10</v>
      </c>
      <c r="G12" s="2066">
        <v>44</v>
      </c>
      <c r="H12" s="2057">
        <f t="shared" si="1"/>
        <v>0.22727272727272727</v>
      </c>
      <c r="I12" s="2078">
        <v>9</v>
      </c>
      <c r="J12" s="2066">
        <v>44</v>
      </c>
      <c r="K12" s="2057">
        <f t="shared" si="2"/>
        <v>0.20454545454545456</v>
      </c>
      <c r="L12" s="2078">
        <v>10</v>
      </c>
      <c r="M12" s="2066">
        <v>43</v>
      </c>
      <c r="N12" s="2057">
        <f t="shared" si="3"/>
        <v>0.23255813953488372</v>
      </c>
      <c r="O12" s="2078">
        <v>10</v>
      </c>
      <c r="P12" s="2066">
        <v>44</v>
      </c>
      <c r="Q12" s="2057">
        <f t="shared" si="4"/>
        <v>0.22727272727272727</v>
      </c>
      <c r="R12" s="2078">
        <v>11</v>
      </c>
      <c r="S12" s="2066">
        <v>43</v>
      </c>
      <c r="T12" s="2057">
        <f t="shared" si="5"/>
        <v>0.2558139534883721</v>
      </c>
      <c r="U12" s="2078">
        <v>10</v>
      </c>
      <c r="V12" s="2066">
        <v>41</v>
      </c>
      <c r="W12" s="2057">
        <f t="shared" si="6"/>
        <v>0.24390243902439024</v>
      </c>
      <c r="X12" s="2078">
        <v>12</v>
      </c>
      <c r="Y12" s="2066">
        <v>45</v>
      </c>
      <c r="Z12" s="2057">
        <f t="shared" si="7"/>
        <v>0.26666666666666666</v>
      </c>
      <c r="AA12" s="2078">
        <v>13</v>
      </c>
      <c r="AB12" s="2066">
        <v>49</v>
      </c>
      <c r="AC12" s="2057">
        <f t="shared" si="8"/>
        <v>0.26530612244897961</v>
      </c>
    </row>
    <row r="13" spans="1:29" s="1" customFormat="1">
      <c r="A13" s="237"/>
      <c r="B13" s="1609" t="s">
        <v>1156</v>
      </c>
      <c r="C13" s="2063">
        <v>9</v>
      </c>
      <c r="D13" s="2062">
        <v>64</v>
      </c>
      <c r="E13" s="2057">
        <f t="shared" si="0"/>
        <v>0.140625</v>
      </c>
      <c r="F13" s="2080">
        <v>8</v>
      </c>
      <c r="G13" s="2066">
        <v>63</v>
      </c>
      <c r="H13" s="2057">
        <f t="shared" si="1"/>
        <v>0.12698412698412698</v>
      </c>
      <c r="I13" s="2080">
        <v>8</v>
      </c>
      <c r="J13" s="2066">
        <v>62</v>
      </c>
      <c r="K13" s="2057">
        <f t="shared" si="2"/>
        <v>0.12903225806451613</v>
      </c>
      <c r="L13" s="2080">
        <v>13</v>
      </c>
      <c r="M13" s="2066">
        <v>73</v>
      </c>
      <c r="N13" s="2057">
        <f t="shared" si="3"/>
        <v>0.17808219178082191</v>
      </c>
      <c r="O13" s="2080">
        <v>15</v>
      </c>
      <c r="P13" s="2066">
        <v>71</v>
      </c>
      <c r="Q13" s="2057">
        <f t="shared" si="4"/>
        <v>0.21126760563380281</v>
      </c>
      <c r="R13" s="2080">
        <v>17</v>
      </c>
      <c r="S13" s="2066">
        <v>71</v>
      </c>
      <c r="T13" s="2057">
        <f t="shared" si="5"/>
        <v>0.23943661971830985</v>
      </c>
      <c r="U13" s="2080">
        <v>18</v>
      </c>
      <c r="V13" s="2066">
        <v>68</v>
      </c>
      <c r="W13" s="2057">
        <f t="shared" si="6"/>
        <v>0.26470588235294118</v>
      </c>
      <c r="X13" s="2080">
        <v>18</v>
      </c>
      <c r="Y13" s="2066">
        <v>70</v>
      </c>
      <c r="Z13" s="2057">
        <f t="shared" si="7"/>
        <v>0.25714285714285712</v>
      </c>
      <c r="AA13" s="2080">
        <v>16</v>
      </c>
      <c r="AB13" s="2066">
        <v>72</v>
      </c>
      <c r="AC13" s="2057">
        <f t="shared" si="8"/>
        <v>0.22222222222222221</v>
      </c>
    </row>
    <row r="14" spans="1:29" s="1" customFormat="1">
      <c r="A14" s="237"/>
      <c r="B14" s="1609" t="s">
        <v>1157</v>
      </c>
      <c r="C14" s="2063">
        <v>23</v>
      </c>
      <c r="D14" s="2062">
        <v>71</v>
      </c>
      <c r="E14" s="2057">
        <f t="shared" si="0"/>
        <v>0.323943661971831</v>
      </c>
      <c r="F14" s="2080">
        <v>22</v>
      </c>
      <c r="G14" s="2066">
        <v>74</v>
      </c>
      <c r="H14" s="2057">
        <f t="shared" si="1"/>
        <v>0.29729729729729731</v>
      </c>
      <c r="I14" s="2080">
        <v>22</v>
      </c>
      <c r="J14" s="2066">
        <v>74</v>
      </c>
      <c r="K14" s="2057">
        <f t="shared" si="2"/>
        <v>0.29729729729729731</v>
      </c>
      <c r="L14" s="2080">
        <v>25</v>
      </c>
      <c r="M14" s="2066">
        <v>76</v>
      </c>
      <c r="N14" s="2057">
        <f t="shared" si="3"/>
        <v>0.32894736842105265</v>
      </c>
      <c r="O14" s="2080">
        <v>25</v>
      </c>
      <c r="P14" s="2066">
        <v>76</v>
      </c>
      <c r="Q14" s="2057">
        <f t="shared" si="4"/>
        <v>0.32894736842105265</v>
      </c>
      <c r="R14" s="2080">
        <v>24</v>
      </c>
      <c r="S14" s="2066">
        <v>74</v>
      </c>
      <c r="T14" s="2057">
        <f t="shared" si="5"/>
        <v>0.32432432432432434</v>
      </c>
      <c r="U14" s="2080">
        <v>25</v>
      </c>
      <c r="V14" s="2066">
        <v>74</v>
      </c>
      <c r="W14" s="2057">
        <f t="shared" si="6"/>
        <v>0.33783783783783783</v>
      </c>
      <c r="X14" s="2080">
        <v>27</v>
      </c>
      <c r="Y14" s="2066">
        <v>78</v>
      </c>
      <c r="Z14" s="2057">
        <f t="shared" si="7"/>
        <v>0.34615384615384615</v>
      </c>
      <c r="AA14" s="2080">
        <v>28</v>
      </c>
      <c r="AB14" s="2066">
        <v>77</v>
      </c>
      <c r="AC14" s="2057">
        <f t="shared" si="8"/>
        <v>0.36363636363636365</v>
      </c>
    </row>
    <row r="15" spans="1:29" s="1" customFormat="1">
      <c r="A15" s="237"/>
      <c r="B15" s="1609" t="s">
        <v>854</v>
      </c>
      <c r="C15" s="2055">
        <v>17</v>
      </c>
      <c r="D15" s="2062">
        <v>56</v>
      </c>
      <c r="E15" s="2057">
        <f t="shared" si="0"/>
        <v>0.30357142857142855</v>
      </c>
      <c r="F15" s="2078">
        <v>17</v>
      </c>
      <c r="G15" s="2066">
        <v>57</v>
      </c>
      <c r="H15" s="2057">
        <f t="shared" si="1"/>
        <v>0.2982456140350877</v>
      </c>
      <c r="I15" s="2078">
        <v>18</v>
      </c>
      <c r="J15" s="2066">
        <v>58</v>
      </c>
      <c r="K15" s="2057">
        <f t="shared" si="2"/>
        <v>0.31034482758620691</v>
      </c>
      <c r="L15" s="2078">
        <v>19</v>
      </c>
      <c r="M15" s="2066">
        <v>58</v>
      </c>
      <c r="N15" s="2057">
        <f t="shared" si="3"/>
        <v>0.32758620689655171</v>
      </c>
      <c r="O15" s="2078">
        <v>19</v>
      </c>
      <c r="P15" s="2066">
        <v>58</v>
      </c>
      <c r="Q15" s="2057">
        <f t="shared" si="4"/>
        <v>0.32758620689655171</v>
      </c>
      <c r="R15" s="2078">
        <v>18</v>
      </c>
      <c r="S15" s="2066">
        <v>56</v>
      </c>
      <c r="T15" s="2057">
        <f t="shared" si="5"/>
        <v>0.32142857142857145</v>
      </c>
      <c r="U15" s="2078">
        <v>16</v>
      </c>
      <c r="V15" s="2066">
        <v>56</v>
      </c>
      <c r="W15" s="2057">
        <f t="shared" si="6"/>
        <v>0.2857142857142857</v>
      </c>
      <c r="X15" s="2078">
        <v>16</v>
      </c>
      <c r="Y15" s="2066">
        <v>57</v>
      </c>
      <c r="Z15" s="2057">
        <f t="shared" si="7"/>
        <v>0.2807017543859649</v>
      </c>
      <c r="AA15" s="2078">
        <v>20</v>
      </c>
      <c r="AB15" s="2066">
        <v>57</v>
      </c>
      <c r="AC15" s="2057">
        <f t="shared" si="8"/>
        <v>0.35087719298245612</v>
      </c>
    </row>
    <row r="16" spans="1:29" s="1" customFormat="1" ht="15.75" thickBot="1">
      <c r="A16" s="237"/>
      <c r="B16" s="1616" t="s">
        <v>1158</v>
      </c>
      <c r="C16" s="2063">
        <v>31</v>
      </c>
      <c r="D16" s="2064">
        <v>75</v>
      </c>
      <c r="E16" s="2057">
        <f t="shared" si="0"/>
        <v>0.41333333333333333</v>
      </c>
      <c r="F16" s="2080">
        <v>31</v>
      </c>
      <c r="G16" s="2064">
        <v>77</v>
      </c>
      <c r="H16" s="2057">
        <f t="shared" si="1"/>
        <v>0.40259740259740262</v>
      </c>
      <c r="I16" s="2080">
        <v>31</v>
      </c>
      <c r="J16" s="2064">
        <v>76</v>
      </c>
      <c r="K16" s="2057">
        <f t="shared" si="2"/>
        <v>0.40789473684210525</v>
      </c>
      <c r="L16" s="2080">
        <v>37</v>
      </c>
      <c r="M16" s="2064">
        <v>76</v>
      </c>
      <c r="N16" s="2057">
        <f t="shared" si="3"/>
        <v>0.48684210526315791</v>
      </c>
      <c r="O16" s="2080">
        <v>40</v>
      </c>
      <c r="P16" s="2064">
        <v>76</v>
      </c>
      <c r="Q16" s="2057">
        <f t="shared" si="4"/>
        <v>0.52631578947368418</v>
      </c>
      <c r="R16" s="2080">
        <v>41</v>
      </c>
      <c r="S16" s="2064">
        <v>75</v>
      </c>
      <c r="T16" s="2057">
        <f t="shared" si="5"/>
        <v>0.54666666666666663</v>
      </c>
      <c r="U16" s="2080">
        <v>43</v>
      </c>
      <c r="V16" s="2064">
        <v>72</v>
      </c>
      <c r="W16" s="2057">
        <f t="shared" si="6"/>
        <v>0.59722222222222221</v>
      </c>
      <c r="X16" s="2080">
        <v>45</v>
      </c>
      <c r="Y16" s="2064">
        <v>73</v>
      </c>
      <c r="Z16" s="2057">
        <f t="shared" si="7"/>
        <v>0.61643835616438358</v>
      </c>
      <c r="AA16" s="2080">
        <v>40</v>
      </c>
      <c r="AB16" s="2064">
        <v>76</v>
      </c>
      <c r="AC16" s="2057">
        <f t="shared" si="8"/>
        <v>0.52631578947368418</v>
      </c>
    </row>
    <row r="17" spans="1:29" s="1" customFormat="1" ht="15.75" thickBot="1">
      <c r="A17" s="237"/>
      <c r="B17" s="4177" t="s">
        <v>16</v>
      </c>
      <c r="C17" s="2059">
        <f>SUM(C12:C16)</f>
        <v>89</v>
      </c>
      <c r="D17" s="2060">
        <f>SUM(D12:D16)</f>
        <v>308</v>
      </c>
      <c r="E17" s="2061">
        <f t="shared" si="0"/>
        <v>0.28896103896103897</v>
      </c>
      <c r="F17" s="2079">
        <v>88</v>
      </c>
      <c r="G17" s="2060">
        <f t="shared" ref="G17" si="13">SUM(G12:G16)</f>
        <v>315</v>
      </c>
      <c r="H17" s="2061">
        <f t="shared" si="1"/>
        <v>0.27936507936507937</v>
      </c>
      <c r="I17" s="2079">
        <v>88</v>
      </c>
      <c r="J17" s="2060">
        <f t="shared" ref="J17" si="14">SUM(J12:J16)</f>
        <v>314</v>
      </c>
      <c r="K17" s="2061">
        <f t="shared" si="2"/>
        <v>0.28025477707006369</v>
      </c>
      <c r="L17" s="2079">
        <v>104</v>
      </c>
      <c r="M17" s="2060">
        <f t="shared" ref="M17" si="15">SUM(M12:M16)</f>
        <v>326</v>
      </c>
      <c r="N17" s="2061">
        <f t="shared" si="3"/>
        <v>0.31901840490797545</v>
      </c>
      <c r="O17" s="2079">
        <v>109</v>
      </c>
      <c r="P17" s="2060">
        <f t="shared" ref="P17" si="16">SUM(P12:P16)</f>
        <v>325</v>
      </c>
      <c r="Q17" s="2061">
        <f t="shared" si="4"/>
        <v>0.33538461538461539</v>
      </c>
      <c r="R17" s="2079">
        <f>SUM(R12:R16)</f>
        <v>111</v>
      </c>
      <c r="S17" s="2060">
        <v>319</v>
      </c>
      <c r="T17" s="2061">
        <f t="shared" si="5"/>
        <v>0.34796238244514105</v>
      </c>
      <c r="U17" s="2079">
        <f>SUM(U12:U16)</f>
        <v>112</v>
      </c>
      <c r="V17" s="2060">
        <f>SUM(V12:V16)</f>
        <v>311</v>
      </c>
      <c r="W17" s="2061">
        <f t="shared" si="6"/>
        <v>0.36012861736334406</v>
      </c>
      <c r="X17" s="2079">
        <v>118</v>
      </c>
      <c r="Y17" s="2060">
        <f>SUM(Y12:Y16)</f>
        <v>323</v>
      </c>
      <c r="Z17" s="2061">
        <f t="shared" si="7"/>
        <v>0.3653250773993808</v>
      </c>
      <c r="AA17" s="2079">
        <v>117</v>
      </c>
      <c r="AB17" s="2060">
        <f>SUM(AB12:AB16)</f>
        <v>331</v>
      </c>
      <c r="AC17" s="2061">
        <f t="shared" si="8"/>
        <v>0.35347432024169184</v>
      </c>
    </row>
    <row r="18" spans="1:29" s="1" customFormat="1">
      <c r="A18" s="237"/>
      <c r="B18" s="1618" t="s">
        <v>1649</v>
      </c>
      <c r="C18" s="2055">
        <v>3</v>
      </c>
      <c r="D18" s="2062">
        <v>55</v>
      </c>
      <c r="E18" s="2057">
        <f t="shared" si="0"/>
        <v>5.4545454545454543E-2</v>
      </c>
      <c r="F18" s="2078">
        <v>3</v>
      </c>
      <c r="G18" s="2066">
        <v>58</v>
      </c>
      <c r="H18" s="2057">
        <f t="shared" si="1"/>
        <v>5.1724137931034482E-2</v>
      </c>
      <c r="I18" s="2078">
        <v>2</v>
      </c>
      <c r="J18" s="2066">
        <v>57</v>
      </c>
      <c r="K18" s="2057">
        <f t="shared" si="2"/>
        <v>3.5087719298245612E-2</v>
      </c>
      <c r="L18" s="2078">
        <v>3</v>
      </c>
      <c r="M18" s="2066">
        <v>59</v>
      </c>
      <c r="N18" s="2057">
        <f t="shared" si="3"/>
        <v>5.0847457627118647E-2</v>
      </c>
      <c r="O18" s="2078">
        <v>3</v>
      </c>
      <c r="P18" s="2066">
        <v>60</v>
      </c>
      <c r="Q18" s="2057">
        <f t="shared" si="4"/>
        <v>0.05</v>
      </c>
      <c r="R18" s="2078">
        <v>4</v>
      </c>
      <c r="S18" s="2066">
        <v>60</v>
      </c>
      <c r="T18" s="2057">
        <f t="shared" si="5"/>
        <v>6.6666666666666666E-2</v>
      </c>
      <c r="U18" s="2078">
        <v>4</v>
      </c>
      <c r="V18" s="2066">
        <v>61</v>
      </c>
      <c r="W18" s="2057">
        <f t="shared" si="6"/>
        <v>6.5573770491803282E-2</v>
      </c>
      <c r="X18" s="2078">
        <v>4</v>
      </c>
      <c r="Y18" s="2066">
        <v>60</v>
      </c>
      <c r="Z18" s="2057">
        <f t="shared" si="7"/>
        <v>6.6666666666666666E-2</v>
      </c>
      <c r="AA18" s="2078">
        <v>4</v>
      </c>
      <c r="AB18" s="2066">
        <v>61</v>
      </c>
      <c r="AC18" s="2057">
        <f t="shared" si="8"/>
        <v>6.5573770491803282E-2</v>
      </c>
    </row>
    <row r="19" spans="1:29" s="1" customFormat="1">
      <c r="A19" s="237"/>
      <c r="B19" s="1618" t="s">
        <v>1650</v>
      </c>
      <c r="C19" s="2055">
        <v>1</v>
      </c>
      <c r="D19" s="2062">
        <v>41</v>
      </c>
      <c r="E19" s="2057">
        <f t="shared" si="0"/>
        <v>2.4390243902439025E-2</v>
      </c>
      <c r="F19" s="2078">
        <v>1</v>
      </c>
      <c r="G19" s="2066">
        <v>41</v>
      </c>
      <c r="H19" s="2057">
        <f t="shared" si="1"/>
        <v>2.4390243902439025E-2</v>
      </c>
      <c r="I19" s="2078">
        <v>1</v>
      </c>
      <c r="J19" s="2066">
        <v>41</v>
      </c>
      <c r="K19" s="2057">
        <f t="shared" si="2"/>
        <v>2.4390243902439025E-2</v>
      </c>
      <c r="L19" s="2078">
        <v>1</v>
      </c>
      <c r="M19" s="2066">
        <v>44</v>
      </c>
      <c r="N19" s="2057">
        <f t="shared" si="3"/>
        <v>2.2727272727272728E-2</v>
      </c>
      <c r="O19" s="2078">
        <v>2</v>
      </c>
      <c r="P19" s="2066">
        <v>45</v>
      </c>
      <c r="Q19" s="2057">
        <f t="shared" si="4"/>
        <v>4.4444444444444446E-2</v>
      </c>
      <c r="R19" s="2078">
        <v>3</v>
      </c>
      <c r="S19" s="2066">
        <v>42</v>
      </c>
      <c r="T19" s="2057">
        <f t="shared" si="5"/>
        <v>7.1428571428571425E-2</v>
      </c>
      <c r="U19" s="2078">
        <v>3</v>
      </c>
      <c r="V19" s="2066">
        <v>40</v>
      </c>
      <c r="W19" s="2057">
        <f t="shared" si="6"/>
        <v>7.4999999999999997E-2</v>
      </c>
      <c r="X19" s="2078">
        <v>3</v>
      </c>
      <c r="Y19" s="2066">
        <v>38</v>
      </c>
      <c r="Z19" s="2057">
        <f t="shared" si="7"/>
        <v>7.8947368421052627E-2</v>
      </c>
      <c r="AA19" s="2078">
        <v>2</v>
      </c>
      <c r="AB19" s="2066">
        <v>37</v>
      </c>
      <c r="AC19" s="2057">
        <f t="shared" si="8"/>
        <v>5.4054054054054057E-2</v>
      </c>
    </row>
    <row r="20" spans="1:29" s="1" customFormat="1">
      <c r="A20" s="237"/>
      <c r="B20" s="1609" t="s">
        <v>1162</v>
      </c>
      <c r="C20" s="2055">
        <v>1</v>
      </c>
      <c r="D20" s="2062">
        <v>36</v>
      </c>
      <c r="E20" s="2057">
        <f t="shared" si="0"/>
        <v>2.7777777777777776E-2</v>
      </c>
      <c r="F20" s="2078">
        <v>1</v>
      </c>
      <c r="G20" s="2066">
        <v>36</v>
      </c>
      <c r="H20" s="2057">
        <f t="shared" si="1"/>
        <v>2.7777777777777776E-2</v>
      </c>
      <c r="I20" s="2078">
        <v>2</v>
      </c>
      <c r="J20" s="2066">
        <v>38</v>
      </c>
      <c r="K20" s="2057">
        <f t="shared" si="2"/>
        <v>5.2631578947368418E-2</v>
      </c>
      <c r="L20" s="2078">
        <v>3</v>
      </c>
      <c r="M20" s="2066">
        <v>39</v>
      </c>
      <c r="N20" s="2057">
        <f t="shared" si="3"/>
        <v>7.6923076923076927E-2</v>
      </c>
      <c r="O20" s="2078">
        <v>3</v>
      </c>
      <c r="P20" s="2066">
        <v>41</v>
      </c>
      <c r="Q20" s="2057">
        <f t="shared" si="4"/>
        <v>7.3170731707317069E-2</v>
      </c>
      <c r="R20" s="2078">
        <v>3</v>
      </c>
      <c r="S20" s="2066">
        <v>41</v>
      </c>
      <c r="T20" s="2057">
        <f t="shared" si="5"/>
        <v>7.3170731707317069E-2</v>
      </c>
      <c r="U20" s="2078">
        <v>5</v>
      </c>
      <c r="V20" s="2066">
        <v>41</v>
      </c>
      <c r="W20" s="2057">
        <f t="shared" si="6"/>
        <v>0.12195121951219512</v>
      </c>
      <c r="X20" s="2078">
        <v>5</v>
      </c>
      <c r="Y20" s="2066">
        <v>40</v>
      </c>
      <c r="Z20" s="2057">
        <f t="shared" si="7"/>
        <v>0.125</v>
      </c>
      <c r="AA20" s="2078">
        <v>4</v>
      </c>
      <c r="AB20" s="2066">
        <v>42</v>
      </c>
      <c r="AC20" s="2057">
        <f t="shared" si="8"/>
        <v>9.5238095238095233E-2</v>
      </c>
    </row>
    <row r="21" spans="1:29" s="1" customFormat="1" ht="15.75" thickBot="1">
      <c r="A21" s="237"/>
      <c r="B21" s="1616" t="s">
        <v>1651</v>
      </c>
      <c r="C21" s="2055">
        <v>1</v>
      </c>
      <c r="D21" s="2062">
        <v>67</v>
      </c>
      <c r="E21" s="2057">
        <f t="shared" si="0"/>
        <v>1.4925373134328358E-2</v>
      </c>
      <c r="F21" s="2078">
        <v>1</v>
      </c>
      <c r="G21" s="2066">
        <v>66</v>
      </c>
      <c r="H21" s="2057">
        <f t="shared" si="1"/>
        <v>1.5151515151515152E-2</v>
      </c>
      <c r="I21" s="2078">
        <v>1</v>
      </c>
      <c r="J21" s="2066">
        <v>70</v>
      </c>
      <c r="K21" s="2057">
        <f t="shared" si="2"/>
        <v>1.4285714285714285E-2</v>
      </c>
      <c r="L21" s="2078">
        <v>1</v>
      </c>
      <c r="M21" s="2066">
        <v>69</v>
      </c>
      <c r="N21" s="2057">
        <f t="shared" si="3"/>
        <v>1.4492753623188406E-2</v>
      </c>
      <c r="O21" s="2078">
        <v>3</v>
      </c>
      <c r="P21" s="2066">
        <v>75</v>
      </c>
      <c r="Q21" s="2057">
        <f t="shared" si="4"/>
        <v>0.04</v>
      </c>
      <c r="R21" s="2078">
        <v>3</v>
      </c>
      <c r="S21" s="2066">
        <v>72</v>
      </c>
      <c r="T21" s="2057">
        <f t="shared" si="5"/>
        <v>4.1666666666666664E-2</v>
      </c>
      <c r="U21" s="2078">
        <v>3</v>
      </c>
      <c r="V21" s="2066">
        <v>71</v>
      </c>
      <c r="W21" s="2057">
        <f t="shared" si="6"/>
        <v>4.2253521126760563E-2</v>
      </c>
      <c r="X21" s="2078">
        <v>3</v>
      </c>
      <c r="Y21" s="2066">
        <v>71</v>
      </c>
      <c r="Z21" s="2057">
        <f t="shared" si="7"/>
        <v>4.2253521126760563E-2</v>
      </c>
      <c r="AA21" s="2078">
        <v>4</v>
      </c>
      <c r="AB21" s="2066">
        <v>73</v>
      </c>
      <c r="AC21" s="2057">
        <f t="shared" si="8"/>
        <v>5.4794520547945202E-2</v>
      </c>
    </row>
    <row r="22" spans="1:29" s="1" customFormat="1">
      <c r="A22" s="237"/>
      <c r="B22" s="4178" t="s">
        <v>21</v>
      </c>
      <c r="C22" s="2073">
        <f>SUM(C18:C21)</f>
        <v>6</v>
      </c>
      <c r="D22" s="4271">
        <f>SUM(D18:D21)</f>
        <v>199</v>
      </c>
      <c r="E22" s="2061">
        <f t="shared" si="0"/>
        <v>3.015075376884422E-2</v>
      </c>
      <c r="F22" s="2086">
        <v>6</v>
      </c>
      <c r="G22" s="4271">
        <f t="shared" ref="G22" si="17">SUM(G18:G21)</f>
        <v>201</v>
      </c>
      <c r="H22" s="2061">
        <f t="shared" si="1"/>
        <v>2.9850746268656716E-2</v>
      </c>
      <c r="I22" s="2086">
        <v>6</v>
      </c>
      <c r="J22" s="4271">
        <f t="shared" ref="J22" si="18">SUM(J18:J21)</f>
        <v>206</v>
      </c>
      <c r="K22" s="2061">
        <f t="shared" si="2"/>
        <v>2.9126213592233011E-2</v>
      </c>
      <c r="L22" s="2086">
        <v>8</v>
      </c>
      <c r="M22" s="4271">
        <f t="shared" ref="M22" si="19">SUM(M18:M21)</f>
        <v>211</v>
      </c>
      <c r="N22" s="2061">
        <f t="shared" si="3"/>
        <v>3.7914691943127965E-2</v>
      </c>
      <c r="O22" s="2086">
        <v>11</v>
      </c>
      <c r="P22" s="4271">
        <f t="shared" ref="P22" si="20">SUM(P18:P21)</f>
        <v>221</v>
      </c>
      <c r="Q22" s="2061">
        <f t="shared" si="4"/>
        <v>4.9773755656108594E-2</v>
      </c>
      <c r="R22" s="2086">
        <f>SUM(R18:R21)</f>
        <v>13</v>
      </c>
      <c r="S22" s="4271">
        <v>215</v>
      </c>
      <c r="T22" s="2061">
        <f t="shared" si="5"/>
        <v>6.0465116279069767E-2</v>
      </c>
      <c r="U22" s="2086">
        <f>SUM(U18:U21)</f>
        <v>15</v>
      </c>
      <c r="V22" s="4271">
        <f>SUM(V18:V21)</f>
        <v>213</v>
      </c>
      <c r="W22" s="2061">
        <f t="shared" ref="W22:W53" si="21">U22/V22</f>
        <v>7.0422535211267609E-2</v>
      </c>
      <c r="X22" s="2086">
        <v>15</v>
      </c>
      <c r="Y22" s="4271">
        <f>SUM(Y18:Y21)</f>
        <v>209</v>
      </c>
      <c r="Z22" s="2061">
        <f t="shared" si="7"/>
        <v>7.1770334928229665E-2</v>
      </c>
      <c r="AA22" s="2086">
        <v>14</v>
      </c>
      <c r="AB22" s="4271">
        <f>SUM(AB18:AB21)</f>
        <v>213</v>
      </c>
      <c r="AC22" s="2061">
        <f t="shared" si="8"/>
        <v>6.5727699530516437E-2</v>
      </c>
    </row>
    <row r="23" spans="1:29" s="1" customFormat="1" ht="15" customHeight="1">
      <c r="A23" s="237"/>
      <c r="B23" s="4352" t="s">
        <v>1071</v>
      </c>
      <c r="C23" s="4360">
        <f>SUM(C22,C17,C11)</f>
        <v>183</v>
      </c>
      <c r="D23" s="4275">
        <f>SUM(D11,D17,D22)</f>
        <v>849</v>
      </c>
      <c r="E23" s="4361">
        <f t="shared" si="0"/>
        <v>0.21554770318021202</v>
      </c>
      <c r="F23" s="4362">
        <v>188</v>
      </c>
      <c r="G23" s="4275">
        <f t="shared" ref="G23" si="22">SUM(G11,G17,G22)</f>
        <v>858</v>
      </c>
      <c r="H23" s="4361">
        <f t="shared" si="1"/>
        <v>0.21911421911421911</v>
      </c>
      <c r="I23" s="4362">
        <v>190</v>
      </c>
      <c r="J23" s="4275">
        <f t="shared" ref="J23" si="23">SUM(J11,J17,J22)</f>
        <v>868</v>
      </c>
      <c r="K23" s="4361">
        <f t="shared" si="2"/>
        <v>0.21889400921658986</v>
      </c>
      <c r="L23" s="4362">
        <v>222</v>
      </c>
      <c r="M23" s="4275">
        <f t="shared" ref="M23" si="24">SUM(M11,M17,M22)</f>
        <v>886</v>
      </c>
      <c r="N23" s="4361">
        <f t="shared" si="3"/>
        <v>0.25056433408577877</v>
      </c>
      <c r="O23" s="4362">
        <v>231</v>
      </c>
      <c r="P23" s="4275">
        <f t="shared" ref="P23" si="25">SUM(P11,P17,P22)</f>
        <v>903</v>
      </c>
      <c r="Q23" s="4361">
        <f t="shared" si="4"/>
        <v>0.2558139534883721</v>
      </c>
      <c r="R23" s="4362">
        <f>SUM(R11,R17,R22)</f>
        <v>234</v>
      </c>
      <c r="S23" s="4275">
        <v>885</v>
      </c>
      <c r="T23" s="4361">
        <f t="shared" si="5"/>
        <v>0.26440677966101694</v>
      </c>
      <c r="U23" s="4362">
        <f>SUM(U11,U17,U22)</f>
        <v>251</v>
      </c>
      <c r="V23" s="4275">
        <f>SUM(V11,V17,V22)</f>
        <v>872</v>
      </c>
      <c r="W23" s="4361">
        <f t="shared" si="21"/>
        <v>0.28784403669724773</v>
      </c>
      <c r="X23" s="4362">
        <v>253</v>
      </c>
      <c r="Y23" s="4275">
        <f>SUM(Y11,Y17,Y22)</f>
        <v>887</v>
      </c>
      <c r="Z23" s="4361">
        <f t="shared" si="7"/>
        <v>0.28523111612175872</v>
      </c>
      <c r="AA23" s="4362">
        <v>244</v>
      </c>
      <c r="AB23" s="4275">
        <f>SUM(AB11,AB17,AB22)</f>
        <v>904</v>
      </c>
      <c r="AC23" s="4361">
        <f t="shared" si="8"/>
        <v>0.26991150442477874</v>
      </c>
    </row>
    <row r="24" spans="1:29" s="1" customFormat="1">
      <c r="A24" s="237"/>
      <c r="B24" s="1607" t="s">
        <v>1165</v>
      </c>
      <c r="C24" s="2065">
        <v>9</v>
      </c>
      <c r="D24" s="2066">
        <v>16</v>
      </c>
      <c r="E24" s="2067">
        <f t="shared" si="0"/>
        <v>0.5625</v>
      </c>
      <c r="F24" s="2081">
        <v>9</v>
      </c>
      <c r="G24" s="2066">
        <v>17</v>
      </c>
      <c r="H24" s="2067">
        <f t="shared" si="1"/>
        <v>0.52941176470588236</v>
      </c>
      <c r="I24" s="2081">
        <v>9</v>
      </c>
      <c r="J24" s="2066">
        <v>18</v>
      </c>
      <c r="K24" s="2067">
        <f t="shared" si="2"/>
        <v>0.5</v>
      </c>
      <c r="L24" s="2081">
        <v>6</v>
      </c>
      <c r="M24" s="2066">
        <v>21</v>
      </c>
      <c r="N24" s="2067">
        <f t="shared" si="3"/>
        <v>0.2857142857142857</v>
      </c>
      <c r="O24" s="2081">
        <v>7</v>
      </c>
      <c r="P24" s="2066">
        <v>21</v>
      </c>
      <c r="Q24" s="2067">
        <f t="shared" si="4"/>
        <v>0.33333333333333331</v>
      </c>
      <c r="R24" s="2081">
        <v>7</v>
      </c>
      <c r="S24" s="2066">
        <v>19</v>
      </c>
      <c r="T24" s="2067">
        <f t="shared" si="5"/>
        <v>0.36842105263157893</v>
      </c>
      <c r="U24" s="2081">
        <v>6</v>
      </c>
      <c r="V24" s="2066">
        <v>18</v>
      </c>
      <c r="W24" s="2067">
        <f t="shared" si="21"/>
        <v>0.33333333333333331</v>
      </c>
      <c r="X24" s="2081">
        <v>10</v>
      </c>
      <c r="Y24" s="2066">
        <v>19</v>
      </c>
      <c r="Z24" s="2067">
        <f t="shared" si="7"/>
        <v>0.52631578947368418</v>
      </c>
      <c r="AA24" s="2081">
        <v>9</v>
      </c>
      <c r="AB24" s="2066">
        <v>16</v>
      </c>
      <c r="AC24" s="2067">
        <f t="shared" si="8"/>
        <v>0.5625</v>
      </c>
    </row>
    <row r="25" spans="1:29" s="1" customFormat="1">
      <c r="A25" s="237"/>
      <c r="B25" s="1609" t="s">
        <v>1166</v>
      </c>
      <c r="C25" s="2055">
        <v>2</v>
      </c>
      <c r="D25" s="2066">
        <v>6</v>
      </c>
      <c r="E25" s="2057">
        <f t="shared" si="0"/>
        <v>0.33333333333333331</v>
      </c>
      <c r="F25" s="2078">
        <v>2</v>
      </c>
      <c r="G25" s="2066">
        <v>7</v>
      </c>
      <c r="H25" s="2057">
        <f t="shared" si="1"/>
        <v>0.2857142857142857</v>
      </c>
      <c r="I25" s="2078">
        <v>4</v>
      </c>
      <c r="J25" s="2066">
        <v>14</v>
      </c>
      <c r="K25" s="2057">
        <f t="shared" si="2"/>
        <v>0.2857142857142857</v>
      </c>
      <c r="L25" s="2078">
        <v>6</v>
      </c>
      <c r="M25" s="2066">
        <v>13</v>
      </c>
      <c r="N25" s="2057">
        <f t="shared" si="3"/>
        <v>0.46153846153846156</v>
      </c>
      <c r="O25" s="2078">
        <v>5</v>
      </c>
      <c r="P25" s="2066">
        <v>14</v>
      </c>
      <c r="Q25" s="2057">
        <f t="shared" si="4"/>
        <v>0.35714285714285715</v>
      </c>
      <c r="R25" s="2078">
        <v>7</v>
      </c>
      <c r="S25" s="2066">
        <v>16</v>
      </c>
      <c r="T25" s="2057">
        <f t="shared" si="5"/>
        <v>0.4375</v>
      </c>
      <c r="U25" s="2078">
        <v>5</v>
      </c>
      <c r="V25" s="2066">
        <v>16</v>
      </c>
      <c r="W25" s="2057">
        <f t="shared" si="21"/>
        <v>0.3125</v>
      </c>
      <c r="X25" s="2078">
        <v>6</v>
      </c>
      <c r="Y25" s="2066">
        <v>16</v>
      </c>
      <c r="Z25" s="2057">
        <f t="shared" si="7"/>
        <v>0.375</v>
      </c>
      <c r="AA25" s="2078">
        <v>5</v>
      </c>
      <c r="AB25" s="2066">
        <v>17</v>
      </c>
      <c r="AC25" s="2057">
        <f t="shared" si="8"/>
        <v>0.29411764705882354</v>
      </c>
    </row>
    <row r="26" spans="1:29" s="1" customFormat="1" ht="15.75" thickBot="1">
      <c r="A26" s="237"/>
      <c r="B26" s="1616" t="s">
        <v>1167</v>
      </c>
      <c r="C26" s="2055">
        <v>4</v>
      </c>
      <c r="D26" s="2066">
        <v>16</v>
      </c>
      <c r="E26" s="2057">
        <f t="shared" si="0"/>
        <v>0.25</v>
      </c>
      <c r="F26" s="2078">
        <v>4</v>
      </c>
      <c r="G26" s="2066">
        <v>17</v>
      </c>
      <c r="H26" s="2057">
        <f t="shared" si="1"/>
        <v>0.23529411764705882</v>
      </c>
      <c r="I26" s="2078">
        <v>5</v>
      </c>
      <c r="J26" s="2066">
        <v>20</v>
      </c>
      <c r="K26" s="2057">
        <f t="shared" si="2"/>
        <v>0.25</v>
      </c>
      <c r="L26" s="2078">
        <v>6</v>
      </c>
      <c r="M26" s="2066">
        <v>17</v>
      </c>
      <c r="N26" s="2057">
        <f t="shared" si="3"/>
        <v>0.35294117647058826</v>
      </c>
      <c r="O26" s="2078">
        <v>7</v>
      </c>
      <c r="P26" s="2066">
        <v>17</v>
      </c>
      <c r="Q26" s="2057">
        <f t="shared" si="4"/>
        <v>0.41176470588235292</v>
      </c>
      <c r="R26" s="2078">
        <v>8</v>
      </c>
      <c r="S26" s="2066">
        <v>19</v>
      </c>
      <c r="T26" s="2057">
        <f t="shared" si="5"/>
        <v>0.42105263157894735</v>
      </c>
      <c r="U26" s="2078">
        <v>8</v>
      </c>
      <c r="V26" s="2066">
        <v>19</v>
      </c>
      <c r="W26" s="2057">
        <f t="shared" si="21"/>
        <v>0.42105263157894735</v>
      </c>
      <c r="X26" s="2078">
        <v>5</v>
      </c>
      <c r="Y26" s="2066">
        <v>19</v>
      </c>
      <c r="Z26" s="2057">
        <f t="shared" si="7"/>
        <v>0.26315789473684209</v>
      </c>
      <c r="AA26" s="2078">
        <v>6</v>
      </c>
      <c r="AB26" s="2066">
        <v>19</v>
      </c>
      <c r="AC26" s="2057">
        <f t="shared" si="8"/>
        <v>0.31578947368421051</v>
      </c>
    </row>
    <row r="27" spans="1:29" s="1" customFormat="1" ht="15.75" thickBot="1">
      <c r="A27" s="237"/>
      <c r="B27" s="4177" t="s">
        <v>61</v>
      </c>
      <c r="C27" s="2068">
        <f>SUM(C24:C26)</f>
        <v>15</v>
      </c>
      <c r="D27" s="2060">
        <f>SUM(D24:D26)</f>
        <v>38</v>
      </c>
      <c r="E27" s="2061">
        <f t="shared" si="0"/>
        <v>0.39473684210526316</v>
      </c>
      <c r="F27" s="2082">
        <v>15</v>
      </c>
      <c r="G27" s="2060">
        <f t="shared" ref="G27" si="26">SUM(G24:G26)</f>
        <v>41</v>
      </c>
      <c r="H27" s="2061">
        <f t="shared" si="1"/>
        <v>0.36585365853658536</v>
      </c>
      <c r="I27" s="2082">
        <v>18</v>
      </c>
      <c r="J27" s="2060">
        <f t="shared" ref="J27" si="27">SUM(J24:J26)</f>
        <v>52</v>
      </c>
      <c r="K27" s="2061">
        <f t="shared" si="2"/>
        <v>0.34615384615384615</v>
      </c>
      <c r="L27" s="2082">
        <v>18</v>
      </c>
      <c r="M27" s="2060">
        <f t="shared" ref="M27" si="28">SUM(M24:M26)</f>
        <v>51</v>
      </c>
      <c r="N27" s="2061">
        <f t="shared" si="3"/>
        <v>0.35294117647058826</v>
      </c>
      <c r="O27" s="2082">
        <v>19</v>
      </c>
      <c r="P27" s="2060">
        <f t="shared" ref="P27" si="29">SUM(P24:P26)</f>
        <v>52</v>
      </c>
      <c r="Q27" s="2061">
        <f t="shared" si="4"/>
        <v>0.36538461538461536</v>
      </c>
      <c r="R27" s="2082">
        <f>SUM(R24:R26)</f>
        <v>22</v>
      </c>
      <c r="S27" s="2060">
        <v>54</v>
      </c>
      <c r="T27" s="2061">
        <f t="shared" si="5"/>
        <v>0.40740740740740738</v>
      </c>
      <c r="U27" s="2082">
        <f>SUM(U24:U26)</f>
        <v>19</v>
      </c>
      <c r="V27" s="2060">
        <f>SUM(V24:V26)</f>
        <v>53</v>
      </c>
      <c r="W27" s="2061">
        <f t="shared" si="21"/>
        <v>0.35849056603773582</v>
      </c>
      <c r="X27" s="2082">
        <v>21</v>
      </c>
      <c r="Y27" s="2060">
        <f>SUM(Y24:Y26)</f>
        <v>54</v>
      </c>
      <c r="Z27" s="2061">
        <f t="shared" si="7"/>
        <v>0.3888888888888889</v>
      </c>
      <c r="AA27" s="2082">
        <v>20</v>
      </c>
      <c r="AB27" s="2060">
        <f>SUM(AB24:AB26)</f>
        <v>52</v>
      </c>
      <c r="AC27" s="2061">
        <f t="shared" si="8"/>
        <v>0.38461538461538464</v>
      </c>
    </row>
    <row r="28" spans="1:29" s="1" customFormat="1">
      <c r="A28" s="237"/>
      <c r="B28" s="1631" t="s">
        <v>1168</v>
      </c>
      <c r="C28" s="2055">
        <v>14</v>
      </c>
      <c r="D28" s="2066">
        <v>8</v>
      </c>
      <c r="E28" s="2057">
        <f t="shared" si="0"/>
        <v>1.75</v>
      </c>
      <c r="F28" s="2078">
        <v>13</v>
      </c>
      <c r="G28" s="2066">
        <v>8</v>
      </c>
      <c r="H28" s="2057">
        <f t="shared" si="1"/>
        <v>1.625</v>
      </c>
      <c r="I28" s="2078">
        <v>15</v>
      </c>
      <c r="J28" s="2066">
        <v>9</v>
      </c>
      <c r="K28" s="2057">
        <f t="shared" si="2"/>
        <v>1.6666666666666667</v>
      </c>
      <c r="L28" s="2078">
        <v>15</v>
      </c>
      <c r="M28" s="2066">
        <v>10</v>
      </c>
      <c r="N28" s="2057">
        <f t="shared" si="3"/>
        <v>1.5</v>
      </c>
      <c r="O28" s="2078">
        <v>18</v>
      </c>
      <c r="P28" s="2066">
        <v>10</v>
      </c>
      <c r="Q28" s="2057">
        <f t="shared" si="4"/>
        <v>1.8</v>
      </c>
      <c r="R28" s="2078">
        <v>13</v>
      </c>
      <c r="S28" s="2066">
        <v>12</v>
      </c>
      <c r="T28" s="2057">
        <f t="shared" si="5"/>
        <v>1.0833333333333333</v>
      </c>
      <c r="U28" s="2078">
        <v>14</v>
      </c>
      <c r="V28" s="2066">
        <v>13</v>
      </c>
      <c r="W28" s="2057">
        <f t="shared" si="21"/>
        <v>1.0769230769230769</v>
      </c>
      <c r="X28" s="2078">
        <v>11</v>
      </c>
      <c r="Y28" s="2066">
        <v>13</v>
      </c>
      <c r="Z28" s="2057">
        <f t="shared" si="7"/>
        <v>0.84615384615384615</v>
      </c>
      <c r="AA28" s="2078">
        <v>12</v>
      </c>
      <c r="AB28" s="2066">
        <v>13</v>
      </c>
      <c r="AC28" s="2057">
        <f t="shared" si="8"/>
        <v>0.92307692307692313</v>
      </c>
    </row>
    <row r="29" spans="1:29" s="1" customFormat="1">
      <c r="A29" s="237"/>
      <c r="B29" s="1609" t="s">
        <v>1169</v>
      </c>
      <c r="C29" s="2055">
        <v>14</v>
      </c>
      <c r="D29" s="2066">
        <v>8</v>
      </c>
      <c r="E29" s="2057">
        <f t="shared" si="0"/>
        <v>1.75</v>
      </c>
      <c r="F29" s="2078">
        <v>13</v>
      </c>
      <c r="G29" s="2066">
        <v>11</v>
      </c>
      <c r="H29" s="2057">
        <f t="shared" si="1"/>
        <v>1.1818181818181819</v>
      </c>
      <c r="I29" s="2078">
        <v>18</v>
      </c>
      <c r="J29" s="2066">
        <v>14</v>
      </c>
      <c r="K29" s="2057">
        <f t="shared" si="2"/>
        <v>1.2857142857142858</v>
      </c>
      <c r="L29" s="2078">
        <v>19</v>
      </c>
      <c r="M29" s="2066">
        <v>14</v>
      </c>
      <c r="N29" s="2057">
        <f t="shared" si="3"/>
        <v>1.3571428571428572</v>
      </c>
      <c r="O29" s="2078">
        <v>17</v>
      </c>
      <c r="P29" s="2066">
        <v>17</v>
      </c>
      <c r="Q29" s="2057">
        <f t="shared" si="4"/>
        <v>1</v>
      </c>
      <c r="R29" s="2078">
        <v>16</v>
      </c>
      <c r="S29" s="2066">
        <v>16</v>
      </c>
      <c r="T29" s="2057">
        <f t="shared" si="5"/>
        <v>1</v>
      </c>
      <c r="U29" s="2078">
        <v>17</v>
      </c>
      <c r="V29" s="2066">
        <v>18</v>
      </c>
      <c r="W29" s="2057">
        <f t="shared" si="21"/>
        <v>0.94444444444444442</v>
      </c>
      <c r="X29" s="2078">
        <v>16</v>
      </c>
      <c r="Y29" s="2066">
        <v>19</v>
      </c>
      <c r="Z29" s="2057">
        <f t="shared" si="7"/>
        <v>0.84210526315789469</v>
      </c>
      <c r="AA29" s="2078">
        <v>16</v>
      </c>
      <c r="AB29" s="2066">
        <v>19</v>
      </c>
      <c r="AC29" s="2057">
        <f t="shared" si="8"/>
        <v>0.84210526315789469</v>
      </c>
    </row>
    <row r="30" spans="1:29" s="1" customFormat="1" ht="15.75" thickBot="1">
      <c r="A30" s="237"/>
      <c r="B30" s="1609" t="s">
        <v>1170</v>
      </c>
      <c r="C30" s="2063">
        <v>12</v>
      </c>
      <c r="D30" s="2066">
        <v>11</v>
      </c>
      <c r="E30" s="2057">
        <f t="shared" si="0"/>
        <v>1.0909090909090908</v>
      </c>
      <c r="F30" s="2080">
        <v>13</v>
      </c>
      <c r="G30" s="2066">
        <v>14</v>
      </c>
      <c r="H30" s="2057">
        <f t="shared" si="1"/>
        <v>0.9285714285714286</v>
      </c>
      <c r="I30" s="2080">
        <v>13</v>
      </c>
      <c r="J30" s="2066">
        <v>13</v>
      </c>
      <c r="K30" s="2057">
        <f t="shared" si="2"/>
        <v>1</v>
      </c>
      <c r="L30" s="2080">
        <v>17</v>
      </c>
      <c r="M30" s="2066">
        <v>14</v>
      </c>
      <c r="N30" s="2057">
        <f t="shared" si="3"/>
        <v>1.2142857142857142</v>
      </c>
      <c r="O30" s="2080">
        <v>17</v>
      </c>
      <c r="P30" s="2066">
        <v>15</v>
      </c>
      <c r="Q30" s="2057">
        <f t="shared" si="4"/>
        <v>1.1333333333333333</v>
      </c>
      <c r="R30" s="2080">
        <v>18</v>
      </c>
      <c r="S30" s="2066">
        <v>15</v>
      </c>
      <c r="T30" s="2057">
        <f t="shared" si="5"/>
        <v>1.2</v>
      </c>
      <c r="U30" s="2080">
        <v>18</v>
      </c>
      <c r="V30" s="2066">
        <v>15</v>
      </c>
      <c r="W30" s="2057">
        <f t="shared" si="21"/>
        <v>1.2</v>
      </c>
      <c r="X30" s="2080">
        <v>18</v>
      </c>
      <c r="Y30" s="2066">
        <v>16</v>
      </c>
      <c r="Z30" s="2057">
        <f t="shared" si="7"/>
        <v>1.125</v>
      </c>
      <c r="AA30" s="2080">
        <v>26</v>
      </c>
      <c r="AB30" s="2066">
        <v>17</v>
      </c>
      <c r="AC30" s="2057">
        <f t="shared" si="8"/>
        <v>1.5294117647058822</v>
      </c>
    </row>
    <row r="31" spans="1:29" s="1" customFormat="1" ht="15.75" thickBot="1">
      <c r="A31" s="237"/>
      <c r="B31" s="4177" t="s">
        <v>64</v>
      </c>
      <c r="C31" s="2068">
        <f>SUM(C28:C30)</f>
        <v>40</v>
      </c>
      <c r="D31" s="2060">
        <f>SUM(D28:D30)</f>
        <v>27</v>
      </c>
      <c r="E31" s="2061">
        <f t="shared" si="0"/>
        <v>1.4814814814814814</v>
      </c>
      <c r="F31" s="2082">
        <v>39</v>
      </c>
      <c r="G31" s="2060">
        <f t="shared" ref="G31" si="30">SUM(G28:G30)</f>
        <v>33</v>
      </c>
      <c r="H31" s="2061">
        <f t="shared" si="1"/>
        <v>1.1818181818181819</v>
      </c>
      <c r="I31" s="2082">
        <v>46</v>
      </c>
      <c r="J31" s="2060">
        <f t="shared" ref="J31" si="31">SUM(J28:J30)</f>
        <v>36</v>
      </c>
      <c r="K31" s="2061">
        <f t="shared" si="2"/>
        <v>1.2777777777777777</v>
      </c>
      <c r="L31" s="2082">
        <v>51</v>
      </c>
      <c r="M31" s="2060">
        <f t="shared" ref="M31" si="32">SUM(M28:M30)</f>
        <v>38</v>
      </c>
      <c r="N31" s="2061">
        <f t="shared" si="3"/>
        <v>1.3421052631578947</v>
      </c>
      <c r="O31" s="2082">
        <v>52</v>
      </c>
      <c r="P31" s="2060">
        <f t="shared" ref="P31" si="33">SUM(P28:P30)</f>
        <v>42</v>
      </c>
      <c r="Q31" s="2061">
        <f t="shared" si="4"/>
        <v>1.2380952380952381</v>
      </c>
      <c r="R31" s="2082">
        <f>SUM(R28:R30)</f>
        <v>47</v>
      </c>
      <c r="S31" s="2060">
        <v>43</v>
      </c>
      <c r="T31" s="2061">
        <f t="shared" si="5"/>
        <v>1.0930232558139534</v>
      </c>
      <c r="U31" s="2082">
        <f>SUM(U28:U30)</f>
        <v>49</v>
      </c>
      <c r="V31" s="2060">
        <f>SUM(V28:V30)</f>
        <v>46</v>
      </c>
      <c r="W31" s="2061">
        <f t="shared" si="21"/>
        <v>1.0652173913043479</v>
      </c>
      <c r="X31" s="2082">
        <v>45</v>
      </c>
      <c r="Y31" s="2060">
        <f>SUM(Y28:Y30)</f>
        <v>48</v>
      </c>
      <c r="Z31" s="2061">
        <f t="shared" si="7"/>
        <v>0.9375</v>
      </c>
      <c r="AA31" s="2082">
        <v>54</v>
      </c>
      <c r="AB31" s="2060">
        <f>SUM(AB28:AB30)</f>
        <v>49</v>
      </c>
      <c r="AC31" s="2061">
        <f t="shared" si="8"/>
        <v>1.1020408163265305</v>
      </c>
    </row>
    <row r="32" spans="1:29" s="1" customFormat="1">
      <c r="A32" s="237"/>
      <c r="B32" s="1631" t="s">
        <v>1171</v>
      </c>
      <c r="C32" s="2055">
        <v>11</v>
      </c>
      <c r="D32" s="2066">
        <v>11</v>
      </c>
      <c r="E32" s="2057">
        <f t="shared" si="0"/>
        <v>1</v>
      </c>
      <c r="F32" s="2078">
        <v>14</v>
      </c>
      <c r="G32" s="2066">
        <v>13</v>
      </c>
      <c r="H32" s="2057">
        <f t="shared" si="1"/>
        <v>1.0769230769230769</v>
      </c>
      <c r="I32" s="2078">
        <v>14</v>
      </c>
      <c r="J32" s="2066">
        <v>13</v>
      </c>
      <c r="K32" s="2057">
        <f t="shared" si="2"/>
        <v>1.0769230769230769</v>
      </c>
      <c r="L32" s="2078">
        <v>13</v>
      </c>
      <c r="M32" s="2066">
        <v>13</v>
      </c>
      <c r="N32" s="2057">
        <f t="shared" si="3"/>
        <v>1</v>
      </c>
      <c r="O32" s="2078">
        <v>12</v>
      </c>
      <c r="P32" s="2066">
        <v>13</v>
      </c>
      <c r="Q32" s="2057">
        <f t="shared" si="4"/>
        <v>0.92307692307692313</v>
      </c>
      <c r="R32" s="2078">
        <v>16</v>
      </c>
      <c r="S32" s="2066">
        <v>15</v>
      </c>
      <c r="T32" s="2057">
        <f t="shared" si="5"/>
        <v>1.0666666666666667</v>
      </c>
      <c r="U32" s="2078">
        <v>17</v>
      </c>
      <c r="V32" s="2066">
        <v>15</v>
      </c>
      <c r="W32" s="2057">
        <f t="shared" si="21"/>
        <v>1.1333333333333333</v>
      </c>
      <c r="X32" s="2078">
        <v>19</v>
      </c>
      <c r="Y32" s="2066">
        <v>19</v>
      </c>
      <c r="Z32" s="2057">
        <f t="shared" si="7"/>
        <v>1</v>
      </c>
      <c r="AA32" s="2078">
        <v>15</v>
      </c>
      <c r="AB32" s="2066">
        <v>17</v>
      </c>
      <c r="AC32" s="2057">
        <f t="shared" si="8"/>
        <v>0.88235294117647056</v>
      </c>
    </row>
    <row r="33" spans="1:29" s="1" customFormat="1">
      <c r="A33" s="237"/>
      <c r="B33" s="1609" t="s">
        <v>1172</v>
      </c>
      <c r="C33" s="2055">
        <v>14</v>
      </c>
      <c r="D33" s="2066">
        <v>12</v>
      </c>
      <c r="E33" s="2057">
        <f t="shared" si="0"/>
        <v>1.1666666666666667</v>
      </c>
      <c r="F33" s="2078">
        <v>14</v>
      </c>
      <c r="G33" s="2066">
        <v>15</v>
      </c>
      <c r="H33" s="2057">
        <f t="shared" si="1"/>
        <v>0.93333333333333335</v>
      </c>
      <c r="I33" s="2078">
        <v>11</v>
      </c>
      <c r="J33" s="2066">
        <v>12</v>
      </c>
      <c r="K33" s="2057">
        <f t="shared" si="2"/>
        <v>0.91666666666666663</v>
      </c>
      <c r="L33" s="2078">
        <v>11</v>
      </c>
      <c r="M33" s="2066">
        <v>13</v>
      </c>
      <c r="N33" s="2057">
        <f t="shared" si="3"/>
        <v>0.84615384615384615</v>
      </c>
      <c r="O33" s="2078">
        <v>10</v>
      </c>
      <c r="P33" s="2066">
        <v>16</v>
      </c>
      <c r="Q33" s="2057">
        <f t="shared" si="4"/>
        <v>0.625</v>
      </c>
      <c r="R33" s="2078">
        <v>12</v>
      </c>
      <c r="S33" s="2066">
        <v>16</v>
      </c>
      <c r="T33" s="2057">
        <f t="shared" si="5"/>
        <v>0.75</v>
      </c>
      <c r="U33" s="2078">
        <v>13</v>
      </c>
      <c r="V33" s="2066">
        <v>18</v>
      </c>
      <c r="W33" s="2057">
        <f t="shared" si="21"/>
        <v>0.72222222222222221</v>
      </c>
      <c r="X33" s="2078">
        <v>10</v>
      </c>
      <c r="Y33" s="2066">
        <v>21</v>
      </c>
      <c r="Z33" s="2057">
        <f t="shared" si="7"/>
        <v>0.47619047619047616</v>
      </c>
      <c r="AA33" s="2078">
        <v>7</v>
      </c>
      <c r="AB33" s="2066">
        <v>20</v>
      </c>
      <c r="AC33" s="2057">
        <f t="shared" si="8"/>
        <v>0.35</v>
      </c>
    </row>
    <row r="34" spans="1:29" s="1" customFormat="1" ht="15.75" thickBot="1">
      <c r="A34" s="237"/>
      <c r="B34" s="1616" t="s">
        <v>854</v>
      </c>
      <c r="C34" s="2055">
        <v>14</v>
      </c>
      <c r="D34" s="2066">
        <v>15</v>
      </c>
      <c r="E34" s="2057">
        <f t="shared" si="0"/>
        <v>0.93333333333333335</v>
      </c>
      <c r="F34" s="2078">
        <v>15</v>
      </c>
      <c r="G34" s="2066">
        <v>17</v>
      </c>
      <c r="H34" s="2057">
        <f t="shared" si="1"/>
        <v>0.88235294117647056</v>
      </c>
      <c r="I34" s="2078">
        <v>17</v>
      </c>
      <c r="J34" s="2066">
        <v>17</v>
      </c>
      <c r="K34" s="2057">
        <f t="shared" si="2"/>
        <v>1</v>
      </c>
      <c r="L34" s="2078">
        <v>22</v>
      </c>
      <c r="M34" s="2066">
        <v>20</v>
      </c>
      <c r="N34" s="2057">
        <f t="shared" si="3"/>
        <v>1.1000000000000001</v>
      </c>
      <c r="O34" s="2078">
        <v>22</v>
      </c>
      <c r="P34" s="2066">
        <v>20</v>
      </c>
      <c r="Q34" s="2057">
        <f t="shared" si="4"/>
        <v>1.1000000000000001</v>
      </c>
      <c r="R34" s="2078">
        <v>21</v>
      </c>
      <c r="S34" s="2066">
        <v>19</v>
      </c>
      <c r="T34" s="2057">
        <f t="shared" si="5"/>
        <v>1.1052631578947369</v>
      </c>
      <c r="U34" s="2078">
        <v>25</v>
      </c>
      <c r="V34" s="2066">
        <v>21</v>
      </c>
      <c r="W34" s="2057">
        <f t="shared" si="21"/>
        <v>1.1904761904761905</v>
      </c>
      <c r="X34" s="2078">
        <v>23</v>
      </c>
      <c r="Y34" s="2066">
        <v>21</v>
      </c>
      <c r="Z34" s="2057">
        <f t="shared" si="7"/>
        <v>1.0952380952380953</v>
      </c>
      <c r="AA34" s="2078">
        <v>22</v>
      </c>
      <c r="AB34" s="2066">
        <v>22</v>
      </c>
      <c r="AC34" s="2057">
        <f t="shared" si="8"/>
        <v>1</v>
      </c>
    </row>
    <row r="35" spans="1:29" s="1" customFormat="1">
      <c r="A35" s="237"/>
      <c r="B35" s="4178" t="s">
        <v>16</v>
      </c>
      <c r="C35" s="2070">
        <f>SUM(C32:C34)</f>
        <v>39</v>
      </c>
      <c r="D35" s="4271">
        <f>SUM(D32:D34)</f>
        <v>38</v>
      </c>
      <c r="E35" s="2061">
        <f t="shared" si="0"/>
        <v>1.0263157894736843</v>
      </c>
      <c r="F35" s="2084">
        <v>43</v>
      </c>
      <c r="G35" s="4271">
        <f t="shared" ref="G35" si="34">SUM(G32:G34)</f>
        <v>45</v>
      </c>
      <c r="H35" s="2061">
        <f t="shared" si="1"/>
        <v>0.9555555555555556</v>
      </c>
      <c r="I35" s="2084">
        <v>42</v>
      </c>
      <c r="J35" s="4271">
        <f t="shared" ref="J35" si="35">SUM(J32:J34)</f>
        <v>42</v>
      </c>
      <c r="K35" s="2061">
        <f t="shared" si="2"/>
        <v>1</v>
      </c>
      <c r="L35" s="2084">
        <v>46</v>
      </c>
      <c r="M35" s="4271">
        <f t="shared" ref="M35" si="36">SUM(M32:M34)</f>
        <v>46</v>
      </c>
      <c r="N35" s="2061">
        <f t="shared" si="3"/>
        <v>1</v>
      </c>
      <c r="O35" s="2084">
        <v>44</v>
      </c>
      <c r="P35" s="4271">
        <f t="shared" ref="P35" si="37">SUM(P32:P34)</f>
        <v>49</v>
      </c>
      <c r="Q35" s="2061">
        <f t="shared" si="4"/>
        <v>0.89795918367346939</v>
      </c>
      <c r="R35" s="2084">
        <f>SUM(R32:R34)</f>
        <v>49</v>
      </c>
      <c r="S35" s="4271">
        <v>50</v>
      </c>
      <c r="T35" s="2061">
        <f t="shared" si="5"/>
        <v>0.98</v>
      </c>
      <c r="U35" s="2084">
        <f>SUM(U32:U34)</f>
        <v>55</v>
      </c>
      <c r="V35" s="4271">
        <f>SUM(V32:V34)</f>
        <v>54</v>
      </c>
      <c r="W35" s="2061">
        <f t="shared" si="21"/>
        <v>1.0185185185185186</v>
      </c>
      <c r="X35" s="2084">
        <v>52</v>
      </c>
      <c r="Y35" s="4271">
        <f>SUM(Y32:Y34)</f>
        <v>61</v>
      </c>
      <c r="Z35" s="2061">
        <f t="shared" si="7"/>
        <v>0.85245901639344257</v>
      </c>
      <c r="AA35" s="2084">
        <v>44</v>
      </c>
      <c r="AB35" s="4271">
        <f>SUM(AB32:AB34)</f>
        <v>59</v>
      </c>
      <c r="AC35" s="2061">
        <f t="shared" si="8"/>
        <v>0.74576271186440679</v>
      </c>
    </row>
    <row r="36" spans="1:29" s="1" customFormat="1" ht="15" customHeight="1">
      <c r="A36" s="237"/>
      <c r="B36" s="4350" t="s">
        <v>1074</v>
      </c>
      <c r="C36" s="2069">
        <f>SUM(C35,C31,C27)</f>
        <v>94</v>
      </c>
      <c r="D36" s="4277">
        <f>SUM(D35,D31,D27)</f>
        <v>103</v>
      </c>
      <c r="E36" s="4363">
        <f t="shared" si="0"/>
        <v>0.91262135922330101</v>
      </c>
      <c r="F36" s="2083">
        <v>97</v>
      </c>
      <c r="G36" s="4277">
        <f t="shared" ref="G36" si="38">SUM(G35,G31,G27)</f>
        <v>119</v>
      </c>
      <c r="H36" s="4363">
        <f t="shared" si="1"/>
        <v>0.81512605042016806</v>
      </c>
      <c r="I36" s="2083">
        <v>106</v>
      </c>
      <c r="J36" s="4277">
        <f t="shared" ref="J36" si="39">SUM(J35,J31,J27)</f>
        <v>130</v>
      </c>
      <c r="K36" s="4363">
        <f t="shared" si="2"/>
        <v>0.81538461538461537</v>
      </c>
      <c r="L36" s="2083">
        <v>115</v>
      </c>
      <c r="M36" s="4277">
        <f t="shared" ref="M36" si="40">SUM(M35,M31,M27)</f>
        <v>135</v>
      </c>
      <c r="N36" s="4363">
        <f t="shared" si="3"/>
        <v>0.85185185185185186</v>
      </c>
      <c r="O36" s="2083">
        <v>115</v>
      </c>
      <c r="P36" s="4277">
        <f t="shared" ref="P36" si="41">SUM(P35,P31,P27)</f>
        <v>143</v>
      </c>
      <c r="Q36" s="4363">
        <f t="shared" si="4"/>
        <v>0.80419580419580416</v>
      </c>
      <c r="R36" s="2083">
        <f>SUM(R27,R31,R35)</f>
        <v>118</v>
      </c>
      <c r="S36" s="4277">
        <v>147</v>
      </c>
      <c r="T36" s="4363">
        <f t="shared" si="5"/>
        <v>0.80272108843537415</v>
      </c>
      <c r="U36" s="2083">
        <f>SUM(U27,U31,U35)</f>
        <v>123</v>
      </c>
      <c r="V36" s="4277">
        <f>SUM(V27,V31,V35)</f>
        <v>153</v>
      </c>
      <c r="W36" s="4363">
        <f t="shared" si="21"/>
        <v>0.80392156862745101</v>
      </c>
      <c r="X36" s="2083">
        <v>118</v>
      </c>
      <c r="Y36" s="4277">
        <f>SUM(Y27,Y31,Y35)</f>
        <v>163</v>
      </c>
      <c r="Z36" s="4363">
        <f t="shared" si="7"/>
        <v>0.7239263803680982</v>
      </c>
      <c r="AA36" s="2083">
        <v>118</v>
      </c>
      <c r="AB36" s="4277">
        <f>SUM(AB27,AB31,AB35)</f>
        <v>160</v>
      </c>
      <c r="AC36" s="4363">
        <f t="shared" si="8"/>
        <v>0.73750000000000004</v>
      </c>
    </row>
    <row r="37" spans="1:29" s="1" customFormat="1">
      <c r="A37" s="237"/>
      <c r="B37" s="1607" t="s">
        <v>1173</v>
      </c>
      <c r="C37" s="2054">
        <v>43</v>
      </c>
      <c r="D37" s="2066">
        <v>56</v>
      </c>
      <c r="E37" s="2067">
        <f t="shared" si="0"/>
        <v>0.7678571428571429</v>
      </c>
      <c r="F37" s="2077">
        <v>44</v>
      </c>
      <c r="G37" s="2066">
        <v>56</v>
      </c>
      <c r="H37" s="2067">
        <f t="shared" si="1"/>
        <v>0.7857142857142857</v>
      </c>
      <c r="I37" s="2077">
        <v>44</v>
      </c>
      <c r="J37" s="2066">
        <v>56</v>
      </c>
      <c r="K37" s="2067">
        <f t="shared" si="2"/>
        <v>0.7857142857142857</v>
      </c>
      <c r="L37" s="2077">
        <v>48</v>
      </c>
      <c r="M37" s="2066">
        <v>58</v>
      </c>
      <c r="N37" s="2067">
        <f t="shared" si="3"/>
        <v>0.82758620689655171</v>
      </c>
      <c r="O37" s="2077">
        <v>53</v>
      </c>
      <c r="P37" s="2066">
        <v>57</v>
      </c>
      <c r="Q37" s="2067">
        <f t="shared" si="4"/>
        <v>0.92982456140350878</v>
      </c>
      <c r="R37" s="2077">
        <v>54</v>
      </c>
      <c r="S37" s="2066">
        <v>56</v>
      </c>
      <c r="T37" s="2067">
        <f t="shared" si="5"/>
        <v>0.9642857142857143</v>
      </c>
      <c r="U37" s="2077">
        <v>59</v>
      </c>
      <c r="V37" s="2066">
        <v>57</v>
      </c>
      <c r="W37" s="2067">
        <f t="shared" si="21"/>
        <v>1.0350877192982457</v>
      </c>
      <c r="X37" s="2077">
        <v>52</v>
      </c>
      <c r="Y37" s="2066">
        <v>56</v>
      </c>
      <c r="Z37" s="2067">
        <f t="shared" si="7"/>
        <v>0.9285714285714286</v>
      </c>
      <c r="AA37" s="2077">
        <v>48</v>
      </c>
      <c r="AB37" s="2066">
        <v>57</v>
      </c>
      <c r="AC37" s="2067">
        <f t="shared" si="8"/>
        <v>0.84210526315789469</v>
      </c>
    </row>
    <row r="38" spans="1:29" s="1" customFormat="1">
      <c r="A38" s="237"/>
      <c r="B38" s="1609" t="s">
        <v>1174</v>
      </c>
      <c r="C38" s="2063">
        <v>21</v>
      </c>
      <c r="D38" s="2066">
        <v>38</v>
      </c>
      <c r="E38" s="2057">
        <f t="shared" si="0"/>
        <v>0.55263157894736847</v>
      </c>
      <c r="F38" s="2080">
        <v>21</v>
      </c>
      <c r="G38" s="2066">
        <v>39</v>
      </c>
      <c r="H38" s="2057">
        <f t="shared" si="1"/>
        <v>0.53846153846153844</v>
      </c>
      <c r="I38" s="2080">
        <v>26</v>
      </c>
      <c r="J38" s="2066">
        <v>43</v>
      </c>
      <c r="K38" s="2057">
        <f t="shared" si="2"/>
        <v>0.60465116279069764</v>
      </c>
      <c r="L38" s="2080">
        <v>28</v>
      </c>
      <c r="M38" s="2066">
        <v>44</v>
      </c>
      <c r="N38" s="2057">
        <f t="shared" si="3"/>
        <v>0.63636363636363635</v>
      </c>
      <c r="O38" s="2080">
        <v>27</v>
      </c>
      <c r="P38" s="2066">
        <v>46</v>
      </c>
      <c r="Q38" s="2057">
        <f t="shared" si="4"/>
        <v>0.58695652173913049</v>
      </c>
      <c r="R38" s="2080">
        <v>28</v>
      </c>
      <c r="S38" s="2066">
        <v>46</v>
      </c>
      <c r="T38" s="2057">
        <f t="shared" si="5"/>
        <v>0.60869565217391308</v>
      </c>
      <c r="U38" s="2080">
        <v>30</v>
      </c>
      <c r="V38" s="2066">
        <v>45</v>
      </c>
      <c r="W38" s="2057">
        <f t="shared" si="21"/>
        <v>0.66666666666666663</v>
      </c>
      <c r="X38" s="2080">
        <v>32</v>
      </c>
      <c r="Y38" s="2066">
        <v>42</v>
      </c>
      <c r="Z38" s="2057">
        <f t="shared" si="7"/>
        <v>0.76190476190476186</v>
      </c>
      <c r="AA38" s="2080">
        <v>30</v>
      </c>
      <c r="AB38" s="2066">
        <v>40</v>
      </c>
      <c r="AC38" s="2057">
        <f t="shared" si="8"/>
        <v>0.75</v>
      </c>
    </row>
    <row r="39" spans="1:29" s="1" customFormat="1">
      <c r="A39" s="237"/>
      <c r="B39" s="1609" t="s">
        <v>1175</v>
      </c>
      <c r="C39" s="2063">
        <v>14</v>
      </c>
      <c r="D39" s="2066">
        <v>64</v>
      </c>
      <c r="E39" s="2057">
        <f t="shared" si="0"/>
        <v>0.21875</v>
      </c>
      <c r="F39" s="2080">
        <v>13</v>
      </c>
      <c r="G39" s="2066">
        <v>64</v>
      </c>
      <c r="H39" s="2057">
        <f t="shared" si="1"/>
        <v>0.203125</v>
      </c>
      <c r="I39" s="2080">
        <v>13</v>
      </c>
      <c r="J39" s="2066">
        <v>62</v>
      </c>
      <c r="K39" s="2057">
        <f t="shared" si="2"/>
        <v>0.20967741935483872</v>
      </c>
      <c r="L39" s="2080">
        <v>18</v>
      </c>
      <c r="M39" s="2066">
        <v>64</v>
      </c>
      <c r="N39" s="2057">
        <f t="shared" si="3"/>
        <v>0.28125</v>
      </c>
      <c r="O39" s="2080">
        <v>17</v>
      </c>
      <c r="P39" s="2066">
        <v>64</v>
      </c>
      <c r="Q39" s="2057">
        <f t="shared" si="4"/>
        <v>0.265625</v>
      </c>
      <c r="R39" s="2080">
        <v>24</v>
      </c>
      <c r="S39" s="2066">
        <v>66</v>
      </c>
      <c r="T39" s="2057">
        <f t="shared" si="5"/>
        <v>0.36363636363636365</v>
      </c>
      <c r="U39" s="2080">
        <v>23</v>
      </c>
      <c r="V39" s="2066">
        <v>65</v>
      </c>
      <c r="W39" s="2057">
        <f t="shared" si="21"/>
        <v>0.35384615384615387</v>
      </c>
      <c r="X39" s="2080">
        <v>21</v>
      </c>
      <c r="Y39" s="2066">
        <v>64</v>
      </c>
      <c r="Z39" s="2057">
        <f t="shared" si="7"/>
        <v>0.328125</v>
      </c>
      <c r="AA39" s="2080">
        <v>25</v>
      </c>
      <c r="AB39" s="2066">
        <v>64</v>
      </c>
      <c r="AC39" s="2057">
        <f t="shared" si="8"/>
        <v>0.390625</v>
      </c>
    </row>
    <row r="40" spans="1:29" s="1" customFormat="1">
      <c r="A40" s="237"/>
      <c r="B40" s="1609" t="s">
        <v>1176</v>
      </c>
      <c r="C40" s="2063">
        <v>38</v>
      </c>
      <c r="D40" s="2066">
        <v>63</v>
      </c>
      <c r="E40" s="2057">
        <f t="shared" si="0"/>
        <v>0.60317460317460314</v>
      </c>
      <c r="F40" s="2080">
        <v>37</v>
      </c>
      <c r="G40" s="2066">
        <v>63</v>
      </c>
      <c r="H40" s="2057">
        <f t="shared" si="1"/>
        <v>0.58730158730158732</v>
      </c>
      <c r="I40" s="2080">
        <v>37</v>
      </c>
      <c r="J40" s="2066">
        <v>62</v>
      </c>
      <c r="K40" s="2057">
        <f t="shared" si="2"/>
        <v>0.59677419354838712</v>
      </c>
      <c r="L40" s="2080">
        <v>43</v>
      </c>
      <c r="M40" s="2066">
        <v>62</v>
      </c>
      <c r="N40" s="2057">
        <f t="shared" si="3"/>
        <v>0.69354838709677424</v>
      </c>
      <c r="O40" s="2080">
        <v>45</v>
      </c>
      <c r="P40" s="2066">
        <v>63</v>
      </c>
      <c r="Q40" s="2057">
        <f t="shared" si="4"/>
        <v>0.7142857142857143</v>
      </c>
      <c r="R40" s="2080">
        <v>42</v>
      </c>
      <c r="S40" s="2066">
        <v>60</v>
      </c>
      <c r="T40" s="2057">
        <f t="shared" si="5"/>
        <v>0.7</v>
      </c>
      <c r="U40" s="2080">
        <v>46</v>
      </c>
      <c r="V40" s="2066">
        <v>60</v>
      </c>
      <c r="W40" s="2057">
        <f t="shared" si="21"/>
        <v>0.76666666666666672</v>
      </c>
      <c r="X40" s="2080">
        <v>46</v>
      </c>
      <c r="Y40" s="2066">
        <v>59</v>
      </c>
      <c r="Z40" s="2057">
        <f t="shared" si="7"/>
        <v>0.77966101694915257</v>
      </c>
      <c r="AA40" s="2080">
        <v>44</v>
      </c>
      <c r="AB40" s="2066">
        <v>60</v>
      </c>
      <c r="AC40" s="2057">
        <f t="shared" si="8"/>
        <v>0.73333333333333328</v>
      </c>
    </row>
    <row r="41" spans="1:29" s="1" customFormat="1" ht="15.75" thickBot="1">
      <c r="A41" s="237"/>
      <c r="B41" s="1616" t="s">
        <v>1177</v>
      </c>
      <c r="C41" s="2063">
        <v>47</v>
      </c>
      <c r="D41" s="2066">
        <v>55</v>
      </c>
      <c r="E41" s="2057">
        <f t="shared" si="0"/>
        <v>0.8545454545454545</v>
      </c>
      <c r="F41" s="2080">
        <v>46</v>
      </c>
      <c r="G41" s="2066">
        <v>56</v>
      </c>
      <c r="H41" s="2057">
        <f t="shared" si="1"/>
        <v>0.8214285714285714</v>
      </c>
      <c r="I41" s="2080">
        <v>46</v>
      </c>
      <c r="J41" s="2066">
        <v>56</v>
      </c>
      <c r="K41" s="2057">
        <f t="shared" si="2"/>
        <v>0.8214285714285714</v>
      </c>
      <c r="L41" s="2080">
        <v>56</v>
      </c>
      <c r="M41" s="2066">
        <v>56</v>
      </c>
      <c r="N41" s="2057">
        <f t="shared" si="3"/>
        <v>1</v>
      </c>
      <c r="O41" s="2080">
        <v>59</v>
      </c>
      <c r="P41" s="2066">
        <v>56</v>
      </c>
      <c r="Q41" s="2057">
        <f t="shared" si="4"/>
        <v>1.0535714285714286</v>
      </c>
      <c r="R41" s="2080">
        <v>60</v>
      </c>
      <c r="S41" s="2066">
        <v>55</v>
      </c>
      <c r="T41" s="2057">
        <f t="shared" si="5"/>
        <v>1.0909090909090908</v>
      </c>
      <c r="U41" s="2080">
        <v>67</v>
      </c>
      <c r="V41" s="2066">
        <v>54</v>
      </c>
      <c r="W41" s="2057">
        <f t="shared" si="21"/>
        <v>1.2407407407407407</v>
      </c>
      <c r="X41" s="2080">
        <v>64</v>
      </c>
      <c r="Y41" s="2066">
        <v>54</v>
      </c>
      <c r="Z41" s="2057">
        <f t="shared" si="7"/>
        <v>1.1851851851851851</v>
      </c>
      <c r="AA41" s="2080">
        <v>65</v>
      </c>
      <c r="AB41" s="2066">
        <v>54</v>
      </c>
      <c r="AC41" s="2057">
        <f t="shared" si="8"/>
        <v>1.2037037037037037</v>
      </c>
    </row>
    <row r="42" spans="1:29" s="1" customFormat="1" ht="15.75" thickBot="1">
      <c r="A42" s="237"/>
      <c r="B42" s="4177" t="s">
        <v>4</v>
      </c>
      <c r="C42" s="2059">
        <f>SUM(C37:C41)</f>
        <v>163</v>
      </c>
      <c r="D42" s="2060">
        <f>SUM(D37:D41)</f>
        <v>276</v>
      </c>
      <c r="E42" s="2061">
        <f t="shared" si="0"/>
        <v>0.59057971014492749</v>
      </c>
      <c r="F42" s="2079">
        <v>161</v>
      </c>
      <c r="G42" s="2060">
        <f t="shared" ref="G42" si="42">SUM(G37:G41)</f>
        <v>278</v>
      </c>
      <c r="H42" s="2061">
        <f t="shared" si="1"/>
        <v>0.57913669064748197</v>
      </c>
      <c r="I42" s="2079">
        <v>166</v>
      </c>
      <c r="J42" s="2060">
        <f t="shared" ref="J42" si="43">SUM(J37:J41)</f>
        <v>279</v>
      </c>
      <c r="K42" s="2061">
        <f t="shared" si="2"/>
        <v>0.59498207885304655</v>
      </c>
      <c r="L42" s="2079">
        <v>193</v>
      </c>
      <c r="M42" s="2060">
        <f t="shared" ref="M42" si="44">SUM(M37:M41)</f>
        <v>284</v>
      </c>
      <c r="N42" s="2061">
        <f t="shared" si="3"/>
        <v>0.67957746478873238</v>
      </c>
      <c r="O42" s="2079">
        <v>201</v>
      </c>
      <c r="P42" s="2060">
        <f t="shared" ref="P42" si="45">SUM(P37:P41)</f>
        <v>286</v>
      </c>
      <c r="Q42" s="2061">
        <f t="shared" si="4"/>
        <v>0.70279720279720281</v>
      </c>
      <c r="R42" s="2079">
        <f>SUM(R37:R41)</f>
        <v>208</v>
      </c>
      <c r="S42" s="2060">
        <v>283</v>
      </c>
      <c r="T42" s="2061">
        <f t="shared" si="5"/>
        <v>0.73498233215547704</v>
      </c>
      <c r="U42" s="2079">
        <f>SUM(U37:U41)</f>
        <v>225</v>
      </c>
      <c r="V42" s="2060">
        <f>SUM(V37:V41)</f>
        <v>281</v>
      </c>
      <c r="W42" s="2061">
        <f t="shared" si="21"/>
        <v>0.80071174377224197</v>
      </c>
      <c r="X42" s="2079">
        <v>215</v>
      </c>
      <c r="Y42" s="2060">
        <f>SUM(Y37:Y41)</f>
        <v>275</v>
      </c>
      <c r="Z42" s="2061">
        <f t="shared" si="7"/>
        <v>0.78181818181818186</v>
      </c>
      <c r="AA42" s="2079">
        <v>212</v>
      </c>
      <c r="AB42" s="2060">
        <f>SUM(AB37:AB41)</f>
        <v>275</v>
      </c>
      <c r="AC42" s="2061">
        <f t="shared" si="8"/>
        <v>0.77090909090909088</v>
      </c>
    </row>
    <row r="43" spans="1:29" s="1" customFormat="1">
      <c r="A43" s="237"/>
      <c r="B43" s="1631" t="s">
        <v>1178</v>
      </c>
      <c r="C43" s="2055">
        <v>16</v>
      </c>
      <c r="D43" s="2066">
        <v>40</v>
      </c>
      <c r="E43" s="2057">
        <f t="shared" si="0"/>
        <v>0.4</v>
      </c>
      <c r="F43" s="2078">
        <v>19</v>
      </c>
      <c r="G43" s="2066">
        <v>43</v>
      </c>
      <c r="H43" s="2057">
        <f t="shared" si="1"/>
        <v>0.44186046511627908</v>
      </c>
      <c r="I43" s="2078">
        <v>19</v>
      </c>
      <c r="J43" s="2066">
        <v>43</v>
      </c>
      <c r="K43" s="2057">
        <f t="shared" si="2"/>
        <v>0.44186046511627908</v>
      </c>
      <c r="L43" s="2078">
        <v>17</v>
      </c>
      <c r="M43" s="2066">
        <v>46</v>
      </c>
      <c r="N43" s="2057">
        <f t="shared" si="3"/>
        <v>0.36956521739130432</v>
      </c>
      <c r="O43" s="2078">
        <v>15</v>
      </c>
      <c r="P43" s="2066">
        <v>47</v>
      </c>
      <c r="Q43" s="2057">
        <f t="shared" si="4"/>
        <v>0.31914893617021278</v>
      </c>
      <c r="R43" s="2078">
        <v>13</v>
      </c>
      <c r="S43" s="2066">
        <v>47</v>
      </c>
      <c r="T43" s="2057">
        <f t="shared" si="5"/>
        <v>0.27659574468085107</v>
      </c>
      <c r="U43" s="2078">
        <v>14</v>
      </c>
      <c r="V43" s="2066">
        <v>48</v>
      </c>
      <c r="W43" s="2057">
        <f t="shared" si="21"/>
        <v>0.29166666666666669</v>
      </c>
      <c r="X43" s="2078">
        <v>15</v>
      </c>
      <c r="Y43" s="2066">
        <v>47</v>
      </c>
      <c r="Z43" s="2057">
        <f t="shared" si="7"/>
        <v>0.31914893617021278</v>
      </c>
      <c r="AA43" s="2078">
        <v>18</v>
      </c>
      <c r="AB43" s="2066">
        <v>47</v>
      </c>
      <c r="AC43" s="2057">
        <f t="shared" si="8"/>
        <v>0.38297872340425532</v>
      </c>
    </row>
    <row r="44" spans="1:29" s="1" customFormat="1">
      <c r="A44" s="237"/>
      <c r="B44" s="1609" t="s">
        <v>1210</v>
      </c>
      <c r="C44" s="2063">
        <v>17</v>
      </c>
      <c r="D44" s="2066">
        <v>33</v>
      </c>
      <c r="E44" s="2057">
        <f t="shared" si="0"/>
        <v>0.51515151515151514</v>
      </c>
      <c r="F44" s="2080">
        <v>17</v>
      </c>
      <c r="G44" s="2066">
        <v>36</v>
      </c>
      <c r="H44" s="2057">
        <f t="shared" si="1"/>
        <v>0.47222222222222221</v>
      </c>
      <c r="I44" s="2080">
        <v>19</v>
      </c>
      <c r="J44" s="2066">
        <v>35</v>
      </c>
      <c r="K44" s="2057">
        <f t="shared" si="2"/>
        <v>0.54285714285714282</v>
      </c>
      <c r="L44" s="2080">
        <v>20</v>
      </c>
      <c r="M44" s="2066">
        <v>35</v>
      </c>
      <c r="N44" s="2057">
        <f t="shared" si="3"/>
        <v>0.5714285714285714</v>
      </c>
      <c r="O44" s="2080">
        <v>19</v>
      </c>
      <c r="P44" s="2066">
        <v>34</v>
      </c>
      <c r="Q44" s="2057">
        <f t="shared" si="4"/>
        <v>0.55882352941176472</v>
      </c>
      <c r="R44" s="2080">
        <v>19</v>
      </c>
      <c r="S44" s="2066">
        <v>36</v>
      </c>
      <c r="T44" s="2057">
        <f t="shared" si="5"/>
        <v>0.52777777777777779</v>
      </c>
      <c r="U44" s="2080">
        <v>20</v>
      </c>
      <c r="V44" s="2066">
        <v>37</v>
      </c>
      <c r="W44" s="2057">
        <f t="shared" si="21"/>
        <v>0.54054054054054057</v>
      </c>
      <c r="X44" s="2080">
        <v>20</v>
      </c>
      <c r="Y44" s="2066">
        <v>37</v>
      </c>
      <c r="Z44" s="2057">
        <f t="shared" si="7"/>
        <v>0.54054054054054057</v>
      </c>
      <c r="AA44" s="2080">
        <v>17</v>
      </c>
      <c r="AB44" s="2066">
        <v>39</v>
      </c>
      <c r="AC44" s="2057">
        <f t="shared" si="8"/>
        <v>0.4358974358974359</v>
      </c>
    </row>
    <row r="45" spans="1:29" s="1" customFormat="1">
      <c r="A45" s="237"/>
      <c r="B45" s="1609" t="s">
        <v>1180</v>
      </c>
      <c r="C45" s="2063">
        <v>39</v>
      </c>
      <c r="D45" s="2066">
        <v>50</v>
      </c>
      <c r="E45" s="2057">
        <f t="shared" si="0"/>
        <v>0.78</v>
      </c>
      <c r="F45" s="2080">
        <v>34</v>
      </c>
      <c r="G45" s="2066">
        <v>49</v>
      </c>
      <c r="H45" s="2057">
        <f t="shared" si="1"/>
        <v>0.69387755102040816</v>
      </c>
      <c r="I45" s="2080">
        <v>34</v>
      </c>
      <c r="J45" s="2066">
        <v>48</v>
      </c>
      <c r="K45" s="2057">
        <f t="shared" si="2"/>
        <v>0.70833333333333337</v>
      </c>
      <c r="L45" s="2080">
        <v>41</v>
      </c>
      <c r="M45" s="2066">
        <v>49</v>
      </c>
      <c r="N45" s="2057">
        <f t="shared" si="3"/>
        <v>0.83673469387755106</v>
      </c>
      <c r="O45" s="2080">
        <v>40</v>
      </c>
      <c r="P45" s="2066">
        <v>51</v>
      </c>
      <c r="Q45" s="2057">
        <f t="shared" si="4"/>
        <v>0.78431372549019607</v>
      </c>
      <c r="R45" s="2080">
        <v>42</v>
      </c>
      <c r="S45" s="2066">
        <v>53</v>
      </c>
      <c r="T45" s="2057">
        <f t="shared" si="5"/>
        <v>0.79245283018867929</v>
      </c>
      <c r="U45" s="2080">
        <v>45</v>
      </c>
      <c r="V45" s="2066">
        <v>53</v>
      </c>
      <c r="W45" s="2057">
        <f t="shared" si="21"/>
        <v>0.84905660377358494</v>
      </c>
      <c r="X45" s="2080">
        <v>47</v>
      </c>
      <c r="Y45" s="2066">
        <v>51</v>
      </c>
      <c r="Z45" s="2057">
        <f t="shared" si="7"/>
        <v>0.92156862745098034</v>
      </c>
      <c r="AA45" s="2080">
        <v>38</v>
      </c>
      <c r="AB45" s="2066">
        <v>49</v>
      </c>
      <c r="AC45" s="2057">
        <f t="shared" si="8"/>
        <v>0.77551020408163263</v>
      </c>
    </row>
    <row r="46" spans="1:29" s="1" customFormat="1">
      <c r="A46" s="237"/>
      <c r="B46" s="1609" t="s">
        <v>1181</v>
      </c>
      <c r="C46" s="2055">
        <v>29</v>
      </c>
      <c r="D46" s="2066">
        <v>46</v>
      </c>
      <c r="E46" s="2057">
        <f t="shared" si="0"/>
        <v>0.63043478260869568</v>
      </c>
      <c r="F46" s="2078">
        <v>28</v>
      </c>
      <c r="G46" s="2066">
        <v>48</v>
      </c>
      <c r="H46" s="2057">
        <f t="shared" si="1"/>
        <v>0.58333333333333337</v>
      </c>
      <c r="I46" s="2078">
        <v>24</v>
      </c>
      <c r="J46" s="2066">
        <v>48</v>
      </c>
      <c r="K46" s="2057">
        <f t="shared" si="2"/>
        <v>0.5</v>
      </c>
      <c r="L46" s="2078">
        <v>28</v>
      </c>
      <c r="M46" s="2066">
        <v>50</v>
      </c>
      <c r="N46" s="2057">
        <f t="shared" si="3"/>
        <v>0.56000000000000005</v>
      </c>
      <c r="O46" s="2078">
        <v>33</v>
      </c>
      <c r="P46" s="2066">
        <v>55</v>
      </c>
      <c r="Q46" s="2057">
        <f t="shared" si="4"/>
        <v>0.6</v>
      </c>
      <c r="R46" s="2078">
        <v>37</v>
      </c>
      <c r="S46" s="2066">
        <v>54</v>
      </c>
      <c r="T46" s="2057">
        <f t="shared" si="5"/>
        <v>0.68518518518518523</v>
      </c>
      <c r="U46" s="2078">
        <v>38</v>
      </c>
      <c r="V46" s="2066">
        <v>55</v>
      </c>
      <c r="W46" s="2057">
        <f t="shared" si="21"/>
        <v>0.69090909090909092</v>
      </c>
      <c r="X46" s="2078">
        <v>38</v>
      </c>
      <c r="Y46" s="2066">
        <v>55</v>
      </c>
      <c r="Z46" s="2057">
        <f t="shared" si="7"/>
        <v>0.69090909090909092</v>
      </c>
      <c r="AA46" s="2078">
        <v>34</v>
      </c>
      <c r="AB46" s="2066">
        <v>55</v>
      </c>
      <c r="AC46" s="2057">
        <f t="shared" si="8"/>
        <v>0.61818181818181817</v>
      </c>
    </row>
    <row r="47" spans="1:29" s="1" customFormat="1" ht="15.75" thickBot="1">
      <c r="A47" s="237"/>
      <c r="B47" s="1609" t="s">
        <v>1182</v>
      </c>
      <c r="C47" s="2055">
        <v>13</v>
      </c>
      <c r="D47" s="2066">
        <v>37</v>
      </c>
      <c r="E47" s="2057">
        <f t="shared" si="0"/>
        <v>0.35135135135135137</v>
      </c>
      <c r="F47" s="2078">
        <v>12</v>
      </c>
      <c r="G47" s="2066">
        <v>38</v>
      </c>
      <c r="H47" s="2057">
        <f t="shared" si="1"/>
        <v>0.31578947368421051</v>
      </c>
      <c r="I47" s="2078">
        <v>14</v>
      </c>
      <c r="J47" s="2066">
        <v>40</v>
      </c>
      <c r="K47" s="2057">
        <f t="shared" si="2"/>
        <v>0.35</v>
      </c>
      <c r="L47" s="2078">
        <v>14</v>
      </c>
      <c r="M47" s="2066">
        <v>41</v>
      </c>
      <c r="N47" s="2057">
        <f t="shared" si="3"/>
        <v>0.34146341463414637</v>
      </c>
      <c r="O47" s="2078">
        <v>14</v>
      </c>
      <c r="P47" s="2066">
        <v>41</v>
      </c>
      <c r="Q47" s="2057">
        <f t="shared" si="4"/>
        <v>0.34146341463414637</v>
      </c>
      <c r="R47" s="2078">
        <v>13</v>
      </c>
      <c r="S47" s="2066">
        <v>39</v>
      </c>
      <c r="T47" s="2057">
        <f t="shared" si="5"/>
        <v>0.33333333333333331</v>
      </c>
      <c r="U47" s="2078">
        <v>10</v>
      </c>
      <c r="V47" s="2066">
        <v>38</v>
      </c>
      <c r="W47" s="2057">
        <f t="shared" si="21"/>
        <v>0.26315789473684209</v>
      </c>
      <c r="X47" s="2078">
        <v>9</v>
      </c>
      <c r="Y47" s="2066">
        <v>38</v>
      </c>
      <c r="Z47" s="2057">
        <f t="shared" si="7"/>
        <v>0.23684210526315788</v>
      </c>
      <c r="AA47" s="2078">
        <v>11</v>
      </c>
      <c r="AB47" s="2066">
        <v>37</v>
      </c>
      <c r="AC47" s="2057">
        <f t="shared" si="8"/>
        <v>0.29729729729729731</v>
      </c>
    </row>
    <row r="48" spans="1:29" s="1" customFormat="1" ht="15.75" thickBot="1">
      <c r="A48" s="237"/>
      <c r="B48" s="4720" t="s">
        <v>41</v>
      </c>
      <c r="C48" s="2068">
        <f>SUM(C43:C47)</f>
        <v>114</v>
      </c>
      <c r="D48" s="2060">
        <f>SUM(D43:D47)</f>
        <v>206</v>
      </c>
      <c r="E48" s="2061">
        <f t="shared" si="0"/>
        <v>0.55339805825242716</v>
      </c>
      <c r="F48" s="2082">
        <v>110</v>
      </c>
      <c r="G48" s="2060">
        <f t="shared" ref="G48" si="46">SUM(G43:G47)</f>
        <v>214</v>
      </c>
      <c r="H48" s="2061">
        <f t="shared" si="1"/>
        <v>0.51401869158878499</v>
      </c>
      <c r="I48" s="2082">
        <v>110</v>
      </c>
      <c r="J48" s="2060">
        <f t="shared" ref="J48" si="47">SUM(J43:J47)</f>
        <v>214</v>
      </c>
      <c r="K48" s="2061">
        <f t="shared" si="2"/>
        <v>0.51401869158878499</v>
      </c>
      <c r="L48" s="2082">
        <v>120</v>
      </c>
      <c r="M48" s="2060">
        <f t="shared" ref="M48" si="48">SUM(M43:M47)</f>
        <v>221</v>
      </c>
      <c r="N48" s="2061">
        <f t="shared" si="3"/>
        <v>0.54298642533936647</v>
      </c>
      <c r="O48" s="2082">
        <v>121</v>
      </c>
      <c r="P48" s="2060">
        <f t="shared" ref="P48" si="49">SUM(P43:P47)</f>
        <v>228</v>
      </c>
      <c r="Q48" s="2061">
        <f t="shared" si="4"/>
        <v>0.5307017543859649</v>
      </c>
      <c r="R48" s="2082">
        <f>SUM(R43:R47)</f>
        <v>124</v>
      </c>
      <c r="S48" s="2060">
        <v>229</v>
      </c>
      <c r="T48" s="2061">
        <f t="shared" si="5"/>
        <v>0.54148471615720528</v>
      </c>
      <c r="U48" s="2082">
        <f>SUM(U43:U47)</f>
        <v>127</v>
      </c>
      <c r="V48" s="2060">
        <f>SUM(V43:V47)</f>
        <v>231</v>
      </c>
      <c r="W48" s="2061">
        <f t="shared" si="21"/>
        <v>0.54978354978354982</v>
      </c>
      <c r="X48" s="2082">
        <v>129</v>
      </c>
      <c r="Y48" s="2060">
        <f>SUM(Y43:Y47)</f>
        <v>228</v>
      </c>
      <c r="Z48" s="2061">
        <f t="shared" si="7"/>
        <v>0.56578947368421051</v>
      </c>
      <c r="AA48" s="2082">
        <v>118</v>
      </c>
      <c r="AB48" s="2060">
        <f>SUM(AB43:AB47)</f>
        <v>227</v>
      </c>
      <c r="AC48" s="2061">
        <f t="shared" si="8"/>
        <v>0.51982378854625555</v>
      </c>
    </row>
    <row r="49" spans="1:29" s="1" customFormat="1">
      <c r="A49" s="237"/>
      <c r="B49" s="1631" t="s">
        <v>1183</v>
      </c>
      <c r="C49" s="2063">
        <v>21</v>
      </c>
      <c r="D49" s="2066">
        <v>25</v>
      </c>
      <c r="E49" s="2057">
        <f t="shared" si="0"/>
        <v>0.84</v>
      </c>
      <c r="F49" s="2080">
        <v>20</v>
      </c>
      <c r="G49" s="2066">
        <v>25</v>
      </c>
      <c r="H49" s="2057">
        <f t="shared" si="1"/>
        <v>0.8</v>
      </c>
      <c r="I49" s="2080">
        <v>20</v>
      </c>
      <c r="J49" s="2066">
        <v>26</v>
      </c>
      <c r="K49" s="2057">
        <f t="shared" si="2"/>
        <v>0.76923076923076927</v>
      </c>
      <c r="L49" s="2080">
        <v>20</v>
      </c>
      <c r="M49" s="2066">
        <v>24</v>
      </c>
      <c r="N49" s="2057">
        <f t="shared" si="3"/>
        <v>0.83333333333333337</v>
      </c>
      <c r="O49" s="2080">
        <v>18</v>
      </c>
      <c r="P49" s="2066">
        <v>24</v>
      </c>
      <c r="Q49" s="2057">
        <f t="shared" si="4"/>
        <v>0.75</v>
      </c>
      <c r="R49" s="2080">
        <v>22</v>
      </c>
      <c r="S49" s="2066">
        <v>24</v>
      </c>
      <c r="T49" s="2057">
        <f t="shared" si="5"/>
        <v>0.91666666666666663</v>
      </c>
      <c r="U49" s="2080">
        <v>24</v>
      </c>
      <c r="V49" s="2066">
        <v>24</v>
      </c>
      <c r="W49" s="2057">
        <f t="shared" si="21"/>
        <v>1</v>
      </c>
      <c r="X49" s="2080">
        <v>24</v>
      </c>
      <c r="Y49" s="2066">
        <v>23</v>
      </c>
      <c r="Z49" s="2057">
        <f t="shared" si="7"/>
        <v>1.0434782608695652</v>
      </c>
      <c r="AA49" s="2080">
        <v>23</v>
      </c>
      <c r="AB49" s="2066">
        <v>23</v>
      </c>
      <c r="AC49" s="2057">
        <f t="shared" si="8"/>
        <v>1</v>
      </c>
    </row>
    <row r="50" spans="1:29" s="1" customFormat="1">
      <c r="A50" s="237"/>
      <c r="B50" s="1609" t="s">
        <v>1157</v>
      </c>
      <c r="C50" s="2063">
        <v>31</v>
      </c>
      <c r="D50" s="2066">
        <v>82</v>
      </c>
      <c r="E50" s="2057">
        <f t="shared" si="0"/>
        <v>0.37804878048780488</v>
      </c>
      <c r="F50" s="2080">
        <v>30</v>
      </c>
      <c r="G50" s="2066">
        <v>80</v>
      </c>
      <c r="H50" s="2057">
        <f t="shared" si="1"/>
        <v>0.375</v>
      </c>
      <c r="I50" s="2080">
        <v>30</v>
      </c>
      <c r="J50" s="2066">
        <v>78</v>
      </c>
      <c r="K50" s="2057">
        <f t="shared" si="2"/>
        <v>0.38461538461538464</v>
      </c>
      <c r="L50" s="2080">
        <v>31</v>
      </c>
      <c r="M50" s="2066">
        <v>79</v>
      </c>
      <c r="N50" s="2057">
        <f t="shared" si="3"/>
        <v>0.39240506329113922</v>
      </c>
      <c r="O50" s="2080">
        <v>31</v>
      </c>
      <c r="P50" s="2066">
        <v>79</v>
      </c>
      <c r="Q50" s="2057">
        <f t="shared" si="4"/>
        <v>0.39240506329113922</v>
      </c>
      <c r="R50" s="2080">
        <v>30</v>
      </c>
      <c r="S50" s="2066">
        <v>78</v>
      </c>
      <c r="T50" s="2057">
        <f t="shared" si="5"/>
        <v>0.38461538461538464</v>
      </c>
      <c r="U50" s="2080">
        <v>29</v>
      </c>
      <c r="V50" s="2066">
        <v>78</v>
      </c>
      <c r="W50" s="2057">
        <f t="shared" si="21"/>
        <v>0.37179487179487181</v>
      </c>
      <c r="X50" s="2080">
        <v>29</v>
      </c>
      <c r="Y50" s="2066">
        <v>83</v>
      </c>
      <c r="Z50" s="2057">
        <f t="shared" si="7"/>
        <v>0.3493975903614458</v>
      </c>
      <c r="AA50" s="2080">
        <v>30</v>
      </c>
      <c r="AB50" s="2066">
        <v>87</v>
      </c>
      <c r="AC50" s="2057">
        <f t="shared" si="8"/>
        <v>0.34482758620689657</v>
      </c>
    </row>
    <row r="51" spans="1:29" s="1" customFormat="1">
      <c r="A51" s="237"/>
      <c r="B51" s="1609" t="s">
        <v>1184</v>
      </c>
      <c r="C51" s="2063">
        <v>50</v>
      </c>
      <c r="D51" s="2066">
        <v>108</v>
      </c>
      <c r="E51" s="2057">
        <f t="shared" si="0"/>
        <v>0.46296296296296297</v>
      </c>
      <c r="F51" s="2080">
        <v>51</v>
      </c>
      <c r="G51" s="2066">
        <v>105</v>
      </c>
      <c r="H51" s="2057">
        <f t="shared" si="1"/>
        <v>0.48571428571428571</v>
      </c>
      <c r="I51" s="2080">
        <v>48</v>
      </c>
      <c r="J51" s="2066">
        <v>105</v>
      </c>
      <c r="K51" s="2057">
        <f t="shared" si="2"/>
        <v>0.45714285714285713</v>
      </c>
      <c r="L51" s="2080">
        <v>49</v>
      </c>
      <c r="M51" s="2066">
        <v>104</v>
      </c>
      <c r="N51" s="2057">
        <f t="shared" si="3"/>
        <v>0.47115384615384615</v>
      </c>
      <c r="O51" s="2080">
        <v>51</v>
      </c>
      <c r="P51" s="2066">
        <v>106</v>
      </c>
      <c r="Q51" s="2057">
        <f t="shared" si="4"/>
        <v>0.48113207547169812</v>
      </c>
      <c r="R51" s="2080">
        <v>55</v>
      </c>
      <c r="S51" s="2066">
        <v>107</v>
      </c>
      <c r="T51" s="2057">
        <f t="shared" si="5"/>
        <v>0.51401869158878499</v>
      </c>
      <c r="U51" s="2080">
        <v>53</v>
      </c>
      <c r="V51" s="2066">
        <v>105</v>
      </c>
      <c r="W51" s="2057">
        <f t="shared" si="21"/>
        <v>0.50476190476190474</v>
      </c>
      <c r="X51" s="2080">
        <v>53</v>
      </c>
      <c r="Y51" s="2066">
        <v>107</v>
      </c>
      <c r="Z51" s="2057">
        <f t="shared" si="7"/>
        <v>0.49532710280373832</v>
      </c>
      <c r="AA51" s="2080">
        <v>51</v>
      </c>
      <c r="AB51" s="2066">
        <v>106</v>
      </c>
      <c r="AC51" s="2057">
        <f t="shared" si="8"/>
        <v>0.48113207547169812</v>
      </c>
    </row>
    <row r="52" spans="1:29" s="1" customFormat="1" ht="15.75" thickBot="1">
      <c r="A52" s="237"/>
      <c r="B52" s="1616" t="s">
        <v>1158</v>
      </c>
      <c r="C52" s="2063">
        <v>35</v>
      </c>
      <c r="D52" s="2066">
        <v>92</v>
      </c>
      <c r="E52" s="2057">
        <f t="shared" si="0"/>
        <v>0.38043478260869568</v>
      </c>
      <c r="F52" s="2080">
        <v>33</v>
      </c>
      <c r="G52" s="2066">
        <v>92</v>
      </c>
      <c r="H52" s="2057">
        <f t="shared" si="1"/>
        <v>0.35869565217391303</v>
      </c>
      <c r="I52" s="2080">
        <v>33</v>
      </c>
      <c r="J52" s="2066">
        <v>89</v>
      </c>
      <c r="K52" s="2057">
        <f t="shared" si="2"/>
        <v>0.3707865168539326</v>
      </c>
      <c r="L52" s="2080">
        <v>37</v>
      </c>
      <c r="M52" s="2066">
        <v>92</v>
      </c>
      <c r="N52" s="2057">
        <f t="shared" si="3"/>
        <v>0.40217391304347827</v>
      </c>
      <c r="O52" s="2080">
        <v>39</v>
      </c>
      <c r="P52" s="2066">
        <v>94</v>
      </c>
      <c r="Q52" s="2057">
        <f t="shared" si="4"/>
        <v>0.41489361702127658</v>
      </c>
      <c r="R52" s="2080">
        <v>38</v>
      </c>
      <c r="S52" s="2066">
        <v>92</v>
      </c>
      <c r="T52" s="2057">
        <f t="shared" si="5"/>
        <v>0.41304347826086957</v>
      </c>
      <c r="U52" s="2080">
        <v>43</v>
      </c>
      <c r="V52" s="2066">
        <v>91</v>
      </c>
      <c r="W52" s="2057">
        <f t="shared" si="21"/>
        <v>0.47252747252747251</v>
      </c>
      <c r="X52" s="2080">
        <v>42</v>
      </c>
      <c r="Y52" s="2066">
        <v>90</v>
      </c>
      <c r="Z52" s="2057">
        <f t="shared" si="7"/>
        <v>0.46666666666666667</v>
      </c>
      <c r="AA52" s="2080">
        <v>41</v>
      </c>
      <c r="AB52" s="2066">
        <v>93</v>
      </c>
      <c r="AC52" s="2057">
        <f t="shared" si="8"/>
        <v>0.44086021505376344</v>
      </c>
    </row>
    <row r="53" spans="1:29" s="1" customFormat="1">
      <c r="A53" s="237"/>
      <c r="B53" s="4178" t="s">
        <v>16</v>
      </c>
      <c r="C53" s="2070">
        <f>SUM(C49:C52)</f>
        <v>137</v>
      </c>
      <c r="D53" s="4271">
        <f>SUM(D49:D52)</f>
        <v>307</v>
      </c>
      <c r="E53" s="2061">
        <f t="shared" si="0"/>
        <v>0.44625407166123776</v>
      </c>
      <c r="F53" s="2084">
        <v>134</v>
      </c>
      <c r="G53" s="4271">
        <f t="shared" ref="G53" si="50">SUM(G49:G52)</f>
        <v>302</v>
      </c>
      <c r="H53" s="2061">
        <f t="shared" si="1"/>
        <v>0.44370860927152317</v>
      </c>
      <c r="I53" s="2084">
        <v>131</v>
      </c>
      <c r="J53" s="4271">
        <f t="shared" ref="J53" si="51">SUM(J49:J52)</f>
        <v>298</v>
      </c>
      <c r="K53" s="2061">
        <f t="shared" si="2"/>
        <v>0.43959731543624159</v>
      </c>
      <c r="L53" s="2084">
        <v>137</v>
      </c>
      <c r="M53" s="4271">
        <f t="shared" ref="M53" si="52">SUM(M49:M52)</f>
        <v>299</v>
      </c>
      <c r="N53" s="2061">
        <f t="shared" si="3"/>
        <v>0.45819397993311034</v>
      </c>
      <c r="O53" s="2084">
        <v>139</v>
      </c>
      <c r="P53" s="4271">
        <f t="shared" ref="P53" si="53">SUM(P49:P52)</f>
        <v>303</v>
      </c>
      <c r="Q53" s="2061">
        <f t="shared" si="4"/>
        <v>0.45874587458745875</v>
      </c>
      <c r="R53" s="2084">
        <f>SUM(R49:R52)</f>
        <v>145</v>
      </c>
      <c r="S53" s="4271">
        <v>301</v>
      </c>
      <c r="T53" s="2061">
        <f t="shared" si="5"/>
        <v>0.48172757475083056</v>
      </c>
      <c r="U53" s="2084">
        <f>SUM(U49:U52)</f>
        <v>149</v>
      </c>
      <c r="V53" s="4271">
        <f>SUM(V49:V52)</f>
        <v>298</v>
      </c>
      <c r="W53" s="2061">
        <f t="shared" si="21"/>
        <v>0.5</v>
      </c>
      <c r="X53" s="2084">
        <v>148</v>
      </c>
      <c r="Y53" s="4271">
        <f>SUM(Y49:Y52)</f>
        <v>303</v>
      </c>
      <c r="Z53" s="2061">
        <f t="shared" si="7"/>
        <v>0.48844884488448848</v>
      </c>
      <c r="AA53" s="2084">
        <v>145</v>
      </c>
      <c r="AB53" s="4271">
        <f>SUM(AB49:AB52)</f>
        <v>309</v>
      </c>
      <c r="AC53" s="2061">
        <f t="shared" si="8"/>
        <v>0.46925566343042069</v>
      </c>
    </row>
    <row r="54" spans="1:29" s="1" customFormat="1" ht="15" customHeight="1">
      <c r="A54" s="237"/>
      <c r="B54" s="4347" t="s">
        <v>1077</v>
      </c>
      <c r="C54" s="4364">
        <f>SUM(C53,C48,C42)</f>
        <v>414</v>
      </c>
      <c r="D54" s="4279">
        <f>SUM(D53,D48,D42)</f>
        <v>789</v>
      </c>
      <c r="E54" s="4365">
        <f t="shared" si="0"/>
        <v>0.52471482889733845</v>
      </c>
      <c r="F54" s="4366">
        <v>405</v>
      </c>
      <c r="G54" s="4279">
        <f t="shared" ref="G54" si="54">SUM(G53,G48,G42)</f>
        <v>794</v>
      </c>
      <c r="H54" s="4365">
        <f t="shared" si="1"/>
        <v>0.51007556675062971</v>
      </c>
      <c r="I54" s="4366">
        <v>407</v>
      </c>
      <c r="J54" s="4279">
        <f t="shared" ref="J54" si="55">SUM(J53,J48,J42)</f>
        <v>791</v>
      </c>
      <c r="K54" s="4365">
        <f t="shared" si="2"/>
        <v>0.51453855878634636</v>
      </c>
      <c r="L54" s="4366">
        <v>450</v>
      </c>
      <c r="M54" s="4279">
        <f t="shared" ref="M54" si="56">SUM(M53,M48,M42)</f>
        <v>804</v>
      </c>
      <c r="N54" s="4365">
        <f t="shared" si="3"/>
        <v>0.55970149253731338</v>
      </c>
      <c r="O54" s="4366">
        <v>461</v>
      </c>
      <c r="P54" s="4279">
        <f t="shared" ref="P54" si="57">SUM(P53,P48,P42)</f>
        <v>817</v>
      </c>
      <c r="Q54" s="4365">
        <f t="shared" si="4"/>
        <v>0.56425948592411257</v>
      </c>
      <c r="R54" s="4366">
        <f>SUM(R42,R48,R53)</f>
        <v>477</v>
      </c>
      <c r="S54" s="4279">
        <v>813</v>
      </c>
      <c r="T54" s="4365">
        <f t="shared" si="5"/>
        <v>0.58671586715867163</v>
      </c>
      <c r="U54" s="4366">
        <f>SUM(U42,U48,U53)</f>
        <v>501</v>
      </c>
      <c r="V54" s="4279">
        <f>SUM(V42,V48,V53)</f>
        <v>810</v>
      </c>
      <c r="W54" s="4365">
        <f t="shared" ref="W54:W84" si="58">U54/V54</f>
        <v>0.61851851851851847</v>
      </c>
      <c r="X54" s="4366">
        <v>492</v>
      </c>
      <c r="Y54" s="4279">
        <f>SUM(Y42,Y48,Y53)</f>
        <v>806</v>
      </c>
      <c r="Z54" s="4365">
        <f t="shared" si="7"/>
        <v>0.61042183622828783</v>
      </c>
      <c r="AA54" s="4366">
        <v>475</v>
      </c>
      <c r="AB54" s="4279">
        <f>SUM(AB42,AB48,AB53)</f>
        <v>811</v>
      </c>
      <c r="AC54" s="4365">
        <f t="shared" si="8"/>
        <v>0.58569667077681875</v>
      </c>
    </row>
    <row r="55" spans="1:29" s="1" customFormat="1">
      <c r="A55" s="237"/>
      <c r="B55" s="1635" t="s">
        <v>1186</v>
      </c>
      <c r="C55" s="2071"/>
      <c r="D55" s="2072">
        <v>1</v>
      </c>
      <c r="E55" s="2067">
        <f t="shared" si="0"/>
        <v>0</v>
      </c>
      <c r="F55" s="2085"/>
      <c r="G55" s="2072">
        <v>1</v>
      </c>
      <c r="H55" s="2067">
        <f t="shared" si="1"/>
        <v>0</v>
      </c>
      <c r="I55" s="2085">
        <v>0</v>
      </c>
      <c r="J55" s="2072">
        <v>2</v>
      </c>
      <c r="K55" s="2067">
        <f t="shared" si="2"/>
        <v>0</v>
      </c>
      <c r="L55" s="2085">
        <v>1</v>
      </c>
      <c r="M55" s="2072">
        <v>2</v>
      </c>
      <c r="N55" s="2067">
        <f t="shared" si="3"/>
        <v>0.5</v>
      </c>
      <c r="O55" s="2085">
        <v>1</v>
      </c>
      <c r="P55" s="2072">
        <v>2</v>
      </c>
      <c r="Q55" s="2067">
        <f t="shared" si="4"/>
        <v>0.5</v>
      </c>
      <c r="R55" s="2085">
        <v>1</v>
      </c>
      <c r="S55" s="2072">
        <v>5</v>
      </c>
      <c r="T55" s="2067">
        <f t="shared" si="5"/>
        <v>0.2</v>
      </c>
      <c r="U55" s="2085">
        <v>0</v>
      </c>
      <c r="V55" s="2072">
        <v>5</v>
      </c>
      <c r="W55" s="2067">
        <f t="shared" si="58"/>
        <v>0</v>
      </c>
      <c r="X55" s="2085">
        <v>1</v>
      </c>
      <c r="Y55" s="2072">
        <v>6</v>
      </c>
      <c r="Z55" s="2067">
        <f t="shared" si="7"/>
        <v>0.16666666666666666</v>
      </c>
      <c r="AA55" s="2085">
        <v>2</v>
      </c>
      <c r="AB55" s="2072">
        <v>6</v>
      </c>
      <c r="AC55" s="2067">
        <f t="shared" si="8"/>
        <v>0.33333333333333331</v>
      </c>
    </row>
    <row r="56" spans="1:29" s="1" customFormat="1">
      <c r="A56" s="237"/>
      <c r="B56" s="1636" t="s">
        <v>1187</v>
      </c>
      <c r="C56" s="2063">
        <v>2</v>
      </c>
      <c r="D56" s="2072">
        <v>1</v>
      </c>
      <c r="E56" s="2057">
        <f t="shared" si="0"/>
        <v>2</v>
      </c>
      <c r="F56" s="2080">
        <v>4</v>
      </c>
      <c r="G56" s="2072">
        <v>2</v>
      </c>
      <c r="H56" s="2057">
        <f t="shared" si="1"/>
        <v>2</v>
      </c>
      <c r="I56" s="2080">
        <v>3</v>
      </c>
      <c r="J56" s="2072">
        <v>3</v>
      </c>
      <c r="K56" s="2057">
        <f t="shared" si="2"/>
        <v>1</v>
      </c>
      <c r="L56" s="2080">
        <v>7</v>
      </c>
      <c r="M56" s="2072">
        <v>4</v>
      </c>
      <c r="N56" s="2057">
        <f t="shared" si="3"/>
        <v>1.75</v>
      </c>
      <c r="O56" s="2080">
        <v>4</v>
      </c>
      <c r="P56" s="2072">
        <v>6</v>
      </c>
      <c r="Q56" s="2057">
        <f t="shared" si="4"/>
        <v>0.66666666666666663</v>
      </c>
      <c r="R56" s="2080">
        <v>7</v>
      </c>
      <c r="S56" s="2072">
        <v>8</v>
      </c>
      <c r="T56" s="2057">
        <f t="shared" si="5"/>
        <v>0.875</v>
      </c>
      <c r="U56" s="2080">
        <v>9</v>
      </c>
      <c r="V56" s="2072">
        <v>8</v>
      </c>
      <c r="W56" s="2057">
        <f t="shared" si="58"/>
        <v>1.125</v>
      </c>
      <c r="X56" s="2080">
        <v>10</v>
      </c>
      <c r="Y56" s="2072">
        <v>9</v>
      </c>
      <c r="Z56" s="2057">
        <f t="shared" si="7"/>
        <v>1.1111111111111112</v>
      </c>
      <c r="AA56" s="2080">
        <v>8</v>
      </c>
      <c r="AB56" s="2072">
        <v>11</v>
      </c>
      <c r="AC56" s="2057">
        <f t="shared" si="8"/>
        <v>0.72727272727272729</v>
      </c>
    </row>
    <row r="57" spans="1:29" s="1" customFormat="1" ht="15.75" thickBot="1">
      <c r="A57" s="237"/>
      <c r="B57" s="1637" t="s">
        <v>1188</v>
      </c>
      <c r="C57" s="2063"/>
      <c r="D57" s="2072">
        <v>1</v>
      </c>
      <c r="E57" s="2057">
        <f t="shared" si="0"/>
        <v>0</v>
      </c>
      <c r="F57" s="2080"/>
      <c r="G57" s="2072">
        <v>1</v>
      </c>
      <c r="H57" s="2057">
        <f t="shared" si="1"/>
        <v>0</v>
      </c>
      <c r="I57" s="2080">
        <v>1</v>
      </c>
      <c r="J57" s="2072">
        <v>2</v>
      </c>
      <c r="K57" s="2057">
        <f t="shared" si="2"/>
        <v>0.5</v>
      </c>
      <c r="L57" s="2080">
        <v>1</v>
      </c>
      <c r="M57" s="2072">
        <v>2</v>
      </c>
      <c r="N57" s="2057">
        <f t="shared" si="3"/>
        <v>0.5</v>
      </c>
      <c r="O57" s="2080">
        <v>1</v>
      </c>
      <c r="P57" s="2072">
        <v>2</v>
      </c>
      <c r="Q57" s="2057">
        <f t="shared" si="4"/>
        <v>0.5</v>
      </c>
      <c r="R57" s="2080">
        <v>0</v>
      </c>
      <c r="S57" s="2072">
        <v>2</v>
      </c>
      <c r="T57" s="2057">
        <f t="shared" si="5"/>
        <v>0</v>
      </c>
      <c r="U57" s="2080">
        <v>0</v>
      </c>
      <c r="V57" s="2072">
        <v>3</v>
      </c>
      <c r="W57" s="2057">
        <f t="shared" si="58"/>
        <v>0</v>
      </c>
      <c r="X57" s="2080">
        <v>2</v>
      </c>
      <c r="Y57" s="2072">
        <v>4</v>
      </c>
      <c r="Z57" s="2057">
        <f t="shared" si="7"/>
        <v>0.5</v>
      </c>
      <c r="AA57" s="2080">
        <v>4</v>
      </c>
      <c r="AB57" s="2072">
        <v>4</v>
      </c>
      <c r="AC57" s="2057">
        <f t="shared" si="8"/>
        <v>1</v>
      </c>
    </row>
    <row r="58" spans="1:29" s="1" customFormat="1" ht="15.75" thickBot="1">
      <c r="A58" s="237"/>
      <c r="B58" s="4177" t="s">
        <v>4</v>
      </c>
      <c r="C58" s="2068">
        <f>SUM(C55:C57)</f>
        <v>2</v>
      </c>
      <c r="D58" s="2060">
        <f>SUM(D55:D57)</f>
        <v>3</v>
      </c>
      <c r="E58" s="2061">
        <f t="shared" si="0"/>
        <v>0.66666666666666663</v>
      </c>
      <c r="F58" s="2082">
        <v>4</v>
      </c>
      <c r="G58" s="2060">
        <f t="shared" ref="G58" si="59">SUM(G55:G57)</f>
        <v>4</v>
      </c>
      <c r="H58" s="2061">
        <f t="shared" si="1"/>
        <v>1</v>
      </c>
      <c r="I58" s="2082">
        <v>4</v>
      </c>
      <c r="J58" s="2060">
        <f t="shared" ref="J58" si="60">SUM(J55:J57)</f>
        <v>7</v>
      </c>
      <c r="K58" s="2061">
        <f t="shared" si="2"/>
        <v>0.5714285714285714</v>
      </c>
      <c r="L58" s="2082">
        <v>9</v>
      </c>
      <c r="M58" s="2060">
        <f t="shared" ref="M58" si="61">SUM(M55:M57)</f>
        <v>8</v>
      </c>
      <c r="N58" s="2061">
        <f t="shared" si="3"/>
        <v>1.125</v>
      </c>
      <c r="O58" s="2082">
        <v>6</v>
      </c>
      <c r="P58" s="2060">
        <f t="shared" ref="P58" si="62">SUM(P55:P57)</f>
        <v>10</v>
      </c>
      <c r="Q58" s="2061">
        <f t="shared" si="4"/>
        <v>0.6</v>
      </c>
      <c r="R58" s="2082">
        <f>SUM(R55:R57)</f>
        <v>8</v>
      </c>
      <c r="S58" s="2060">
        <v>15</v>
      </c>
      <c r="T58" s="2061">
        <f t="shared" si="5"/>
        <v>0.53333333333333333</v>
      </c>
      <c r="U58" s="2082">
        <f>SUM(U55:U57)</f>
        <v>9</v>
      </c>
      <c r="V58" s="2060">
        <f>SUM(V55:V57)</f>
        <v>16</v>
      </c>
      <c r="W58" s="2061">
        <f t="shared" si="58"/>
        <v>0.5625</v>
      </c>
      <c r="X58" s="2082">
        <v>13</v>
      </c>
      <c r="Y58" s="2060">
        <f>SUM(Y55:Y57)</f>
        <v>19</v>
      </c>
      <c r="Z58" s="2061">
        <f t="shared" si="7"/>
        <v>0.68421052631578949</v>
      </c>
      <c r="AA58" s="2082">
        <v>14</v>
      </c>
      <c r="AB58" s="2060">
        <f>SUM(AB55:AB57)</f>
        <v>21</v>
      </c>
      <c r="AC58" s="2061">
        <f t="shared" si="8"/>
        <v>0.66666666666666663</v>
      </c>
    </row>
    <row r="59" spans="1:29" s="1" customFormat="1">
      <c r="A59" s="237"/>
      <c r="B59" s="1609" t="s">
        <v>1189</v>
      </c>
      <c r="C59" s="2063">
        <v>1</v>
      </c>
      <c r="D59" s="2072">
        <v>1</v>
      </c>
      <c r="E59" s="2057">
        <f t="shared" si="0"/>
        <v>1</v>
      </c>
      <c r="F59" s="2080">
        <v>4</v>
      </c>
      <c r="G59" s="2072">
        <v>2</v>
      </c>
      <c r="H59" s="2057">
        <f t="shared" si="1"/>
        <v>2</v>
      </c>
      <c r="I59" s="2080">
        <v>4</v>
      </c>
      <c r="J59" s="2072">
        <v>2</v>
      </c>
      <c r="K59" s="2057">
        <f t="shared" si="2"/>
        <v>2</v>
      </c>
      <c r="L59" s="2080">
        <v>7</v>
      </c>
      <c r="M59" s="2072">
        <v>6</v>
      </c>
      <c r="N59" s="2057">
        <f t="shared" si="3"/>
        <v>1.1666666666666667</v>
      </c>
      <c r="O59" s="2080">
        <v>8</v>
      </c>
      <c r="P59" s="2072">
        <v>8</v>
      </c>
      <c r="Q59" s="2057">
        <f t="shared" si="4"/>
        <v>1</v>
      </c>
      <c r="R59" s="2080">
        <v>5</v>
      </c>
      <c r="S59" s="2072">
        <v>7</v>
      </c>
      <c r="T59" s="2057">
        <f t="shared" si="5"/>
        <v>0.7142857142857143</v>
      </c>
      <c r="U59" s="2080">
        <v>6</v>
      </c>
      <c r="V59" s="2072">
        <v>8</v>
      </c>
      <c r="W59" s="2057">
        <f t="shared" si="58"/>
        <v>0.75</v>
      </c>
      <c r="X59" s="2080">
        <v>5</v>
      </c>
      <c r="Y59" s="2072">
        <v>9</v>
      </c>
      <c r="Z59" s="2057">
        <f t="shared" si="7"/>
        <v>0.55555555555555558</v>
      </c>
      <c r="AA59" s="2080">
        <v>8</v>
      </c>
      <c r="AB59" s="2072">
        <v>9</v>
      </c>
      <c r="AC59" s="2057">
        <f t="shared" si="8"/>
        <v>0.88888888888888884</v>
      </c>
    </row>
    <row r="60" spans="1:29" s="1" customFormat="1">
      <c r="A60" s="237"/>
      <c r="B60" s="1609" t="s">
        <v>1190</v>
      </c>
      <c r="C60" s="2063">
        <v>1</v>
      </c>
      <c r="D60" s="2072">
        <v>2</v>
      </c>
      <c r="E60" s="2057">
        <f t="shared" si="0"/>
        <v>0.5</v>
      </c>
      <c r="F60" s="2080">
        <v>2</v>
      </c>
      <c r="G60" s="2072">
        <v>2</v>
      </c>
      <c r="H60" s="2057">
        <f t="shared" si="1"/>
        <v>1</v>
      </c>
      <c r="I60" s="2080">
        <v>3</v>
      </c>
      <c r="J60" s="2072">
        <v>4</v>
      </c>
      <c r="K60" s="2057">
        <f t="shared" si="2"/>
        <v>0.75</v>
      </c>
      <c r="L60" s="2080">
        <v>4</v>
      </c>
      <c r="M60" s="2072">
        <v>4</v>
      </c>
      <c r="N60" s="2057">
        <f t="shared" si="3"/>
        <v>1</v>
      </c>
      <c r="O60" s="2080">
        <v>5</v>
      </c>
      <c r="P60" s="2072">
        <v>2</v>
      </c>
      <c r="Q60" s="2057">
        <f t="shared" si="4"/>
        <v>2.5</v>
      </c>
      <c r="R60" s="2080">
        <v>5</v>
      </c>
      <c r="S60" s="2072">
        <v>4</v>
      </c>
      <c r="T60" s="2057">
        <f t="shared" si="5"/>
        <v>1.25</v>
      </c>
      <c r="U60" s="2080">
        <v>4</v>
      </c>
      <c r="V60" s="2072">
        <v>6</v>
      </c>
      <c r="W60" s="2057">
        <f t="shared" si="58"/>
        <v>0.66666666666666663</v>
      </c>
      <c r="X60" s="2080">
        <v>5</v>
      </c>
      <c r="Y60" s="2072">
        <v>7</v>
      </c>
      <c r="Z60" s="2057">
        <f t="shared" si="7"/>
        <v>0.7142857142857143</v>
      </c>
      <c r="AA60" s="2080">
        <v>5</v>
      </c>
      <c r="AB60" s="2072">
        <v>8</v>
      </c>
      <c r="AC60" s="2057">
        <f t="shared" si="8"/>
        <v>0.625</v>
      </c>
    </row>
    <row r="61" spans="1:29" s="1" customFormat="1" ht="15.75" thickBot="1">
      <c r="A61" s="237"/>
      <c r="B61" s="1609" t="s">
        <v>1181</v>
      </c>
      <c r="C61" s="2063"/>
      <c r="D61" s="2072">
        <v>2</v>
      </c>
      <c r="E61" s="2057">
        <f t="shared" si="0"/>
        <v>0</v>
      </c>
      <c r="F61" s="2080">
        <v>1</v>
      </c>
      <c r="G61" s="2072">
        <v>2</v>
      </c>
      <c r="H61" s="2057">
        <f t="shared" si="1"/>
        <v>0.5</v>
      </c>
      <c r="I61" s="2080">
        <v>1</v>
      </c>
      <c r="J61" s="2072">
        <v>3</v>
      </c>
      <c r="K61" s="2057">
        <f t="shared" si="2"/>
        <v>0.33333333333333331</v>
      </c>
      <c r="L61" s="2080">
        <v>6</v>
      </c>
      <c r="M61" s="2072">
        <v>3</v>
      </c>
      <c r="N61" s="2057">
        <f t="shared" si="3"/>
        <v>2</v>
      </c>
      <c r="O61" s="2080">
        <v>2</v>
      </c>
      <c r="P61" s="2072">
        <v>3</v>
      </c>
      <c r="Q61" s="2057">
        <f t="shared" si="4"/>
        <v>0.66666666666666663</v>
      </c>
      <c r="R61" s="2080">
        <v>5</v>
      </c>
      <c r="S61" s="2072">
        <v>3</v>
      </c>
      <c r="T61" s="2057">
        <f t="shared" si="5"/>
        <v>1.6666666666666667</v>
      </c>
      <c r="U61" s="2080">
        <v>4</v>
      </c>
      <c r="V61" s="2072">
        <v>4</v>
      </c>
      <c r="W61" s="2057">
        <f t="shared" si="58"/>
        <v>1</v>
      </c>
      <c r="X61" s="2080">
        <v>7</v>
      </c>
      <c r="Y61" s="2072">
        <v>4</v>
      </c>
      <c r="Z61" s="2057">
        <f t="shared" si="7"/>
        <v>1.75</v>
      </c>
      <c r="AA61" s="2080">
        <v>6</v>
      </c>
      <c r="AB61" s="2072">
        <v>3</v>
      </c>
      <c r="AC61" s="2057">
        <f t="shared" si="8"/>
        <v>2</v>
      </c>
    </row>
    <row r="62" spans="1:29" s="1" customFormat="1" ht="15.75" thickBot="1">
      <c r="A62" s="237"/>
      <c r="B62" s="4177" t="s">
        <v>41</v>
      </c>
      <c r="C62" s="2068">
        <f>SUM(C59:C61)</f>
        <v>2</v>
      </c>
      <c r="D62" s="2060">
        <f>SUM(D59:D61)</f>
        <v>5</v>
      </c>
      <c r="E62" s="2061">
        <f t="shared" si="0"/>
        <v>0.4</v>
      </c>
      <c r="F62" s="2082">
        <v>7</v>
      </c>
      <c r="G62" s="2060">
        <f t="shared" ref="G62" si="63">SUM(G59:G61)</f>
        <v>6</v>
      </c>
      <c r="H62" s="2061">
        <f t="shared" si="1"/>
        <v>1.1666666666666667</v>
      </c>
      <c r="I62" s="2082">
        <v>8</v>
      </c>
      <c r="J62" s="2060">
        <f t="shared" ref="J62" si="64">SUM(J59:J61)</f>
        <v>9</v>
      </c>
      <c r="K62" s="2061">
        <f t="shared" si="2"/>
        <v>0.88888888888888884</v>
      </c>
      <c r="L62" s="2082">
        <v>17</v>
      </c>
      <c r="M62" s="2060">
        <f t="shared" ref="M62" si="65">SUM(M59:M61)</f>
        <v>13</v>
      </c>
      <c r="N62" s="2061">
        <f t="shared" si="3"/>
        <v>1.3076923076923077</v>
      </c>
      <c r="O62" s="2082">
        <v>15</v>
      </c>
      <c r="P62" s="2060">
        <f t="shared" ref="P62" si="66">SUM(P59:P61)</f>
        <v>13</v>
      </c>
      <c r="Q62" s="2061">
        <f t="shared" si="4"/>
        <v>1.1538461538461537</v>
      </c>
      <c r="R62" s="2082">
        <f>SUM(R59:R61)</f>
        <v>15</v>
      </c>
      <c r="S62" s="2060">
        <v>14</v>
      </c>
      <c r="T62" s="2061">
        <f t="shared" si="5"/>
        <v>1.0714285714285714</v>
      </c>
      <c r="U62" s="2082">
        <f>SUM(U59:U61)</f>
        <v>14</v>
      </c>
      <c r="V62" s="2060">
        <f>SUM(V59:V61)</f>
        <v>18</v>
      </c>
      <c r="W62" s="2061">
        <f t="shared" si="58"/>
        <v>0.77777777777777779</v>
      </c>
      <c r="X62" s="2082">
        <v>17</v>
      </c>
      <c r="Y62" s="2060">
        <f>SUM(Y59:Y61)</f>
        <v>20</v>
      </c>
      <c r="Z62" s="2061">
        <f t="shared" si="7"/>
        <v>0.85</v>
      </c>
      <c r="AA62" s="2082">
        <v>19</v>
      </c>
      <c r="AB62" s="2060">
        <f>SUM(AB59:AB61)</f>
        <v>20</v>
      </c>
      <c r="AC62" s="2061">
        <f t="shared" si="8"/>
        <v>0.95</v>
      </c>
    </row>
    <row r="63" spans="1:29" s="1" customFormat="1">
      <c r="A63" s="237"/>
      <c r="B63" s="1636" t="s">
        <v>1191</v>
      </c>
      <c r="C63" s="2063">
        <v>0</v>
      </c>
      <c r="D63" s="2072"/>
      <c r="E63" s="2057"/>
      <c r="F63" s="2080">
        <v>0</v>
      </c>
      <c r="G63" s="2072"/>
      <c r="H63" s="2057"/>
      <c r="I63" s="2080">
        <v>0</v>
      </c>
      <c r="J63" s="2072">
        <v>1</v>
      </c>
      <c r="K63" s="2057"/>
      <c r="L63" s="2080">
        <v>1</v>
      </c>
      <c r="M63" s="2072">
        <v>1</v>
      </c>
      <c r="N63" s="2057"/>
      <c r="O63" s="2080">
        <v>1</v>
      </c>
      <c r="P63" s="2072">
        <v>2</v>
      </c>
      <c r="Q63" s="2057">
        <f t="shared" si="4"/>
        <v>0.5</v>
      </c>
      <c r="R63" s="2080">
        <v>2</v>
      </c>
      <c r="S63" s="2072">
        <v>1</v>
      </c>
      <c r="T63" s="2057">
        <f t="shared" si="5"/>
        <v>2</v>
      </c>
      <c r="U63" s="2080">
        <v>2</v>
      </c>
      <c r="V63" s="2072">
        <v>6</v>
      </c>
      <c r="W63" s="2057">
        <f t="shared" si="58"/>
        <v>0.33333333333333331</v>
      </c>
      <c r="X63" s="2080">
        <v>4</v>
      </c>
      <c r="Y63" s="2072">
        <v>9</v>
      </c>
      <c r="Z63" s="2057">
        <f t="shared" si="7"/>
        <v>0.44444444444444442</v>
      </c>
      <c r="AA63" s="2080">
        <v>3</v>
      </c>
      <c r="AB63" s="2072">
        <v>9</v>
      </c>
      <c r="AC63" s="2057">
        <f t="shared" si="8"/>
        <v>0.33333333333333331</v>
      </c>
    </row>
    <row r="64" spans="1:29" s="1" customFormat="1">
      <c r="A64" s="237"/>
      <c r="B64" s="1636" t="s">
        <v>1192</v>
      </c>
      <c r="C64" s="2063"/>
      <c r="D64" s="2072"/>
      <c r="E64" s="2057"/>
      <c r="F64" s="2080"/>
      <c r="G64" s="2072"/>
      <c r="H64" s="2057"/>
      <c r="I64" s="2080">
        <v>0</v>
      </c>
      <c r="J64" s="2072">
        <v>1</v>
      </c>
      <c r="K64" s="2057"/>
      <c r="L64" s="2080">
        <v>0</v>
      </c>
      <c r="M64" s="2072">
        <v>1</v>
      </c>
      <c r="N64" s="2057"/>
      <c r="O64" s="2080">
        <v>1</v>
      </c>
      <c r="P64" s="2072">
        <v>3</v>
      </c>
      <c r="Q64" s="2057">
        <f t="shared" si="4"/>
        <v>0.33333333333333331</v>
      </c>
      <c r="R64" s="2080">
        <v>2</v>
      </c>
      <c r="S64" s="2072">
        <v>2</v>
      </c>
      <c r="T64" s="2057">
        <f t="shared" si="5"/>
        <v>1</v>
      </c>
      <c r="U64" s="2080">
        <v>3</v>
      </c>
      <c r="V64" s="2072">
        <v>3</v>
      </c>
      <c r="W64" s="2057">
        <f t="shared" si="58"/>
        <v>1</v>
      </c>
      <c r="X64" s="2080">
        <v>4</v>
      </c>
      <c r="Y64" s="2072">
        <v>4</v>
      </c>
      <c r="Z64" s="2057">
        <f t="shared" si="7"/>
        <v>1</v>
      </c>
      <c r="AA64" s="2080">
        <v>5</v>
      </c>
      <c r="AB64" s="2072">
        <v>7</v>
      </c>
      <c r="AC64" s="2057">
        <f t="shared" si="8"/>
        <v>0.7142857142857143</v>
      </c>
    </row>
    <row r="65" spans="1:29" s="1" customFormat="1" ht="15.75" thickBot="1">
      <c r="A65" s="237"/>
      <c r="B65" s="1637" t="s">
        <v>1193</v>
      </c>
      <c r="C65" s="2063"/>
      <c r="D65" s="2072">
        <v>2</v>
      </c>
      <c r="E65" s="2057">
        <f t="shared" si="0"/>
        <v>0</v>
      </c>
      <c r="F65" s="2080"/>
      <c r="G65" s="2072">
        <v>3</v>
      </c>
      <c r="H65" s="2057">
        <f t="shared" si="1"/>
        <v>0</v>
      </c>
      <c r="I65" s="2080">
        <v>1</v>
      </c>
      <c r="J65" s="2072">
        <v>4</v>
      </c>
      <c r="K65" s="2057">
        <f t="shared" si="2"/>
        <v>0.25</v>
      </c>
      <c r="L65" s="2080">
        <v>4</v>
      </c>
      <c r="M65" s="2072">
        <v>5</v>
      </c>
      <c r="N65" s="2057">
        <f t="shared" si="3"/>
        <v>0.8</v>
      </c>
      <c r="O65" s="2080">
        <v>5</v>
      </c>
      <c r="P65" s="2072">
        <v>8</v>
      </c>
      <c r="Q65" s="2057">
        <f t="shared" si="4"/>
        <v>0.625</v>
      </c>
      <c r="R65" s="2080">
        <v>7</v>
      </c>
      <c r="S65" s="2072">
        <v>10</v>
      </c>
      <c r="T65" s="2057">
        <f t="shared" si="5"/>
        <v>0.7</v>
      </c>
      <c r="U65" s="2080">
        <v>9</v>
      </c>
      <c r="V65" s="2072">
        <v>12</v>
      </c>
      <c r="W65" s="2057">
        <f t="shared" si="58"/>
        <v>0.75</v>
      </c>
      <c r="X65" s="2080">
        <v>13</v>
      </c>
      <c r="Y65" s="2072">
        <v>14</v>
      </c>
      <c r="Z65" s="2057">
        <f t="shared" si="7"/>
        <v>0.9285714285714286</v>
      </c>
      <c r="AA65" s="2080">
        <v>10</v>
      </c>
      <c r="AB65" s="2072">
        <v>14</v>
      </c>
      <c r="AC65" s="2057">
        <f t="shared" si="8"/>
        <v>0.7142857142857143</v>
      </c>
    </row>
    <row r="66" spans="1:29" s="1" customFormat="1">
      <c r="A66" s="237"/>
      <c r="B66" s="4178" t="s">
        <v>16</v>
      </c>
      <c r="C66" s="2073">
        <f>SUM(C63:C65)</f>
        <v>0</v>
      </c>
      <c r="D66" s="4271">
        <f>SUM(D63:D65)</f>
        <v>2</v>
      </c>
      <c r="E66" s="2061">
        <f t="shared" si="0"/>
        <v>0</v>
      </c>
      <c r="F66" s="2086">
        <v>0</v>
      </c>
      <c r="G66" s="4271">
        <f t="shared" ref="G66" si="67">SUM(G63:G65)</f>
        <v>3</v>
      </c>
      <c r="H66" s="2061">
        <f t="shared" si="1"/>
        <v>0</v>
      </c>
      <c r="I66" s="2086">
        <v>1</v>
      </c>
      <c r="J66" s="4271">
        <f t="shared" ref="J66" si="68">SUM(J63:J65)</f>
        <v>6</v>
      </c>
      <c r="K66" s="2061">
        <f t="shared" si="2"/>
        <v>0.16666666666666666</v>
      </c>
      <c r="L66" s="2086">
        <v>5</v>
      </c>
      <c r="M66" s="4271">
        <f t="shared" ref="M66" si="69">SUM(M63:M65)</f>
        <v>7</v>
      </c>
      <c r="N66" s="2061">
        <f t="shared" si="3"/>
        <v>0.7142857142857143</v>
      </c>
      <c r="O66" s="2086">
        <v>7</v>
      </c>
      <c r="P66" s="4271">
        <f t="shared" ref="P66" si="70">SUM(P63:P65)</f>
        <v>13</v>
      </c>
      <c r="Q66" s="2061">
        <f t="shared" si="4"/>
        <v>0.53846153846153844</v>
      </c>
      <c r="R66" s="2086">
        <f>SUM(R63:R65)</f>
        <v>11</v>
      </c>
      <c r="S66" s="4271">
        <v>13</v>
      </c>
      <c r="T66" s="2061">
        <f t="shared" si="5"/>
        <v>0.84615384615384615</v>
      </c>
      <c r="U66" s="2086">
        <f>SUM(U63:U65)</f>
        <v>14</v>
      </c>
      <c r="V66" s="4271">
        <f>SUM(V63:V65)</f>
        <v>21</v>
      </c>
      <c r="W66" s="2061">
        <f t="shared" si="58"/>
        <v>0.66666666666666663</v>
      </c>
      <c r="X66" s="2086">
        <v>21</v>
      </c>
      <c r="Y66" s="4271">
        <f>SUM(Y63:Y65)</f>
        <v>27</v>
      </c>
      <c r="Z66" s="2061">
        <f t="shared" si="7"/>
        <v>0.77777777777777779</v>
      </c>
      <c r="AA66" s="2086">
        <v>18</v>
      </c>
      <c r="AB66" s="4271">
        <f>SUM(AB63:AB65)</f>
        <v>30</v>
      </c>
      <c r="AC66" s="2061">
        <f t="shared" si="8"/>
        <v>0.6</v>
      </c>
    </row>
    <row r="67" spans="1:29" s="1" customFormat="1">
      <c r="A67" s="237"/>
      <c r="B67" s="4344" t="s">
        <v>1079</v>
      </c>
      <c r="C67" s="4367">
        <f>SUM(C66,C62,C58)</f>
        <v>4</v>
      </c>
      <c r="D67" s="4281">
        <f>SUM(D58,D62,D66)</f>
        <v>10</v>
      </c>
      <c r="E67" s="4368">
        <f t="shared" si="0"/>
        <v>0.4</v>
      </c>
      <c r="F67" s="4369">
        <v>11</v>
      </c>
      <c r="G67" s="4281">
        <f t="shared" ref="G67" si="71">SUM(G58,G62,G66)</f>
        <v>13</v>
      </c>
      <c r="H67" s="4368">
        <f t="shared" si="1"/>
        <v>0.84615384615384615</v>
      </c>
      <c r="I67" s="4369">
        <v>13</v>
      </c>
      <c r="J67" s="4281">
        <f t="shared" ref="J67" si="72">SUM(J58,J62,J66)</f>
        <v>22</v>
      </c>
      <c r="K67" s="4368">
        <f t="shared" si="2"/>
        <v>0.59090909090909094</v>
      </c>
      <c r="L67" s="4369">
        <v>31</v>
      </c>
      <c r="M67" s="4281">
        <f t="shared" ref="M67" si="73">SUM(M58,M62,M66)</f>
        <v>28</v>
      </c>
      <c r="N67" s="4368">
        <f t="shared" si="3"/>
        <v>1.1071428571428572</v>
      </c>
      <c r="O67" s="4369">
        <v>28</v>
      </c>
      <c r="P67" s="4281">
        <f t="shared" ref="P67" si="74">SUM(P58,P62,P66)</f>
        <v>36</v>
      </c>
      <c r="Q67" s="4368">
        <f t="shared" si="4"/>
        <v>0.77777777777777779</v>
      </c>
      <c r="R67" s="4369">
        <f>SUM(R58,R62,R66)</f>
        <v>34</v>
      </c>
      <c r="S67" s="4281">
        <v>42</v>
      </c>
      <c r="T67" s="4368">
        <f t="shared" si="5"/>
        <v>0.80952380952380953</v>
      </c>
      <c r="U67" s="4369">
        <f>SUM(U58,U62,U66)</f>
        <v>37</v>
      </c>
      <c r="V67" s="4281">
        <f>SUM(V58,V62,V66)</f>
        <v>55</v>
      </c>
      <c r="W67" s="4368">
        <f t="shared" si="58"/>
        <v>0.67272727272727273</v>
      </c>
      <c r="X67" s="4369">
        <v>51</v>
      </c>
      <c r="Y67" s="4281">
        <f>SUM(Y58,Y62,Y66)</f>
        <v>66</v>
      </c>
      <c r="Z67" s="4368">
        <f t="shared" si="7"/>
        <v>0.77272727272727271</v>
      </c>
      <c r="AA67" s="4369">
        <v>51</v>
      </c>
      <c r="AB67" s="4281">
        <f>SUM(AB58,AB62,AB66)</f>
        <v>71</v>
      </c>
      <c r="AC67" s="4368">
        <f t="shared" si="8"/>
        <v>0.71830985915492962</v>
      </c>
    </row>
    <row r="68" spans="1:29" s="1" customFormat="1">
      <c r="A68" s="237"/>
      <c r="B68" s="1607" t="s">
        <v>1194</v>
      </c>
      <c r="C68" s="2071">
        <v>22</v>
      </c>
      <c r="D68" s="2066">
        <v>129</v>
      </c>
      <c r="E68" s="2067">
        <f t="shared" si="0"/>
        <v>0.17054263565891473</v>
      </c>
      <c r="F68" s="2085">
        <v>23</v>
      </c>
      <c r="G68" s="2066">
        <v>129</v>
      </c>
      <c r="H68" s="2067">
        <f t="shared" si="1"/>
        <v>0.17829457364341086</v>
      </c>
      <c r="I68" s="2085">
        <v>23</v>
      </c>
      <c r="J68" s="2066">
        <v>135</v>
      </c>
      <c r="K68" s="2067">
        <f t="shared" si="2"/>
        <v>0.17037037037037037</v>
      </c>
      <c r="L68" s="2085">
        <v>23</v>
      </c>
      <c r="M68" s="2066">
        <v>137</v>
      </c>
      <c r="N68" s="2067">
        <f t="shared" si="3"/>
        <v>0.16788321167883211</v>
      </c>
      <c r="O68" s="2085">
        <v>29</v>
      </c>
      <c r="P68" s="2066">
        <v>138</v>
      </c>
      <c r="Q68" s="2067">
        <f t="shared" si="4"/>
        <v>0.21014492753623187</v>
      </c>
      <c r="R68" s="2085">
        <v>32</v>
      </c>
      <c r="S68" s="2066">
        <v>140</v>
      </c>
      <c r="T68" s="2067">
        <f t="shared" si="5"/>
        <v>0.22857142857142856</v>
      </c>
      <c r="U68" s="2085">
        <v>39</v>
      </c>
      <c r="V68" s="2066">
        <v>135</v>
      </c>
      <c r="W68" s="2067">
        <f t="shared" si="58"/>
        <v>0.28888888888888886</v>
      </c>
      <c r="X68" s="2085">
        <v>38</v>
      </c>
      <c r="Y68" s="2066">
        <v>138</v>
      </c>
      <c r="Z68" s="2067">
        <f t="shared" si="7"/>
        <v>0.27536231884057971</v>
      </c>
      <c r="AA68" s="2085">
        <v>38</v>
      </c>
      <c r="AB68" s="2066">
        <v>136</v>
      </c>
      <c r="AC68" s="2067">
        <f t="shared" si="8"/>
        <v>0.27941176470588236</v>
      </c>
    </row>
    <row r="69" spans="1:29" s="1" customFormat="1">
      <c r="A69" s="237"/>
      <c r="B69" s="1609" t="s">
        <v>1195</v>
      </c>
      <c r="C69" s="2055">
        <v>12</v>
      </c>
      <c r="D69" s="2066">
        <v>56</v>
      </c>
      <c r="E69" s="2057">
        <f t="shared" si="0"/>
        <v>0.21428571428571427</v>
      </c>
      <c r="F69" s="2078">
        <v>12</v>
      </c>
      <c r="G69" s="2066">
        <v>55</v>
      </c>
      <c r="H69" s="2057">
        <f t="shared" si="1"/>
        <v>0.21818181818181817</v>
      </c>
      <c r="I69" s="2078">
        <v>11</v>
      </c>
      <c r="J69" s="2066">
        <v>55</v>
      </c>
      <c r="K69" s="2057">
        <f t="shared" si="2"/>
        <v>0.2</v>
      </c>
      <c r="L69" s="2078">
        <v>10</v>
      </c>
      <c r="M69" s="2066">
        <v>52</v>
      </c>
      <c r="N69" s="2057">
        <f t="shared" si="3"/>
        <v>0.19230769230769232</v>
      </c>
      <c r="O69" s="2078">
        <v>7</v>
      </c>
      <c r="P69" s="2066">
        <v>53</v>
      </c>
      <c r="Q69" s="2057">
        <f t="shared" si="4"/>
        <v>0.13207547169811321</v>
      </c>
      <c r="R69" s="2078">
        <v>10</v>
      </c>
      <c r="S69" s="2066">
        <v>53</v>
      </c>
      <c r="T69" s="2057">
        <f t="shared" si="5"/>
        <v>0.18867924528301888</v>
      </c>
      <c r="U69" s="2078">
        <v>15</v>
      </c>
      <c r="V69" s="2066">
        <v>53</v>
      </c>
      <c r="W69" s="2057">
        <f t="shared" si="58"/>
        <v>0.28301886792452829</v>
      </c>
      <c r="X69" s="2078">
        <v>14</v>
      </c>
      <c r="Y69" s="2066">
        <v>52</v>
      </c>
      <c r="Z69" s="2057">
        <f t="shared" si="7"/>
        <v>0.26923076923076922</v>
      </c>
      <c r="AA69" s="2078">
        <v>12</v>
      </c>
      <c r="AB69" s="2066">
        <v>52</v>
      </c>
      <c r="AC69" s="2057">
        <f t="shared" si="8"/>
        <v>0.23076923076923078</v>
      </c>
    </row>
    <row r="70" spans="1:29" s="1" customFormat="1">
      <c r="A70" s="237"/>
      <c r="B70" s="1609" t="s">
        <v>1196</v>
      </c>
      <c r="C70" s="2063">
        <v>21</v>
      </c>
      <c r="D70" s="2066">
        <v>86</v>
      </c>
      <c r="E70" s="2057">
        <f t="shared" si="0"/>
        <v>0.2441860465116279</v>
      </c>
      <c r="F70" s="2080">
        <v>21</v>
      </c>
      <c r="G70" s="2066">
        <v>87</v>
      </c>
      <c r="H70" s="2057">
        <f t="shared" si="1"/>
        <v>0.2413793103448276</v>
      </c>
      <c r="I70" s="2080">
        <v>21</v>
      </c>
      <c r="J70" s="2066">
        <v>89</v>
      </c>
      <c r="K70" s="2057">
        <f t="shared" si="2"/>
        <v>0.23595505617977527</v>
      </c>
      <c r="L70" s="2080">
        <v>25</v>
      </c>
      <c r="M70" s="2066">
        <v>89</v>
      </c>
      <c r="N70" s="2057">
        <f t="shared" si="3"/>
        <v>0.2808988764044944</v>
      </c>
      <c r="O70" s="2080">
        <v>26</v>
      </c>
      <c r="P70" s="2066">
        <v>91</v>
      </c>
      <c r="Q70" s="2057">
        <f t="shared" si="4"/>
        <v>0.2857142857142857</v>
      </c>
      <c r="R70" s="2080">
        <v>27</v>
      </c>
      <c r="S70" s="2066">
        <v>93</v>
      </c>
      <c r="T70" s="2057">
        <f t="shared" si="5"/>
        <v>0.29032258064516131</v>
      </c>
      <c r="U70" s="2080">
        <v>25</v>
      </c>
      <c r="V70" s="2066">
        <v>92</v>
      </c>
      <c r="W70" s="2057">
        <f t="shared" si="58"/>
        <v>0.27173913043478259</v>
      </c>
      <c r="X70" s="2080">
        <v>24</v>
      </c>
      <c r="Y70" s="2066">
        <v>89</v>
      </c>
      <c r="Z70" s="2057">
        <f t="shared" si="7"/>
        <v>0.2696629213483146</v>
      </c>
      <c r="AA70" s="2080">
        <v>24</v>
      </c>
      <c r="AB70" s="2066">
        <v>88</v>
      </c>
      <c r="AC70" s="2057">
        <f t="shared" si="8"/>
        <v>0.27272727272727271</v>
      </c>
    </row>
    <row r="71" spans="1:29" s="1" customFormat="1" ht="15.75" thickBot="1">
      <c r="A71" s="237"/>
      <c r="B71" s="1616" t="s">
        <v>1197</v>
      </c>
      <c r="C71" s="2055">
        <v>21</v>
      </c>
      <c r="D71" s="2066">
        <v>69</v>
      </c>
      <c r="E71" s="2057">
        <f t="shared" ref="E71:E84" si="75">C71/D71</f>
        <v>0.30434782608695654</v>
      </c>
      <c r="F71" s="2078">
        <v>23</v>
      </c>
      <c r="G71" s="2066">
        <v>69</v>
      </c>
      <c r="H71" s="2057">
        <f t="shared" ref="H71:H84" si="76">F71/G71</f>
        <v>0.33333333333333331</v>
      </c>
      <c r="I71" s="2078">
        <v>31</v>
      </c>
      <c r="J71" s="2066">
        <v>69</v>
      </c>
      <c r="K71" s="2057">
        <f t="shared" ref="K71:K84" si="77">I71/J71</f>
        <v>0.44927536231884058</v>
      </c>
      <c r="L71" s="2078">
        <v>40</v>
      </c>
      <c r="M71" s="2066">
        <v>71</v>
      </c>
      <c r="N71" s="2057">
        <f t="shared" ref="N71:N84" si="78">L71/M71</f>
        <v>0.56338028169014087</v>
      </c>
      <c r="O71" s="2078">
        <v>40</v>
      </c>
      <c r="P71" s="2066">
        <v>71</v>
      </c>
      <c r="Q71" s="2057">
        <f t="shared" ref="Q71:Q84" si="79">O71/P71</f>
        <v>0.56338028169014087</v>
      </c>
      <c r="R71" s="2078">
        <v>39</v>
      </c>
      <c r="S71" s="2066">
        <v>68</v>
      </c>
      <c r="T71" s="2057">
        <f t="shared" ref="T71:T84" si="80">R71/S71</f>
        <v>0.57352941176470584</v>
      </c>
      <c r="U71" s="2078">
        <v>41</v>
      </c>
      <c r="V71" s="2066">
        <v>67</v>
      </c>
      <c r="W71" s="2057">
        <f t="shared" si="58"/>
        <v>0.61194029850746268</v>
      </c>
      <c r="X71" s="2078">
        <v>40</v>
      </c>
      <c r="Y71" s="2066">
        <v>68</v>
      </c>
      <c r="Z71" s="2057">
        <f t="shared" ref="Z71:Z84" si="81">X71/Y71</f>
        <v>0.58823529411764708</v>
      </c>
      <c r="AA71" s="2078">
        <v>36</v>
      </c>
      <c r="AB71" s="2066">
        <v>68</v>
      </c>
      <c r="AC71" s="2057">
        <f t="shared" ref="AC71:AC84" si="82">AA71/AB71</f>
        <v>0.52941176470588236</v>
      </c>
    </row>
    <row r="72" spans="1:29" s="1" customFormat="1" ht="15.75" thickBot="1">
      <c r="A72" s="237"/>
      <c r="B72" s="4177" t="s">
        <v>41</v>
      </c>
      <c r="C72" s="2068">
        <f>SUM(C68:C71)</f>
        <v>76</v>
      </c>
      <c r="D72" s="2060">
        <f>SUM(D68:D71)</f>
        <v>340</v>
      </c>
      <c r="E72" s="2061">
        <f t="shared" si="75"/>
        <v>0.22352941176470589</v>
      </c>
      <c r="F72" s="2082">
        <v>79</v>
      </c>
      <c r="G72" s="2060">
        <f t="shared" ref="G72" si="83">SUM(G68:G71)</f>
        <v>340</v>
      </c>
      <c r="H72" s="2061">
        <f t="shared" si="76"/>
        <v>0.2323529411764706</v>
      </c>
      <c r="I72" s="2082">
        <v>86</v>
      </c>
      <c r="J72" s="2060">
        <f t="shared" ref="J72" si="84">SUM(J68:J71)</f>
        <v>348</v>
      </c>
      <c r="K72" s="2061">
        <f t="shared" si="77"/>
        <v>0.2471264367816092</v>
      </c>
      <c r="L72" s="2082">
        <v>98</v>
      </c>
      <c r="M72" s="2060">
        <f t="shared" ref="M72" si="85">SUM(M68:M71)</f>
        <v>349</v>
      </c>
      <c r="N72" s="2061">
        <f t="shared" si="78"/>
        <v>0.28080229226361031</v>
      </c>
      <c r="O72" s="2082">
        <v>102</v>
      </c>
      <c r="P72" s="2060">
        <f t="shared" ref="P72" si="86">SUM(P68:P71)</f>
        <v>353</v>
      </c>
      <c r="Q72" s="2061">
        <f t="shared" si="79"/>
        <v>0.28895184135977336</v>
      </c>
      <c r="R72" s="2082">
        <f>SUM(R68:R71)</f>
        <v>108</v>
      </c>
      <c r="S72" s="2060">
        <v>354</v>
      </c>
      <c r="T72" s="2061">
        <f t="shared" si="80"/>
        <v>0.30508474576271188</v>
      </c>
      <c r="U72" s="2082">
        <f>SUM(U68:U71)</f>
        <v>120</v>
      </c>
      <c r="V72" s="2060">
        <f>SUM(V68:V71)</f>
        <v>347</v>
      </c>
      <c r="W72" s="2061">
        <f t="shared" si="58"/>
        <v>0.345821325648415</v>
      </c>
      <c r="X72" s="2082">
        <v>116</v>
      </c>
      <c r="Y72" s="2060">
        <f>SUM(Y68:Y71)</f>
        <v>347</v>
      </c>
      <c r="Z72" s="2061">
        <f t="shared" si="81"/>
        <v>0.33429394812680113</v>
      </c>
      <c r="AA72" s="2082">
        <v>110</v>
      </c>
      <c r="AB72" s="2060">
        <f>SUM(AB68:AB71)</f>
        <v>344</v>
      </c>
      <c r="AC72" s="2061">
        <f t="shared" si="82"/>
        <v>0.31976744186046513</v>
      </c>
    </row>
    <row r="73" spans="1:29" s="1" customFormat="1">
      <c r="A73" s="237"/>
      <c r="B73" s="1631" t="s">
        <v>1198</v>
      </c>
      <c r="C73" s="2055">
        <v>28</v>
      </c>
      <c r="D73" s="2066">
        <v>128</v>
      </c>
      <c r="E73" s="2057">
        <f t="shared" si="75"/>
        <v>0.21875</v>
      </c>
      <c r="F73" s="2078">
        <v>28</v>
      </c>
      <c r="G73" s="2066">
        <v>131</v>
      </c>
      <c r="H73" s="2057">
        <f t="shared" si="76"/>
        <v>0.21374045801526717</v>
      </c>
      <c r="I73" s="2078">
        <v>29</v>
      </c>
      <c r="J73" s="2066">
        <v>134</v>
      </c>
      <c r="K73" s="2057">
        <f t="shared" si="77"/>
        <v>0.21641791044776118</v>
      </c>
      <c r="L73" s="2078">
        <v>30</v>
      </c>
      <c r="M73" s="2066">
        <v>136</v>
      </c>
      <c r="N73" s="2057">
        <f t="shared" si="78"/>
        <v>0.22058823529411764</v>
      </c>
      <c r="O73" s="2078">
        <v>31</v>
      </c>
      <c r="P73" s="2066">
        <v>135</v>
      </c>
      <c r="Q73" s="2057">
        <f t="shared" si="79"/>
        <v>0.22962962962962963</v>
      </c>
      <c r="R73" s="2078">
        <v>30</v>
      </c>
      <c r="S73" s="2066">
        <v>132</v>
      </c>
      <c r="T73" s="2057">
        <f t="shared" si="80"/>
        <v>0.22727272727272727</v>
      </c>
      <c r="U73" s="2078">
        <v>29</v>
      </c>
      <c r="V73" s="2066">
        <v>130</v>
      </c>
      <c r="W73" s="2057">
        <f t="shared" si="58"/>
        <v>0.22307692307692309</v>
      </c>
      <c r="X73" s="2078">
        <v>27</v>
      </c>
      <c r="Y73" s="2066">
        <v>126</v>
      </c>
      <c r="Z73" s="2057">
        <f t="shared" si="81"/>
        <v>0.21428571428571427</v>
      </c>
      <c r="AA73" s="2078">
        <v>29</v>
      </c>
      <c r="AB73" s="2066">
        <v>125</v>
      </c>
      <c r="AC73" s="2057">
        <f t="shared" si="82"/>
        <v>0.23200000000000001</v>
      </c>
    </row>
    <row r="74" spans="1:29" s="1" customFormat="1">
      <c r="A74" s="237"/>
      <c r="B74" s="1609" t="s">
        <v>1199</v>
      </c>
      <c r="C74" s="2063">
        <v>34</v>
      </c>
      <c r="D74" s="2066">
        <v>91</v>
      </c>
      <c r="E74" s="2057">
        <f t="shared" si="75"/>
        <v>0.37362637362637363</v>
      </c>
      <c r="F74" s="2080">
        <v>34</v>
      </c>
      <c r="G74" s="2066">
        <v>98</v>
      </c>
      <c r="H74" s="2057">
        <f t="shared" si="76"/>
        <v>0.34693877551020408</v>
      </c>
      <c r="I74" s="2080">
        <v>33</v>
      </c>
      <c r="J74" s="2066">
        <v>99</v>
      </c>
      <c r="K74" s="2057">
        <f t="shared" si="77"/>
        <v>0.33333333333333331</v>
      </c>
      <c r="L74" s="2080">
        <v>38</v>
      </c>
      <c r="M74" s="2066">
        <v>99</v>
      </c>
      <c r="N74" s="2057">
        <f t="shared" si="78"/>
        <v>0.38383838383838381</v>
      </c>
      <c r="O74" s="2080">
        <v>40</v>
      </c>
      <c r="P74" s="2066">
        <v>98</v>
      </c>
      <c r="Q74" s="2057">
        <f t="shared" si="79"/>
        <v>0.40816326530612246</v>
      </c>
      <c r="R74" s="2080">
        <v>39</v>
      </c>
      <c r="S74" s="2066">
        <v>97</v>
      </c>
      <c r="T74" s="2057">
        <f t="shared" si="80"/>
        <v>0.40206185567010311</v>
      </c>
      <c r="U74" s="2080">
        <v>39</v>
      </c>
      <c r="V74" s="2066">
        <v>96</v>
      </c>
      <c r="W74" s="2057">
        <f t="shared" si="58"/>
        <v>0.40625</v>
      </c>
      <c r="X74" s="2080">
        <v>36</v>
      </c>
      <c r="Y74" s="2066">
        <v>99</v>
      </c>
      <c r="Z74" s="2057">
        <f t="shared" si="81"/>
        <v>0.36363636363636365</v>
      </c>
      <c r="AA74" s="2080">
        <v>35</v>
      </c>
      <c r="AB74" s="2066">
        <v>100</v>
      </c>
      <c r="AC74" s="2057">
        <f t="shared" si="82"/>
        <v>0.35</v>
      </c>
    </row>
    <row r="75" spans="1:29" s="1" customFormat="1">
      <c r="A75" s="237"/>
      <c r="B75" s="1609" t="s">
        <v>1200</v>
      </c>
      <c r="C75" s="2063">
        <v>30</v>
      </c>
      <c r="D75" s="2066">
        <v>66</v>
      </c>
      <c r="E75" s="2057">
        <f t="shared" si="75"/>
        <v>0.45454545454545453</v>
      </c>
      <c r="F75" s="2080">
        <v>29</v>
      </c>
      <c r="G75" s="2066">
        <v>69</v>
      </c>
      <c r="H75" s="2057">
        <f t="shared" si="76"/>
        <v>0.42028985507246375</v>
      </c>
      <c r="I75" s="2080">
        <v>35</v>
      </c>
      <c r="J75" s="2066">
        <v>73</v>
      </c>
      <c r="K75" s="2057">
        <f t="shared" si="77"/>
        <v>0.47945205479452052</v>
      </c>
      <c r="L75" s="2080">
        <v>34</v>
      </c>
      <c r="M75" s="2066">
        <v>70</v>
      </c>
      <c r="N75" s="2057">
        <f t="shared" si="78"/>
        <v>0.48571428571428571</v>
      </c>
      <c r="O75" s="2080">
        <v>34</v>
      </c>
      <c r="P75" s="2066">
        <v>68</v>
      </c>
      <c r="Q75" s="2057">
        <f t="shared" si="79"/>
        <v>0.5</v>
      </c>
      <c r="R75" s="2080">
        <v>34</v>
      </c>
      <c r="S75" s="2066">
        <v>68</v>
      </c>
      <c r="T75" s="2057">
        <f t="shared" si="80"/>
        <v>0.5</v>
      </c>
      <c r="U75" s="2080">
        <v>34</v>
      </c>
      <c r="V75" s="2066">
        <v>66</v>
      </c>
      <c r="W75" s="2057">
        <f t="shared" si="58"/>
        <v>0.51515151515151514</v>
      </c>
      <c r="X75" s="2080">
        <v>34</v>
      </c>
      <c r="Y75" s="2066">
        <v>67</v>
      </c>
      <c r="Z75" s="2057">
        <f t="shared" si="81"/>
        <v>0.5074626865671642</v>
      </c>
      <c r="AA75" s="2080">
        <v>33</v>
      </c>
      <c r="AB75" s="2066">
        <v>68</v>
      </c>
      <c r="AC75" s="2057">
        <f t="shared" si="82"/>
        <v>0.48529411764705882</v>
      </c>
    </row>
    <row r="76" spans="1:29" s="1" customFormat="1" ht="15.75" thickBot="1">
      <c r="A76" s="237"/>
      <c r="B76" s="1609" t="s">
        <v>1201</v>
      </c>
      <c r="C76" s="2063">
        <v>24</v>
      </c>
      <c r="D76" s="2066">
        <v>57</v>
      </c>
      <c r="E76" s="2057">
        <f t="shared" si="75"/>
        <v>0.42105263157894735</v>
      </c>
      <c r="F76" s="2080">
        <v>24</v>
      </c>
      <c r="G76" s="2066">
        <v>58</v>
      </c>
      <c r="H76" s="2057">
        <f t="shared" si="76"/>
        <v>0.41379310344827586</v>
      </c>
      <c r="I76" s="2080">
        <v>23</v>
      </c>
      <c r="J76" s="2066">
        <v>57</v>
      </c>
      <c r="K76" s="2057">
        <f t="shared" si="77"/>
        <v>0.40350877192982454</v>
      </c>
      <c r="L76" s="2080">
        <v>23</v>
      </c>
      <c r="M76" s="2066">
        <v>57</v>
      </c>
      <c r="N76" s="2057">
        <f t="shared" si="78"/>
        <v>0.40350877192982454</v>
      </c>
      <c r="O76" s="2080">
        <v>23</v>
      </c>
      <c r="P76" s="2066">
        <v>60</v>
      </c>
      <c r="Q76" s="2057">
        <f t="shared" si="79"/>
        <v>0.38333333333333336</v>
      </c>
      <c r="R76" s="2080">
        <v>20</v>
      </c>
      <c r="S76" s="2066">
        <v>61</v>
      </c>
      <c r="T76" s="2057">
        <f t="shared" si="80"/>
        <v>0.32786885245901637</v>
      </c>
      <c r="U76" s="2080">
        <v>21</v>
      </c>
      <c r="V76" s="2066">
        <v>59</v>
      </c>
      <c r="W76" s="2057">
        <f t="shared" si="58"/>
        <v>0.3559322033898305</v>
      </c>
      <c r="X76" s="2080">
        <v>20</v>
      </c>
      <c r="Y76" s="2066">
        <v>58</v>
      </c>
      <c r="Z76" s="2057">
        <f t="shared" si="81"/>
        <v>0.34482758620689657</v>
      </c>
      <c r="AA76" s="2080">
        <v>20</v>
      </c>
      <c r="AB76" s="2066">
        <v>60</v>
      </c>
      <c r="AC76" s="2057">
        <f t="shared" si="82"/>
        <v>0.33333333333333331</v>
      </c>
    </row>
    <row r="77" spans="1:29" s="1" customFormat="1" ht="15.75" thickBot="1">
      <c r="A77" s="237"/>
      <c r="B77" s="4177" t="s">
        <v>16</v>
      </c>
      <c r="C77" s="2068">
        <f>SUM(C73:C76)</f>
        <v>116</v>
      </c>
      <c r="D77" s="2060">
        <f>SUM(D73:D76)</f>
        <v>342</v>
      </c>
      <c r="E77" s="2061">
        <f t="shared" si="75"/>
        <v>0.33918128654970758</v>
      </c>
      <c r="F77" s="2082">
        <v>115</v>
      </c>
      <c r="G77" s="2060">
        <f t="shared" ref="G77" si="87">SUM(G73:G76)</f>
        <v>356</v>
      </c>
      <c r="H77" s="2061">
        <f t="shared" si="76"/>
        <v>0.32303370786516855</v>
      </c>
      <c r="I77" s="2082">
        <v>120</v>
      </c>
      <c r="J77" s="2060">
        <f t="shared" ref="J77" si="88">SUM(J73:J76)</f>
        <v>363</v>
      </c>
      <c r="K77" s="2061">
        <f t="shared" si="77"/>
        <v>0.33057851239669422</v>
      </c>
      <c r="L77" s="2082">
        <v>125</v>
      </c>
      <c r="M77" s="2060">
        <f t="shared" ref="M77" si="89">SUM(M73:M76)</f>
        <v>362</v>
      </c>
      <c r="N77" s="2061">
        <f t="shared" si="78"/>
        <v>0.34530386740331492</v>
      </c>
      <c r="O77" s="2082">
        <v>128</v>
      </c>
      <c r="P77" s="2060">
        <f t="shared" ref="P77" si="90">SUM(P73:P76)</f>
        <v>361</v>
      </c>
      <c r="Q77" s="2061">
        <f t="shared" si="79"/>
        <v>0.35457063711911357</v>
      </c>
      <c r="R77" s="2082">
        <f>SUM(R73:R76)</f>
        <v>123</v>
      </c>
      <c r="S77" s="2060">
        <v>358</v>
      </c>
      <c r="T77" s="2061">
        <f t="shared" si="80"/>
        <v>0.34357541899441341</v>
      </c>
      <c r="U77" s="2082">
        <f>SUM(U73:U76)</f>
        <v>123</v>
      </c>
      <c r="V77" s="2060">
        <f>SUM(V73:V76)</f>
        <v>351</v>
      </c>
      <c r="W77" s="2061">
        <f t="shared" si="58"/>
        <v>0.3504273504273504</v>
      </c>
      <c r="X77" s="2082">
        <v>117</v>
      </c>
      <c r="Y77" s="2060">
        <f>SUM(Y73:Y76)</f>
        <v>350</v>
      </c>
      <c r="Z77" s="2061">
        <f t="shared" si="81"/>
        <v>0.3342857142857143</v>
      </c>
      <c r="AA77" s="2082">
        <v>117</v>
      </c>
      <c r="AB77" s="2060">
        <f>SUM(AB73:AB76)</f>
        <v>353</v>
      </c>
      <c r="AC77" s="2061">
        <f t="shared" si="82"/>
        <v>0.33144475920679889</v>
      </c>
    </row>
    <row r="78" spans="1:29" s="1" customFormat="1">
      <c r="A78" s="237"/>
      <c r="B78" s="1631" t="s">
        <v>1202</v>
      </c>
      <c r="C78" s="2055">
        <v>6</v>
      </c>
      <c r="D78" s="2066">
        <v>29</v>
      </c>
      <c r="E78" s="2057">
        <f t="shared" si="75"/>
        <v>0.20689655172413793</v>
      </c>
      <c r="F78" s="2078">
        <v>6</v>
      </c>
      <c r="G78" s="2066">
        <v>28</v>
      </c>
      <c r="H78" s="2057">
        <f t="shared" si="76"/>
        <v>0.21428571428571427</v>
      </c>
      <c r="I78" s="2078">
        <v>7</v>
      </c>
      <c r="J78" s="2066">
        <v>26</v>
      </c>
      <c r="K78" s="2057">
        <f t="shared" si="77"/>
        <v>0.26923076923076922</v>
      </c>
      <c r="L78" s="2078">
        <v>8</v>
      </c>
      <c r="M78" s="2066">
        <v>26</v>
      </c>
      <c r="N78" s="2057">
        <f t="shared" si="78"/>
        <v>0.30769230769230771</v>
      </c>
      <c r="O78" s="2078">
        <v>7</v>
      </c>
      <c r="P78" s="2066">
        <v>29</v>
      </c>
      <c r="Q78" s="2057">
        <f t="shared" si="79"/>
        <v>0.2413793103448276</v>
      </c>
      <c r="R78" s="2078">
        <v>6</v>
      </c>
      <c r="S78" s="2066">
        <v>29</v>
      </c>
      <c r="T78" s="2057">
        <f t="shared" si="80"/>
        <v>0.20689655172413793</v>
      </c>
      <c r="U78" s="2078">
        <v>7</v>
      </c>
      <c r="V78" s="2066">
        <v>32</v>
      </c>
      <c r="W78" s="2057">
        <f t="shared" si="58"/>
        <v>0.21875</v>
      </c>
      <c r="X78" s="2078">
        <v>6</v>
      </c>
      <c r="Y78" s="2066">
        <v>31</v>
      </c>
      <c r="Z78" s="2057">
        <f t="shared" si="81"/>
        <v>0.19354838709677419</v>
      </c>
      <c r="AA78" s="2078">
        <v>7</v>
      </c>
      <c r="AB78" s="2066">
        <v>29</v>
      </c>
      <c r="AC78" s="2057">
        <f t="shared" si="82"/>
        <v>0.2413793103448276</v>
      </c>
    </row>
    <row r="79" spans="1:29" s="1" customFormat="1">
      <c r="A79" s="237"/>
      <c r="B79" s="1609" t="s">
        <v>1203</v>
      </c>
      <c r="C79" s="2055">
        <v>3</v>
      </c>
      <c r="D79" s="2066">
        <v>37</v>
      </c>
      <c r="E79" s="2057">
        <f t="shared" si="75"/>
        <v>8.1081081081081086E-2</v>
      </c>
      <c r="F79" s="2078">
        <v>3</v>
      </c>
      <c r="G79" s="2066">
        <v>39</v>
      </c>
      <c r="H79" s="2057">
        <f t="shared" si="76"/>
        <v>7.6923076923076927E-2</v>
      </c>
      <c r="I79" s="2078">
        <v>3</v>
      </c>
      <c r="J79" s="2066">
        <v>38</v>
      </c>
      <c r="K79" s="2057">
        <f t="shared" si="77"/>
        <v>7.8947368421052627E-2</v>
      </c>
      <c r="L79" s="2078">
        <v>4</v>
      </c>
      <c r="M79" s="2066">
        <v>39</v>
      </c>
      <c r="N79" s="2057">
        <f t="shared" si="78"/>
        <v>0.10256410256410256</v>
      </c>
      <c r="O79" s="2078">
        <v>4</v>
      </c>
      <c r="P79" s="2066">
        <v>40</v>
      </c>
      <c r="Q79" s="2057">
        <f t="shared" si="79"/>
        <v>0.1</v>
      </c>
      <c r="R79" s="2078">
        <v>3</v>
      </c>
      <c r="S79" s="2066">
        <v>40</v>
      </c>
      <c r="T79" s="2057">
        <f t="shared" si="80"/>
        <v>7.4999999999999997E-2</v>
      </c>
      <c r="U79" s="2078">
        <v>2</v>
      </c>
      <c r="V79" s="2066">
        <v>39</v>
      </c>
      <c r="W79" s="2057">
        <f t="shared" si="58"/>
        <v>5.128205128205128E-2</v>
      </c>
      <c r="X79" s="2078">
        <v>2</v>
      </c>
      <c r="Y79" s="2066">
        <v>38</v>
      </c>
      <c r="Z79" s="2057">
        <f t="shared" si="81"/>
        <v>5.2631578947368418E-2</v>
      </c>
      <c r="AA79" s="2078">
        <v>3</v>
      </c>
      <c r="AB79" s="2066">
        <v>36</v>
      </c>
      <c r="AC79" s="2057">
        <f t="shared" si="82"/>
        <v>8.3333333333333329E-2</v>
      </c>
    </row>
    <row r="80" spans="1:29" s="1" customFormat="1">
      <c r="A80" s="237"/>
      <c r="B80" s="1609" t="s">
        <v>1204</v>
      </c>
      <c r="C80" s="2055">
        <v>3</v>
      </c>
      <c r="D80" s="2066">
        <v>29</v>
      </c>
      <c r="E80" s="2057">
        <f t="shared" si="75"/>
        <v>0.10344827586206896</v>
      </c>
      <c r="F80" s="2078">
        <v>3</v>
      </c>
      <c r="G80" s="2066">
        <v>28</v>
      </c>
      <c r="H80" s="2057">
        <f t="shared" si="76"/>
        <v>0.10714285714285714</v>
      </c>
      <c r="I80" s="2078">
        <v>3</v>
      </c>
      <c r="J80" s="2066">
        <v>30</v>
      </c>
      <c r="K80" s="2057">
        <f t="shared" si="77"/>
        <v>0.1</v>
      </c>
      <c r="L80" s="2078">
        <v>2</v>
      </c>
      <c r="M80" s="2066">
        <v>29</v>
      </c>
      <c r="N80" s="2057">
        <f t="shared" si="78"/>
        <v>6.8965517241379309E-2</v>
      </c>
      <c r="O80" s="2078">
        <v>2</v>
      </c>
      <c r="P80" s="2066">
        <v>31</v>
      </c>
      <c r="Q80" s="2057">
        <f t="shared" si="79"/>
        <v>6.4516129032258063E-2</v>
      </c>
      <c r="R80" s="2078">
        <v>2</v>
      </c>
      <c r="S80" s="2066">
        <v>30</v>
      </c>
      <c r="T80" s="2057">
        <f t="shared" si="80"/>
        <v>6.6666666666666666E-2</v>
      </c>
      <c r="U80" s="2078">
        <v>1</v>
      </c>
      <c r="V80" s="2066">
        <v>27</v>
      </c>
      <c r="W80" s="2057">
        <f t="shared" si="58"/>
        <v>3.7037037037037035E-2</v>
      </c>
      <c r="X80" s="2078">
        <v>1</v>
      </c>
      <c r="Y80" s="2066">
        <v>22</v>
      </c>
      <c r="Z80" s="2057">
        <f t="shared" si="81"/>
        <v>4.5454545454545456E-2</v>
      </c>
      <c r="AA80" s="2078">
        <v>2</v>
      </c>
      <c r="AB80" s="2066">
        <v>24</v>
      </c>
      <c r="AC80" s="2057">
        <f t="shared" si="82"/>
        <v>8.3333333333333329E-2</v>
      </c>
    </row>
    <row r="81" spans="1:29" s="1" customFormat="1" ht="15.75" thickBot="1">
      <c r="A81" s="237"/>
      <c r="B81" s="1616" t="s">
        <v>1205</v>
      </c>
      <c r="C81" s="2055">
        <v>7</v>
      </c>
      <c r="D81" s="2066">
        <v>47</v>
      </c>
      <c r="E81" s="2057">
        <f t="shared" si="75"/>
        <v>0.14893617021276595</v>
      </c>
      <c r="F81" s="2078">
        <v>7</v>
      </c>
      <c r="G81" s="2066">
        <v>48</v>
      </c>
      <c r="H81" s="2057">
        <f t="shared" si="76"/>
        <v>0.14583333333333334</v>
      </c>
      <c r="I81" s="2078">
        <v>6</v>
      </c>
      <c r="J81" s="2066">
        <v>47</v>
      </c>
      <c r="K81" s="2057">
        <f t="shared" si="77"/>
        <v>0.1276595744680851</v>
      </c>
      <c r="L81" s="2078">
        <v>6</v>
      </c>
      <c r="M81" s="2066">
        <v>47</v>
      </c>
      <c r="N81" s="2057">
        <f t="shared" si="78"/>
        <v>0.1276595744680851</v>
      </c>
      <c r="O81" s="2078">
        <v>6</v>
      </c>
      <c r="P81" s="2066">
        <v>46</v>
      </c>
      <c r="Q81" s="2057">
        <f t="shared" si="79"/>
        <v>0.13043478260869565</v>
      </c>
      <c r="R81" s="2078">
        <v>5</v>
      </c>
      <c r="S81" s="2066">
        <v>45</v>
      </c>
      <c r="T81" s="2057">
        <f t="shared" si="80"/>
        <v>0.1111111111111111</v>
      </c>
      <c r="U81" s="2078">
        <v>5</v>
      </c>
      <c r="V81" s="2066">
        <v>46</v>
      </c>
      <c r="W81" s="2057">
        <f t="shared" si="58"/>
        <v>0.10869565217391304</v>
      </c>
      <c r="X81" s="2078">
        <v>7</v>
      </c>
      <c r="Y81" s="2066">
        <v>44</v>
      </c>
      <c r="Z81" s="2057">
        <f t="shared" si="81"/>
        <v>0.15909090909090909</v>
      </c>
      <c r="AA81" s="2078">
        <v>8</v>
      </c>
      <c r="AB81" s="2066">
        <v>44</v>
      </c>
      <c r="AC81" s="2057">
        <f t="shared" si="82"/>
        <v>0.18181818181818182</v>
      </c>
    </row>
    <row r="82" spans="1:29" s="1" customFormat="1">
      <c r="A82" s="237"/>
      <c r="B82" s="4178" t="s">
        <v>21</v>
      </c>
      <c r="C82" s="2073">
        <f>SUM(C78:C81)</f>
        <v>19</v>
      </c>
      <c r="D82" s="4271">
        <f>SUM(D78:D81)</f>
        <v>142</v>
      </c>
      <c r="E82" s="2061">
        <f t="shared" si="75"/>
        <v>0.13380281690140844</v>
      </c>
      <c r="F82" s="2086">
        <v>19</v>
      </c>
      <c r="G82" s="4271">
        <f t="shared" ref="G82" si="91">SUM(G78:G81)</f>
        <v>143</v>
      </c>
      <c r="H82" s="2061">
        <f t="shared" si="76"/>
        <v>0.13286713286713286</v>
      </c>
      <c r="I82" s="2086">
        <v>19</v>
      </c>
      <c r="J82" s="4271">
        <f t="shared" ref="J82" si="92">SUM(J78:J81)</f>
        <v>141</v>
      </c>
      <c r="K82" s="2061">
        <f t="shared" si="77"/>
        <v>0.13475177304964539</v>
      </c>
      <c r="L82" s="2086">
        <v>20</v>
      </c>
      <c r="M82" s="4271">
        <f t="shared" ref="M82" si="93">SUM(M78:M81)</f>
        <v>141</v>
      </c>
      <c r="N82" s="2061">
        <f t="shared" si="78"/>
        <v>0.14184397163120568</v>
      </c>
      <c r="O82" s="2086">
        <v>19</v>
      </c>
      <c r="P82" s="4271">
        <f t="shared" ref="P82" si="94">SUM(P78:P81)</f>
        <v>146</v>
      </c>
      <c r="Q82" s="2061">
        <f t="shared" si="79"/>
        <v>0.13013698630136986</v>
      </c>
      <c r="R82" s="2086">
        <f>SUM(R78:R81)</f>
        <v>16</v>
      </c>
      <c r="S82" s="4271">
        <f>SUM(S78:S81)</f>
        <v>144</v>
      </c>
      <c r="T82" s="2061">
        <f t="shared" si="80"/>
        <v>0.1111111111111111</v>
      </c>
      <c r="U82" s="2086">
        <f>SUM(U78:U81)</f>
        <v>15</v>
      </c>
      <c r="V82" s="4271">
        <f>SUM(V78:V81)</f>
        <v>144</v>
      </c>
      <c r="W82" s="2061">
        <f t="shared" si="58"/>
        <v>0.10416666666666667</v>
      </c>
      <c r="X82" s="2086">
        <v>16</v>
      </c>
      <c r="Y82" s="4271">
        <f>SUM(Y78:Y81)</f>
        <v>135</v>
      </c>
      <c r="Z82" s="2061">
        <f t="shared" si="81"/>
        <v>0.11851851851851852</v>
      </c>
      <c r="AA82" s="2086">
        <f>SUM(AA78:AA81)</f>
        <v>20</v>
      </c>
      <c r="AB82" s="4271">
        <f>SUM(AB78:AB81)</f>
        <v>133</v>
      </c>
      <c r="AC82" s="2061">
        <f t="shared" si="82"/>
        <v>0.15037593984962405</v>
      </c>
    </row>
    <row r="83" spans="1:29" s="1" customFormat="1" ht="15" customHeight="1">
      <c r="A83" s="237"/>
      <c r="B83" s="4341" t="s">
        <v>1082</v>
      </c>
      <c r="C83" s="4370">
        <f>SUM(C82,C77,C72)</f>
        <v>211</v>
      </c>
      <c r="D83" s="4371">
        <f>SUM(D82,D77,D72)</f>
        <v>824</v>
      </c>
      <c r="E83" s="4372">
        <f t="shared" si="75"/>
        <v>0.25606796116504854</v>
      </c>
      <c r="F83" s="4373">
        <v>213</v>
      </c>
      <c r="G83" s="4371">
        <f t="shared" ref="G83" si="95">SUM(G82,G77,G72)</f>
        <v>839</v>
      </c>
      <c r="H83" s="4372">
        <f t="shared" si="76"/>
        <v>0.25387365911799764</v>
      </c>
      <c r="I83" s="4373">
        <v>225</v>
      </c>
      <c r="J83" s="4371">
        <f t="shared" ref="J83" si="96">SUM(J82,J77,J72)</f>
        <v>852</v>
      </c>
      <c r="K83" s="4372">
        <f t="shared" si="77"/>
        <v>0.2640845070422535</v>
      </c>
      <c r="L83" s="4373">
        <v>243</v>
      </c>
      <c r="M83" s="4371">
        <f t="shared" ref="M83" si="97">SUM(M82,M77,M72)</f>
        <v>852</v>
      </c>
      <c r="N83" s="4372">
        <f t="shared" si="78"/>
        <v>0.28521126760563381</v>
      </c>
      <c r="O83" s="4373">
        <v>249</v>
      </c>
      <c r="P83" s="4371">
        <f t="shared" ref="P83" si="98">SUM(P82,P77,P72)</f>
        <v>860</v>
      </c>
      <c r="Q83" s="4372">
        <f t="shared" si="79"/>
        <v>0.28953488372093023</v>
      </c>
      <c r="R83" s="4373">
        <f>SUM(R72,R77,R82)</f>
        <v>247</v>
      </c>
      <c r="S83" s="4374">
        <f>SUM(S72,S77,S82)</f>
        <v>856</v>
      </c>
      <c r="T83" s="4372">
        <f t="shared" si="80"/>
        <v>0.2885514018691589</v>
      </c>
      <c r="U83" s="4373">
        <f>SUM(U72,U77,U82)</f>
        <v>258</v>
      </c>
      <c r="V83" s="4283">
        <f>SUM(V82,V77,V72)</f>
        <v>842</v>
      </c>
      <c r="W83" s="4372">
        <f t="shared" si="58"/>
        <v>0.30641330166270786</v>
      </c>
      <c r="X83" s="4373">
        <f>SUM(X72,X77,X82)</f>
        <v>249</v>
      </c>
      <c r="Y83" s="4283">
        <f>SUM(Y82,Y77,Y72)</f>
        <v>832</v>
      </c>
      <c r="Z83" s="4372">
        <f t="shared" si="81"/>
        <v>0.29927884615384615</v>
      </c>
      <c r="AA83" s="4373">
        <f>SUM(AA72,AA77,AA82)</f>
        <v>247</v>
      </c>
      <c r="AB83" s="4283">
        <f>SUM(AB72,AB77,AB82)</f>
        <v>830</v>
      </c>
      <c r="AC83" s="4372">
        <f t="shared" si="82"/>
        <v>0.29759036144578316</v>
      </c>
    </row>
    <row r="84" spans="1:29" s="1" customFormat="1" ht="18.75" customHeight="1">
      <c r="A84" s="237"/>
      <c r="B84" s="4340" t="s">
        <v>67</v>
      </c>
      <c r="C84" s="2074">
        <f>SUM(C83,C67,C54,C36,C23)</f>
        <v>906</v>
      </c>
      <c r="D84" s="2075">
        <f>SUM(D23,D36,D54,D67,D83)</f>
        <v>2575</v>
      </c>
      <c r="E84" s="2076">
        <f t="shared" si="75"/>
        <v>0.35184466019417476</v>
      </c>
      <c r="F84" s="2087">
        <v>914</v>
      </c>
      <c r="G84" s="2075">
        <f t="shared" ref="G84" si="99">SUM(G23,G36,G54,G67,G83)</f>
        <v>2623</v>
      </c>
      <c r="H84" s="2076">
        <f t="shared" si="76"/>
        <v>0.34845596645062904</v>
      </c>
      <c r="I84" s="2087">
        <v>941</v>
      </c>
      <c r="J84" s="2075">
        <f t="shared" ref="J84" si="100">SUM(J23,J36,J54,J67,J83)</f>
        <v>2663</v>
      </c>
      <c r="K84" s="2076">
        <f t="shared" si="77"/>
        <v>0.35336087119789711</v>
      </c>
      <c r="L84" s="2087">
        <v>1061</v>
      </c>
      <c r="M84" s="2075">
        <f t="shared" ref="M84" si="101">SUM(M23,M36,M54,M67,M83)</f>
        <v>2705</v>
      </c>
      <c r="N84" s="2076">
        <f t="shared" si="78"/>
        <v>0.3922365988909427</v>
      </c>
      <c r="O84" s="2087">
        <v>1084</v>
      </c>
      <c r="P84" s="2075">
        <f t="shared" ref="P84" si="102">SUM(P23,P36,P54,P67,P83)</f>
        <v>2759</v>
      </c>
      <c r="Q84" s="2076">
        <f t="shared" si="79"/>
        <v>0.39289597680318955</v>
      </c>
      <c r="R84" s="2087">
        <f>SUM(R23,R36,R54,R67,R83)</f>
        <v>1110</v>
      </c>
      <c r="S84" s="2088">
        <f>SUM(S23,S36,S54,S67,S83)</f>
        <v>2743</v>
      </c>
      <c r="T84" s="2076">
        <f t="shared" si="80"/>
        <v>0.40466642362376959</v>
      </c>
      <c r="U84" s="2087">
        <f>SUM(U23,U36,U54,U67,U83)</f>
        <v>1170</v>
      </c>
      <c r="V84" s="2088">
        <f>SUM(V83,V67,V54,V36,V23)</f>
        <v>2732</v>
      </c>
      <c r="W84" s="2076">
        <f t="shared" si="58"/>
        <v>0.42825768667642755</v>
      </c>
      <c r="X84" s="2087">
        <f>SUM(X23,X36,X54,X67,X83)</f>
        <v>1163</v>
      </c>
      <c r="Y84" s="2088">
        <f>SUM(Y83,Y67,Y54,Y36,Y23)</f>
        <v>2754</v>
      </c>
      <c r="Z84" s="2089">
        <f t="shared" si="81"/>
        <v>0.42229484386347133</v>
      </c>
      <c r="AA84" s="2087">
        <f>SUM(AA23,AA36,AA54,AA67,AA83)</f>
        <v>1135</v>
      </c>
      <c r="AB84" s="2088">
        <f>SUM(AB23,AB36,AB54,AB67,AB83)</f>
        <v>2776</v>
      </c>
      <c r="AC84" s="2089">
        <f t="shared" si="82"/>
        <v>0.40886167146974062</v>
      </c>
    </row>
  </sheetData>
  <mergeCells count="9">
    <mergeCell ref="C4:E4"/>
    <mergeCell ref="F4:H4"/>
    <mergeCell ref="I4:K4"/>
    <mergeCell ref="L4:N4"/>
    <mergeCell ref="AA4:AC4"/>
    <mergeCell ref="X4:Z4"/>
    <mergeCell ref="U4:W4"/>
    <mergeCell ref="R4:T4"/>
    <mergeCell ref="O4:Q4"/>
  </mergeCells>
  <pageMargins left="0.7" right="0.7" top="0.75" bottom="0.75" header="0.3" footer="0.3"/>
  <pageSetup orientation="portrait" r:id="rId1"/>
  <ignoredErrors>
    <ignoredError sqref="Q6:Q84 Z82" formula="1"/>
    <ignoredError sqref="S82:S84" formulaRange="1"/>
    <ignoredError sqref="T82:T84 AA82" formula="1" formulaRange="1"/>
  </ignoredErrors>
  <drawing r:id="rId2"/>
</worksheet>
</file>

<file path=xl/worksheets/sheet31.xml><?xml version="1.0" encoding="utf-8"?>
<worksheet xmlns="http://schemas.openxmlformats.org/spreadsheetml/2006/main" xmlns:r="http://schemas.openxmlformats.org/officeDocument/2006/relationships">
  <sheetPr>
    <tabColor theme="4" tint="-0.499984740745262"/>
    <pageSetUpPr fitToPage="1"/>
  </sheetPr>
  <dimension ref="A1:H118"/>
  <sheetViews>
    <sheetView zoomScaleSheetLayoutView="70" workbookViewId="0">
      <pane xSplit="2" ySplit="4" topLeftCell="C5" activePane="bottomRight" state="frozen"/>
      <selection activeCell="Z16" sqref="Z16"/>
      <selection pane="topRight" activeCell="Z16" sqref="Z16"/>
      <selection pane="bottomLeft" activeCell="Z16" sqref="Z16"/>
      <selection pane="bottomRight" activeCell="U84" sqref="U84"/>
    </sheetView>
  </sheetViews>
  <sheetFormatPr baseColWidth="10" defaultRowHeight="12.75"/>
  <cols>
    <col min="1" max="1" width="2.7109375" style="452" customWidth="1"/>
    <col min="2" max="2" width="45.140625" style="82" bestFit="1" customWidth="1"/>
    <col min="3" max="5" width="9.7109375" style="82" customWidth="1"/>
    <col min="6" max="6" width="7.28515625" style="82" customWidth="1"/>
    <col min="7" max="7" width="10.42578125" style="82" customWidth="1"/>
    <col min="8" max="8" width="8.7109375" style="82" customWidth="1"/>
    <col min="9" max="12" width="5.7109375" style="82" customWidth="1"/>
    <col min="13" max="13" width="7.28515625" style="82" bestFit="1" customWidth="1"/>
    <col min="14" max="15" width="8.7109375" style="82" customWidth="1"/>
    <col min="16" max="16" width="3.7109375" style="82" customWidth="1"/>
    <col min="17" max="16384" width="11.42578125" style="82"/>
  </cols>
  <sheetData>
    <row r="1" spans="1:8" ht="15">
      <c r="A1" s="1683"/>
      <c r="B1" s="451"/>
    </row>
    <row r="2" spans="1:8" ht="63">
      <c r="B2" s="4334" t="s">
        <v>2485</v>
      </c>
    </row>
    <row r="3" spans="1:8" ht="15">
      <c r="B3" s="128"/>
      <c r="C3" s="5218">
        <v>2017</v>
      </c>
      <c r="D3" s="5219"/>
      <c r="E3" s="5220"/>
      <c r="F3" s="5218">
        <v>2018</v>
      </c>
      <c r="G3" s="5219"/>
      <c r="H3" s="5220"/>
    </row>
    <row r="4" spans="1:8" ht="26.25" thickBot="1">
      <c r="B4" s="4336" t="s">
        <v>2868</v>
      </c>
      <c r="C4" s="4338" t="s">
        <v>83</v>
      </c>
      <c r="D4" s="4290" t="s">
        <v>1136</v>
      </c>
      <c r="E4" s="4355" t="s">
        <v>76</v>
      </c>
      <c r="F4" s="4338" t="s">
        <v>83</v>
      </c>
      <c r="G4" s="4290" t="s">
        <v>1136</v>
      </c>
      <c r="H4" s="4355" t="s">
        <v>76</v>
      </c>
    </row>
    <row r="5" spans="1:8" ht="15">
      <c r="B5" s="4335" t="s">
        <v>1150</v>
      </c>
      <c r="C5" s="1652">
        <v>50</v>
      </c>
      <c r="D5" s="1652">
        <v>101</v>
      </c>
      <c r="E5" s="1657">
        <f>C5/D5</f>
        <v>0.49504950495049505</v>
      </c>
      <c r="F5" s="1652">
        <v>49</v>
      </c>
      <c r="G5" s="1652">
        <v>101</v>
      </c>
      <c r="H5" s="1657">
        <f>F5/G5</f>
        <v>0.48514851485148514</v>
      </c>
    </row>
    <row r="6" spans="1:8" ht="15">
      <c r="B6" s="1660" t="s">
        <v>1151</v>
      </c>
      <c r="C6" s="1645">
        <v>9</v>
      </c>
      <c r="D6" s="1645">
        <v>18</v>
      </c>
      <c r="E6" s="1655">
        <f t="shared" ref="E6:E60" si="0">C6/D6</f>
        <v>0.5</v>
      </c>
      <c r="F6" s="1645">
        <v>8</v>
      </c>
      <c r="G6" s="1645">
        <v>21</v>
      </c>
      <c r="H6" s="1655">
        <f t="shared" ref="H6:H60" si="1">F6/G6</f>
        <v>0.38095238095238093</v>
      </c>
    </row>
    <row r="7" spans="1:8" ht="15">
      <c r="B7" s="1660" t="s">
        <v>1152</v>
      </c>
      <c r="C7" s="1645">
        <v>26</v>
      </c>
      <c r="D7" s="1645">
        <v>44</v>
      </c>
      <c r="E7" s="1655">
        <f t="shared" si="0"/>
        <v>0.59090909090909094</v>
      </c>
      <c r="F7" s="1645">
        <v>22</v>
      </c>
      <c r="G7" s="1645">
        <v>41</v>
      </c>
      <c r="H7" s="1655">
        <f t="shared" si="1"/>
        <v>0.53658536585365857</v>
      </c>
    </row>
    <row r="8" spans="1:8" ht="15">
      <c r="B8" s="1660" t="s">
        <v>1153</v>
      </c>
      <c r="C8" s="1645">
        <v>19</v>
      </c>
      <c r="D8" s="1645">
        <v>30</v>
      </c>
      <c r="E8" s="1655">
        <f t="shared" si="0"/>
        <v>0.6333333333333333</v>
      </c>
      <c r="F8" s="1645">
        <v>19</v>
      </c>
      <c r="G8" s="1645">
        <v>34</v>
      </c>
      <c r="H8" s="1655">
        <f t="shared" si="1"/>
        <v>0.55882352941176472</v>
      </c>
    </row>
    <row r="9" spans="1:8" ht="15.75" thickBot="1">
      <c r="B9" s="1661" t="s">
        <v>1154</v>
      </c>
      <c r="C9" s="1645">
        <v>16</v>
      </c>
      <c r="D9" s="1645">
        <v>31</v>
      </c>
      <c r="E9" s="1655">
        <f t="shared" si="0"/>
        <v>0.5161290322580645</v>
      </c>
      <c r="F9" s="1645">
        <v>15</v>
      </c>
      <c r="G9" s="1645">
        <v>32</v>
      </c>
      <c r="H9" s="1655">
        <f t="shared" si="1"/>
        <v>0.46875</v>
      </c>
    </row>
    <row r="10" spans="1:8" ht="15.75" thickBot="1">
      <c r="B10" s="4177" t="s">
        <v>4</v>
      </c>
      <c r="C10" s="1646">
        <v>120</v>
      </c>
      <c r="D10" s="1646">
        <v>224</v>
      </c>
      <c r="E10" s="1656">
        <f t="shared" si="0"/>
        <v>0.5357142857142857</v>
      </c>
      <c r="F10" s="1646">
        <v>113</v>
      </c>
      <c r="G10" s="1646">
        <v>229</v>
      </c>
      <c r="H10" s="1656">
        <f t="shared" si="1"/>
        <v>0.49344978165938863</v>
      </c>
    </row>
    <row r="11" spans="1:8" ht="15">
      <c r="B11" s="1659" t="s">
        <v>1155</v>
      </c>
      <c r="C11" s="1645">
        <v>12</v>
      </c>
      <c r="D11" s="1645">
        <v>29</v>
      </c>
      <c r="E11" s="1655">
        <f t="shared" si="0"/>
        <v>0.41379310344827586</v>
      </c>
      <c r="F11" s="1645">
        <v>13</v>
      </c>
      <c r="G11" s="1645">
        <v>29</v>
      </c>
      <c r="H11" s="1655">
        <f t="shared" si="1"/>
        <v>0.44827586206896552</v>
      </c>
    </row>
    <row r="12" spans="1:8" ht="15">
      <c r="B12" s="1662" t="s">
        <v>1156</v>
      </c>
      <c r="C12" s="1647">
        <v>18</v>
      </c>
      <c r="D12" s="1647">
        <v>22</v>
      </c>
      <c r="E12" s="1655">
        <f t="shared" si="0"/>
        <v>0.81818181818181823</v>
      </c>
      <c r="F12" s="1647">
        <v>16</v>
      </c>
      <c r="G12" s="1647">
        <v>25</v>
      </c>
      <c r="H12" s="1655">
        <f t="shared" si="1"/>
        <v>0.64</v>
      </c>
    </row>
    <row r="13" spans="1:8" ht="15">
      <c r="B13" s="1662" t="s">
        <v>1157</v>
      </c>
      <c r="C13" s="1647">
        <v>27</v>
      </c>
      <c r="D13" s="1647">
        <v>43</v>
      </c>
      <c r="E13" s="1655">
        <f t="shared" si="0"/>
        <v>0.62790697674418605</v>
      </c>
      <c r="F13" s="1647">
        <v>28</v>
      </c>
      <c r="G13" s="1647">
        <v>43</v>
      </c>
      <c r="H13" s="1655">
        <f t="shared" si="1"/>
        <v>0.65116279069767447</v>
      </c>
    </row>
    <row r="14" spans="1:8" ht="15">
      <c r="B14" s="1662" t="s">
        <v>854</v>
      </c>
      <c r="C14" s="1645">
        <v>16</v>
      </c>
      <c r="D14" s="1645">
        <v>28</v>
      </c>
      <c r="E14" s="1655">
        <f t="shared" si="0"/>
        <v>0.5714285714285714</v>
      </c>
      <c r="F14" s="1645">
        <v>20</v>
      </c>
      <c r="G14" s="1645">
        <v>31</v>
      </c>
      <c r="H14" s="1655">
        <f t="shared" si="1"/>
        <v>0.64516129032258063</v>
      </c>
    </row>
    <row r="15" spans="1:8" ht="15.75" thickBot="1">
      <c r="B15" s="1663" t="s">
        <v>1158</v>
      </c>
      <c r="C15" s="1647">
        <v>45</v>
      </c>
      <c r="D15" s="1647">
        <v>55</v>
      </c>
      <c r="E15" s="1655">
        <f t="shared" si="0"/>
        <v>0.81818181818181823</v>
      </c>
      <c r="F15" s="1647">
        <v>40</v>
      </c>
      <c r="G15" s="1647">
        <v>59</v>
      </c>
      <c r="H15" s="1655">
        <f t="shared" si="1"/>
        <v>0.67796610169491522</v>
      </c>
    </row>
    <row r="16" spans="1:8" ht="15.75" thickBot="1">
      <c r="B16" s="4177" t="s">
        <v>16</v>
      </c>
      <c r="C16" s="1646">
        <v>118</v>
      </c>
      <c r="D16" s="1646">
        <v>177</v>
      </c>
      <c r="E16" s="1656">
        <f t="shared" si="0"/>
        <v>0.66666666666666663</v>
      </c>
      <c r="F16" s="1646">
        <v>117</v>
      </c>
      <c r="G16" s="1646">
        <v>187</v>
      </c>
      <c r="H16" s="1656">
        <f t="shared" si="1"/>
        <v>0.62566844919786091</v>
      </c>
    </row>
    <row r="17" spans="2:8" ht="15">
      <c r="B17" s="1664" t="s">
        <v>1649</v>
      </c>
      <c r="C17" s="1645">
        <v>4</v>
      </c>
      <c r="D17" s="1645">
        <v>13</v>
      </c>
      <c r="E17" s="1655">
        <f t="shared" si="0"/>
        <v>0.30769230769230771</v>
      </c>
      <c r="F17" s="1645">
        <v>4</v>
      </c>
      <c r="G17" s="1645">
        <v>14</v>
      </c>
      <c r="H17" s="1655">
        <f t="shared" si="1"/>
        <v>0.2857142857142857</v>
      </c>
    </row>
    <row r="18" spans="2:8" ht="15">
      <c r="B18" s="1664" t="s">
        <v>1650</v>
      </c>
      <c r="C18" s="1645">
        <v>3</v>
      </c>
      <c r="D18" s="1645">
        <v>8</v>
      </c>
      <c r="E18" s="1655">
        <f t="shared" si="0"/>
        <v>0.375</v>
      </c>
      <c r="F18" s="1645">
        <v>2</v>
      </c>
      <c r="G18" s="1645">
        <v>19</v>
      </c>
      <c r="H18" s="1655">
        <f t="shared" si="1"/>
        <v>0.10526315789473684</v>
      </c>
    </row>
    <row r="19" spans="2:8" ht="15">
      <c r="B19" s="1662" t="s">
        <v>1162</v>
      </c>
      <c r="C19" s="1645">
        <v>5</v>
      </c>
      <c r="D19" s="1645">
        <v>13</v>
      </c>
      <c r="E19" s="1655">
        <f t="shared" si="0"/>
        <v>0.38461538461538464</v>
      </c>
      <c r="F19" s="1645">
        <v>4</v>
      </c>
      <c r="G19" s="1645">
        <v>11</v>
      </c>
      <c r="H19" s="1655">
        <f t="shared" si="1"/>
        <v>0.36363636363636365</v>
      </c>
    </row>
    <row r="20" spans="2:8" ht="15.75" thickBot="1">
      <c r="B20" s="1663" t="s">
        <v>1651</v>
      </c>
      <c r="C20" s="1645">
        <v>3</v>
      </c>
      <c r="D20" s="1645">
        <v>15</v>
      </c>
      <c r="E20" s="1655">
        <f t="shared" si="0"/>
        <v>0.2</v>
      </c>
      <c r="F20" s="1645">
        <v>4</v>
      </c>
      <c r="G20" s="1645">
        <v>18</v>
      </c>
      <c r="H20" s="1655">
        <f t="shared" si="1"/>
        <v>0.22222222222222221</v>
      </c>
    </row>
    <row r="21" spans="2:8" ht="15" customHeight="1">
      <c r="B21" s="4178" t="s">
        <v>21</v>
      </c>
      <c r="C21" s="1653">
        <v>15</v>
      </c>
      <c r="D21" s="1653">
        <v>49</v>
      </c>
      <c r="E21" s="1656">
        <f t="shared" si="0"/>
        <v>0.30612244897959184</v>
      </c>
      <c r="F21" s="1653">
        <v>14</v>
      </c>
      <c r="G21" s="1653">
        <v>62</v>
      </c>
      <c r="H21" s="1656">
        <f t="shared" si="1"/>
        <v>0.22580645161290322</v>
      </c>
    </row>
    <row r="22" spans="2:8" ht="15" customHeight="1">
      <c r="B22" s="4352" t="s">
        <v>1071</v>
      </c>
      <c r="C22" s="4353">
        <v>253</v>
      </c>
      <c r="D22" s="4353">
        <v>450</v>
      </c>
      <c r="E22" s="4354">
        <f t="shared" si="0"/>
        <v>0.56222222222222218</v>
      </c>
      <c r="F22" s="4353">
        <v>244</v>
      </c>
      <c r="G22" s="4353">
        <v>478</v>
      </c>
      <c r="H22" s="4354">
        <f t="shared" si="1"/>
        <v>0.5104602510460251</v>
      </c>
    </row>
    <row r="23" spans="2:8" ht="15">
      <c r="B23" s="1659" t="s">
        <v>1165</v>
      </c>
      <c r="C23" s="1648">
        <v>10</v>
      </c>
      <c r="D23" s="1648">
        <v>18</v>
      </c>
      <c r="E23" s="1657">
        <f t="shared" si="0"/>
        <v>0.55555555555555558</v>
      </c>
      <c r="F23" s="1648">
        <v>9</v>
      </c>
      <c r="G23" s="1648">
        <v>12</v>
      </c>
      <c r="H23" s="1657">
        <f t="shared" si="1"/>
        <v>0.75</v>
      </c>
    </row>
    <row r="24" spans="2:8" ht="15">
      <c r="B24" s="1662" t="s">
        <v>1166</v>
      </c>
      <c r="C24" s="1645">
        <v>6</v>
      </c>
      <c r="D24" s="1645">
        <v>15</v>
      </c>
      <c r="E24" s="1655">
        <f t="shared" si="0"/>
        <v>0.4</v>
      </c>
      <c r="F24" s="1645">
        <v>5</v>
      </c>
      <c r="G24" s="1645">
        <v>15</v>
      </c>
      <c r="H24" s="1655">
        <f t="shared" si="1"/>
        <v>0.33333333333333331</v>
      </c>
    </row>
    <row r="25" spans="2:8" ht="15.75" thickBot="1">
      <c r="B25" s="1663" t="s">
        <v>1167</v>
      </c>
      <c r="C25" s="1645">
        <v>5</v>
      </c>
      <c r="D25" s="1645">
        <v>15</v>
      </c>
      <c r="E25" s="1655">
        <f t="shared" si="0"/>
        <v>0.33333333333333331</v>
      </c>
      <c r="F25" s="1645">
        <v>6</v>
      </c>
      <c r="G25" s="1645">
        <v>11</v>
      </c>
      <c r="H25" s="1655">
        <f t="shared" si="1"/>
        <v>0.54545454545454541</v>
      </c>
    </row>
    <row r="26" spans="2:8" ht="15.75" thickBot="1">
      <c r="B26" s="4177" t="s">
        <v>61</v>
      </c>
      <c r="C26" s="1649">
        <v>21</v>
      </c>
      <c r="D26" s="1649">
        <v>48</v>
      </c>
      <c r="E26" s="1656">
        <f t="shared" si="0"/>
        <v>0.4375</v>
      </c>
      <c r="F26" s="1649">
        <v>20</v>
      </c>
      <c r="G26" s="1649">
        <v>38</v>
      </c>
      <c r="H26" s="1656">
        <f t="shared" si="1"/>
        <v>0.52631578947368418</v>
      </c>
    </row>
    <row r="27" spans="2:8" ht="15">
      <c r="B27" s="1665" t="s">
        <v>1168</v>
      </c>
      <c r="C27" s="1645">
        <v>11</v>
      </c>
      <c r="D27" s="1645">
        <v>21</v>
      </c>
      <c r="E27" s="1655">
        <f t="shared" si="0"/>
        <v>0.52380952380952384</v>
      </c>
      <c r="F27" s="1645">
        <v>12</v>
      </c>
      <c r="G27" s="1645">
        <v>13</v>
      </c>
      <c r="H27" s="1655">
        <f t="shared" si="1"/>
        <v>0.92307692307692313</v>
      </c>
    </row>
    <row r="28" spans="2:8" ht="15">
      <c r="B28" s="1662" t="s">
        <v>1169</v>
      </c>
      <c r="C28" s="1645">
        <v>16</v>
      </c>
      <c r="D28" s="1645">
        <v>30</v>
      </c>
      <c r="E28" s="1655">
        <f t="shared" si="0"/>
        <v>0.53333333333333333</v>
      </c>
      <c r="F28" s="1645">
        <v>16</v>
      </c>
      <c r="G28" s="1645">
        <v>18</v>
      </c>
      <c r="H28" s="1655">
        <f t="shared" si="1"/>
        <v>0.88888888888888884</v>
      </c>
    </row>
    <row r="29" spans="2:8" ht="15.75" thickBot="1">
      <c r="B29" s="1662" t="s">
        <v>1170</v>
      </c>
      <c r="C29" s="1647">
        <v>18</v>
      </c>
      <c r="D29" s="1647">
        <v>23</v>
      </c>
      <c r="E29" s="1655">
        <f t="shared" si="0"/>
        <v>0.78260869565217395</v>
      </c>
      <c r="F29" s="1647">
        <v>26</v>
      </c>
      <c r="G29" s="1647">
        <v>17</v>
      </c>
      <c r="H29" s="1655">
        <f t="shared" si="1"/>
        <v>1.5294117647058822</v>
      </c>
    </row>
    <row r="30" spans="2:8" ht="15.75" thickBot="1">
      <c r="B30" s="4177" t="s">
        <v>64</v>
      </c>
      <c r="C30" s="1649">
        <v>45</v>
      </c>
      <c r="D30" s="1649">
        <v>74</v>
      </c>
      <c r="E30" s="1656">
        <f t="shared" si="0"/>
        <v>0.60810810810810811</v>
      </c>
      <c r="F30" s="1649">
        <v>54</v>
      </c>
      <c r="G30" s="1649">
        <v>48</v>
      </c>
      <c r="H30" s="1656">
        <f t="shared" si="1"/>
        <v>1.125</v>
      </c>
    </row>
    <row r="31" spans="2:8" ht="15">
      <c r="B31" s="1665" t="s">
        <v>1171</v>
      </c>
      <c r="C31" s="1645">
        <v>19</v>
      </c>
      <c r="D31" s="1645">
        <v>23</v>
      </c>
      <c r="E31" s="1655">
        <f t="shared" si="0"/>
        <v>0.82608695652173914</v>
      </c>
      <c r="F31" s="1645">
        <v>15</v>
      </c>
      <c r="G31" s="1645">
        <v>17</v>
      </c>
      <c r="H31" s="1655">
        <f t="shared" si="1"/>
        <v>0.88235294117647056</v>
      </c>
    </row>
    <row r="32" spans="2:8" ht="15">
      <c r="B32" s="1662" t="s">
        <v>1172</v>
      </c>
      <c r="C32" s="1645">
        <v>10</v>
      </c>
      <c r="D32" s="1645">
        <v>23</v>
      </c>
      <c r="E32" s="1655">
        <f t="shared" si="0"/>
        <v>0.43478260869565216</v>
      </c>
      <c r="F32" s="1645">
        <v>7</v>
      </c>
      <c r="G32" s="1645">
        <v>22</v>
      </c>
      <c r="H32" s="1655">
        <f t="shared" si="1"/>
        <v>0.31818181818181818</v>
      </c>
    </row>
    <row r="33" spans="2:8" ht="15.75" thickBot="1">
      <c r="B33" s="1663" t="s">
        <v>854</v>
      </c>
      <c r="C33" s="1645">
        <v>23</v>
      </c>
      <c r="D33" s="1645">
        <v>28</v>
      </c>
      <c r="E33" s="1655">
        <f t="shared" si="0"/>
        <v>0.8214285714285714</v>
      </c>
      <c r="F33" s="1645">
        <v>22</v>
      </c>
      <c r="G33" s="1645">
        <v>22</v>
      </c>
      <c r="H33" s="1655">
        <f t="shared" si="1"/>
        <v>1</v>
      </c>
    </row>
    <row r="34" spans="2:8" ht="15">
      <c r="B34" s="4178" t="s">
        <v>16</v>
      </c>
      <c r="C34" s="1651">
        <v>52</v>
      </c>
      <c r="D34" s="1651">
        <v>74</v>
      </c>
      <c r="E34" s="1656">
        <f t="shared" si="0"/>
        <v>0.70270270270270274</v>
      </c>
      <c r="F34" s="1651">
        <v>44</v>
      </c>
      <c r="G34" s="1651">
        <v>61</v>
      </c>
      <c r="H34" s="1656">
        <f t="shared" si="1"/>
        <v>0.72131147540983609</v>
      </c>
    </row>
    <row r="35" spans="2:8" ht="15" customHeight="1">
      <c r="B35" s="4350" t="s">
        <v>1074</v>
      </c>
      <c r="C35" s="1650">
        <v>118</v>
      </c>
      <c r="D35" s="1650">
        <v>196</v>
      </c>
      <c r="E35" s="4351">
        <f t="shared" si="0"/>
        <v>0.60204081632653061</v>
      </c>
      <c r="F35" s="1650">
        <v>118</v>
      </c>
      <c r="G35" s="1650">
        <v>147</v>
      </c>
      <c r="H35" s="4351">
        <f t="shared" si="1"/>
        <v>0.80272108843537415</v>
      </c>
    </row>
    <row r="36" spans="2:8" ht="15">
      <c r="B36" s="1659" t="s">
        <v>1173</v>
      </c>
      <c r="C36" s="1644">
        <v>52</v>
      </c>
      <c r="D36" s="1644">
        <v>59</v>
      </c>
      <c r="E36" s="1657">
        <f t="shared" si="0"/>
        <v>0.88135593220338981</v>
      </c>
      <c r="F36" s="1644">
        <v>48</v>
      </c>
      <c r="G36" s="1644">
        <v>56</v>
      </c>
      <c r="H36" s="1657">
        <f t="shared" si="1"/>
        <v>0.8571428571428571</v>
      </c>
    </row>
    <row r="37" spans="2:8" ht="15">
      <c r="B37" s="1662" t="s">
        <v>1174</v>
      </c>
      <c r="C37" s="1647">
        <v>32</v>
      </c>
      <c r="D37" s="1647">
        <v>41</v>
      </c>
      <c r="E37" s="1655">
        <f t="shared" si="0"/>
        <v>0.78048780487804881</v>
      </c>
      <c r="F37" s="1647">
        <v>30</v>
      </c>
      <c r="G37" s="1647">
        <v>33</v>
      </c>
      <c r="H37" s="1655">
        <f t="shared" si="1"/>
        <v>0.90909090909090906</v>
      </c>
    </row>
    <row r="38" spans="2:8" ht="15">
      <c r="B38" s="1662" t="s">
        <v>1175</v>
      </c>
      <c r="C38" s="1647">
        <v>21</v>
      </c>
      <c r="D38" s="1647">
        <v>49</v>
      </c>
      <c r="E38" s="1655">
        <f t="shared" si="0"/>
        <v>0.42857142857142855</v>
      </c>
      <c r="F38" s="1647">
        <v>25</v>
      </c>
      <c r="G38" s="1647">
        <v>43</v>
      </c>
      <c r="H38" s="1655">
        <f t="shared" si="1"/>
        <v>0.58139534883720934</v>
      </c>
    </row>
    <row r="39" spans="2:8" ht="15">
      <c r="B39" s="1662" t="s">
        <v>1176</v>
      </c>
      <c r="C39" s="1647">
        <v>46</v>
      </c>
      <c r="D39" s="1647">
        <v>67</v>
      </c>
      <c r="E39" s="1655">
        <f t="shared" si="0"/>
        <v>0.68656716417910446</v>
      </c>
      <c r="F39" s="1647">
        <v>44</v>
      </c>
      <c r="G39" s="1647">
        <v>51</v>
      </c>
      <c r="H39" s="1655">
        <f t="shared" si="1"/>
        <v>0.86274509803921573</v>
      </c>
    </row>
    <row r="40" spans="2:8" ht="15.75" thickBot="1">
      <c r="B40" s="1663" t="s">
        <v>1177</v>
      </c>
      <c r="C40" s="1647">
        <v>64</v>
      </c>
      <c r="D40" s="1647">
        <v>64</v>
      </c>
      <c r="E40" s="1655">
        <f t="shared" si="0"/>
        <v>1</v>
      </c>
      <c r="F40" s="1647">
        <v>65</v>
      </c>
      <c r="G40" s="1647">
        <v>51</v>
      </c>
      <c r="H40" s="1655">
        <f t="shared" si="1"/>
        <v>1.2745098039215685</v>
      </c>
    </row>
    <row r="41" spans="2:8" ht="15.75" thickBot="1">
      <c r="B41" s="4177" t="s">
        <v>4</v>
      </c>
      <c r="C41" s="1646">
        <v>215</v>
      </c>
      <c r="D41" s="1646">
        <v>280</v>
      </c>
      <c r="E41" s="1656">
        <f t="shared" si="0"/>
        <v>0.7678571428571429</v>
      </c>
      <c r="F41" s="1646">
        <v>212</v>
      </c>
      <c r="G41" s="1646">
        <v>234</v>
      </c>
      <c r="H41" s="1656">
        <f t="shared" si="1"/>
        <v>0.90598290598290598</v>
      </c>
    </row>
    <row r="42" spans="2:8" ht="15">
      <c r="B42" s="1665" t="s">
        <v>1178</v>
      </c>
      <c r="C42" s="1645">
        <v>15</v>
      </c>
      <c r="D42" s="1645">
        <v>30</v>
      </c>
      <c r="E42" s="1655">
        <f t="shared" si="0"/>
        <v>0.5</v>
      </c>
      <c r="F42" s="1645">
        <v>18</v>
      </c>
      <c r="G42" s="1645">
        <v>31</v>
      </c>
      <c r="H42" s="1655">
        <f t="shared" si="1"/>
        <v>0.58064516129032262</v>
      </c>
    </row>
    <row r="43" spans="2:8" ht="15">
      <c r="B43" s="1662" t="s">
        <v>1210</v>
      </c>
      <c r="C43" s="1647">
        <v>20</v>
      </c>
      <c r="D43" s="1647">
        <v>39</v>
      </c>
      <c r="E43" s="1655">
        <f t="shared" si="0"/>
        <v>0.51282051282051277</v>
      </c>
      <c r="F43" s="1647">
        <v>17</v>
      </c>
      <c r="G43" s="1647">
        <v>33</v>
      </c>
      <c r="H43" s="1655">
        <f t="shared" si="1"/>
        <v>0.51515151515151514</v>
      </c>
    </row>
    <row r="44" spans="2:8" ht="15">
      <c r="B44" s="1662" t="s">
        <v>1180</v>
      </c>
      <c r="C44" s="1647">
        <v>47</v>
      </c>
      <c r="D44" s="1647">
        <v>55</v>
      </c>
      <c r="E44" s="1655">
        <f t="shared" si="0"/>
        <v>0.8545454545454545</v>
      </c>
      <c r="F44" s="1647">
        <v>38</v>
      </c>
      <c r="G44" s="1647">
        <v>43</v>
      </c>
      <c r="H44" s="1655">
        <f t="shared" si="1"/>
        <v>0.88372093023255816</v>
      </c>
    </row>
    <row r="45" spans="2:8" ht="15">
      <c r="B45" s="1662" t="s">
        <v>1181</v>
      </c>
      <c r="C45" s="1645">
        <v>38</v>
      </c>
      <c r="D45" s="1645">
        <v>53</v>
      </c>
      <c r="E45" s="1655">
        <f t="shared" si="0"/>
        <v>0.71698113207547165</v>
      </c>
      <c r="F45" s="1645">
        <v>34</v>
      </c>
      <c r="G45" s="1645">
        <v>46</v>
      </c>
      <c r="H45" s="1655">
        <f t="shared" si="1"/>
        <v>0.73913043478260865</v>
      </c>
    </row>
    <row r="46" spans="2:8" ht="15.75" thickBot="1">
      <c r="B46" s="1663" t="s">
        <v>1182</v>
      </c>
      <c r="C46" s="1645">
        <v>9</v>
      </c>
      <c r="D46" s="1645">
        <v>28</v>
      </c>
      <c r="E46" s="1655">
        <f t="shared" si="0"/>
        <v>0.32142857142857145</v>
      </c>
      <c r="F46" s="1645">
        <v>11</v>
      </c>
      <c r="G46" s="1645">
        <v>22</v>
      </c>
      <c r="H46" s="1655">
        <f t="shared" si="1"/>
        <v>0.5</v>
      </c>
    </row>
    <row r="47" spans="2:8" ht="15.75" thickBot="1">
      <c r="B47" s="4177" t="s">
        <v>41</v>
      </c>
      <c r="C47" s="1649">
        <v>129</v>
      </c>
      <c r="D47" s="1649">
        <v>205</v>
      </c>
      <c r="E47" s="1656">
        <f t="shared" si="0"/>
        <v>0.62926829268292683</v>
      </c>
      <c r="F47" s="1649">
        <v>118</v>
      </c>
      <c r="G47" s="1649">
        <v>175</v>
      </c>
      <c r="H47" s="1656">
        <f t="shared" si="1"/>
        <v>0.67428571428571427</v>
      </c>
    </row>
    <row r="48" spans="2:8" ht="15">
      <c r="B48" s="1665" t="s">
        <v>1183</v>
      </c>
      <c r="C48" s="1647">
        <v>24</v>
      </c>
      <c r="D48" s="1647">
        <v>22</v>
      </c>
      <c r="E48" s="1655">
        <f t="shared" si="0"/>
        <v>1.0909090909090908</v>
      </c>
      <c r="F48" s="1647">
        <v>23</v>
      </c>
      <c r="G48" s="1647">
        <v>22</v>
      </c>
      <c r="H48" s="1655">
        <f t="shared" si="1"/>
        <v>1.0454545454545454</v>
      </c>
    </row>
    <row r="49" spans="2:8" ht="15">
      <c r="B49" s="1662" t="s">
        <v>1157</v>
      </c>
      <c r="C49" s="1647">
        <v>29</v>
      </c>
      <c r="D49" s="1647">
        <v>53</v>
      </c>
      <c r="E49" s="1655">
        <f t="shared" si="0"/>
        <v>0.54716981132075471</v>
      </c>
      <c r="F49" s="1647">
        <v>30</v>
      </c>
      <c r="G49" s="1647">
        <v>61</v>
      </c>
      <c r="H49" s="1655">
        <f t="shared" si="1"/>
        <v>0.49180327868852458</v>
      </c>
    </row>
    <row r="50" spans="2:8" ht="15">
      <c r="B50" s="1662" t="s">
        <v>1184</v>
      </c>
      <c r="C50" s="1647">
        <v>53</v>
      </c>
      <c r="D50" s="1647">
        <v>78</v>
      </c>
      <c r="E50" s="1655">
        <f t="shared" si="0"/>
        <v>0.67948717948717952</v>
      </c>
      <c r="F50" s="1647">
        <v>51</v>
      </c>
      <c r="G50" s="1647">
        <v>76</v>
      </c>
      <c r="H50" s="1655">
        <f t="shared" si="1"/>
        <v>0.67105263157894735</v>
      </c>
    </row>
    <row r="51" spans="2:8" ht="15.75" thickBot="1">
      <c r="B51" s="1663" t="s">
        <v>1158</v>
      </c>
      <c r="C51" s="1647">
        <v>42</v>
      </c>
      <c r="D51" s="1647">
        <v>76</v>
      </c>
      <c r="E51" s="1655">
        <f t="shared" si="0"/>
        <v>0.55263157894736847</v>
      </c>
      <c r="F51" s="1647">
        <v>41</v>
      </c>
      <c r="G51" s="1647">
        <v>69</v>
      </c>
      <c r="H51" s="1655">
        <f t="shared" si="1"/>
        <v>0.59420289855072461</v>
      </c>
    </row>
    <row r="52" spans="2:8" ht="15">
      <c r="B52" s="4178" t="s">
        <v>16</v>
      </c>
      <c r="C52" s="1651">
        <v>148</v>
      </c>
      <c r="D52" s="1651">
        <v>229</v>
      </c>
      <c r="E52" s="1656">
        <f t="shared" si="0"/>
        <v>0.64628820960698685</v>
      </c>
      <c r="F52" s="1651">
        <v>145</v>
      </c>
      <c r="G52" s="1651">
        <v>228</v>
      </c>
      <c r="H52" s="1656">
        <f t="shared" si="1"/>
        <v>0.63596491228070173</v>
      </c>
    </row>
    <row r="53" spans="2:8" ht="15" customHeight="1">
      <c r="B53" s="4347" t="s">
        <v>1077</v>
      </c>
      <c r="C53" s="4348">
        <v>492</v>
      </c>
      <c r="D53" s="4348">
        <v>714</v>
      </c>
      <c r="E53" s="4349">
        <f t="shared" si="0"/>
        <v>0.68907563025210083</v>
      </c>
      <c r="F53" s="4348">
        <v>475</v>
      </c>
      <c r="G53" s="4348">
        <v>637</v>
      </c>
      <c r="H53" s="4349">
        <f t="shared" si="1"/>
        <v>0.7456828885400314</v>
      </c>
    </row>
    <row r="54" spans="2:8" ht="15">
      <c r="B54" s="1666" t="s">
        <v>1186</v>
      </c>
      <c r="C54" s="1652">
        <v>1</v>
      </c>
      <c r="D54" s="1652">
        <v>5</v>
      </c>
      <c r="E54" s="1657">
        <f t="shared" si="0"/>
        <v>0.2</v>
      </c>
      <c r="F54" s="1652">
        <v>2</v>
      </c>
      <c r="G54" s="1652">
        <v>4</v>
      </c>
      <c r="H54" s="1657">
        <f t="shared" si="1"/>
        <v>0.5</v>
      </c>
    </row>
    <row r="55" spans="2:8" ht="15">
      <c r="B55" s="1667" t="s">
        <v>1187</v>
      </c>
      <c r="C55" s="1647">
        <v>10</v>
      </c>
      <c r="D55" s="1647">
        <v>9</v>
      </c>
      <c r="E55" s="1655">
        <f t="shared" si="0"/>
        <v>1.1111111111111112</v>
      </c>
      <c r="F55" s="1647">
        <v>8</v>
      </c>
      <c r="G55" s="1647">
        <v>11</v>
      </c>
      <c r="H55" s="1655">
        <f t="shared" si="1"/>
        <v>0.72727272727272729</v>
      </c>
    </row>
    <row r="56" spans="2:8" ht="15.75" thickBot="1">
      <c r="B56" s="1668" t="s">
        <v>1188</v>
      </c>
      <c r="C56" s="1647">
        <v>2</v>
      </c>
      <c r="D56" s="1647">
        <v>3</v>
      </c>
      <c r="E56" s="1655">
        <f t="shared" si="0"/>
        <v>0.66666666666666663</v>
      </c>
      <c r="F56" s="1647">
        <v>4</v>
      </c>
      <c r="G56" s="1647">
        <v>3</v>
      </c>
      <c r="H56" s="1655">
        <f t="shared" si="1"/>
        <v>1.3333333333333333</v>
      </c>
    </row>
    <row r="57" spans="2:8" ht="15.75" thickBot="1">
      <c r="B57" s="4177" t="s">
        <v>4</v>
      </c>
      <c r="C57" s="1649">
        <v>13</v>
      </c>
      <c r="D57" s="1649">
        <v>17</v>
      </c>
      <c r="E57" s="1656">
        <f t="shared" si="0"/>
        <v>0.76470588235294112</v>
      </c>
      <c r="F57" s="1649">
        <v>14</v>
      </c>
      <c r="G57" s="1649">
        <v>18</v>
      </c>
      <c r="H57" s="1656">
        <f t="shared" si="1"/>
        <v>0.77777777777777779</v>
      </c>
    </row>
    <row r="58" spans="2:8" ht="15">
      <c r="B58" s="1662" t="s">
        <v>1189</v>
      </c>
      <c r="C58" s="1647">
        <v>5</v>
      </c>
      <c r="D58" s="1647">
        <v>9</v>
      </c>
      <c r="E58" s="1655">
        <f t="shared" si="0"/>
        <v>0.55555555555555558</v>
      </c>
      <c r="F58" s="1647">
        <v>8</v>
      </c>
      <c r="G58" s="1647">
        <v>9</v>
      </c>
      <c r="H58" s="1655">
        <f t="shared" si="1"/>
        <v>0.88888888888888884</v>
      </c>
    </row>
    <row r="59" spans="2:8" ht="15">
      <c r="B59" s="1662" t="s">
        <v>1190</v>
      </c>
      <c r="C59" s="1647">
        <v>5</v>
      </c>
      <c r="D59" s="1647">
        <v>7</v>
      </c>
      <c r="E59" s="1655">
        <f t="shared" si="0"/>
        <v>0.7142857142857143</v>
      </c>
      <c r="F59" s="1647">
        <v>5</v>
      </c>
      <c r="G59" s="1647">
        <v>8</v>
      </c>
      <c r="H59" s="1655">
        <f t="shared" si="1"/>
        <v>0.625</v>
      </c>
    </row>
    <row r="60" spans="2:8" ht="15.75" thickBot="1">
      <c r="B60" s="1662" t="s">
        <v>1181</v>
      </c>
      <c r="C60" s="1647">
        <v>7</v>
      </c>
      <c r="D60" s="1647">
        <v>4</v>
      </c>
      <c r="E60" s="1655">
        <f t="shared" si="0"/>
        <v>1.75</v>
      </c>
      <c r="F60" s="1647">
        <v>6</v>
      </c>
      <c r="G60" s="1647">
        <v>3</v>
      </c>
      <c r="H60" s="1655">
        <f t="shared" si="1"/>
        <v>2</v>
      </c>
    </row>
    <row r="61" spans="2:8" ht="15.75" thickBot="1">
      <c r="B61" s="4177" t="s">
        <v>41</v>
      </c>
      <c r="C61" s="1649">
        <v>17</v>
      </c>
      <c r="D61" s="1649">
        <v>20</v>
      </c>
      <c r="E61" s="1656">
        <v>1</v>
      </c>
      <c r="F61" s="1649">
        <v>19</v>
      </c>
      <c r="G61" s="1649">
        <v>20</v>
      </c>
      <c r="H61" s="1656"/>
    </row>
    <row r="62" spans="2:8" ht="15">
      <c r="B62" s="1667" t="s">
        <v>1191</v>
      </c>
      <c r="C62" s="1647">
        <v>4</v>
      </c>
      <c r="D62" s="1647">
        <v>6</v>
      </c>
      <c r="E62" s="1655">
        <f t="shared" ref="E62:E63" si="2">C62/D62</f>
        <v>0.66666666666666663</v>
      </c>
      <c r="F62" s="1647">
        <v>3</v>
      </c>
      <c r="G62" s="1647">
        <v>7</v>
      </c>
      <c r="H62" s="1655">
        <f t="shared" ref="H62:H63" si="3">F62/G62</f>
        <v>0.42857142857142855</v>
      </c>
    </row>
    <row r="63" spans="2:8" ht="15">
      <c r="B63" s="1667" t="s">
        <v>1192</v>
      </c>
      <c r="C63" s="1647">
        <v>4</v>
      </c>
      <c r="D63" s="1647">
        <v>3</v>
      </c>
      <c r="E63" s="1655">
        <f t="shared" si="2"/>
        <v>1.3333333333333333</v>
      </c>
      <c r="F63" s="1647">
        <v>5</v>
      </c>
      <c r="G63" s="1647">
        <v>6</v>
      </c>
      <c r="H63" s="1655">
        <f t="shared" si="3"/>
        <v>0.83333333333333337</v>
      </c>
    </row>
    <row r="64" spans="2:8" ht="15.75" thickBot="1">
      <c r="B64" s="1668" t="s">
        <v>1193</v>
      </c>
      <c r="C64" s="1647">
        <v>13</v>
      </c>
      <c r="D64" s="1647">
        <v>11</v>
      </c>
      <c r="E64" s="1655">
        <v>1</v>
      </c>
      <c r="F64" s="1647">
        <v>10</v>
      </c>
      <c r="G64" s="1647">
        <v>13</v>
      </c>
      <c r="H64" s="1655">
        <v>1</v>
      </c>
    </row>
    <row r="65" spans="2:8" ht="15">
      <c r="B65" s="4178" t="s">
        <v>16</v>
      </c>
      <c r="C65" s="1653">
        <v>21</v>
      </c>
      <c r="D65" s="1653">
        <v>20</v>
      </c>
      <c r="E65" s="1656">
        <v>1</v>
      </c>
      <c r="F65" s="1653">
        <v>18</v>
      </c>
      <c r="G65" s="1653">
        <v>26</v>
      </c>
      <c r="H65" s="1656"/>
    </row>
    <row r="66" spans="2:8" ht="15">
      <c r="B66" s="4344" t="s">
        <v>1079</v>
      </c>
      <c r="C66" s="4345">
        <v>51</v>
      </c>
      <c r="D66" s="4345">
        <v>57</v>
      </c>
      <c r="E66" s="4346">
        <f t="shared" ref="E66:E83" si="4">C66/D66</f>
        <v>0.89473684210526316</v>
      </c>
      <c r="F66" s="4345">
        <v>51</v>
      </c>
      <c r="G66" s="4345">
        <v>64</v>
      </c>
      <c r="H66" s="4346">
        <f t="shared" ref="H66:H83" si="5">F66/G66</f>
        <v>0.796875</v>
      </c>
    </row>
    <row r="67" spans="2:8" ht="15">
      <c r="B67" s="1659" t="s">
        <v>1194</v>
      </c>
      <c r="C67" s="1652">
        <v>38</v>
      </c>
      <c r="D67" s="1652">
        <v>58</v>
      </c>
      <c r="E67" s="1657">
        <f t="shared" si="4"/>
        <v>0.65517241379310343</v>
      </c>
      <c r="F67" s="1652">
        <v>38</v>
      </c>
      <c r="G67" s="1652">
        <v>64</v>
      </c>
      <c r="H67" s="1657">
        <f t="shared" si="5"/>
        <v>0.59375</v>
      </c>
    </row>
    <row r="68" spans="2:8" ht="15">
      <c r="B68" s="1662" t="s">
        <v>1195</v>
      </c>
      <c r="C68" s="1645">
        <v>14</v>
      </c>
      <c r="D68" s="1645">
        <v>33</v>
      </c>
      <c r="E68" s="1655">
        <f t="shared" si="4"/>
        <v>0.42424242424242425</v>
      </c>
      <c r="F68" s="1645">
        <v>12</v>
      </c>
      <c r="G68" s="1645">
        <v>28</v>
      </c>
      <c r="H68" s="1655">
        <f t="shared" si="5"/>
        <v>0.42857142857142855</v>
      </c>
    </row>
    <row r="69" spans="2:8" ht="15">
      <c r="B69" s="1662" t="s">
        <v>1196</v>
      </c>
      <c r="C69" s="1647">
        <v>24</v>
      </c>
      <c r="D69" s="1647">
        <v>58</v>
      </c>
      <c r="E69" s="1655">
        <f t="shared" si="4"/>
        <v>0.41379310344827586</v>
      </c>
      <c r="F69" s="1647">
        <v>24</v>
      </c>
      <c r="G69" s="1647">
        <v>55</v>
      </c>
      <c r="H69" s="1655">
        <f t="shared" si="5"/>
        <v>0.43636363636363634</v>
      </c>
    </row>
    <row r="70" spans="2:8" ht="15.75" thickBot="1">
      <c r="B70" s="1663" t="s">
        <v>1197</v>
      </c>
      <c r="C70" s="1645">
        <v>40</v>
      </c>
      <c r="D70" s="1645">
        <v>51</v>
      </c>
      <c r="E70" s="1655">
        <f t="shared" si="4"/>
        <v>0.78431372549019607</v>
      </c>
      <c r="F70" s="1645">
        <v>36</v>
      </c>
      <c r="G70" s="1645">
        <v>48</v>
      </c>
      <c r="H70" s="1655">
        <f t="shared" si="5"/>
        <v>0.75</v>
      </c>
    </row>
    <row r="71" spans="2:8" ht="15.75" thickBot="1">
      <c r="B71" s="4177" t="s">
        <v>41</v>
      </c>
      <c r="C71" s="1649">
        <v>116</v>
      </c>
      <c r="D71" s="1649">
        <v>200</v>
      </c>
      <c r="E71" s="1656">
        <f t="shared" si="4"/>
        <v>0.57999999999999996</v>
      </c>
      <c r="F71" s="1649">
        <v>110</v>
      </c>
      <c r="G71" s="1649">
        <v>195</v>
      </c>
      <c r="H71" s="1656">
        <f t="shared" si="5"/>
        <v>0.5641025641025641</v>
      </c>
    </row>
    <row r="72" spans="2:8" ht="15">
      <c r="B72" s="1665" t="s">
        <v>1198</v>
      </c>
      <c r="C72" s="1645">
        <v>27</v>
      </c>
      <c r="D72" s="1645">
        <v>66</v>
      </c>
      <c r="E72" s="1655">
        <f t="shared" si="4"/>
        <v>0.40909090909090912</v>
      </c>
      <c r="F72" s="1645">
        <v>29</v>
      </c>
      <c r="G72" s="1645">
        <v>69</v>
      </c>
      <c r="H72" s="1655">
        <f t="shared" si="5"/>
        <v>0.42028985507246375</v>
      </c>
    </row>
    <row r="73" spans="2:8" ht="15">
      <c r="B73" s="1662" t="s">
        <v>1199</v>
      </c>
      <c r="C73" s="1647">
        <v>36</v>
      </c>
      <c r="D73" s="1647">
        <v>64</v>
      </c>
      <c r="E73" s="1655">
        <f t="shared" si="4"/>
        <v>0.5625</v>
      </c>
      <c r="F73" s="1647">
        <v>35</v>
      </c>
      <c r="G73" s="1647">
        <v>67</v>
      </c>
      <c r="H73" s="1655">
        <f t="shared" si="5"/>
        <v>0.52238805970149249</v>
      </c>
    </row>
    <row r="74" spans="2:8" ht="15">
      <c r="B74" s="1662" t="s">
        <v>1200</v>
      </c>
      <c r="C74" s="1647">
        <v>34</v>
      </c>
      <c r="D74" s="1647">
        <v>48</v>
      </c>
      <c r="E74" s="1655">
        <f t="shared" si="4"/>
        <v>0.70833333333333337</v>
      </c>
      <c r="F74" s="1647">
        <v>33</v>
      </c>
      <c r="G74" s="1647">
        <v>47</v>
      </c>
      <c r="H74" s="1655">
        <f t="shared" si="5"/>
        <v>0.7021276595744681</v>
      </c>
    </row>
    <row r="75" spans="2:8" ht="15.75" thickBot="1">
      <c r="B75" s="1662" t="s">
        <v>1201</v>
      </c>
      <c r="C75" s="1647">
        <v>20</v>
      </c>
      <c r="D75" s="1647">
        <v>33</v>
      </c>
      <c r="E75" s="1655">
        <f t="shared" si="4"/>
        <v>0.60606060606060608</v>
      </c>
      <c r="F75" s="1647">
        <v>20</v>
      </c>
      <c r="G75" s="1647">
        <v>35</v>
      </c>
      <c r="H75" s="1655">
        <f t="shared" si="5"/>
        <v>0.5714285714285714</v>
      </c>
    </row>
    <row r="76" spans="2:8" ht="15.75" thickBot="1">
      <c r="B76" s="4177" t="s">
        <v>16</v>
      </c>
      <c r="C76" s="1649">
        <v>117</v>
      </c>
      <c r="D76" s="1649">
        <v>211</v>
      </c>
      <c r="E76" s="1656">
        <f t="shared" si="4"/>
        <v>0.5545023696682464</v>
      </c>
      <c r="F76" s="1649">
        <v>117</v>
      </c>
      <c r="G76" s="1649">
        <v>218</v>
      </c>
      <c r="H76" s="1656">
        <f t="shared" si="5"/>
        <v>0.53669724770642202</v>
      </c>
    </row>
    <row r="77" spans="2:8" ht="15">
      <c r="B77" s="1665" t="s">
        <v>1202</v>
      </c>
      <c r="C77" s="1645">
        <v>6</v>
      </c>
      <c r="D77" s="1645">
        <v>15</v>
      </c>
      <c r="E77" s="1655">
        <f t="shared" si="4"/>
        <v>0.4</v>
      </c>
      <c r="F77" s="1645">
        <v>7</v>
      </c>
      <c r="G77" s="1645">
        <v>17</v>
      </c>
      <c r="H77" s="1655">
        <f t="shared" si="5"/>
        <v>0.41176470588235292</v>
      </c>
    </row>
    <row r="78" spans="2:8" ht="15">
      <c r="B78" s="1662" t="s">
        <v>1203</v>
      </c>
      <c r="C78" s="1645">
        <v>2</v>
      </c>
      <c r="D78" s="1645">
        <v>6</v>
      </c>
      <c r="E78" s="1655">
        <f t="shared" si="4"/>
        <v>0.33333333333333331</v>
      </c>
      <c r="F78" s="1645">
        <v>3</v>
      </c>
      <c r="G78" s="1645">
        <v>6</v>
      </c>
      <c r="H78" s="1655">
        <f t="shared" si="5"/>
        <v>0.5</v>
      </c>
    </row>
    <row r="79" spans="2:8" ht="15">
      <c r="B79" s="1662" t="s">
        <v>1204</v>
      </c>
      <c r="C79" s="1645">
        <v>1</v>
      </c>
      <c r="D79" s="1645">
        <v>5</v>
      </c>
      <c r="E79" s="1655">
        <f t="shared" si="4"/>
        <v>0.2</v>
      </c>
      <c r="F79" s="1645">
        <v>2</v>
      </c>
      <c r="G79" s="1645">
        <v>7</v>
      </c>
      <c r="H79" s="1655">
        <f t="shared" si="5"/>
        <v>0.2857142857142857</v>
      </c>
    </row>
    <row r="80" spans="2:8" ht="15.75" thickBot="1">
      <c r="B80" s="4339" t="s">
        <v>1205</v>
      </c>
      <c r="C80" s="1645">
        <v>7</v>
      </c>
      <c r="D80" s="1645">
        <v>15</v>
      </c>
      <c r="E80" s="1655">
        <f t="shared" si="4"/>
        <v>0.46666666666666667</v>
      </c>
      <c r="F80" s="1645">
        <v>8</v>
      </c>
      <c r="G80" s="1645">
        <v>13</v>
      </c>
      <c r="H80" s="1655">
        <f t="shared" si="5"/>
        <v>0.61538461538461542</v>
      </c>
    </row>
    <row r="81" spans="2:8" ht="15" customHeight="1">
      <c r="B81" s="4178" t="s">
        <v>21</v>
      </c>
      <c r="C81" s="1653">
        <v>16</v>
      </c>
      <c r="D81" s="1653">
        <v>41</v>
      </c>
      <c r="E81" s="1656">
        <f t="shared" si="4"/>
        <v>0.3902439024390244</v>
      </c>
      <c r="F81" s="1653">
        <v>20</v>
      </c>
      <c r="G81" s="1653">
        <v>43</v>
      </c>
      <c r="H81" s="1656">
        <f t="shared" si="5"/>
        <v>0.46511627906976744</v>
      </c>
    </row>
    <row r="82" spans="2:8" ht="15" customHeight="1">
      <c r="B82" s="4341" t="s">
        <v>1082</v>
      </c>
      <c r="C82" s="4342">
        <f>SUM(C71,C76,C81)</f>
        <v>249</v>
      </c>
      <c r="D82" s="4342">
        <v>452</v>
      </c>
      <c r="E82" s="4343">
        <f t="shared" si="4"/>
        <v>0.55088495575221241</v>
      </c>
      <c r="F82" s="4342">
        <v>247</v>
      </c>
      <c r="G82" s="4342">
        <v>456</v>
      </c>
      <c r="H82" s="4343">
        <f t="shared" si="5"/>
        <v>0.54166666666666663</v>
      </c>
    </row>
    <row r="83" spans="2:8" ht="20.25" customHeight="1">
      <c r="B83" s="4340" t="s">
        <v>67</v>
      </c>
      <c r="C83" s="1654">
        <f>SUM(C22,C35,C53,C66,C82)</f>
        <v>1163</v>
      </c>
      <c r="D83" s="1654">
        <v>1745</v>
      </c>
      <c r="E83" s="1658">
        <f t="shared" si="4"/>
        <v>0.66647564469914045</v>
      </c>
      <c r="F83" s="1654">
        <v>1135</v>
      </c>
      <c r="G83" s="1654">
        <v>1782</v>
      </c>
      <c r="H83" s="1904">
        <f t="shared" si="5"/>
        <v>0.6369248035914703</v>
      </c>
    </row>
    <row r="100" spans="1:1">
      <c r="A100" s="82"/>
    </row>
    <row r="101" spans="1:1">
      <c r="A101" s="82"/>
    </row>
    <row r="102" spans="1:1">
      <c r="A102" s="82"/>
    </row>
    <row r="103" spans="1:1">
      <c r="A103" s="82"/>
    </row>
    <row r="104" spans="1:1">
      <c r="A104" s="82"/>
    </row>
    <row r="105" spans="1:1">
      <c r="A105" s="82"/>
    </row>
    <row r="106" spans="1:1">
      <c r="A106" s="82"/>
    </row>
    <row r="107" spans="1:1">
      <c r="A107" s="82"/>
    </row>
    <row r="108" spans="1:1">
      <c r="A108" s="82"/>
    </row>
    <row r="109" spans="1:1">
      <c r="A109" s="82"/>
    </row>
    <row r="110" spans="1:1">
      <c r="A110" s="82"/>
    </row>
    <row r="111" spans="1:1">
      <c r="A111" s="82"/>
    </row>
    <row r="112" spans="1:1">
      <c r="A112" s="82"/>
    </row>
    <row r="113" spans="1:1">
      <c r="A113" s="82"/>
    </row>
    <row r="114" spans="1:1">
      <c r="A114" s="82"/>
    </row>
    <row r="115" spans="1:1">
      <c r="A115" s="82"/>
    </row>
    <row r="116" spans="1:1">
      <c r="A116" s="82"/>
    </row>
    <row r="117" spans="1:1">
      <c r="A117" s="82"/>
    </row>
    <row r="118" spans="1:1">
      <c r="A118" s="82"/>
    </row>
  </sheetData>
  <mergeCells count="2">
    <mergeCell ref="F3:H3"/>
    <mergeCell ref="C3:E3"/>
  </mergeCells>
  <printOptions horizontalCentered="1" verticalCentered="1"/>
  <pageMargins left="0.74803149606299202" right="0.74803149606299202" top="0.98425196850393704" bottom="0.98425196850393704" header="0" footer="0"/>
  <pageSetup scale="33" orientation="landscape" r:id="rId1"/>
  <headerFooter alignWithMargins="0">
    <oddHeader>&amp;LANEXO ESTADÍSTICO 2009&amp;CINVESTIGACIÓN&amp;R&amp;G</oddHeader>
    <oddFooter>&amp;R77</oddFooter>
  </headerFooter>
  <drawing r:id="rId2"/>
  <legacyDrawingHF r:id="rId3"/>
</worksheet>
</file>

<file path=xl/worksheets/sheet32.xml><?xml version="1.0" encoding="utf-8"?>
<worksheet xmlns="http://schemas.openxmlformats.org/spreadsheetml/2006/main" xmlns:r="http://schemas.openxmlformats.org/officeDocument/2006/relationships">
  <sheetPr>
    <tabColor theme="4" tint="-0.499984740745262"/>
    <pageSetUpPr fitToPage="1"/>
  </sheetPr>
  <dimension ref="A2:BE84"/>
  <sheetViews>
    <sheetView zoomScaleSheetLayoutView="70" workbookViewId="0">
      <pane xSplit="3" ySplit="5" topLeftCell="AQ6" activePane="bottomRight" state="frozen"/>
      <selection activeCell="Z16" sqref="Z16"/>
      <selection pane="topRight" activeCell="Z16" sqref="Z16"/>
      <selection pane="bottomLeft" activeCell="Z16" sqref="Z16"/>
      <selection pane="bottomRight" activeCell="BF77" sqref="BF77"/>
    </sheetView>
  </sheetViews>
  <sheetFormatPr baseColWidth="10" defaultRowHeight="12.75"/>
  <cols>
    <col min="1" max="1" width="17.140625" style="452" customWidth="1"/>
    <col min="2" max="2" width="10.140625" style="452" customWidth="1"/>
    <col min="3" max="3" width="45.140625" style="82" bestFit="1" customWidth="1"/>
    <col min="4" max="7" width="5.7109375" style="82" customWidth="1"/>
    <col min="8" max="8" width="6.5703125" style="82" bestFit="1" customWidth="1"/>
    <col min="9" max="9" width="11.140625" style="82" bestFit="1" customWidth="1"/>
    <col min="10" max="13" width="5.7109375" style="82" customWidth="1"/>
    <col min="14" max="14" width="6.5703125" style="82" bestFit="1" customWidth="1"/>
    <col min="15" max="15" width="11.140625" style="82" bestFit="1" customWidth="1"/>
    <col min="16" max="19" width="5.7109375" style="82" customWidth="1"/>
    <col min="20" max="20" width="6.5703125" style="82" bestFit="1" customWidth="1"/>
    <col min="21" max="21" width="11.140625" style="82" bestFit="1" customWidth="1"/>
    <col min="22" max="25" width="5.7109375" style="452" customWidth="1"/>
    <col min="26" max="26" width="6.5703125" style="82" bestFit="1" customWidth="1"/>
    <col min="27" max="27" width="11.140625" style="82" bestFit="1" customWidth="1"/>
    <col min="28" max="31" width="5.7109375" style="82" customWidth="1"/>
    <col min="32" max="32" width="6.5703125" style="82" bestFit="1" customWidth="1"/>
    <col min="33" max="33" width="11.140625" style="82" bestFit="1" customWidth="1"/>
    <col min="34" max="37" width="5.7109375" style="82" customWidth="1"/>
    <col min="38" max="38" width="6.5703125" style="82" bestFit="1" customWidth="1"/>
    <col min="39" max="39" width="11.140625" style="82" customWidth="1"/>
    <col min="40" max="43" width="5.7109375" style="82" customWidth="1"/>
    <col min="44" max="44" width="6.5703125" style="82" customWidth="1"/>
    <col min="45" max="45" width="11.140625" style="82" customWidth="1"/>
    <col min="46" max="49" width="5.7109375" style="82" customWidth="1"/>
    <col min="50" max="50" width="6.5703125" style="82" bestFit="1" customWidth="1"/>
    <col min="51" max="51" width="11.42578125" style="82"/>
    <col min="52" max="55" width="5.7109375" style="82" customWidth="1"/>
    <col min="56" max="56" width="6.5703125" style="82" bestFit="1" customWidth="1"/>
    <col min="57" max="16384" width="11.42578125" style="82"/>
  </cols>
  <sheetData>
    <row r="2" spans="1:57" ht="29.25" customHeight="1">
      <c r="B2" s="5221" t="s">
        <v>2486</v>
      </c>
      <c r="C2" s="5221"/>
      <c r="D2" s="453"/>
      <c r="E2" s="453"/>
      <c r="F2" s="453"/>
      <c r="G2" s="453"/>
      <c r="H2" s="453"/>
      <c r="S2" s="1574"/>
    </row>
    <row r="3" spans="1:57" ht="12.75" customHeight="1">
      <c r="B3" s="4334"/>
      <c r="C3" s="4334"/>
    </row>
    <row r="4" spans="1:57" ht="13.5" customHeight="1">
      <c r="A4" s="454"/>
      <c r="B4" s="1602"/>
      <c r="C4" s="128"/>
      <c r="D4" s="5225" t="s">
        <v>1135</v>
      </c>
      <c r="E4" s="5226"/>
      <c r="F4" s="5226"/>
      <c r="G4" s="5226"/>
      <c r="H4" s="5224"/>
      <c r="I4" s="1573" t="s">
        <v>76</v>
      </c>
      <c r="J4" s="5218" t="s">
        <v>1137</v>
      </c>
      <c r="K4" s="5219"/>
      <c r="L4" s="5219"/>
      <c r="M4" s="5219"/>
      <c r="N4" s="5224"/>
      <c r="O4" s="1573" t="s">
        <v>76</v>
      </c>
      <c r="P4" s="5218" t="s">
        <v>1138</v>
      </c>
      <c r="Q4" s="5219"/>
      <c r="R4" s="5219"/>
      <c r="S4" s="5219"/>
      <c r="T4" s="5224"/>
      <c r="U4" s="1573" t="s">
        <v>76</v>
      </c>
      <c r="V4" s="5218" t="s">
        <v>1139</v>
      </c>
      <c r="W4" s="5219"/>
      <c r="X4" s="5219"/>
      <c r="Y4" s="5219"/>
      <c r="Z4" s="5224"/>
      <c r="AA4" s="1573" t="s">
        <v>76</v>
      </c>
      <c r="AB4" s="5218" t="s">
        <v>1140</v>
      </c>
      <c r="AC4" s="5219"/>
      <c r="AD4" s="5219"/>
      <c r="AE4" s="5219"/>
      <c r="AF4" s="5224"/>
      <c r="AG4" s="1573" t="s">
        <v>76</v>
      </c>
      <c r="AH4" s="5218" t="s">
        <v>1686</v>
      </c>
      <c r="AI4" s="5219"/>
      <c r="AJ4" s="5219"/>
      <c r="AK4" s="5219"/>
      <c r="AL4" s="5224"/>
      <c r="AM4" s="1573" t="s">
        <v>76</v>
      </c>
      <c r="AN4" s="5218" t="s">
        <v>1886</v>
      </c>
      <c r="AO4" s="5219"/>
      <c r="AP4" s="5219"/>
      <c r="AQ4" s="5219"/>
      <c r="AR4" s="5224"/>
      <c r="AS4" s="1573" t="s">
        <v>76</v>
      </c>
      <c r="AT4" s="5218" t="s">
        <v>2483</v>
      </c>
      <c r="AU4" s="5219"/>
      <c r="AV4" s="5219"/>
      <c r="AW4" s="5219"/>
      <c r="AX4" s="5224"/>
      <c r="AY4" s="1573" t="s">
        <v>76</v>
      </c>
      <c r="AZ4" s="5218" t="s">
        <v>2762</v>
      </c>
      <c r="BA4" s="5219"/>
      <c r="BB4" s="5219"/>
      <c r="BC4" s="5219"/>
      <c r="BD4" s="5224"/>
      <c r="BE4" s="1573" t="s">
        <v>76</v>
      </c>
    </row>
    <row r="5" spans="1:57" ht="15">
      <c r="A5" s="1603" t="s">
        <v>68</v>
      </c>
      <c r="B5" s="1603" t="s">
        <v>1646</v>
      </c>
      <c r="C5" s="1669" t="s">
        <v>1645</v>
      </c>
      <c r="D5" s="1671" t="s">
        <v>622</v>
      </c>
      <c r="E5" s="1672">
        <v>1</v>
      </c>
      <c r="F5" s="1672">
        <v>2</v>
      </c>
      <c r="G5" s="1670">
        <v>3</v>
      </c>
      <c r="H5" s="1673" t="s">
        <v>71</v>
      </c>
      <c r="I5" s="1604" t="s">
        <v>1141</v>
      </c>
      <c r="J5" s="1671" t="s">
        <v>622</v>
      </c>
      <c r="K5" s="1672">
        <v>1</v>
      </c>
      <c r="L5" s="1672">
        <v>2</v>
      </c>
      <c r="M5" s="1670">
        <v>3</v>
      </c>
      <c r="N5" s="1673" t="s">
        <v>71</v>
      </c>
      <c r="O5" s="1540" t="s">
        <v>1141</v>
      </c>
      <c r="P5" s="1671" t="s">
        <v>622</v>
      </c>
      <c r="Q5" s="1672">
        <v>1</v>
      </c>
      <c r="R5" s="1672">
        <v>2</v>
      </c>
      <c r="S5" s="1670">
        <v>3</v>
      </c>
      <c r="T5" s="1673" t="s">
        <v>71</v>
      </c>
      <c r="U5" s="1540" t="s">
        <v>1141</v>
      </c>
      <c r="V5" s="1671" t="s">
        <v>622</v>
      </c>
      <c r="W5" s="1672">
        <v>1</v>
      </c>
      <c r="X5" s="1672">
        <v>2</v>
      </c>
      <c r="Y5" s="1670">
        <v>3</v>
      </c>
      <c r="Z5" s="1673" t="s">
        <v>71</v>
      </c>
      <c r="AA5" s="1540" t="s">
        <v>1141</v>
      </c>
      <c r="AB5" s="1671" t="s">
        <v>622</v>
      </c>
      <c r="AC5" s="1672">
        <v>1</v>
      </c>
      <c r="AD5" s="1672">
        <v>2</v>
      </c>
      <c r="AE5" s="1670">
        <v>3</v>
      </c>
      <c r="AF5" s="1673" t="s">
        <v>71</v>
      </c>
      <c r="AG5" s="1605" t="s">
        <v>1141</v>
      </c>
      <c r="AH5" s="1671" t="s">
        <v>622</v>
      </c>
      <c r="AI5" s="1672">
        <v>1</v>
      </c>
      <c r="AJ5" s="1672">
        <v>2</v>
      </c>
      <c r="AK5" s="1670">
        <v>3</v>
      </c>
      <c r="AL5" s="1673" t="s">
        <v>71</v>
      </c>
      <c r="AM5" s="1605" t="s">
        <v>1141</v>
      </c>
      <c r="AN5" s="1671" t="s">
        <v>622</v>
      </c>
      <c r="AO5" s="1672">
        <v>1</v>
      </c>
      <c r="AP5" s="1672">
        <v>2</v>
      </c>
      <c r="AQ5" s="1670">
        <v>3</v>
      </c>
      <c r="AR5" s="1673" t="s">
        <v>71</v>
      </c>
      <c r="AS5" s="1605" t="s">
        <v>1141</v>
      </c>
      <c r="AT5" s="1671" t="s">
        <v>622</v>
      </c>
      <c r="AU5" s="1672">
        <v>1</v>
      </c>
      <c r="AV5" s="1672">
        <v>2</v>
      </c>
      <c r="AW5" s="1670">
        <v>3</v>
      </c>
      <c r="AX5" s="1673" t="s">
        <v>71</v>
      </c>
      <c r="AY5" s="1605" t="s">
        <v>1141</v>
      </c>
      <c r="AZ5" s="1671" t="s">
        <v>622</v>
      </c>
      <c r="BA5" s="1672">
        <v>1</v>
      </c>
      <c r="BB5" s="1672">
        <v>2</v>
      </c>
      <c r="BC5" s="1670">
        <v>3</v>
      </c>
      <c r="BD5" s="1673" t="s">
        <v>71</v>
      </c>
      <c r="BE5" s="1605" t="s">
        <v>1141</v>
      </c>
    </row>
    <row r="6" spans="1:57" ht="17.100000000000001" customHeight="1">
      <c r="A6" s="1684" t="s">
        <v>70</v>
      </c>
      <c r="B6" s="1606" t="s">
        <v>4</v>
      </c>
      <c r="C6" s="1607" t="s">
        <v>1150</v>
      </c>
      <c r="D6" s="1596">
        <v>4</v>
      </c>
      <c r="E6" s="1597">
        <v>35</v>
      </c>
      <c r="F6" s="1597">
        <v>9</v>
      </c>
      <c r="G6" s="1597">
        <v>1</v>
      </c>
      <c r="H6" s="1580">
        <f>SUM(D6:G6)</f>
        <v>49</v>
      </c>
      <c r="I6" s="1674">
        <f t="shared" ref="I6:I69" si="0">(F6+G6)/(D6+E6)</f>
        <v>0.25641025641025639</v>
      </c>
      <c r="J6" s="1578">
        <v>8</v>
      </c>
      <c r="K6" s="1579">
        <v>34</v>
      </c>
      <c r="L6" s="1579">
        <v>10</v>
      </c>
      <c r="M6" s="1579">
        <v>1</v>
      </c>
      <c r="N6" s="1580">
        <f>SUM(J6:M6)</f>
        <v>53</v>
      </c>
      <c r="O6" s="1674">
        <f t="shared" ref="O6:O69" si="1">(L6+M6)/(J6+K6)</f>
        <v>0.26190476190476192</v>
      </c>
      <c r="P6" s="1578">
        <v>6</v>
      </c>
      <c r="Q6" s="1579">
        <v>35</v>
      </c>
      <c r="R6" s="1579">
        <v>10</v>
      </c>
      <c r="S6" s="1579">
        <v>1</v>
      </c>
      <c r="T6" s="1580">
        <f>SUM(P6:S6)</f>
        <v>52</v>
      </c>
      <c r="U6" s="1674">
        <f t="shared" ref="U6:U69" si="2">(R6+S6)/(P6+Q6)</f>
        <v>0.26829268292682928</v>
      </c>
      <c r="V6" s="1578">
        <v>11</v>
      </c>
      <c r="W6" s="1579">
        <v>31</v>
      </c>
      <c r="X6" s="1579">
        <v>14</v>
      </c>
      <c r="Y6" s="1579">
        <v>1</v>
      </c>
      <c r="Z6" s="1580">
        <f>SUM(V6:Y6)</f>
        <v>57</v>
      </c>
      <c r="AA6" s="1674">
        <f t="shared" ref="AA6:AA69" si="3">(X6+Y6)/(V6+W6)</f>
        <v>0.35714285714285715</v>
      </c>
      <c r="AB6" s="1578">
        <v>7</v>
      </c>
      <c r="AC6" s="1579">
        <v>35</v>
      </c>
      <c r="AD6" s="1579">
        <v>15</v>
      </c>
      <c r="AE6" s="1579">
        <v>2</v>
      </c>
      <c r="AF6" s="1580">
        <f>SUM(AB6:AE6)</f>
        <v>59</v>
      </c>
      <c r="AG6" s="1674">
        <f t="shared" ref="AG6:AG69" si="4">(AD6+AE6)/(AB6+AC6)</f>
        <v>0.40476190476190477</v>
      </c>
      <c r="AH6" s="1578">
        <v>9</v>
      </c>
      <c r="AI6" s="1579">
        <v>31</v>
      </c>
      <c r="AJ6" s="1579">
        <v>17</v>
      </c>
      <c r="AK6" s="1579">
        <v>2</v>
      </c>
      <c r="AL6" s="1580">
        <f>SUM(AH6:AK6)</f>
        <v>59</v>
      </c>
      <c r="AM6" s="1674">
        <f t="shared" ref="AM6:AM69" si="5">(AJ6+AK6)/(AH6+AI6)</f>
        <v>0.47499999999999998</v>
      </c>
      <c r="AN6" s="1578">
        <v>9</v>
      </c>
      <c r="AO6" s="1579">
        <v>33</v>
      </c>
      <c r="AP6" s="1579">
        <v>16</v>
      </c>
      <c r="AQ6" s="1579">
        <v>2</v>
      </c>
      <c r="AR6" s="1580">
        <f>SUM(AN6:AQ6)</f>
        <v>60</v>
      </c>
      <c r="AS6" s="1674">
        <f t="shared" ref="AS6:AS36" si="6">(AP6+AQ6)/(AN6+AO6)</f>
        <v>0.42857142857142855</v>
      </c>
      <c r="AT6" s="1578">
        <v>6</v>
      </c>
      <c r="AU6" s="1579">
        <v>26</v>
      </c>
      <c r="AV6" s="1579">
        <v>16</v>
      </c>
      <c r="AW6" s="1579">
        <v>2</v>
      </c>
      <c r="AX6" s="1580">
        <f>SUM(AT6:AW6)</f>
        <v>50</v>
      </c>
      <c r="AY6" s="1674">
        <f t="shared" ref="AY6:AY36" si="7">(AV6+AW6)/(AT6+AU6)</f>
        <v>0.5625</v>
      </c>
      <c r="AZ6" s="1578">
        <v>4</v>
      </c>
      <c r="BA6" s="1579">
        <v>27</v>
      </c>
      <c r="BB6" s="1579">
        <v>15</v>
      </c>
      <c r="BC6" s="1579">
        <v>3</v>
      </c>
      <c r="BD6" s="1580">
        <v>49</v>
      </c>
      <c r="BE6" s="1674">
        <f t="shared" ref="BE6:BE36" si="8">(BB6+BC6)/(AZ6+BA6)</f>
        <v>0.58064516129032262</v>
      </c>
    </row>
    <row r="7" spans="1:57" ht="17.100000000000001" customHeight="1">
      <c r="A7" s="1685" t="s">
        <v>70</v>
      </c>
      <c r="B7" s="1608" t="s">
        <v>4</v>
      </c>
      <c r="C7" s="1609" t="s">
        <v>1151</v>
      </c>
      <c r="D7" s="1581"/>
      <c r="E7" s="1582">
        <v>4</v>
      </c>
      <c r="F7" s="1610"/>
      <c r="G7" s="1610"/>
      <c r="H7" s="1611">
        <f t="shared" ref="H7:H10" si="9">SUM(D7:G7)</f>
        <v>4</v>
      </c>
      <c r="I7" s="1674">
        <f t="shared" si="0"/>
        <v>0</v>
      </c>
      <c r="J7" s="1581">
        <v>1</v>
      </c>
      <c r="K7" s="1582">
        <v>4</v>
      </c>
      <c r="L7" s="1610"/>
      <c r="M7" s="1610"/>
      <c r="N7" s="1611">
        <f>SUM(J7:M7)</f>
        <v>5</v>
      </c>
      <c r="O7" s="1674">
        <f t="shared" si="1"/>
        <v>0</v>
      </c>
      <c r="P7" s="1581">
        <v>2</v>
      </c>
      <c r="Q7" s="1582">
        <v>2</v>
      </c>
      <c r="R7" s="1610"/>
      <c r="S7" s="1610"/>
      <c r="T7" s="1611">
        <f>SUM(P7:S7)</f>
        <v>4</v>
      </c>
      <c r="U7" s="1674">
        <f t="shared" si="2"/>
        <v>0</v>
      </c>
      <c r="V7" s="1581">
        <v>3</v>
      </c>
      <c r="W7" s="1582">
        <v>2</v>
      </c>
      <c r="X7" s="1610"/>
      <c r="Y7" s="1610"/>
      <c r="Z7" s="1611">
        <f>SUM(V7:Y7)</f>
        <v>5</v>
      </c>
      <c r="AA7" s="1674">
        <f t="shared" si="3"/>
        <v>0</v>
      </c>
      <c r="AB7" s="1581">
        <v>2</v>
      </c>
      <c r="AC7" s="1582">
        <v>3</v>
      </c>
      <c r="AD7" s="1610"/>
      <c r="AE7" s="1610"/>
      <c r="AF7" s="1611">
        <f t="shared" ref="AF7:AF70" si="10">SUM(AB7:AE7)</f>
        <v>5</v>
      </c>
      <c r="AG7" s="1674">
        <f t="shared" si="4"/>
        <v>0</v>
      </c>
      <c r="AH7" s="1581">
        <v>1</v>
      </c>
      <c r="AI7" s="1582">
        <v>4</v>
      </c>
      <c r="AJ7" s="1610"/>
      <c r="AK7" s="1610"/>
      <c r="AL7" s="1611">
        <f t="shared" ref="AL7:AL70" si="11">SUM(AH7:AK7)</f>
        <v>5</v>
      </c>
      <c r="AM7" s="1674">
        <f t="shared" si="5"/>
        <v>0</v>
      </c>
      <c r="AN7" s="1581">
        <v>2</v>
      </c>
      <c r="AO7" s="1582">
        <v>5</v>
      </c>
      <c r="AP7" s="1610"/>
      <c r="AQ7" s="1610"/>
      <c r="AR7" s="1611">
        <f t="shared" ref="AR7:AR21" si="12">SUM(AN7:AQ7)</f>
        <v>7</v>
      </c>
      <c r="AS7" s="1674">
        <f t="shared" si="6"/>
        <v>0</v>
      </c>
      <c r="AT7" s="1581">
        <v>4</v>
      </c>
      <c r="AU7" s="1582">
        <v>5</v>
      </c>
      <c r="AV7" s="1610">
        <v>0</v>
      </c>
      <c r="AW7" s="1610">
        <v>0</v>
      </c>
      <c r="AX7" s="1611">
        <f t="shared" ref="AX7:AX10" si="13">SUM(AT7:AW7)</f>
        <v>9</v>
      </c>
      <c r="AY7" s="1674">
        <f t="shared" si="7"/>
        <v>0</v>
      </c>
      <c r="AZ7" s="1581">
        <v>2</v>
      </c>
      <c r="BA7" s="1582">
        <v>6</v>
      </c>
      <c r="BB7" s="1610">
        <v>0</v>
      </c>
      <c r="BC7" s="1610">
        <v>0</v>
      </c>
      <c r="BD7" s="1611">
        <v>8</v>
      </c>
      <c r="BE7" s="1674">
        <f t="shared" si="8"/>
        <v>0</v>
      </c>
    </row>
    <row r="8" spans="1:57" ht="17.100000000000001" customHeight="1">
      <c r="A8" s="1685" t="s">
        <v>70</v>
      </c>
      <c r="B8" s="1608" t="s">
        <v>4</v>
      </c>
      <c r="C8" s="1609" t="s">
        <v>1152</v>
      </c>
      <c r="D8" s="1581">
        <v>2</v>
      </c>
      <c r="E8" s="1582">
        <v>5</v>
      </c>
      <c r="F8" s="1610">
        <v>4</v>
      </c>
      <c r="G8" s="1610"/>
      <c r="H8" s="1611">
        <f t="shared" si="9"/>
        <v>11</v>
      </c>
      <c r="I8" s="1674">
        <f t="shared" si="0"/>
        <v>0.5714285714285714</v>
      </c>
      <c r="J8" s="1581">
        <v>4</v>
      </c>
      <c r="K8" s="1582">
        <v>6</v>
      </c>
      <c r="L8" s="1610">
        <v>3</v>
      </c>
      <c r="M8" s="1610"/>
      <c r="N8" s="1611">
        <f>SUM(J8:M8)</f>
        <v>13</v>
      </c>
      <c r="O8" s="1674">
        <f t="shared" si="1"/>
        <v>0.3</v>
      </c>
      <c r="P8" s="1581">
        <v>5</v>
      </c>
      <c r="Q8" s="1582">
        <v>6</v>
      </c>
      <c r="R8" s="1610">
        <v>3</v>
      </c>
      <c r="S8" s="1610"/>
      <c r="T8" s="1611">
        <f>SUM(P8:S8)</f>
        <v>14</v>
      </c>
      <c r="U8" s="1674">
        <f t="shared" si="2"/>
        <v>0.27272727272727271</v>
      </c>
      <c r="V8" s="1581">
        <v>5</v>
      </c>
      <c r="W8" s="1582">
        <v>9</v>
      </c>
      <c r="X8" s="1610">
        <v>3</v>
      </c>
      <c r="Y8" s="1610"/>
      <c r="Z8" s="1611">
        <f>SUM(V8:Y8)</f>
        <v>17</v>
      </c>
      <c r="AA8" s="1674">
        <f t="shared" si="3"/>
        <v>0.21428571428571427</v>
      </c>
      <c r="AB8" s="1581">
        <v>4</v>
      </c>
      <c r="AC8" s="1582">
        <v>7</v>
      </c>
      <c r="AD8" s="1610">
        <v>5</v>
      </c>
      <c r="AE8" s="1610"/>
      <c r="AF8" s="1611">
        <f t="shared" si="10"/>
        <v>16</v>
      </c>
      <c r="AG8" s="1674">
        <f t="shared" si="4"/>
        <v>0.45454545454545453</v>
      </c>
      <c r="AH8" s="1581">
        <v>4</v>
      </c>
      <c r="AI8" s="1582">
        <v>8</v>
      </c>
      <c r="AJ8" s="1610">
        <v>5</v>
      </c>
      <c r="AK8" s="1610"/>
      <c r="AL8" s="1611">
        <f t="shared" si="11"/>
        <v>17</v>
      </c>
      <c r="AM8" s="1674">
        <f t="shared" si="5"/>
        <v>0.41666666666666669</v>
      </c>
      <c r="AN8" s="1581">
        <v>4</v>
      </c>
      <c r="AO8" s="1582">
        <v>14</v>
      </c>
      <c r="AP8" s="1610">
        <v>5</v>
      </c>
      <c r="AQ8" s="1610"/>
      <c r="AR8" s="1611">
        <f t="shared" si="12"/>
        <v>23</v>
      </c>
      <c r="AS8" s="1674">
        <f t="shared" si="6"/>
        <v>0.27777777777777779</v>
      </c>
      <c r="AT8" s="1581">
        <v>6</v>
      </c>
      <c r="AU8" s="1582">
        <v>15</v>
      </c>
      <c r="AV8" s="1610">
        <v>5</v>
      </c>
      <c r="AW8" s="1610">
        <v>0</v>
      </c>
      <c r="AX8" s="1611">
        <f t="shared" si="13"/>
        <v>26</v>
      </c>
      <c r="AY8" s="1674">
        <f t="shared" si="7"/>
        <v>0.23809523809523808</v>
      </c>
      <c r="AZ8" s="1581">
        <v>4</v>
      </c>
      <c r="BA8" s="1582">
        <v>15</v>
      </c>
      <c r="BB8" s="1610">
        <v>3</v>
      </c>
      <c r="BC8" s="1610">
        <v>0</v>
      </c>
      <c r="BD8" s="1611">
        <v>22</v>
      </c>
      <c r="BE8" s="1674">
        <f t="shared" si="8"/>
        <v>0.15789473684210525</v>
      </c>
    </row>
    <row r="9" spans="1:57" ht="17.100000000000001" customHeight="1">
      <c r="A9" s="1685" t="s">
        <v>70</v>
      </c>
      <c r="B9" s="1608" t="s">
        <v>4</v>
      </c>
      <c r="C9" s="1609" t="s">
        <v>1153</v>
      </c>
      <c r="D9" s="1581">
        <v>5</v>
      </c>
      <c r="E9" s="1582">
        <v>6</v>
      </c>
      <c r="F9" s="1582">
        <v>4</v>
      </c>
      <c r="G9" s="1610"/>
      <c r="H9" s="1611">
        <f t="shared" si="9"/>
        <v>15</v>
      </c>
      <c r="I9" s="1674">
        <f t="shared" si="0"/>
        <v>0.36363636363636365</v>
      </c>
      <c r="J9" s="1581">
        <v>4</v>
      </c>
      <c r="K9" s="1582">
        <v>6</v>
      </c>
      <c r="L9" s="1582">
        <v>4</v>
      </c>
      <c r="M9" s="1610"/>
      <c r="N9" s="1611">
        <f>SUM(J9:M9)</f>
        <v>14</v>
      </c>
      <c r="O9" s="1674">
        <f t="shared" si="1"/>
        <v>0.4</v>
      </c>
      <c r="P9" s="1581">
        <v>4</v>
      </c>
      <c r="Q9" s="1582">
        <v>5</v>
      </c>
      <c r="R9" s="1582">
        <v>4</v>
      </c>
      <c r="S9" s="1610"/>
      <c r="T9" s="1611">
        <f>SUM(P9:S9)</f>
        <v>13</v>
      </c>
      <c r="U9" s="1674">
        <f t="shared" si="2"/>
        <v>0.44444444444444442</v>
      </c>
      <c r="V9" s="1581">
        <v>5</v>
      </c>
      <c r="W9" s="1582">
        <v>6</v>
      </c>
      <c r="X9" s="1582">
        <v>4</v>
      </c>
      <c r="Y9" s="1610"/>
      <c r="Z9" s="1611">
        <f>SUM(V9:Y9)</f>
        <v>15</v>
      </c>
      <c r="AA9" s="1674">
        <f t="shared" si="3"/>
        <v>0.36363636363636365</v>
      </c>
      <c r="AB9" s="1581">
        <v>4</v>
      </c>
      <c r="AC9" s="1582">
        <v>8</v>
      </c>
      <c r="AD9" s="1582">
        <v>3</v>
      </c>
      <c r="AE9" s="1610">
        <v>1</v>
      </c>
      <c r="AF9" s="1611">
        <f t="shared" si="10"/>
        <v>16</v>
      </c>
      <c r="AG9" s="1674">
        <f t="shared" si="4"/>
        <v>0.33333333333333331</v>
      </c>
      <c r="AH9" s="1581">
        <v>4</v>
      </c>
      <c r="AI9" s="1582">
        <v>8</v>
      </c>
      <c r="AJ9" s="1582">
        <v>3</v>
      </c>
      <c r="AK9" s="1610">
        <v>1</v>
      </c>
      <c r="AL9" s="1611">
        <f t="shared" si="11"/>
        <v>16</v>
      </c>
      <c r="AM9" s="1674">
        <f t="shared" si="5"/>
        <v>0.33333333333333331</v>
      </c>
      <c r="AN9" s="1581">
        <v>5</v>
      </c>
      <c r="AO9" s="1582">
        <v>9</v>
      </c>
      <c r="AP9" s="1582">
        <v>3</v>
      </c>
      <c r="AQ9" s="1610">
        <v>1</v>
      </c>
      <c r="AR9" s="1611">
        <f t="shared" si="12"/>
        <v>18</v>
      </c>
      <c r="AS9" s="1674">
        <f t="shared" si="6"/>
        <v>0.2857142857142857</v>
      </c>
      <c r="AT9" s="1581">
        <v>2</v>
      </c>
      <c r="AU9" s="1582">
        <v>13</v>
      </c>
      <c r="AV9" s="1582">
        <v>3</v>
      </c>
      <c r="AW9" s="1610">
        <v>1</v>
      </c>
      <c r="AX9" s="1611">
        <f t="shared" si="13"/>
        <v>19</v>
      </c>
      <c r="AY9" s="1674">
        <f t="shared" si="7"/>
        <v>0.26666666666666666</v>
      </c>
      <c r="AZ9" s="1581">
        <v>3</v>
      </c>
      <c r="BA9" s="1582">
        <v>12</v>
      </c>
      <c r="BB9" s="1582">
        <v>3</v>
      </c>
      <c r="BC9" s="1610">
        <v>1</v>
      </c>
      <c r="BD9" s="1611">
        <v>19</v>
      </c>
      <c r="BE9" s="1674">
        <f t="shared" si="8"/>
        <v>0.26666666666666666</v>
      </c>
    </row>
    <row r="10" spans="1:57" ht="17.100000000000001" customHeight="1" thickBot="1">
      <c r="A10" s="1686" t="s">
        <v>70</v>
      </c>
      <c r="B10" s="1612" t="s">
        <v>4</v>
      </c>
      <c r="C10" s="1613" t="s">
        <v>1154</v>
      </c>
      <c r="D10" s="1581">
        <v>3</v>
      </c>
      <c r="E10" s="1582">
        <v>5</v>
      </c>
      <c r="F10" s="1610">
        <v>1</v>
      </c>
      <c r="G10" s="1610"/>
      <c r="H10" s="1611">
        <f t="shared" si="9"/>
        <v>9</v>
      </c>
      <c r="I10" s="1674">
        <f t="shared" si="0"/>
        <v>0.125</v>
      </c>
      <c r="J10" s="1581">
        <v>3</v>
      </c>
      <c r="K10" s="1582">
        <v>5</v>
      </c>
      <c r="L10" s="1610">
        <v>1</v>
      </c>
      <c r="M10" s="1610"/>
      <c r="N10" s="1611">
        <f>SUM(J10:M10)</f>
        <v>9</v>
      </c>
      <c r="O10" s="1674">
        <f t="shared" si="1"/>
        <v>0.125</v>
      </c>
      <c r="P10" s="1581">
        <v>5</v>
      </c>
      <c r="Q10" s="1582">
        <v>6</v>
      </c>
      <c r="R10" s="1610">
        <v>2</v>
      </c>
      <c r="S10" s="1610"/>
      <c r="T10" s="1611">
        <f>SUM(P10:S10)</f>
        <v>13</v>
      </c>
      <c r="U10" s="1674">
        <f t="shared" si="2"/>
        <v>0.18181818181818182</v>
      </c>
      <c r="V10" s="1581">
        <v>3</v>
      </c>
      <c r="W10" s="1582">
        <v>11</v>
      </c>
      <c r="X10" s="1610">
        <v>2</v>
      </c>
      <c r="Y10" s="1610"/>
      <c r="Z10" s="1611">
        <f>SUM(V10:Y10)</f>
        <v>16</v>
      </c>
      <c r="AA10" s="1674">
        <f t="shared" si="3"/>
        <v>0.14285714285714285</v>
      </c>
      <c r="AB10" s="1581">
        <v>1</v>
      </c>
      <c r="AC10" s="1582">
        <v>12</v>
      </c>
      <c r="AD10" s="1610">
        <v>2</v>
      </c>
      <c r="AE10" s="1610"/>
      <c r="AF10" s="1611">
        <f t="shared" si="10"/>
        <v>15</v>
      </c>
      <c r="AG10" s="1674">
        <f t="shared" si="4"/>
        <v>0.15384615384615385</v>
      </c>
      <c r="AH10" s="1581">
        <v>1</v>
      </c>
      <c r="AI10" s="1582">
        <v>11</v>
      </c>
      <c r="AJ10" s="1610">
        <v>1</v>
      </c>
      <c r="AK10" s="1610"/>
      <c r="AL10" s="1611">
        <f t="shared" si="11"/>
        <v>13</v>
      </c>
      <c r="AM10" s="1674">
        <f t="shared" si="5"/>
        <v>8.3333333333333329E-2</v>
      </c>
      <c r="AN10" s="1581">
        <v>4</v>
      </c>
      <c r="AO10" s="1582">
        <v>11</v>
      </c>
      <c r="AP10" s="1610">
        <v>1</v>
      </c>
      <c r="AQ10" s="1610"/>
      <c r="AR10" s="1611">
        <f t="shared" si="12"/>
        <v>16</v>
      </c>
      <c r="AS10" s="1674">
        <f t="shared" si="6"/>
        <v>6.6666666666666666E-2</v>
      </c>
      <c r="AT10" s="1581">
        <v>3</v>
      </c>
      <c r="AU10" s="1582">
        <v>12</v>
      </c>
      <c r="AV10" s="1610">
        <v>1</v>
      </c>
      <c r="AW10" s="1610">
        <v>0</v>
      </c>
      <c r="AX10" s="1611">
        <f t="shared" si="13"/>
        <v>16</v>
      </c>
      <c r="AY10" s="1674">
        <f t="shared" si="7"/>
        <v>6.6666666666666666E-2</v>
      </c>
      <c r="AZ10" s="1581">
        <v>3</v>
      </c>
      <c r="BA10" s="1582">
        <v>11</v>
      </c>
      <c r="BB10" s="1610">
        <v>1</v>
      </c>
      <c r="BC10" s="1610">
        <v>0</v>
      </c>
      <c r="BD10" s="1611">
        <v>15</v>
      </c>
      <c r="BE10" s="1674">
        <f t="shared" si="8"/>
        <v>7.1428571428571425E-2</v>
      </c>
    </row>
    <row r="11" spans="1:57" ht="17.100000000000001" customHeight="1" thickBot="1">
      <c r="A11" s="5227" t="s">
        <v>1647</v>
      </c>
      <c r="B11" s="5228"/>
      <c r="C11" s="5229"/>
      <c r="D11" s="1583">
        <f>SUM(D6:D10)</f>
        <v>14</v>
      </c>
      <c r="E11" s="1584">
        <f t="shared" ref="E11:G11" si="14">SUM(E6:E10)</f>
        <v>55</v>
      </c>
      <c r="F11" s="1584">
        <f t="shared" si="14"/>
        <v>18</v>
      </c>
      <c r="G11" s="1584">
        <f t="shared" si="14"/>
        <v>1</v>
      </c>
      <c r="H11" s="1585">
        <f>SUM(H6:H10)</f>
        <v>88</v>
      </c>
      <c r="I11" s="1675">
        <f t="shared" si="0"/>
        <v>0.27536231884057971</v>
      </c>
      <c r="J11" s="1583">
        <f>SUM(J6:J10)</f>
        <v>20</v>
      </c>
      <c r="K11" s="1584">
        <f>SUM(K6:K10)</f>
        <v>55</v>
      </c>
      <c r="L11" s="1584">
        <f>SUM(L6:L10)</f>
        <v>18</v>
      </c>
      <c r="M11" s="1584">
        <f>SUM(M6:M10)</f>
        <v>1</v>
      </c>
      <c r="N11" s="1585">
        <f>SUM(N6:N10)</f>
        <v>94</v>
      </c>
      <c r="O11" s="1675">
        <f t="shared" si="1"/>
        <v>0.25333333333333335</v>
      </c>
      <c r="P11" s="1583">
        <f>SUM(P6:P10)</f>
        <v>22</v>
      </c>
      <c r="Q11" s="1584">
        <f>SUM(Q6:Q10)</f>
        <v>54</v>
      </c>
      <c r="R11" s="1584">
        <f>SUM(R6:R10)</f>
        <v>19</v>
      </c>
      <c r="S11" s="1584">
        <f>SUM(S6:S10)</f>
        <v>1</v>
      </c>
      <c r="T11" s="1585">
        <f>SUM(T6:T10)</f>
        <v>96</v>
      </c>
      <c r="U11" s="1675">
        <f t="shared" si="2"/>
        <v>0.26315789473684209</v>
      </c>
      <c r="V11" s="1583">
        <f>SUM(V6:V10)</f>
        <v>27</v>
      </c>
      <c r="W11" s="1584">
        <f>SUM(W6:W10)</f>
        <v>59</v>
      </c>
      <c r="X11" s="1584">
        <f>SUM(X6:X10)</f>
        <v>23</v>
      </c>
      <c r="Y11" s="1584">
        <f>SUM(Y6:Y10)</f>
        <v>1</v>
      </c>
      <c r="Z11" s="1585">
        <f>SUM(Z6:Z10)</f>
        <v>110</v>
      </c>
      <c r="AA11" s="1675">
        <f t="shared" si="3"/>
        <v>0.27906976744186046</v>
      </c>
      <c r="AB11" s="1583">
        <f>SUM(AB6:AB10)</f>
        <v>18</v>
      </c>
      <c r="AC11" s="1584">
        <f>SUM(AC6:AC10)</f>
        <v>65</v>
      </c>
      <c r="AD11" s="1584">
        <f>SUM(AD6:AD10)</f>
        <v>25</v>
      </c>
      <c r="AE11" s="1584">
        <f>SUM(AE6:AE10)</f>
        <v>3</v>
      </c>
      <c r="AF11" s="1585">
        <f t="shared" si="10"/>
        <v>111</v>
      </c>
      <c r="AG11" s="1675">
        <f t="shared" si="4"/>
        <v>0.33734939759036142</v>
      </c>
      <c r="AH11" s="1583">
        <v>19</v>
      </c>
      <c r="AI11" s="1584">
        <v>62</v>
      </c>
      <c r="AJ11" s="1584">
        <v>26</v>
      </c>
      <c r="AK11" s="1584">
        <v>3</v>
      </c>
      <c r="AL11" s="1585">
        <f t="shared" si="11"/>
        <v>110</v>
      </c>
      <c r="AM11" s="1675">
        <f t="shared" si="5"/>
        <v>0.35802469135802467</v>
      </c>
      <c r="AN11" s="1583">
        <f>SUM(AN6:AN10)</f>
        <v>24</v>
      </c>
      <c r="AO11" s="1584">
        <f>SUM(AO6:AO10)</f>
        <v>72</v>
      </c>
      <c r="AP11" s="1584">
        <f t="shared" ref="AP11:AR11" si="15">SUM(AP6:AP10)</f>
        <v>25</v>
      </c>
      <c r="AQ11" s="1584">
        <f t="shared" si="15"/>
        <v>3</v>
      </c>
      <c r="AR11" s="1584">
        <f t="shared" si="15"/>
        <v>124</v>
      </c>
      <c r="AS11" s="1675">
        <f t="shared" si="6"/>
        <v>0.29166666666666669</v>
      </c>
      <c r="AT11" s="1583">
        <v>21</v>
      </c>
      <c r="AU11" s="1584">
        <v>71</v>
      </c>
      <c r="AV11" s="1584">
        <v>25</v>
      </c>
      <c r="AW11" s="1584">
        <v>3</v>
      </c>
      <c r="AX11" s="1584">
        <f t="shared" ref="AX11" si="16">SUM(AX6:AX10)</f>
        <v>120</v>
      </c>
      <c r="AY11" s="1675">
        <f t="shared" si="7"/>
        <v>0.30434782608695654</v>
      </c>
      <c r="AZ11" s="1583">
        <v>16</v>
      </c>
      <c r="BA11" s="1584">
        <v>71</v>
      </c>
      <c r="BB11" s="1584">
        <v>22</v>
      </c>
      <c r="BC11" s="1584">
        <v>4</v>
      </c>
      <c r="BD11" s="1584">
        <v>113</v>
      </c>
      <c r="BE11" s="1675">
        <f t="shared" si="8"/>
        <v>0.2988505747126437</v>
      </c>
    </row>
    <row r="12" spans="1:57" ht="17.100000000000001" customHeight="1">
      <c r="A12" s="1684" t="s">
        <v>70</v>
      </c>
      <c r="B12" s="1606" t="s">
        <v>16</v>
      </c>
      <c r="C12" s="1607" t="s">
        <v>1155</v>
      </c>
      <c r="D12" s="1614"/>
      <c r="E12" s="1582">
        <v>9</v>
      </c>
      <c r="F12" s="1610"/>
      <c r="G12" s="1610"/>
      <c r="H12" s="1611">
        <f>SUM(D12:G12)</f>
        <v>9</v>
      </c>
      <c r="I12" s="1674">
        <f t="shared" si="0"/>
        <v>0</v>
      </c>
      <c r="J12" s="1614"/>
      <c r="K12" s="1582">
        <v>10</v>
      </c>
      <c r="L12" s="1610"/>
      <c r="M12" s="1610"/>
      <c r="N12" s="1611">
        <f>SUM(J12:M12)</f>
        <v>10</v>
      </c>
      <c r="O12" s="1674">
        <f t="shared" si="1"/>
        <v>0</v>
      </c>
      <c r="P12" s="1614">
        <v>1</v>
      </c>
      <c r="Q12" s="1582">
        <v>8</v>
      </c>
      <c r="R12" s="1610"/>
      <c r="S12" s="1610"/>
      <c r="T12" s="1611">
        <f>SUM(P12:S12)</f>
        <v>9</v>
      </c>
      <c r="U12" s="1674">
        <f t="shared" si="2"/>
        <v>0</v>
      </c>
      <c r="V12" s="1614">
        <v>1</v>
      </c>
      <c r="W12" s="1582">
        <v>9</v>
      </c>
      <c r="X12" s="1610"/>
      <c r="Y12" s="1610"/>
      <c r="Z12" s="1611">
        <f>SUM(V12:Y12)</f>
        <v>10</v>
      </c>
      <c r="AA12" s="1674">
        <f t="shared" si="3"/>
        <v>0</v>
      </c>
      <c r="AB12" s="1614">
        <v>1</v>
      </c>
      <c r="AC12" s="1582">
        <v>9</v>
      </c>
      <c r="AD12" s="1610"/>
      <c r="AE12" s="1610"/>
      <c r="AF12" s="1611">
        <f t="shared" si="10"/>
        <v>10</v>
      </c>
      <c r="AG12" s="1674">
        <f t="shared" si="4"/>
        <v>0</v>
      </c>
      <c r="AH12" s="1614">
        <v>1</v>
      </c>
      <c r="AI12" s="1582">
        <v>10</v>
      </c>
      <c r="AJ12" s="1610"/>
      <c r="AK12" s="1610"/>
      <c r="AL12" s="1611">
        <f t="shared" si="11"/>
        <v>11</v>
      </c>
      <c r="AM12" s="1674">
        <f t="shared" si="5"/>
        <v>0</v>
      </c>
      <c r="AN12" s="1614">
        <v>1</v>
      </c>
      <c r="AO12" s="1582">
        <v>9</v>
      </c>
      <c r="AP12" s="1610"/>
      <c r="AQ12" s="1610"/>
      <c r="AR12" s="1611">
        <f t="shared" si="12"/>
        <v>10</v>
      </c>
      <c r="AS12" s="1674">
        <f t="shared" si="6"/>
        <v>0</v>
      </c>
      <c r="AT12" s="1614">
        <v>3</v>
      </c>
      <c r="AU12" s="1582">
        <v>9</v>
      </c>
      <c r="AV12" s="1610">
        <v>0</v>
      </c>
      <c r="AW12" s="1610">
        <v>0</v>
      </c>
      <c r="AX12" s="1611">
        <f t="shared" ref="AX12:AX16" si="17">SUM(AT12:AW12)</f>
        <v>12</v>
      </c>
      <c r="AY12" s="1674">
        <f t="shared" si="7"/>
        <v>0</v>
      </c>
      <c r="AZ12" s="1614">
        <v>5</v>
      </c>
      <c r="BA12" s="1582">
        <v>8</v>
      </c>
      <c r="BB12" s="1610">
        <v>0</v>
      </c>
      <c r="BC12" s="1610">
        <v>0</v>
      </c>
      <c r="BD12" s="1611">
        <v>13</v>
      </c>
      <c r="BE12" s="1674">
        <f t="shared" si="8"/>
        <v>0</v>
      </c>
    </row>
    <row r="13" spans="1:57" ht="17.100000000000001" customHeight="1">
      <c r="A13" s="1685" t="s">
        <v>70</v>
      </c>
      <c r="B13" s="1608" t="s">
        <v>16</v>
      </c>
      <c r="C13" s="1609" t="s">
        <v>1156</v>
      </c>
      <c r="D13" s="1614"/>
      <c r="E13" s="1582">
        <v>4</v>
      </c>
      <c r="F13" s="1582">
        <v>3</v>
      </c>
      <c r="G13" s="1582">
        <v>2</v>
      </c>
      <c r="H13" s="1586">
        <f t="shared" ref="H13:H16" si="18">SUM(D13:G13)</f>
        <v>9</v>
      </c>
      <c r="I13" s="1674">
        <f t="shared" si="0"/>
        <v>1.25</v>
      </c>
      <c r="J13" s="1614"/>
      <c r="K13" s="1582">
        <v>4</v>
      </c>
      <c r="L13" s="1582">
        <v>3</v>
      </c>
      <c r="M13" s="1582">
        <v>1</v>
      </c>
      <c r="N13" s="1586">
        <f>SUM(J13:M13)</f>
        <v>8</v>
      </c>
      <c r="O13" s="1674">
        <f t="shared" si="1"/>
        <v>1</v>
      </c>
      <c r="P13" s="1614"/>
      <c r="Q13" s="1582">
        <v>4</v>
      </c>
      <c r="R13" s="1582">
        <v>3</v>
      </c>
      <c r="S13" s="1582">
        <v>1</v>
      </c>
      <c r="T13" s="1586">
        <f>SUM(P13:S13)</f>
        <v>8</v>
      </c>
      <c r="U13" s="1674">
        <f t="shared" si="2"/>
        <v>1</v>
      </c>
      <c r="V13" s="1614"/>
      <c r="W13" s="1582">
        <v>7</v>
      </c>
      <c r="X13" s="1582">
        <v>4</v>
      </c>
      <c r="Y13" s="1582">
        <v>2</v>
      </c>
      <c r="Z13" s="1586">
        <f>SUM(V13:Y13)</f>
        <v>13</v>
      </c>
      <c r="AA13" s="1674">
        <f t="shared" si="3"/>
        <v>0.8571428571428571</v>
      </c>
      <c r="AB13" s="1614"/>
      <c r="AC13" s="1582">
        <v>10</v>
      </c>
      <c r="AD13" s="1582">
        <v>3</v>
      </c>
      <c r="AE13" s="1582">
        <v>2</v>
      </c>
      <c r="AF13" s="1586">
        <f t="shared" si="10"/>
        <v>15</v>
      </c>
      <c r="AG13" s="1674">
        <f t="shared" si="4"/>
        <v>0.5</v>
      </c>
      <c r="AH13" s="1614"/>
      <c r="AI13" s="1582">
        <v>11</v>
      </c>
      <c r="AJ13" s="1582">
        <v>3</v>
      </c>
      <c r="AK13" s="1582">
        <v>3</v>
      </c>
      <c r="AL13" s="1586">
        <f t="shared" si="11"/>
        <v>17</v>
      </c>
      <c r="AM13" s="1674">
        <f t="shared" si="5"/>
        <v>0.54545454545454541</v>
      </c>
      <c r="AN13" s="1614">
        <v>1</v>
      </c>
      <c r="AO13" s="1582">
        <v>11</v>
      </c>
      <c r="AP13" s="1582">
        <v>2</v>
      </c>
      <c r="AQ13" s="1582">
        <v>4</v>
      </c>
      <c r="AR13" s="1586">
        <f t="shared" si="12"/>
        <v>18</v>
      </c>
      <c r="AS13" s="1674">
        <f t="shared" si="6"/>
        <v>0.5</v>
      </c>
      <c r="AT13" s="1614">
        <v>1</v>
      </c>
      <c r="AU13" s="1582">
        <v>12</v>
      </c>
      <c r="AV13" s="1582">
        <v>1</v>
      </c>
      <c r="AW13" s="1582">
        <v>4</v>
      </c>
      <c r="AX13" s="1586">
        <f t="shared" si="17"/>
        <v>18</v>
      </c>
      <c r="AY13" s="1674">
        <f t="shared" si="7"/>
        <v>0.38461538461538464</v>
      </c>
      <c r="AZ13" s="1614">
        <v>1</v>
      </c>
      <c r="BA13" s="1582">
        <v>10</v>
      </c>
      <c r="BB13" s="1582">
        <v>1</v>
      </c>
      <c r="BC13" s="1582">
        <v>4</v>
      </c>
      <c r="BD13" s="1586">
        <v>16</v>
      </c>
      <c r="BE13" s="1674">
        <f t="shared" si="8"/>
        <v>0.45454545454545453</v>
      </c>
    </row>
    <row r="14" spans="1:57" ht="17.100000000000001" customHeight="1">
      <c r="A14" s="1685" t="s">
        <v>70</v>
      </c>
      <c r="B14" s="1608" t="s">
        <v>16</v>
      </c>
      <c r="C14" s="1609" t="s">
        <v>1157</v>
      </c>
      <c r="D14" s="1581">
        <v>1</v>
      </c>
      <c r="E14" s="1582">
        <v>17</v>
      </c>
      <c r="F14" s="1582">
        <v>5</v>
      </c>
      <c r="G14" s="1582"/>
      <c r="H14" s="1586">
        <f t="shared" si="18"/>
        <v>23</v>
      </c>
      <c r="I14" s="1674">
        <f t="shared" si="0"/>
        <v>0.27777777777777779</v>
      </c>
      <c r="J14" s="1581"/>
      <c r="K14" s="1582">
        <v>17</v>
      </c>
      <c r="L14" s="1582">
        <v>5</v>
      </c>
      <c r="M14" s="1582"/>
      <c r="N14" s="1586">
        <f>SUM(J14:M14)</f>
        <v>22</v>
      </c>
      <c r="O14" s="1674">
        <f t="shared" si="1"/>
        <v>0.29411764705882354</v>
      </c>
      <c r="P14" s="1581">
        <v>1</v>
      </c>
      <c r="Q14" s="1582">
        <v>18</v>
      </c>
      <c r="R14" s="1582">
        <v>3</v>
      </c>
      <c r="S14" s="1582"/>
      <c r="T14" s="1586">
        <f>SUM(P14:S14)</f>
        <v>22</v>
      </c>
      <c r="U14" s="1674">
        <f t="shared" si="2"/>
        <v>0.15789473684210525</v>
      </c>
      <c r="V14" s="1581">
        <v>2</v>
      </c>
      <c r="W14" s="1582">
        <v>20</v>
      </c>
      <c r="X14" s="1582">
        <v>3</v>
      </c>
      <c r="Y14" s="1582"/>
      <c r="Z14" s="1586">
        <f>SUM(V14:Y14)</f>
        <v>25</v>
      </c>
      <c r="AA14" s="1674">
        <f t="shared" si="3"/>
        <v>0.13636363636363635</v>
      </c>
      <c r="AB14" s="1581">
        <v>3</v>
      </c>
      <c r="AC14" s="1582">
        <v>19</v>
      </c>
      <c r="AD14" s="1582">
        <v>3</v>
      </c>
      <c r="AE14" s="1582"/>
      <c r="AF14" s="1586">
        <f t="shared" si="10"/>
        <v>25</v>
      </c>
      <c r="AG14" s="1674">
        <f t="shared" si="4"/>
        <v>0.13636363636363635</v>
      </c>
      <c r="AH14" s="1581">
        <v>3</v>
      </c>
      <c r="AI14" s="1582">
        <v>15</v>
      </c>
      <c r="AJ14" s="1582">
        <v>5</v>
      </c>
      <c r="AK14" s="1582">
        <v>1</v>
      </c>
      <c r="AL14" s="1586">
        <f t="shared" si="11"/>
        <v>24</v>
      </c>
      <c r="AM14" s="1674">
        <f t="shared" si="5"/>
        <v>0.33333333333333331</v>
      </c>
      <c r="AN14" s="1581">
        <v>3</v>
      </c>
      <c r="AO14" s="1582">
        <v>16</v>
      </c>
      <c r="AP14" s="1582">
        <v>4</v>
      </c>
      <c r="AQ14" s="1582">
        <v>2</v>
      </c>
      <c r="AR14" s="1586">
        <f t="shared" si="12"/>
        <v>25</v>
      </c>
      <c r="AS14" s="1674">
        <f t="shared" si="6"/>
        <v>0.31578947368421051</v>
      </c>
      <c r="AT14" s="1581">
        <v>4</v>
      </c>
      <c r="AU14" s="1582">
        <v>17</v>
      </c>
      <c r="AV14" s="1582">
        <v>4</v>
      </c>
      <c r="AW14" s="1582">
        <v>2</v>
      </c>
      <c r="AX14" s="1586">
        <f t="shared" si="17"/>
        <v>27</v>
      </c>
      <c r="AY14" s="1674">
        <f t="shared" si="7"/>
        <v>0.2857142857142857</v>
      </c>
      <c r="AZ14" s="1581">
        <v>3</v>
      </c>
      <c r="BA14" s="1582">
        <v>19</v>
      </c>
      <c r="BB14" s="1582">
        <v>4</v>
      </c>
      <c r="BC14" s="1582">
        <v>2</v>
      </c>
      <c r="BD14" s="1586">
        <v>28</v>
      </c>
      <c r="BE14" s="1674">
        <f t="shared" si="8"/>
        <v>0.27272727272727271</v>
      </c>
    </row>
    <row r="15" spans="1:57" ht="17.100000000000001" customHeight="1">
      <c r="A15" s="1685" t="s">
        <v>70</v>
      </c>
      <c r="B15" s="1608" t="s">
        <v>16</v>
      </c>
      <c r="C15" s="1609" t="s">
        <v>854</v>
      </c>
      <c r="D15" s="1614">
        <v>1</v>
      </c>
      <c r="E15" s="1582">
        <v>15</v>
      </c>
      <c r="F15" s="1582">
        <v>1</v>
      </c>
      <c r="G15" s="1610"/>
      <c r="H15" s="1611">
        <f t="shared" si="18"/>
        <v>17</v>
      </c>
      <c r="I15" s="1674">
        <f t="shared" si="0"/>
        <v>6.25E-2</v>
      </c>
      <c r="J15" s="1614">
        <v>1</v>
      </c>
      <c r="K15" s="1582">
        <v>15</v>
      </c>
      <c r="L15" s="1582">
        <v>1</v>
      </c>
      <c r="M15" s="1610"/>
      <c r="N15" s="1611">
        <f>SUM(J15:M15)</f>
        <v>17</v>
      </c>
      <c r="O15" s="1674">
        <f t="shared" si="1"/>
        <v>6.25E-2</v>
      </c>
      <c r="P15" s="1614">
        <v>2</v>
      </c>
      <c r="Q15" s="1582">
        <v>16</v>
      </c>
      <c r="R15" s="1582"/>
      <c r="S15" s="1610"/>
      <c r="T15" s="1611">
        <f>SUM(P15:S15)</f>
        <v>18</v>
      </c>
      <c r="U15" s="1674">
        <f t="shared" si="2"/>
        <v>0</v>
      </c>
      <c r="V15" s="1614">
        <v>2</v>
      </c>
      <c r="W15" s="1582">
        <v>17</v>
      </c>
      <c r="X15" s="1582"/>
      <c r="Y15" s="1610"/>
      <c r="Z15" s="1611">
        <f>SUM(V15:Y15)</f>
        <v>19</v>
      </c>
      <c r="AA15" s="1674">
        <f t="shared" si="3"/>
        <v>0</v>
      </c>
      <c r="AB15" s="1614">
        <v>1</v>
      </c>
      <c r="AC15" s="1582">
        <v>18</v>
      </c>
      <c r="AD15" s="1582"/>
      <c r="AE15" s="1610"/>
      <c r="AF15" s="1611">
        <f t="shared" si="10"/>
        <v>19</v>
      </c>
      <c r="AG15" s="1674">
        <f t="shared" si="4"/>
        <v>0</v>
      </c>
      <c r="AH15" s="1614">
        <v>2</v>
      </c>
      <c r="AI15" s="1582">
        <v>16</v>
      </c>
      <c r="AJ15" s="1582"/>
      <c r="AK15" s="1610"/>
      <c r="AL15" s="1611">
        <f t="shared" si="11"/>
        <v>18</v>
      </c>
      <c r="AM15" s="1674">
        <f t="shared" si="5"/>
        <v>0</v>
      </c>
      <c r="AN15" s="1614">
        <v>2</v>
      </c>
      <c r="AO15" s="1582">
        <v>14</v>
      </c>
      <c r="AP15" s="1582"/>
      <c r="AQ15" s="1610"/>
      <c r="AR15" s="1611">
        <f t="shared" si="12"/>
        <v>16</v>
      </c>
      <c r="AS15" s="1674">
        <f t="shared" si="6"/>
        <v>0</v>
      </c>
      <c r="AT15" s="1614">
        <v>2</v>
      </c>
      <c r="AU15" s="1582">
        <v>14</v>
      </c>
      <c r="AV15" s="1582">
        <v>0</v>
      </c>
      <c r="AW15" s="1610">
        <v>0</v>
      </c>
      <c r="AX15" s="1611">
        <f t="shared" si="17"/>
        <v>16</v>
      </c>
      <c r="AY15" s="1674">
        <f t="shared" si="7"/>
        <v>0</v>
      </c>
      <c r="AZ15" s="1614">
        <v>3</v>
      </c>
      <c r="BA15" s="1582">
        <v>17</v>
      </c>
      <c r="BB15" s="1582">
        <v>0</v>
      </c>
      <c r="BC15" s="1610">
        <v>0</v>
      </c>
      <c r="BD15" s="1611">
        <v>20</v>
      </c>
      <c r="BE15" s="1674">
        <f t="shared" si="8"/>
        <v>0</v>
      </c>
    </row>
    <row r="16" spans="1:57" ht="17.100000000000001" customHeight="1" thickBot="1">
      <c r="A16" s="1687" t="s">
        <v>70</v>
      </c>
      <c r="B16" s="1615" t="s">
        <v>16</v>
      </c>
      <c r="C16" s="1616" t="s">
        <v>1158</v>
      </c>
      <c r="D16" s="1581">
        <v>1</v>
      </c>
      <c r="E16" s="1582">
        <v>14</v>
      </c>
      <c r="F16" s="1582">
        <v>13</v>
      </c>
      <c r="G16" s="1582">
        <v>3</v>
      </c>
      <c r="H16" s="1586">
        <f t="shared" si="18"/>
        <v>31</v>
      </c>
      <c r="I16" s="1674">
        <f t="shared" si="0"/>
        <v>1.0666666666666667</v>
      </c>
      <c r="J16" s="1581">
        <v>1</v>
      </c>
      <c r="K16" s="1582">
        <v>14</v>
      </c>
      <c r="L16" s="1582">
        <v>13</v>
      </c>
      <c r="M16" s="1582">
        <v>3</v>
      </c>
      <c r="N16" s="1586">
        <f>SUM(J16:M16)</f>
        <v>31</v>
      </c>
      <c r="O16" s="1674">
        <f t="shared" si="1"/>
        <v>1.0666666666666667</v>
      </c>
      <c r="P16" s="1581">
        <v>1</v>
      </c>
      <c r="Q16" s="1582">
        <v>18</v>
      </c>
      <c r="R16" s="1582">
        <v>9</v>
      </c>
      <c r="S16" s="1582">
        <v>3</v>
      </c>
      <c r="T16" s="1586">
        <f>SUM(P16:S16)</f>
        <v>31</v>
      </c>
      <c r="U16" s="1674">
        <f t="shared" si="2"/>
        <v>0.63157894736842102</v>
      </c>
      <c r="V16" s="1581">
        <v>1</v>
      </c>
      <c r="W16" s="1582">
        <v>24</v>
      </c>
      <c r="X16" s="1582">
        <v>9</v>
      </c>
      <c r="Y16" s="1582">
        <v>3</v>
      </c>
      <c r="Z16" s="1586">
        <f>SUM(V16:Y16)</f>
        <v>37</v>
      </c>
      <c r="AA16" s="1674">
        <f t="shared" si="3"/>
        <v>0.48</v>
      </c>
      <c r="AB16" s="1581">
        <v>4</v>
      </c>
      <c r="AC16" s="1582">
        <v>23</v>
      </c>
      <c r="AD16" s="1582">
        <v>11</v>
      </c>
      <c r="AE16" s="1582">
        <v>2</v>
      </c>
      <c r="AF16" s="1586">
        <f t="shared" si="10"/>
        <v>40</v>
      </c>
      <c r="AG16" s="1674">
        <f t="shared" si="4"/>
        <v>0.48148148148148145</v>
      </c>
      <c r="AH16" s="1581">
        <v>4</v>
      </c>
      <c r="AI16" s="1582">
        <v>23</v>
      </c>
      <c r="AJ16" s="1582">
        <v>12</v>
      </c>
      <c r="AK16" s="1582">
        <v>2</v>
      </c>
      <c r="AL16" s="1586">
        <f t="shared" si="11"/>
        <v>41</v>
      </c>
      <c r="AM16" s="1674">
        <f t="shared" si="5"/>
        <v>0.51851851851851849</v>
      </c>
      <c r="AN16" s="1581">
        <v>4</v>
      </c>
      <c r="AO16" s="1582">
        <v>23</v>
      </c>
      <c r="AP16" s="1582">
        <v>13</v>
      </c>
      <c r="AQ16" s="1582">
        <v>3</v>
      </c>
      <c r="AR16" s="1586">
        <f t="shared" si="12"/>
        <v>43</v>
      </c>
      <c r="AS16" s="1674">
        <f t="shared" si="6"/>
        <v>0.59259259259259256</v>
      </c>
      <c r="AT16" s="1581">
        <v>4</v>
      </c>
      <c r="AU16" s="1582">
        <v>25</v>
      </c>
      <c r="AV16" s="1582">
        <v>13</v>
      </c>
      <c r="AW16" s="1582">
        <v>3</v>
      </c>
      <c r="AX16" s="1586">
        <f t="shared" si="17"/>
        <v>45</v>
      </c>
      <c r="AY16" s="1674">
        <f t="shared" si="7"/>
        <v>0.55172413793103448</v>
      </c>
      <c r="AZ16" s="1581">
        <v>3</v>
      </c>
      <c r="BA16" s="1582">
        <v>21</v>
      </c>
      <c r="BB16" s="1582">
        <v>13</v>
      </c>
      <c r="BC16" s="1582">
        <v>3</v>
      </c>
      <c r="BD16" s="1586">
        <v>40</v>
      </c>
      <c r="BE16" s="1674">
        <f t="shared" si="8"/>
        <v>0.66666666666666663</v>
      </c>
    </row>
    <row r="17" spans="1:57" ht="17.100000000000001" customHeight="1" thickBot="1">
      <c r="A17" s="5227" t="s">
        <v>1648</v>
      </c>
      <c r="B17" s="5228"/>
      <c r="C17" s="5229"/>
      <c r="D17" s="1583">
        <f>SUM(D12:D16)</f>
        <v>3</v>
      </c>
      <c r="E17" s="1584">
        <f t="shared" ref="E17:H17" si="19">SUM(E12:E16)</f>
        <v>59</v>
      </c>
      <c r="F17" s="1584">
        <f t="shared" si="19"/>
        <v>22</v>
      </c>
      <c r="G17" s="1584">
        <f t="shared" si="19"/>
        <v>5</v>
      </c>
      <c r="H17" s="1585">
        <f t="shared" si="19"/>
        <v>89</v>
      </c>
      <c r="I17" s="1675">
        <f t="shared" si="0"/>
        <v>0.43548387096774194</v>
      </c>
      <c r="J17" s="1583">
        <f>SUM(J12:J16)</f>
        <v>2</v>
      </c>
      <c r="K17" s="1584">
        <f>SUM(K12:K16)</f>
        <v>60</v>
      </c>
      <c r="L17" s="1584">
        <f>SUM(L12:L16)</f>
        <v>22</v>
      </c>
      <c r="M17" s="1584">
        <f>SUM(M12:M16)</f>
        <v>4</v>
      </c>
      <c r="N17" s="1585">
        <f>SUM(N12:N16)</f>
        <v>88</v>
      </c>
      <c r="O17" s="1675">
        <f t="shared" si="1"/>
        <v>0.41935483870967744</v>
      </c>
      <c r="P17" s="1583">
        <f>SUM(P12:P16)</f>
        <v>5</v>
      </c>
      <c r="Q17" s="1584">
        <f>SUM(Q12:Q16)</f>
        <v>64</v>
      </c>
      <c r="R17" s="1584">
        <f>SUM(R12:R16)</f>
        <v>15</v>
      </c>
      <c r="S17" s="1584">
        <f>SUM(S12:S16)</f>
        <v>4</v>
      </c>
      <c r="T17" s="1585">
        <f>SUM(T12:T16)</f>
        <v>88</v>
      </c>
      <c r="U17" s="1675">
        <f t="shared" si="2"/>
        <v>0.27536231884057971</v>
      </c>
      <c r="V17" s="1583">
        <f>SUM(V12:V16)</f>
        <v>6</v>
      </c>
      <c r="W17" s="1584">
        <f>SUM(W12:W16)</f>
        <v>77</v>
      </c>
      <c r="X17" s="1584">
        <f>SUM(X12:X16)</f>
        <v>16</v>
      </c>
      <c r="Y17" s="1584">
        <f>SUM(Y12:Y16)</f>
        <v>5</v>
      </c>
      <c r="Z17" s="1585">
        <f>SUM(Z12:Z16)</f>
        <v>104</v>
      </c>
      <c r="AA17" s="1675">
        <f t="shared" si="3"/>
        <v>0.25301204819277107</v>
      </c>
      <c r="AB17" s="1583">
        <f>SUM(AB12:AB16)</f>
        <v>9</v>
      </c>
      <c r="AC17" s="1584">
        <f>SUM(AC12:AC16)</f>
        <v>79</v>
      </c>
      <c r="AD17" s="1584">
        <f>SUM(AD12:AD16)</f>
        <v>17</v>
      </c>
      <c r="AE17" s="1584">
        <f>SUM(AE12:AE16)</f>
        <v>4</v>
      </c>
      <c r="AF17" s="1585">
        <f t="shared" si="10"/>
        <v>109</v>
      </c>
      <c r="AG17" s="1675">
        <f t="shared" si="4"/>
        <v>0.23863636363636365</v>
      </c>
      <c r="AH17" s="1583">
        <v>10</v>
      </c>
      <c r="AI17" s="1584">
        <v>75</v>
      </c>
      <c r="AJ17" s="1584">
        <v>20</v>
      </c>
      <c r="AK17" s="1584">
        <v>6</v>
      </c>
      <c r="AL17" s="1585">
        <f t="shared" si="11"/>
        <v>111</v>
      </c>
      <c r="AM17" s="1675">
        <f t="shared" si="5"/>
        <v>0.30588235294117649</v>
      </c>
      <c r="AN17" s="1583">
        <f>SUM(AN12:AN16)</f>
        <v>11</v>
      </c>
      <c r="AO17" s="1584">
        <f t="shared" ref="AO17:AR17" si="20">SUM(AO12:AO16)</f>
        <v>73</v>
      </c>
      <c r="AP17" s="1584">
        <f t="shared" si="20"/>
        <v>19</v>
      </c>
      <c r="AQ17" s="1584">
        <f t="shared" si="20"/>
        <v>9</v>
      </c>
      <c r="AR17" s="1584">
        <f t="shared" si="20"/>
        <v>112</v>
      </c>
      <c r="AS17" s="1675">
        <f t="shared" si="6"/>
        <v>0.33333333333333331</v>
      </c>
      <c r="AT17" s="1583">
        <v>14</v>
      </c>
      <c r="AU17" s="1584">
        <v>77</v>
      </c>
      <c r="AV17" s="1584">
        <v>18</v>
      </c>
      <c r="AW17" s="1584">
        <v>9</v>
      </c>
      <c r="AX17" s="1584">
        <f t="shared" ref="AX17" si="21">SUM(AX12:AX16)</f>
        <v>118</v>
      </c>
      <c r="AY17" s="1675">
        <f t="shared" si="7"/>
        <v>0.2967032967032967</v>
      </c>
      <c r="AZ17" s="1583">
        <v>15</v>
      </c>
      <c r="BA17" s="1584">
        <v>75</v>
      </c>
      <c r="BB17" s="1584">
        <v>18</v>
      </c>
      <c r="BC17" s="1584">
        <v>9</v>
      </c>
      <c r="BD17" s="1584">
        <v>117</v>
      </c>
      <c r="BE17" s="1675">
        <f t="shared" si="8"/>
        <v>0.3</v>
      </c>
    </row>
    <row r="18" spans="1:57" ht="17.100000000000001" customHeight="1">
      <c r="A18" s="1688" t="s">
        <v>70</v>
      </c>
      <c r="B18" s="1617" t="s">
        <v>1159</v>
      </c>
      <c r="C18" s="1618" t="s">
        <v>1649</v>
      </c>
      <c r="D18" s="1614"/>
      <c r="E18" s="1582">
        <v>2</v>
      </c>
      <c r="F18" s="1582">
        <v>1</v>
      </c>
      <c r="G18" s="1610"/>
      <c r="H18" s="1611">
        <f>SUM(D18:G18)</f>
        <v>3</v>
      </c>
      <c r="I18" s="1674">
        <f t="shared" si="0"/>
        <v>0.5</v>
      </c>
      <c r="J18" s="1614"/>
      <c r="K18" s="1582">
        <v>2</v>
      </c>
      <c r="L18" s="1582">
        <v>1</v>
      </c>
      <c r="M18" s="1610"/>
      <c r="N18" s="1611">
        <f>SUM(J18:M18)</f>
        <v>3</v>
      </c>
      <c r="O18" s="1674">
        <f t="shared" si="1"/>
        <v>0.5</v>
      </c>
      <c r="P18" s="1614"/>
      <c r="Q18" s="1582">
        <v>1</v>
      </c>
      <c r="R18" s="1582">
        <v>1</v>
      </c>
      <c r="S18" s="1610"/>
      <c r="T18" s="1611">
        <f>SUM(P18:S18)</f>
        <v>2</v>
      </c>
      <c r="U18" s="1674">
        <f t="shared" si="2"/>
        <v>1</v>
      </c>
      <c r="V18" s="1614">
        <v>1</v>
      </c>
      <c r="W18" s="1582">
        <v>1</v>
      </c>
      <c r="X18" s="1582">
        <v>1</v>
      </c>
      <c r="Y18" s="1610"/>
      <c r="Z18" s="1611">
        <f>SUM(V18:Y18)</f>
        <v>3</v>
      </c>
      <c r="AA18" s="1674">
        <f t="shared" si="3"/>
        <v>0.5</v>
      </c>
      <c r="AB18" s="1614">
        <v>1</v>
      </c>
      <c r="AC18" s="1582">
        <v>1</v>
      </c>
      <c r="AD18" s="1582">
        <v>1</v>
      </c>
      <c r="AE18" s="1610"/>
      <c r="AF18" s="1611">
        <f t="shared" si="10"/>
        <v>3</v>
      </c>
      <c r="AG18" s="1674">
        <f t="shared" si="4"/>
        <v>0.5</v>
      </c>
      <c r="AH18" s="1614">
        <v>1</v>
      </c>
      <c r="AI18" s="1582">
        <v>2</v>
      </c>
      <c r="AJ18" s="1582">
        <v>1</v>
      </c>
      <c r="AK18" s="1610"/>
      <c r="AL18" s="1611">
        <f t="shared" si="11"/>
        <v>4</v>
      </c>
      <c r="AM18" s="1674">
        <f t="shared" si="5"/>
        <v>0.33333333333333331</v>
      </c>
      <c r="AN18" s="1614"/>
      <c r="AO18" s="1582">
        <v>3</v>
      </c>
      <c r="AP18" s="1582">
        <v>1</v>
      </c>
      <c r="AQ18" s="1610"/>
      <c r="AR18" s="1611">
        <f t="shared" si="12"/>
        <v>4</v>
      </c>
      <c r="AS18" s="1674">
        <f t="shared" si="6"/>
        <v>0.33333333333333331</v>
      </c>
      <c r="AT18" s="1614">
        <v>0</v>
      </c>
      <c r="AU18" s="1582">
        <v>4</v>
      </c>
      <c r="AV18" s="1582">
        <v>0</v>
      </c>
      <c r="AW18" s="1610">
        <v>0</v>
      </c>
      <c r="AX18" s="1611">
        <f t="shared" ref="AX18:AX21" si="22">SUM(AT18:AW18)</f>
        <v>4</v>
      </c>
      <c r="AY18" s="1674">
        <f t="shared" si="7"/>
        <v>0</v>
      </c>
      <c r="AZ18" s="1614">
        <v>0</v>
      </c>
      <c r="BA18" s="1582">
        <v>4</v>
      </c>
      <c r="BB18" s="1582">
        <v>0</v>
      </c>
      <c r="BC18" s="1610">
        <v>0</v>
      </c>
      <c r="BD18" s="1611">
        <v>4</v>
      </c>
      <c r="BE18" s="1674">
        <f t="shared" si="8"/>
        <v>0</v>
      </c>
    </row>
    <row r="19" spans="1:57" ht="17.100000000000001" customHeight="1">
      <c r="A19" s="1685" t="s">
        <v>70</v>
      </c>
      <c r="B19" s="1608" t="s">
        <v>1159</v>
      </c>
      <c r="C19" s="1618" t="s">
        <v>1650</v>
      </c>
      <c r="D19" s="1614">
        <v>1</v>
      </c>
      <c r="E19" s="1582"/>
      <c r="F19" s="1582"/>
      <c r="G19" s="1610"/>
      <c r="H19" s="1611">
        <f t="shared" ref="H19:H21" si="23">SUM(D19:G19)</f>
        <v>1</v>
      </c>
      <c r="I19" s="1674">
        <f t="shared" si="0"/>
        <v>0</v>
      </c>
      <c r="J19" s="1614">
        <v>1</v>
      </c>
      <c r="K19" s="1582"/>
      <c r="L19" s="1582"/>
      <c r="M19" s="1610"/>
      <c r="N19" s="1611">
        <f>SUM(J19:M19)</f>
        <v>1</v>
      </c>
      <c r="O19" s="1674">
        <f t="shared" si="1"/>
        <v>0</v>
      </c>
      <c r="P19" s="1614">
        <v>1</v>
      </c>
      <c r="Q19" s="1582"/>
      <c r="R19" s="1582"/>
      <c r="S19" s="1610"/>
      <c r="T19" s="1611">
        <f>SUM(P19:S19)</f>
        <v>1</v>
      </c>
      <c r="U19" s="1674">
        <f t="shared" si="2"/>
        <v>0</v>
      </c>
      <c r="V19" s="1614">
        <v>1</v>
      </c>
      <c r="W19" s="1582"/>
      <c r="X19" s="1582"/>
      <c r="Y19" s="1610"/>
      <c r="Z19" s="1611">
        <f>SUM(V19:Y19)</f>
        <v>1</v>
      </c>
      <c r="AA19" s="1674">
        <f t="shared" si="3"/>
        <v>0</v>
      </c>
      <c r="AB19" s="1614">
        <v>2</v>
      </c>
      <c r="AC19" s="1582"/>
      <c r="AD19" s="1582"/>
      <c r="AE19" s="1610"/>
      <c r="AF19" s="1611">
        <f t="shared" si="10"/>
        <v>2</v>
      </c>
      <c r="AG19" s="1674">
        <f t="shared" si="4"/>
        <v>0</v>
      </c>
      <c r="AH19" s="1614">
        <v>2</v>
      </c>
      <c r="AI19" s="1582">
        <v>1</v>
      </c>
      <c r="AJ19" s="1582"/>
      <c r="AK19" s="1610"/>
      <c r="AL19" s="1611">
        <f t="shared" si="11"/>
        <v>3</v>
      </c>
      <c r="AM19" s="1674">
        <f t="shared" si="5"/>
        <v>0</v>
      </c>
      <c r="AN19" s="1614">
        <v>2</v>
      </c>
      <c r="AO19" s="1582">
        <v>1</v>
      </c>
      <c r="AP19" s="1582"/>
      <c r="AQ19" s="1610"/>
      <c r="AR19" s="1611">
        <f t="shared" si="12"/>
        <v>3</v>
      </c>
      <c r="AS19" s="1674">
        <f t="shared" si="6"/>
        <v>0</v>
      </c>
      <c r="AT19" s="1614">
        <v>2</v>
      </c>
      <c r="AU19" s="1582">
        <v>1</v>
      </c>
      <c r="AV19" s="1582">
        <v>0</v>
      </c>
      <c r="AW19" s="1610">
        <v>0</v>
      </c>
      <c r="AX19" s="1611">
        <f t="shared" si="22"/>
        <v>3</v>
      </c>
      <c r="AY19" s="1674">
        <f t="shared" si="7"/>
        <v>0</v>
      </c>
      <c r="AZ19" s="1614">
        <v>1</v>
      </c>
      <c r="BA19" s="1582">
        <v>1</v>
      </c>
      <c r="BB19" s="1582">
        <v>0</v>
      </c>
      <c r="BC19" s="1610">
        <v>0</v>
      </c>
      <c r="BD19" s="1611">
        <v>2</v>
      </c>
      <c r="BE19" s="1674">
        <f t="shared" si="8"/>
        <v>0</v>
      </c>
    </row>
    <row r="20" spans="1:57" ht="17.100000000000001" customHeight="1">
      <c r="A20" s="1685" t="s">
        <v>70</v>
      </c>
      <c r="B20" s="1608" t="s">
        <v>1159</v>
      </c>
      <c r="C20" s="1609" t="s">
        <v>1162</v>
      </c>
      <c r="D20" s="1581"/>
      <c r="E20" s="1582"/>
      <c r="F20" s="1582">
        <v>1</v>
      </c>
      <c r="G20" s="1610"/>
      <c r="H20" s="1611">
        <f t="shared" si="23"/>
        <v>1</v>
      </c>
      <c r="I20" s="1674"/>
      <c r="J20" s="1581"/>
      <c r="K20" s="1582"/>
      <c r="L20" s="1582">
        <v>1</v>
      </c>
      <c r="M20" s="1610"/>
      <c r="N20" s="1611">
        <f>SUM(J20:M20)</f>
        <v>1</v>
      </c>
      <c r="O20" s="1674"/>
      <c r="P20" s="1581">
        <v>1</v>
      </c>
      <c r="Q20" s="1582"/>
      <c r="R20" s="1582">
        <v>1</v>
      </c>
      <c r="S20" s="1610"/>
      <c r="T20" s="1611">
        <f>SUM(P20:S20)</f>
        <v>2</v>
      </c>
      <c r="U20" s="1674">
        <f t="shared" si="2"/>
        <v>1</v>
      </c>
      <c r="V20" s="1581">
        <v>2</v>
      </c>
      <c r="W20" s="1582">
        <v>1</v>
      </c>
      <c r="X20" s="1582"/>
      <c r="Y20" s="1610"/>
      <c r="Z20" s="1611">
        <f>SUM(V20:Y20)</f>
        <v>3</v>
      </c>
      <c r="AA20" s="1674">
        <f t="shared" si="3"/>
        <v>0</v>
      </c>
      <c r="AB20" s="1581">
        <v>1</v>
      </c>
      <c r="AC20" s="1582">
        <v>2</v>
      </c>
      <c r="AD20" s="1582"/>
      <c r="AE20" s="1610"/>
      <c r="AF20" s="1611">
        <f t="shared" si="10"/>
        <v>3</v>
      </c>
      <c r="AG20" s="1674">
        <f t="shared" si="4"/>
        <v>0</v>
      </c>
      <c r="AH20" s="1581">
        <v>1</v>
      </c>
      <c r="AI20" s="1582">
        <v>2</v>
      </c>
      <c r="AJ20" s="1582"/>
      <c r="AK20" s="1610"/>
      <c r="AL20" s="1611">
        <f t="shared" si="11"/>
        <v>3</v>
      </c>
      <c r="AM20" s="1674">
        <f t="shared" si="5"/>
        <v>0</v>
      </c>
      <c r="AN20" s="1581">
        <v>2</v>
      </c>
      <c r="AO20" s="1582">
        <v>3</v>
      </c>
      <c r="AP20" s="1582"/>
      <c r="AQ20" s="1610"/>
      <c r="AR20" s="1611">
        <f t="shared" si="12"/>
        <v>5</v>
      </c>
      <c r="AS20" s="1674">
        <f t="shared" si="6"/>
        <v>0</v>
      </c>
      <c r="AT20" s="1581">
        <v>2</v>
      </c>
      <c r="AU20" s="1582">
        <v>3</v>
      </c>
      <c r="AV20" s="1582">
        <v>0</v>
      </c>
      <c r="AW20" s="1610">
        <v>0</v>
      </c>
      <c r="AX20" s="1611">
        <f t="shared" si="22"/>
        <v>5</v>
      </c>
      <c r="AY20" s="1674">
        <f t="shared" si="7"/>
        <v>0</v>
      </c>
      <c r="AZ20" s="1581">
        <v>1</v>
      </c>
      <c r="BA20" s="1582">
        <v>3</v>
      </c>
      <c r="BB20" s="1582">
        <v>0</v>
      </c>
      <c r="BC20" s="1610">
        <v>0</v>
      </c>
      <c r="BD20" s="1611">
        <v>4</v>
      </c>
      <c r="BE20" s="1674">
        <f t="shared" si="8"/>
        <v>0</v>
      </c>
    </row>
    <row r="21" spans="1:57" ht="17.100000000000001" customHeight="1" thickBot="1">
      <c r="A21" s="1687" t="s">
        <v>70</v>
      </c>
      <c r="B21" s="1615" t="s">
        <v>1159</v>
      </c>
      <c r="C21" s="1616" t="s">
        <v>1651</v>
      </c>
      <c r="D21" s="1614"/>
      <c r="E21" s="1582"/>
      <c r="F21" s="1610">
        <v>1</v>
      </c>
      <c r="G21" s="1610"/>
      <c r="H21" s="1611">
        <f t="shared" si="23"/>
        <v>1</v>
      </c>
      <c r="I21" s="1674"/>
      <c r="J21" s="1614"/>
      <c r="K21" s="1582"/>
      <c r="L21" s="1610">
        <v>1</v>
      </c>
      <c r="M21" s="1610"/>
      <c r="N21" s="1611">
        <f>SUM(J21:M21)</f>
        <v>1</v>
      </c>
      <c r="O21" s="1674"/>
      <c r="P21" s="1614"/>
      <c r="Q21" s="1582"/>
      <c r="R21" s="1610">
        <v>1</v>
      </c>
      <c r="S21" s="1610"/>
      <c r="T21" s="1611">
        <f>SUM(P21:S21)</f>
        <v>1</v>
      </c>
      <c r="U21" s="1674"/>
      <c r="V21" s="1614"/>
      <c r="W21" s="1582"/>
      <c r="X21" s="1610">
        <v>1</v>
      </c>
      <c r="Y21" s="1610"/>
      <c r="Z21" s="1611">
        <f>SUM(V21:Y21)</f>
        <v>1</v>
      </c>
      <c r="AA21" s="1674"/>
      <c r="AB21" s="1614"/>
      <c r="AC21" s="1582">
        <v>2</v>
      </c>
      <c r="AD21" s="1610">
        <v>1</v>
      </c>
      <c r="AE21" s="1610"/>
      <c r="AF21" s="1611">
        <f t="shared" si="10"/>
        <v>3</v>
      </c>
      <c r="AG21" s="1674">
        <f t="shared" si="4"/>
        <v>0.5</v>
      </c>
      <c r="AH21" s="1614"/>
      <c r="AI21" s="1582">
        <v>2</v>
      </c>
      <c r="AJ21" s="1610">
        <v>1</v>
      </c>
      <c r="AK21" s="1610"/>
      <c r="AL21" s="1611">
        <f t="shared" si="11"/>
        <v>3</v>
      </c>
      <c r="AM21" s="1674">
        <f t="shared" si="5"/>
        <v>0.5</v>
      </c>
      <c r="AN21" s="1614"/>
      <c r="AO21" s="1582">
        <v>2</v>
      </c>
      <c r="AP21" s="1610">
        <v>1</v>
      </c>
      <c r="AQ21" s="1610"/>
      <c r="AR21" s="1611">
        <f t="shared" si="12"/>
        <v>3</v>
      </c>
      <c r="AS21" s="1674">
        <f t="shared" si="6"/>
        <v>0.5</v>
      </c>
      <c r="AT21" s="1614">
        <v>0</v>
      </c>
      <c r="AU21" s="1582">
        <v>1</v>
      </c>
      <c r="AV21" s="1610">
        <v>2</v>
      </c>
      <c r="AW21" s="1610">
        <v>0</v>
      </c>
      <c r="AX21" s="1611">
        <f t="shared" si="22"/>
        <v>3</v>
      </c>
      <c r="AY21" s="1674">
        <f t="shared" si="7"/>
        <v>2</v>
      </c>
      <c r="AZ21" s="1614">
        <v>1</v>
      </c>
      <c r="BA21" s="1582">
        <v>1</v>
      </c>
      <c r="BB21" s="1610">
        <v>2</v>
      </c>
      <c r="BC21" s="1610">
        <v>0</v>
      </c>
      <c r="BD21" s="1611">
        <v>4</v>
      </c>
      <c r="BE21" s="1674">
        <f t="shared" si="8"/>
        <v>1</v>
      </c>
    </row>
    <row r="22" spans="1:57" ht="17.100000000000001" customHeight="1">
      <c r="A22" s="5230" t="s">
        <v>1652</v>
      </c>
      <c r="B22" s="5231"/>
      <c r="C22" s="5232"/>
      <c r="D22" s="1619">
        <f>SUM(D18:D21)</f>
        <v>1</v>
      </c>
      <c r="E22" s="1620">
        <f t="shared" ref="E22:H22" si="24">SUM(E18:E21)</f>
        <v>2</v>
      </c>
      <c r="F22" s="1620">
        <f t="shared" si="24"/>
        <v>3</v>
      </c>
      <c r="G22" s="1620">
        <f t="shared" si="24"/>
        <v>0</v>
      </c>
      <c r="H22" s="1621">
        <f t="shared" si="24"/>
        <v>6</v>
      </c>
      <c r="I22" s="1675">
        <f t="shared" si="0"/>
        <v>1</v>
      </c>
      <c r="J22" s="1619">
        <f>SUM(J18:J21)</f>
        <v>1</v>
      </c>
      <c r="K22" s="1620">
        <f t="shared" ref="K22:N22" si="25">SUM(K18:K21)</f>
        <v>2</v>
      </c>
      <c r="L22" s="1620">
        <f t="shared" si="25"/>
        <v>3</v>
      </c>
      <c r="M22" s="1620">
        <f t="shared" si="25"/>
        <v>0</v>
      </c>
      <c r="N22" s="1621">
        <f t="shared" si="25"/>
        <v>6</v>
      </c>
      <c r="O22" s="1675">
        <f t="shared" si="1"/>
        <v>1</v>
      </c>
      <c r="P22" s="1619">
        <f>SUM(P18:P21)</f>
        <v>2</v>
      </c>
      <c r="Q22" s="1620">
        <f>SUM(Q18:Q21)</f>
        <v>1</v>
      </c>
      <c r="R22" s="1620">
        <f>SUM(R18:R21)</f>
        <v>3</v>
      </c>
      <c r="S22" s="1620">
        <f>SUM(S18:S21)</f>
        <v>0</v>
      </c>
      <c r="T22" s="1621">
        <f>SUM(T18:T21)</f>
        <v>6</v>
      </c>
      <c r="U22" s="1675">
        <f t="shared" si="2"/>
        <v>1</v>
      </c>
      <c r="V22" s="1619">
        <f>SUM(V18:V21)</f>
        <v>4</v>
      </c>
      <c r="W22" s="1620">
        <f>SUM(W18:W21)</f>
        <v>2</v>
      </c>
      <c r="X22" s="1620">
        <f>SUM(X18:X21)</f>
        <v>2</v>
      </c>
      <c r="Y22" s="1620">
        <f>SUM(Y18:Y21)</f>
        <v>0</v>
      </c>
      <c r="Z22" s="1621">
        <f>SUM(Z18:Z21)</f>
        <v>8</v>
      </c>
      <c r="AA22" s="1675">
        <f t="shared" si="3"/>
        <v>0.33333333333333331</v>
      </c>
      <c r="AB22" s="1619">
        <f>SUM(AB18:AB21)</f>
        <v>4</v>
      </c>
      <c r="AC22" s="1620">
        <f>SUM(AC18:AC21)</f>
        <v>5</v>
      </c>
      <c r="AD22" s="1620">
        <f>SUM(AD18:AD21)</f>
        <v>2</v>
      </c>
      <c r="AE22" s="1620">
        <f>SUM(AE18:AE21)</f>
        <v>0</v>
      </c>
      <c r="AF22" s="1621">
        <f t="shared" si="10"/>
        <v>11</v>
      </c>
      <c r="AG22" s="1675">
        <f t="shared" si="4"/>
        <v>0.22222222222222221</v>
      </c>
      <c r="AH22" s="1619">
        <v>4</v>
      </c>
      <c r="AI22" s="1620">
        <v>7</v>
      </c>
      <c r="AJ22" s="1620">
        <v>2</v>
      </c>
      <c r="AK22" s="1620">
        <v>0</v>
      </c>
      <c r="AL22" s="1621">
        <f t="shared" si="11"/>
        <v>13</v>
      </c>
      <c r="AM22" s="1675">
        <f t="shared" si="5"/>
        <v>0.18181818181818182</v>
      </c>
      <c r="AN22" s="1587">
        <f>SUM(AN18:AN21)</f>
        <v>4</v>
      </c>
      <c r="AO22" s="1588">
        <f t="shared" ref="AO22:AR22" si="26">SUM(AO18:AO21)</f>
        <v>9</v>
      </c>
      <c r="AP22" s="1588">
        <f t="shared" si="26"/>
        <v>2</v>
      </c>
      <c r="AQ22" s="1588">
        <f t="shared" si="26"/>
        <v>0</v>
      </c>
      <c r="AR22" s="1589">
        <f t="shared" si="26"/>
        <v>15</v>
      </c>
      <c r="AS22" s="1675">
        <f t="shared" si="6"/>
        <v>0.15384615384615385</v>
      </c>
      <c r="AT22" s="1587">
        <v>4</v>
      </c>
      <c r="AU22" s="1588">
        <v>9</v>
      </c>
      <c r="AV22" s="1588">
        <v>2</v>
      </c>
      <c r="AW22" s="1588">
        <v>0</v>
      </c>
      <c r="AX22" s="1589">
        <f t="shared" ref="AX22" si="27">SUM(AX18:AX21)</f>
        <v>15</v>
      </c>
      <c r="AY22" s="1675">
        <f t="shared" si="7"/>
        <v>0.15384615384615385</v>
      </c>
      <c r="AZ22" s="1587">
        <v>3</v>
      </c>
      <c r="BA22" s="1588">
        <v>9</v>
      </c>
      <c r="BB22" s="1588">
        <v>2</v>
      </c>
      <c r="BC22" s="1588">
        <v>0</v>
      </c>
      <c r="BD22" s="1589">
        <v>14</v>
      </c>
      <c r="BE22" s="1675">
        <f t="shared" si="8"/>
        <v>0.16666666666666666</v>
      </c>
    </row>
    <row r="23" spans="1:57" ht="17.100000000000001" customHeight="1">
      <c r="A23" s="5239" t="s">
        <v>1071</v>
      </c>
      <c r="B23" s="5240"/>
      <c r="C23" s="5241"/>
      <c r="D23" s="1622">
        <f>SUM(D22,D17,D11)</f>
        <v>18</v>
      </c>
      <c r="E23" s="1623">
        <f>SUM(E22,E17,E11)</f>
        <v>116</v>
      </c>
      <c r="F23" s="1623">
        <f>SUM(F22,F17,F11)</f>
        <v>43</v>
      </c>
      <c r="G23" s="1623">
        <f>SUM(G22,G17,G11)</f>
        <v>6</v>
      </c>
      <c r="H23" s="1624">
        <f>SUM(H11,H17,H22)</f>
        <v>183</v>
      </c>
      <c r="I23" s="1676">
        <f t="shared" si="0"/>
        <v>0.36567164179104478</v>
      </c>
      <c r="J23" s="1622">
        <f>SUM(J22,J17,J11)</f>
        <v>23</v>
      </c>
      <c r="K23" s="1623">
        <f>SUM(K22,K17,K11)</f>
        <v>117</v>
      </c>
      <c r="L23" s="1623">
        <f>SUM(L22,L17,L11)</f>
        <v>43</v>
      </c>
      <c r="M23" s="1623">
        <f>SUM(M22,M17,M11)</f>
        <v>5</v>
      </c>
      <c r="N23" s="1624">
        <f>SUM(N11,N17,N22)</f>
        <v>188</v>
      </c>
      <c r="O23" s="1676">
        <f t="shared" si="1"/>
        <v>0.34285714285714286</v>
      </c>
      <c r="P23" s="1622">
        <f>SUM(P22,P17,P11)</f>
        <v>29</v>
      </c>
      <c r="Q23" s="1623">
        <f>SUM(Q22,Q17,Q11)</f>
        <v>119</v>
      </c>
      <c r="R23" s="1623">
        <f>SUM(R22,R17,R11)</f>
        <v>37</v>
      </c>
      <c r="S23" s="1623">
        <f>SUM(S22,S17,S11)</f>
        <v>5</v>
      </c>
      <c r="T23" s="1624">
        <f>SUM(T11,T17,T22)</f>
        <v>190</v>
      </c>
      <c r="U23" s="1676">
        <f t="shared" si="2"/>
        <v>0.28378378378378377</v>
      </c>
      <c r="V23" s="1622">
        <f>SUM(V22,V17,V11)</f>
        <v>37</v>
      </c>
      <c r="W23" s="1623">
        <f>SUM(W22,W17,W11)</f>
        <v>138</v>
      </c>
      <c r="X23" s="1623">
        <f>SUM(X22,X17,X11)</f>
        <v>41</v>
      </c>
      <c r="Y23" s="1623">
        <f>SUM(Y22,Y17,Y11)</f>
        <v>6</v>
      </c>
      <c r="Z23" s="1624">
        <f>SUM(Z11,Z17,Z22)</f>
        <v>222</v>
      </c>
      <c r="AA23" s="1676">
        <f t="shared" si="3"/>
        <v>0.26857142857142857</v>
      </c>
      <c r="AB23" s="1622">
        <f>SUM(AB22,AB17,AB11)</f>
        <v>31</v>
      </c>
      <c r="AC23" s="1623">
        <f>SUM(AC22,AC17,AC11)</f>
        <v>149</v>
      </c>
      <c r="AD23" s="1623">
        <f>SUM(AD22,AD17,AD11)</f>
        <v>44</v>
      </c>
      <c r="AE23" s="1623">
        <f>SUM(AE22,AE17,AE11)</f>
        <v>7</v>
      </c>
      <c r="AF23" s="1624">
        <f t="shared" si="10"/>
        <v>231</v>
      </c>
      <c r="AG23" s="1676">
        <f t="shared" si="4"/>
        <v>0.28333333333333333</v>
      </c>
      <c r="AH23" s="1622">
        <v>33</v>
      </c>
      <c r="AI23" s="1623">
        <v>144</v>
      </c>
      <c r="AJ23" s="1623">
        <v>48</v>
      </c>
      <c r="AK23" s="1623">
        <v>9</v>
      </c>
      <c r="AL23" s="1624">
        <f t="shared" si="11"/>
        <v>234</v>
      </c>
      <c r="AM23" s="1676">
        <f t="shared" si="5"/>
        <v>0.32203389830508472</v>
      </c>
      <c r="AN23" s="1622">
        <f>SUM(AN11,AN17,AN22)</f>
        <v>39</v>
      </c>
      <c r="AO23" s="1623">
        <f t="shared" ref="AO23:AR23" si="28">SUM(AO11,AO17,AO22)</f>
        <v>154</v>
      </c>
      <c r="AP23" s="1623">
        <f t="shared" si="28"/>
        <v>46</v>
      </c>
      <c r="AQ23" s="1623">
        <f t="shared" si="28"/>
        <v>12</v>
      </c>
      <c r="AR23" s="1624">
        <f t="shared" si="28"/>
        <v>251</v>
      </c>
      <c r="AS23" s="1676">
        <f t="shared" si="6"/>
        <v>0.30051813471502592</v>
      </c>
      <c r="AT23" s="1622">
        <v>39</v>
      </c>
      <c r="AU23" s="1623">
        <v>157</v>
      </c>
      <c r="AV23" s="1623">
        <v>45</v>
      </c>
      <c r="AW23" s="1623">
        <v>12</v>
      </c>
      <c r="AX23" s="1624">
        <f t="shared" ref="AX23" si="29">SUM(AX11,AX17,AX22)</f>
        <v>253</v>
      </c>
      <c r="AY23" s="1676">
        <f t="shared" si="7"/>
        <v>0.29081632653061223</v>
      </c>
      <c r="AZ23" s="1622">
        <v>34</v>
      </c>
      <c r="BA23" s="1623">
        <v>155</v>
      </c>
      <c r="BB23" s="1623">
        <v>42</v>
      </c>
      <c r="BC23" s="1623">
        <v>13</v>
      </c>
      <c r="BD23" s="1624">
        <v>244</v>
      </c>
      <c r="BE23" s="1676">
        <f t="shared" si="8"/>
        <v>0.29100529100529099</v>
      </c>
    </row>
    <row r="24" spans="1:57" ht="17.100000000000001" customHeight="1">
      <c r="A24" s="1684" t="s">
        <v>72</v>
      </c>
      <c r="B24" s="1606" t="s">
        <v>61</v>
      </c>
      <c r="C24" s="1607" t="s">
        <v>1165</v>
      </c>
      <c r="D24" s="1625">
        <v>4</v>
      </c>
      <c r="E24" s="1579">
        <v>4</v>
      </c>
      <c r="F24" s="1626">
        <v>1</v>
      </c>
      <c r="G24" s="1626"/>
      <c r="H24" s="1627">
        <f>SUM(D24:G24)</f>
        <v>9</v>
      </c>
      <c r="I24" s="1677">
        <f t="shared" si="0"/>
        <v>0.125</v>
      </c>
      <c r="J24" s="1625">
        <v>4</v>
      </c>
      <c r="K24" s="1579">
        <v>4</v>
      </c>
      <c r="L24" s="1626">
        <v>1</v>
      </c>
      <c r="M24" s="1626"/>
      <c r="N24" s="1627">
        <f>SUM(J24:M24)</f>
        <v>9</v>
      </c>
      <c r="O24" s="1677">
        <f t="shared" si="1"/>
        <v>0.125</v>
      </c>
      <c r="P24" s="1625">
        <v>3</v>
      </c>
      <c r="Q24" s="1579">
        <v>5</v>
      </c>
      <c r="R24" s="1626">
        <v>1</v>
      </c>
      <c r="S24" s="1626"/>
      <c r="T24" s="1627">
        <f>SUM(P24:S24)</f>
        <v>9</v>
      </c>
      <c r="U24" s="1677">
        <f t="shared" si="2"/>
        <v>0.125</v>
      </c>
      <c r="V24" s="1625"/>
      <c r="W24" s="1579">
        <v>5</v>
      </c>
      <c r="X24" s="1626">
        <v>1</v>
      </c>
      <c r="Y24" s="1626"/>
      <c r="Z24" s="1627">
        <f>SUM(V24:Y24)</f>
        <v>6</v>
      </c>
      <c r="AA24" s="1677">
        <f t="shared" si="3"/>
        <v>0.2</v>
      </c>
      <c r="AB24" s="1625"/>
      <c r="AC24" s="1579">
        <v>6</v>
      </c>
      <c r="AD24" s="1626">
        <v>1</v>
      </c>
      <c r="AE24" s="1626"/>
      <c r="AF24" s="1627">
        <f t="shared" si="10"/>
        <v>7</v>
      </c>
      <c r="AG24" s="1677">
        <f t="shared" si="4"/>
        <v>0.16666666666666666</v>
      </c>
      <c r="AH24" s="1625"/>
      <c r="AI24" s="1579">
        <v>5</v>
      </c>
      <c r="AJ24" s="1626">
        <v>1</v>
      </c>
      <c r="AK24" s="1626">
        <v>1</v>
      </c>
      <c r="AL24" s="1627">
        <f t="shared" si="11"/>
        <v>7</v>
      </c>
      <c r="AM24" s="1677">
        <f t="shared" si="5"/>
        <v>0.4</v>
      </c>
      <c r="AN24" s="1625"/>
      <c r="AO24" s="1579">
        <v>3</v>
      </c>
      <c r="AP24" s="1626">
        <v>2</v>
      </c>
      <c r="AQ24" s="1626">
        <v>1</v>
      </c>
      <c r="AR24" s="1627">
        <f>SUM(AN24:AQ24)</f>
        <v>6</v>
      </c>
      <c r="AS24" s="1677">
        <f t="shared" si="6"/>
        <v>1</v>
      </c>
      <c r="AT24" s="1625">
        <v>4</v>
      </c>
      <c r="AU24" s="1579">
        <v>2</v>
      </c>
      <c r="AV24" s="1626">
        <v>3</v>
      </c>
      <c r="AW24" s="1626">
        <v>1</v>
      </c>
      <c r="AX24" s="1627">
        <f>SUM(AT24:AW24)</f>
        <v>10</v>
      </c>
      <c r="AY24" s="1677">
        <f t="shared" si="7"/>
        <v>0.66666666666666663</v>
      </c>
      <c r="AZ24" s="1625">
        <v>3</v>
      </c>
      <c r="BA24" s="1579">
        <v>2</v>
      </c>
      <c r="BB24" s="1626">
        <v>3</v>
      </c>
      <c r="BC24" s="1626">
        <v>1</v>
      </c>
      <c r="BD24" s="1627">
        <v>9</v>
      </c>
      <c r="BE24" s="1677">
        <f t="shared" si="8"/>
        <v>0.8</v>
      </c>
    </row>
    <row r="25" spans="1:57" ht="17.100000000000001" customHeight="1">
      <c r="A25" s="1685" t="s">
        <v>72</v>
      </c>
      <c r="B25" s="1608" t="s">
        <v>61</v>
      </c>
      <c r="C25" s="1609" t="s">
        <v>1166</v>
      </c>
      <c r="D25" s="1614">
        <v>1</v>
      </c>
      <c r="E25" s="1582">
        <v>1</v>
      </c>
      <c r="F25" s="1610"/>
      <c r="G25" s="1610"/>
      <c r="H25" s="1611">
        <f>SUM(D25:G25)</f>
        <v>2</v>
      </c>
      <c r="I25" s="1674">
        <f t="shared" si="0"/>
        <v>0</v>
      </c>
      <c r="J25" s="1614">
        <v>1</v>
      </c>
      <c r="K25" s="1582">
        <v>1</v>
      </c>
      <c r="L25" s="1610"/>
      <c r="M25" s="1610"/>
      <c r="N25" s="1611">
        <f>SUM(J25:M25)</f>
        <v>2</v>
      </c>
      <c r="O25" s="1674">
        <f t="shared" si="1"/>
        <v>0</v>
      </c>
      <c r="P25" s="1614">
        <v>2</v>
      </c>
      <c r="Q25" s="1582">
        <v>2</v>
      </c>
      <c r="R25" s="1610"/>
      <c r="S25" s="1610"/>
      <c r="T25" s="1611">
        <f>SUM(P25:S25)</f>
        <v>4</v>
      </c>
      <c r="U25" s="1674">
        <f t="shared" si="2"/>
        <v>0</v>
      </c>
      <c r="V25" s="1614">
        <v>3</v>
      </c>
      <c r="W25" s="1582">
        <v>3</v>
      </c>
      <c r="X25" s="1610"/>
      <c r="Y25" s="1610"/>
      <c r="Z25" s="1611">
        <f>SUM(V25:Y25)</f>
        <v>6</v>
      </c>
      <c r="AA25" s="1674">
        <f t="shared" si="3"/>
        <v>0</v>
      </c>
      <c r="AB25" s="1614">
        <v>2</v>
      </c>
      <c r="AC25" s="1582">
        <v>3</v>
      </c>
      <c r="AD25" s="1610"/>
      <c r="AE25" s="1610"/>
      <c r="AF25" s="1611">
        <f t="shared" si="10"/>
        <v>5</v>
      </c>
      <c r="AG25" s="1674">
        <f t="shared" si="4"/>
        <v>0</v>
      </c>
      <c r="AH25" s="1614">
        <v>3</v>
      </c>
      <c r="AI25" s="1582">
        <v>4</v>
      </c>
      <c r="AJ25" s="1610"/>
      <c r="AK25" s="1610"/>
      <c r="AL25" s="1611">
        <f t="shared" si="11"/>
        <v>7</v>
      </c>
      <c r="AM25" s="1674">
        <f t="shared" si="5"/>
        <v>0</v>
      </c>
      <c r="AN25" s="1614">
        <v>1</v>
      </c>
      <c r="AO25" s="1582">
        <v>4</v>
      </c>
      <c r="AP25" s="1610"/>
      <c r="AQ25" s="1610"/>
      <c r="AR25" s="1611">
        <f t="shared" ref="AR25:AR34" si="30">SUM(AN25:AQ25)</f>
        <v>5</v>
      </c>
      <c r="AS25" s="1674">
        <f t="shared" si="6"/>
        <v>0</v>
      </c>
      <c r="AT25" s="1614">
        <v>2</v>
      </c>
      <c r="AU25" s="1582">
        <v>4</v>
      </c>
      <c r="AV25" s="1610">
        <v>0</v>
      </c>
      <c r="AW25" s="1610">
        <v>0</v>
      </c>
      <c r="AX25" s="1611">
        <f t="shared" ref="AX25:AX26" si="31">SUM(AT25:AW25)</f>
        <v>6</v>
      </c>
      <c r="AY25" s="1674">
        <f t="shared" si="7"/>
        <v>0</v>
      </c>
      <c r="AZ25" s="1614">
        <v>2</v>
      </c>
      <c r="BA25" s="1582">
        <v>2</v>
      </c>
      <c r="BB25" s="1610">
        <v>1</v>
      </c>
      <c r="BC25" s="1610">
        <v>0</v>
      </c>
      <c r="BD25" s="1611">
        <v>5</v>
      </c>
      <c r="BE25" s="1674">
        <f t="shared" si="8"/>
        <v>0.25</v>
      </c>
    </row>
    <row r="26" spans="1:57" ht="17.100000000000001" customHeight="1" thickBot="1">
      <c r="A26" s="1687" t="s">
        <v>72</v>
      </c>
      <c r="B26" s="1615" t="s">
        <v>61</v>
      </c>
      <c r="C26" s="1616" t="s">
        <v>1167</v>
      </c>
      <c r="D26" s="1614"/>
      <c r="E26" s="1582">
        <v>2</v>
      </c>
      <c r="F26" s="1610">
        <v>1</v>
      </c>
      <c r="G26" s="1610">
        <v>1</v>
      </c>
      <c r="H26" s="1611">
        <f>SUM(D26:G26)</f>
        <v>4</v>
      </c>
      <c r="I26" s="1674">
        <f t="shared" si="0"/>
        <v>1</v>
      </c>
      <c r="J26" s="1614"/>
      <c r="K26" s="1582">
        <v>2</v>
      </c>
      <c r="L26" s="1610">
        <v>1</v>
      </c>
      <c r="M26" s="1610">
        <v>1</v>
      </c>
      <c r="N26" s="1611">
        <f>SUM(J26:M26)</f>
        <v>4</v>
      </c>
      <c r="O26" s="1674">
        <f t="shared" si="1"/>
        <v>1</v>
      </c>
      <c r="P26" s="1614">
        <v>1</v>
      </c>
      <c r="Q26" s="1582">
        <v>2</v>
      </c>
      <c r="R26" s="1610">
        <v>1</v>
      </c>
      <c r="S26" s="1610">
        <v>1</v>
      </c>
      <c r="T26" s="1611">
        <f>SUM(P26:S26)</f>
        <v>5</v>
      </c>
      <c r="U26" s="1674">
        <f t="shared" si="2"/>
        <v>0.66666666666666663</v>
      </c>
      <c r="V26" s="1614">
        <v>2</v>
      </c>
      <c r="W26" s="1582">
        <v>2</v>
      </c>
      <c r="X26" s="1610">
        <v>1</v>
      </c>
      <c r="Y26" s="1610">
        <v>1</v>
      </c>
      <c r="Z26" s="1611">
        <f>SUM(V26:Y26)</f>
        <v>6</v>
      </c>
      <c r="AA26" s="1674">
        <f t="shared" si="3"/>
        <v>0.5</v>
      </c>
      <c r="AB26" s="1614"/>
      <c r="AC26" s="1582">
        <v>6</v>
      </c>
      <c r="AD26" s="1610"/>
      <c r="AE26" s="1610">
        <v>1</v>
      </c>
      <c r="AF26" s="1611">
        <f t="shared" si="10"/>
        <v>7</v>
      </c>
      <c r="AG26" s="1674">
        <f t="shared" si="4"/>
        <v>0.16666666666666666</v>
      </c>
      <c r="AH26" s="1614"/>
      <c r="AI26" s="1582">
        <v>7</v>
      </c>
      <c r="AJ26" s="1610"/>
      <c r="AK26" s="1610">
        <v>1</v>
      </c>
      <c r="AL26" s="1611">
        <f t="shared" si="11"/>
        <v>8</v>
      </c>
      <c r="AM26" s="1674">
        <f t="shared" si="5"/>
        <v>0.14285714285714285</v>
      </c>
      <c r="AN26" s="1614"/>
      <c r="AO26" s="1582">
        <v>7</v>
      </c>
      <c r="AP26" s="1610"/>
      <c r="AQ26" s="1610">
        <v>1</v>
      </c>
      <c r="AR26" s="1611">
        <f t="shared" si="30"/>
        <v>8</v>
      </c>
      <c r="AS26" s="1674">
        <f t="shared" si="6"/>
        <v>0.14285714285714285</v>
      </c>
      <c r="AT26" s="1614">
        <v>0</v>
      </c>
      <c r="AU26" s="1582">
        <v>4</v>
      </c>
      <c r="AV26" s="1610">
        <v>0</v>
      </c>
      <c r="AW26" s="1610">
        <v>1</v>
      </c>
      <c r="AX26" s="1611">
        <f t="shared" si="31"/>
        <v>5</v>
      </c>
      <c r="AY26" s="1674">
        <f t="shared" si="7"/>
        <v>0.25</v>
      </c>
      <c r="AZ26" s="1614">
        <v>0</v>
      </c>
      <c r="BA26" s="1582">
        <v>5</v>
      </c>
      <c r="BB26" s="1610">
        <v>0</v>
      </c>
      <c r="BC26" s="1610">
        <v>1</v>
      </c>
      <c r="BD26" s="1611">
        <v>6</v>
      </c>
      <c r="BE26" s="1674">
        <f t="shared" si="8"/>
        <v>0.2</v>
      </c>
    </row>
    <row r="27" spans="1:57" ht="17.100000000000001" customHeight="1" thickBot="1">
      <c r="A27" s="5227" t="s">
        <v>1653</v>
      </c>
      <c r="B27" s="5228"/>
      <c r="C27" s="5229"/>
      <c r="D27" s="1628">
        <f>SUM(D24:D26)</f>
        <v>5</v>
      </c>
      <c r="E27" s="1629">
        <f>SUM(E24:E26)</f>
        <v>7</v>
      </c>
      <c r="F27" s="1629">
        <f>SUM(F24:F26)</f>
        <v>2</v>
      </c>
      <c r="G27" s="1629">
        <f>SUM(G24:G26)</f>
        <v>1</v>
      </c>
      <c r="H27" s="1630">
        <f>SUM(H24:H26)</f>
        <v>15</v>
      </c>
      <c r="I27" s="1675">
        <f t="shared" si="0"/>
        <v>0.25</v>
      </c>
      <c r="J27" s="1628">
        <f>SUM(J24:J26)</f>
        <v>5</v>
      </c>
      <c r="K27" s="1629">
        <f>SUM(K24:K26)</f>
        <v>7</v>
      </c>
      <c r="L27" s="1629">
        <f>SUM(L24:L26)</f>
        <v>2</v>
      </c>
      <c r="M27" s="1629">
        <f>SUM(M24:M26)</f>
        <v>1</v>
      </c>
      <c r="N27" s="1630">
        <f>SUM(N24:N26)</f>
        <v>15</v>
      </c>
      <c r="O27" s="1675">
        <f t="shared" si="1"/>
        <v>0.25</v>
      </c>
      <c r="P27" s="1628">
        <f>SUM(P24:P26)</f>
        <v>6</v>
      </c>
      <c r="Q27" s="1629">
        <f>SUM(Q24:Q26)</f>
        <v>9</v>
      </c>
      <c r="R27" s="1629">
        <f>SUM(R24:R26)</f>
        <v>2</v>
      </c>
      <c r="S27" s="1629">
        <f>SUM(S24:S26)</f>
        <v>1</v>
      </c>
      <c r="T27" s="1630">
        <f>SUM(T24:T26)</f>
        <v>18</v>
      </c>
      <c r="U27" s="1675">
        <f t="shared" si="2"/>
        <v>0.2</v>
      </c>
      <c r="V27" s="1628">
        <f>SUM(V24:V26)</f>
        <v>5</v>
      </c>
      <c r="W27" s="1629">
        <f>SUM(W24:W26)</f>
        <v>10</v>
      </c>
      <c r="X27" s="1629">
        <f>SUM(X24:X26)</f>
        <v>2</v>
      </c>
      <c r="Y27" s="1629">
        <f>SUM(Y24:Y26)</f>
        <v>1</v>
      </c>
      <c r="Z27" s="1630">
        <f>SUM(Z24:Z26)</f>
        <v>18</v>
      </c>
      <c r="AA27" s="1675">
        <f t="shared" si="3"/>
        <v>0.2</v>
      </c>
      <c r="AB27" s="1628">
        <f>SUM(AB24:AB26)</f>
        <v>2</v>
      </c>
      <c r="AC27" s="1629">
        <f>SUM(AC24:AC26)</f>
        <v>15</v>
      </c>
      <c r="AD27" s="1629">
        <f>SUM(AD24:AD26)</f>
        <v>1</v>
      </c>
      <c r="AE27" s="1629">
        <f>SUM(AE24:AE26)</f>
        <v>1</v>
      </c>
      <c r="AF27" s="1630">
        <f t="shared" si="10"/>
        <v>19</v>
      </c>
      <c r="AG27" s="1675">
        <f t="shared" si="4"/>
        <v>0.11764705882352941</v>
      </c>
      <c r="AH27" s="1628">
        <v>3</v>
      </c>
      <c r="AI27" s="1629">
        <v>16</v>
      </c>
      <c r="AJ27" s="1629">
        <v>1</v>
      </c>
      <c r="AK27" s="1629">
        <v>2</v>
      </c>
      <c r="AL27" s="1630">
        <f t="shared" si="11"/>
        <v>22</v>
      </c>
      <c r="AM27" s="1675">
        <f t="shared" si="5"/>
        <v>0.15789473684210525</v>
      </c>
      <c r="AN27" s="1628">
        <f>SUM(AN24:AN26)</f>
        <v>1</v>
      </c>
      <c r="AO27" s="1629">
        <f t="shared" ref="AO27:AR27" si="32">SUM(AO24:AO26)</f>
        <v>14</v>
      </c>
      <c r="AP27" s="1629">
        <f t="shared" si="32"/>
        <v>2</v>
      </c>
      <c r="AQ27" s="1629">
        <f t="shared" si="32"/>
        <v>2</v>
      </c>
      <c r="AR27" s="1630">
        <f t="shared" si="32"/>
        <v>19</v>
      </c>
      <c r="AS27" s="1675">
        <f t="shared" si="6"/>
        <v>0.26666666666666666</v>
      </c>
      <c r="AT27" s="1628">
        <v>6</v>
      </c>
      <c r="AU27" s="1629">
        <v>10</v>
      </c>
      <c r="AV27" s="1629">
        <v>3</v>
      </c>
      <c r="AW27" s="1629">
        <v>2</v>
      </c>
      <c r="AX27" s="1630">
        <f t="shared" ref="AX27" si="33">SUM(AX24:AX26)</f>
        <v>21</v>
      </c>
      <c r="AY27" s="1675">
        <f t="shared" si="7"/>
        <v>0.3125</v>
      </c>
      <c r="AZ27" s="1628">
        <v>5</v>
      </c>
      <c r="BA27" s="1629">
        <v>9</v>
      </c>
      <c r="BB27" s="1629">
        <v>4</v>
      </c>
      <c r="BC27" s="1629">
        <v>2</v>
      </c>
      <c r="BD27" s="1630">
        <v>20</v>
      </c>
      <c r="BE27" s="1675">
        <f t="shared" si="8"/>
        <v>0.42857142857142855</v>
      </c>
    </row>
    <row r="28" spans="1:57" ht="17.100000000000001" customHeight="1">
      <c r="A28" s="1688" t="s">
        <v>72</v>
      </c>
      <c r="B28" s="1617" t="s">
        <v>64</v>
      </c>
      <c r="C28" s="1631" t="s">
        <v>1168</v>
      </c>
      <c r="D28" s="1581">
        <v>6</v>
      </c>
      <c r="E28" s="1582">
        <v>6</v>
      </c>
      <c r="F28" s="1582">
        <v>1</v>
      </c>
      <c r="G28" s="1610">
        <v>1</v>
      </c>
      <c r="H28" s="1611">
        <f>SUM(D28:G28)</f>
        <v>14</v>
      </c>
      <c r="I28" s="1674">
        <f t="shared" si="0"/>
        <v>0.16666666666666666</v>
      </c>
      <c r="J28" s="1581">
        <v>4</v>
      </c>
      <c r="K28" s="1582">
        <v>7</v>
      </c>
      <c r="L28" s="1582">
        <v>1</v>
      </c>
      <c r="M28" s="1610">
        <v>1</v>
      </c>
      <c r="N28" s="1611">
        <f>SUM(J28:M28)</f>
        <v>13</v>
      </c>
      <c r="O28" s="1674">
        <f t="shared" si="1"/>
        <v>0.18181818181818182</v>
      </c>
      <c r="P28" s="1581">
        <v>4</v>
      </c>
      <c r="Q28" s="1582">
        <v>8</v>
      </c>
      <c r="R28" s="1582">
        <v>2</v>
      </c>
      <c r="S28" s="1610">
        <v>1</v>
      </c>
      <c r="T28" s="1611">
        <f>SUM(P28:S28)</f>
        <v>15</v>
      </c>
      <c r="U28" s="1674">
        <f t="shared" si="2"/>
        <v>0.25</v>
      </c>
      <c r="V28" s="1581">
        <v>5</v>
      </c>
      <c r="W28" s="1582">
        <v>8</v>
      </c>
      <c r="X28" s="1582">
        <v>1</v>
      </c>
      <c r="Y28" s="1610">
        <v>1</v>
      </c>
      <c r="Z28" s="1611">
        <f>SUM(V28:Y28)</f>
        <v>15</v>
      </c>
      <c r="AA28" s="1674">
        <f t="shared" si="3"/>
        <v>0.15384615384615385</v>
      </c>
      <c r="AB28" s="1581">
        <v>4</v>
      </c>
      <c r="AC28" s="1582">
        <v>12</v>
      </c>
      <c r="AD28" s="1582">
        <v>1</v>
      </c>
      <c r="AE28" s="1610">
        <v>1</v>
      </c>
      <c r="AF28" s="1611">
        <f t="shared" si="10"/>
        <v>18</v>
      </c>
      <c r="AG28" s="1674">
        <f t="shared" si="4"/>
        <v>0.125</v>
      </c>
      <c r="AH28" s="1581">
        <v>1</v>
      </c>
      <c r="AI28" s="1582">
        <v>10</v>
      </c>
      <c r="AJ28" s="1582">
        <v>1</v>
      </c>
      <c r="AK28" s="1610">
        <v>1</v>
      </c>
      <c r="AL28" s="1611">
        <f t="shared" si="11"/>
        <v>13</v>
      </c>
      <c r="AM28" s="1674">
        <f t="shared" si="5"/>
        <v>0.18181818181818182</v>
      </c>
      <c r="AN28" s="1581">
        <v>2</v>
      </c>
      <c r="AO28" s="1582">
        <v>10</v>
      </c>
      <c r="AP28" s="1582">
        <v>1</v>
      </c>
      <c r="AQ28" s="1610">
        <v>1</v>
      </c>
      <c r="AR28" s="1611">
        <f t="shared" si="30"/>
        <v>14</v>
      </c>
      <c r="AS28" s="1674">
        <f t="shared" si="6"/>
        <v>0.16666666666666666</v>
      </c>
      <c r="AT28" s="1581">
        <v>0</v>
      </c>
      <c r="AU28" s="1582">
        <v>9</v>
      </c>
      <c r="AV28" s="1582">
        <v>1</v>
      </c>
      <c r="AW28" s="1610">
        <v>1</v>
      </c>
      <c r="AX28" s="1611">
        <f t="shared" ref="AX28:AX30" si="34">SUM(AT28:AW28)</f>
        <v>11</v>
      </c>
      <c r="AY28" s="1674">
        <f t="shared" si="7"/>
        <v>0.22222222222222221</v>
      </c>
      <c r="AZ28" s="1581">
        <v>2</v>
      </c>
      <c r="BA28" s="1582">
        <v>9</v>
      </c>
      <c r="BB28" s="1582">
        <v>0</v>
      </c>
      <c r="BC28" s="1610">
        <v>1</v>
      </c>
      <c r="BD28" s="1611">
        <v>12</v>
      </c>
      <c r="BE28" s="1674">
        <f t="shared" si="8"/>
        <v>9.0909090909090912E-2</v>
      </c>
    </row>
    <row r="29" spans="1:57" ht="17.100000000000001" customHeight="1">
      <c r="A29" s="1684" t="s">
        <v>72</v>
      </c>
      <c r="B29" s="1608" t="s">
        <v>64</v>
      </c>
      <c r="C29" s="1609" t="s">
        <v>1169</v>
      </c>
      <c r="D29" s="1581">
        <v>4</v>
      </c>
      <c r="E29" s="1582">
        <v>10</v>
      </c>
      <c r="F29" s="1610"/>
      <c r="G29" s="1610"/>
      <c r="H29" s="1611">
        <f>SUM(D29:G29)</f>
        <v>14</v>
      </c>
      <c r="I29" s="1674">
        <f t="shared" si="0"/>
        <v>0</v>
      </c>
      <c r="J29" s="1581">
        <v>4</v>
      </c>
      <c r="K29" s="1582">
        <v>9</v>
      </c>
      <c r="L29" s="1610"/>
      <c r="M29" s="1610"/>
      <c r="N29" s="1611">
        <f>SUM(J29:M29)</f>
        <v>13</v>
      </c>
      <c r="O29" s="1674">
        <f t="shared" si="1"/>
        <v>0</v>
      </c>
      <c r="P29" s="1581">
        <v>5</v>
      </c>
      <c r="Q29" s="1582">
        <v>13</v>
      </c>
      <c r="R29" s="1610"/>
      <c r="S29" s="1610"/>
      <c r="T29" s="1611">
        <f>SUM(P29:S29)</f>
        <v>18</v>
      </c>
      <c r="U29" s="1674">
        <f t="shared" si="2"/>
        <v>0</v>
      </c>
      <c r="V29" s="1581">
        <v>5</v>
      </c>
      <c r="W29" s="1582">
        <v>14</v>
      </c>
      <c r="X29" s="1610"/>
      <c r="Y29" s="1610"/>
      <c r="Z29" s="1611">
        <f>SUM(V29:Y29)</f>
        <v>19</v>
      </c>
      <c r="AA29" s="1674">
        <f t="shared" si="3"/>
        <v>0</v>
      </c>
      <c r="AB29" s="1581">
        <v>4</v>
      </c>
      <c r="AC29" s="1582">
        <v>12</v>
      </c>
      <c r="AD29" s="1610">
        <v>1</v>
      </c>
      <c r="AE29" s="1610"/>
      <c r="AF29" s="1611">
        <f t="shared" si="10"/>
        <v>17</v>
      </c>
      <c r="AG29" s="1674">
        <f t="shared" si="4"/>
        <v>6.25E-2</v>
      </c>
      <c r="AH29" s="1581">
        <v>3</v>
      </c>
      <c r="AI29" s="1582">
        <v>12</v>
      </c>
      <c r="AJ29" s="1610">
        <v>1</v>
      </c>
      <c r="AK29" s="1610"/>
      <c r="AL29" s="1611">
        <f t="shared" si="11"/>
        <v>16</v>
      </c>
      <c r="AM29" s="1674">
        <f t="shared" si="5"/>
        <v>6.6666666666666666E-2</v>
      </c>
      <c r="AN29" s="1581">
        <v>3</v>
      </c>
      <c r="AO29" s="1582">
        <v>13</v>
      </c>
      <c r="AP29" s="1610">
        <v>1</v>
      </c>
      <c r="AQ29" s="1610"/>
      <c r="AR29" s="1611">
        <f t="shared" si="30"/>
        <v>17</v>
      </c>
      <c r="AS29" s="1674">
        <f t="shared" si="6"/>
        <v>6.25E-2</v>
      </c>
      <c r="AT29" s="1581">
        <v>2</v>
      </c>
      <c r="AU29" s="1582">
        <v>12</v>
      </c>
      <c r="AV29" s="1610">
        <v>2</v>
      </c>
      <c r="AW29" s="1610">
        <v>0</v>
      </c>
      <c r="AX29" s="1611">
        <f t="shared" si="34"/>
        <v>16</v>
      </c>
      <c r="AY29" s="1674">
        <f t="shared" si="7"/>
        <v>0.14285714285714285</v>
      </c>
      <c r="AZ29" s="1581">
        <v>4</v>
      </c>
      <c r="BA29" s="1582">
        <v>10</v>
      </c>
      <c r="BB29" s="1610">
        <v>2</v>
      </c>
      <c r="BC29" s="1610">
        <v>0</v>
      </c>
      <c r="BD29" s="1611">
        <v>16</v>
      </c>
      <c r="BE29" s="1674">
        <f t="shared" si="8"/>
        <v>0.14285714285714285</v>
      </c>
    </row>
    <row r="30" spans="1:57" ht="17.100000000000001" customHeight="1" thickBot="1">
      <c r="A30" s="1684" t="s">
        <v>72</v>
      </c>
      <c r="B30" s="1608" t="s">
        <v>64</v>
      </c>
      <c r="C30" s="1609" t="s">
        <v>1170</v>
      </c>
      <c r="D30" s="1581">
        <v>1</v>
      </c>
      <c r="E30" s="1582">
        <v>9</v>
      </c>
      <c r="F30" s="1610"/>
      <c r="G30" s="1582">
        <v>2</v>
      </c>
      <c r="H30" s="1586">
        <f>SUM(D30:G30)</f>
        <v>12</v>
      </c>
      <c r="I30" s="1674">
        <f t="shared" si="0"/>
        <v>0.2</v>
      </c>
      <c r="J30" s="1581">
        <v>2</v>
      </c>
      <c r="K30" s="1582">
        <v>9</v>
      </c>
      <c r="L30" s="1610"/>
      <c r="M30" s="1582">
        <v>2</v>
      </c>
      <c r="N30" s="1586">
        <f>SUM(J30:M30)</f>
        <v>13</v>
      </c>
      <c r="O30" s="1674">
        <f t="shared" si="1"/>
        <v>0.18181818181818182</v>
      </c>
      <c r="P30" s="1581">
        <v>3</v>
      </c>
      <c r="Q30" s="1582">
        <v>8</v>
      </c>
      <c r="R30" s="1610"/>
      <c r="S30" s="1582">
        <v>2</v>
      </c>
      <c r="T30" s="1586">
        <f>SUM(P30:S30)</f>
        <v>13</v>
      </c>
      <c r="U30" s="1674">
        <f t="shared" si="2"/>
        <v>0.18181818181818182</v>
      </c>
      <c r="V30" s="1581">
        <v>3</v>
      </c>
      <c r="W30" s="1582">
        <v>11</v>
      </c>
      <c r="X30" s="1610">
        <v>1</v>
      </c>
      <c r="Y30" s="1582">
        <v>2</v>
      </c>
      <c r="Z30" s="1586">
        <f>SUM(V30:Y30)</f>
        <v>17</v>
      </c>
      <c r="AA30" s="1674">
        <f t="shared" si="3"/>
        <v>0.21428571428571427</v>
      </c>
      <c r="AB30" s="1581">
        <v>3</v>
      </c>
      <c r="AC30" s="1582">
        <v>9</v>
      </c>
      <c r="AD30" s="1610">
        <v>3</v>
      </c>
      <c r="AE30" s="1582">
        <v>2</v>
      </c>
      <c r="AF30" s="1586">
        <f t="shared" si="10"/>
        <v>17</v>
      </c>
      <c r="AG30" s="1674">
        <f t="shared" si="4"/>
        <v>0.41666666666666669</v>
      </c>
      <c r="AH30" s="1581">
        <v>3</v>
      </c>
      <c r="AI30" s="1582">
        <v>10</v>
      </c>
      <c r="AJ30" s="1610">
        <v>3</v>
      </c>
      <c r="AK30" s="1582">
        <v>2</v>
      </c>
      <c r="AL30" s="1586">
        <f t="shared" si="11"/>
        <v>18</v>
      </c>
      <c r="AM30" s="1674">
        <f t="shared" si="5"/>
        <v>0.38461538461538464</v>
      </c>
      <c r="AN30" s="1581">
        <v>2</v>
      </c>
      <c r="AO30" s="1582">
        <v>10</v>
      </c>
      <c r="AP30" s="1610">
        <v>4</v>
      </c>
      <c r="AQ30" s="1582">
        <v>2</v>
      </c>
      <c r="AR30" s="1586">
        <f t="shared" si="30"/>
        <v>18</v>
      </c>
      <c r="AS30" s="1674">
        <f t="shared" si="6"/>
        <v>0.5</v>
      </c>
      <c r="AT30" s="1581">
        <v>4</v>
      </c>
      <c r="AU30" s="1582">
        <v>8</v>
      </c>
      <c r="AV30" s="1610">
        <v>4</v>
      </c>
      <c r="AW30" s="1582">
        <v>2</v>
      </c>
      <c r="AX30" s="1586">
        <f t="shared" si="34"/>
        <v>18</v>
      </c>
      <c r="AY30" s="1674">
        <f t="shared" si="7"/>
        <v>0.5</v>
      </c>
      <c r="AZ30" s="1581">
        <v>10</v>
      </c>
      <c r="BA30" s="1582">
        <v>10</v>
      </c>
      <c r="BB30" s="1610">
        <v>3</v>
      </c>
      <c r="BC30" s="1582">
        <v>3</v>
      </c>
      <c r="BD30" s="1586">
        <v>26</v>
      </c>
      <c r="BE30" s="1674">
        <f t="shared" si="8"/>
        <v>0.3</v>
      </c>
    </row>
    <row r="31" spans="1:57" ht="17.100000000000001" customHeight="1" thickBot="1">
      <c r="A31" s="5227" t="s">
        <v>1654</v>
      </c>
      <c r="B31" s="5228"/>
      <c r="C31" s="5229"/>
      <c r="D31" s="1628">
        <f>SUM(D28:D30)</f>
        <v>11</v>
      </c>
      <c r="E31" s="1629">
        <f>SUM(E28:E30)</f>
        <v>25</v>
      </c>
      <c r="F31" s="1629">
        <f>SUM(F28:F30)</f>
        <v>1</v>
      </c>
      <c r="G31" s="1629">
        <f>SUM(G28:G30)</f>
        <v>3</v>
      </c>
      <c r="H31" s="1630">
        <f>SUM(H28:H30)</f>
        <v>40</v>
      </c>
      <c r="I31" s="1675">
        <f t="shared" si="0"/>
        <v>0.1111111111111111</v>
      </c>
      <c r="J31" s="1628">
        <f>SUM(J28:J30)</f>
        <v>10</v>
      </c>
      <c r="K31" s="1629">
        <f>SUM(K28:K30)</f>
        <v>25</v>
      </c>
      <c r="L31" s="1629">
        <f>SUM(L28:L30)</f>
        <v>1</v>
      </c>
      <c r="M31" s="1629">
        <f>SUM(M28:M30)</f>
        <v>3</v>
      </c>
      <c r="N31" s="1630">
        <f>SUM(N28:N30)</f>
        <v>39</v>
      </c>
      <c r="O31" s="1675">
        <f t="shared" si="1"/>
        <v>0.11428571428571428</v>
      </c>
      <c r="P31" s="1628">
        <f>SUM(P28:P30)</f>
        <v>12</v>
      </c>
      <c r="Q31" s="1629">
        <f>SUM(Q28:Q30)</f>
        <v>29</v>
      </c>
      <c r="R31" s="1629">
        <f>SUM(R28:R30)</f>
        <v>2</v>
      </c>
      <c r="S31" s="1629">
        <f>SUM(S28:S30)</f>
        <v>3</v>
      </c>
      <c r="T31" s="1630">
        <f>SUM(T28:T30)</f>
        <v>46</v>
      </c>
      <c r="U31" s="1675">
        <f t="shared" si="2"/>
        <v>0.12195121951219512</v>
      </c>
      <c r="V31" s="1628">
        <f>SUM(V28:V30)</f>
        <v>13</v>
      </c>
      <c r="W31" s="1629">
        <f>SUM(W28:W30)</f>
        <v>33</v>
      </c>
      <c r="X31" s="1629">
        <f>SUM(X28:X30)</f>
        <v>2</v>
      </c>
      <c r="Y31" s="1629">
        <f>SUM(Y28:Y30)</f>
        <v>3</v>
      </c>
      <c r="Z31" s="1630">
        <f>SUM(Z28:Z30)</f>
        <v>51</v>
      </c>
      <c r="AA31" s="1675">
        <f t="shared" si="3"/>
        <v>0.10869565217391304</v>
      </c>
      <c r="AB31" s="1628">
        <f>SUM(AB28:AB30)</f>
        <v>11</v>
      </c>
      <c r="AC31" s="1629">
        <f>SUM(AC28:AC30)</f>
        <v>33</v>
      </c>
      <c r="AD31" s="1629">
        <f>SUM(AD28:AD30)</f>
        <v>5</v>
      </c>
      <c r="AE31" s="1629">
        <f>SUM(AE28:AE30)</f>
        <v>3</v>
      </c>
      <c r="AF31" s="1630">
        <f t="shared" si="10"/>
        <v>52</v>
      </c>
      <c r="AG31" s="1675">
        <f t="shared" si="4"/>
        <v>0.18181818181818182</v>
      </c>
      <c r="AH31" s="1628">
        <v>7</v>
      </c>
      <c r="AI31" s="1629">
        <v>32</v>
      </c>
      <c r="AJ31" s="1629">
        <v>5</v>
      </c>
      <c r="AK31" s="1629">
        <v>3</v>
      </c>
      <c r="AL31" s="1630">
        <f t="shared" si="11"/>
        <v>47</v>
      </c>
      <c r="AM31" s="1675">
        <f t="shared" si="5"/>
        <v>0.20512820512820512</v>
      </c>
      <c r="AN31" s="1628">
        <f>SUM(AN28:AN30)</f>
        <v>7</v>
      </c>
      <c r="AO31" s="1629">
        <f t="shared" ref="AO31:AR31" si="35">SUM(AO28:AO30)</f>
        <v>33</v>
      </c>
      <c r="AP31" s="1629">
        <f t="shared" si="35"/>
        <v>6</v>
      </c>
      <c r="AQ31" s="1629">
        <f t="shared" si="35"/>
        <v>3</v>
      </c>
      <c r="AR31" s="1630">
        <f t="shared" si="35"/>
        <v>49</v>
      </c>
      <c r="AS31" s="1675">
        <f t="shared" si="6"/>
        <v>0.22500000000000001</v>
      </c>
      <c r="AT31" s="1628">
        <v>6</v>
      </c>
      <c r="AU31" s="1629">
        <v>29</v>
      </c>
      <c r="AV31" s="1629">
        <v>7</v>
      </c>
      <c r="AW31" s="1629">
        <v>3</v>
      </c>
      <c r="AX31" s="1630">
        <f t="shared" ref="AX31" si="36">SUM(AX28:AX30)</f>
        <v>45</v>
      </c>
      <c r="AY31" s="1675">
        <f t="shared" si="7"/>
        <v>0.2857142857142857</v>
      </c>
      <c r="AZ31" s="1628">
        <v>16</v>
      </c>
      <c r="BA31" s="1629">
        <v>29</v>
      </c>
      <c r="BB31" s="1629">
        <v>5</v>
      </c>
      <c r="BC31" s="1629">
        <v>4</v>
      </c>
      <c r="BD31" s="1630">
        <v>54</v>
      </c>
      <c r="BE31" s="1675">
        <f t="shared" si="8"/>
        <v>0.2</v>
      </c>
    </row>
    <row r="32" spans="1:57" ht="17.100000000000001" customHeight="1">
      <c r="A32" s="1688" t="s">
        <v>72</v>
      </c>
      <c r="B32" s="1617" t="s">
        <v>16</v>
      </c>
      <c r="C32" s="1631" t="s">
        <v>1171</v>
      </c>
      <c r="D32" s="1581">
        <v>2</v>
      </c>
      <c r="E32" s="1582">
        <v>8</v>
      </c>
      <c r="F32" s="1610">
        <v>1</v>
      </c>
      <c r="G32" s="1610"/>
      <c r="H32" s="1611">
        <f>SUM(D32:G32)</f>
        <v>11</v>
      </c>
      <c r="I32" s="1674">
        <f t="shared" si="0"/>
        <v>0.1</v>
      </c>
      <c r="J32" s="1581">
        <v>4</v>
      </c>
      <c r="K32" s="1582">
        <v>8</v>
      </c>
      <c r="L32" s="1610">
        <v>2</v>
      </c>
      <c r="M32" s="1610"/>
      <c r="N32" s="1611">
        <f>SUM(J32:M32)</f>
        <v>14</v>
      </c>
      <c r="O32" s="1674">
        <f t="shared" si="1"/>
        <v>0.16666666666666666</v>
      </c>
      <c r="P32" s="1581">
        <v>2</v>
      </c>
      <c r="Q32" s="1582">
        <v>9</v>
      </c>
      <c r="R32" s="1610">
        <v>3</v>
      </c>
      <c r="S32" s="1610"/>
      <c r="T32" s="1611">
        <f>SUM(P32:S32)</f>
        <v>14</v>
      </c>
      <c r="U32" s="1674">
        <f t="shared" si="2"/>
        <v>0.27272727272727271</v>
      </c>
      <c r="V32" s="1581">
        <v>1</v>
      </c>
      <c r="W32" s="1582">
        <v>9</v>
      </c>
      <c r="X32" s="1610">
        <v>3</v>
      </c>
      <c r="Y32" s="1610"/>
      <c r="Z32" s="1611">
        <f>SUM(V32:Y32)</f>
        <v>13</v>
      </c>
      <c r="AA32" s="1674">
        <f t="shared" si="3"/>
        <v>0.3</v>
      </c>
      <c r="AB32" s="1581">
        <v>2</v>
      </c>
      <c r="AC32" s="1582">
        <v>7</v>
      </c>
      <c r="AD32" s="1610">
        <v>3</v>
      </c>
      <c r="AE32" s="1610"/>
      <c r="AF32" s="1611">
        <f t="shared" si="10"/>
        <v>12</v>
      </c>
      <c r="AG32" s="1674">
        <f t="shared" si="4"/>
        <v>0.33333333333333331</v>
      </c>
      <c r="AH32" s="1581">
        <v>3</v>
      </c>
      <c r="AI32" s="1582">
        <v>10</v>
      </c>
      <c r="AJ32" s="1610">
        <v>3</v>
      </c>
      <c r="AK32" s="1610"/>
      <c r="AL32" s="1611">
        <f t="shared" si="11"/>
        <v>16</v>
      </c>
      <c r="AM32" s="1674">
        <f t="shared" si="5"/>
        <v>0.23076923076923078</v>
      </c>
      <c r="AN32" s="1581">
        <v>3</v>
      </c>
      <c r="AO32" s="1582">
        <v>10</v>
      </c>
      <c r="AP32" s="1610">
        <v>4</v>
      </c>
      <c r="AQ32" s="1610"/>
      <c r="AR32" s="1611">
        <f t="shared" si="30"/>
        <v>17</v>
      </c>
      <c r="AS32" s="1674">
        <f t="shared" si="6"/>
        <v>0.30769230769230771</v>
      </c>
      <c r="AT32" s="1581">
        <v>5</v>
      </c>
      <c r="AU32" s="1582">
        <v>11</v>
      </c>
      <c r="AV32" s="1610">
        <v>3</v>
      </c>
      <c r="AW32" s="1610">
        <v>0</v>
      </c>
      <c r="AX32" s="1611">
        <f t="shared" ref="AX32:AX34" si="37">SUM(AT32:AW32)</f>
        <v>19</v>
      </c>
      <c r="AY32" s="1674">
        <f t="shared" si="7"/>
        <v>0.1875</v>
      </c>
      <c r="AZ32" s="1581">
        <v>2</v>
      </c>
      <c r="BA32" s="1582">
        <v>10</v>
      </c>
      <c r="BB32" s="1610">
        <v>3</v>
      </c>
      <c r="BC32" s="1610">
        <v>0</v>
      </c>
      <c r="BD32" s="1611">
        <v>15</v>
      </c>
      <c r="BE32" s="1674">
        <f t="shared" si="8"/>
        <v>0.25</v>
      </c>
    </row>
    <row r="33" spans="1:57" ht="17.100000000000001" customHeight="1">
      <c r="A33" s="1684" t="s">
        <v>72</v>
      </c>
      <c r="B33" s="1608" t="s">
        <v>16</v>
      </c>
      <c r="C33" s="1609" t="s">
        <v>1172</v>
      </c>
      <c r="D33" s="1581">
        <v>7</v>
      </c>
      <c r="E33" s="1610">
        <v>5</v>
      </c>
      <c r="F33" s="1582">
        <v>1</v>
      </c>
      <c r="G33" s="1610">
        <v>1</v>
      </c>
      <c r="H33" s="1611">
        <f>SUM(D33:G33)</f>
        <v>14</v>
      </c>
      <c r="I33" s="1674">
        <f t="shared" si="0"/>
        <v>0.16666666666666666</v>
      </c>
      <c r="J33" s="1581">
        <v>7</v>
      </c>
      <c r="K33" s="1610">
        <v>5</v>
      </c>
      <c r="L33" s="1582">
        <v>1</v>
      </c>
      <c r="M33" s="1610">
        <v>1</v>
      </c>
      <c r="N33" s="1611">
        <f>SUM(J33:M33)</f>
        <v>14</v>
      </c>
      <c r="O33" s="1674">
        <f t="shared" si="1"/>
        <v>0.16666666666666666</v>
      </c>
      <c r="P33" s="1581">
        <v>3</v>
      </c>
      <c r="Q33" s="1610">
        <v>7</v>
      </c>
      <c r="R33" s="1582">
        <v>1</v>
      </c>
      <c r="S33" s="1610"/>
      <c r="T33" s="1611">
        <f>SUM(P33:S33)</f>
        <v>11</v>
      </c>
      <c r="U33" s="1674">
        <f t="shared" si="2"/>
        <v>0.1</v>
      </c>
      <c r="V33" s="1581">
        <v>2</v>
      </c>
      <c r="W33" s="1610">
        <v>8</v>
      </c>
      <c r="X33" s="1582">
        <v>1</v>
      </c>
      <c r="Y33" s="1610"/>
      <c r="Z33" s="1611">
        <f>SUM(V33:Y33)</f>
        <v>11</v>
      </c>
      <c r="AA33" s="1674">
        <f t="shared" si="3"/>
        <v>0.1</v>
      </c>
      <c r="AB33" s="1581">
        <v>1</v>
      </c>
      <c r="AC33" s="1610">
        <v>8</v>
      </c>
      <c r="AD33" s="1582">
        <v>1</v>
      </c>
      <c r="AE33" s="1610"/>
      <c r="AF33" s="1611">
        <f t="shared" si="10"/>
        <v>10</v>
      </c>
      <c r="AG33" s="1674">
        <f t="shared" si="4"/>
        <v>0.1111111111111111</v>
      </c>
      <c r="AH33" s="1581">
        <v>1</v>
      </c>
      <c r="AI33" s="1610">
        <v>9</v>
      </c>
      <c r="AJ33" s="1582">
        <v>2</v>
      </c>
      <c r="AK33" s="1610"/>
      <c r="AL33" s="1611">
        <f t="shared" si="11"/>
        <v>12</v>
      </c>
      <c r="AM33" s="1674">
        <f t="shared" si="5"/>
        <v>0.2</v>
      </c>
      <c r="AN33" s="1581">
        <v>2</v>
      </c>
      <c r="AO33" s="1610">
        <v>8</v>
      </c>
      <c r="AP33" s="1582">
        <v>3</v>
      </c>
      <c r="AQ33" s="1610"/>
      <c r="AR33" s="1611">
        <f t="shared" si="30"/>
        <v>13</v>
      </c>
      <c r="AS33" s="1674">
        <f t="shared" si="6"/>
        <v>0.3</v>
      </c>
      <c r="AT33" s="1581">
        <v>1</v>
      </c>
      <c r="AU33" s="1610">
        <v>6</v>
      </c>
      <c r="AV33" s="1582">
        <v>3</v>
      </c>
      <c r="AW33" s="1610">
        <v>0</v>
      </c>
      <c r="AX33" s="1611">
        <f t="shared" si="37"/>
        <v>10</v>
      </c>
      <c r="AY33" s="1674">
        <f t="shared" si="7"/>
        <v>0.42857142857142855</v>
      </c>
      <c r="AZ33" s="1581">
        <v>0</v>
      </c>
      <c r="BA33" s="1610">
        <v>5</v>
      </c>
      <c r="BB33" s="1582">
        <v>2</v>
      </c>
      <c r="BC33" s="1610">
        <v>0</v>
      </c>
      <c r="BD33" s="1611">
        <v>7</v>
      </c>
      <c r="BE33" s="1674">
        <f t="shared" si="8"/>
        <v>0.4</v>
      </c>
    </row>
    <row r="34" spans="1:57" ht="17.100000000000001" customHeight="1" thickBot="1">
      <c r="A34" s="1689" t="s">
        <v>72</v>
      </c>
      <c r="B34" s="1615" t="s">
        <v>16</v>
      </c>
      <c r="C34" s="1616" t="s">
        <v>854</v>
      </c>
      <c r="D34" s="1581">
        <v>2</v>
      </c>
      <c r="E34" s="1582">
        <v>9</v>
      </c>
      <c r="F34" s="1582">
        <v>3</v>
      </c>
      <c r="G34" s="1610"/>
      <c r="H34" s="1611">
        <f>SUM(D34:G34)</f>
        <v>14</v>
      </c>
      <c r="I34" s="1674">
        <f t="shared" si="0"/>
        <v>0.27272727272727271</v>
      </c>
      <c r="J34" s="1581">
        <v>2</v>
      </c>
      <c r="K34" s="1582">
        <v>10</v>
      </c>
      <c r="L34" s="1582">
        <v>3</v>
      </c>
      <c r="M34" s="1610"/>
      <c r="N34" s="1611">
        <f>SUM(J34:M34)</f>
        <v>15</v>
      </c>
      <c r="O34" s="1674">
        <f t="shared" si="1"/>
        <v>0.25</v>
      </c>
      <c r="P34" s="1581">
        <v>3</v>
      </c>
      <c r="Q34" s="1582">
        <v>11</v>
      </c>
      <c r="R34" s="1582">
        <v>3</v>
      </c>
      <c r="S34" s="1610"/>
      <c r="T34" s="1611">
        <f>SUM(P34:S34)</f>
        <v>17</v>
      </c>
      <c r="U34" s="1674">
        <f t="shared" si="2"/>
        <v>0.21428571428571427</v>
      </c>
      <c r="V34" s="1581">
        <v>3</v>
      </c>
      <c r="W34" s="1582">
        <v>16</v>
      </c>
      <c r="X34" s="1582">
        <v>3</v>
      </c>
      <c r="Y34" s="1610"/>
      <c r="Z34" s="1611">
        <f>SUM(V34:Y34)</f>
        <v>22</v>
      </c>
      <c r="AA34" s="1674">
        <f t="shared" si="3"/>
        <v>0.15789473684210525</v>
      </c>
      <c r="AB34" s="1581">
        <v>3</v>
      </c>
      <c r="AC34" s="1582">
        <v>15</v>
      </c>
      <c r="AD34" s="1582">
        <v>4</v>
      </c>
      <c r="AE34" s="1610"/>
      <c r="AF34" s="1611">
        <f t="shared" si="10"/>
        <v>22</v>
      </c>
      <c r="AG34" s="1674">
        <f t="shared" si="4"/>
        <v>0.22222222222222221</v>
      </c>
      <c r="AH34" s="1581">
        <v>2</v>
      </c>
      <c r="AI34" s="1582">
        <v>15</v>
      </c>
      <c r="AJ34" s="1582">
        <v>4</v>
      </c>
      <c r="AK34" s="1610"/>
      <c r="AL34" s="1611">
        <f t="shared" si="11"/>
        <v>21</v>
      </c>
      <c r="AM34" s="1674">
        <f t="shared" si="5"/>
        <v>0.23529411764705882</v>
      </c>
      <c r="AN34" s="1581">
        <v>3</v>
      </c>
      <c r="AO34" s="1582">
        <v>18</v>
      </c>
      <c r="AP34" s="1582">
        <v>4</v>
      </c>
      <c r="AQ34" s="1610"/>
      <c r="AR34" s="1611">
        <f t="shared" si="30"/>
        <v>25</v>
      </c>
      <c r="AS34" s="1674">
        <f t="shared" si="6"/>
        <v>0.19047619047619047</v>
      </c>
      <c r="AT34" s="1581">
        <v>4</v>
      </c>
      <c r="AU34" s="1582">
        <v>14</v>
      </c>
      <c r="AV34" s="1582">
        <v>4</v>
      </c>
      <c r="AW34" s="1610">
        <v>1</v>
      </c>
      <c r="AX34" s="1611">
        <f t="shared" si="37"/>
        <v>23</v>
      </c>
      <c r="AY34" s="1674">
        <f t="shared" si="7"/>
        <v>0.27777777777777779</v>
      </c>
      <c r="AZ34" s="1581">
        <v>4</v>
      </c>
      <c r="BA34" s="1582">
        <v>13</v>
      </c>
      <c r="BB34" s="1582">
        <v>4</v>
      </c>
      <c r="BC34" s="1610">
        <v>1</v>
      </c>
      <c r="BD34" s="1611">
        <v>22</v>
      </c>
      <c r="BE34" s="1674">
        <f t="shared" si="8"/>
        <v>0.29411764705882354</v>
      </c>
    </row>
    <row r="35" spans="1:57" ht="17.100000000000001" customHeight="1">
      <c r="A35" s="5230" t="s">
        <v>1648</v>
      </c>
      <c r="B35" s="5231"/>
      <c r="C35" s="5232"/>
      <c r="D35" s="1587">
        <f>SUM(D32:D34)</f>
        <v>11</v>
      </c>
      <c r="E35" s="1588">
        <f>SUM(E32:E34)</f>
        <v>22</v>
      </c>
      <c r="F35" s="1588">
        <f>SUM(F32:F34)</f>
        <v>5</v>
      </c>
      <c r="G35" s="1588">
        <f>SUM(G32:G34)</f>
        <v>1</v>
      </c>
      <c r="H35" s="1589">
        <f>SUM(H32:H34)</f>
        <v>39</v>
      </c>
      <c r="I35" s="1675">
        <f t="shared" si="0"/>
        <v>0.18181818181818182</v>
      </c>
      <c r="J35" s="1587">
        <f>SUM(J32:J34)</f>
        <v>13</v>
      </c>
      <c r="K35" s="1588">
        <f>SUM(K32:K34)</f>
        <v>23</v>
      </c>
      <c r="L35" s="1588">
        <f>SUM(L32:L34)</f>
        <v>6</v>
      </c>
      <c r="M35" s="1588">
        <f>SUM(M32:M34)</f>
        <v>1</v>
      </c>
      <c r="N35" s="1589">
        <f>SUM(N32:N34)</f>
        <v>43</v>
      </c>
      <c r="O35" s="1675">
        <f t="shared" si="1"/>
        <v>0.19444444444444445</v>
      </c>
      <c r="P35" s="1587">
        <f>SUM(P32:P34)</f>
        <v>8</v>
      </c>
      <c r="Q35" s="1588">
        <f>SUM(Q32:Q34)</f>
        <v>27</v>
      </c>
      <c r="R35" s="1588">
        <f>SUM(R32:R34)</f>
        <v>7</v>
      </c>
      <c r="S35" s="1588">
        <f>SUM(S32:S34)</f>
        <v>0</v>
      </c>
      <c r="T35" s="1589">
        <f>SUM(T32:T34)</f>
        <v>42</v>
      </c>
      <c r="U35" s="1675">
        <f t="shared" si="2"/>
        <v>0.2</v>
      </c>
      <c r="V35" s="1587">
        <f>SUM(V32:V34)</f>
        <v>6</v>
      </c>
      <c r="W35" s="1588">
        <f>SUM(W32:W34)</f>
        <v>33</v>
      </c>
      <c r="X35" s="1588">
        <f>SUM(X32:X34)</f>
        <v>7</v>
      </c>
      <c r="Y35" s="1588">
        <f>SUM(Y32:Y34)</f>
        <v>0</v>
      </c>
      <c r="Z35" s="1589">
        <f>SUM(Z32:Z34)</f>
        <v>46</v>
      </c>
      <c r="AA35" s="1675">
        <f t="shared" si="3"/>
        <v>0.17948717948717949</v>
      </c>
      <c r="AB35" s="1587">
        <f>SUM(AB32:AB34)</f>
        <v>6</v>
      </c>
      <c r="AC35" s="1588">
        <f>SUM(AC32:AC34)</f>
        <v>30</v>
      </c>
      <c r="AD35" s="1588">
        <f>SUM(AD32:AD34)</f>
        <v>8</v>
      </c>
      <c r="AE35" s="1588">
        <f>SUM(AE32:AE34)</f>
        <v>0</v>
      </c>
      <c r="AF35" s="1589">
        <f t="shared" si="10"/>
        <v>44</v>
      </c>
      <c r="AG35" s="1675">
        <f t="shared" si="4"/>
        <v>0.22222222222222221</v>
      </c>
      <c r="AH35" s="1587">
        <v>6</v>
      </c>
      <c r="AI35" s="1588">
        <v>34</v>
      </c>
      <c r="AJ35" s="1588">
        <v>9</v>
      </c>
      <c r="AK35" s="1588">
        <v>0</v>
      </c>
      <c r="AL35" s="1589">
        <f t="shared" si="11"/>
        <v>49</v>
      </c>
      <c r="AM35" s="1675">
        <f t="shared" si="5"/>
        <v>0.22500000000000001</v>
      </c>
      <c r="AN35" s="1587">
        <f>SUM(AN32:AN34)</f>
        <v>8</v>
      </c>
      <c r="AO35" s="1588">
        <f t="shared" ref="AO35:AR35" si="38">SUM(AO32:AO34)</f>
        <v>36</v>
      </c>
      <c r="AP35" s="1588">
        <f t="shared" si="38"/>
        <v>11</v>
      </c>
      <c r="AQ35" s="1588">
        <f t="shared" si="38"/>
        <v>0</v>
      </c>
      <c r="AR35" s="1589">
        <f t="shared" si="38"/>
        <v>55</v>
      </c>
      <c r="AS35" s="1675">
        <f t="shared" si="6"/>
        <v>0.25</v>
      </c>
      <c r="AT35" s="1587">
        <v>10</v>
      </c>
      <c r="AU35" s="1588">
        <v>31</v>
      </c>
      <c r="AV35" s="1588">
        <v>10</v>
      </c>
      <c r="AW35" s="1588">
        <v>1</v>
      </c>
      <c r="AX35" s="1589">
        <f t="shared" ref="AX35" si="39">SUM(AX32:AX34)</f>
        <v>52</v>
      </c>
      <c r="AY35" s="1675">
        <f t="shared" si="7"/>
        <v>0.26829268292682928</v>
      </c>
      <c r="AZ35" s="1587">
        <v>6</v>
      </c>
      <c r="BA35" s="1588">
        <v>28</v>
      </c>
      <c r="BB35" s="1588">
        <v>9</v>
      </c>
      <c r="BC35" s="1588">
        <v>1</v>
      </c>
      <c r="BD35" s="1589">
        <v>44</v>
      </c>
      <c r="BE35" s="1675">
        <f t="shared" si="8"/>
        <v>0.29411764705882354</v>
      </c>
    </row>
    <row r="36" spans="1:57" ht="17.100000000000001" customHeight="1">
      <c r="A36" s="5242" t="s">
        <v>1074</v>
      </c>
      <c r="B36" s="5243"/>
      <c r="C36" s="5244"/>
      <c r="D36" s="1632">
        <f>SUM(D35,D31,D27)</f>
        <v>27</v>
      </c>
      <c r="E36" s="1633">
        <f>SUM(E35,E31,E27)</f>
        <v>54</v>
      </c>
      <c r="F36" s="1633">
        <f>SUM(F35,F31,F27)</f>
        <v>8</v>
      </c>
      <c r="G36" s="1633">
        <f>SUM(G35,G31,G27)</f>
        <v>5</v>
      </c>
      <c r="H36" s="1634">
        <f>SUM(H27,H31,H35)</f>
        <v>94</v>
      </c>
      <c r="I36" s="1678">
        <f t="shared" si="0"/>
        <v>0.16049382716049382</v>
      </c>
      <c r="J36" s="1632">
        <f>SUM(J35,J31,J27)</f>
        <v>28</v>
      </c>
      <c r="K36" s="1633">
        <f>SUM(K35,K31,K27)</f>
        <v>55</v>
      </c>
      <c r="L36" s="1633">
        <f>SUM(L35,L31,L27)</f>
        <v>9</v>
      </c>
      <c r="M36" s="1633">
        <f>SUM(M35,M31,M27)</f>
        <v>5</v>
      </c>
      <c r="N36" s="1634">
        <f>SUM(N27,N31,N35)</f>
        <v>97</v>
      </c>
      <c r="O36" s="1678">
        <f t="shared" si="1"/>
        <v>0.16867469879518071</v>
      </c>
      <c r="P36" s="1632">
        <f>SUM(P35,P31,P27)</f>
        <v>26</v>
      </c>
      <c r="Q36" s="1633">
        <f>SUM(Q35,Q31,Q27)</f>
        <v>65</v>
      </c>
      <c r="R36" s="1633">
        <f>SUM(R35,R31,R27)</f>
        <v>11</v>
      </c>
      <c r="S36" s="1633">
        <f>SUM(S35,S31,S27)</f>
        <v>4</v>
      </c>
      <c r="T36" s="1634">
        <f>SUM(T27,T31,T35)</f>
        <v>106</v>
      </c>
      <c r="U36" s="1678">
        <f t="shared" si="2"/>
        <v>0.16483516483516483</v>
      </c>
      <c r="V36" s="1632">
        <f>SUM(V35,V31,V27)</f>
        <v>24</v>
      </c>
      <c r="W36" s="1633">
        <f>SUM(W35,W31,W27)</f>
        <v>76</v>
      </c>
      <c r="X36" s="1633">
        <f>SUM(X35,X31,X27)</f>
        <v>11</v>
      </c>
      <c r="Y36" s="1633">
        <f>SUM(Y35,Y31,Y27)</f>
        <v>4</v>
      </c>
      <c r="Z36" s="1634">
        <f>SUM(Z27,Z31,Z35)</f>
        <v>115</v>
      </c>
      <c r="AA36" s="1678">
        <f t="shared" si="3"/>
        <v>0.15</v>
      </c>
      <c r="AB36" s="1632">
        <f>SUM(AB35,AB31,AB27)</f>
        <v>19</v>
      </c>
      <c r="AC36" s="1633">
        <f>SUM(AC35,AC31,AC27)</f>
        <v>78</v>
      </c>
      <c r="AD36" s="1633">
        <f>SUM(AD35,AD31,AD27)</f>
        <v>14</v>
      </c>
      <c r="AE36" s="1633">
        <f>SUM(AE35,AE31,AE27)</f>
        <v>4</v>
      </c>
      <c r="AF36" s="1634">
        <f t="shared" si="10"/>
        <v>115</v>
      </c>
      <c r="AG36" s="1678">
        <f t="shared" si="4"/>
        <v>0.18556701030927836</v>
      </c>
      <c r="AH36" s="1632">
        <v>16</v>
      </c>
      <c r="AI36" s="1633">
        <v>82</v>
      </c>
      <c r="AJ36" s="1633">
        <v>15</v>
      </c>
      <c r="AK36" s="1633">
        <v>5</v>
      </c>
      <c r="AL36" s="1634">
        <f t="shared" si="11"/>
        <v>118</v>
      </c>
      <c r="AM36" s="1678">
        <f t="shared" si="5"/>
        <v>0.20408163265306123</v>
      </c>
      <c r="AN36" s="1632">
        <f>SUM(AN27,AN31,AN35)</f>
        <v>16</v>
      </c>
      <c r="AO36" s="1633">
        <f t="shared" ref="AO36:AR36" si="40">SUM(AO27,AO31,AO35)</f>
        <v>83</v>
      </c>
      <c r="AP36" s="1633">
        <f t="shared" si="40"/>
        <v>19</v>
      </c>
      <c r="AQ36" s="1633">
        <f t="shared" si="40"/>
        <v>5</v>
      </c>
      <c r="AR36" s="1634">
        <f t="shared" si="40"/>
        <v>123</v>
      </c>
      <c r="AS36" s="1678">
        <f t="shared" si="6"/>
        <v>0.24242424242424243</v>
      </c>
      <c r="AT36" s="1632">
        <v>22</v>
      </c>
      <c r="AU36" s="1633">
        <v>70</v>
      </c>
      <c r="AV36" s="1633">
        <v>20</v>
      </c>
      <c r="AW36" s="1633">
        <v>6</v>
      </c>
      <c r="AX36" s="1634">
        <f t="shared" ref="AX36" si="41">SUM(AX27,AX31,AX35)</f>
        <v>118</v>
      </c>
      <c r="AY36" s="1678">
        <f t="shared" si="7"/>
        <v>0.28260869565217389</v>
      </c>
      <c r="AZ36" s="1632">
        <v>27</v>
      </c>
      <c r="BA36" s="1633">
        <v>66</v>
      </c>
      <c r="BB36" s="1633">
        <v>18</v>
      </c>
      <c r="BC36" s="1633">
        <v>7</v>
      </c>
      <c r="BD36" s="1634">
        <v>118</v>
      </c>
      <c r="BE36" s="1678">
        <f t="shared" si="8"/>
        <v>0.26881720430107525</v>
      </c>
    </row>
    <row r="37" spans="1:57" ht="17.100000000000001" customHeight="1">
      <c r="A37" s="1684" t="s">
        <v>73</v>
      </c>
      <c r="B37" s="1606" t="s">
        <v>4</v>
      </c>
      <c r="C37" s="1607" t="s">
        <v>1173</v>
      </c>
      <c r="D37" s="1578"/>
      <c r="E37" s="1579">
        <v>16</v>
      </c>
      <c r="F37" s="1579">
        <v>16</v>
      </c>
      <c r="G37" s="1579">
        <v>11</v>
      </c>
      <c r="H37" s="1580">
        <f>SUM(D37:G37)</f>
        <v>43</v>
      </c>
      <c r="I37" s="1674">
        <f t="shared" si="0"/>
        <v>1.6875</v>
      </c>
      <c r="J37" s="1578">
        <v>1</v>
      </c>
      <c r="K37" s="1579">
        <v>16</v>
      </c>
      <c r="L37" s="1579">
        <v>16</v>
      </c>
      <c r="M37" s="1579">
        <v>11</v>
      </c>
      <c r="N37" s="1580">
        <f>SUM(J37:M37)</f>
        <v>44</v>
      </c>
      <c r="O37" s="1674">
        <f t="shared" si="1"/>
        <v>1.588235294117647</v>
      </c>
      <c r="P37" s="1578">
        <v>2</v>
      </c>
      <c r="Q37" s="1579">
        <v>16</v>
      </c>
      <c r="R37" s="1579">
        <v>15</v>
      </c>
      <c r="S37" s="1579">
        <v>11</v>
      </c>
      <c r="T37" s="1580">
        <f>SUM(P37:S37)</f>
        <v>44</v>
      </c>
      <c r="U37" s="1674">
        <f t="shared" si="2"/>
        <v>1.4444444444444444</v>
      </c>
      <c r="V37" s="1578">
        <v>3</v>
      </c>
      <c r="W37" s="1579">
        <v>16</v>
      </c>
      <c r="X37" s="1579">
        <v>17</v>
      </c>
      <c r="Y37" s="1579">
        <v>12</v>
      </c>
      <c r="Z37" s="1580">
        <f>SUM(V37:Y37)</f>
        <v>48</v>
      </c>
      <c r="AA37" s="1674">
        <f t="shared" si="3"/>
        <v>1.5263157894736843</v>
      </c>
      <c r="AB37" s="1578">
        <v>6</v>
      </c>
      <c r="AC37" s="1579">
        <v>16</v>
      </c>
      <c r="AD37" s="1579">
        <v>18</v>
      </c>
      <c r="AE37" s="1579">
        <v>13</v>
      </c>
      <c r="AF37" s="1580">
        <f t="shared" si="10"/>
        <v>53</v>
      </c>
      <c r="AG37" s="1674">
        <v>1</v>
      </c>
      <c r="AH37" s="1578">
        <v>8</v>
      </c>
      <c r="AI37" s="1579">
        <v>17</v>
      </c>
      <c r="AJ37" s="1579">
        <v>16</v>
      </c>
      <c r="AK37" s="1579">
        <v>13</v>
      </c>
      <c r="AL37" s="1580">
        <f t="shared" si="11"/>
        <v>54</v>
      </c>
      <c r="AM37" s="1674">
        <v>1</v>
      </c>
      <c r="AN37" s="1578">
        <v>8</v>
      </c>
      <c r="AO37" s="1579">
        <v>21</v>
      </c>
      <c r="AP37" s="1579">
        <v>17</v>
      </c>
      <c r="AQ37" s="1579">
        <v>13</v>
      </c>
      <c r="AR37" s="1580">
        <f>SUM(AN37:AQ37)</f>
        <v>59</v>
      </c>
      <c r="AS37" s="1674">
        <v>1</v>
      </c>
      <c r="AT37" s="1578">
        <v>7</v>
      </c>
      <c r="AU37" s="1579">
        <v>15</v>
      </c>
      <c r="AV37" s="1579">
        <v>17</v>
      </c>
      <c r="AW37" s="1579">
        <v>13</v>
      </c>
      <c r="AX37" s="1580">
        <f>SUM(AT37:AW37)</f>
        <v>52</v>
      </c>
      <c r="AY37" s="1674">
        <v>1</v>
      </c>
      <c r="AZ37" s="1578">
        <v>2</v>
      </c>
      <c r="BA37" s="1579">
        <v>15</v>
      </c>
      <c r="BB37" s="1579">
        <v>18</v>
      </c>
      <c r="BC37" s="1579">
        <v>13</v>
      </c>
      <c r="BD37" s="1580">
        <v>48</v>
      </c>
      <c r="BE37" s="1674">
        <v>1</v>
      </c>
    </row>
    <row r="38" spans="1:57" ht="17.100000000000001" customHeight="1">
      <c r="A38" s="1684" t="s">
        <v>73</v>
      </c>
      <c r="B38" s="1608" t="s">
        <v>4</v>
      </c>
      <c r="C38" s="1609" t="s">
        <v>1174</v>
      </c>
      <c r="D38" s="1581">
        <v>1</v>
      </c>
      <c r="E38" s="1582">
        <v>10</v>
      </c>
      <c r="F38" s="1582">
        <v>5</v>
      </c>
      <c r="G38" s="1582">
        <v>5</v>
      </c>
      <c r="H38" s="1586">
        <f>SUM(D38:G38)</f>
        <v>21</v>
      </c>
      <c r="I38" s="1674">
        <f t="shared" si="0"/>
        <v>0.90909090909090906</v>
      </c>
      <c r="J38" s="1581">
        <v>1</v>
      </c>
      <c r="K38" s="1582">
        <v>10</v>
      </c>
      <c r="L38" s="1582">
        <v>5</v>
      </c>
      <c r="M38" s="1582">
        <v>5</v>
      </c>
      <c r="N38" s="1586">
        <f>SUM(J38:M38)</f>
        <v>21</v>
      </c>
      <c r="O38" s="1674">
        <f t="shared" si="1"/>
        <v>0.90909090909090906</v>
      </c>
      <c r="P38" s="1581">
        <v>3</v>
      </c>
      <c r="Q38" s="1582">
        <v>13</v>
      </c>
      <c r="R38" s="1582">
        <v>5</v>
      </c>
      <c r="S38" s="1582">
        <v>5</v>
      </c>
      <c r="T38" s="1586">
        <f>SUM(P38:S38)</f>
        <v>26</v>
      </c>
      <c r="U38" s="1674">
        <f t="shared" si="2"/>
        <v>0.625</v>
      </c>
      <c r="V38" s="1581">
        <v>1</v>
      </c>
      <c r="W38" s="1582">
        <v>16</v>
      </c>
      <c r="X38" s="1582">
        <v>5</v>
      </c>
      <c r="Y38" s="1582">
        <v>6</v>
      </c>
      <c r="Z38" s="1586">
        <f>SUM(V38:Y38)</f>
        <v>28</v>
      </c>
      <c r="AA38" s="1674">
        <f t="shared" si="3"/>
        <v>0.6470588235294118</v>
      </c>
      <c r="AB38" s="1581"/>
      <c r="AC38" s="1582">
        <v>16</v>
      </c>
      <c r="AD38" s="1582">
        <v>4</v>
      </c>
      <c r="AE38" s="1582">
        <v>7</v>
      </c>
      <c r="AF38" s="1586">
        <f t="shared" si="10"/>
        <v>27</v>
      </c>
      <c r="AG38" s="1674">
        <f t="shared" si="4"/>
        <v>0.6875</v>
      </c>
      <c r="AH38" s="1581">
        <v>1</v>
      </c>
      <c r="AI38" s="1582">
        <v>16</v>
      </c>
      <c r="AJ38" s="1582">
        <v>4</v>
      </c>
      <c r="AK38" s="1582">
        <v>7</v>
      </c>
      <c r="AL38" s="1586">
        <f t="shared" si="11"/>
        <v>28</v>
      </c>
      <c r="AM38" s="1674">
        <f t="shared" si="5"/>
        <v>0.6470588235294118</v>
      </c>
      <c r="AN38" s="1581">
        <v>3</v>
      </c>
      <c r="AO38" s="1582">
        <v>16</v>
      </c>
      <c r="AP38" s="1582">
        <v>4</v>
      </c>
      <c r="AQ38" s="1582">
        <v>7</v>
      </c>
      <c r="AR38" s="1586">
        <f t="shared" ref="AR38:AR52" si="42">SUM(AN38:AQ38)</f>
        <v>30</v>
      </c>
      <c r="AS38" s="1674">
        <f t="shared" ref="AS38:AS48" si="43">(AP38+AQ38)/(AN38+AO38)</f>
        <v>0.57894736842105265</v>
      </c>
      <c r="AT38" s="1581">
        <v>3</v>
      </c>
      <c r="AU38" s="1582">
        <v>18</v>
      </c>
      <c r="AV38" s="1582">
        <v>4</v>
      </c>
      <c r="AW38" s="1582">
        <v>7</v>
      </c>
      <c r="AX38" s="1586">
        <f t="shared" ref="AX38:AX41" si="44">SUM(AT38:AW38)</f>
        <v>32</v>
      </c>
      <c r="AY38" s="1674">
        <f t="shared" ref="AY38:AY48" si="45">(AV38+AW38)/(AT38+AU38)</f>
        <v>0.52380952380952384</v>
      </c>
      <c r="AZ38" s="1581">
        <v>3</v>
      </c>
      <c r="BA38" s="1582">
        <v>16</v>
      </c>
      <c r="BB38" s="1582">
        <v>4</v>
      </c>
      <c r="BC38" s="1582">
        <v>7</v>
      </c>
      <c r="BD38" s="1586">
        <v>30</v>
      </c>
      <c r="BE38" s="1674">
        <f t="shared" ref="BE38:BE48" si="46">(BB38+BC38)/(AZ38+BA38)</f>
        <v>0.57894736842105265</v>
      </c>
    </row>
    <row r="39" spans="1:57" ht="17.100000000000001" customHeight="1">
      <c r="A39" s="1684" t="s">
        <v>73</v>
      </c>
      <c r="B39" s="1608" t="s">
        <v>4</v>
      </c>
      <c r="C39" s="1609" t="s">
        <v>1175</v>
      </c>
      <c r="D39" s="1581">
        <v>3</v>
      </c>
      <c r="E39" s="1582">
        <v>7</v>
      </c>
      <c r="F39" s="1582">
        <v>4</v>
      </c>
      <c r="G39" s="1582"/>
      <c r="H39" s="1586">
        <f>SUM(D39:G39)</f>
        <v>14</v>
      </c>
      <c r="I39" s="1674">
        <f t="shared" si="0"/>
        <v>0.4</v>
      </c>
      <c r="J39" s="1581">
        <v>2</v>
      </c>
      <c r="K39" s="1582">
        <v>7</v>
      </c>
      <c r="L39" s="1582">
        <v>4</v>
      </c>
      <c r="M39" s="1582"/>
      <c r="N39" s="1586">
        <f>SUM(J39:M39)</f>
        <v>13</v>
      </c>
      <c r="O39" s="1674">
        <f t="shared" si="1"/>
        <v>0.44444444444444442</v>
      </c>
      <c r="P39" s="1581">
        <v>3</v>
      </c>
      <c r="Q39" s="1582">
        <v>6</v>
      </c>
      <c r="R39" s="1582">
        <v>3</v>
      </c>
      <c r="S39" s="1582">
        <v>1</v>
      </c>
      <c r="T39" s="1586">
        <f>SUM(P39:S39)</f>
        <v>13</v>
      </c>
      <c r="U39" s="1674">
        <f t="shared" si="2"/>
        <v>0.44444444444444442</v>
      </c>
      <c r="V39" s="1581">
        <v>2</v>
      </c>
      <c r="W39" s="1582">
        <v>12</v>
      </c>
      <c r="X39" s="1582">
        <v>3</v>
      </c>
      <c r="Y39" s="1582">
        <v>1</v>
      </c>
      <c r="Z39" s="1586">
        <f>SUM(V39:Y39)</f>
        <v>18</v>
      </c>
      <c r="AA39" s="1674">
        <f t="shared" si="3"/>
        <v>0.2857142857142857</v>
      </c>
      <c r="AB39" s="1581">
        <v>2</v>
      </c>
      <c r="AC39" s="1582">
        <v>11</v>
      </c>
      <c r="AD39" s="1582">
        <v>3</v>
      </c>
      <c r="AE39" s="1582">
        <v>1</v>
      </c>
      <c r="AF39" s="1586">
        <f t="shared" si="10"/>
        <v>17</v>
      </c>
      <c r="AG39" s="1674">
        <f t="shared" si="4"/>
        <v>0.30769230769230771</v>
      </c>
      <c r="AH39" s="1581">
        <v>2</v>
      </c>
      <c r="AI39" s="1582">
        <v>18</v>
      </c>
      <c r="AJ39" s="1582">
        <v>3</v>
      </c>
      <c r="AK39" s="1582">
        <v>1</v>
      </c>
      <c r="AL39" s="1586">
        <f t="shared" si="11"/>
        <v>24</v>
      </c>
      <c r="AM39" s="1674">
        <f t="shared" si="5"/>
        <v>0.2</v>
      </c>
      <c r="AN39" s="1581">
        <v>1</v>
      </c>
      <c r="AO39" s="1582">
        <v>18</v>
      </c>
      <c r="AP39" s="1582">
        <v>3</v>
      </c>
      <c r="AQ39" s="1582">
        <v>1</v>
      </c>
      <c r="AR39" s="1586">
        <f t="shared" si="42"/>
        <v>23</v>
      </c>
      <c r="AS39" s="1674">
        <f t="shared" si="43"/>
        <v>0.21052631578947367</v>
      </c>
      <c r="AT39" s="1581">
        <v>0</v>
      </c>
      <c r="AU39" s="1582">
        <v>17</v>
      </c>
      <c r="AV39" s="1582">
        <v>2</v>
      </c>
      <c r="AW39" s="1582">
        <v>2</v>
      </c>
      <c r="AX39" s="1586">
        <f t="shared" si="44"/>
        <v>21</v>
      </c>
      <c r="AY39" s="1674">
        <f t="shared" si="45"/>
        <v>0.23529411764705882</v>
      </c>
      <c r="AZ39" s="1581">
        <v>1</v>
      </c>
      <c r="BA39" s="1582">
        <v>20</v>
      </c>
      <c r="BB39" s="1582">
        <v>2</v>
      </c>
      <c r="BC39" s="1582">
        <v>2</v>
      </c>
      <c r="BD39" s="1586">
        <v>25</v>
      </c>
      <c r="BE39" s="1674">
        <f t="shared" si="46"/>
        <v>0.19047619047619047</v>
      </c>
    </row>
    <row r="40" spans="1:57" ht="17.100000000000001" customHeight="1">
      <c r="A40" s="1684" t="s">
        <v>73</v>
      </c>
      <c r="B40" s="1608" t="s">
        <v>4</v>
      </c>
      <c r="C40" s="1609" t="s">
        <v>1176</v>
      </c>
      <c r="D40" s="1581">
        <v>1</v>
      </c>
      <c r="E40" s="1582">
        <v>20</v>
      </c>
      <c r="F40" s="1582">
        <v>6</v>
      </c>
      <c r="G40" s="1582">
        <v>11</v>
      </c>
      <c r="H40" s="1586">
        <f>SUM(D40:G40)</f>
        <v>38</v>
      </c>
      <c r="I40" s="1674">
        <f t="shared" si="0"/>
        <v>0.80952380952380953</v>
      </c>
      <c r="J40" s="1581">
        <v>1</v>
      </c>
      <c r="K40" s="1582">
        <v>20</v>
      </c>
      <c r="L40" s="1582">
        <v>6</v>
      </c>
      <c r="M40" s="1582">
        <v>10</v>
      </c>
      <c r="N40" s="1586">
        <f>SUM(J40:M40)</f>
        <v>37</v>
      </c>
      <c r="O40" s="1674">
        <f t="shared" si="1"/>
        <v>0.76190476190476186</v>
      </c>
      <c r="P40" s="1581">
        <v>2</v>
      </c>
      <c r="Q40" s="1582">
        <v>20</v>
      </c>
      <c r="R40" s="1582">
        <v>6</v>
      </c>
      <c r="S40" s="1582">
        <v>9</v>
      </c>
      <c r="T40" s="1586">
        <f>SUM(P40:S40)</f>
        <v>37</v>
      </c>
      <c r="U40" s="1674">
        <f t="shared" si="2"/>
        <v>0.68181818181818177</v>
      </c>
      <c r="V40" s="1581">
        <v>6</v>
      </c>
      <c r="W40" s="1582">
        <v>16</v>
      </c>
      <c r="X40" s="1582">
        <v>8</v>
      </c>
      <c r="Y40" s="1582">
        <v>13</v>
      </c>
      <c r="Z40" s="1586">
        <f>SUM(V40:Y40)</f>
        <v>43</v>
      </c>
      <c r="AA40" s="1674">
        <f t="shared" si="3"/>
        <v>0.95454545454545459</v>
      </c>
      <c r="AB40" s="1581">
        <v>8</v>
      </c>
      <c r="AC40" s="1582">
        <v>19</v>
      </c>
      <c r="AD40" s="1582">
        <v>6</v>
      </c>
      <c r="AE40" s="1582">
        <v>12</v>
      </c>
      <c r="AF40" s="1586">
        <f t="shared" si="10"/>
        <v>45</v>
      </c>
      <c r="AG40" s="1674">
        <f t="shared" si="4"/>
        <v>0.66666666666666663</v>
      </c>
      <c r="AH40" s="1581">
        <v>6</v>
      </c>
      <c r="AI40" s="1582">
        <v>19</v>
      </c>
      <c r="AJ40" s="1582">
        <v>6</v>
      </c>
      <c r="AK40" s="1582">
        <v>11</v>
      </c>
      <c r="AL40" s="1586">
        <f t="shared" si="11"/>
        <v>42</v>
      </c>
      <c r="AM40" s="1674">
        <f t="shared" si="5"/>
        <v>0.68</v>
      </c>
      <c r="AN40" s="1581">
        <v>4</v>
      </c>
      <c r="AO40" s="1582">
        <v>25</v>
      </c>
      <c r="AP40" s="1582">
        <v>6</v>
      </c>
      <c r="AQ40" s="1582">
        <v>11</v>
      </c>
      <c r="AR40" s="1586">
        <f t="shared" si="42"/>
        <v>46</v>
      </c>
      <c r="AS40" s="1674">
        <f t="shared" si="43"/>
        <v>0.58620689655172409</v>
      </c>
      <c r="AT40" s="1581">
        <v>6</v>
      </c>
      <c r="AU40" s="1582">
        <v>23</v>
      </c>
      <c r="AV40" s="1582">
        <v>6</v>
      </c>
      <c r="AW40" s="1582">
        <v>11</v>
      </c>
      <c r="AX40" s="1586">
        <f t="shared" si="44"/>
        <v>46</v>
      </c>
      <c r="AY40" s="1674">
        <f t="shared" si="45"/>
        <v>0.58620689655172409</v>
      </c>
      <c r="AZ40" s="1581">
        <v>7</v>
      </c>
      <c r="BA40" s="1582">
        <v>19</v>
      </c>
      <c r="BB40" s="1582">
        <v>7</v>
      </c>
      <c r="BC40" s="1582">
        <v>11</v>
      </c>
      <c r="BD40" s="1586">
        <v>44</v>
      </c>
      <c r="BE40" s="1674">
        <f t="shared" si="46"/>
        <v>0.69230769230769229</v>
      </c>
    </row>
    <row r="41" spans="1:57" ht="17.100000000000001" customHeight="1" thickBot="1">
      <c r="A41" s="1689" t="s">
        <v>73</v>
      </c>
      <c r="B41" s="1615" t="s">
        <v>4</v>
      </c>
      <c r="C41" s="1616" t="s">
        <v>1177</v>
      </c>
      <c r="D41" s="1581">
        <v>3</v>
      </c>
      <c r="E41" s="1582">
        <v>19</v>
      </c>
      <c r="F41" s="1582">
        <v>10</v>
      </c>
      <c r="G41" s="1582">
        <v>15</v>
      </c>
      <c r="H41" s="1586">
        <f>SUM(D41:G41)</f>
        <v>47</v>
      </c>
      <c r="I41" s="1674">
        <f t="shared" si="0"/>
        <v>1.1363636363636365</v>
      </c>
      <c r="J41" s="1581">
        <v>4</v>
      </c>
      <c r="K41" s="1582">
        <v>18</v>
      </c>
      <c r="L41" s="1582">
        <v>10</v>
      </c>
      <c r="M41" s="1582">
        <v>14</v>
      </c>
      <c r="N41" s="1586">
        <f>SUM(J41:M41)</f>
        <v>46</v>
      </c>
      <c r="O41" s="1674">
        <f t="shared" si="1"/>
        <v>1.0909090909090908</v>
      </c>
      <c r="P41" s="1581">
        <v>3</v>
      </c>
      <c r="Q41" s="1582">
        <v>19</v>
      </c>
      <c r="R41" s="1582">
        <v>8</v>
      </c>
      <c r="S41" s="1582">
        <v>16</v>
      </c>
      <c r="T41" s="1586">
        <f>SUM(P41:S41)</f>
        <v>46</v>
      </c>
      <c r="U41" s="1674">
        <f t="shared" si="2"/>
        <v>1.0909090909090908</v>
      </c>
      <c r="V41" s="1581">
        <v>10</v>
      </c>
      <c r="W41" s="1582">
        <v>21</v>
      </c>
      <c r="X41" s="1582">
        <v>7</v>
      </c>
      <c r="Y41" s="1582">
        <v>18</v>
      </c>
      <c r="Z41" s="1586">
        <f>SUM(V41:Y41)</f>
        <v>56</v>
      </c>
      <c r="AA41" s="1674">
        <f t="shared" si="3"/>
        <v>0.80645161290322576</v>
      </c>
      <c r="AB41" s="1581">
        <v>9</v>
      </c>
      <c r="AC41" s="1582">
        <v>23</v>
      </c>
      <c r="AD41" s="1582">
        <v>9</v>
      </c>
      <c r="AE41" s="1582">
        <v>18</v>
      </c>
      <c r="AF41" s="1586">
        <f t="shared" si="10"/>
        <v>59</v>
      </c>
      <c r="AG41" s="1674">
        <f t="shared" si="4"/>
        <v>0.84375</v>
      </c>
      <c r="AH41" s="1581">
        <v>8</v>
      </c>
      <c r="AI41" s="1582">
        <v>24</v>
      </c>
      <c r="AJ41" s="1582">
        <v>10</v>
      </c>
      <c r="AK41" s="1582">
        <v>18</v>
      </c>
      <c r="AL41" s="1586">
        <f t="shared" si="11"/>
        <v>60</v>
      </c>
      <c r="AM41" s="1674">
        <f t="shared" si="5"/>
        <v>0.875</v>
      </c>
      <c r="AN41" s="1581">
        <v>11</v>
      </c>
      <c r="AO41" s="1582">
        <v>28</v>
      </c>
      <c r="AP41" s="1582">
        <v>9</v>
      </c>
      <c r="AQ41" s="1582">
        <v>19</v>
      </c>
      <c r="AR41" s="1586">
        <f t="shared" si="42"/>
        <v>67</v>
      </c>
      <c r="AS41" s="1674">
        <f t="shared" si="43"/>
        <v>0.71794871794871795</v>
      </c>
      <c r="AT41" s="1581">
        <v>9</v>
      </c>
      <c r="AU41" s="1582">
        <v>28</v>
      </c>
      <c r="AV41" s="1582">
        <v>7</v>
      </c>
      <c r="AW41" s="1582">
        <v>20</v>
      </c>
      <c r="AX41" s="1586">
        <f t="shared" si="44"/>
        <v>64</v>
      </c>
      <c r="AY41" s="1674">
        <f t="shared" si="45"/>
        <v>0.72972972972972971</v>
      </c>
      <c r="AZ41" s="1581">
        <v>7</v>
      </c>
      <c r="BA41" s="1582">
        <v>34</v>
      </c>
      <c r="BB41" s="1582">
        <v>4</v>
      </c>
      <c r="BC41" s="1582">
        <v>20</v>
      </c>
      <c r="BD41" s="1586">
        <v>65</v>
      </c>
      <c r="BE41" s="1674">
        <f t="shared" si="46"/>
        <v>0.58536585365853655</v>
      </c>
    </row>
    <row r="42" spans="1:57" ht="17.100000000000001" customHeight="1" thickBot="1">
      <c r="A42" s="5227" t="s">
        <v>1647</v>
      </c>
      <c r="B42" s="5228"/>
      <c r="C42" s="5229"/>
      <c r="D42" s="1583">
        <f>SUM(D37:D41)</f>
        <v>8</v>
      </c>
      <c r="E42" s="1584">
        <f>SUM(E37:E41)</f>
        <v>72</v>
      </c>
      <c r="F42" s="1584">
        <f>SUM(F37:F41)</f>
        <v>41</v>
      </c>
      <c r="G42" s="1584">
        <f>SUM(G37:G41)</f>
        <v>42</v>
      </c>
      <c r="H42" s="1585">
        <f>SUM(H37:H41)</f>
        <v>163</v>
      </c>
      <c r="I42" s="1675">
        <f t="shared" si="0"/>
        <v>1.0375000000000001</v>
      </c>
      <c r="J42" s="1583">
        <f>SUM(J37:J41)</f>
        <v>9</v>
      </c>
      <c r="K42" s="1584">
        <f>SUM(K37:K41)</f>
        <v>71</v>
      </c>
      <c r="L42" s="1584">
        <f>SUM(L37:L41)</f>
        <v>41</v>
      </c>
      <c r="M42" s="1584">
        <f>SUM(M37:M41)</f>
        <v>40</v>
      </c>
      <c r="N42" s="1585">
        <f>SUM(N37:N41)</f>
        <v>161</v>
      </c>
      <c r="O42" s="1675">
        <f t="shared" si="1"/>
        <v>1.0125</v>
      </c>
      <c r="P42" s="1583">
        <f>SUM(P37:P41)</f>
        <v>13</v>
      </c>
      <c r="Q42" s="1584">
        <f>SUM(Q37:Q41)</f>
        <v>74</v>
      </c>
      <c r="R42" s="1584">
        <f>SUM(R37:R41)</f>
        <v>37</v>
      </c>
      <c r="S42" s="1584">
        <f>SUM(S37:S41)</f>
        <v>42</v>
      </c>
      <c r="T42" s="1585">
        <f>SUM(T37:T41)</f>
        <v>166</v>
      </c>
      <c r="U42" s="1675">
        <f t="shared" si="2"/>
        <v>0.90804597701149425</v>
      </c>
      <c r="V42" s="1583">
        <f>SUM(V37:V41)</f>
        <v>22</v>
      </c>
      <c r="W42" s="1584">
        <f>SUM(W37:W41)</f>
        <v>81</v>
      </c>
      <c r="X42" s="1584">
        <f>SUM(X37:X41)</f>
        <v>40</v>
      </c>
      <c r="Y42" s="1584">
        <f>SUM(Y37:Y41)</f>
        <v>50</v>
      </c>
      <c r="Z42" s="1585">
        <f>SUM(Z37:Z41)</f>
        <v>193</v>
      </c>
      <c r="AA42" s="1675">
        <f t="shared" si="3"/>
        <v>0.87378640776699024</v>
      </c>
      <c r="AB42" s="1583">
        <f>SUM(AB37:AB41)</f>
        <v>25</v>
      </c>
      <c r="AC42" s="1584">
        <f>SUM(AC37:AC41)</f>
        <v>85</v>
      </c>
      <c r="AD42" s="1584">
        <f>SUM(AD37:AD41)</f>
        <v>40</v>
      </c>
      <c r="AE42" s="1584">
        <f>SUM(AE37:AE41)</f>
        <v>51</v>
      </c>
      <c r="AF42" s="1585">
        <f t="shared" si="10"/>
        <v>201</v>
      </c>
      <c r="AG42" s="1675">
        <f t="shared" si="4"/>
        <v>0.82727272727272727</v>
      </c>
      <c r="AH42" s="1583">
        <v>25</v>
      </c>
      <c r="AI42" s="1584">
        <v>94</v>
      </c>
      <c r="AJ42" s="1584">
        <v>39</v>
      </c>
      <c r="AK42" s="1584">
        <v>50</v>
      </c>
      <c r="AL42" s="1585">
        <f t="shared" si="11"/>
        <v>208</v>
      </c>
      <c r="AM42" s="1675">
        <f t="shared" si="5"/>
        <v>0.74789915966386555</v>
      </c>
      <c r="AN42" s="1583">
        <f>SUM(AN37:AN41)</f>
        <v>27</v>
      </c>
      <c r="AO42" s="1584">
        <f t="shared" ref="AO42:AR42" si="47">SUM(AO37:AO41)</f>
        <v>108</v>
      </c>
      <c r="AP42" s="1584">
        <f t="shared" si="47"/>
        <v>39</v>
      </c>
      <c r="AQ42" s="1584">
        <f t="shared" si="47"/>
        <v>51</v>
      </c>
      <c r="AR42" s="1585">
        <f t="shared" si="47"/>
        <v>225</v>
      </c>
      <c r="AS42" s="1675">
        <f t="shared" si="43"/>
        <v>0.66666666666666663</v>
      </c>
      <c r="AT42" s="1583">
        <v>25</v>
      </c>
      <c r="AU42" s="1584">
        <v>101</v>
      </c>
      <c r="AV42" s="1584">
        <v>36</v>
      </c>
      <c r="AW42" s="1584">
        <v>53</v>
      </c>
      <c r="AX42" s="1585">
        <f t="shared" ref="AX42" si="48">SUM(AX37:AX41)</f>
        <v>215</v>
      </c>
      <c r="AY42" s="1675">
        <f t="shared" si="45"/>
        <v>0.70634920634920639</v>
      </c>
      <c r="AZ42" s="1583">
        <v>20</v>
      </c>
      <c r="BA42" s="1584">
        <v>104</v>
      </c>
      <c r="BB42" s="1584">
        <v>35</v>
      </c>
      <c r="BC42" s="1584">
        <v>53</v>
      </c>
      <c r="BD42" s="1585">
        <v>212</v>
      </c>
      <c r="BE42" s="1675">
        <f t="shared" si="46"/>
        <v>0.70967741935483875</v>
      </c>
    </row>
    <row r="43" spans="1:57" ht="17.100000000000001" customHeight="1">
      <c r="A43" s="1688" t="s">
        <v>73</v>
      </c>
      <c r="B43" s="1617" t="s">
        <v>41</v>
      </c>
      <c r="C43" s="1631" t="s">
        <v>1178</v>
      </c>
      <c r="D43" s="1581">
        <v>3</v>
      </c>
      <c r="E43" s="1582">
        <v>12</v>
      </c>
      <c r="F43" s="1582">
        <v>1</v>
      </c>
      <c r="G43" s="1610"/>
      <c r="H43" s="1611">
        <f>SUM(D43:G43)</f>
        <v>16</v>
      </c>
      <c r="I43" s="1674">
        <f t="shared" si="0"/>
        <v>6.6666666666666666E-2</v>
      </c>
      <c r="J43" s="1581">
        <v>4</v>
      </c>
      <c r="K43" s="1582">
        <v>14</v>
      </c>
      <c r="L43" s="1582">
        <v>1</v>
      </c>
      <c r="M43" s="1610"/>
      <c r="N43" s="1611">
        <f>SUM(J43:M43)</f>
        <v>19</v>
      </c>
      <c r="O43" s="1674">
        <f t="shared" si="1"/>
        <v>5.5555555555555552E-2</v>
      </c>
      <c r="P43" s="1581">
        <v>4</v>
      </c>
      <c r="Q43" s="1582">
        <v>13</v>
      </c>
      <c r="R43" s="1582">
        <v>2</v>
      </c>
      <c r="S43" s="1610"/>
      <c r="T43" s="1611">
        <f>SUM(P43:S43)</f>
        <v>19</v>
      </c>
      <c r="U43" s="1674">
        <f t="shared" si="2"/>
        <v>0.11764705882352941</v>
      </c>
      <c r="V43" s="1581">
        <v>2</v>
      </c>
      <c r="W43" s="1582">
        <v>12</v>
      </c>
      <c r="X43" s="1582">
        <v>3</v>
      </c>
      <c r="Y43" s="1610"/>
      <c r="Z43" s="1611">
        <f>SUM(V43:Y43)</f>
        <v>17</v>
      </c>
      <c r="AA43" s="1674">
        <f t="shared" si="3"/>
        <v>0.21428571428571427</v>
      </c>
      <c r="AB43" s="1581">
        <v>2</v>
      </c>
      <c r="AC43" s="1582">
        <v>10</v>
      </c>
      <c r="AD43" s="1582">
        <v>3</v>
      </c>
      <c r="AE43" s="1610"/>
      <c r="AF43" s="1611">
        <f t="shared" si="10"/>
        <v>15</v>
      </c>
      <c r="AG43" s="1674">
        <f t="shared" si="4"/>
        <v>0.25</v>
      </c>
      <c r="AH43" s="1581"/>
      <c r="AI43" s="1582">
        <v>11</v>
      </c>
      <c r="AJ43" s="1582">
        <v>2</v>
      </c>
      <c r="AK43" s="1610"/>
      <c r="AL43" s="1611">
        <f t="shared" si="11"/>
        <v>13</v>
      </c>
      <c r="AM43" s="1674">
        <f t="shared" si="5"/>
        <v>0.18181818181818182</v>
      </c>
      <c r="AN43" s="1581">
        <v>2</v>
      </c>
      <c r="AO43" s="1582">
        <v>10</v>
      </c>
      <c r="AP43" s="1582">
        <v>2</v>
      </c>
      <c r="AQ43" s="1610"/>
      <c r="AR43" s="1611">
        <f t="shared" si="42"/>
        <v>14</v>
      </c>
      <c r="AS43" s="1674">
        <f t="shared" si="43"/>
        <v>0.16666666666666666</v>
      </c>
      <c r="AT43" s="1581">
        <v>1</v>
      </c>
      <c r="AU43" s="1582">
        <v>12</v>
      </c>
      <c r="AV43" s="1582">
        <v>2</v>
      </c>
      <c r="AW43" s="1610">
        <v>0</v>
      </c>
      <c r="AX43" s="1611">
        <f t="shared" ref="AX43:AX47" si="49">SUM(AT43:AW43)</f>
        <v>15</v>
      </c>
      <c r="AY43" s="1674">
        <f t="shared" si="45"/>
        <v>0.15384615384615385</v>
      </c>
      <c r="AZ43" s="1581">
        <v>3</v>
      </c>
      <c r="BA43" s="1582">
        <v>13</v>
      </c>
      <c r="BB43" s="1582">
        <v>2</v>
      </c>
      <c r="BC43" s="1610">
        <v>0</v>
      </c>
      <c r="BD43" s="1611">
        <v>18</v>
      </c>
      <c r="BE43" s="1674">
        <f t="shared" si="46"/>
        <v>0.125</v>
      </c>
    </row>
    <row r="44" spans="1:57" ht="17.100000000000001" customHeight="1">
      <c r="A44" s="1684" t="s">
        <v>73</v>
      </c>
      <c r="B44" s="1608" t="s">
        <v>41</v>
      </c>
      <c r="C44" s="1609" t="s">
        <v>1210</v>
      </c>
      <c r="D44" s="1614">
        <v>1</v>
      </c>
      <c r="E44" s="1582">
        <v>13</v>
      </c>
      <c r="F44" s="1610"/>
      <c r="G44" s="1582">
        <v>3</v>
      </c>
      <c r="H44" s="1586">
        <f>SUM(D44:G44)</f>
        <v>17</v>
      </c>
      <c r="I44" s="1674">
        <f t="shared" si="0"/>
        <v>0.21428571428571427</v>
      </c>
      <c r="J44" s="1614">
        <v>1</v>
      </c>
      <c r="K44" s="1582">
        <v>13</v>
      </c>
      <c r="L44" s="1610"/>
      <c r="M44" s="1582">
        <v>3</v>
      </c>
      <c r="N44" s="1586">
        <f>SUM(J44:M44)</f>
        <v>17</v>
      </c>
      <c r="O44" s="1674">
        <f t="shared" si="1"/>
        <v>0.21428571428571427</v>
      </c>
      <c r="P44" s="1614">
        <v>2</v>
      </c>
      <c r="Q44" s="1582">
        <v>14</v>
      </c>
      <c r="R44" s="1610"/>
      <c r="S44" s="1582">
        <v>3</v>
      </c>
      <c r="T44" s="1586">
        <f>SUM(P44:S44)</f>
        <v>19</v>
      </c>
      <c r="U44" s="1674">
        <f t="shared" si="2"/>
        <v>0.1875</v>
      </c>
      <c r="V44" s="1614">
        <v>3</v>
      </c>
      <c r="W44" s="1582">
        <v>12</v>
      </c>
      <c r="X44" s="1610">
        <v>2</v>
      </c>
      <c r="Y44" s="1582">
        <v>3</v>
      </c>
      <c r="Z44" s="1586">
        <f>SUM(V44:Y44)</f>
        <v>20</v>
      </c>
      <c r="AA44" s="1674">
        <f t="shared" si="3"/>
        <v>0.33333333333333331</v>
      </c>
      <c r="AB44" s="1614">
        <v>3</v>
      </c>
      <c r="AC44" s="1582">
        <v>11</v>
      </c>
      <c r="AD44" s="1610">
        <v>2</v>
      </c>
      <c r="AE44" s="1582">
        <v>3</v>
      </c>
      <c r="AF44" s="1586">
        <f t="shared" si="10"/>
        <v>19</v>
      </c>
      <c r="AG44" s="1674">
        <f t="shared" si="4"/>
        <v>0.35714285714285715</v>
      </c>
      <c r="AH44" s="1614">
        <v>3</v>
      </c>
      <c r="AI44" s="1582">
        <v>11</v>
      </c>
      <c r="AJ44" s="1610">
        <v>2</v>
      </c>
      <c r="AK44" s="1582">
        <v>3</v>
      </c>
      <c r="AL44" s="1586">
        <f t="shared" si="11"/>
        <v>19</v>
      </c>
      <c r="AM44" s="1674">
        <f t="shared" si="5"/>
        <v>0.35714285714285715</v>
      </c>
      <c r="AN44" s="1614">
        <v>7</v>
      </c>
      <c r="AO44" s="1582">
        <v>10</v>
      </c>
      <c r="AP44" s="1610">
        <v>2</v>
      </c>
      <c r="AQ44" s="1582">
        <v>1</v>
      </c>
      <c r="AR44" s="1586">
        <f t="shared" si="42"/>
        <v>20</v>
      </c>
      <c r="AS44" s="1674">
        <f t="shared" si="43"/>
        <v>0.17647058823529413</v>
      </c>
      <c r="AT44" s="1614">
        <v>5</v>
      </c>
      <c r="AU44" s="1582">
        <v>11</v>
      </c>
      <c r="AV44" s="1610">
        <v>2</v>
      </c>
      <c r="AW44" s="1582">
        <v>2</v>
      </c>
      <c r="AX44" s="1586">
        <f t="shared" si="49"/>
        <v>20</v>
      </c>
      <c r="AY44" s="1674">
        <f t="shared" si="45"/>
        <v>0.25</v>
      </c>
      <c r="AZ44" s="1614">
        <v>3</v>
      </c>
      <c r="BA44" s="1582">
        <v>10</v>
      </c>
      <c r="BB44" s="1610">
        <v>3</v>
      </c>
      <c r="BC44" s="1582">
        <v>1</v>
      </c>
      <c r="BD44" s="1586">
        <v>17</v>
      </c>
      <c r="BE44" s="1674">
        <f t="shared" si="46"/>
        <v>0.30769230769230771</v>
      </c>
    </row>
    <row r="45" spans="1:57" ht="17.100000000000001" customHeight="1">
      <c r="A45" s="1684" t="s">
        <v>73</v>
      </c>
      <c r="B45" s="1608" t="s">
        <v>41</v>
      </c>
      <c r="C45" s="1609" t="s">
        <v>1180</v>
      </c>
      <c r="D45" s="1581">
        <v>8</v>
      </c>
      <c r="E45" s="1582">
        <v>16</v>
      </c>
      <c r="F45" s="1582">
        <v>7</v>
      </c>
      <c r="G45" s="1582">
        <v>8</v>
      </c>
      <c r="H45" s="1586">
        <f>SUM(D45:G45)</f>
        <v>39</v>
      </c>
      <c r="I45" s="1674">
        <f t="shared" si="0"/>
        <v>0.625</v>
      </c>
      <c r="J45" s="1581">
        <v>4</v>
      </c>
      <c r="K45" s="1582">
        <v>15</v>
      </c>
      <c r="L45" s="1582">
        <v>7</v>
      </c>
      <c r="M45" s="1582">
        <v>8</v>
      </c>
      <c r="N45" s="1586">
        <f>SUM(J45:M45)</f>
        <v>34</v>
      </c>
      <c r="O45" s="1674">
        <f t="shared" si="1"/>
        <v>0.78947368421052633</v>
      </c>
      <c r="P45" s="1581">
        <v>3</v>
      </c>
      <c r="Q45" s="1582">
        <v>13</v>
      </c>
      <c r="R45" s="1582">
        <v>10</v>
      </c>
      <c r="S45" s="1582">
        <v>8</v>
      </c>
      <c r="T45" s="1586">
        <f>SUM(P45:S45)</f>
        <v>34</v>
      </c>
      <c r="U45" s="1674">
        <f t="shared" si="2"/>
        <v>1.125</v>
      </c>
      <c r="V45" s="1581">
        <v>9</v>
      </c>
      <c r="W45" s="1582">
        <v>13</v>
      </c>
      <c r="X45" s="1582">
        <v>11</v>
      </c>
      <c r="Y45" s="1582">
        <v>8</v>
      </c>
      <c r="Z45" s="1586">
        <f>SUM(V45:Y45)</f>
        <v>41</v>
      </c>
      <c r="AA45" s="1674">
        <f t="shared" si="3"/>
        <v>0.86363636363636365</v>
      </c>
      <c r="AB45" s="1581">
        <v>6</v>
      </c>
      <c r="AC45" s="1582">
        <v>14</v>
      </c>
      <c r="AD45" s="1582">
        <v>12</v>
      </c>
      <c r="AE45" s="1582">
        <v>8</v>
      </c>
      <c r="AF45" s="1586">
        <f t="shared" si="10"/>
        <v>40</v>
      </c>
      <c r="AG45" s="1674">
        <f t="shared" si="4"/>
        <v>1</v>
      </c>
      <c r="AH45" s="1581">
        <v>7</v>
      </c>
      <c r="AI45" s="1582">
        <v>15</v>
      </c>
      <c r="AJ45" s="1582">
        <v>11</v>
      </c>
      <c r="AK45" s="1582">
        <v>9</v>
      </c>
      <c r="AL45" s="1586">
        <f t="shared" si="11"/>
        <v>42</v>
      </c>
      <c r="AM45" s="1674">
        <f t="shared" si="5"/>
        <v>0.90909090909090906</v>
      </c>
      <c r="AN45" s="1581">
        <v>9</v>
      </c>
      <c r="AO45" s="1582">
        <v>16</v>
      </c>
      <c r="AP45" s="1582">
        <v>11</v>
      </c>
      <c r="AQ45" s="1582">
        <v>9</v>
      </c>
      <c r="AR45" s="1586">
        <f t="shared" si="42"/>
        <v>45</v>
      </c>
      <c r="AS45" s="1674">
        <f t="shared" si="43"/>
        <v>0.8</v>
      </c>
      <c r="AT45" s="1581">
        <v>10</v>
      </c>
      <c r="AU45" s="1582">
        <v>14</v>
      </c>
      <c r="AV45" s="1582">
        <v>14</v>
      </c>
      <c r="AW45" s="1582">
        <v>9</v>
      </c>
      <c r="AX45" s="1586">
        <f t="shared" si="49"/>
        <v>47</v>
      </c>
      <c r="AY45" s="1674">
        <f t="shared" si="45"/>
        <v>0.95833333333333337</v>
      </c>
      <c r="AZ45" s="1581">
        <v>5</v>
      </c>
      <c r="BA45" s="1582">
        <v>13</v>
      </c>
      <c r="BB45" s="1582">
        <v>12</v>
      </c>
      <c r="BC45" s="1582">
        <v>8</v>
      </c>
      <c r="BD45" s="1586">
        <v>38</v>
      </c>
      <c r="BE45" s="1674">
        <f t="shared" si="46"/>
        <v>1.1111111111111112</v>
      </c>
    </row>
    <row r="46" spans="1:57" ht="17.100000000000001" customHeight="1">
      <c r="A46" s="1684" t="s">
        <v>73</v>
      </c>
      <c r="B46" s="1608" t="s">
        <v>41</v>
      </c>
      <c r="C46" s="1609" t="s">
        <v>1181</v>
      </c>
      <c r="D46" s="1581">
        <v>3</v>
      </c>
      <c r="E46" s="1582">
        <v>21</v>
      </c>
      <c r="F46" s="1582">
        <v>3</v>
      </c>
      <c r="G46" s="1610">
        <v>2</v>
      </c>
      <c r="H46" s="1611">
        <f>SUM(D46:G46)</f>
        <v>29</v>
      </c>
      <c r="I46" s="1674">
        <f t="shared" si="0"/>
        <v>0.20833333333333334</v>
      </c>
      <c r="J46" s="1581">
        <v>3</v>
      </c>
      <c r="K46" s="1582">
        <v>20</v>
      </c>
      <c r="L46" s="1582">
        <v>3</v>
      </c>
      <c r="M46" s="1610">
        <v>2</v>
      </c>
      <c r="N46" s="1611">
        <f>SUM(J46:M46)</f>
        <v>28</v>
      </c>
      <c r="O46" s="1674">
        <f t="shared" si="1"/>
        <v>0.21739130434782608</v>
      </c>
      <c r="P46" s="1581">
        <v>1</v>
      </c>
      <c r="Q46" s="1582">
        <v>18</v>
      </c>
      <c r="R46" s="1582">
        <v>3</v>
      </c>
      <c r="S46" s="1610">
        <v>2</v>
      </c>
      <c r="T46" s="1611">
        <f>SUM(P46:S46)</f>
        <v>24</v>
      </c>
      <c r="U46" s="1674">
        <f t="shared" si="2"/>
        <v>0.26315789473684209</v>
      </c>
      <c r="V46" s="1581">
        <v>2</v>
      </c>
      <c r="W46" s="1582">
        <v>18</v>
      </c>
      <c r="X46" s="1582">
        <v>6</v>
      </c>
      <c r="Y46" s="1610">
        <v>2</v>
      </c>
      <c r="Z46" s="1611">
        <f>SUM(V46:Y46)</f>
        <v>28</v>
      </c>
      <c r="AA46" s="1674">
        <f t="shared" si="3"/>
        <v>0.4</v>
      </c>
      <c r="AB46" s="1581">
        <v>6</v>
      </c>
      <c r="AC46" s="1582">
        <v>19</v>
      </c>
      <c r="AD46" s="1582">
        <v>6</v>
      </c>
      <c r="AE46" s="1610">
        <v>2</v>
      </c>
      <c r="AF46" s="1611">
        <f t="shared" si="10"/>
        <v>33</v>
      </c>
      <c r="AG46" s="1674">
        <f t="shared" si="4"/>
        <v>0.32</v>
      </c>
      <c r="AH46" s="1581">
        <v>8</v>
      </c>
      <c r="AI46" s="1582">
        <v>21</v>
      </c>
      <c r="AJ46" s="1582">
        <v>6</v>
      </c>
      <c r="AK46" s="1610">
        <v>2</v>
      </c>
      <c r="AL46" s="1611">
        <f t="shared" si="11"/>
        <v>37</v>
      </c>
      <c r="AM46" s="1674">
        <f t="shared" si="5"/>
        <v>0.27586206896551724</v>
      </c>
      <c r="AN46" s="1581">
        <v>8</v>
      </c>
      <c r="AO46" s="1582">
        <v>20</v>
      </c>
      <c r="AP46" s="1582">
        <v>6</v>
      </c>
      <c r="AQ46" s="1610">
        <v>4</v>
      </c>
      <c r="AR46" s="1611">
        <f t="shared" si="42"/>
        <v>38</v>
      </c>
      <c r="AS46" s="1674">
        <f t="shared" si="43"/>
        <v>0.35714285714285715</v>
      </c>
      <c r="AT46" s="1581">
        <v>8</v>
      </c>
      <c r="AU46" s="1582">
        <v>20</v>
      </c>
      <c r="AV46" s="1582">
        <v>4</v>
      </c>
      <c r="AW46" s="1610">
        <v>6</v>
      </c>
      <c r="AX46" s="1611">
        <f t="shared" si="49"/>
        <v>38</v>
      </c>
      <c r="AY46" s="1674">
        <f t="shared" si="45"/>
        <v>0.35714285714285715</v>
      </c>
      <c r="AZ46" s="1581">
        <v>3</v>
      </c>
      <c r="BA46" s="1582">
        <v>21</v>
      </c>
      <c r="BB46" s="1582">
        <v>4</v>
      </c>
      <c r="BC46" s="1610">
        <v>6</v>
      </c>
      <c r="BD46" s="1611">
        <v>34</v>
      </c>
      <c r="BE46" s="1674">
        <f t="shared" si="46"/>
        <v>0.41666666666666669</v>
      </c>
    </row>
    <row r="47" spans="1:57" ht="17.100000000000001" customHeight="1" thickBot="1">
      <c r="A47" s="1689" t="s">
        <v>73</v>
      </c>
      <c r="B47" s="1615" t="s">
        <v>41</v>
      </c>
      <c r="C47" s="1616" t="s">
        <v>1182</v>
      </c>
      <c r="D47" s="1614">
        <v>6</v>
      </c>
      <c r="E47" s="1582">
        <v>6</v>
      </c>
      <c r="F47" s="1582">
        <v>1</v>
      </c>
      <c r="G47" s="1610"/>
      <c r="H47" s="1611">
        <f>SUM(D47:G47)</f>
        <v>13</v>
      </c>
      <c r="I47" s="1674">
        <f t="shared" si="0"/>
        <v>8.3333333333333329E-2</v>
      </c>
      <c r="J47" s="1614">
        <v>5</v>
      </c>
      <c r="K47" s="1582">
        <v>6</v>
      </c>
      <c r="L47" s="1582">
        <v>1</v>
      </c>
      <c r="M47" s="1610"/>
      <c r="N47" s="1611">
        <f>SUM(J47:M47)</f>
        <v>12</v>
      </c>
      <c r="O47" s="1674">
        <f t="shared" si="1"/>
        <v>9.0909090909090912E-2</v>
      </c>
      <c r="P47" s="1614">
        <v>6</v>
      </c>
      <c r="Q47" s="1582">
        <v>6</v>
      </c>
      <c r="R47" s="1582">
        <v>2</v>
      </c>
      <c r="S47" s="1610"/>
      <c r="T47" s="1611">
        <f>SUM(P47:S47)</f>
        <v>14</v>
      </c>
      <c r="U47" s="1674">
        <f t="shared" si="2"/>
        <v>0.16666666666666666</v>
      </c>
      <c r="V47" s="1614">
        <v>3</v>
      </c>
      <c r="W47" s="1582">
        <v>7</v>
      </c>
      <c r="X47" s="1582">
        <v>4</v>
      </c>
      <c r="Y47" s="1610"/>
      <c r="Z47" s="1611">
        <f>SUM(V47:Y47)</f>
        <v>14</v>
      </c>
      <c r="AA47" s="1674">
        <f t="shared" si="3"/>
        <v>0.4</v>
      </c>
      <c r="AB47" s="1614">
        <v>3</v>
      </c>
      <c r="AC47" s="1582">
        <v>7</v>
      </c>
      <c r="AD47" s="1582">
        <v>4</v>
      </c>
      <c r="AE47" s="1610"/>
      <c r="AF47" s="1611">
        <f t="shared" si="10"/>
        <v>14</v>
      </c>
      <c r="AG47" s="1674">
        <f t="shared" si="4"/>
        <v>0.4</v>
      </c>
      <c r="AH47" s="1614">
        <v>2</v>
      </c>
      <c r="AI47" s="1582">
        <v>7</v>
      </c>
      <c r="AJ47" s="1582">
        <v>4</v>
      </c>
      <c r="AK47" s="1610"/>
      <c r="AL47" s="1611">
        <f t="shared" si="11"/>
        <v>13</v>
      </c>
      <c r="AM47" s="1674">
        <f t="shared" si="5"/>
        <v>0.44444444444444442</v>
      </c>
      <c r="AN47" s="1614">
        <v>1</v>
      </c>
      <c r="AO47" s="1582">
        <v>5</v>
      </c>
      <c r="AP47" s="1582">
        <v>4</v>
      </c>
      <c r="AQ47" s="1610"/>
      <c r="AR47" s="1611">
        <f t="shared" si="42"/>
        <v>10</v>
      </c>
      <c r="AS47" s="1674">
        <f t="shared" si="43"/>
        <v>0.66666666666666663</v>
      </c>
      <c r="AT47" s="1614">
        <v>0</v>
      </c>
      <c r="AU47" s="1582">
        <v>5</v>
      </c>
      <c r="AV47" s="1582">
        <v>4</v>
      </c>
      <c r="AW47" s="1610">
        <v>0</v>
      </c>
      <c r="AX47" s="1611">
        <f t="shared" si="49"/>
        <v>9</v>
      </c>
      <c r="AY47" s="1674">
        <f t="shared" si="45"/>
        <v>0.8</v>
      </c>
      <c r="AZ47" s="1614">
        <v>0</v>
      </c>
      <c r="BA47" s="1582">
        <v>7</v>
      </c>
      <c r="BB47" s="1582">
        <v>4</v>
      </c>
      <c r="BC47" s="1610">
        <v>0</v>
      </c>
      <c r="BD47" s="1611">
        <v>11</v>
      </c>
      <c r="BE47" s="1674">
        <f t="shared" si="46"/>
        <v>0.5714285714285714</v>
      </c>
    </row>
    <row r="48" spans="1:57" ht="17.100000000000001" customHeight="1" thickBot="1">
      <c r="A48" s="5227" t="s">
        <v>1655</v>
      </c>
      <c r="B48" s="5228"/>
      <c r="C48" s="5229"/>
      <c r="D48" s="1628">
        <f>SUM(D43:D47)</f>
        <v>21</v>
      </c>
      <c r="E48" s="1629">
        <f>SUM(E43:E47)</f>
        <v>68</v>
      </c>
      <c r="F48" s="1629">
        <f>SUM(F43:F47)</f>
        <v>12</v>
      </c>
      <c r="G48" s="1629">
        <f>SUM(G43:G47)</f>
        <v>13</v>
      </c>
      <c r="H48" s="1630">
        <f>SUM(H43:H47)</f>
        <v>114</v>
      </c>
      <c r="I48" s="1675">
        <f t="shared" si="0"/>
        <v>0.2808988764044944</v>
      </c>
      <c r="J48" s="1628">
        <f>SUM(J43:J47)</f>
        <v>17</v>
      </c>
      <c r="K48" s="1629">
        <f>SUM(K43:K47)</f>
        <v>68</v>
      </c>
      <c r="L48" s="1629">
        <f>SUM(L43:L47)</f>
        <v>12</v>
      </c>
      <c r="M48" s="1629">
        <f>SUM(M43:M47)</f>
        <v>13</v>
      </c>
      <c r="N48" s="1630">
        <f>SUM(N43:N47)</f>
        <v>110</v>
      </c>
      <c r="O48" s="1675">
        <f t="shared" si="1"/>
        <v>0.29411764705882354</v>
      </c>
      <c r="P48" s="1628">
        <f>SUM(P43:P47)</f>
        <v>16</v>
      </c>
      <c r="Q48" s="1629">
        <f>SUM(Q43:Q47)</f>
        <v>64</v>
      </c>
      <c r="R48" s="1629">
        <f>SUM(R43:R47)</f>
        <v>17</v>
      </c>
      <c r="S48" s="1629">
        <f>SUM(S43:S47)</f>
        <v>13</v>
      </c>
      <c r="T48" s="1630">
        <f>SUM(T43:T47)</f>
        <v>110</v>
      </c>
      <c r="U48" s="1675">
        <f t="shared" si="2"/>
        <v>0.375</v>
      </c>
      <c r="V48" s="1628">
        <f>SUM(V43:V47)</f>
        <v>19</v>
      </c>
      <c r="W48" s="1629">
        <f>SUM(W43:W47)</f>
        <v>62</v>
      </c>
      <c r="X48" s="1629">
        <f>SUM(X43:X47)</f>
        <v>26</v>
      </c>
      <c r="Y48" s="1629">
        <f>SUM(Y43:Y47)</f>
        <v>13</v>
      </c>
      <c r="Z48" s="1630">
        <f>SUM(Z43:Z47)</f>
        <v>120</v>
      </c>
      <c r="AA48" s="1675">
        <f t="shared" si="3"/>
        <v>0.48148148148148145</v>
      </c>
      <c r="AB48" s="1628">
        <f>SUM(AB43:AB47)</f>
        <v>20</v>
      </c>
      <c r="AC48" s="1629">
        <f>SUM(AC43:AC47)</f>
        <v>61</v>
      </c>
      <c r="AD48" s="1629">
        <f>SUM(AD43:AD47)</f>
        <v>27</v>
      </c>
      <c r="AE48" s="1629">
        <f>SUM(AE43:AE47)</f>
        <v>13</v>
      </c>
      <c r="AF48" s="1630">
        <f t="shared" si="10"/>
        <v>121</v>
      </c>
      <c r="AG48" s="1675">
        <f t="shared" si="4"/>
        <v>0.49382716049382713</v>
      </c>
      <c r="AH48" s="1628">
        <v>20</v>
      </c>
      <c r="AI48" s="1629">
        <v>65</v>
      </c>
      <c r="AJ48" s="1629">
        <v>25</v>
      </c>
      <c r="AK48" s="1629">
        <v>14</v>
      </c>
      <c r="AL48" s="1630">
        <f t="shared" si="11"/>
        <v>124</v>
      </c>
      <c r="AM48" s="1675">
        <f t="shared" si="5"/>
        <v>0.45882352941176469</v>
      </c>
      <c r="AN48" s="1628">
        <f>SUM(AN43:AN47)</f>
        <v>27</v>
      </c>
      <c r="AO48" s="1629">
        <f t="shared" ref="AO48:AR48" si="50">SUM(AO43:AO47)</f>
        <v>61</v>
      </c>
      <c r="AP48" s="1629">
        <f t="shared" si="50"/>
        <v>25</v>
      </c>
      <c r="AQ48" s="1629">
        <f t="shared" si="50"/>
        <v>14</v>
      </c>
      <c r="AR48" s="1630">
        <f t="shared" si="50"/>
        <v>127</v>
      </c>
      <c r="AS48" s="1675">
        <f t="shared" si="43"/>
        <v>0.44318181818181818</v>
      </c>
      <c r="AT48" s="1628">
        <v>24</v>
      </c>
      <c r="AU48" s="1629">
        <v>62</v>
      </c>
      <c r="AV48" s="1629">
        <v>26</v>
      </c>
      <c r="AW48" s="1629">
        <v>17</v>
      </c>
      <c r="AX48" s="1630">
        <f t="shared" ref="AX48" si="51">SUM(AX43:AX47)</f>
        <v>129</v>
      </c>
      <c r="AY48" s="1675">
        <f t="shared" si="45"/>
        <v>0.5</v>
      </c>
      <c r="AZ48" s="1628">
        <v>14</v>
      </c>
      <c r="BA48" s="1629">
        <v>64</v>
      </c>
      <c r="BB48" s="1629">
        <v>25</v>
      </c>
      <c r="BC48" s="1629">
        <v>15</v>
      </c>
      <c r="BD48" s="1630">
        <v>118</v>
      </c>
      <c r="BE48" s="1675">
        <f t="shared" si="46"/>
        <v>0.51282051282051277</v>
      </c>
    </row>
    <row r="49" spans="1:57" ht="17.100000000000001" customHeight="1">
      <c r="A49" s="1688" t="s">
        <v>73</v>
      </c>
      <c r="B49" s="1617" t="s">
        <v>16</v>
      </c>
      <c r="C49" s="1631" t="s">
        <v>1183</v>
      </c>
      <c r="D49" s="1614">
        <v>1</v>
      </c>
      <c r="E49" s="1582">
        <v>7</v>
      </c>
      <c r="F49" s="1582">
        <v>10</v>
      </c>
      <c r="G49" s="1582">
        <v>3</v>
      </c>
      <c r="H49" s="1586">
        <f>SUM(D49:G49)</f>
        <v>21</v>
      </c>
      <c r="I49" s="1674">
        <f t="shared" si="0"/>
        <v>1.625</v>
      </c>
      <c r="J49" s="1614"/>
      <c r="K49" s="1582">
        <v>7</v>
      </c>
      <c r="L49" s="1582">
        <v>10</v>
      </c>
      <c r="M49" s="1582">
        <v>3</v>
      </c>
      <c r="N49" s="1586">
        <f>SUM(J49:M49)</f>
        <v>20</v>
      </c>
      <c r="O49" s="1674">
        <f t="shared" si="1"/>
        <v>1.8571428571428572</v>
      </c>
      <c r="P49" s="1614"/>
      <c r="Q49" s="1582">
        <v>6</v>
      </c>
      <c r="R49" s="1582">
        <v>11</v>
      </c>
      <c r="S49" s="1582">
        <v>3</v>
      </c>
      <c r="T49" s="1586">
        <f>SUM(P49:S49)</f>
        <v>20</v>
      </c>
      <c r="U49" s="1674">
        <f t="shared" si="2"/>
        <v>2.3333333333333335</v>
      </c>
      <c r="V49" s="1614"/>
      <c r="W49" s="1582">
        <v>5</v>
      </c>
      <c r="X49" s="1582">
        <v>13</v>
      </c>
      <c r="Y49" s="1582">
        <v>2</v>
      </c>
      <c r="Z49" s="1586">
        <f>SUM(V49:Y49)</f>
        <v>20</v>
      </c>
      <c r="AA49" s="1674">
        <f t="shared" si="3"/>
        <v>3</v>
      </c>
      <c r="AB49" s="1614"/>
      <c r="AC49" s="1582">
        <v>5</v>
      </c>
      <c r="AD49" s="1582">
        <v>10</v>
      </c>
      <c r="AE49" s="1582">
        <v>3</v>
      </c>
      <c r="AF49" s="1586">
        <f t="shared" si="10"/>
        <v>18</v>
      </c>
      <c r="AG49" s="1674">
        <v>1</v>
      </c>
      <c r="AH49" s="1614">
        <v>2</v>
      </c>
      <c r="AI49" s="1582">
        <v>6</v>
      </c>
      <c r="AJ49" s="1582">
        <v>11</v>
      </c>
      <c r="AK49" s="1582">
        <v>3</v>
      </c>
      <c r="AL49" s="1586">
        <f t="shared" si="11"/>
        <v>22</v>
      </c>
      <c r="AM49" s="1674">
        <v>1</v>
      </c>
      <c r="AN49" s="1614">
        <v>2</v>
      </c>
      <c r="AO49" s="1582">
        <v>6</v>
      </c>
      <c r="AP49" s="1582">
        <v>12</v>
      </c>
      <c r="AQ49" s="1582">
        <v>4</v>
      </c>
      <c r="AR49" s="1586">
        <f t="shared" si="42"/>
        <v>24</v>
      </c>
      <c r="AS49" s="1674">
        <v>1</v>
      </c>
      <c r="AT49" s="1614">
        <v>2</v>
      </c>
      <c r="AU49" s="1582">
        <v>6</v>
      </c>
      <c r="AV49" s="1582">
        <v>10</v>
      </c>
      <c r="AW49" s="1582">
        <v>6</v>
      </c>
      <c r="AX49" s="1586">
        <f t="shared" ref="AX49:AX52" si="52">SUM(AT49:AW49)</f>
        <v>24</v>
      </c>
      <c r="AY49" s="1674">
        <v>1</v>
      </c>
      <c r="AZ49" s="1614">
        <v>1</v>
      </c>
      <c r="BA49" s="1582">
        <v>7</v>
      </c>
      <c r="BB49" s="1582">
        <v>10</v>
      </c>
      <c r="BC49" s="1582">
        <v>5</v>
      </c>
      <c r="BD49" s="1586">
        <v>23</v>
      </c>
      <c r="BE49" s="1674">
        <v>1</v>
      </c>
    </row>
    <row r="50" spans="1:57" ht="17.100000000000001" customHeight="1">
      <c r="A50" s="1684" t="s">
        <v>73</v>
      </c>
      <c r="B50" s="1608" t="s">
        <v>16</v>
      </c>
      <c r="C50" s="1609" t="s">
        <v>1157</v>
      </c>
      <c r="D50" s="1614">
        <v>2</v>
      </c>
      <c r="E50" s="1582">
        <v>23</v>
      </c>
      <c r="F50" s="1582">
        <v>4</v>
      </c>
      <c r="G50" s="1582">
        <v>2</v>
      </c>
      <c r="H50" s="1586">
        <f>SUM(D50:G50)</f>
        <v>31</v>
      </c>
      <c r="I50" s="1674">
        <f t="shared" si="0"/>
        <v>0.24</v>
      </c>
      <c r="J50" s="1614">
        <v>1</v>
      </c>
      <c r="K50" s="1582">
        <v>23</v>
      </c>
      <c r="L50" s="1582">
        <v>4</v>
      </c>
      <c r="M50" s="1582">
        <v>2</v>
      </c>
      <c r="N50" s="1586">
        <f>SUM(J50:M50)</f>
        <v>30</v>
      </c>
      <c r="O50" s="1674">
        <f t="shared" si="1"/>
        <v>0.25</v>
      </c>
      <c r="P50" s="1614">
        <v>2</v>
      </c>
      <c r="Q50" s="1582">
        <v>24</v>
      </c>
      <c r="R50" s="1582">
        <v>2</v>
      </c>
      <c r="S50" s="1582">
        <v>2</v>
      </c>
      <c r="T50" s="1586">
        <f>SUM(P50:S50)</f>
        <v>30</v>
      </c>
      <c r="U50" s="1674">
        <f t="shared" si="2"/>
        <v>0.15384615384615385</v>
      </c>
      <c r="V50" s="1614">
        <v>1</v>
      </c>
      <c r="W50" s="1582">
        <v>26</v>
      </c>
      <c r="X50" s="1582">
        <v>1</v>
      </c>
      <c r="Y50" s="1582">
        <v>3</v>
      </c>
      <c r="Z50" s="1586">
        <f>SUM(V50:Y50)</f>
        <v>31</v>
      </c>
      <c r="AA50" s="1674">
        <f t="shared" si="3"/>
        <v>0.14814814814814814</v>
      </c>
      <c r="AB50" s="1614">
        <v>1</v>
      </c>
      <c r="AC50" s="1582">
        <v>24</v>
      </c>
      <c r="AD50" s="1582">
        <v>3</v>
      </c>
      <c r="AE50" s="1582">
        <v>3</v>
      </c>
      <c r="AF50" s="1586">
        <f t="shared" si="10"/>
        <v>31</v>
      </c>
      <c r="AG50" s="1674">
        <f t="shared" si="4"/>
        <v>0.24</v>
      </c>
      <c r="AH50" s="1614">
        <v>3</v>
      </c>
      <c r="AI50" s="1582">
        <v>20</v>
      </c>
      <c r="AJ50" s="1582">
        <v>4</v>
      </c>
      <c r="AK50" s="1582">
        <v>3</v>
      </c>
      <c r="AL50" s="1586">
        <f t="shared" si="11"/>
        <v>30</v>
      </c>
      <c r="AM50" s="1674">
        <f t="shared" si="5"/>
        <v>0.30434782608695654</v>
      </c>
      <c r="AN50" s="1614">
        <v>3</v>
      </c>
      <c r="AO50" s="1582">
        <v>17</v>
      </c>
      <c r="AP50" s="1582">
        <v>6</v>
      </c>
      <c r="AQ50" s="1582">
        <v>3</v>
      </c>
      <c r="AR50" s="1586">
        <f t="shared" si="42"/>
        <v>29</v>
      </c>
      <c r="AS50" s="1674">
        <f t="shared" ref="AS50" si="53">(AP50+AQ50)/(AN50+AO50)</f>
        <v>0.45</v>
      </c>
      <c r="AT50" s="1614">
        <v>1</v>
      </c>
      <c r="AU50" s="1582">
        <v>18</v>
      </c>
      <c r="AV50" s="1582">
        <v>6</v>
      </c>
      <c r="AW50" s="1582">
        <v>4</v>
      </c>
      <c r="AX50" s="1586">
        <f t="shared" si="52"/>
        <v>29</v>
      </c>
      <c r="AY50" s="1674">
        <f t="shared" ref="AY50" si="54">(AV50+AW50)/(AT50+AU50)</f>
        <v>0.52631578947368418</v>
      </c>
      <c r="AZ50" s="1614">
        <v>4</v>
      </c>
      <c r="BA50" s="1582">
        <v>17</v>
      </c>
      <c r="BB50" s="1582">
        <v>5</v>
      </c>
      <c r="BC50" s="1582">
        <v>4</v>
      </c>
      <c r="BD50" s="1586">
        <v>30</v>
      </c>
      <c r="BE50" s="1674">
        <f t="shared" ref="BE50" si="55">(BB50+BC50)/(AZ50+BA50)</f>
        <v>0.42857142857142855</v>
      </c>
    </row>
    <row r="51" spans="1:57" ht="17.100000000000001" customHeight="1">
      <c r="A51" s="1684" t="s">
        <v>73</v>
      </c>
      <c r="B51" s="1608" t="s">
        <v>16</v>
      </c>
      <c r="C51" s="1609" t="s">
        <v>1184</v>
      </c>
      <c r="D51" s="1614">
        <v>1</v>
      </c>
      <c r="E51" s="1582">
        <v>21</v>
      </c>
      <c r="F51" s="1582">
        <v>21</v>
      </c>
      <c r="G51" s="1582">
        <v>7</v>
      </c>
      <c r="H51" s="1586">
        <f>SUM(D51:G51)</f>
        <v>50</v>
      </c>
      <c r="I51" s="1674">
        <f t="shared" si="0"/>
        <v>1.2727272727272727</v>
      </c>
      <c r="J51" s="1614">
        <v>1</v>
      </c>
      <c r="K51" s="1582">
        <v>22</v>
      </c>
      <c r="L51" s="1582">
        <v>21</v>
      </c>
      <c r="M51" s="1582">
        <v>7</v>
      </c>
      <c r="N51" s="1586">
        <f>SUM(J51:M51)</f>
        <v>51</v>
      </c>
      <c r="O51" s="1674">
        <f t="shared" si="1"/>
        <v>1.2173913043478262</v>
      </c>
      <c r="P51" s="1614">
        <v>1</v>
      </c>
      <c r="Q51" s="1582">
        <v>19</v>
      </c>
      <c r="R51" s="1582">
        <v>21</v>
      </c>
      <c r="S51" s="1582">
        <v>7</v>
      </c>
      <c r="T51" s="1586">
        <f>SUM(P51:S51)</f>
        <v>48</v>
      </c>
      <c r="U51" s="1674">
        <f t="shared" si="2"/>
        <v>1.4</v>
      </c>
      <c r="V51" s="1614">
        <v>1</v>
      </c>
      <c r="W51" s="1582">
        <v>20</v>
      </c>
      <c r="X51" s="1582">
        <v>21</v>
      </c>
      <c r="Y51" s="1582">
        <v>7</v>
      </c>
      <c r="Z51" s="1586">
        <f>SUM(V51:Y51)</f>
        <v>49</v>
      </c>
      <c r="AA51" s="1674">
        <f t="shared" si="3"/>
        <v>1.3333333333333333</v>
      </c>
      <c r="AB51" s="1614">
        <v>4</v>
      </c>
      <c r="AC51" s="1582">
        <v>20</v>
      </c>
      <c r="AD51" s="1582">
        <v>21</v>
      </c>
      <c r="AE51" s="1582">
        <v>6</v>
      </c>
      <c r="AF51" s="1586">
        <f t="shared" si="10"/>
        <v>51</v>
      </c>
      <c r="AG51" s="1674">
        <v>1</v>
      </c>
      <c r="AH51" s="1614">
        <v>4</v>
      </c>
      <c r="AI51" s="1582">
        <v>22</v>
      </c>
      <c r="AJ51" s="1582">
        <v>22</v>
      </c>
      <c r="AK51" s="1582">
        <v>7</v>
      </c>
      <c r="AL51" s="1586">
        <f t="shared" si="11"/>
        <v>55</v>
      </c>
      <c r="AM51" s="1674">
        <v>1</v>
      </c>
      <c r="AN51" s="1614">
        <v>3</v>
      </c>
      <c r="AO51" s="1582">
        <v>21</v>
      </c>
      <c r="AP51" s="1582">
        <v>22</v>
      </c>
      <c r="AQ51" s="1582">
        <v>7</v>
      </c>
      <c r="AR51" s="1586">
        <f t="shared" si="42"/>
        <v>53</v>
      </c>
      <c r="AS51" s="1674">
        <v>1</v>
      </c>
      <c r="AT51" s="1614">
        <v>3</v>
      </c>
      <c r="AU51" s="1582">
        <v>22</v>
      </c>
      <c r="AV51" s="1582">
        <v>22</v>
      </c>
      <c r="AW51" s="1582">
        <v>6</v>
      </c>
      <c r="AX51" s="1586">
        <f t="shared" si="52"/>
        <v>53</v>
      </c>
      <c r="AY51" s="1674">
        <v>1</v>
      </c>
      <c r="AZ51" s="1614">
        <v>3</v>
      </c>
      <c r="BA51" s="1582">
        <v>21</v>
      </c>
      <c r="BB51" s="1582">
        <v>19</v>
      </c>
      <c r="BC51" s="1582">
        <v>8</v>
      </c>
      <c r="BD51" s="1586">
        <v>51</v>
      </c>
      <c r="BE51" s="1674">
        <v>1</v>
      </c>
    </row>
    <row r="52" spans="1:57" ht="17.100000000000001" customHeight="1" thickBot="1">
      <c r="A52" s="1689" t="s">
        <v>73</v>
      </c>
      <c r="B52" s="1615" t="s">
        <v>16</v>
      </c>
      <c r="C52" s="1616" t="s">
        <v>1158</v>
      </c>
      <c r="D52" s="1581">
        <v>2</v>
      </c>
      <c r="E52" s="1582">
        <v>15</v>
      </c>
      <c r="F52" s="1582">
        <v>13</v>
      </c>
      <c r="G52" s="1582">
        <v>5</v>
      </c>
      <c r="H52" s="1586">
        <f>SUM(D52:G52)</f>
        <v>35</v>
      </c>
      <c r="I52" s="1674">
        <f t="shared" si="0"/>
        <v>1.0588235294117647</v>
      </c>
      <c r="J52" s="1581">
        <v>2</v>
      </c>
      <c r="K52" s="1582">
        <v>15</v>
      </c>
      <c r="L52" s="1582">
        <v>12</v>
      </c>
      <c r="M52" s="1582">
        <v>4</v>
      </c>
      <c r="N52" s="1586">
        <f>SUM(J52:M52)</f>
        <v>33</v>
      </c>
      <c r="O52" s="1674">
        <f t="shared" si="1"/>
        <v>0.94117647058823528</v>
      </c>
      <c r="P52" s="1581">
        <v>3</v>
      </c>
      <c r="Q52" s="1582">
        <v>15</v>
      </c>
      <c r="R52" s="1582">
        <v>11</v>
      </c>
      <c r="S52" s="1582">
        <v>4</v>
      </c>
      <c r="T52" s="1586">
        <f>SUM(P52:S52)</f>
        <v>33</v>
      </c>
      <c r="U52" s="1674">
        <f t="shared" si="2"/>
        <v>0.83333333333333337</v>
      </c>
      <c r="V52" s="1581">
        <v>3</v>
      </c>
      <c r="W52" s="1582">
        <v>22</v>
      </c>
      <c r="X52" s="1582">
        <v>8</v>
      </c>
      <c r="Y52" s="1582">
        <v>4</v>
      </c>
      <c r="Z52" s="1586">
        <f>SUM(V52:Y52)</f>
        <v>37</v>
      </c>
      <c r="AA52" s="1674">
        <f t="shared" si="3"/>
        <v>0.48</v>
      </c>
      <c r="AB52" s="1581">
        <v>4</v>
      </c>
      <c r="AC52" s="1582">
        <v>23</v>
      </c>
      <c r="AD52" s="1582">
        <v>6</v>
      </c>
      <c r="AE52" s="1582">
        <v>6</v>
      </c>
      <c r="AF52" s="1586">
        <f t="shared" si="10"/>
        <v>39</v>
      </c>
      <c r="AG52" s="1674">
        <f t="shared" si="4"/>
        <v>0.44444444444444442</v>
      </c>
      <c r="AH52" s="1581">
        <v>2</v>
      </c>
      <c r="AI52" s="1582">
        <v>23</v>
      </c>
      <c r="AJ52" s="1582">
        <v>7</v>
      </c>
      <c r="AK52" s="1582">
        <v>6</v>
      </c>
      <c r="AL52" s="1586">
        <f t="shared" si="11"/>
        <v>38</v>
      </c>
      <c r="AM52" s="1674">
        <f t="shared" si="5"/>
        <v>0.52</v>
      </c>
      <c r="AN52" s="1581">
        <v>5</v>
      </c>
      <c r="AO52" s="1582">
        <v>24</v>
      </c>
      <c r="AP52" s="1582">
        <v>8</v>
      </c>
      <c r="AQ52" s="1582">
        <v>6</v>
      </c>
      <c r="AR52" s="1586">
        <f t="shared" si="42"/>
        <v>43</v>
      </c>
      <c r="AS52" s="1674">
        <f t="shared" ref="AS52:AS56" si="56">(AP52+AQ52)/(AN52+AO52)</f>
        <v>0.48275862068965519</v>
      </c>
      <c r="AT52" s="1581">
        <v>2</v>
      </c>
      <c r="AU52" s="1582">
        <v>23</v>
      </c>
      <c r="AV52" s="1582">
        <v>11</v>
      </c>
      <c r="AW52" s="1582">
        <v>6</v>
      </c>
      <c r="AX52" s="1586">
        <f t="shared" si="52"/>
        <v>42</v>
      </c>
      <c r="AY52" s="1674">
        <f t="shared" ref="AY52:AY54" si="57">(AV52+AW52)/(AT52+AU52)</f>
        <v>0.68</v>
      </c>
      <c r="AZ52" s="1581">
        <v>2</v>
      </c>
      <c r="BA52" s="1582">
        <v>22</v>
      </c>
      <c r="BB52" s="1582">
        <v>11</v>
      </c>
      <c r="BC52" s="1582">
        <v>6</v>
      </c>
      <c r="BD52" s="1586">
        <v>41</v>
      </c>
      <c r="BE52" s="1674">
        <f t="shared" ref="BE52:BE54" si="58">(BB52+BC52)/(AZ52+BA52)</f>
        <v>0.70833333333333337</v>
      </c>
    </row>
    <row r="53" spans="1:57" ht="17.100000000000001" customHeight="1">
      <c r="A53" s="5230" t="s">
        <v>1648</v>
      </c>
      <c r="B53" s="5231"/>
      <c r="C53" s="5232"/>
      <c r="D53" s="1590">
        <f>SUM(D49:D52)</f>
        <v>6</v>
      </c>
      <c r="E53" s="1591">
        <f>SUM(E49:E52)</f>
        <v>66</v>
      </c>
      <c r="F53" s="1591">
        <f>SUM(F49:F52)</f>
        <v>48</v>
      </c>
      <c r="G53" s="1591">
        <f>SUM(G49:G52)</f>
        <v>17</v>
      </c>
      <c r="H53" s="1592">
        <f>SUM(H49:H52)</f>
        <v>137</v>
      </c>
      <c r="I53" s="1675">
        <f t="shared" si="0"/>
        <v>0.90277777777777779</v>
      </c>
      <c r="J53" s="1590">
        <f>SUM(J49:J52)</f>
        <v>4</v>
      </c>
      <c r="K53" s="1591">
        <f>SUM(K49:K52)</f>
        <v>67</v>
      </c>
      <c r="L53" s="1591">
        <f>SUM(L49:L52)</f>
        <v>47</v>
      </c>
      <c r="M53" s="1591">
        <f>SUM(M49:M52)</f>
        <v>16</v>
      </c>
      <c r="N53" s="1592">
        <f>SUM(N49:N52)</f>
        <v>134</v>
      </c>
      <c r="O53" s="1675">
        <f t="shared" si="1"/>
        <v>0.88732394366197187</v>
      </c>
      <c r="P53" s="1590">
        <f>SUM(P49:P52)</f>
        <v>6</v>
      </c>
      <c r="Q53" s="1591">
        <f>SUM(Q49:Q52)</f>
        <v>64</v>
      </c>
      <c r="R53" s="1591">
        <f>SUM(R49:R52)</f>
        <v>45</v>
      </c>
      <c r="S53" s="1591">
        <f>SUM(S49:S52)</f>
        <v>16</v>
      </c>
      <c r="T53" s="1592">
        <f>SUM(T49:T52)</f>
        <v>131</v>
      </c>
      <c r="U53" s="1675">
        <f t="shared" si="2"/>
        <v>0.87142857142857144</v>
      </c>
      <c r="V53" s="1590">
        <f>SUM(V49:V52)</f>
        <v>5</v>
      </c>
      <c r="W53" s="1591">
        <f>SUM(W49:W52)</f>
        <v>73</v>
      </c>
      <c r="X53" s="1591">
        <f>SUM(X49:X52)</f>
        <v>43</v>
      </c>
      <c r="Y53" s="1591">
        <f>SUM(Y49:Y52)</f>
        <v>16</v>
      </c>
      <c r="Z53" s="1592">
        <f>SUM(Z49:Z52)</f>
        <v>137</v>
      </c>
      <c r="AA53" s="1675">
        <f t="shared" si="3"/>
        <v>0.75641025641025639</v>
      </c>
      <c r="AB53" s="1590">
        <f>SUM(AB49:AB52)</f>
        <v>9</v>
      </c>
      <c r="AC53" s="1591">
        <f>SUM(AC49:AC52)</f>
        <v>72</v>
      </c>
      <c r="AD53" s="1591">
        <f>SUM(AD49:AD52)</f>
        <v>40</v>
      </c>
      <c r="AE53" s="1591">
        <f>SUM(AE49:AE52)</f>
        <v>18</v>
      </c>
      <c r="AF53" s="1592">
        <f t="shared" si="10"/>
        <v>139</v>
      </c>
      <c r="AG53" s="1675">
        <f t="shared" si="4"/>
        <v>0.71604938271604934</v>
      </c>
      <c r="AH53" s="1590">
        <v>11</v>
      </c>
      <c r="AI53" s="1591">
        <v>71</v>
      </c>
      <c r="AJ53" s="1591">
        <v>44</v>
      </c>
      <c r="AK53" s="1591">
        <v>19</v>
      </c>
      <c r="AL53" s="1592">
        <f t="shared" si="11"/>
        <v>145</v>
      </c>
      <c r="AM53" s="1675">
        <f t="shared" si="5"/>
        <v>0.76829268292682928</v>
      </c>
      <c r="AN53" s="1590">
        <f>SUM(AN49:AN52)</f>
        <v>13</v>
      </c>
      <c r="AO53" s="1591">
        <f t="shared" ref="AO53:AR53" si="59">SUM(AO49:AO52)</f>
        <v>68</v>
      </c>
      <c r="AP53" s="1591">
        <f t="shared" si="59"/>
        <v>48</v>
      </c>
      <c r="AQ53" s="1591">
        <f t="shared" si="59"/>
        <v>20</v>
      </c>
      <c r="AR53" s="1592">
        <f t="shared" si="59"/>
        <v>149</v>
      </c>
      <c r="AS53" s="1675">
        <f t="shared" si="56"/>
        <v>0.83950617283950613</v>
      </c>
      <c r="AT53" s="1590">
        <v>8</v>
      </c>
      <c r="AU53" s="1591">
        <v>69</v>
      </c>
      <c r="AV53" s="1591">
        <v>49</v>
      </c>
      <c r="AW53" s="1591">
        <v>22</v>
      </c>
      <c r="AX53" s="1592">
        <f t="shared" ref="AX53" si="60">SUM(AX49:AX52)</f>
        <v>148</v>
      </c>
      <c r="AY53" s="1675">
        <f t="shared" si="57"/>
        <v>0.92207792207792205</v>
      </c>
      <c r="AZ53" s="1590">
        <v>10</v>
      </c>
      <c r="BA53" s="1591">
        <v>67</v>
      </c>
      <c r="BB53" s="1591">
        <v>45</v>
      </c>
      <c r="BC53" s="1591">
        <v>23</v>
      </c>
      <c r="BD53" s="1592">
        <v>145</v>
      </c>
      <c r="BE53" s="1675">
        <f t="shared" si="58"/>
        <v>0.88311688311688308</v>
      </c>
    </row>
    <row r="54" spans="1:57" ht="17.100000000000001" customHeight="1">
      <c r="A54" s="5233" t="s">
        <v>1077</v>
      </c>
      <c r="B54" s="5234"/>
      <c r="C54" s="5235"/>
      <c r="D54" s="1593">
        <f>SUM(D53,D48,D42)</f>
        <v>35</v>
      </c>
      <c r="E54" s="1594">
        <f>SUM(E53,E48,E42)</f>
        <v>206</v>
      </c>
      <c r="F54" s="1594">
        <f>SUM(F53,F48,F42)</f>
        <v>101</v>
      </c>
      <c r="G54" s="1594">
        <f>SUM(G53,G48,G42)</f>
        <v>72</v>
      </c>
      <c r="H54" s="1595">
        <f>SUM(H42,H48,H53)</f>
        <v>414</v>
      </c>
      <c r="I54" s="1679">
        <f t="shared" si="0"/>
        <v>0.71784232365145229</v>
      </c>
      <c r="J54" s="1593">
        <f>SUM(J53,J48,J42)</f>
        <v>30</v>
      </c>
      <c r="K54" s="1594">
        <f>SUM(K53,K48,K42)</f>
        <v>206</v>
      </c>
      <c r="L54" s="1594">
        <f>SUM(L53,L48,L42)</f>
        <v>100</v>
      </c>
      <c r="M54" s="1594">
        <f>SUM(M53,M48,M42)</f>
        <v>69</v>
      </c>
      <c r="N54" s="1595">
        <f>SUM(N42,N48,N53)</f>
        <v>405</v>
      </c>
      <c r="O54" s="1679">
        <f t="shared" si="1"/>
        <v>0.71610169491525422</v>
      </c>
      <c r="P54" s="1593">
        <f>SUM(P53,P48,P42)</f>
        <v>35</v>
      </c>
      <c r="Q54" s="1594">
        <f>SUM(Q53,Q48,Q42)</f>
        <v>202</v>
      </c>
      <c r="R54" s="1594">
        <f>SUM(R53,R48,R42)</f>
        <v>99</v>
      </c>
      <c r="S54" s="1594">
        <f>SUM(S53,S48,S42)</f>
        <v>71</v>
      </c>
      <c r="T54" s="1595">
        <f>SUM(T42,T48,T53)</f>
        <v>407</v>
      </c>
      <c r="U54" s="1679">
        <f t="shared" si="2"/>
        <v>0.71729957805907174</v>
      </c>
      <c r="V54" s="1593">
        <f>SUM(V53,V48,V42)</f>
        <v>46</v>
      </c>
      <c r="W54" s="1594">
        <f>SUM(W53,W48,W42)</f>
        <v>216</v>
      </c>
      <c r="X54" s="1594">
        <f>SUM(X53,X48,X42)</f>
        <v>109</v>
      </c>
      <c r="Y54" s="1594">
        <f>SUM(Y53,Y48,Y42)</f>
        <v>79</v>
      </c>
      <c r="Z54" s="1595">
        <f>SUM(Z42,Z48,Z53)</f>
        <v>450</v>
      </c>
      <c r="AA54" s="1679">
        <f t="shared" si="3"/>
        <v>0.71755725190839692</v>
      </c>
      <c r="AB54" s="1593">
        <f>SUM(AB53,AB48,AB42)</f>
        <v>54</v>
      </c>
      <c r="AC54" s="1594">
        <f>SUM(AC53,AC48,AC42)</f>
        <v>218</v>
      </c>
      <c r="AD54" s="1594">
        <f>SUM(AD53,AD48,AD42)</f>
        <v>107</v>
      </c>
      <c r="AE54" s="1594">
        <f>SUM(AE53,AE48,AE42)</f>
        <v>82</v>
      </c>
      <c r="AF54" s="1595">
        <f t="shared" si="10"/>
        <v>461</v>
      </c>
      <c r="AG54" s="1679">
        <f t="shared" si="4"/>
        <v>0.69485294117647056</v>
      </c>
      <c r="AH54" s="1593">
        <v>56</v>
      </c>
      <c r="AI54" s="1594">
        <v>230</v>
      </c>
      <c r="AJ54" s="1594">
        <v>108</v>
      </c>
      <c r="AK54" s="1594">
        <v>83</v>
      </c>
      <c r="AL54" s="1595">
        <f t="shared" si="11"/>
        <v>477</v>
      </c>
      <c r="AM54" s="1679">
        <f t="shared" si="5"/>
        <v>0.66783216783216781</v>
      </c>
      <c r="AN54" s="1593">
        <f>SUM(AN42,AN48,AN53)</f>
        <v>67</v>
      </c>
      <c r="AO54" s="1594">
        <f t="shared" ref="AO54:AR54" si="61">SUM(AO42,AO48,AO53)</f>
        <v>237</v>
      </c>
      <c r="AP54" s="1594">
        <f t="shared" si="61"/>
        <v>112</v>
      </c>
      <c r="AQ54" s="1594">
        <f t="shared" si="61"/>
        <v>85</v>
      </c>
      <c r="AR54" s="1595">
        <f t="shared" si="61"/>
        <v>501</v>
      </c>
      <c r="AS54" s="1679">
        <f t="shared" si="56"/>
        <v>0.64802631578947367</v>
      </c>
      <c r="AT54" s="1593">
        <v>57</v>
      </c>
      <c r="AU54" s="1594">
        <v>232</v>
      </c>
      <c r="AV54" s="1594">
        <v>111</v>
      </c>
      <c r="AW54" s="1594">
        <v>92</v>
      </c>
      <c r="AX54" s="1595">
        <f t="shared" ref="AX54" si="62">SUM(AX42,AX48,AX53)</f>
        <v>492</v>
      </c>
      <c r="AY54" s="1679">
        <f t="shared" si="57"/>
        <v>0.70242214532871972</v>
      </c>
      <c r="AZ54" s="1593">
        <v>44</v>
      </c>
      <c r="BA54" s="1594">
        <v>235</v>
      </c>
      <c r="BB54" s="1594">
        <v>105</v>
      </c>
      <c r="BC54" s="1594">
        <v>91</v>
      </c>
      <c r="BD54" s="1595">
        <v>475</v>
      </c>
      <c r="BE54" s="1679">
        <f t="shared" si="58"/>
        <v>0.70250896057347667</v>
      </c>
    </row>
    <row r="55" spans="1:57" ht="17.100000000000001" customHeight="1">
      <c r="A55" s="1684" t="s">
        <v>82</v>
      </c>
      <c r="B55" s="1606" t="s">
        <v>4</v>
      </c>
      <c r="C55" s="1635" t="s">
        <v>1186</v>
      </c>
      <c r="D55" s="1596"/>
      <c r="E55" s="1597"/>
      <c r="F55" s="1597"/>
      <c r="G55" s="1597"/>
      <c r="H55" s="1598"/>
      <c r="I55" s="1677"/>
      <c r="J55" s="1596"/>
      <c r="K55" s="1597"/>
      <c r="L55" s="1597"/>
      <c r="M55" s="1597"/>
      <c r="N55" s="1598"/>
      <c r="O55" s="1677"/>
      <c r="P55" s="1596"/>
      <c r="Q55" s="1597"/>
      <c r="R55" s="1597"/>
      <c r="S55" s="1597"/>
      <c r="T55" s="1598">
        <f>SUM(P55:S55)</f>
        <v>0</v>
      </c>
      <c r="U55" s="1677"/>
      <c r="V55" s="1596">
        <v>1</v>
      </c>
      <c r="W55" s="1597"/>
      <c r="X55" s="1597"/>
      <c r="Y55" s="1597"/>
      <c r="Z55" s="1598">
        <f>SUM(V55:Y55)</f>
        <v>1</v>
      </c>
      <c r="AA55" s="1677">
        <f t="shared" si="3"/>
        <v>0</v>
      </c>
      <c r="AB55" s="1596">
        <v>1</v>
      </c>
      <c r="AC55" s="1597"/>
      <c r="AD55" s="1597"/>
      <c r="AE55" s="1597"/>
      <c r="AF55" s="1598">
        <f t="shared" si="10"/>
        <v>1</v>
      </c>
      <c r="AG55" s="1677">
        <f t="shared" si="4"/>
        <v>0</v>
      </c>
      <c r="AH55" s="1596">
        <v>1</v>
      </c>
      <c r="AI55" s="1597"/>
      <c r="AJ55" s="1597"/>
      <c r="AK55" s="1597"/>
      <c r="AL55" s="1598">
        <f t="shared" si="11"/>
        <v>1</v>
      </c>
      <c r="AM55" s="1677">
        <f t="shared" si="5"/>
        <v>0</v>
      </c>
      <c r="AN55" s="1596"/>
      <c r="AO55" s="1597"/>
      <c r="AP55" s="1597"/>
      <c r="AQ55" s="1597"/>
      <c r="AR55" s="1598">
        <f>SUM(AN55:AQ55)</f>
        <v>0</v>
      </c>
      <c r="AS55" s="1677"/>
      <c r="AT55" s="1596">
        <v>0</v>
      </c>
      <c r="AU55" s="1597">
        <v>1</v>
      </c>
      <c r="AV55" s="1597">
        <v>0</v>
      </c>
      <c r="AW55" s="1597">
        <v>0</v>
      </c>
      <c r="AX55" s="1598">
        <f>SUM(AT55:AW55)</f>
        <v>1</v>
      </c>
      <c r="AY55" s="1677"/>
      <c r="AZ55" s="1596">
        <v>1</v>
      </c>
      <c r="BA55" s="1597">
        <v>1</v>
      </c>
      <c r="BB55" s="1597">
        <v>0</v>
      </c>
      <c r="BC55" s="1597">
        <v>0</v>
      </c>
      <c r="BD55" s="1598">
        <v>2</v>
      </c>
      <c r="BE55" s="1677"/>
    </row>
    <row r="56" spans="1:57" ht="17.100000000000001" customHeight="1">
      <c r="A56" s="1684" t="s">
        <v>82</v>
      </c>
      <c r="B56" s="1608" t="s">
        <v>4</v>
      </c>
      <c r="C56" s="1636" t="s">
        <v>1187</v>
      </c>
      <c r="D56" s="1581"/>
      <c r="E56" s="1582">
        <v>2</v>
      </c>
      <c r="F56" s="1582"/>
      <c r="G56" s="1582"/>
      <c r="H56" s="1586">
        <f>SUM(D56:G56)</f>
        <v>2</v>
      </c>
      <c r="I56" s="1674">
        <f t="shared" si="0"/>
        <v>0</v>
      </c>
      <c r="J56" s="1581">
        <v>1</v>
      </c>
      <c r="K56" s="1582">
        <v>3</v>
      </c>
      <c r="L56" s="1582"/>
      <c r="M56" s="1582"/>
      <c r="N56" s="1586">
        <f>SUM(J56:M56)</f>
        <v>4</v>
      </c>
      <c r="O56" s="1674">
        <f t="shared" si="1"/>
        <v>0</v>
      </c>
      <c r="P56" s="1581"/>
      <c r="Q56" s="1582">
        <v>3</v>
      </c>
      <c r="R56" s="1582"/>
      <c r="S56" s="1582"/>
      <c r="T56" s="1586">
        <f>SUM(P56:S56)</f>
        <v>3</v>
      </c>
      <c r="U56" s="1674">
        <f t="shared" si="2"/>
        <v>0</v>
      </c>
      <c r="V56" s="1581"/>
      <c r="W56" s="1582">
        <v>7</v>
      </c>
      <c r="X56" s="1582"/>
      <c r="Y56" s="1582"/>
      <c r="Z56" s="1586">
        <f>SUM(V56:Y56)</f>
        <v>7</v>
      </c>
      <c r="AA56" s="1674">
        <f t="shared" si="3"/>
        <v>0</v>
      </c>
      <c r="AB56" s="1581"/>
      <c r="AC56" s="1582">
        <v>4</v>
      </c>
      <c r="AD56" s="1582"/>
      <c r="AE56" s="1582"/>
      <c r="AF56" s="1586">
        <f t="shared" si="10"/>
        <v>4</v>
      </c>
      <c r="AG56" s="1674">
        <f t="shared" si="4"/>
        <v>0</v>
      </c>
      <c r="AH56" s="1581">
        <v>2</v>
      </c>
      <c r="AI56" s="1582">
        <v>4</v>
      </c>
      <c r="AJ56" s="1582">
        <v>1</v>
      </c>
      <c r="AK56" s="1582"/>
      <c r="AL56" s="1586">
        <f t="shared" si="11"/>
        <v>7</v>
      </c>
      <c r="AM56" s="1674">
        <f t="shared" si="5"/>
        <v>0.16666666666666666</v>
      </c>
      <c r="AN56" s="1581">
        <v>3</v>
      </c>
      <c r="AO56" s="1582">
        <v>5</v>
      </c>
      <c r="AP56" s="1582">
        <v>1</v>
      </c>
      <c r="AQ56" s="1582"/>
      <c r="AR56" s="1586">
        <f t="shared" ref="AR56:AR65" si="63">SUM(AN56:AQ56)</f>
        <v>9</v>
      </c>
      <c r="AS56" s="1674">
        <f t="shared" si="56"/>
        <v>0.125</v>
      </c>
      <c r="AT56" s="1581">
        <v>3</v>
      </c>
      <c r="AU56" s="1582">
        <v>6</v>
      </c>
      <c r="AV56" s="1582">
        <v>1</v>
      </c>
      <c r="AW56" s="1582">
        <v>0</v>
      </c>
      <c r="AX56" s="1586">
        <f t="shared" ref="AX56:AX57" si="64">SUM(AT56:AW56)</f>
        <v>10</v>
      </c>
      <c r="AY56" s="1674">
        <f t="shared" ref="AY56" si="65">(AV56+AW56)/(AT56+AU56)</f>
        <v>0.1111111111111111</v>
      </c>
      <c r="AZ56" s="1581">
        <v>0</v>
      </c>
      <c r="BA56" s="1582">
        <v>7</v>
      </c>
      <c r="BB56" s="1582">
        <v>1</v>
      </c>
      <c r="BC56" s="1582">
        <v>0</v>
      </c>
      <c r="BD56" s="1586">
        <v>8</v>
      </c>
      <c r="BE56" s="1674">
        <f t="shared" ref="BE56" si="66">(BB56+BC56)/(AZ56+BA56)</f>
        <v>0.14285714285714285</v>
      </c>
    </row>
    <row r="57" spans="1:57" ht="17.100000000000001" customHeight="1" thickBot="1">
      <c r="A57" s="1684" t="s">
        <v>82</v>
      </c>
      <c r="B57" s="1608" t="s">
        <v>4</v>
      </c>
      <c r="C57" s="1637" t="s">
        <v>1188</v>
      </c>
      <c r="D57" s="1581"/>
      <c r="E57" s="1582"/>
      <c r="F57" s="1582"/>
      <c r="G57" s="1582"/>
      <c r="H57" s="1586"/>
      <c r="I57" s="1674"/>
      <c r="J57" s="1581"/>
      <c r="K57" s="1582"/>
      <c r="L57" s="1582"/>
      <c r="M57" s="1582"/>
      <c r="N57" s="1586"/>
      <c r="O57" s="1674"/>
      <c r="P57" s="1581">
        <v>1</v>
      </c>
      <c r="Q57" s="1582"/>
      <c r="R57" s="1582"/>
      <c r="S57" s="1582"/>
      <c r="T57" s="1586">
        <f>SUM(P57:S57)</f>
        <v>1</v>
      </c>
      <c r="U57" s="1674">
        <f t="shared" si="2"/>
        <v>0</v>
      </c>
      <c r="V57" s="1581"/>
      <c r="W57" s="1582">
        <v>1</v>
      </c>
      <c r="X57" s="1582"/>
      <c r="Y57" s="1582"/>
      <c r="Z57" s="1586">
        <f>SUM(V57:Y57)</f>
        <v>1</v>
      </c>
      <c r="AA57" s="1674">
        <f t="shared" si="3"/>
        <v>0</v>
      </c>
      <c r="AB57" s="1581"/>
      <c r="AC57" s="1582">
        <v>1</v>
      </c>
      <c r="AD57" s="1582"/>
      <c r="AE57" s="1582"/>
      <c r="AF57" s="1586">
        <f t="shared" si="10"/>
        <v>1</v>
      </c>
      <c r="AG57" s="1674">
        <f t="shared" si="4"/>
        <v>0</v>
      </c>
      <c r="AH57" s="1581"/>
      <c r="AI57" s="1582"/>
      <c r="AJ57" s="1582"/>
      <c r="AK57" s="1582"/>
      <c r="AL57" s="1586">
        <f t="shared" si="11"/>
        <v>0</v>
      </c>
      <c r="AM57" s="1674"/>
      <c r="AN57" s="1581"/>
      <c r="AO57" s="1582"/>
      <c r="AP57" s="1582"/>
      <c r="AQ57" s="1582"/>
      <c r="AR57" s="1586">
        <f t="shared" si="63"/>
        <v>0</v>
      </c>
      <c r="AS57" s="1674"/>
      <c r="AT57" s="1581">
        <v>2</v>
      </c>
      <c r="AU57" s="1582">
        <v>0</v>
      </c>
      <c r="AV57" s="1582">
        <v>0</v>
      </c>
      <c r="AW57" s="1582">
        <v>0</v>
      </c>
      <c r="AX57" s="1586">
        <f t="shared" si="64"/>
        <v>2</v>
      </c>
      <c r="AY57" s="1674"/>
      <c r="AZ57" s="1581">
        <v>4</v>
      </c>
      <c r="BA57" s="1582">
        <v>0</v>
      </c>
      <c r="BB57" s="1582">
        <v>0</v>
      </c>
      <c r="BC57" s="1582">
        <v>0</v>
      </c>
      <c r="BD57" s="1586">
        <v>4</v>
      </c>
      <c r="BE57" s="1674"/>
    </row>
    <row r="58" spans="1:57" ht="17.100000000000001" customHeight="1" thickBot="1">
      <c r="A58" s="5227" t="s">
        <v>1647</v>
      </c>
      <c r="B58" s="5228"/>
      <c r="C58" s="5229"/>
      <c r="D58" s="1628">
        <f>SUM(D56)</f>
        <v>0</v>
      </c>
      <c r="E58" s="1629">
        <f>SUM(E56)</f>
        <v>2</v>
      </c>
      <c r="F58" s="1629">
        <f>SUM(F56)</f>
        <v>0</v>
      </c>
      <c r="G58" s="1629">
        <f>SUM(G56)</f>
        <v>0</v>
      </c>
      <c r="H58" s="1630">
        <f>SUM(H56)</f>
        <v>2</v>
      </c>
      <c r="I58" s="1675">
        <f t="shared" si="0"/>
        <v>0</v>
      </c>
      <c r="J58" s="1628">
        <f>SUM(J56)</f>
        <v>1</v>
      </c>
      <c r="K58" s="1629">
        <f>SUM(K56)</f>
        <v>3</v>
      </c>
      <c r="L58" s="1629">
        <f>SUM(L56)</f>
        <v>0</v>
      </c>
      <c r="M58" s="1629">
        <f>SUM(M56)</f>
        <v>0</v>
      </c>
      <c r="N58" s="1630">
        <f>SUM(N56)</f>
        <v>4</v>
      </c>
      <c r="O58" s="1675">
        <f t="shared" si="1"/>
        <v>0</v>
      </c>
      <c r="P58" s="1628">
        <f>SUM(P55:P57)</f>
        <v>1</v>
      </c>
      <c r="Q58" s="1629">
        <f>SUM(Q55:Q57)</f>
        <v>3</v>
      </c>
      <c r="R58" s="1629">
        <f>SUM(R55:R57)</f>
        <v>0</v>
      </c>
      <c r="S58" s="1629">
        <f>SUM(S55:S57)</f>
        <v>0</v>
      </c>
      <c r="T58" s="1630">
        <f>SUM(T55:T57)</f>
        <v>4</v>
      </c>
      <c r="U58" s="1675">
        <f t="shared" si="2"/>
        <v>0</v>
      </c>
      <c r="V58" s="1628">
        <f>SUM(V55:V57)</f>
        <v>1</v>
      </c>
      <c r="W58" s="1629">
        <f>SUM(W55:W57)</f>
        <v>8</v>
      </c>
      <c r="X58" s="1629">
        <f>SUM(X55:X57)</f>
        <v>0</v>
      </c>
      <c r="Y58" s="1629">
        <f>SUM(Y55:Y57)</f>
        <v>0</v>
      </c>
      <c r="Z58" s="1630">
        <f>SUM(Z55:Z57)</f>
        <v>9</v>
      </c>
      <c r="AA58" s="1675">
        <f t="shared" si="3"/>
        <v>0</v>
      </c>
      <c r="AB58" s="1628">
        <f>SUM(AB55:AB57)</f>
        <v>1</v>
      </c>
      <c r="AC58" s="1629">
        <f>SUM(AC55:AC57)</f>
        <v>5</v>
      </c>
      <c r="AD58" s="1629">
        <f>SUM(AD55:AD57)</f>
        <v>0</v>
      </c>
      <c r="AE58" s="1629">
        <f>SUM(AE55:AE57)</f>
        <v>0</v>
      </c>
      <c r="AF58" s="1630">
        <f t="shared" si="10"/>
        <v>6</v>
      </c>
      <c r="AG58" s="1675">
        <f t="shared" si="4"/>
        <v>0</v>
      </c>
      <c r="AH58" s="1628">
        <v>3</v>
      </c>
      <c r="AI58" s="1629">
        <v>4</v>
      </c>
      <c r="AJ58" s="1629">
        <v>1</v>
      </c>
      <c r="AK58" s="1629">
        <v>0</v>
      </c>
      <c r="AL58" s="1630">
        <f t="shared" si="11"/>
        <v>8</v>
      </c>
      <c r="AM58" s="1675">
        <f t="shared" si="5"/>
        <v>0.14285714285714285</v>
      </c>
      <c r="AN58" s="1628">
        <f>SUM(AN55:AN57)</f>
        <v>3</v>
      </c>
      <c r="AO58" s="1629">
        <f t="shared" ref="AO58:AR58" si="67">SUM(AO55:AO57)</f>
        <v>5</v>
      </c>
      <c r="AP58" s="1629">
        <f t="shared" si="67"/>
        <v>1</v>
      </c>
      <c r="AQ58" s="1629">
        <f t="shared" si="67"/>
        <v>0</v>
      </c>
      <c r="AR58" s="1630">
        <f t="shared" si="67"/>
        <v>9</v>
      </c>
      <c r="AS58" s="1675">
        <f t="shared" ref="AS58:AS61" si="68">(AP58+AQ58)/(AN58+AO58)</f>
        <v>0.125</v>
      </c>
      <c r="AT58" s="1628">
        <v>5</v>
      </c>
      <c r="AU58" s="1629">
        <v>7</v>
      </c>
      <c r="AV58" s="1629">
        <v>1</v>
      </c>
      <c r="AW58" s="1629">
        <v>0</v>
      </c>
      <c r="AX58" s="1630">
        <f t="shared" ref="AX58" si="69">SUM(AX55:AX57)</f>
        <v>13</v>
      </c>
      <c r="AY58" s="1675">
        <f t="shared" ref="AY58:AY78" si="70">(AV58+AW58)/(AT58+AU58)</f>
        <v>8.3333333333333329E-2</v>
      </c>
      <c r="AZ58" s="1628">
        <v>5</v>
      </c>
      <c r="BA58" s="1629">
        <v>8</v>
      </c>
      <c r="BB58" s="1629">
        <v>1</v>
      </c>
      <c r="BC58" s="1629">
        <v>0</v>
      </c>
      <c r="BD58" s="1630">
        <v>14</v>
      </c>
      <c r="BE58" s="1675">
        <f t="shared" ref="BE58:BE78" si="71">(BB58+BC58)/(AZ58+BA58)</f>
        <v>7.6923076923076927E-2</v>
      </c>
    </row>
    <row r="59" spans="1:57" ht="17.100000000000001" customHeight="1">
      <c r="A59" s="1684" t="s">
        <v>82</v>
      </c>
      <c r="B59" s="1608" t="s">
        <v>41</v>
      </c>
      <c r="C59" s="1609" t="s">
        <v>1189</v>
      </c>
      <c r="D59" s="1581"/>
      <c r="E59" s="1582">
        <v>1</v>
      </c>
      <c r="F59" s="1582"/>
      <c r="G59" s="1582"/>
      <c r="H59" s="1586">
        <f>SUM(D59:G59)</f>
        <v>1</v>
      </c>
      <c r="I59" s="1674">
        <f t="shared" si="0"/>
        <v>0</v>
      </c>
      <c r="J59" s="1581">
        <v>1</v>
      </c>
      <c r="K59" s="1582">
        <v>3</v>
      </c>
      <c r="L59" s="1582"/>
      <c r="M59" s="1582"/>
      <c r="N59" s="1586">
        <f>SUM(J59:M59)</f>
        <v>4</v>
      </c>
      <c r="O59" s="1674">
        <f t="shared" si="1"/>
        <v>0</v>
      </c>
      <c r="P59" s="1581">
        <v>1</v>
      </c>
      <c r="Q59" s="1582">
        <v>2</v>
      </c>
      <c r="R59" s="1582">
        <v>1</v>
      </c>
      <c r="S59" s="1582"/>
      <c r="T59" s="1586">
        <f>SUM(P59:S59)</f>
        <v>4</v>
      </c>
      <c r="U59" s="1674">
        <f t="shared" si="2"/>
        <v>0.33333333333333331</v>
      </c>
      <c r="V59" s="1581">
        <v>3</v>
      </c>
      <c r="W59" s="1582">
        <v>3</v>
      </c>
      <c r="X59" s="1582">
        <v>1</v>
      </c>
      <c r="Y59" s="1582"/>
      <c r="Z59" s="1586">
        <f>SUM(V59:Y59)</f>
        <v>7</v>
      </c>
      <c r="AA59" s="1674">
        <f t="shared" si="3"/>
        <v>0.16666666666666666</v>
      </c>
      <c r="AB59" s="1581">
        <v>3</v>
      </c>
      <c r="AC59" s="1582">
        <v>4</v>
      </c>
      <c r="AD59" s="1582">
        <v>1</v>
      </c>
      <c r="AE59" s="1582"/>
      <c r="AF59" s="1586">
        <f t="shared" si="10"/>
        <v>8</v>
      </c>
      <c r="AG59" s="1674">
        <f t="shared" si="4"/>
        <v>0.14285714285714285</v>
      </c>
      <c r="AH59" s="1581">
        <v>2</v>
      </c>
      <c r="AI59" s="1582">
        <v>3</v>
      </c>
      <c r="AJ59" s="1582"/>
      <c r="AK59" s="1582"/>
      <c r="AL59" s="1586">
        <f t="shared" si="11"/>
        <v>5</v>
      </c>
      <c r="AM59" s="1674">
        <f t="shared" si="5"/>
        <v>0</v>
      </c>
      <c r="AN59" s="1581">
        <v>2</v>
      </c>
      <c r="AO59" s="1582">
        <v>4</v>
      </c>
      <c r="AP59" s="1582"/>
      <c r="AQ59" s="1582"/>
      <c r="AR59" s="1586">
        <f t="shared" si="63"/>
        <v>6</v>
      </c>
      <c r="AS59" s="1674">
        <f t="shared" si="68"/>
        <v>0</v>
      </c>
      <c r="AT59" s="1581">
        <v>0</v>
      </c>
      <c r="AU59" s="1582">
        <v>5</v>
      </c>
      <c r="AV59" s="1582">
        <v>0</v>
      </c>
      <c r="AW59" s="1582">
        <v>0</v>
      </c>
      <c r="AX59" s="1586">
        <f t="shared" ref="AX59:AX61" si="72">SUM(AT59:AW59)</f>
        <v>5</v>
      </c>
      <c r="AY59" s="1674">
        <f t="shared" si="70"/>
        <v>0</v>
      </c>
      <c r="AZ59" s="1581">
        <v>0</v>
      </c>
      <c r="BA59" s="1582">
        <v>8</v>
      </c>
      <c r="BB59" s="1582">
        <v>0</v>
      </c>
      <c r="BC59" s="1582">
        <v>0</v>
      </c>
      <c r="BD59" s="1586">
        <v>8</v>
      </c>
      <c r="BE59" s="1674">
        <f t="shared" si="71"/>
        <v>0</v>
      </c>
    </row>
    <row r="60" spans="1:57" ht="17.100000000000001" customHeight="1">
      <c r="A60" s="1684" t="s">
        <v>82</v>
      </c>
      <c r="B60" s="1608" t="s">
        <v>41</v>
      </c>
      <c r="C60" s="1609" t="s">
        <v>1190</v>
      </c>
      <c r="D60" s="1581"/>
      <c r="E60" s="1582"/>
      <c r="F60" s="1582">
        <v>1</v>
      </c>
      <c r="G60" s="1582"/>
      <c r="H60" s="1586">
        <f>SUM(D60:G60)</f>
        <v>1</v>
      </c>
      <c r="I60" s="1674"/>
      <c r="J60" s="1581"/>
      <c r="K60" s="1582">
        <v>1</v>
      </c>
      <c r="L60" s="1582">
        <v>1</v>
      </c>
      <c r="M60" s="1582"/>
      <c r="N60" s="1586">
        <f>SUM(J60:M60)</f>
        <v>2</v>
      </c>
      <c r="O60" s="1674">
        <f t="shared" si="1"/>
        <v>1</v>
      </c>
      <c r="P60" s="1581"/>
      <c r="Q60" s="1582">
        <v>2</v>
      </c>
      <c r="R60" s="1582">
        <v>1</v>
      </c>
      <c r="S60" s="1582"/>
      <c r="T60" s="1586">
        <f>SUM(P60:S60)</f>
        <v>3</v>
      </c>
      <c r="U60" s="1674">
        <f t="shared" si="2"/>
        <v>0.5</v>
      </c>
      <c r="V60" s="1581"/>
      <c r="W60" s="1582">
        <v>3</v>
      </c>
      <c r="X60" s="1582">
        <v>1</v>
      </c>
      <c r="Y60" s="1582"/>
      <c r="Z60" s="1586">
        <f>SUM(V60:Y60)</f>
        <v>4</v>
      </c>
      <c r="AA60" s="1674">
        <f t="shared" si="3"/>
        <v>0.33333333333333331</v>
      </c>
      <c r="AB60" s="1581">
        <v>2</v>
      </c>
      <c r="AC60" s="1582">
        <v>3</v>
      </c>
      <c r="AD60" s="1582"/>
      <c r="AE60" s="1582"/>
      <c r="AF60" s="1586">
        <f t="shared" si="10"/>
        <v>5</v>
      </c>
      <c r="AG60" s="1674">
        <f t="shared" si="4"/>
        <v>0</v>
      </c>
      <c r="AH60" s="1581">
        <v>3</v>
      </c>
      <c r="AI60" s="1582">
        <v>1</v>
      </c>
      <c r="AJ60" s="1582">
        <v>1</v>
      </c>
      <c r="AK60" s="1582"/>
      <c r="AL60" s="1586">
        <f t="shared" si="11"/>
        <v>5</v>
      </c>
      <c r="AM60" s="1674">
        <f t="shared" si="5"/>
        <v>0.25</v>
      </c>
      <c r="AN60" s="1581">
        <v>1</v>
      </c>
      <c r="AO60" s="1582">
        <v>2</v>
      </c>
      <c r="AP60" s="1582">
        <v>1</v>
      </c>
      <c r="AQ60" s="1582"/>
      <c r="AR60" s="1586">
        <f t="shared" si="63"/>
        <v>4</v>
      </c>
      <c r="AS60" s="1674">
        <f t="shared" si="68"/>
        <v>0.33333333333333331</v>
      </c>
      <c r="AT60" s="1581">
        <v>1</v>
      </c>
      <c r="AU60" s="1582">
        <v>3</v>
      </c>
      <c r="AV60" s="1582">
        <v>1</v>
      </c>
      <c r="AW60" s="1582">
        <v>0</v>
      </c>
      <c r="AX60" s="1586">
        <f t="shared" si="72"/>
        <v>5</v>
      </c>
      <c r="AY60" s="1674">
        <f t="shared" si="70"/>
        <v>0.25</v>
      </c>
      <c r="AZ60" s="1581">
        <v>0</v>
      </c>
      <c r="BA60" s="1582">
        <v>3</v>
      </c>
      <c r="BB60" s="1582">
        <v>2</v>
      </c>
      <c r="BC60" s="1582">
        <v>0</v>
      </c>
      <c r="BD60" s="1586">
        <v>5</v>
      </c>
      <c r="BE60" s="1674">
        <f t="shared" si="71"/>
        <v>0.66666666666666663</v>
      </c>
    </row>
    <row r="61" spans="1:57" ht="17.100000000000001" customHeight="1" thickBot="1">
      <c r="A61" s="1684" t="s">
        <v>82</v>
      </c>
      <c r="B61" s="1608" t="s">
        <v>41</v>
      </c>
      <c r="C61" s="1609" t="s">
        <v>1181</v>
      </c>
      <c r="D61" s="1581"/>
      <c r="E61" s="1582"/>
      <c r="F61" s="1582"/>
      <c r="G61" s="1582"/>
      <c r="H61" s="1586"/>
      <c r="I61" s="1674"/>
      <c r="J61" s="1581"/>
      <c r="K61" s="1582">
        <v>1</v>
      </c>
      <c r="L61" s="1582"/>
      <c r="M61" s="1582"/>
      <c r="N61" s="1586">
        <f>SUM(J61:M61)</f>
        <v>1</v>
      </c>
      <c r="O61" s="1674">
        <f t="shared" si="1"/>
        <v>0</v>
      </c>
      <c r="P61" s="1581"/>
      <c r="Q61" s="1582">
        <v>1</v>
      </c>
      <c r="R61" s="1582"/>
      <c r="S61" s="1582"/>
      <c r="T61" s="1586">
        <f>SUM(P61:S61)</f>
        <v>1</v>
      </c>
      <c r="U61" s="1674">
        <f t="shared" si="2"/>
        <v>0</v>
      </c>
      <c r="V61" s="1581">
        <v>2</v>
      </c>
      <c r="W61" s="1582">
        <v>2</v>
      </c>
      <c r="X61" s="1582">
        <v>2</v>
      </c>
      <c r="Y61" s="1582"/>
      <c r="Z61" s="1586">
        <f>SUM(V61:Y61)</f>
        <v>6</v>
      </c>
      <c r="AA61" s="1674">
        <f t="shared" si="3"/>
        <v>0.5</v>
      </c>
      <c r="AB61" s="1581"/>
      <c r="AC61" s="1582"/>
      <c r="AD61" s="1582">
        <v>2</v>
      </c>
      <c r="AE61" s="1582"/>
      <c r="AF61" s="1586">
        <f t="shared" si="10"/>
        <v>2</v>
      </c>
      <c r="AG61" s="1674"/>
      <c r="AH61" s="1581">
        <v>1</v>
      </c>
      <c r="AI61" s="1582">
        <v>2</v>
      </c>
      <c r="AJ61" s="1582">
        <v>2</v>
      </c>
      <c r="AK61" s="1582"/>
      <c r="AL61" s="1586">
        <f t="shared" si="11"/>
        <v>5</v>
      </c>
      <c r="AM61" s="1674"/>
      <c r="AN61" s="1581">
        <v>1</v>
      </c>
      <c r="AO61" s="1582">
        <v>1</v>
      </c>
      <c r="AP61" s="1582">
        <v>2</v>
      </c>
      <c r="AQ61" s="1582"/>
      <c r="AR61" s="1586">
        <f t="shared" si="63"/>
        <v>4</v>
      </c>
      <c r="AS61" s="1674">
        <f t="shared" si="68"/>
        <v>1</v>
      </c>
      <c r="AT61" s="1581">
        <v>2</v>
      </c>
      <c r="AU61" s="1582">
        <v>3</v>
      </c>
      <c r="AV61" s="1582">
        <v>2</v>
      </c>
      <c r="AW61" s="1582">
        <v>0</v>
      </c>
      <c r="AX61" s="1586">
        <f t="shared" si="72"/>
        <v>7</v>
      </c>
      <c r="AY61" s="1674">
        <f t="shared" si="70"/>
        <v>0.4</v>
      </c>
      <c r="AZ61" s="1581">
        <v>3</v>
      </c>
      <c r="BA61" s="1582">
        <v>1</v>
      </c>
      <c r="BB61" s="1582">
        <v>2</v>
      </c>
      <c r="BC61" s="1582">
        <v>0</v>
      </c>
      <c r="BD61" s="1586">
        <v>6</v>
      </c>
      <c r="BE61" s="1674">
        <f t="shared" si="71"/>
        <v>0.5</v>
      </c>
    </row>
    <row r="62" spans="1:57" ht="17.100000000000001" customHeight="1" thickBot="1">
      <c r="A62" s="5227" t="s">
        <v>1655</v>
      </c>
      <c r="B62" s="5228"/>
      <c r="C62" s="5229"/>
      <c r="D62" s="1628">
        <f>SUM(D59:D60)</f>
        <v>0</v>
      </c>
      <c r="E62" s="1629">
        <f>SUM(E59:E60)</f>
        <v>1</v>
      </c>
      <c r="F62" s="1629">
        <f>SUM(F59:F60)</f>
        <v>1</v>
      </c>
      <c r="G62" s="1629">
        <f>SUM(G59:G60)</f>
        <v>0</v>
      </c>
      <c r="H62" s="1630">
        <f>SUM(H59:H60)</f>
        <v>2</v>
      </c>
      <c r="I62" s="1675">
        <f t="shared" si="0"/>
        <v>1</v>
      </c>
      <c r="J62" s="1628">
        <f>SUM(J59:J61)</f>
        <v>1</v>
      </c>
      <c r="K62" s="1629">
        <f>SUM(K59:K61)</f>
        <v>5</v>
      </c>
      <c r="L62" s="1629">
        <f>SUM(L59:L61)</f>
        <v>1</v>
      </c>
      <c r="M62" s="1629">
        <f>SUM(M59:M61)</f>
        <v>0</v>
      </c>
      <c r="N62" s="1630">
        <f>SUM(N59:N61)</f>
        <v>7</v>
      </c>
      <c r="O62" s="1675">
        <f t="shared" si="1"/>
        <v>0.16666666666666666</v>
      </c>
      <c r="P62" s="1628">
        <f>SUM(P59:P61)</f>
        <v>1</v>
      </c>
      <c r="Q62" s="1629">
        <f>SUM(Q59:Q61)</f>
        <v>5</v>
      </c>
      <c r="R62" s="1629">
        <f>SUM(R59:R61)</f>
        <v>2</v>
      </c>
      <c r="S62" s="1629">
        <f>SUM(S59:S61)</f>
        <v>0</v>
      </c>
      <c r="T62" s="1630">
        <f>SUM(T59:T61)</f>
        <v>8</v>
      </c>
      <c r="U62" s="1675">
        <f t="shared" si="2"/>
        <v>0.33333333333333331</v>
      </c>
      <c r="V62" s="1628">
        <f>SUM(V59:V61)</f>
        <v>5</v>
      </c>
      <c r="W62" s="1629">
        <f>SUM(W59:W61)</f>
        <v>8</v>
      </c>
      <c r="X62" s="1629">
        <f>SUM(X59:X61)</f>
        <v>4</v>
      </c>
      <c r="Y62" s="1629">
        <f>SUM(Y59:Y61)</f>
        <v>0</v>
      </c>
      <c r="Z62" s="1630">
        <f>SUM(Z59:Z61)</f>
        <v>17</v>
      </c>
      <c r="AA62" s="1675">
        <f t="shared" si="3"/>
        <v>0.30769230769230771</v>
      </c>
      <c r="AB62" s="1628">
        <f>SUM(AB59:AB61)</f>
        <v>5</v>
      </c>
      <c r="AC62" s="1629">
        <f>SUM(AC59:AC61)</f>
        <v>7</v>
      </c>
      <c r="AD62" s="1629">
        <f>SUM(AD59:AD61)</f>
        <v>3</v>
      </c>
      <c r="AE62" s="1629">
        <f>SUM(AE59:AE61)</f>
        <v>0</v>
      </c>
      <c r="AF62" s="1630">
        <f t="shared" si="10"/>
        <v>15</v>
      </c>
      <c r="AG62" s="1675">
        <f t="shared" si="4"/>
        <v>0.25</v>
      </c>
      <c r="AH62" s="1628">
        <v>6</v>
      </c>
      <c r="AI62" s="1629">
        <v>6</v>
      </c>
      <c r="AJ62" s="1629">
        <v>3</v>
      </c>
      <c r="AK62" s="1629">
        <v>0</v>
      </c>
      <c r="AL62" s="1630">
        <f t="shared" si="11"/>
        <v>15</v>
      </c>
      <c r="AM62" s="1675">
        <f t="shared" si="5"/>
        <v>0.25</v>
      </c>
      <c r="AN62" s="1628">
        <f>SUM(AN59:AN61)</f>
        <v>4</v>
      </c>
      <c r="AO62" s="1629">
        <f t="shared" ref="AO62:AR62" si="73">SUM(AO59:AO61)</f>
        <v>7</v>
      </c>
      <c r="AP62" s="1629">
        <f t="shared" si="73"/>
        <v>3</v>
      </c>
      <c r="AQ62" s="1629">
        <f t="shared" si="73"/>
        <v>0</v>
      </c>
      <c r="AR62" s="1630">
        <f t="shared" si="73"/>
        <v>14</v>
      </c>
      <c r="AS62" s="1675">
        <f t="shared" ref="AS62:AS64" si="74">(AP62+AQ62)/(AN62+AO62)</f>
        <v>0.27272727272727271</v>
      </c>
      <c r="AT62" s="1628">
        <v>3</v>
      </c>
      <c r="AU62" s="1629">
        <v>11</v>
      </c>
      <c r="AV62" s="1629">
        <v>3</v>
      </c>
      <c r="AW62" s="1629">
        <v>0</v>
      </c>
      <c r="AX62" s="1630">
        <f t="shared" ref="AX62" si="75">SUM(AX59:AX61)</f>
        <v>17</v>
      </c>
      <c r="AY62" s="1675">
        <f t="shared" si="70"/>
        <v>0.21428571428571427</v>
      </c>
      <c r="AZ62" s="1628">
        <v>3</v>
      </c>
      <c r="BA62" s="1629">
        <v>12</v>
      </c>
      <c r="BB62" s="1629">
        <v>4</v>
      </c>
      <c r="BC62" s="1629">
        <v>0</v>
      </c>
      <c r="BD62" s="1630">
        <v>19</v>
      </c>
      <c r="BE62" s="1675">
        <f t="shared" si="71"/>
        <v>0.26666666666666666</v>
      </c>
    </row>
    <row r="63" spans="1:57" ht="17.100000000000001" customHeight="1">
      <c r="A63" s="1684" t="s">
        <v>82</v>
      </c>
      <c r="B63" s="1608" t="s">
        <v>16</v>
      </c>
      <c r="C63" s="1636" t="s">
        <v>1191</v>
      </c>
      <c r="D63" s="1581"/>
      <c r="E63" s="1582"/>
      <c r="F63" s="1582"/>
      <c r="G63" s="1582"/>
      <c r="H63" s="1586">
        <f>SUM(D63:G63)</f>
        <v>0</v>
      </c>
      <c r="I63" s="1674"/>
      <c r="J63" s="1581"/>
      <c r="K63" s="1582"/>
      <c r="L63" s="1582"/>
      <c r="M63" s="1582"/>
      <c r="N63" s="1586">
        <f>SUM(J63:M63)</f>
        <v>0</v>
      </c>
      <c r="O63" s="1674"/>
      <c r="P63" s="1581"/>
      <c r="Q63" s="1582"/>
      <c r="R63" s="1582"/>
      <c r="S63" s="1582"/>
      <c r="T63" s="1586">
        <f>SUM(P63:S63)</f>
        <v>0</v>
      </c>
      <c r="U63" s="1674"/>
      <c r="V63" s="1581">
        <v>1</v>
      </c>
      <c r="W63" s="1582"/>
      <c r="X63" s="1582"/>
      <c r="Y63" s="1582"/>
      <c r="Z63" s="1586">
        <f>SUM(V63:Y63)</f>
        <v>1</v>
      </c>
      <c r="AA63" s="1674">
        <f t="shared" si="3"/>
        <v>0</v>
      </c>
      <c r="AB63" s="1581">
        <v>1</v>
      </c>
      <c r="AC63" s="1582"/>
      <c r="AD63" s="1582"/>
      <c r="AE63" s="1582"/>
      <c r="AF63" s="1586">
        <f t="shared" si="10"/>
        <v>1</v>
      </c>
      <c r="AG63" s="1674">
        <f t="shared" si="4"/>
        <v>0</v>
      </c>
      <c r="AH63" s="1581">
        <v>1</v>
      </c>
      <c r="AI63" s="1582">
        <v>1</v>
      </c>
      <c r="AJ63" s="1582"/>
      <c r="AK63" s="1582"/>
      <c r="AL63" s="1586">
        <f t="shared" si="11"/>
        <v>2</v>
      </c>
      <c r="AM63" s="1674">
        <f t="shared" si="5"/>
        <v>0</v>
      </c>
      <c r="AN63" s="1581">
        <v>1</v>
      </c>
      <c r="AO63" s="1582">
        <v>1</v>
      </c>
      <c r="AP63" s="1582"/>
      <c r="AQ63" s="1582"/>
      <c r="AR63" s="1586">
        <f t="shared" si="63"/>
        <v>2</v>
      </c>
      <c r="AS63" s="1674">
        <f t="shared" si="74"/>
        <v>0</v>
      </c>
      <c r="AT63" s="1581">
        <v>3</v>
      </c>
      <c r="AU63" s="1582">
        <v>1</v>
      </c>
      <c r="AV63" s="1582">
        <v>0</v>
      </c>
      <c r="AW63" s="1582">
        <v>0</v>
      </c>
      <c r="AX63" s="1586">
        <f t="shared" ref="AX63:AX65" si="76">SUM(AT63:AW63)</f>
        <v>4</v>
      </c>
      <c r="AY63" s="1674">
        <f t="shared" si="70"/>
        <v>0</v>
      </c>
      <c r="AZ63" s="1581">
        <v>1</v>
      </c>
      <c r="BA63" s="1582">
        <v>2</v>
      </c>
      <c r="BB63" s="1582">
        <v>0</v>
      </c>
      <c r="BC63" s="1582">
        <v>0</v>
      </c>
      <c r="BD63" s="1586">
        <v>3</v>
      </c>
      <c r="BE63" s="1674">
        <f t="shared" si="71"/>
        <v>0</v>
      </c>
    </row>
    <row r="64" spans="1:57" ht="17.100000000000001" customHeight="1">
      <c r="A64" s="1684" t="s">
        <v>82</v>
      </c>
      <c r="B64" s="1608" t="s">
        <v>16</v>
      </c>
      <c r="C64" s="1636" t="s">
        <v>1192</v>
      </c>
      <c r="D64" s="1581"/>
      <c r="E64" s="1582"/>
      <c r="F64" s="1582"/>
      <c r="G64" s="1582"/>
      <c r="H64" s="1586"/>
      <c r="I64" s="1674"/>
      <c r="J64" s="1581"/>
      <c r="K64" s="1582"/>
      <c r="L64" s="1582"/>
      <c r="M64" s="1582"/>
      <c r="N64" s="1586"/>
      <c r="O64" s="1674"/>
      <c r="P64" s="1581"/>
      <c r="Q64" s="1582"/>
      <c r="R64" s="1582"/>
      <c r="S64" s="1582"/>
      <c r="T64" s="1586">
        <f>SUM(P64:S64)</f>
        <v>0</v>
      </c>
      <c r="U64" s="1674"/>
      <c r="V64" s="1581"/>
      <c r="W64" s="1582"/>
      <c r="X64" s="1582"/>
      <c r="Y64" s="1582"/>
      <c r="Z64" s="1586">
        <f>SUM(V64:Y64)</f>
        <v>0</v>
      </c>
      <c r="AA64" s="1674"/>
      <c r="AB64" s="1581"/>
      <c r="AC64" s="1582"/>
      <c r="AD64" s="1582">
        <v>1</v>
      </c>
      <c r="AE64" s="1582"/>
      <c r="AF64" s="1586">
        <f t="shared" si="10"/>
        <v>1</v>
      </c>
      <c r="AG64" s="1674"/>
      <c r="AH64" s="1581">
        <v>1</v>
      </c>
      <c r="AI64" s="1582"/>
      <c r="AJ64" s="1582">
        <v>1</v>
      </c>
      <c r="AK64" s="1582"/>
      <c r="AL64" s="1586">
        <f t="shared" si="11"/>
        <v>2</v>
      </c>
      <c r="AM64" s="1674"/>
      <c r="AN64" s="1581">
        <v>2</v>
      </c>
      <c r="AO64" s="1582"/>
      <c r="AP64" s="1582">
        <v>1</v>
      </c>
      <c r="AQ64" s="1582"/>
      <c r="AR64" s="1586">
        <f t="shared" si="63"/>
        <v>3</v>
      </c>
      <c r="AS64" s="1674">
        <f t="shared" si="74"/>
        <v>0.5</v>
      </c>
      <c r="AT64" s="1581">
        <v>3</v>
      </c>
      <c r="AU64" s="1582">
        <v>0</v>
      </c>
      <c r="AV64" s="1582">
        <v>1</v>
      </c>
      <c r="AW64" s="1582">
        <v>0</v>
      </c>
      <c r="AX64" s="1586">
        <f t="shared" si="76"/>
        <v>4</v>
      </c>
      <c r="AY64" s="1674">
        <f t="shared" si="70"/>
        <v>0.33333333333333331</v>
      </c>
      <c r="AZ64" s="1581">
        <v>2</v>
      </c>
      <c r="BA64" s="1582">
        <v>1</v>
      </c>
      <c r="BB64" s="1582">
        <v>1</v>
      </c>
      <c r="BC64" s="1582">
        <v>1</v>
      </c>
      <c r="BD64" s="1586">
        <v>5</v>
      </c>
      <c r="BE64" s="1674">
        <f t="shared" si="71"/>
        <v>0.66666666666666663</v>
      </c>
    </row>
    <row r="65" spans="1:57" ht="17.100000000000001" customHeight="1" thickBot="1">
      <c r="A65" s="1684" t="s">
        <v>82</v>
      </c>
      <c r="B65" s="1608" t="s">
        <v>16</v>
      </c>
      <c r="C65" s="1637" t="s">
        <v>1193</v>
      </c>
      <c r="D65" s="1581"/>
      <c r="E65" s="1582"/>
      <c r="F65" s="1582"/>
      <c r="G65" s="1582"/>
      <c r="H65" s="1586"/>
      <c r="I65" s="1674"/>
      <c r="J65" s="1581"/>
      <c r="K65" s="1582"/>
      <c r="L65" s="1582"/>
      <c r="M65" s="1582"/>
      <c r="N65" s="1586"/>
      <c r="O65" s="1674"/>
      <c r="P65" s="1581"/>
      <c r="Q65" s="1582">
        <v>1</v>
      </c>
      <c r="R65" s="1582"/>
      <c r="S65" s="1582"/>
      <c r="T65" s="1586">
        <f>SUM(P65:S65)</f>
        <v>1</v>
      </c>
      <c r="U65" s="1674">
        <f t="shared" si="2"/>
        <v>0</v>
      </c>
      <c r="V65" s="1581">
        <v>3</v>
      </c>
      <c r="W65" s="1582">
        <v>1</v>
      </c>
      <c r="X65" s="1582"/>
      <c r="Y65" s="1582"/>
      <c r="Z65" s="1586">
        <f>SUM(V65:Y65)</f>
        <v>4</v>
      </c>
      <c r="AA65" s="1674">
        <f t="shared" si="3"/>
        <v>0</v>
      </c>
      <c r="AB65" s="1581">
        <v>4</v>
      </c>
      <c r="AC65" s="1582">
        <v>1</v>
      </c>
      <c r="AD65" s="1582"/>
      <c r="AE65" s="1582"/>
      <c r="AF65" s="1586">
        <f t="shared" si="10"/>
        <v>5</v>
      </c>
      <c r="AG65" s="1674">
        <f t="shared" si="4"/>
        <v>0</v>
      </c>
      <c r="AH65" s="1581">
        <v>4</v>
      </c>
      <c r="AI65" s="1582">
        <v>2</v>
      </c>
      <c r="AJ65" s="1582">
        <v>1</v>
      </c>
      <c r="AK65" s="1582"/>
      <c r="AL65" s="1586">
        <f t="shared" si="11"/>
        <v>7</v>
      </c>
      <c r="AM65" s="1674">
        <f t="shared" si="5"/>
        <v>0.16666666666666666</v>
      </c>
      <c r="AN65" s="1581">
        <v>2</v>
      </c>
      <c r="AO65" s="1582">
        <v>6</v>
      </c>
      <c r="AP65" s="1582">
        <v>1</v>
      </c>
      <c r="AQ65" s="1582"/>
      <c r="AR65" s="1586">
        <f t="shared" si="63"/>
        <v>9</v>
      </c>
      <c r="AS65" s="1674">
        <f t="shared" ref="AS65:AS78" si="77">(AP65+AQ65)/(AN65+AO65)</f>
        <v>0.125</v>
      </c>
      <c r="AT65" s="1581">
        <v>4</v>
      </c>
      <c r="AU65" s="1582">
        <v>8</v>
      </c>
      <c r="AV65" s="1582">
        <v>1</v>
      </c>
      <c r="AW65" s="1582">
        <v>0</v>
      </c>
      <c r="AX65" s="1586">
        <f t="shared" si="76"/>
        <v>13</v>
      </c>
      <c r="AY65" s="1674">
        <f t="shared" si="70"/>
        <v>8.3333333333333329E-2</v>
      </c>
      <c r="AZ65" s="1581">
        <v>2</v>
      </c>
      <c r="BA65" s="1582">
        <v>7</v>
      </c>
      <c r="BB65" s="1582">
        <v>1</v>
      </c>
      <c r="BC65" s="1582">
        <v>0</v>
      </c>
      <c r="BD65" s="1586">
        <v>10</v>
      </c>
      <c r="BE65" s="1674">
        <f t="shared" si="71"/>
        <v>0.1111111111111111</v>
      </c>
    </row>
    <row r="66" spans="1:57" ht="17.100000000000001" customHeight="1">
      <c r="A66" s="5230" t="s">
        <v>1648</v>
      </c>
      <c r="B66" s="5231"/>
      <c r="C66" s="5232"/>
      <c r="D66" s="1638">
        <f>SUM(D63)</f>
        <v>0</v>
      </c>
      <c r="E66" s="1639">
        <f>SUM(E63)</f>
        <v>0</v>
      </c>
      <c r="F66" s="1639">
        <f>SUM(F63)</f>
        <v>0</v>
      </c>
      <c r="G66" s="1639">
        <f>SUM(G63)</f>
        <v>0</v>
      </c>
      <c r="H66" s="1640">
        <f>SUM(H63)</f>
        <v>0</v>
      </c>
      <c r="I66" s="1675"/>
      <c r="J66" s="1638">
        <f>SUM(J63)</f>
        <v>0</v>
      </c>
      <c r="K66" s="1639">
        <f>SUM(K63)</f>
        <v>0</v>
      </c>
      <c r="L66" s="1639">
        <f>SUM(L63)</f>
        <v>0</v>
      </c>
      <c r="M66" s="1639">
        <f>SUM(M63)</f>
        <v>0</v>
      </c>
      <c r="N66" s="1640">
        <f>SUM(N63)</f>
        <v>0</v>
      </c>
      <c r="O66" s="1675"/>
      <c r="P66" s="1638">
        <f>SUM(P63:P65)</f>
        <v>0</v>
      </c>
      <c r="Q66" s="1639">
        <f>SUM(Q63:Q65)</f>
        <v>1</v>
      </c>
      <c r="R66" s="1639">
        <f>SUM(R63:R65)</f>
        <v>0</v>
      </c>
      <c r="S66" s="1639">
        <f>SUM(S63:S65)</f>
        <v>0</v>
      </c>
      <c r="T66" s="1640">
        <f>SUM(T63:T65)</f>
        <v>1</v>
      </c>
      <c r="U66" s="1675">
        <f t="shared" si="2"/>
        <v>0</v>
      </c>
      <c r="V66" s="1638">
        <f>SUM(V63:V65)</f>
        <v>4</v>
      </c>
      <c r="W66" s="1639">
        <f>SUM(W63:W65)</f>
        <v>1</v>
      </c>
      <c r="X66" s="1639">
        <f>SUM(X63:X65)</f>
        <v>0</v>
      </c>
      <c r="Y66" s="1639">
        <f>SUM(Y63:Y65)</f>
        <v>0</v>
      </c>
      <c r="Z66" s="1640">
        <f>SUM(Z63:Z65)</f>
        <v>5</v>
      </c>
      <c r="AA66" s="1675">
        <f t="shared" si="3"/>
        <v>0</v>
      </c>
      <c r="AB66" s="1638">
        <f>SUM(AB63:AB65)</f>
        <v>5</v>
      </c>
      <c r="AC66" s="1639">
        <f>SUM(AC63:AC65)</f>
        <v>1</v>
      </c>
      <c r="AD66" s="1639">
        <f>SUM(AD63:AD65)</f>
        <v>1</v>
      </c>
      <c r="AE66" s="1639">
        <f>SUM(AE63:AE65)</f>
        <v>0</v>
      </c>
      <c r="AF66" s="1640">
        <f t="shared" si="10"/>
        <v>7</v>
      </c>
      <c r="AG66" s="1675">
        <f t="shared" si="4"/>
        <v>0.16666666666666666</v>
      </c>
      <c r="AH66" s="1638">
        <v>6</v>
      </c>
      <c r="AI66" s="1639">
        <v>3</v>
      </c>
      <c r="AJ66" s="1639">
        <v>2</v>
      </c>
      <c r="AK66" s="1639">
        <v>0</v>
      </c>
      <c r="AL66" s="1640">
        <f t="shared" si="11"/>
        <v>11</v>
      </c>
      <c r="AM66" s="1675">
        <f t="shared" si="5"/>
        <v>0.22222222222222221</v>
      </c>
      <c r="AN66" s="1638">
        <f>SUM(AN63:AN65)</f>
        <v>5</v>
      </c>
      <c r="AO66" s="1639">
        <f t="shared" ref="AO66:AR66" si="78">SUM(AO63:AO65)</f>
        <v>7</v>
      </c>
      <c r="AP66" s="1639">
        <f t="shared" si="78"/>
        <v>2</v>
      </c>
      <c r="AQ66" s="1639">
        <f t="shared" si="78"/>
        <v>0</v>
      </c>
      <c r="AR66" s="1640">
        <f t="shared" si="78"/>
        <v>14</v>
      </c>
      <c r="AS66" s="1675">
        <f t="shared" si="77"/>
        <v>0.16666666666666666</v>
      </c>
      <c r="AT66" s="1638">
        <v>10</v>
      </c>
      <c r="AU66" s="1639">
        <v>9</v>
      </c>
      <c r="AV66" s="1639">
        <v>2</v>
      </c>
      <c r="AW66" s="1639">
        <v>0</v>
      </c>
      <c r="AX66" s="1640">
        <f t="shared" ref="AX66" si="79">SUM(AX63:AX65)</f>
        <v>21</v>
      </c>
      <c r="AY66" s="1675">
        <f t="shared" si="70"/>
        <v>0.10526315789473684</v>
      </c>
      <c r="AZ66" s="1638">
        <v>5</v>
      </c>
      <c r="BA66" s="1639">
        <v>10</v>
      </c>
      <c r="BB66" s="1639">
        <v>2</v>
      </c>
      <c r="BC66" s="1639">
        <v>1</v>
      </c>
      <c r="BD66" s="1640">
        <v>18</v>
      </c>
      <c r="BE66" s="1675">
        <f t="shared" si="71"/>
        <v>0.2</v>
      </c>
    </row>
    <row r="67" spans="1:57" ht="17.100000000000001" customHeight="1">
      <c r="A67" s="5236" t="s">
        <v>1079</v>
      </c>
      <c r="B67" s="5237"/>
      <c r="C67" s="5238"/>
      <c r="D67" s="1599">
        <f>SUM(D66,D62,D58)</f>
        <v>0</v>
      </c>
      <c r="E67" s="1600">
        <f>SUM(E66,E62,E58)</f>
        <v>3</v>
      </c>
      <c r="F67" s="1600">
        <f>SUM(F66,F62,F58)</f>
        <v>1</v>
      </c>
      <c r="G67" s="1600">
        <f>SUM(G66,G62,G58)</f>
        <v>0</v>
      </c>
      <c r="H67" s="1601">
        <f>SUM(H58,H62,H66)</f>
        <v>4</v>
      </c>
      <c r="I67" s="1680">
        <f t="shared" si="0"/>
        <v>0.33333333333333331</v>
      </c>
      <c r="J67" s="1599">
        <f>SUM(J66,J62,J58)</f>
        <v>2</v>
      </c>
      <c r="K67" s="1600">
        <f t="shared" ref="K67:N67" si="80">SUM(K66,K62,K58)</f>
        <v>8</v>
      </c>
      <c r="L67" s="1600">
        <f t="shared" si="80"/>
        <v>1</v>
      </c>
      <c r="M67" s="1600">
        <f t="shared" si="80"/>
        <v>0</v>
      </c>
      <c r="N67" s="1601">
        <f t="shared" si="80"/>
        <v>11</v>
      </c>
      <c r="O67" s="1680">
        <f t="shared" si="1"/>
        <v>0.1</v>
      </c>
      <c r="P67" s="1599">
        <f>SUM(P66,P62,P58)</f>
        <v>2</v>
      </c>
      <c r="Q67" s="1600">
        <f>SUM(Q66,Q62,Q58)</f>
        <v>9</v>
      </c>
      <c r="R67" s="1600">
        <f>SUM(R66,R62,R58)</f>
        <v>2</v>
      </c>
      <c r="S67" s="1600">
        <f>SUM(S66,S62,S58)</f>
        <v>0</v>
      </c>
      <c r="T67" s="1601">
        <f>SUM(T58,T62,T66)</f>
        <v>13</v>
      </c>
      <c r="U67" s="1680">
        <f t="shared" si="2"/>
        <v>0.18181818181818182</v>
      </c>
      <c r="V67" s="1599">
        <f>SUM(V66,V62,V58)</f>
        <v>10</v>
      </c>
      <c r="W67" s="1600">
        <f>SUM(W66,W62,W58)</f>
        <v>17</v>
      </c>
      <c r="X67" s="1600">
        <f>SUM(X66,X62,X58)</f>
        <v>4</v>
      </c>
      <c r="Y67" s="1600">
        <f>SUM(Y66,Y62,Y58)</f>
        <v>0</v>
      </c>
      <c r="Z67" s="1601">
        <f>SUM(Z58,Z62,Z66)</f>
        <v>31</v>
      </c>
      <c r="AA67" s="1680">
        <f t="shared" si="3"/>
        <v>0.14814814814814814</v>
      </c>
      <c r="AB67" s="1599">
        <f>SUM(AB66,AB62,AB58)</f>
        <v>11</v>
      </c>
      <c r="AC67" s="1600">
        <f>SUM(AC66,AC62,AC58)</f>
        <v>13</v>
      </c>
      <c r="AD67" s="1600">
        <f>SUM(AD66,AD62,AD58)</f>
        <v>4</v>
      </c>
      <c r="AE67" s="1600">
        <f>SUM(AE66,AE62,AE58)</f>
        <v>0</v>
      </c>
      <c r="AF67" s="1601">
        <f t="shared" si="10"/>
        <v>28</v>
      </c>
      <c r="AG67" s="1680">
        <f t="shared" si="4"/>
        <v>0.16666666666666666</v>
      </c>
      <c r="AH67" s="1599">
        <v>15</v>
      </c>
      <c r="AI67" s="1600">
        <v>13</v>
      </c>
      <c r="AJ67" s="1600">
        <v>6</v>
      </c>
      <c r="AK67" s="1600">
        <v>0</v>
      </c>
      <c r="AL67" s="1601">
        <f t="shared" si="11"/>
        <v>34</v>
      </c>
      <c r="AM67" s="1680">
        <f t="shared" si="5"/>
        <v>0.21428571428571427</v>
      </c>
      <c r="AN67" s="1599">
        <f>SUM(AN58,AN62,AN66)</f>
        <v>12</v>
      </c>
      <c r="AO67" s="1600">
        <f t="shared" ref="AO67:AR67" si="81">SUM(AO58,AO62,AO66)</f>
        <v>19</v>
      </c>
      <c r="AP67" s="1600">
        <f t="shared" si="81"/>
        <v>6</v>
      </c>
      <c r="AQ67" s="1600">
        <f t="shared" si="81"/>
        <v>0</v>
      </c>
      <c r="AR67" s="1601">
        <f t="shared" si="81"/>
        <v>37</v>
      </c>
      <c r="AS67" s="1680">
        <f t="shared" si="77"/>
        <v>0.19354838709677419</v>
      </c>
      <c r="AT67" s="1599">
        <v>18</v>
      </c>
      <c r="AU67" s="1600">
        <v>27</v>
      </c>
      <c r="AV67" s="1600">
        <v>6</v>
      </c>
      <c r="AW67" s="1600">
        <v>0</v>
      </c>
      <c r="AX67" s="1601">
        <f t="shared" ref="AX67" si="82">SUM(AX58,AX62,AX66)</f>
        <v>51</v>
      </c>
      <c r="AY67" s="1680">
        <f t="shared" si="70"/>
        <v>0.13333333333333333</v>
      </c>
      <c r="AZ67" s="1599">
        <v>13</v>
      </c>
      <c r="BA67" s="1600">
        <v>30</v>
      </c>
      <c r="BB67" s="1600">
        <v>7</v>
      </c>
      <c r="BC67" s="1600">
        <v>1</v>
      </c>
      <c r="BD67" s="1601">
        <v>51</v>
      </c>
      <c r="BE67" s="1680">
        <f t="shared" si="71"/>
        <v>0.18604651162790697</v>
      </c>
    </row>
    <row r="68" spans="1:57" ht="17.100000000000001" customHeight="1">
      <c r="A68" s="1684" t="s">
        <v>74</v>
      </c>
      <c r="B68" s="1606" t="s">
        <v>41</v>
      </c>
      <c r="C68" s="1607" t="s">
        <v>1194</v>
      </c>
      <c r="D68" s="1596"/>
      <c r="E68" s="1597">
        <v>18</v>
      </c>
      <c r="F68" s="1597">
        <v>4</v>
      </c>
      <c r="G68" s="1597"/>
      <c r="H68" s="1598">
        <f>SUM(D68:G68)</f>
        <v>22</v>
      </c>
      <c r="I68" s="1677">
        <f t="shared" si="0"/>
        <v>0.22222222222222221</v>
      </c>
      <c r="J68" s="1596"/>
      <c r="K68" s="1597">
        <v>18</v>
      </c>
      <c r="L68" s="1597">
        <v>4</v>
      </c>
      <c r="M68" s="1597">
        <v>1</v>
      </c>
      <c r="N68" s="1598">
        <f>SUM(J68:M68)</f>
        <v>23</v>
      </c>
      <c r="O68" s="1677">
        <f t="shared" si="1"/>
        <v>0.27777777777777779</v>
      </c>
      <c r="P68" s="1596">
        <v>1</v>
      </c>
      <c r="Q68" s="1597">
        <v>18</v>
      </c>
      <c r="R68" s="1597">
        <v>3</v>
      </c>
      <c r="S68" s="1597">
        <v>1</v>
      </c>
      <c r="T68" s="1598">
        <f>SUM(P68:S68)</f>
        <v>23</v>
      </c>
      <c r="U68" s="1677">
        <f t="shared" si="2"/>
        <v>0.21052631578947367</v>
      </c>
      <c r="V68" s="1596">
        <v>1</v>
      </c>
      <c r="W68" s="1597">
        <v>17</v>
      </c>
      <c r="X68" s="1597">
        <v>4</v>
      </c>
      <c r="Y68" s="1597">
        <v>1</v>
      </c>
      <c r="Z68" s="1598">
        <f>SUM(V68:Y68)</f>
        <v>23</v>
      </c>
      <c r="AA68" s="1677">
        <f t="shared" si="3"/>
        <v>0.27777777777777779</v>
      </c>
      <c r="AB68" s="1596">
        <v>6</v>
      </c>
      <c r="AC68" s="1597">
        <v>17</v>
      </c>
      <c r="AD68" s="1597">
        <v>5</v>
      </c>
      <c r="AE68" s="1597">
        <v>1</v>
      </c>
      <c r="AF68" s="1598">
        <f t="shared" si="10"/>
        <v>29</v>
      </c>
      <c r="AG68" s="1677">
        <f t="shared" si="4"/>
        <v>0.2608695652173913</v>
      </c>
      <c r="AH68" s="1596">
        <v>4</v>
      </c>
      <c r="AI68" s="1597">
        <v>19</v>
      </c>
      <c r="AJ68" s="1597">
        <v>8</v>
      </c>
      <c r="AK68" s="1597">
        <v>1</v>
      </c>
      <c r="AL68" s="1598">
        <f t="shared" si="11"/>
        <v>32</v>
      </c>
      <c r="AM68" s="1677">
        <f t="shared" si="5"/>
        <v>0.39130434782608697</v>
      </c>
      <c r="AN68" s="1596">
        <v>5</v>
      </c>
      <c r="AO68" s="1597">
        <v>24</v>
      </c>
      <c r="AP68" s="1597">
        <v>8</v>
      </c>
      <c r="AQ68" s="1597">
        <v>2</v>
      </c>
      <c r="AR68" s="1598">
        <f>SUM(AN68:AQ68)</f>
        <v>39</v>
      </c>
      <c r="AS68" s="1677">
        <f t="shared" si="77"/>
        <v>0.34482758620689657</v>
      </c>
      <c r="AT68" s="1596">
        <v>5</v>
      </c>
      <c r="AU68" s="1597">
        <v>21</v>
      </c>
      <c r="AV68" s="1597">
        <v>10</v>
      </c>
      <c r="AW68" s="1597">
        <v>2</v>
      </c>
      <c r="AX68" s="1598">
        <f>SUM(AT68:AW68)</f>
        <v>38</v>
      </c>
      <c r="AY68" s="1677">
        <f t="shared" si="70"/>
        <v>0.46153846153846156</v>
      </c>
      <c r="AZ68" s="1596">
        <v>3</v>
      </c>
      <c r="BA68" s="1597">
        <v>20</v>
      </c>
      <c r="BB68" s="1597">
        <v>13</v>
      </c>
      <c r="BC68" s="1597">
        <v>2</v>
      </c>
      <c r="BD68" s="1598">
        <v>38</v>
      </c>
      <c r="BE68" s="1677">
        <f t="shared" si="71"/>
        <v>0.65217391304347827</v>
      </c>
    </row>
    <row r="69" spans="1:57" ht="17.100000000000001" customHeight="1">
      <c r="A69" s="1685" t="s">
        <v>74</v>
      </c>
      <c r="B69" s="1608" t="s">
        <v>41</v>
      </c>
      <c r="C69" s="1609" t="s">
        <v>1195</v>
      </c>
      <c r="D69" s="1581">
        <v>2</v>
      </c>
      <c r="E69" s="1582">
        <v>10</v>
      </c>
      <c r="F69" s="1610"/>
      <c r="G69" s="1610"/>
      <c r="H69" s="1611">
        <f>SUM(D69:G69)</f>
        <v>12</v>
      </c>
      <c r="I69" s="1674">
        <f t="shared" si="0"/>
        <v>0</v>
      </c>
      <c r="J69" s="1581">
        <v>2</v>
      </c>
      <c r="K69" s="1582">
        <v>10</v>
      </c>
      <c r="L69" s="1610"/>
      <c r="M69" s="1610"/>
      <c r="N69" s="1611">
        <f>SUM(J69:M69)</f>
        <v>12</v>
      </c>
      <c r="O69" s="1674">
        <f t="shared" si="1"/>
        <v>0</v>
      </c>
      <c r="P69" s="1581">
        <v>2</v>
      </c>
      <c r="Q69" s="1582">
        <v>9</v>
      </c>
      <c r="R69" s="1610"/>
      <c r="S69" s="1610"/>
      <c r="T69" s="1611">
        <f>SUM(P69:S69)</f>
        <v>11</v>
      </c>
      <c r="U69" s="1674">
        <f t="shared" si="2"/>
        <v>0</v>
      </c>
      <c r="V69" s="1581">
        <v>2</v>
      </c>
      <c r="W69" s="1582">
        <v>7</v>
      </c>
      <c r="X69" s="1610">
        <v>1</v>
      </c>
      <c r="Y69" s="1610"/>
      <c r="Z69" s="1611">
        <f>SUM(V69:Y69)</f>
        <v>10</v>
      </c>
      <c r="AA69" s="1674">
        <f t="shared" si="3"/>
        <v>0.1111111111111111</v>
      </c>
      <c r="AB69" s="1581">
        <v>2</v>
      </c>
      <c r="AC69" s="1582">
        <v>5</v>
      </c>
      <c r="AD69" s="1610"/>
      <c r="AE69" s="1610"/>
      <c r="AF69" s="1611">
        <f t="shared" si="10"/>
        <v>7</v>
      </c>
      <c r="AG69" s="1674">
        <f t="shared" si="4"/>
        <v>0</v>
      </c>
      <c r="AH69" s="1581">
        <v>4</v>
      </c>
      <c r="AI69" s="1582">
        <v>6</v>
      </c>
      <c r="AJ69" s="1610"/>
      <c r="AK69" s="1610"/>
      <c r="AL69" s="1611">
        <f t="shared" si="11"/>
        <v>10</v>
      </c>
      <c r="AM69" s="1674">
        <f t="shared" si="5"/>
        <v>0</v>
      </c>
      <c r="AN69" s="1581">
        <v>5</v>
      </c>
      <c r="AO69" s="1582">
        <v>10</v>
      </c>
      <c r="AP69" s="1610"/>
      <c r="AQ69" s="1610"/>
      <c r="AR69" s="1611">
        <f t="shared" ref="AR69:AR82" si="83">SUM(AN69:AQ69)</f>
        <v>15</v>
      </c>
      <c r="AS69" s="1674">
        <f t="shared" si="77"/>
        <v>0</v>
      </c>
      <c r="AT69" s="1581">
        <v>3</v>
      </c>
      <c r="AU69" s="1582">
        <v>10</v>
      </c>
      <c r="AV69" s="1610">
        <v>1</v>
      </c>
      <c r="AW69" s="1610">
        <v>0</v>
      </c>
      <c r="AX69" s="1611">
        <f t="shared" ref="AX69:AX82" si="84">SUM(AT69:AW69)</f>
        <v>14</v>
      </c>
      <c r="AY69" s="1674">
        <f t="shared" si="70"/>
        <v>7.6923076923076927E-2</v>
      </c>
      <c r="AZ69" s="1581">
        <v>1</v>
      </c>
      <c r="BA69" s="1582">
        <v>10</v>
      </c>
      <c r="BB69" s="1610">
        <v>1</v>
      </c>
      <c r="BC69" s="1610">
        <v>0</v>
      </c>
      <c r="BD69" s="1611">
        <v>12</v>
      </c>
      <c r="BE69" s="1674">
        <f t="shared" si="71"/>
        <v>9.0909090909090912E-2</v>
      </c>
    </row>
    <row r="70" spans="1:57" ht="17.100000000000001" customHeight="1">
      <c r="A70" s="1685" t="s">
        <v>74</v>
      </c>
      <c r="B70" s="1608" t="s">
        <v>41</v>
      </c>
      <c r="C70" s="1609" t="s">
        <v>1196</v>
      </c>
      <c r="D70" s="1581">
        <v>4</v>
      </c>
      <c r="E70" s="1582">
        <v>11</v>
      </c>
      <c r="F70" s="1582">
        <v>5</v>
      </c>
      <c r="G70" s="1582">
        <v>1</v>
      </c>
      <c r="H70" s="1586">
        <f>SUM(D70:G70)</f>
        <v>21</v>
      </c>
      <c r="I70" s="1674">
        <f t="shared" ref="I70:I84" si="85">(F70+G70)/(D70+E70)</f>
        <v>0.4</v>
      </c>
      <c r="J70" s="1581">
        <v>4</v>
      </c>
      <c r="K70" s="1582">
        <v>11</v>
      </c>
      <c r="L70" s="1582">
        <v>5</v>
      </c>
      <c r="M70" s="1582">
        <v>1</v>
      </c>
      <c r="N70" s="1586">
        <f>SUM(J70:M70)</f>
        <v>21</v>
      </c>
      <c r="O70" s="1674">
        <f t="shared" ref="O70:O84" si="86">(L70+M70)/(J70+K70)</f>
        <v>0.4</v>
      </c>
      <c r="P70" s="1581">
        <v>4</v>
      </c>
      <c r="Q70" s="1582">
        <v>10</v>
      </c>
      <c r="R70" s="1582">
        <v>6</v>
      </c>
      <c r="S70" s="1582">
        <v>1</v>
      </c>
      <c r="T70" s="1586">
        <f>SUM(P70:S70)</f>
        <v>21</v>
      </c>
      <c r="U70" s="1674">
        <f t="shared" ref="U70:U84" si="87">(R70+S70)/(P70+Q70)</f>
        <v>0.5</v>
      </c>
      <c r="V70" s="1581">
        <v>3</v>
      </c>
      <c r="W70" s="1582">
        <v>16</v>
      </c>
      <c r="X70" s="1582">
        <v>5</v>
      </c>
      <c r="Y70" s="1582">
        <v>1</v>
      </c>
      <c r="Z70" s="1586">
        <f>SUM(V70:Y70)</f>
        <v>25</v>
      </c>
      <c r="AA70" s="1674">
        <f t="shared" ref="AA70:AA84" si="88">(X70+Y70)/(V70+W70)</f>
        <v>0.31578947368421051</v>
      </c>
      <c r="AB70" s="1581">
        <v>4</v>
      </c>
      <c r="AC70" s="1582">
        <v>16</v>
      </c>
      <c r="AD70" s="1582">
        <v>5</v>
      </c>
      <c r="AE70" s="1582">
        <v>1</v>
      </c>
      <c r="AF70" s="1586">
        <f t="shared" si="10"/>
        <v>26</v>
      </c>
      <c r="AG70" s="1674">
        <f t="shared" ref="AG70:AG84" si="89">(AD70+AE70)/(AB70+AC70)</f>
        <v>0.3</v>
      </c>
      <c r="AH70" s="1581">
        <v>3</v>
      </c>
      <c r="AI70" s="1582">
        <v>16</v>
      </c>
      <c r="AJ70" s="1582">
        <v>7</v>
      </c>
      <c r="AK70" s="1582">
        <v>1</v>
      </c>
      <c r="AL70" s="1586">
        <f t="shared" si="11"/>
        <v>27</v>
      </c>
      <c r="AM70" s="1674">
        <f t="shared" ref="AM70:AM84" si="90">(AJ70+AK70)/(AH70+AI70)</f>
        <v>0.42105263157894735</v>
      </c>
      <c r="AN70" s="1581">
        <v>4</v>
      </c>
      <c r="AO70" s="1582">
        <v>13</v>
      </c>
      <c r="AP70" s="1582">
        <v>7</v>
      </c>
      <c r="AQ70" s="1582">
        <v>1</v>
      </c>
      <c r="AR70" s="1586">
        <f t="shared" si="83"/>
        <v>25</v>
      </c>
      <c r="AS70" s="1674">
        <f t="shared" si="77"/>
        <v>0.47058823529411764</v>
      </c>
      <c r="AT70" s="1581">
        <v>5</v>
      </c>
      <c r="AU70" s="1582">
        <v>11</v>
      </c>
      <c r="AV70" s="1582">
        <v>7</v>
      </c>
      <c r="AW70" s="1582">
        <v>1</v>
      </c>
      <c r="AX70" s="1586">
        <f t="shared" si="84"/>
        <v>24</v>
      </c>
      <c r="AY70" s="1674">
        <f t="shared" si="70"/>
        <v>0.5</v>
      </c>
      <c r="AZ70" s="1581">
        <v>6</v>
      </c>
      <c r="BA70" s="1582">
        <v>12</v>
      </c>
      <c r="BB70" s="1582">
        <v>5</v>
      </c>
      <c r="BC70" s="1582">
        <v>1</v>
      </c>
      <c r="BD70" s="1586">
        <v>24</v>
      </c>
      <c r="BE70" s="1674">
        <f t="shared" si="71"/>
        <v>0.33333333333333331</v>
      </c>
    </row>
    <row r="71" spans="1:57" ht="17.100000000000001" customHeight="1" thickBot="1">
      <c r="A71" s="1687" t="s">
        <v>74</v>
      </c>
      <c r="B71" s="1615" t="s">
        <v>41</v>
      </c>
      <c r="C71" s="1616" t="s">
        <v>1197</v>
      </c>
      <c r="D71" s="1614">
        <v>2</v>
      </c>
      <c r="E71" s="1582">
        <v>14</v>
      </c>
      <c r="F71" s="1582">
        <v>5</v>
      </c>
      <c r="G71" s="1610"/>
      <c r="H71" s="1611">
        <f>SUM(D71:G71)</f>
        <v>21</v>
      </c>
      <c r="I71" s="1674">
        <f t="shared" si="85"/>
        <v>0.3125</v>
      </c>
      <c r="J71" s="1614">
        <v>2</v>
      </c>
      <c r="K71" s="1582">
        <v>16</v>
      </c>
      <c r="L71" s="1582">
        <v>5</v>
      </c>
      <c r="M71" s="1610"/>
      <c r="N71" s="1611">
        <f>SUM(J71:M71)</f>
        <v>23</v>
      </c>
      <c r="O71" s="1674">
        <f t="shared" si="86"/>
        <v>0.27777777777777779</v>
      </c>
      <c r="P71" s="1614">
        <v>2</v>
      </c>
      <c r="Q71" s="1582">
        <v>24</v>
      </c>
      <c r="R71" s="1582">
        <v>5</v>
      </c>
      <c r="S71" s="1610"/>
      <c r="T71" s="1611">
        <f>SUM(P71:S71)</f>
        <v>31</v>
      </c>
      <c r="U71" s="1674">
        <f t="shared" si="87"/>
        <v>0.19230769230769232</v>
      </c>
      <c r="V71" s="1614">
        <v>8</v>
      </c>
      <c r="W71" s="1582">
        <v>26</v>
      </c>
      <c r="X71" s="1582">
        <v>5</v>
      </c>
      <c r="Y71" s="1610">
        <v>1</v>
      </c>
      <c r="Z71" s="1611">
        <f>SUM(V71:Y71)</f>
        <v>40</v>
      </c>
      <c r="AA71" s="1674">
        <f t="shared" si="88"/>
        <v>0.17647058823529413</v>
      </c>
      <c r="AB71" s="1614">
        <v>11</v>
      </c>
      <c r="AC71" s="1582">
        <v>23</v>
      </c>
      <c r="AD71" s="1582">
        <v>5</v>
      </c>
      <c r="AE71" s="1610">
        <v>1</v>
      </c>
      <c r="AF71" s="1611">
        <f t="shared" ref="AF71:AF83" si="91">SUM(AB71:AE71)</f>
        <v>40</v>
      </c>
      <c r="AG71" s="1674">
        <f t="shared" si="89"/>
        <v>0.17647058823529413</v>
      </c>
      <c r="AH71" s="1614">
        <v>6</v>
      </c>
      <c r="AI71" s="1582">
        <v>26</v>
      </c>
      <c r="AJ71" s="1582">
        <v>5</v>
      </c>
      <c r="AK71" s="1610">
        <v>2</v>
      </c>
      <c r="AL71" s="1611">
        <f t="shared" ref="AL71:AL83" si="92">SUM(AH71:AK71)</f>
        <v>39</v>
      </c>
      <c r="AM71" s="1674">
        <f t="shared" si="90"/>
        <v>0.21875</v>
      </c>
      <c r="AN71" s="1614">
        <v>9</v>
      </c>
      <c r="AO71" s="1582">
        <v>25</v>
      </c>
      <c r="AP71" s="1582">
        <v>4</v>
      </c>
      <c r="AQ71" s="1610">
        <v>3</v>
      </c>
      <c r="AR71" s="1611">
        <f t="shared" si="83"/>
        <v>41</v>
      </c>
      <c r="AS71" s="1674">
        <f t="shared" si="77"/>
        <v>0.20588235294117646</v>
      </c>
      <c r="AT71" s="1614">
        <v>7</v>
      </c>
      <c r="AU71" s="1582">
        <v>26</v>
      </c>
      <c r="AV71" s="1582">
        <v>4</v>
      </c>
      <c r="AW71" s="1610">
        <v>3</v>
      </c>
      <c r="AX71" s="1611">
        <f t="shared" si="84"/>
        <v>40</v>
      </c>
      <c r="AY71" s="1674">
        <f t="shared" si="70"/>
        <v>0.21212121212121213</v>
      </c>
      <c r="AZ71" s="1614">
        <v>7</v>
      </c>
      <c r="BA71" s="1582">
        <v>22</v>
      </c>
      <c r="BB71" s="1582">
        <v>4</v>
      </c>
      <c r="BC71" s="1610">
        <v>3</v>
      </c>
      <c r="BD71" s="1611">
        <v>36</v>
      </c>
      <c r="BE71" s="1674">
        <f t="shared" si="71"/>
        <v>0.2413793103448276</v>
      </c>
    </row>
    <row r="72" spans="1:57" ht="17.100000000000001" customHeight="1" thickBot="1">
      <c r="A72" s="5227" t="s">
        <v>1655</v>
      </c>
      <c r="B72" s="5228"/>
      <c r="C72" s="5229"/>
      <c r="D72" s="1628">
        <f>SUM(D68:D71)</f>
        <v>8</v>
      </c>
      <c r="E72" s="1629">
        <f>SUM(E68:E71)</f>
        <v>53</v>
      </c>
      <c r="F72" s="1629">
        <f>SUM(F68:F71)</f>
        <v>14</v>
      </c>
      <c r="G72" s="1629">
        <f>SUM(G68:G71)</f>
        <v>1</v>
      </c>
      <c r="H72" s="1630">
        <f>SUM(H68:H71)</f>
        <v>76</v>
      </c>
      <c r="I72" s="1675">
        <f t="shared" si="85"/>
        <v>0.24590163934426229</v>
      </c>
      <c r="J72" s="1628">
        <f>SUM(J68:J71)</f>
        <v>8</v>
      </c>
      <c r="K72" s="1629">
        <f>SUM(K68:K71)</f>
        <v>55</v>
      </c>
      <c r="L72" s="1629">
        <f>SUM(L68:L71)</f>
        <v>14</v>
      </c>
      <c r="M72" s="1629">
        <f>SUM(M68:M71)</f>
        <v>2</v>
      </c>
      <c r="N72" s="1630">
        <f>SUM(N68:N71)</f>
        <v>79</v>
      </c>
      <c r="O72" s="1675">
        <f t="shared" si="86"/>
        <v>0.25396825396825395</v>
      </c>
      <c r="P72" s="1628">
        <f>SUM(P68:P71)</f>
        <v>9</v>
      </c>
      <c r="Q72" s="1629">
        <f>SUM(Q68:Q71)</f>
        <v>61</v>
      </c>
      <c r="R72" s="1629">
        <f>SUM(R68:R71)</f>
        <v>14</v>
      </c>
      <c r="S72" s="1629">
        <f>SUM(S68:S71)</f>
        <v>2</v>
      </c>
      <c r="T72" s="1630">
        <f>SUM(T68:T71)</f>
        <v>86</v>
      </c>
      <c r="U72" s="1675">
        <f t="shared" si="87"/>
        <v>0.22857142857142856</v>
      </c>
      <c r="V72" s="1628">
        <f>SUM(V68:V71)</f>
        <v>14</v>
      </c>
      <c r="W72" s="1629">
        <f>SUM(W68:W71)</f>
        <v>66</v>
      </c>
      <c r="X72" s="1629">
        <f>SUM(X68:X71)</f>
        <v>15</v>
      </c>
      <c r="Y72" s="1629">
        <f>SUM(Y68:Y71)</f>
        <v>3</v>
      </c>
      <c r="Z72" s="1630">
        <f>SUM(Z68:Z71)</f>
        <v>98</v>
      </c>
      <c r="AA72" s="1675">
        <f t="shared" si="88"/>
        <v>0.22500000000000001</v>
      </c>
      <c r="AB72" s="1628">
        <f>SUM(AB68:AB71)</f>
        <v>23</v>
      </c>
      <c r="AC72" s="1629">
        <f>SUM(AC68:AC71)</f>
        <v>61</v>
      </c>
      <c r="AD72" s="1629">
        <f>SUM(AD68:AD71)</f>
        <v>15</v>
      </c>
      <c r="AE72" s="1629">
        <f>SUM(AE68:AE71)</f>
        <v>3</v>
      </c>
      <c r="AF72" s="1630">
        <f t="shared" si="91"/>
        <v>102</v>
      </c>
      <c r="AG72" s="1675">
        <f t="shared" si="89"/>
        <v>0.21428571428571427</v>
      </c>
      <c r="AH72" s="1628">
        <v>17</v>
      </c>
      <c r="AI72" s="1629">
        <v>67</v>
      </c>
      <c r="AJ72" s="1629">
        <v>20</v>
      </c>
      <c r="AK72" s="1629">
        <v>4</v>
      </c>
      <c r="AL72" s="1630">
        <f t="shared" si="92"/>
        <v>108</v>
      </c>
      <c r="AM72" s="1675">
        <f t="shared" si="90"/>
        <v>0.2857142857142857</v>
      </c>
      <c r="AN72" s="1628">
        <f>SUM(AN68:AN71)</f>
        <v>23</v>
      </c>
      <c r="AO72" s="1629">
        <f t="shared" ref="AO72:AQ72" si="93">SUM(AO68:AO71)</f>
        <v>72</v>
      </c>
      <c r="AP72" s="1629">
        <f t="shared" si="93"/>
        <v>19</v>
      </c>
      <c r="AQ72" s="1629">
        <f t="shared" si="93"/>
        <v>6</v>
      </c>
      <c r="AR72" s="1630">
        <f t="shared" si="83"/>
        <v>120</v>
      </c>
      <c r="AS72" s="1675">
        <f t="shared" si="77"/>
        <v>0.26315789473684209</v>
      </c>
      <c r="AT72" s="1628">
        <v>20</v>
      </c>
      <c r="AU72" s="1629">
        <v>68</v>
      </c>
      <c r="AV72" s="1629">
        <v>22</v>
      </c>
      <c r="AW72" s="1629">
        <v>6</v>
      </c>
      <c r="AX72" s="1630">
        <f t="shared" si="84"/>
        <v>116</v>
      </c>
      <c r="AY72" s="1675">
        <f t="shared" si="70"/>
        <v>0.31818181818181818</v>
      </c>
      <c r="AZ72" s="1628">
        <v>17</v>
      </c>
      <c r="BA72" s="1629">
        <v>64</v>
      </c>
      <c r="BB72" s="1629">
        <v>23</v>
      </c>
      <c r="BC72" s="1629">
        <v>6</v>
      </c>
      <c r="BD72" s="1630">
        <v>110</v>
      </c>
      <c r="BE72" s="1675">
        <f t="shared" si="71"/>
        <v>0.35802469135802467</v>
      </c>
    </row>
    <row r="73" spans="1:57" ht="17.100000000000001" customHeight="1">
      <c r="A73" s="1688" t="s">
        <v>74</v>
      </c>
      <c r="B73" s="1617" t="s">
        <v>16</v>
      </c>
      <c r="C73" s="1631" t="s">
        <v>1198</v>
      </c>
      <c r="D73" s="1614"/>
      <c r="E73" s="1582">
        <f>14+3</f>
        <v>17</v>
      </c>
      <c r="F73" s="1582">
        <f>8+2</f>
        <v>10</v>
      </c>
      <c r="G73" s="1610">
        <v>1</v>
      </c>
      <c r="H73" s="1611">
        <f>SUM(D73:G73)</f>
        <v>28</v>
      </c>
      <c r="I73" s="1674">
        <f t="shared" si="85"/>
        <v>0.6470588235294118</v>
      </c>
      <c r="J73" s="1614"/>
      <c r="K73" s="1582">
        <f>14+3</f>
        <v>17</v>
      </c>
      <c r="L73" s="1582">
        <f>8+2</f>
        <v>10</v>
      </c>
      <c r="M73" s="1610">
        <v>1</v>
      </c>
      <c r="N73" s="1611">
        <f>SUM(J73:M73)</f>
        <v>28</v>
      </c>
      <c r="O73" s="1674">
        <f t="shared" si="86"/>
        <v>0.6470588235294118</v>
      </c>
      <c r="P73" s="1614">
        <v>1</v>
      </c>
      <c r="Q73" s="1582">
        <v>16</v>
      </c>
      <c r="R73" s="1582">
        <v>11</v>
      </c>
      <c r="S73" s="1610">
        <v>1</v>
      </c>
      <c r="T73" s="1611">
        <f>SUM(P73:S73)</f>
        <v>29</v>
      </c>
      <c r="U73" s="1674">
        <f t="shared" si="87"/>
        <v>0.70588235294117652</v>
      </c>
      <c r="V73" s="1614">
        <v>3</v>
      </c>
      <c r="W73" s="1582">
        <v>13</v>
      </c>
      <c r="X73" s="1582">
        <v>12</v>
      </c>
      <c r="Y73" s="1610">
        <v>2</v>
      </c>
      <c r="Z73" s="1611">
        <f>SUM(V73:Y73)</f>
        <v>30</v>
      </c>
      <c r="AA73" s="1674">
        <f t="shared" si="88"/>
        <v>0.875</v>
      </c>
      <c r="AB73" s="1614">
        <v>2</v>
      </c>
      <c r="AC73" s="1582">
        <v>14</v>
      </c>
      <c r="AD73" s="1582">
        <v>12</v>
      </c>
      <c r="AE73" s="1610">
        <v>3</v>
      </c>
      <c r="AF73" s="1611">
        <f t="shared" si="91"/>
        <v>31</v>
      </c>
      <c r="AG73" s="1674">
        <f t="shared" si="89"/>
        <v>0.9375</v>
      </c>
      <c r="AH73" s="1614">
        <v>1</v>
      </c>
      <c r="AI73" s="1582">
        <v>13</v>
      </c>
      <c r="AJ73" s="1582">
        <v>13</v>
      </c>
      <c r="AK73" s="1610">
        <v>3</v>
      </c>
      <c r="AL73" s="1611">
        <f t="shared" si="92"/>
        <v>30</v>
      </c>
      <c r="AM73" s="1674">
        <f t="shared" si="90"/>
        <v>1.1428571428571428</v>
      </c>
      <c r="AN73" s="1614"/>
      <c r="AO73" s="1582">
        <v>14</v>
      </c>
      <c r="AP73" s="1582">
        <v>12</v>
      </c>
      <c r="AQ73" s="1610">
        <v>3</v>
      </c>
      <c r="AR73" s="1611">
        <f t="shared" si="83"/>
        <v>29</v>
      </c>
      <c r="AS73" s="1674">
        <f t="shared" si="77"/>
        <v>1.0714285714285714</v>
      </c>
      <c r="AT73" s="1614">
        <v>1</v>
      </c>
      <c r="AU73" s="1582">
        <v>11</v>
      </c>
      <c r="AV73" s="1582">
        <v>12</v>
      </c>
      <c r="AW73" s="1610">
        <v>3</v>
      </c>
      <c r="AX73" s="1611">
        <f t="shared" si="84"/>
        <v>27</v>
      </c>
      <c r="AY73" s="1674">
        <f t="shared" si="70"/>
        <v>1.25</v>
      </c>
      <c r="AZ73" s="1614">
        <v>1</v>
      </c>
      <c r="BA73" s="1582">
        <v>13</v>
      </c>
      <c r="BB73" s="1582">
        <v>12</v>
      </c>
      <c r="BC73" s="1610">
        <v>3</v>
      </c>
      <c r="BD73" s="1611">
        <v>29</v>
      </c>
      <c r="BE73" s="1674">
        <f t="shared" si="71"/>
        <v>1.0714285714285714</v>
      </c>
    </row>
    <row r="74" spans="1:57" ht="17.100000000000001" customHeight="1">
      <c r="A74" s="1685" t="s">
        <v>74</v>
      </c>
      <c r="B74" s="1608" t="s">
        <v>16</v>
      </c>
      <c r="C74" s="1609" t="s">
        <v>1199</v>
      </c>
      <c r="D74" s="1614">
        <v>1</v>
      </c>
      <c r="E74" s="1582">
        <v>21</v>
      </c>
      <c r="F74" s="1582">
        <v>11</v>
      </c>
      <c r="G74" s="1582">
        <v>1</v>
      </c>
      <c r="H74" s="1586">
        <f>SUM(D74:G74)</f>
        <v>34</v>
      </c>
      <c r="I74" s="1674">
        <f t="shared" si="85"/>
        <v>0.54545454545454541</v>
      </c>
      <c r="J74" s="1614">
        <v>1</v>
      </c>
      <c r="K74" s="1582">
        <v>21</v>
      </c>
      <c r="L74" s="1582">
        <v>11</v>
      </c>
      <c r="M74" s="1582">
        <v>1</v>
      </c>
      <c r="N74" s="1586">
        <f>SUM(J74:M74)</f>
        <v>34</v>
      </c>
      <c r="O74" s="1674">
        <f t="shared" si="86"/>
        <v>0.54545454545454541</v>
      </c>
      <c r="P74" s="1614">
        <v>1</v>
      </c>
      <c r="Q74" s="1582">
        <v>20</v>
      </c>
      <c r="R74" s="1582">
        <v>12</v>
      </c>
      <c r="S74" s="1582"/>
      <c r="T74" s="1586">
        <f>SUM(P74:S74)</f>
        <v>33</v>
      </c>
      <c r="U74" s="1674">
        <f t="shared" si="87"/>
        <v>0.5714285714285714</v>
      </c>
      <c r="V74" s="1614">
        <v>4</v>
      </c>
      <c r="W74" s="1582">
        <v>24</v>
      </c>
      <c r="X74" s="1582">
        <v>9</v>
      </c>
      <c r="Y74" s="1582">
        <v>1</v>
      </c>
      <c r="Z74" s="1586">
        <f>SUM(V74:Y74)</f>
        <v>38</v>
      </c>
      <c r="AA74" s="1674">
        <f t="shared" si="88"/>
        <v>0.35714285714285715</v>
      </c>
      <c r="AB74" s="1614">
        <v>6</v>
      </c>
      <c r="AC74" s="1582">
        <v>26</v>
      </c>
      <c r="AD74" s="1582">
        <v>5</v>
      </c>
      <c r="AE74" s="1582">
        <v>3</v>
      </c>
      <c r="AF74" s="1586">
        <f t="shared" si="91"/>
        <v>40</v>
      </c>
      <c r="AG74" s="1674">
        <f t="shared" si="89"/>
        <v>0.25</v>
      </c>
      <c r="AH74" s="1614">
        <v>6</v>
      </c>
      <c r="AI74" s="1582">
        <v>24</v>
      </c>
      <c r="AJ74" s="1582">
        <v>5</v>
      </c>
      <c r="AK74" s="1582">
        <v>4</v>
      </c>
      <c r="AL74" s="1586">
        <f t="shared" si="92"/>
        <v>39</v>
      </c>
      <c r="AM74" s="1674">
        <f t="shared" si="90"/>
        <v>0.3</v>
      </c>
      <c r="AN74" s="1614">
        <v>3</v>
      </c>
      <c r="AO74" s="1582">
        <v>25</v>
      </c>
      <c r="AP74" s="1582">
        <v>7</v>
      </c>
      <c r="AQ74" s="1582">
        <v>4</v>
      </c>
      <c r="AR74" s="1586">
        <f t="shared" si="83"/>
        <v>39</v>
      </c>
      <c r="AS74" s="1674">
        <f t="shared" si="77"/>
        <v>0.39285714285714285</v>
      </c>
      <c r="AT74" s="1614">
        <v>1</v>
      </c>
      <c r="AU74" s="1582">
        <v>22</v>
      </c>
      <c r="AV74" s="1582">
        <v>9</v>
      </c>
      <c r="AW74" s="1582">
        <v>4</v>
      </c>
      <c r="AX74" s="1586">
        <f t="shared" si="84"/>
        <v>36</v>
      </c>
      <c r="AY74" s="1674">
        <f t="shared" si="70"/>
        <v>0.56521739130434778</v>
      </c>
      <c r="AZ74" s="1614">
        <v>2</v>
      </c>
      <c r="BA74" s="1582">
        <v>20</v>
      </c>
      <c r="BB74" s="1582">
        <v>9</v>
      </c>
      <c r="BC74" s="1582">
        <v>4</v>
      </c>
      <c r="BD74" s="1586">
        <v>35</v>
      </c>
      <c r="BE74" s="1674">
        <f t="shared" si="71"/>
        <v>0.59090909090909094</v>
      </c>
    </row>
    <row r="75" spans="1:57" ht="17.100000000000001" customHeight="1">
      <c r="A75" s="1685" t="s">
        <v>74</v>
      </c>
      <c r="B75" s="1608" t="s">
        <v>16</v>
      </c>
      <c r="C75" s="1609" t="s">
        <v>1200</v>
      </c>
      <c r="D75" s="1581">
        <v>2</v>
      </c>
      <c r="E75" s="1582">
        <v>14</v>
      </c>
      <c r="F75" s="1582">
        <v>7</v>
      </c>
      <c r="G75" s="1582">
        <v>7</v>
      </c>
      <c r="H75" s="1586">
        <f>SUM(D75:G75)</f>
        <v>30</v>
      </c>
      <c r="I75" s="1674">
        <f t="shared" si="85"/>
        <v>0.875</v>
      </c>
      <c r="J75" s="1581">
        <v>2</v>
      </c>
      <c r="K75" s="1582">
        <v>13</v>
      </c>
      <c r="L75" s="1582">
        <v>7</v>
      </c>
      <c r="M75" s="1582">
        <v>7</v>
      </c>
      <c r="N75" s="1586">
        <f>SUM(J75:M75)</f>
        <v>29</v>
      </c>
      <c r="O75" s="1674">
        <f t="shared" si="86"/>
        <v>0.93333333333333335</v>
      </c>
      <c r="P75" s="1581">
        <v>5</v>
      </c>
      <c r="Q75" s="1582">
        <v>14</v>
      </c>
      <c r="R75" s="1582">
        <v>7</v>
      </c>
      <c r="S75" s="1582">
        <v>9</v>
      </c>
      <c r="T75" s="1586">
        <f>SUM(P75:S75)</f>
        <v>35</v>
      </c>
      <c r="U75" s="1674">
        <f t="shared" si="87"/>
        <v>0.84210526315789469</v>
      </c>
      <c r="V75" s="1581">
        <v>6</v>
      </c>
      <c r="W75" s="1582">
        <v>14</v>
      </c>
      <c r="X75" s="1582">
        <v>6</v>
      </c>
      <c r="Y75" s="1582">
        <v>8</v>
      </c>
      <c r="Z75" s="1586">
        <f>SUM(V75:Y75)</f>
        <v>34</v>
      </c>
      <c r="AA75" s="1674">
        <f t="shared" si="88"/>
        <v>0.7</v>
      </c>
      <c r="AB75" s="1581">
        <v>6</v>
      </c>
      <c r="AC75" s="1582">
        <v>14</v>
      </c>
      <c r="AD75" s="1582">
        <v>6</v>
      </c>
      <c r="AE75" s="1582">
        <v>8</v>
      </c>
      <c r="AF75" s="1586">
        <f t="shared" si="91"/>
        <v>34</v>
      </c>
      <c r="AG75" s="1674">
        <f t="shared" si="89"/>
        <v>0.7</v>
      </c>
      <c r="AH75" s="1581">
        <v>5</v>
      </c>
      <c r="AI75" s="1582">
        <v>13</v>
      </c>
      <c r="AJ75" s="1582">
        <v>8</v>
      </c>
      <c r="AK75" s="1582">
        <v>8</v>
      </c>
      <c r="AL75" s="1586">
        <f t="shared" si="92"/>
        <v>34</v>
      </c>
      <c r="AM75" s="1674">
        <f t="shared" si="90"/>
        <v>0.88888888888888884</v>
      </c>
      <c r="AN75" s="1581">
        <v>5</v>
      </c>
      <c r="AO75" s="1582">
        <v>13</v>
      </c>
      <c r="AP75" s="1582">
        <v>7</v>
      </c>
      <c r="AQ75" s="1582">
        <v>9</v>
      </c>
      <c r="AR75" s="1586">
        <f t="shared" si="83"/>
        <v>34</v>
      </c>
      <c r="AS75" s="1674">
        <f t="shared" si="77"/>
        <v>0.88888888888888884</v>
      </c>
      <c r="AT75" s="1581">
        <v>4</v>
      </c>
      <c r="AU75" s="1582">
        <v>15</v>
      </c>
      <c r="AV75" s="1582">
        <v>6</v>
      </c>
      <c r="AW75" s="1582">
        <v>9</v>
      </c>
      <c r="AX75" s="1586">
        <f t="shared" si="84"/>
        <v>34</v>
      </c>
      <c r="AY75" s="1674">
        <f t="shared" si="70"/>
        <v>0.78947368421052633</v>
      </c>
      <c r="AZ75" s="1581">
        <v>4</v>
      </c>
      <c r="BA75" s="1582">
        <v>14</v>
      </c>
      <c r="BB75" s="1582">
        <v>5</v>
      </c>
      <c r="BC75" s="1582">
        <v>10</v>
      </c>
      <c r="BD75" s="1586">
        <v>33</v>
      </c>
      <c r="BE75" s="1674">
        <f t="shared" si="71"/>
        <v>0.83333333333333337</v>
      </c>
    </row>
    <row r="76" spans="1:57" ht="17.100000000000001" customHeight="1" thickBot="1">
      <c r="A76" s="1685" t="s">
        <v>74</v>
      </c>
      <c r="B76" s="1608" t="s">
        <v>16</v>
      </c>
      <c r="C76" s="1609" t="s">
        <v>1201</v>
      </c>
      <c r="D76" s="1614"/>
      <c r="E76" s="1582">
        <v>16</v>
      </c>
      <c r="F76" s="1582">
        <v>6</v>
      </c>
      <c r="G76" s="1582">
        <v>2</v>
      </c>
      <c r="H76" s="1586">
        <f>SUM(D76:G76)</f>
        <v>24</v>
      </c>
      <c r="I76" s="1674">
        <f t="shared" si="85"/>
        <v>0.5</v>
      </c>
      <c r="J76" s="1614"/>
      <c r="K76" s="1582">
        <v>16</v>
      </c>
      <c r="L76" s="1582">
        <v>6</v>
      </c>
      <c r="M76" s="1582">
        <v>2</v>
      </c>
      <c r="N76" s="1586">
        <f>SUM(J76:M76)</f>
        <v>24</v>
      </c>
      <c r="O76" s="1674">
        <f t="shared" si="86"/>
        <v>0.5</v>
      </c>
      <c r="P76" s="1614">
        <v>1</v>
      </c>
      <c r="Q76" s="1582">
        <v>15</v>
      </c>
      <c r="R76" s="1582">
        <v>5</v>
      </c>
      <c r="S76" s="1582">
        <v>2</v>
      </c>
      <c r="T76" s="1586">
        <f>SUM(P76:S76)</f>
        <v>23</v>
      </c>
      <c r="U76" s="1674">
        <f t="shared" si="87"/>
        <v>0.4375</v>
      </c>
      <c r="V76" s="1614">
        <v>2</v>
      </c>
      <c r="W76" s="1582">
        <v>12</v>
      </c>
      <c r="X76" s="1582">
        <v>7</v>
      </c>
      <c r="Y76" s="1582">
        <v>2</v>
      </c>
      <c r="Z76" s="1586">
        <f>SUM(V76:Y76)</f>
        <v>23</v>
      </c>
      <c r="AA76" s="1674">
        <f t="shared" si="88"/>
        <v>0.6428571428571429</v>
      </c>
      <c r="AB76" s="1614">
        <v>3</v>
      </c>
      <c r="AC76" s="1582">
        <v>12</v>
      </c>
      <c r="AD76" s="1582">
        <v>6</v>
      </c>
      <c r="AE76" s="1582">
        <v>2</v>
      </c>
      <c r="AF76" s="1586">
        <f t="shared" si="91"/>
        <v>23</v>
      </c>
      <c r="AG76" s="1674">
        <f t="shared" si="89"/>
        <v>0.53333333333333333</v>
      </c>
      <c r="AH76" s="1614">
        <v>2</v>
      </c>
      <c r="AI76" s="1582">
        <v>10</v>
      </c>
      <c r="AJ76" s="1582">
        <v>6</v>
      </c>
      <c r="AK76" s="1582">
        <v>2</v>
      </c>
      <c r="AL76" s="1586">
        <f t="shared" si="92"/>
        <v>20</v>
      </c>
      <c r="AM76" s="1674">
        <f t="shared" si="90"/>
        <v>0.66666666666666663</v>
      </c>
      <c r="AN76" s="1614">
        <v>2</v>
      </c>
      <c r="AO76" s="1582">
        <v>11</v>
      </c>
      <c r="AP76" s="1582">
        <v>4</v>
      </c>
      <c r="AQ76" s="1582">
        <v>4</v>
      </c>
      <c r="AR76" s="1586">
        <f t="shared" si="83"/>
        <v>21</v>
      </c>
      <c r="AS76" s="1674">
        <f t="shared" si="77"/>
        <v>0.61538461538461542</v>
      </c>
      <c r="AT76" s="1614">
        <v>0</v>
      </c>
      <c r="AU76" s="1582">
        <v>10</v>
      </c>
      <c r="AV76" s="1582">
        <v>6</v>
      </c>
      <c r="AW76" s="1582">
        <v>4</v>
      </c>
      <c r="AX76" s="1586">
        <f t="shared" si="84"/>
        <v>20</v>
      </c>
      <c r="AY76" s="1674">
        <f t="shared" si="70"/>
        <v>1</v>
      </c>
      <c r="AZ76" s="1614">
        <v>1</v>
      </c>
      <c r="BA76" s="1582">
        <v>7</v>
      </c>
      <c r="BB76" s="1582">
        <v>8</v>
      </c>
      <c r="BC76" s="1582">
        <v>4</v>
      </c>
      <c r="BD76" s="1586">
        <v>20</v>
      </c>
      <c r="BE76" s="1674">
        <f t="shared" si="71"/>
        <v>1.5</v>
      </c>
    </row>
    <row r="77" spans="1:57" ht="17.100000000000001" customHeight="1" thickBot="1">
      <c r="A77" s="5227" t="s">
        <v>1648</v>
      </c>
      <c r="B77" s="5228"/>
      <c r="C77" s="5229"/>
      <c r="D77" s="1628">
        <f>SUM(D73:D76)</f>
        <v>3</v>
      </c>
      <c r="E77" s="1629">
        <f>SUM(E73:E76)</f>
        <v>68</v>
      </c>
      <c r="F77" s="1629">
        <f>SUM(F73:F76)</f>
        <v>34</v>
      </c>
      <c r="G77" s="1629">
        <f>SUM(G73:G76)</f>
        <v>11</v>
      </c>
      <c r="H77" s="1630">
        <f>SUM(H73:H76)</f>
        <v>116</v>
      </c>
      <c r="I77" s="1675">
        <f t="shared" si="85"/>
        <v>0.63380281690140849</v>
      </c>
      <c r="J77" s="1628">
        <f>SUM(J73:J76)</f>
        <v>3</v>
      </c>
      <c r="K77" s="1629">
        <f>SUM(K73:K76)</f>
        <v>67</v>
      </c>
      <c r="L77" s="1629">
        <f>SUM(L73:L76)</f>
        <v>34</v>
      </c>
      <c r="M77" s="1629">
        <f>SUM(M73:M76)</f>
        <v>11</v>
      </c>
      <c r="N77" s="1630">
        <f>SUM(N73:N76)</f>
        <v>115</v>
      </c>
      <c r="O77" s="1675">
        <f t="shared" si="86"/>
        <v>0.6428571428571429</v>
      </c>
      <c r="P77" s="1628">
        <f>SUM(P73:P76)</f>
        <v>8</v>
      </c>
      <c r="Q77" s="1629">
        <f>SUM(Q73:Q76)</f>
        <v>65</v>
      </c>
      <c r="R77" s="1629">
        <f>SUM(R73:R76)</f>
        <v>35</v>
      </c>
      <c r="S77" s="1629">
        <f>SUM(S73:S76)</f>
        <v>12</v>
      </c>
      <c r="T77" s="1630">
        <f>SUM(T73:T76)</f>
        <v>120</v>
      </c>
      <c r="U77" s="1675">
        <f t="shared" si="87"/>
        <v>0.64383561643835618</v>
      </c>
      <c r="V77" s="1628">
        <f>SUM(V73:V76)</f>
        <v>15</v>
      </c>
      <c r="W77" s="1629">
        <f>SUM(W73:W76)</f>
        <v>63</v>
      </c>
      <c r="X77" s="1629">
        <f>SUM(X73:X76)</f>
        <v>34</v>
      </c>
      <c r="Y77" s="1629">
        <f>SUM(Y73:Y76)</f>
        <v>13</v>
      </c>
      <c r="Z77" s="1630">
        <f>SUM(Z73:Z76)</f>
        <v>125</v>
      </c>
      <c r="AA77" s="1675">
        <f t="shared" si="88"/>
        <v>0.60256410256410253</v>
      </c>
      <c r="AB77" s="1628">
        <f>SUM(AB73:AB76)</f>
        <v>17</v>
      </c>
      <c r="AC77" s="1629">
        <f>SUM(AC73:AC76)</f>
        <v>66</v>
      </c>
      <c r="AD77" s="1629">
        <f>SUM(AD73:AD76)</f>
        <v>29</v>
      </c>
      <c r="AE77" s="1629">
        <f>SUM(AE73:AE76)</f>
        <v>16</v>
      </c>
      <c r="AF77" s="1630">
        <f t="shared" si="91"/>
        <v>128</v>
      </c>
      <c r="AG77" s="1675">
        <f t="shared" si="89"/>
        <v>0.54216867469879515</v>
      </c>
      <c r="AH77" s="1628">
        <v>14</v>
      </c>
      <c r="AI77" s="1629">
        <v>60</v>
      </c>
      <c r="AJ77" s="1629">
        <v>32</v>
      </c>
      <c r="AK77" s="1629">
        <v>17</v>
      </c>
      <c r="AL77" s="1630">
        <f t="shared" si="92"/>
        <v>123</v>
      </c>
      <c r="AM77" s="1675">
        <f t="shared" si="90"/>
        <v>0.66216216216216217</v>
      </c>
      <c r="AN77" s="1628">
        <f>SUM(AN73:AN76)</f>
        <v>10</v>
      </c>
      <c r="AO77" s="1629">
        <f t="shared" ref="AO77:AQ77" si="94">SUM(AO73:AO76)</f>
        <v>63</v>
      </c>
      <c r="AP77" s="1629">
        <f t="shared" si="94"/>
        <v>30</v>
      </c>
      <c r="AQ77" s="1629">
        <f t="shared" si="94"/>
        <v>20</v>
      </c>
      <c r="AR77" s="1630">
        <f t="shared" si="83"/>
        <v>123</v>
      </c>
      <c r="AS77" s="1675">
        <f t="shared" si="77"/>
        <v>0.68493150684931503</v>
      </c>
      <c r="AT77" s="1628">
        <v>6</v>
      </c>
      <c r="AU77" s="1629">
        <v>58</v>
      </c>
      <c r="AV77" s="1629">
        <v>33</v>
      </c>
      <c r="AW77" s="1629">
        <v>20</v>
      </c>
      <c r="AX77" s="1630">
        <f t="shared" si="84"/>
        <v>117</v>
      </c>
      <c r="AY77" s="1675">
        <f t="shared" si="70"/>
        <v>0.828125</v>
      </c>
      <c r="AZ77" s="1628">
        <v>8</v>
      </c>
      <c r="BA77" s="1629">
        <v>54</v>
      </c>
      <c r="BB77" s="1629">
        <v>34</v>
      </c>
      <c r="BC77" s="1629">
        <v>21</v>
      </c>
      <c r="BD77" s="1630">
        <v>117</v>
      </c>
      <c r="BE77" s="1675">
        <f t="shared" si="71"/>
        <v>0.88709677419354838</v>
      </c>
    </row>
    <row r="78" spans="1:57" ht="17.100000000000001" customHeight="1">
      <c r="A78" s="1688" t="s">
        <v>74</v>
      </c>
      <c r="B78" s="1617" t="s">
        <v>1159</v>
      </c>
      <c r="C78" s="1631" t="s">
        <v>1202</v>
      </c>
      <c r="D78" s="1614"/>
      <c r="E78" s="1582">
        <v>4</v>
      </c>
      <c r="F78" s="1582">
        <v>2</v>
      </c>
      <c r="G78" s="1610"/>
      <c r="H78" s="1611">
        <f>SUM(D78:G78)</f>
        <v>6</v>
      </c>
      <c r="I78" s="1674">
        <f t="shared" si="85"/>
        <v>0.5</v>
      </c>
      <c r="J78" s="1614"/>
      <c r="K78" s="1582">
        <v>4</v>
      </c>
      <c r="L78" s="1582">
        <v>2</v>
      </c>
      <c r="M78" s="1610"/>
      <c r="N78" s="1611">
        <f>SUM(J78:M78)</f>
        <v>6</v>
      </c>
      <c r="O78" s="1674">
        <f t="shared" si="86"/>
        <v>0.5</v>
      </c>
      <c r="P78" s="1614"/>
      <c r="Q78" s="1582">
        <v>5</v>
      </c>
      <c r="R78" s="1582">
        <v>2</v>
      </c>
      <c r="S78" s="1610"/>
      <c r="T78" s="1611">
        <f>SUM(P78:S78)</f>
        <v>7</v>
      </c>
      <c r="U78" s="1674">
        <f t="shared" si="87"/>
        <v>0.4</v>
      </c>
      <c r="V78" s="1614">
        <v>1</v>
      </c>
      <c r="W78" s="1582">
        <v>6</v>
      </c>
      <c r="X78" s="1582"/>
      <c r="Y78" s="1610">
        <v>1</v>
      </c>
      <c r="Z78" s="1611">
        <f>SUM(V78:Y78)</f>
        <v>8</v>
      </c>
      <c r="AA78" s="1674">
        <f t="shared" si="88"/>
        <v>0.14285714285714285</v>
      </c>
      <c r="AB78" s="1614"/>
      <c r="AC78" s="1582">
        <v>6</v>
      </c>
      <c r="AD78" s="1582"/>
      <c r="AE78" s="1610">
        <v>1</v>
      </c>
      <c r="AF78" s="1611">
        <f t="shared" si="91"/>
        <v>7</v>
      </c>
      <c r="AG78" s="1674">
        <f t="shared" si="89"/>
        <v>0.16666666666666666</v>
      </c>
      <c r="AH78" s="1614"/>
      <c r="AI78" s="1582">
        <v>4</v>
      </c>
      <c r="AJ78" s="1582">
        <v>1</v>
      </c>
      <c r="AK78" s="1610">
        <v>1</v>
      </c>
      <c r="AL78" s="1611">
        <f t="shared" si="92"/>
        <v>6</v>
      </c>
      <c r="AM78" s="1674">
        <f t="shared" si="90"/>
        <v>0.5</v>
      </c>
      <c r="AN78" s="1614"/>
      <c r="AO78" s="1582">
        <v>5</v>
      </c>
      <c r="AP78" s="1582">
        <v>1</v>
      </c>
      <c r="AQ78" s="1610">
        <v>1</v>
      </c>
      <c r="AR78" s="1611">
        <f t="shared" si="83"/>
        <v>7</v>
      </c>
      <c r="AS78" s="1674">
        <f t="shared" si="77"/>
        <v>0.4</v>
      </c>
      <c r="AT78" s="1614">
        <v>0</v>
      </c>
      <c r="AU78" s="1582">
        <v>4</v>
      </c>
      <c r="AV78" s="1582">
        <v>1</v>
      </c>
      <c r="AW78" s="1610">
        <v>1</v>
      </c>
      <c r="AX78" s="1611">
        <f t="shared" si="84"/>
        <v>6</v>
      </c>
      <c r="AY78" s="1674">
        <f t="shared" si="70"/>
        <v>0.5</v>
      </c>
      <c r="AZ78" s="1614">
        <v>0</v>
      </c>
      <c r="BA78" s="1582">
        <v>5</v>
      </c>
      <c r="BB78" s="1582">
        <v>1</v>
      </c>
      <c r="BC78" s="1610">
        <v>1</v>
      </c>
      <c r="BD78" s="1611">
        <v>7</v>
      </c>
      <c r="BE78" s="1674">
        <f t="shared" si="71"/>
        <v>0.4</v>
      </c>
    </row>
    <row r="79" spans="1:57" ht="17.100000000000001" customHeight="1">
      <c r="A79" s="1685" t="s">
        <v>74</v>
      </c>
      <c r="B79" s="1608" t="s">
        <v>1159</v>
      </c>
      <c r="C79" s="1609" t="s">
        <v>1203</v>
      </c>
      <c r="D79" s="1614"/>
      <c r="E79" s="1582"/>
      <c r="F79" s="1582">
        <v>3</v>
      </c>
      <c r="G79" s="1610"/>
      <c r="H79" s="1611">
        <f>SUM(D79:G79)</f>
        <v>3</v>
      </c>
      <c r="I79" s="1674"/>
      <c r="J79" s="1614"/>
      <c r="K79" s="1582"/>
      <c r="L79" s="1582">
        <v>3</v>
      </c>
      <c r="M79" s="1610"/>
      <c r="N79" s="1611">
        <f>SUM(J79:M79)</f>
        <v>3</v>
      </c>
      <c r="O79" s="1674"/>
      <c r="P79" s="1614"/>
      <c r="Q79" s="1582"/>
      <c r="R79" s="1582">
        <v>3</v>
      </c>
      <c r="S79" s="1610"/>
      <c r="T79" s="1611">
        <f>SUM(P79:S79)</f>
        <v>3</v>
      </c>
      <c r="U79" s="1674"/>
      <c r="V79" s="1614"/>
      <c r="W79" s="1582">
        <v>1</v>
      </c>
      <c r="X79" s="1582">
        <v>3</v>
      </c>
      <c r="Y79" s="1610"/>
      <c r="Z79" s="1611">
        <f>SUM(V79:Y79)</f>
        <v>4</v>
      </c>
      <c r="AA79" s="1674">
        <f t="shared" si="88"/>
        <v>3</v>
      </c>
      <c r="AB79" s="1614"/>
      <c r="AC79" s="1582">
        <v>1</v>
      </c>
      <c r="AD79" s="1582">
        <v>3</v>
      </c>
      <c r="AE79" s="1610"/>
      <c r="AF79" s="1611">
        <f t="shared" si="91"/>
        <v>4</v>
      </c>
      <c r="AG79" s="1674">
        <v>1</v>
      </c>
      <c r="AH79" s="1614"/>
      <c r="AI79" s="1582">
        <v>1</v>
      </c>
      <c r="AJ79" s="1582">
        <v>2</v>
      </c>
      <c r="AK79" s="1610"/>
      <c r="AL79" s="1611">
        <f t="shared" si="92"/>
        <v>3</v>
      </c>
      <c r="AM79" s="1674">
        <v>1</v>
      </c>
      <c r="AN79" s="1614"/>
      <c r="AO79" s="1582"/>
      <c r="AP79" s="1582">
        <v>2</v>
      </c>
      <c r="AQ79" s="1610"/>
      <c r="AR79" s="1611">
        <f t="shared" si="83"/>
        <v>2</v>
      </c>
      <c r="AS79" s="1674">
        <v>1</v>
      </c>
      <c r="AT79" s="1614">
        <v>0</v>
      </c>
      <c r="AU79" s="1582">
        <v>0</v>
      </c>
      <c r="AV79" s="1582">
        <v>2</v>
      </c>
      <c r="AW79" s="1610">
        <v>0</v>
      </c>
      <c r="AX79" s="1611">
        <f t="shared" si="84"/>
        <v>2</v>
      </c>
      <c r="AY79" s="1674">
        <v>1</v>
      </c>
      <c r="AZ79" s="1614">
        <v>0</v>
      </c>
      <c r="BA79" s="1582">
        <v>1</v>
      </c>
      <c r="BB79" s="1582">
        <v>2</v>
      </c>
      <c r="BC79" s="1610">
        <v>0</v>
      </c>
      <c r="BD79" s="1611">
        <v>3</v>
      </c>
      <c r="BE79" s="1674">
        <v>1</v>
      </c>
    </row>
    <row r="80" spans="1:57" ht="17.100000000000001" customHeight="1">
      <c r="A80" s="1685" t="s">
        <v>74</v>
      </c>
      <c r="B80" s="1608" t="s">
        <v>1159</v>
      </c>
      <c r="C80" s="1609" t="s">
        <v>1204</v>
      </c>
      <c r="D80" s="1614"/>
      <c r="E80" s="1582">
        <v>2</v>
      </c>
      <c r="F80" s="1610">
        <v>1</v>
      </c>
      <c r="G80" s="1610"/>
      <c r="H80" s="1611">
        <f>SUM(D80:G80)</f>
        <v>3</v>
      </c>
      <c r="I80" s="1674">
        <f t="shared" si="85"/>
        <v>0.5</v>
      </c>
      <c r="J80" s="1614"/>
      <c r="K80" s="1582">
        <v>2</v>
      </c>
      <c r="L80" s="1610">
        <v>1</v>
      </c>
      <c r="M80" s="1610"/>
      <c r="N80" s="1611">
        <f>SUM(J80:M80)</f>
        <v>3</v>
      </c>
      <c r="O80" s="1674">
        <f t="shared" si="86"/>
        <v>0.5</v>
      </c>
      <c r="P80" s="1614"/>
      <c r="Q80" s="1582">
        <v>3</v>
      </c>
      <c r="R80" s="1610"/>
      <c r="S80" s="1610"/>
      <c r="T80" s="1611">
        <f>SUM(P80:S80)</f>
        <v>3</v>
      </c>
      <c r="U80" s="1674">
        <f t="shared" si="87"/>
        <v>0</v>
      </c>
      <c r="V80" s="1614"/>
      <c r="W80" s="1582">
        <v>2</v>
      </c>
      <c r="X80" s="1610"/>
      <c r="Y80" s="1610"/>
      <c r="Z80" s="1611">
        <f>SUM(V80:Y80)</f>
        <v>2</v>
      </c>
      <c r="AA80" s="1674">
        <f t="shared" si="88"/>
        <v>0</v>
      </c>
      <c r="AB80" s="1614"/>
      <c r="AC80" s="1582">
        <v>2</v>
      </c>
      <c r="AD80" s="1610"/>
      <c r="AE80" s="1610"/>
      <c r="AF80" s="1611">
        <f t="shared" si="91"/>
        <v>2</v>
      </c>
      <c r="AG80" s="1674">
        <f t="shared" si="89"/>
        <v>0</v>
      </c>
      <c r="AH80" s="1614"/>
      <c r="AI80" s="1582">
        <v>2</v>
      </c>
      <c r="AJ80" s="1610"/>
      <c r="AK80" s="1610"/>
      <c r="AL80" s="1611">
        <f t="shared" si="92"/>
        <v>2</v>
      </c>
      <c r="AM80" s="1674">
        <f t="shared" si="90"/>
        <v>0</v>
      </c>
      <c r="AN80" s="1614"/>
      <c r="AO80" s="1582">
        <v>1</v>
      </c>
      <c r="AP80" s="1610"/>
      <c r="AQ80" s="1610"/>
      <c r="AR80" s="1611">
        <f t="shared" si="83"/>
        <v>1</v>
      </c>
      <c r="AS80" s="1674">
        <f t="shared" ref="AS80" si="95">(AP80+AQ80)/(AN80+AO80)</f>
        <v>0</v>
      </c>
      <c r="AT80" s="1614">
        <v>0</v>
      </c>
      <c r="AU80" s="1582">
        <v>1</v>
      </c>
      <c r="AV80" s="1610">
        <v>0</v>
      </c>
      <c r="AW80" s="1610">
        <v>0</v>
      </c>
      <c r="AX80" s="1611">
        <f t="shared" si="84"/>
        <v>1</v>
      </c>
      <c r="AY80" s="1674">
        <f t="shared" ref="AY80" si="96">(AV80+AW80)/(AT80+AU80)</f>
        <v>0</v>
      </c>
      <c r="AZ80" s="1614">
        <v>1</v>
      </c>
      <c r="BA80" s="1582">
        <v>1</v>
      </c>
      <c r="BB80" s="1610">
        <v>0</v>
      </c>
      <c r="BC80" s="1610">
        <v>0</v>
      </c>
      <c r="BD80" s="1611">
        <v>2</v>
      </c>
      <c r="BE80" s="1674">
        <f t="shared" ref="BE80" si="97">(BB80+BC80)/(AZ80+BA80)</f>
        <v>0</v>
      </c>
    </row>
    <row r="81" spans="1:57" ht="17.100000000000001" customHeight="1" thickBot="1">
      <c r="A81" s="1687" t="s">
        <v>74</v>
      </c>
      <c r="B81" s="1615" t="s">
        <v>1159</v>
      </c>
      <c r="C81" s="1616" t="s">
        <v>1205</v>
      </c>
      <c r="D81" s="1614">
        <v>1</v>
      </c>
      <c r="E81" s="1582">
        <f>2</f>
        <v>2</v>
      </c>
      <c r="F81" s="1582">
        <v>3</v>
      </c>
      <c r="G81" s="1610">
        <v>1</v>
      </c>
      <c r="H81" s="1611">
        <f>SUM(D81:G81)</f>
        <v>7</v>
      </c>
      <c r="I81" s="1674">
        <f t="shared" si="85"/>
        <v>1.3333333333333333</v>
      </c>
      <c r="J81" s="1614">
        <v>1</v>
      </c>
      <c r="K81" s="1582">
        <f>2</f>
        <v>2</v>
      </c>
      <c r="L81" s="1582">
        <v>3</v>
      </c>
      <c r="M81" s="1610">
        <v>1</v>
      </c>
      <c r="N81" s="1611">
        <f>SUM(J81:M81)</f>
        <v>7</v>
      </c>
      <c r="O81" s="1674">
        <f t="shared" si="86"/>
        <v>1.3333333333333333</v>
      </c>
      <c r="P81" s="1614">
        <v>1</v>
      </c>
      <c r="Q81" s="1582">
        <v>1</v>
      </c>
      <c r="R81" s="1582">
        <v>3</v>
      </c>
      <c r="S81" s="1610">
        <v>1</v>
      </c>
      <c r="T81" s="1611">
        <f>SUM(P81:S81)</f>
        <v>6</v>
      </c>
      <c r="U81" s="1674">
        <f t="shared" si="87"/>
        <v>2</v>
      </c>
      <c r="V81" s="1614">
        <v>1</v>
      </c>
      <c r="W81" s="1582">
        <v>2</v>
      </c>
      <c r="X81" s="1582">
        <v>2</v>
      </c>
      <c r="Y81" s="1610">
        <v>1</v>
      </c>
      <c r="Z81" s="1611">
        <f>SUM(V81:Y81)</f>
        <v>6</v>
      </c>
      <c r="AA81" s="1674">
        <f t="shared" si="88"/>
        <v>1</v>
      </c>
      <c r="AB81" s="1614">
        <v>1</v>
      </c>
      <c r="AC81" s="1582">
        <v>1</v>
      </c>
      <c r="AD81" s="1582">
        <v>3</v>
      </c>
      <c r="AE81" s="1610">
        <v>1</v>
      </c>
      <c r="AF81" s="1611">
        <f t="shared" si="91"/>
        <v>6</v>
      </c>
      <c r="AG81" s="1674">
        <v>1</v>
      </c>
      <c r="AH81" s="1614"/>
      <c r="AI81" s="1582">
        <v>2</v>
      </c>
      <c r="AJ81" s="1582">
        <v>2</v>
      </c>
      <c r="AK81" s="1610">
        <v>1</v>
      </c>
      <c r="AL81" s="1611">
        <f t="shared" si="92"/>
        <v>5</v>
      </c>
      <c r="AM81" s="1674">
        <v>1</v>
      </c>
      <c r="AN81" s="1614"/>
      <c r="AO81" s="1582">
        <v>2</v>
      </c>
      <c r="AP81" s="1582">
        <v>2</v>
      </c>
      <c r="AQ81" s="1610">
        <v>1</v>
      </c>
      <c r="AR81" s="1611">
        <f t="shared" si="83"/>
        <v>5</v>
      </c>
      <c r="AS81" s="1674">
        <v>1</v>
      </c>
      <c r="AT81" s="1614">
        <v>2</v>
      </c>
      <c r="AU81" s="1582">
        <v>2</v>
      </c>
      <c r="AV81" s="1582">
        <v>2</v>
      </c>
      <c r="AW81" s="1610">
        <v>1</v>
      </c>
      <c r="AX81" s="1611">
        <f t="shared" si="84"/>
        <v>7</v>
      </c>
      <c r="AY81" s="1674">
        <v>1</v>
      </c>
      <c r="AZ81" s="1614">
        <v>1</v>
      </c>
      <c r="BA81" s="1582">
        <v>4</v>
      </c>
      <c r="BB81" s="1582">
        <v>2</v>
      </c>
      <c r="BC81" s="1610">
        <v>1</v>
      </c>
      <c r="BD81" s="1611">
        <v>8</v>
      </c>
      <c r="BE81" s="1674">
        <v>1</v>
      </c>
    </row>
    <row r="82" spans="1:57" ht="17.100000000000001" customHeight="1">
      <c r="A82" s="5230" t="s">
        <v>1652</v>
      </c>
      <c r="B82" s="5231"/>
      <c r="C82" s="5232"/>
      <c r="D82" s="1638">
        <f>SUM(D78:D81)</f>
        <v>1</v>
      </c>
      <c r="E82" s="1639">
        <f>SUM(E78:E81)</f>
        <v>8</v>
      </c>
      <c r="F82" s="1639">
        <f>SUM(F78:F81)</f>
        <v>9</v>
      </c>
      <c r="G82" s="1639">
        <f>SUM(G78:G81)</f>
        <v>1</v>
      </c>
      <c r="H82" s="1640">
        <f>SUM(H78:H81)</f>
        <v>19</v>
      </c>
      <c r="I82" s="1675">
        <f t="shared" si="85"/>
        <v>1.1111111111111112</v>
      </c>
      <c r="J82" s="1638">
        <f>SUM(J78:J81)</f>
        <v>1</v>
      </c>
      <c r="K82" s="1639">
        <f>SUM(K78:K81)</f>
        <v>8</v>
      </c>
      <c r="L82" s="1639">
        <f>SUM(L78:L81)</f>
        <v>9</v>
      </c>
      <c r="M82" s="1639">
        <f>SUM(M78:M81)</f>
        <v>1</v>
      </c>
      <c r="N82" s="1640">
        <f>SUM(N78:N81)</f>
        <v>19</v>
      </c>
      <c r="O82" s="1675">
        <f t="shared" si="86"/>
        <v>1.1111111111111112</v>
      </c>
      <c r="P82" s="1638">
        <f>SUM(P78:P81)</f>
        <v>1</v>
      </c>
      <c r="Q82" s="1639">
        <f>SUM(Q78:Q81)</f>
        <v>9</v>
      </c>
      <c r="R82" s="1639">
        <f>SUM(R78:R81)</f>
        <v>8</v>
      </c>
      <c r="S82" s="1639">
        <f>SUM(S78:S81)</f>
        <v>1</v>
      </c>
      <c r="T82" s="1640">
        <f>SUM(T78:T81)</f>
        <v>19</v>
      </c>
      <c r="U82" s="1675">
        <f t="shared" si="87"/>
        <v>0.9</v>
      </c>
      <c r="V82" s="1638">
        <f>SUM(V78:V81)</f>
        <v>2</v>
      </c>
      <c r="W82" s="1639">
        <f>SUM(W78:W81)</f>
        <v>11</v>
      </c>
      <c r="X82" s="1639">
        <f>SUM(X78:X81)</f>
        <v>5</v>
      </c>
      <c r="Y82" s="1639">
        <f>SUM(Y78:Y81)</f>
        <v>2</v>
      </c>
      <c r="Z82" s="1640">
        <f>SUM(Z78:Z81)</f>
        <v>20</v>
      </c>
      <c r="AA82" s="1675">
        <f t="shared" si="88"/>
        <v>0.53846153846153844</v>
      </c>
      <c r="AB82" s="1638">
        <f>SUM(AB78:AB81)</f>
        <v>1</v>
      </c>
      <c r="AC82" s="1639">
        <f>SUM(AC78:AC81)</f>
        <v>10</v>
      </c>
      <c r="AD82" s="1639">
        <f>SUM(AD78:AD81)</f>
        <v>6</v>
      </c>
      <c r="AE82" s="1639">
        <f>SUM(AE78:AE81)</f>
        <v>2</v>
      </c>
      <c r="AF82" s="1640">
        <f t="shared" si="91"/>
        <v>19</v>
      </c>
      <c r="AG82" s="1675">
        <f t="shared" si="89"/>
        <v>0.72727272727272729</v>
      </c>
      <c r="AH82" s="1638">
        <v>0</v>
      </c>
      <c r="AI82" s="1639">
        <v>9</v>
      </c>
      <c r="AJ82" s="1639">
        <v>5</v>
      </c>
      <c r="AK82" s="1639">
        <v>2</v>
      </c>
      <c r="AL82" s="1640">
        <f t="shared" si="92"/>
        <v>16</v>
      </c>
      <c r="AM82" s="1675">
        <f t="shared" si="90"/>
        <v>0.77777777777777779</v>
      </c>
      <c r="AN82" s="1638">
        <f>SUM(AN78:AN81)</f>
        <v>0</v>
      </c>
      <c r="AO82" s="1639">
        <f t="shared" ref="AO82:AQ82" si="98">SUM(AO78:AO81)</f>
        <v>8</v>
      </c>
      <c r="AP82" s="1639">
        <f t="shared" si="98"/>
        <v>5</v>
      </c>
      <c r="AQ82" s="1639">
        <f t="shared" si="98"/>
        <v>2</v>
      </c>
      <c r="AR82" s="1640">
        <f t="shared" si="83"/>
        <v>15</v>
      </c>
      <c r="AS82" s="1675">
        <f t="shared" ref="AS82:AS84" si="99">(AP82+AQ82)/(AN82+AO82)</f>
        <v>0.875</v>
      </c>
      <c r="AT82" s="1638">
        <v>2</v>
      </c>
      <c r="AU82" s="1639">
        <v>7</v>
      </c>
      <c r="AV82" s="1639">
        <v>5</v>
      </c>
      <c r="AW82" s="1639">
        <v>2</v>
      </c>
      <c r="AX82" s="1640">
        <f t="shared" si="84"/>
        <v>16</v>
      </c>
      <c r="AY82" s="1675">
        <f t="shared" ref="AY82:AY83" si="100">(AV82+AW82)/(AT82+AU82)</f>
        <v>0.77777777777777779</v>
      </c>
      <c r="AZ82" s="1638">
        <v>2</v>
      </c>
      <c r="BA82" s="1639">
        <v>11</v>
      </c>
      <c r="BB82" s="1639">
        <v>5</v>
      </c>
      <c r="BC82" s="1639">
        <v>2</v>
      </c>
      <c r="BD82" s="1640">
        <v>20</v>
      </c>
      <c r="BE82" s="1675">
        <f t="shared" ref="BE82:BE83" si="101">(BB82+BC82)/(AZ82+BA82)</f>
        <v>0.53846153846153844</v>
      </c>
    </row>
    <row r="83" spans="1:57" ht="17.100000000000001" customHeight="1">
      <c r="A83" s="5222" t="s">
        <v>1082</v>
      </c>
      <c r="B83" s="5222"/>
      <c r="C83" s="5222"/>
      <c r="D83" s="1575">
        <f>SUM(D82,D77,D72)</f>
        <v>12</v>
      </c>
      <c r="E83" s="1576">
        <f>SUM(E82,E77,E72)</f>
        <v>129</v>
      </c>
      <c r="F83" s="1576">
        <f>SUM(F82,F77,F72)</f>
        <v>57</v>
      </c>
      <c r="G83" s="1576">
        <f>SUM(G82,G77,G72)</f>
        <v>13</v>
      </c>
      <c r="H83" s="1577">
        <f>SUM(H72,H77,H82)</f>
        <v>211</v>
      </c>
      <c r="I83" s="1681">
        <f t="shared" si="85"/>
        <v>0.49645390070921985</v>
      </c>
      <c r="J83" s="1575">
        <f>SUM(J82,J77,J72)</f>
        <v>12</v>
      </c>
      <c r="K83" s="1576">
        <f>SUM(K82,K77,K72)</f>
        <v>130</v>
      </c>
      <c r="L83" s="1576">
        <f>SUM(L82,L77,L72)</f>
        <v>57</v>
      </c>
      <c r="M83" s="1576">
        <f>SUM(M82,M77,M72)</f>
        <v>14</v>
      </c>
      <c r="N83" s="1577">
        <f>SUM(N72,N77,N82)</f>
        <v>213</v>
      </c>
      <c r="O83" s="1681">
        <f t="shared" si="86"/>
        <v>0.5</v>
      </c>
      <c r="P83" s="1575">
        <f>SUM(P82,P77,P72)</f>
        <v>18</v>
      </c>
      <c r="Q83" s="1576">
        <f>SUM(Q82,Q77,Q72)</f>
        <v>135</v>
      </c>
      <c r="R83" s="1576">
        <f>SUM(R82,R77,R72)</f>
        <v>57</v>
      </c>
      <c r="S83" s="1576">
        <f>SUM(S82,S77,S72)</f>
        <v>15</v>
      </c>
      <c r="T83" s="1577">
        <f>SUM(T72,T77,T82)</f>
        <v>225</v>
      </c>
      <c r="U83" s="1681">
        <f t="shared" si="87"/>
        <v>0.47058823529411764</v>
      </c>
      <c r="V83" s="1575">
        <f>SUM(V82,V77,V72)</f>
        <v>31</v>
      </c>
      <c r="W83" s="1576">
        <f>SUM(W82,W77,W72)</f>
        <v>140</v>
      </c>
      <c r="X83" s="1576">
        <f>SUM(X82,X77,X72)</f>
        <v>54</v>
      </c>
      <c r="Y83" s="1576">
        <f>SUM(Y82,Y77,Y72)</f>
        <v>18</v>
      </c>
      <c r="Z83" s="1577">
        <f>SUM(Z72,Z77,Z82)</f>
        <v>243</v>
      </c>
      <c r="AA83" s="1681">
        <f t="shared" si="88"/>
        <v>0.42105263157894735</v>
      </c>
      <c r="AB83" s="1575">
        <f>SUM(AB82,AB77,AB72)</f>
        <v>41</v>
      </c>
      <c r="AC83" s="1576">
        <f>SUM(AC82,AC77,AC72)</f>
        <v>137</v>
      </c>
      <c r="AD83" s="1576">
        <f>SUM(AD82,AD77,AD72)</f>
        <v>50</v>
      </c>
      <c r="AE83" s="1576">
        <f>SUM(AE82,AE77,AE72)</f>
        <v>21</v>
      </c>
      <c r="AF83" s="1577">
        <f t="shared" si="91"/>
        <v>249</v>
      </c>
      <c r="AG83" s="1681">
        <f t="shared" si="89"/>
        <v>0.398876404494382</v>
      </c>
      <c r="AH83" s="1575">
        <v>31</v>
      </c>
      <c r="AI83" s="1576">
        <v>136</v>
      </c>
      <c r="AJ83" s="1576">
        <v>57</v>
      </c>
      <c r="AK83" s="1576">
        <v>23</v>
      </c>
      <c r="AL83" s="1577">
        <f t="shared" si="92"/>
        <v>247</v>
      </c>
      <c r="AM83" s="1681">
        <f t="shared" si="90"/>
        <v>0.47904191616766467</v>
      </c>
      <c r="AN83" s="1575">
        <f>SUM(AN72,AN77,AN82)</f>
        <v>33</v>
      </c>
      <c r="AO83" s="1576">
        <f t="shared" ref="AO83:AR83" si="102">SUM(AO72,AO77,AO82)</f>
        <v>143</v>
      </c>
      <c r="AP83" s="1576">
        <f t="shared" si="102"/>
        <v>54</v>
      </c>
      <c r="AQ83" s="1576">
        <f t="shared" si="102"/>
        <v>28</v>
      </c>
      <c r="AR83" s="1577">
        <f t="shared" si="102"/>
        <v>258</v>
      </c>
      <c r="AS83" s="1681">
        <f t="shared" si="99"/>
        <v>0.46590909090909088</v>
      </c>
      <c r="AT83" s="1575">
        <f>SUM(AT72,AT77,AT82)</f>
        <v>28</v>
      </c>
      <c r="AU83" s="1576">
        <f t="shared" ref="AU83:AX83" si="103">SUM(AU72,AU77,AU82)</f>
        <v>133</v>
      </c>
      <c r="AV83" s="1576">
        <f t="shared" si="103"/>
        <v>60</v>
      </c>
      <c r="AW83" s="1576">
        <f t="shared" si="103"/>
        <v>28</v>
      </c>
      <c r="AX83" s="1577">
        <f t="shared" si="103"/>
        <v>249</v>
      </c>
      <c r="AY83" s="1681">
        <f t="shared" si="100"/>
        <v>0.54658385093167705</v>
      </c>
      <c r="AZ83" s="1575">
        <v>27</v>
      </c>
      <c r="BA83" s="1576">
        <v>129</v>
      </c>
      <c r="BB83" s="1576">
        <v>62</v>
      </c>
      <c r="BC83" s="1576">
        <v>29</v>
      </c>
      <c r="BD83" s="1577">
        <v>247</v>
      </c>
      <c r="BE83" s="1681">
        <f t="shared" si="101"/>
        <v>0.58333333333333337</v>
      </c>
    </row>
    <row r="84" spans="1:57" ht="24.75" customHeight="1">
      <c r="A84" s="5223" t="s">
        <v>67</v>
      </c>
      <c r="B84" s="5223"/>
      <c r="C84" s="5223"/>
      <c r="D84" s="1641">
        <f>SUM(D23,D36,D54,D67,D83)</f>
        <v>92</v>
      </c>
      <c r="E84" s="1642">
        <f>SUM(E23,E36,E54,E67,E83)</f>
        <v>508</v>
      </c>
      <c r="F84" s="1642">
        <f>SUM(F23,F36,F54,F67,F83)</f>
        <v>210</v>
      </c>
      <c r="G84" s="1642">
        <f>SUM(G23,G36,G54,G67,G83)</f>
        <v>96</v>
      </c>
      <c r="H84" s="1643">
        <f>SUM(H23,H36,H54,H67,H83)</f>
        <v>906</v>
      </c>
      <c r="I84" s="1682">
        <f t="shared" si="85"/>
        <v>0.51</v>
      </c>
      <c r="J84" s="1641">
        <f>SUM(J23,J36,J54,J67,J83)</f>
        <v>95</v>
      </c>
      <c r="K84" s="1642">
        <f>SUM(K23,K36,K54,K67,K83)</f>
        <v>516</v>
      </c>
      <c r="L84" s="1642">
        <f>SUM(L23,L36,L54,L67,L83)</f>
        <v>210</v>
      </c>
      <c r="M84" s="1642">
        <f>SUM(M23,M36,M54,M67,M83)</f>
        <v>93</v>
      </c>
      <c r="N84" s="1643">
        <f>SUM(N23,N36,N54,N67,N83)</f>
        <v>914</v>
      </c>
      <c r="O84" s="1682">
        <f t="shared" si="86"/>
        <v>0.49590834697217678</v>
      </c>
      <c r="P84" s="1641">
        <f>SUM(P23,P36,P54,P67,P83)</f>
        <v>110</v>
      </c>
      <c r="Q84" s="1642">
        <f>SUM(Q23,Q36,Q54,Q67,Q83)</f>
        <v>530</v>
      </c>
      <c r="R84" s="1642">
        <f>SUM(R23,R36,R54,R67,R83)</f>
        <v>206</v>
      </c>
      <c r="S84" s="1642">
        <f>SUM(S23,S36,S54,S67,S83)</f>
        <v>95</v>
      </c>
      <c r="T84" s="1643">
        <f>SUM(T23,T36,T54,T67,T83)</f>
        <v>941</v>
      </c>
      <c r="U84" s="1682">
        <f t="shared" si="87"/>
        <v>0.47031250000000002</v>
      </c>
      <c r="V84" s="1641">
        <f>SUM(V23,V36,V54,V67,V83)</f>
        <v>148</v>
      </c>
      <c r="W84" s="1642">
        <f>SUM(W23,W36,W54,W67,W83)</f>
        <v>587</v>
      </c>
      <c r="X84" s="1642">
        <f>SUM(X23,X36,X54,X67,X83)</f>
        <v>219</v>
      </c>
      <c r="Y84" s="1642">
        <f>SUM(Y23,Y36,Y54,Y67,Y83)</f>
        <v>107</v>
      </c>
      <c r="Z84" s="1643">
        <f>SUM(Z23,Z36,Z54,Z67,Z83)</f>
        <v>1061</v>
      </c>
      <c r="AA84" s="1682">
        <f t="shared" si="88"/>
        <v>0.44353741496598642</v>
      </c>
      <c r="AB84" s="1641">
        <f>SUM(AB23,AB36,AB54,AB67,AB83)</f>
        <v>156</v>
      </c>
      <c r="AC84" s="1642">
        <f>SUM(AC23,AC36,AC54,AC67,AC83)</f>
        <v>595</v>
      </c>
      <c r="AD84" s="1642">
        <f>SUM(AD23,AD36,AD54,AD67,AD83)</f>
        <v>219</v>
      </c>
      <c r="AE84" s="1642">
        <f>SUM(AE23,AE36,AE54,AE67,AE83)</f>
        <v>114</v>
      </c>
      <c r="AF84" s="1643">
        <f>SUM(AF23,AF36,AF54,AF67,AF83)</f>
        <v>1084</v>
      </c>
      <c r="AG84" s="1682">
        <f t="shared" si="89"/>
        <v>0.4434087882822903</v>
      </c>
      <c r="AH84" s="1905">
        <f>SUM(AH23,AH36,AH54,AH67,AH83)</f>
        <v>151</v>
      </c>
      <c r="AI84" s="1906">
        <f t="shared" ref="AI84:AL84" si="104">SUM(AI23,AI36,AI54,AI67,AI83)</f>
        <v>605</v>
      </c>
      <c r="AJ84" s="1906">
        <f t="shared" si="104"/>
        <v>234</v>
      </c>
      <c r="AK84" s="1906">
        <f t="shared" si="104"/>
        <v>120</v>
      </c>
      <c r="AL84" s="1907">
        <f t="shared" si="104"/>
        <v>1110</v>
      </c>
      <c r="AM84" s="1682">
        <f t="shared" si="90"/>
        <v>0.46825396825396826</v>
      </c>
      <c r="AN84" s="1905">
        <f>SUM(AN23,AN36,AN54,AN67,AN83)</f>
        <v>167</v>
      </c>
      <c r="AO84" s="1906">
        <f t="shared" ref="AO84:AR84" si="105">SUM(AO23,AO36,AO54,AO67,AO83)</f>
        <v>636</v>
      </c>
      <c r="AP84" s="1906">
        <f t="shared" si="105"/>
        <v>237</v>
      </c>
      <c r="AQ84" s="1906">
        <f t="shared" si="105"/>
        <v>130</v>
      </c>
      <c r="AR84" s="1907">
        <f t="shared" si="105"/>
        <v>1170</v>
      </c>
      <c r="AS84" s="1682">
        <f t="shared" si="99"/>
        <v>0.45703611457036114</v>
      </c>
      <c r="AT84" s="1905">
        <f>SUM(AT23,AT36,AT54,AT67,AT83)</f>
        <v>164</v>
      </c>
      <c r="AU84" s="1906">
        <f t="shared" ref="AU84:AX84" si="106">SUM(AU23,AU36,AU54,AU67,AU83)</f>
        <v>619</v>
      </c>
      <c r="AV84" s="1906">
        <f t="shared" si="106"/>
        <v>242</v>
      </c>
      <c r="AW84" s="1906">
        <f t="shared" si="106"/>
        <v>138</v>
      </c>
      <c r="AX84" s="1907">
        <f t="shared" si="106"/>
        <v>1163</v>
      </c>
      <c r="AY84" s="1682">
        <f>(AV84+AW84)/(AT84+AU84)</f>
        <v>0.48531289910600256</v>
      </c>
      <c r="AZ84" s="1905">
        <v>145</v>
      </c>
      <c r="BA84" s="1906">
        <v>615</v>
      </c>
      <c r="BB84" s="1906">
        <v>234</v>
      </c>
      <c r="BC84" s="1906">
        <v>141</v>
      </c>
      <c r="BD84" s="1907">
        <v>1135</v>
      </c>
      <c r="BE84" s="1908">
        <f>(BB84+BC84)/(AZ84+BA84)</f>
        <v>0.49342105263157893</v>
      </c>
    </row>
  </sheetData>
  <mergeCells count="31">
    <mergeCell ref="AZ4:BD4"/>
    <mergeCell ref="AT4:AX4"/>
    <mergeCell ref="A67:C67"/>
    <mergeCell ref="AH4:AL4"/>
    <mergeCell ref="A53:C53"/>
    <mergeCell ref="A35:C35"/>
    <mergeCell ref="A22:C22"/>
    <mergeCell ref="A23:C23"/>
    <mergeCell ref="A36:C36"/>
    <mergeCell ref="A11:C11"/>
    <mergeCell ref="A17:C17"/>
    <mergeCell ref="A27:C27"/>
    <mergeCell ref="A31:C31"/>
    <mergeCell ref="AB4:AF4"/>
    <mergeCell ref="AN4:AR4"/>
    <mergeCell ref="B2:C2"/>
    <mergeCell ref="A83:C83"/>
    <mergeCell ref="A84:C84"/>
    <mergeCell ref="V4:Z4"/>
    <mergeCell ref="D4:H4"/>
    <mergeCell ref="J4:N4"/>
    <mergeCell ref="P4:T4"/>
    <mergeCell ref="A42:C42"/>
    <mergeCell ref="A48:C48"/>
    <mergeCell ref="A58:C58"/>
    <mergeCell ref="A62:C62"/>
    <mergeCell ref="A72:C72"/>
    <mergeCell ref="A77:C77"/>
    <mergeCell ref="A82:C82"/>
    <mergeCell ref="A66:C66"/>
    <mergeCell ref="A54:C54"/>
  </mergeCells>
  <printOptions horizontalCentered="1" verticalCentered="1"/>
  <pageMargins left="0.74803149606299213" right="0.74803149606299213" top="0.98425196850393704" bottom="0.98425196850393704" header="0" footer="0"/>
  <pageSetup scale="32" orientation="landscape" r:id="rId1"/>
  <headerFooter alignWithMargins="0">
    <oddHeader>&amp;L</oddHeader>
  </headerFooter>
  <ignoredErrors>
    <ignoredError sqref="E11:G54 E67:G84 E63:G64 E62:G62 E61:G61 E56:G56 E55:G55 E65:G66 E58:G60 E57:G57 AL49:AL51 AL79:AL81 AO11:AQ11 AR79:AR81 AL37:AR37 AX6:AX10" formulaRange="1"/>
    <ignoredError sqref="J57:N57 P57:AG57 H57 H58:AG59 P63:T64 P65:AG66 H65:H66 P55:T55 V55:AG55 H55 H56:AG56 H61 H62:AG62 V64:Z64 V63:AG63 H63:H64 H67:AG78 H11:AG19 AB64:AF64 H22:AG36 H21 AB21:AG21 V21:Z21 H20 P20:AG20 P21:T21 J21:N21 J20:N20 J55:N55 H60 J60:AG60 J61:AF61 J65:N66 J63:N64 H80:AG80 H79 J79:N79 P79:T79 V79:AF79 H82:AG84 H81:AF81 H52:AG54 H51:AF51 H50:AG50 H49:AF49 H38:AG48 H37:AF37 AR11 AR49:AR51 AX11:AX81" formula="1" formulaRange="1"/>
    <ignoredError sqref="O55 O65:O66 O64 O63 AG64 AG61 I57 U55 U64 U63 O57 AR17 AR27:AR31 AR42:AR48 AR58:AR62 AM84 AX82:AX84 AS83:AS84" formula="1"/>
  </ignoredErrors>
  <drawing r:id="rId2"/>
</worksheet>
</file>

<file path=xl/worksheets/sheet33.xml><?xml version="1.0" encoding="utf-8"?>
<worksheet xmlns="http://schemas.openxmlformats.org/spreadsheetml/2006/main" xmlns:r="http://schemas.openxmlformats.org/officeDocument/2006/relationships">
  <sheetPr>
    <tabColor theme="4" tint="-0.499984740745262"/>
    <pageSetUpPr fitToPage="1"/>
  </sheetPr>
  <dimension ref="A1:V139"/>
  <sheetViews>
    <sheetView workbookViewId="0">
      <selection activeCell="I4" sqref="I4"/>
    </sheetView>
  </sheetViews>
  <sheetFormatPr baseColWidth="10" defaultColWidth="11.42578125" defaultRowHeight="12.75"/>
  <cols>
    <col min="1" max="1" width="66.7109375" style="99" bestFit="1" customWidth="1"/>
    <col min="2" max="5" width="11.42578125" style="99"/>
    <col min="6" max="6" width="10.7109375" style="107" customWidth="1"/>
    <col min="7" max="12" width="10.7109375" style="99" customWidth="1"/>
    <col min="13" max="14" width="12" style="99" customWidth="1"/>
    <col min="15" max="15" width="12.140625" style="99" customWidth="1"/>
    <col min="16" max="16" width="12" style="99" customWidth="1"/>
    <col min="17" max="18" width="10.7109375" style="99" customWidth="1"/>
    <col min="19" max="24" width="11.42578125" style="99"/>
    <col min="25" max="25" width="9.85546875" style="99" customWidth="1"/>
    <col min="26" max="16384" width="11.42578125" style="99"/>
  </cols>
  <sheetData>
    <row r="1" spans="1:22" ht="15.75">
      <c r="F1" s="2857"/>
      <c r="G1" s="2857"/>
      <c r="H1" s="2857"/>
      <c r="I1" s="2857"/>
      <c r="J1" s="2857"/>
      <c r="K1" s="2857"/>
      <c r="L1" s="2857"/>
      <c r="M1" s="2857"/>
      <c r="N1" s="2857"/>
      <c r="O1" s="2857"/>
      <c r="P1" s="2857"/>
      <c r="Q1" s="2857"/>
      <c r="R1" s="2857"/>
    </row>
    <row r="2" spans="1:22" ht="18.75">
      <c r="A2" s="4725" t="s">
        <v>2308</v>
      </c>
      <c r="B2" s="4724"/>
      <c r="C2" s="4724"/>
      <c r="D2" s="4724"/>
      <c r="E2"/>
      <c r="F2" s="2857"/>
      <c r="G2" s="2857"/>
      <c r="H2" s="2857"/>
      <c r="I2" s="2857"/>
      <c r="J2" s="2857"/>
      <c r="K2" s="2857"/>
      <c r="L2" s="2857"/>
      <c r="M2" s="2857"/>
      <c r="N2" s="2857"/>
      <c r="O2" s="2857"/>
      <c r="P2" s="2857"/>
      <c r="Q2" s="2857"/>
      <c r="R2" s="2857"/>
      <c r="V2" s="308"/>
    </row>
    <row r="3" spans="1:22" ht="18.75">
      <c r="A3" s="4209"/>
      <c r="B3" s="4209"/>
      <c r="C3" s="4209"/>
      <c r="D3" s="4209"/>
      <c r="E3"/>
      <c r="F3" s="2857"/>
      <c r="G3" s="2857"/>
      <c r="H3" s="2857"/>
      <c r="I3" s="2857"/>
      <c r="J3" s="2857"/>
      <c r="K3" s="2857"/>
      <c r="L3" s="2857"/>
      <c r="M3" s="2857"/>
      <c r="N3" s="2857"/>
      <c r="O3" s="2857"/>
      <c r="P3" s="2857"/>
      <c r="Q3" s="2857"/>
      <c r="R3" s="2857"/>
      <c r="V3" s="308"/>
    </row>
    <row r="4" spans="1:22" ht="30.75" thickBot="1">
      <c r="A4" s="4150" t="s">
        <v>95</v>
      </c>
      <c r="B4" s="4388">
        <v>2014</v>
      </c>
      <c r="C4" s="4388">
        <v>2015</v>
      </c>
      <c r="D4" s="4388">
        <v>2016</v>
      </c>
      <c r="E4" s="4388">
        <v>2017</v>
      </c>
      <c r="F4" s="4388">
        <v>2018</v>
      </c>
      <c r="G4" s="4388" t="s">
        <v>2873</v>
      </c>
      <c r="H4" s="4388" t="s">
        <v>152</v>
      </c>
      <c r="M4" s="2857"/>
      <c r="N4" s="2857"/>
      <c r="O4" s="2857"/>
      <c r="P4" s="2857"/>
      <c r="Q4" s="2857"/>
      <c r="R4" s="2857"/>
      <c r="V4" s="308"/>
    </row>
    <row r="5" spans="1:22" ht="20.100000000000001" customHeight="1">
      <c r="A5" s="4389" t="s">
        <v>2872</v>
      </c>
      <c r="B5" s="4390">
        <v>947</v>
      </c>
      <c r="C5" s="4390">
        <v>1058</v>
      </c>
      <c r="D5" s="4390">
        <v>1115</v>
      </c>
      <c r="E5" s="4390">
        <v>1169</v>
      </c>
      <c r="F5" s="4390">
        <v>1029</v>
      </c>
      <c r="G5" s="4390">
        <v>5315</v>
      </c>
      <c r="H5" s="5245">
        <f>G6/G5</f>
        <v>5.4109125117591725</v>
      </c>
      <c r="N5" s="2857"/>
      <c r="O5" s="2857"/>
      <c r="P5" s="2857"/>
      <c r="Q5" s="2857"/>
      <c r="R5" s="2857"/>
      <c r="V5" s="308"/>
    </row>
    <row r="6" spans="1:22" ht="20.100000000000001" customHeight="1">
      <c r="A6" s="4391" t="s">
        <v>2871</v>
      </c>
      <c r="B6" s="4392">
        <v>6694</v>
      </c>
      <c r="C6" s="4392">
        <v>11514</v>
      </c>
      <c r="D6" s="4392">
        <v>6843</v>
      </c>
      <c r="E6" s="4392">
        <v>3227</v>
      </c>
      <c r="F6" s="4392">
        <v>481</v>
      </c>
      <c r="G6" s="4392">
        <v>28759</v>
      </c>
      <c r="H6" s="5246"/>
      <c r="N6" s="2857"/>
      <c r="O6" s="2857"/>
      <c r="P6" s="2857"/>
      <c r="Q6" s="2857"/>
      <c r="R6" s="2857"/>
      <c r="V6" s="308"/>
    </row>
    <row r="7" spans="1:22" ht="15.75">
      <c r="F7" s="99"/>
      <c r="H7" s="4393" t="s">
        <v>2874</v>
      </c>
      <c r="N7" s="2857"/>
      <c r="O7" s="2857"/>
      <c r="P7" s="2857"/>
      <c r="Q7" s="2857"/>
      <c r="R7" s="2857"/>
      <c r="V7" s="308"/>
    </row>
    <row r="8" spans="1:22" ht="15.75">
      <c r="A8" s="365"/>
      <c r="B8" s="365"/>
      <c r="C8" s="365"/>
      <c r="D8" s="365"/>
      <c r="E8"/>
      <c r="F8" s="366"/>
      <c r="G8" s="366"/>
      <c r="H8" s="366"/>
      <c r="I8" s="366"/>
      <c r="J8" s="366"/>
      <c r="K8" s="366"/>
      <c r="L8" s="366"/>
      <c r="M8" s="366"/>
      <c r="N8" s="366"/>
      <c r="O8" s="366"/>
      <c r="P8" s="366"/>
      <c r="Q8" s="366"/>
      <c r="R8" s="366"/>
    </row>
    <row r="9" spans="1:22" ht="18">
      <c r="A9" s="3342" t="s">
        <v>2734</v>
      </c>
      <c r="B9" s="365"/>
      <c r="C9" s="365"/>
      <c r="D9" s="365"/>
      <c r="E9"/>
      <c r="F9" s="366"/>
      <c r="G9" s="366"/>
      <c r="H9" s="366"/>
      <c r="I9" s="366"/>
      <c r="J9" s="366"/>
      <c r="K9" s="366"/>
      <c r="L9" s="366"/>
      <c r="M9" s="366"/>
      <c r="N9" s="366"/>
      <c r="O9" s="366"/>
      <c r="P9" s="366"/>
      <c r="Q9" s="366"/>
      <c r="R9" s="366"/>
    </row>
    <row r="10" spans="1:22" ht="15.75">
      <c r="A10" s="3343" t="s">
        <v>95</v>
      </c>
      <c r="B10" s="3344">
        <v>2008</v>
      </c>
      <c r="C10" s="3344">
        <v>2009</v>
      </c>
      <c r="D10" s="3344">
        <v>2010</v>
      </c>
      <c r="E10" s="3344">
        <v>2011</v>
      </c>
      <c r="F10" s="3344">
        <v>2012</v>
      </c>
      <c r="G10" s="3344">
        <v>2013</v>
      </c>
      <c r="H10" s="3344">
        <v>2014</v>
      </c>
      <c r="I10" s="3344">
        <v>2015</v>
      </c>
      <c r="J10" s="3344">
        <v>2016</v>
      </c>
      <c r="K10" s="3344">
        <v>2017</v>
      </c>
      <c r="L10" s="3362" t="s">
        <v>2735</v>
      </c>
      <c r="M10" s="3345" t="s">
        <v>152</v>
      </c>
      <c r="N10" s="366"/>
      <c r="O10" s="366"/>
      <c r="P10" s="366"/>
      <c r="Q10" s="366"/>
      <c r="R10" s="366"/>
    </row>
    <row r="11" spans="1:22" ht="17.25">
      <c r="A11" s="3346" t="s">
        <v>2736</v>
      </c>
      <c r="B11" s="3347">
        <v>765</v>
      </c>
      <c r="C11" s="3347">
        <v>761</v>
      </c>
      <c r="D11" s="3347">
        <v>754</v>
      </c>
      <c r="E11" s="3347">
        <v>807</v>
      </c>
      <c r="F11" s="3347">
        <v>851</v>
      </c>
      <c r="G11" s="3347">
        <v>948</v>
      </c>
      <c r="H11" s="3347">
        <v>947</v>
      </c>
      <c r="I11" s="3347">
        <v>1027</v>
      </c>
      <c r="J11" s="3347">
        <v>1098</v>
      </c>
      <c r="K11" s="3347">
        <v>956</v>
      </c>
      <c r="L11" s="3347">
        <f>SUM(G11:K11)</f>
        <v>4976</v>
      </c>
      <c r="M11" s="5258">
        <f>+L12/L11</f>
        <v>3.9443327974276525</v>
      </c>
      <c r="N11" s="366"/>
      <c r="O11" s="366"/>
      <c r="P11" s="366"/>
      <c r="Q11" s="366"/>
      <c r="R11" s="366"/>
    </row>
    <row r="12" spans="1:22" ht="15.75">
      <c r="A12" s="3348" t="s">
        <v>2307</v>
      </c>
      <c r="B12" s="3347">
        <v>10052</v>
      </c>
      <c r="C12" s="3347">
        <v>7721</v>
      </c>
      <c r="D12" s="3347">
        <v>6693</v>
      </c>
      <c r="E12" s="3347">
        <v>6904</v>
      </c>
      <c r="F12" s="3347">
        <v>5966</v>
      </c>
      <c r="G12" s="3347">
        <v>4922</v>
      </c>
      <c r="H12" s="3347">
        <v>4899</v>
      </c>
      <c r="I12" s="3347">
        <v>7028</v>
      </c>
      <c r="J12" s="3347">
        <v>2407</v>
      </c>
      <c r="K12" s="3347">
        <v>371</v>
      </c>
      <c r="L12" s="3347">
        <f>SUM(G12:K12)</f>
        <v>19627</v>
      </c>
      <c r="M12" s="5259"/>
      <c r="N12" s="366"/>
      <c r="O12" s="366"/>
      <c r="P12" s="366"/>
      <c r="Q12" s="366"/>
      <c r="R12" s="366"/>
    </row>
    <row r="13" spans="1:22" ht="15.75">
      <c r="A13" s="3349" t="s">
        <v>2737</v>
      </c>
      <c r="B13" s="365"/>
      <c r="C13" s="365"/>
      <c r="D13" s="365"/>
      <c r="E13"/>
      <c r="F13" s="366"/>
      <c r="G13" s="366"/>
      <c r="H13" s="366"/>
      <c r="I13" s="366"/>
      <c r="J13" s="366"/>
      <c r="K13" s="366"/>
      <c r="L13" s="366"/>
      <c r="M13" s="366"/>
      <c r="N13" s="366"/>
      <c r="O13" s="366"/>
      <c r="P13" s="366"/>
      <c r="Q13" s="366"/>
      <c r="R13" s="366"/>
    </row>
    <row r="14" spans="1:22" ht="21" customHeight="1">
      <c r="A14" s="3349" t="s">
        <v>2738</v>
      </c>
      <c r="B14" s="365"/>
      <c r="C14" s="365"/>
      <c r="D14" s="365"/>
      <c r="E14"/>
      <c r="F14" s="366"/>
      <c r="G14" s="366"/>
      <c r="H14" s="366"/>
      <c r="I14" s="366"/>
      <c r="J14" s="366"/>
      <c r="K14" s="366"/>
      <c r="L14" s="366"/>
      <c r="M14" s="366"/>
      <c r="N14" s="366"/>
      <c r="O14" s="366"/>
      <c r="P14" s="366"/>
      <c r="Q14" s="366"/>
      <c r="R14" s="366"/>
    </row>
    <row r="15" spans="1:22" ht="15.75" hidden="1">
      <c r="A15" s="3350"/>
      <c r="B15" s="365"/>
      <c r="C15" s="365"/>
      <c r="D15" s="365"/>
      <c r="E15"/>
      <c r="F15" s="366"/>
      <c r="G15" s="366"/>
      <c r="H15" s="366"/>
      <c r="I15" s="366"/>
      <c r="J15" s="366"/>
      <c r="K15" s="366"/>
      <c r="L15" s="366"/>
      <c r="M15" s="366"/>
      <c r="N15" s="366"/>
      <c r="O15" s="366"/>
      <c r="P15" s="366"/>
      <c r="Q15" s="366"/>
      <c r="R15" s="366"/>
    </row>
    <row r="16" spans="1:22" ht="15.75" hidden="1">
      <c r="A16" s="3343" t="s">
        <v>95</v>
      </c>
      <c r="B16" s="3351">
        <v>2008</v>
      </c>
      <c r="C16" s="3351">
        <v>2009</v>
      </c>
      <c r="D16" s="3351">
        <v>2010</v>
      </c>
      <c r="E16" s="3351">
        <v>2011</v>
      </c>
      <c r="F16" s="3351">
        <v>2012</v>
      </c>
      <c r="G16" s="3351">
        <v>2013</v>
      </c>
      <c r="H16" s="3351">
        <v>2014</v>
      </c>
      <c r="I16" s="3351">
        <v>2015</v>
      </c>
      <c r="J16" s="3351">
        <v>2016</v>
      </c>
      <c r="K16" s="3351">
        <v>2017</v>
      </c>
      <c r="L16" s="3362" t="s">
        <v>2735</v>
      </c>
      <c r="M16" s="3345" t="s">
        <v>152</v>
      </c>
      <c r="N16" s="366"/>
      <c r="O16" s="366"/>
      <c r="P16" s="366"/>
      <c r="Q16" s="366"/>
      <c r="R16" s="366"/>
    </row>
    <row r="17" spans="1:18" ht="30" hidden="1">
      <c r="A17" s="78" t="s">
        <v>2739</v>
      </c>
      <c r="B17" s="3352">
        <v>9468</v>
      </c>
      <c r="C17" s="3352">
        <v>7209</v>
      </c>
      <c r="D17" s="3352">
        <v>6148</v>
      </c>
      <c r="E17" s="3352">
        <v>6227</v>
      </c>
      <c r="F17" s="3352">
        <v>5445</v>
      </c>
      <c r="G17" s="3352">
        <v>4635</v>
      </c>
      <c r="H17" s="3352">
        <v>4510</v>
      </c>
      <c r="I17" s="3352">
        <v>6437</v>
      </c>
      <c r="J17" s="3352">
        <v>2099</v>
      </c>
      <c r="K17" s="3352">
        <v>320</v>
      </c>
      <c r="L17" s="3353">
        <f>SUM(G17:K17)</f>
        <v>18001</v>
      </c>
      <c r="M17" s="5258">
        <f>+L18/L17</f>
        <v>1.0676629076162436</v>
      </c>
      <c r="N17" s="366"/>
      <c r="O17" s="366"/>
      <c r="P17" s="366"/>
      <c r="Q17" s="366"/>
      <c r="R17" s="366"/>
    </row>
    <row r="18" spans="1:18" ht="32.25" hidden="1">
      <c r="A18" s="3354" t="s">
        <v>2740</v>
      </c>
      <c r="B18" s="3355">
        <v>10019</v>
      </c>
      <c r="C18" s="3355">
        <v>7687</v>
      </c>
      <c r="D18" s="3355">
        <v>6618</v>
      </c>
      <c r="E18" s="3355">
        <v>6782</v>
      </c>
      <c r="F18" s="3355">
        <v>5902</v>
      </c>
      <c r="G18" s="3355">
        <v>4850</v>
      </c>
      <c r="H18" s="3355">
        <v>4821</v>
      </c>
      <c r="I18" s="3355">
        <v>6941</v>
      </c>
      <c r="J18" s="3355">
        <v>2327</v>
      </c>
      <c r="K18" s="3355">
        <v>280</v>
      </c>
      <c r="L18" s="3353">
        <f>SUM(G18:K18)</f>
        <v>19219</v>
      </c>
      <c r="M18" s="5259"/>
      <c r="N18" s="366"/>
      <c r="O18" s="366"/>
      <c r="P18" s="366"/>
      <c r="Q18" s="366"/>
      <c r="R18" s="366"/>
    </row>
    <row r="19" spans="1:18" ht="15.75" hidden="1">
      <c r="A19" s="3356" t="s">
        <v>2741</v>
      </c>
      <c r="B19" s="365"/>
      <c r="C19" s="365"/>
      <c r="D19" s="365"/>
      <c r="E19"/>
      <c r="F19" s="366"/>
      <c r="G19" s="366"/>
      <c r="H19" s="366"/>
      <c r="I19" s="366"/>
      <c r="J19" s="366"/>
      <c r="K19" s="366"/>
      <c r="L19" s="366"/>
      <c r="M19" s="366"/>
      <c r="N19" s="366"/>
      <c r="O19" s="366"/>
      <c r="P19" s="366"/>
      <c r="Q19" s="366"/>
      <c r="R19" s="366"/>
    </row>
    <row r="20" spans="1:18" ht="15.75">
      <c r="B20" s="365"/>
      <c r="C20" s="365"/>
      <c r="D20" s="365"/>
      <c r="E20"/>
      <c r="F20" s="366"/>
      <c r="G20" s="366"/>
      <c r="H20" s="366"/>
      <c r="I20" s="366"/>
      <c r="J20" s="366"/>
      <c r="K20" s="366"/>
      <c r="L20" s="366"/>
      <c r="M20" s="366"/>
      <c r="N20" s="366"/>
      <c r="O20" s="366"/>
      <c r="P20" s="366"/>
      <c r="Q20" s="366"/>
      <c r="R20" s="366"/>
    </row>
    <row r="21" spans="1:18" ht="15.75">
      <c r="A21" s="3357" t="s">
        <v>2742</v>
      </c>
      <c r="B21" s="3358"/>
      <c r="C21" s="3358"/>
      <c r="D21" s="3358"/>
      <c r="E21" s="3359"/>
      <c r="F21" s="3360"/>
      <c r="G21" s="3360"/>
      <c r="H21" s="3360"/>
      <c r="I21" s="3360"/>
      <c r="J21" s="3360"/>
      <c r="K21" s="3360"/>
      <c r="L21" s="3360"/>
      <c r="M21" s="3360"/>
      <c r="N21" s="366"/>
      <c r="O21" s="366"/>
      <c r="P21" s="366"/>
      <c r="Q21" s="366"/>
      <c r="R21" s="366"/>
    </row>
    <row r="22" spans="1:18" ht="15.75">
      <c r="A22" s="365"/>
      <c r="B22" s="365"/>
      <c r="C22" s="365"/>
      <c r="D22" s="365"/>
      <c r="E22"/>
      <c r="F22" s="366"/>
      <c r="G22" s="366"/>
      <c r="H22" s="366"/>
      <c r="I22" s="366"/>
      <c r="J22" s="366"/>
      <c r="K22" s="366"/>
      <c r="L22" s="366"/>
      <c r="M22" s="366"/>
      <c r="N22" s="366"/>
      <c r="O22" s="366"/>
      <c r="P22" s="366"/>
      <c r="Q22" s="366"/>
      <c r="R22" s="366"/>
    </row>
    <row r="23" spans="1:18" ht="15.75">
      <c r="C23"/>
      <c r="D23"/>
      <c r="E23"/>
      <c r="F23"/>
      <c r="G23"/>
      <c r="H23"/>
      <c r="I23"/>
      <c r="J23"/>
      <c r="K23"/>
      <c r="L23" s="366"/>
      <c r="M23" s="366"/>
      <c r="N23" s="366"/>
      <c r="O23" s="366"/>
      <c r="P23" s="366"/>
      <c r="Q23" s="366"/>
      <c r="R23" s="366"/>
    </row>
    <row r="24" spans="1:18" ht="15.75">
      <c r="A24" s="1910" t="s">
        <v>95</v>
      </c>
      <c r="B24" s="2854">
        <v>2007</v>
      </c>
      <c r="C24" s="2854">
        <v>2008</v>
      </c>
      <c r="D24" s="2854">
        <v>2009</v>
      </c>
      <c r="E24" s="2854">
        <v>2010</v>
      </c>
      <c r="F24" s="2854">
        <v>2011</v>
      </c>
      <c r="G24" s="2854">
        <v>2012</v>
      </c>
      <c r="H24" s="2854">
        <v>2013</v>
      </c>
      <c r="I24" s="2854">
        <v>2014</v>
      </c>
      <c r="J24" s="2854">
        <v>2015</v>
      </c>
      <c r="K24" s="2854">
        <v>2016</v>
      </c>
      <c r="L24" s="2858" t="s">
        <v>2306</v>
      </c>
      <c r="M24" s="1911" t="s">
        <v>152</v>
      </c>
      <c r="N24" s="366"/>
      <c r="O24" s="366"/>
      <c r="P24" s="366"/>
      <c r="Q24" s="366"/>
      <c r="R24" s="366"/>
    </row>
    <row r="25" spans="1:18" ht="17.25">
      <c r="A25" s="2648" t="s">
        <v>2304</v>
      </c>
      <c r="B25" s="2855">
        <v>674</v>
      </c>
      <c r="C25" s="2855">
        <v>756</v>
      </c>
      <c r="D25" s="2855">
        <v>754</v>
      </c>
      <c r="E25" s="2855">
        <v>744</v>
      </c>
      <c r="F25" s="2855">
        <v>791</v>
      </c>
      <c r="G25" s="2855">
        <v>840</v>
      </c>
      <c r="H25" s="2855">
        <v>941</v>
      </c>
      <c r="I25" s="2855">
        <v>938</v>
      </c>
      <c r="J25" s="2855">
        <v>981</v>
      </c>
      <c r="K25" s="2855">
        <v>1003</v>
      </c>
      <c r="L25" s="2856">
        <f>SUM(G25:K25)</f>
        <v>4703</v>
      </c>
      <c r="M25" s="5247">
        <f>+L26/L25</f>
        <v>3.541143950669785</v>
      </c>
      <c r="N25" s="366"/>
      <c r="O25" s="366"/>
      <c r="P25" s="366"/>
      <c r="Q25" s="366"/>
      <c r="R25" s="366"/>
    </row>
    <row r="26" spans="1:18" ht="15.75">
      <c r="A26" s="2648" t="s">
        <v>2307</v>
      </c>
      <c r="B26" s="2855">
        <v>7348</v>
      </c>
      <c r="C26" s="2855">
        <v>8791</v>
      </c>
      <c r="D26" s="2855">
        <v>6823</v>
      </c>
      <c r="E26" s="2855">
        <v>5816</v>
      </c>
      <c r="F26" s="2855">
        <v>5908</v>
      </c>
      <c r="G26" s="2855">
        <v>4829</v>
      </c>
      <c r="H26" s="2855">
        <v>3855</v>
      </c>
      <c r="I26" s="2855">
        <v>3459</v>
      </c>
      <c r="J26" s="2855">
        <v>3934</v>
      </c>
      <c r="K26" s="2855">
        <v>577</v>
      </c>
      <c r="L26" s="2856">
        <f>SUM(G26:K26)</f>
        <v>16654</v>
      </c>
      <c r="M26" s="5248"/>
      <c r="N26" s="366"/>
      <c r="O26" s="366"/>
      <c r="P26" s="366"/>
      <c r="Q26" s="366"/>
      <c r="R26" s="366"/>
    </row>
    <row r="27" spans="1:18" ht="15.75">
      <c r="A27" s="54" t="s">
        <v>2305</v>
      </c>
      <c r="C27"/>
      <c r="D27"/>
      <c r="E27"/>
      <c r="F27"/>
      <c r="G27"/>
      <c r="H27"/>
      <c r="I27"/>
      <c r="J27"/>
      <c r="K27"/>
      <c r="L27" s="366"/>
      <c r="M27" s="366"/>
      <c r="N27" s="366"/>
      <c r="O27" s="366"/>
      <c r="P27" s="366"/>
      <c r="Q27" s="366"/>
      <c r="R27" s="366"/>
    </row>
    <row r="28" spans="1:18" ht="15.75">
      <c r="A28" s="2785" t="s">
        <v>2309</v>
      </c>
      <c r="C28"/>
      <c r="D28"/>
      <c r="E28"/>
      <c r="F28" s="2870"/>
      <c r="G28" s="2870"/>
      <c r="H28" s="2870"/>
      <c r="I28" s="2870"/>
      <c r="J28" s="2870"/>
      <c r="K28" s="2870"/>
      <c r="M28" s="366"/>
      <c r="N28" s="366"/>
      <c r="O28" s="366"/>
      <c r="P28" s="366"/>
      <c r="Q28" s="366"/>
      <c r="R28" s="366"/>
    </row>
    <row r="29" spans="1:18" ht="15.75">
      <c r="A29" s="365"/>
      <c r="B29" s="365"/>
      <c r="C29" s="365"/>
      <c r="D29" s="365"/>
      <c r="E29"/>
      <c r="F29" s="366"/>
      <c r="G29" s="366"/>
      <c r="H29" s="366"/>
      <c r="I29" s="366"/>
      <c r="J29" s="366"/>
      <c r="K29" s="366"/>
      <c r="L29" s="366"/>
      <c r="M29" s="366"/>
      <c r="N29" s="366"/>
      <c r="O29" s="366"/>
      <c r="P29" s="366"/>
      <c r="Q29" s="366"/>
      <c r="R29" s="366"/>
    </row>
    <row r="30" spans="1:18" ht="23.25">
      <c r="A30" s="455" t="s">
        <v>1142</v>
      </c>
      <c r="B30" s="456"/>
      <c r="C30" s="456"/>
      <c r="D30" s="456"/>
      <c r="E30" s="456"/>
      <c r="F30" s="366"/>
      <c r="G30" s="366"/>
      <c r="H30" s="366"/>
      <c r="I30" s="366"/>
      <c r="J30" s="366"/>
      <c r="K30" s="366"/>
      <c r="L30" s="366"/>
      <c r="M30" s="366"/>
      <c r="N30" s="366"/>
      <c r="O30" s="366"/>
      <c r="P30" s="366"/>
      <c r="Q30" s="366"/>
      <c r="R30" s="366"/>
    </row>
    <row r="31" spans="1:18" ht="15">
      <c r="A31" s="1910" t="s">
        <v>95</v>
      </c>
      <c r="B31" s="1911">
        <v>2007</v>
      </c>
      <c r="C31" s="1911">
        <v>2008</v>
      </c>
      <c r="D31" s="1911">
        <v>2009</v>
      </c>
      <c r="E31" s="1911">
        <v>2010</v>
      </c>
      <c r="F31" s="1911">
        <v>2011</v>
      </c>
      <c r="G31" s="1911">
        <v>2012</v>
      </c>
      <c r="H31" s="1911">
        <v>2013</v>
      </c>
      <c r="I31" s="1911">
        <v>2014</v>
      </c>
      <c r="J31" s="1912">
        <v>2015</v>
      </c>
      <c r="K31" s="2858" t="s">
        <v>1796</v>
      </c>
      <c r="L31" s="1911" t="s">
        <v>152</v>
      </c>
      <c r="M31" s="492"/>
      <c r="N31" s="492"/>
      <c r="O31" s="492"/>
      <c r="P31" s="492"/>
      <c r="Q31" s="492"/>
      <c r="R31" s="492"/>
    </row>
    <row r="32" spans="1:18" ht="15.75">
      <c r="A32" s="461"/>
      <c r="B32" s="462"/>
      <c r="C32" s="462"/>
      <c r="D32" s="462"/>
      <c r="E32" s="462"/>
      <c r="F32" s="99"/>
      <c r="M32" s="366"/>
      <c r="N32" s="366"/>
      <c r="O32" s="366"/>
      <c r="P32" s="366"/>
      <c r="Q32" s="366"/>
      <c r="R32" s="366"/>
    </row>
    <row r="33" spans="1:18" ht="15">
      <c r="A33" s="2871" t="s">
        <v>1797</v>
      </c>
      <c r="B33" s="1913">
        <v>624</v>
      </c>
      <c r="C33" s="1913">
        <v>695</v>
      </c>
      <c r="D33" s="1913">
        <v>697</v>
      </c>
      <c r="E33" s="1913">
        <v>673</v>
      </c>
      <c r="F33" s="1914">
        <v>701</v>
      </c>
      <c r="G33" s="1914">
        <v>749</v>
      </c>
      <c r="H33" s="1914">
        <v>851</v>
      </c>
      <c r="I33" s="1914">
        <v>810</v>
      </c>
      <c r="J33" s="1914">
        <v>554</v>
      </c>
      <c r="K33" s="1915">
        <f>SUM(F33:J33)</f>
        <v>3665</v>
      </c>
      <c r="L33" s="5254">
        <f>+K34/K33</f>
        <v>2.688949522510232</v>
      </c>
      <c r="M33" s="492"/>
      <c r="N33" s="492"/>
      <c r="O33" s="492"/>
      <c r="P33" s="492"/>
      <c r="Q33" s="492"/>
      <c r="R33" s="492"/>
    </row>
    <row r="34" spans="1:18" ht="15">
      <c r="A34" s="2871" t="s">
        <v>1798</v>
      </c>
      <c r="B34" s="1913">
        <v>5750</v>
      </c>
      <c r="C34" s="1913">
        <v>6526</v>
      </c>
      <c r="D34" s="1913">
        <v>5133</v>
      </c>
      <c r="E34" s="1913">
        <v>4134</v>
      </c>
      <c r="F34" s="1914">
        <v>4014</v>
      </c>
      <c r="G34" s="1914">
        <v>2811</v>
      </c>
      <c r="H34" s="1914">
        <v>1848</v>
      </c>
      <c r="I34" s="1914">
        <v>997</v>
      </c>
      <c r="J34" s="1914">
        <v>185</v>
      </c>
      <c r="K34" s="1915">
        <f>SUM(F34:J34)</f>
        <v>9855</v>
      </c>
      <c r="L34" s="5255"/>
      <c r="M34" s="492"/>
      <c r="N34" s="492"/>
      <c r="O34" s="492"/>
      <c r="P34" s="492"/>
      <c r="Q34" s="492"/>
      <c r="R34" s="492"/>
    </row>
    <row r="35" spans="1:18" ht="15.75">
      <c r="A35" s="461" t="s">
        <v>1145</v>
      </c>
      <c r="F35" s="366"/>
      <c r="G35" s="366"/>
      <c r="H35" s="366"/>
      <c r="I35" s="366"/>
      <c r="J35" s="366"/>
      <c r="K35" s="366"/>
      <c r="L35" s="366"/>
      <c r="M35" s="366"/>
      <c r="N35" s="366"/>
      <c r="O35" s="366"/>
      <c r="P35" s="366"/>
      <c r="Q35" s="366"/>
      <c r="R35" s="366"/>
    </row>
    <row r="36" spans="1:18" ht="15.75">
      <c r="A36" s="365"/>
      <c r="B36" s="365"/>
      <c r="C36" s="365"/>
      <c r="D36" s="365"/>
      <c r="E36"/>
      <c r="F36" s="366"/>
      <c r="G36" s="366"/>
      <c r="H36" s="366"/>
      <c r="I36" s="366"/>
      <c r="J36" s="366"/>
      <c r="K36" s="366"/>
      <c r="L36" s="366"/>
      <c r="M36" s="366"/>
      <c r="N36" s="366"/>
      <c r="O36" s="366"/>
      <c r="P36" s="366"/>
      <c r="Q36" s="366"/>
      <c r="R36" s="366"/>
    </row>
    <row r="37" spans="1:18" ht="15.75">
      <c r="B37" s="456"/>
      <c r="C37" s="456"/>
      <c r="D37" s="456"/>
      <c r="E37" s="456"/>
      <c r="F37" s="456"/>
      <c r="G37" s="456"/>
      <c r="H37" s="456"/>
      <c r="I37" s="456"/>
      <c r="J37" s="456"/>
      <c r="K37" s="366"/>
      <c r="L37" s="366"/>
      <c r="M37" s="366"/>
      <c r="N37" s="366"/>
      <c r="O37" s="366"/>
      <c r="P37" s="366"/>
      <c r="Q37" s="366"/>
      <c r="R37" s="366"/>
    </row>
    <row r="38" spans="1:18" ht="15.75">
      <c r="A38" s="460" t="s">
        <v>95</v>
      </c>
      <c r="B38" s="457">
        <v>2007</v>
      </c>
      <c r="C38" s="457">
        <v>2008</v>
      </c>
      <c r="D38" s="457">
        <v>2009</v>
      </c>
      <c r="E38" s="457">
        <v>2010</v>
      </c>
      <c r="F38" s="457">
        <v>2011</v>
      </c>
      <c r="G38" s="457">
        <v>2012</v>
      </c>
      <c r="H38" s="457">
        <v>2013</v>
      </c>
      <c r="I38" s="457">
        <v>2014</v>
      </c>
      <c r="J38" s="2859" t="s">
        <v>1143</v>
      </c>
      <c r="K38" s="457" t="s">
        <v>152</v>
      </c>
      <c r="M38" s="366"/>
      <c r="N38" s="366"/>
      <c r="O38" s="366"/>
      <c r="P38" s="366"/>
      <c r="Q38" s="366"/>
      <c r="R38" s="366"/>
    </row>
    <row r="39" spans="1:18" ht="15.75">
      <c r="A39" s="458" t="s">
        <v>1144</v>
      </c>
      <c r="B39" s="458">
        <v>637</v>
      </c>
      <c r="C39" s="458">
        <v>712</v>
      </c>
      <c r="D39" s="458">
        <v>700</v>
      </c>
      <c r="E39" s="458">
        <v>671</v>
      </c>
      <c r="F39" s="459">
        <v>710</v>
      </c>
      <c r="G39" s="459">
        <v>760</v>
      </c>
      <c r="H39" s="459">
        <v>817</v>
      </c>
      <c r="I39" s="459">
        <v>602</v>
      </c>
      <c r="J39" s="458">
        <f>SUM(F39:I39)</f>
        <v>2889</v>
      </c>
      <c r="K39" s="5256">
        <f>+J40/J39</f>
        <v>1.691588785046729</v>
      </c>
      <c r="M39" s="366"/>
      <c r="N39" s="366"/>
      <c r="O39" s="366"/>
      <c r="P39" s="366"/>
      <c r="Q39" s="366"/>
      <c r="R39" s="366"/>
    </row>
    <row r="40" spans="1:18" ht="15.75">
      <c r="A40" s="458" t="s">
        <v>151</v>
      </c>
      <c r="B40" s="458">
        <v>4784</v>
      </c>
      <c r="C40" s="458">
        <v>5191</v>
      </c>
      <c r="D40" s="458">
        <v>3759</v>
      </c>
      <c r="E40" s="458">
        <v>2844</v>
      </c>
      <c r="F40" s="459">
        <v>2504</v>
      </c>
      <c r="G40" s="459">
        <v>1504</v>
      </c>
      <c r="H40" s="459">
        <v>606</v>
      </c>
      <c r="I40" s="459">
        <v>273</v>
      </c>
      <c r="J40" s="458">
        <f>SUM(F40:I40)</f>
        <v>4887</v>
      </c>
      <c r="K40" s="5257"/>
      <c r="M40" s="366"/>
      <c r="N40" s="366"/>
      <c r="O40" s="366"/>
      <c r="P40" s="366"/>
      <c r="Q40" s="366"/>
      <c r="R40" s="366"/>
    </row>
    <row r="41" spans="1:18" ht="15.75">
      <c r="A41" s="461" t="s">
        <v>1145</v>
      </c>
      <c r="B41" s="462"/>
      <c r="C41" s="462"/>
      <c r="D41" s="462"/>
      <c r="E41" s="462"/>
      <c r="F41" s="462"/>
      <c r="G41" s="462"/>
      <c r="H41" s="462"/>
      <c r="I41" s="462"/>
      <c r="J41" s="462"/>
      <c r="K41" s="366"/>
      <c r="L41" s="366"/>
      <c r="M41" s="366"/>
      <c r="N41" s="366"/>
      <c r="O41" s="366"/>
      <c r="P41" s="366"/>
      <c r="Q41" s="366"/>
      <c r="R41" s="366"/>
    </row>
    <row r="42" spans="1:18" ht="15.75">
      <c r="A42" s="365"/>
      <c r="B42" s="365"/>
      <c r="C42" s="365"/>
      <c r="D42" s="365"/>
      <c r="F42" s="366"/>
      <c r="G42" s="366"/>
      <c r="H42" s="366"/>
      <c r="I42" s="366"/>
      <c r="J42" s="366"/>
      <c r="K42" s="366"/>
      <c r="L42" s="366"/>
      <c r="M42" s="366"/>
      <c r="N42" s="366"/>
      <c r="O42" s="366"/>
      <c r="P42" s="366"/>
      <c r="Q42" s="366"/>
      <c r="R42" s="366"/>
    </row>
    <row r="43" spans="1:18" ht="15.75">
      <c r="A43" s="216">
        <v>2013</v>
      </c>
      <c r="B43" s="365"/>
      <c r="C43" s="365"/>
      <c r="D43" s="365"/>
      <c r="F43" s="366"/>
      <c r="G43" s="366"/>
      <c r="H43" s="366"/>
      <c r="I43" s="366"/>
      <c r="J43" s="366"/>
      <c r="K43" s="366"/>
      <c r="L43" s="366"/>
      <c r="M43" s="366"/>
      <c r="N43" s="366"/>
      <c r="O43" s="366"/>
      <c r="P43" s="366"/>
      <c r="Q43" s="366"/>
      <c r="R43" s="366"/>
    </row>
    <row r="44" spans="1:18" ht="15.75">
      <c r="A44" s="2735" t="s">
        <v>725</v>
      </c>
      <c r="B44" s="365"/>
      <c r="C44" s="365"/>
      <c r="D44" s="365"/>
      <c r="F44" s="366"/>
      <c r="G44" s="366"/>
      <c r="H44" s="366"/>
      <c r="I44" s="366"/>
      <c r="J44" s="366"/>
      <c r="K44" s="366"/>
      <c r="L44" s="366"/>
      <c r="M44" s="366"/>
      <c r="N44" s="366"/>
      <c r="O44" s="366"/>
      <c r="P44" s="366"/>
      <c r="Q44" s="366"/>
      <c r="R44" s="366"/>
    </row>
    <row r="45" spans="1:18" ht="15.75">
      <c r="A45" s="463" t="s">
        <v>148</v>
      </c>
      <c r="B45" s="463" t="s">
        <v>150</v>
      </c>
      <c r="C45" s="463" t="s">
        <v>151</v>
      </c>
      <c r="D45" s="463" t="s">
        <v>152</v>
      </c>
      <c r="F45" s="366"/>
      <c r="G45" s="366"/>
      <c r="H45" s="366"/>
      <c r="I45" s="366"/>
      <c r="J45" s="366"/>
      <c r="K45" s="366"/>
      <c r="L45" s="366"/>
      <c r="M45" s="366"/>
      <c r="N45" s="366"/>
      <c r="O45" s="366"/>
      <c r="P45" s="366"/>
      <c r="Q45" s="366"/>
      <c r="R45" s="366"/>
    </row>
    <row r="46" spans="1:18" ht="15.75">
      <c r="A46" s="1" t="s">
        <v>153</v>
      </c>
      <c r="B46" s="221">
        <v>31782</v>
      </c>
      <c r="C46" s="221">
        <v>119755</v>
      </c>
      <c r="D46" s="153">
        <v>3.8</v>
      </c>
      <c r="F46" s="366"/>
      <c r="G46" s="366"/>
      <c r="H46" s="366"/>
      <c r="I46" s="366"/>
      <c r="J46" s="366"/>
      <c r="K46" s="366"/>
      <c r="L46" s="366"/>
      <c r="M46" s="366"/>
      <c r="N46" s="366"/>
      <c r="O46" s="366"/>
      <c r="P46" s="366"/>
      <c r="Q46" s="366"/>
      <c r="R46" s="366"/>
    </row>
    <row r="47" spans="1:18" ht="15.75">
      <c r="A47" s="1" t="s">
        <v>726</v>
      </c>
      <c r="B47" s="221">
        <v>8985</v>
      </c>
      <c r="C47" s="221">
        <v>32182</v>
      </c>
      <c r="D47" s="153">
        <v>3.6</v>
      </c>
      <c r="E47" s="464"/>
      <c r="F47" s="366"/>
      <c r="G47" s="366"/>
      <c r="H47" s="366"/>
      <c r="I47" s="366"/>
      <c r="J47" s="366"/>
      <c r="K47" s="366"/>
      <c r="L47" s="366"/>
      <c r="M47" s="366"/>
      <c r="N47" s="366"/>
      <c r="O47" s="366"/>
      <c r="P47" s="366"/>
      <c r="Q47" s="366"/>
      <c r="R47" s="366"/>
    </row>
    <row r="48" spans="1:18" ht="15.75">
      <c r="A48" s="1" t="s">
        <v>448</v>
      </c>
      <c r="B48" s="221">
        <v>6893</v>
      </c>
      <c r="C48" s="221">
        <v>13523</v>
      </c>
      <c r="D48" s="153">
        <v>2</v>
      </c>
      <c r="E48" s="464"/>
      <c r="F48" s="366"/>
      <c r="G48" s="366"/>
      <c r="H48" s="366"/>
      <c r="I48" s="366"/>
      <c r="J48" s="366"/>
      <c r="K48" s="366"/>
      <c r="L48" s="366"/>
      <c r="M48" s="366"/>
      <c r="N48" s="366"/>
      <c r="O48" s="366"/>
      <c r="P48" s="366"/>
      <c r="Q48" s="366"/>
      <c r="R48" s="366"/>
    </row>
    <row r="49" spans="1:18" ht="15.75">
      <c r="A49" s="222" t="s">
        <v>95</v>
      </c>
      <c r="B49" s="223">
        <v>5600</v>
      </c>
      <c r="C49" s="223">
        <v>12001</v>
      </c>
      <c r="D49" s="224">
        <v>2.1</v>
      </c>
      <c r="E49" s="464"/>
      <c r="F49" s="366"/>
      <c r="G49" s="366"/>
      <c r="H49" s="366"/>
      <c r="I49" s="366"/>
      <c r="J49" s="366"/>
      <c r="K49" s="366"/>
      <c r="L49" s="366"/>
      <c r="M49" s="366"/>
      <c r="N49" s="366"/>
      <c r="O49" s="366"/>
      <c r="P49" s="366"/>
      <c r="Q49" s="366"/>
      <c r="R49" s="366"/>
    </row>
    <row r="50" spans="1:18" ht="15.75">
      <c r="A50" s="1" t="s">
        <v>156</v>
      </c>
      <c r="B50" s="221">
        <v>4803</v>
      </c>
      <c r="C50" s="221">
        <v>15225</v>
      </c>
      <c r="D50" s="153">
        <v>3.2</v>
      </c>
      <c r="E50" s="464"/>
      <c r="F50" s="366"/>
      <c r="G50" s="366"/>
      <c r="H50" s="366"/>
      <c r="I50" s="366"/>
      <c r="J50" s="366"/>
      <c r="K50" s="366"/>
      <c r="L50" s="366"/>
      <c r="M50" s="366"/>
      <c r="N50" s="366"/>
      <c r="O50" s="366"/>
      <c r="P50" s="366"/>
      <c r="Q50" s="366"/>
      <c r="R50" s="366"/>
    </row>
    <row r="51" spans="1:18" ht="15.75">
      <c r="A51" s="1" t="s">
        <v>727</v>
      </c>
      <c r="B51" s="221">
        <v>2152</v>
      </c>
      <c r="C51" s="221">
        <v>9557</v>
      </c>
      <c r="D51" s="153">
        <v>4.4000000000000004</v>
      </c>
      <c r="E51" s="464"/>
      <c r="F51" s="366"/>
      <c r="G51" s="366"/>
      <c r="H51" s="366"/>
      <c r="I51" s="366"/>
      <c r="J51" s="366"/>
      <c r="K51" s="366"/>
      <c r="L51" s="366"/>
      <c r="M51" s="366"/>
      <c r="N51" s="366"/>
      <c r="O51" s="366"/>
      <c r="P51" s="366"/>
      <c r="Q51" s="366"/>
      <c r="R51" s="366"/>
    </row>
    <row r="52" spans="1:18" ht="15.75">
      <c r="A52" s="1" t="s">
        <v>729</v>
      </c>
      <c r="B52" s="221">
        <v>1717</v>
      </c>
      <c r="C52" s="221">
        <v>7633</v>
      </c>
      <c r="D52" s="153">
        <v>4.4000000000000004</v>
      </c>
      <c r="E52" s="464"/>
      <c r="F52" s="366"/>
      <c r="G52" s="366"/>
      <c r="H52" s="366"/>
      <c r="I52" s="366"/>
      <c r="J52" s="366"/>
      <c r="K52" s="366"/>
      <c r="L52" s="366"/>
      <c r="M52" s="366"/>
      <c r="N52" s="366"/>
      <c r="O52" s="366"/>
      <c r="P52" s="366"/>
      <c r="Q52" s="366"/>
      <c r="R52" s="366"/>
    </row>
    <row r="53" spans="1:18" ht="15.75">
      <c r="A53" s="1" t="s">
        <v>728</v>
      </c>
      <c r="B53" s="221">
        <v>3105</v>
      </c>
      <c r="C53" s="221">
        <v>4905</v>
      </c>
      <c r="D53" s="153">
        <v>1.6</v>
      </c>
      <c r="E53" s="464"/>
      <c r="F53" s="366"/>
      <c r="G53" s="366"/>
      <c r="H53" s="366"/>
      <c r="I53" s="366"/>
      <c r="J53" s="366"/>
      <c r="K53" s="366"/>
      <c r="L53" s="366"/>
      <c r="M53" s="366"/>
      <c r="N53" s="366"/>
      <c r="O53" s="366"/>
      <c r="P53" s="366"/>
      <c r="Q53" s="366"/>
      <c r="R53" s="366"/>
    </row>
    <row r="54" spans="1:18" ht="15.75">
      <c r="A54" s="1" t="s">
        <v>333</v>
      </c>
      <c r="B54" s="221">
        <v>2512</v>
      </c>
      <c r="C54" s="221">
        <v>4652</v>
      </c>
      <c r="D54" s="153">
        <v>1.9</v>
      </c>
      <c r="E54" s="464"/>
      <c r="F54" s="366"/>
      <c r="G54" s="366"/>
      <c r="H54" s="366"/>
      <c r="I54" s="366"/>
      <c r="J54" s="366"/>
      <c r="K54" s="366"/>
      <c r="L54" s="366"/>
      <c r="M54" s="366"/>
      <c r="N54" s="366"/>
      <c r="O54" s="366"/>
      <c r="P54" s="366"/>
      <c r="Q54" s="366"/>
      <c r="R54" s="366"/>
    </row>
    <row r="55" spans="1:18" ht="15.75">
      <c r="A55" s="225" t="s">
        <v>343</v>
      </c>
      <c r="B55" s="226">
        <v>1962</v>
      </c>
      <c r="C55" s="226">
        <v>5576</v>
      </c>
      <c r="D55" s="227">
        <v>2.8</v>
      </c>
      <c r="E55" s="464"/>
      <c r="F55" s="366"/>
      <c r="G55" s="366"/>
      <c r="H55" s="366"/>
      <c r="I55" s="366"/>
      <c r="J55" s="366"/>
      <c r="K55" s="366"/>
      <c r="L55" s="366"/>
      <c r="M55" s="366"/>
      <c r="N55" s="366"/>
      <c r="O55" s="366"/>
      <c r="P55" s="366"/>
      <c r="Q55" s="366"/>
      <c r="R55" s="366"/>
    </row>
    <row r="56" spans="1:18" ht="15.75">
      <c r="A56" s="77" t="s">
        <v>723</v>
      </c>
      <c r="B56" s="79"/>
      <c r="C56" s="79"/>
      <c r="D56" s="79"/>
      <c r="E56" s="464"/>
      <c r="F56" s="366"/>
      <c r="G56" s="366"/>
      <c r="H56" s="366"/>
      <c r="I56" s="366"/>
      <c r="J56" s="366"/>
      <c r="K56" s="366"/>
      <c r="L56" s="366"/>
      <c r="M56" s="366"/>
      <c r="N56" s="366"/>
      <c r="O56" s="366"/>
      <c r="P56" s="366"/>
      <c r="Q56" s="366"/>
      <c r="R56" s="366"/>
    </row>
    <row r="57" spans="1:18" ht="15.75">
      <c r="A57" s="77" t="s">
        <v>724</v>
      </c>
      <c r="B57" s="79"/>
      <c r="C57" s="79"/>
      <c r="D57" s="79"/>
      <c r="F57" s="366"/>
      <c r="G57" s="366"/>
      <c r="H57" s="366"/>
      <c r="I57" s="366"/>
      <c r="J57" s="366"/>
      <c r="K57" s="366"/>
      <c r="L57" s="366"/>
      <c r="M57" s="366"/>
      <c r="N57" s="366"/>
      <c r="O57" s="366"/>
      <c r="P57" s="366"/>
      <c r="Q57" s="366"/>
      <c r="R57" s="366"/>
    </row>
    <row r="58" spans="1:18" ht="15.75">
      <c r="A58" s="365"/>
      <c r="B58" s="365"/>
      <c r="C58" s="365"/>
      <c r="D58" s="365"/>
      <c r="F58" s="366"/>
      <c r="G58" s="366"/>
      <c r="H58" s="366"/>
      <c r="I58" s="366"/>
      <c r="J58" s="366"/>
      <c r="K58" s="366"/>
      <c r="L58" s="366"/>
      <c r="M58" s="366"/>
      <c r="N58" s="366"/>
      <c r="O58" s="366"/>
      <c r="P58" s="366"/>
      <c r="Q58" s="366"/>
      <c r="R58" s="366"/>
    </row>
    <row r="59" spans="1:18" ht="15.75">
      <c r="A59" s="216">
        <v>2012</v>
      </c>
      <c r="B59" s="365"/>
      <c r="C59" s="365"/>
      <c r="D59" s="365"/>
      <c r="F59" s="366"/>
      <c r="G59" s="366"/>
      <c r="H59" s="366"/>
      <c r="I59" s="366"/>
      <c r="J59" s="366"/>
      <c r="K59" s="366"/>
      <c r="L59" s="366"/>
      <c r="M59" s="366"/>
      <c r="N59" s="366"/>
      <c r="O59" s="366"/>
      <c r="P59" s="366"/>
      <c r="Q59" s="366"/>
      <c r="R59" s="366"/>
    </row>
    <row r="60" spans="1:18" ht="30">
      <c r="A60" s="2736" t="s">
        <v>639</v>
      </c>
      <c r="B60" s="2737"/>
      <c r="C60" s="2737"/>
      <c r="D60" s="2737"/>
      <c r="F60" s="366"/>
      <c r="G60" s="366"/>
      <c r="H60" s="366"/>
      <c r="I60" s="366"/>
      <c r="J60" s="366"/>
      <c r="K60" s="366"/>
      <c r="L60" s="366"/>
      <c r="M60" s="366"/>
      <c r="N60" s="366"/>
      <c r="O60" s="366"/>
      <c r="P60" s="366"/>
      <c r="Q60" s="366"/>
      <c r="R60" s="366"/>
    </row>
    <row r="61" spans="1:18" ht="15.75" customHeight="1">
      <c r="A61" s="172" t="s">
        <v>148</v>
      </c>
      <c r="B61" s="172" t="s">
        <v>150</v>
      </c>
      <c r="C61" s="172" t="s">
        <v>151</v>
      </c>
      <c r="D61" s="172" t="s">
        <v>152</v>
      </c>
      <c r="F61" s="366"/>
      <c r="G61" s="366"/>
      <c r="H61" s="366"/>
      <c r="I61" s="366"/>
      <c r="J61" s="366"/>
      <c r="K61" s="366"/>
      <c r="L61" s="366"/>
      <c r="M61" s="366"/>
      <c r="N61" s="366"/>
      <c r="O61" s="366"/>
      <c r="P61" s="366"/>
      <c r="Q61" s="366"/>
      <c r="R61" s="366"/>
    </row>
    <row r="62" spans="1:18" ht="15.75">
      <c r="A62" s="82" t="s">
        <v>153</v>
      </c>
      <c r="B62" s="173">
        <v>53628.9</v>
      </c>
      <c r="C62" s="173">
        <v>370852.7</v>
      </c>
      <c r="D62" s="174">
        <v>6.9151651441666715</v>
      </c>
      <c r="F62" s="366"/>
      <c r="G62" s="366"/>
      <c r="H62" s="366"/>
      <c r="I62" s="366"/>
      <c r="J62" s="366"/>
      <c r="K62" s="366"/>
      <c r="L62" s="366"/>
      <c r="M62" s="366"/>
      <c r="N62" s="366"/>
      <c r="O62" s="366"/>
      <c r="P62" s="366"/>
      <c r="Q62" s="366"/>
      <c r="R62" s="366"/>
    </row>
    <row r="63" spans="1:18" ht="15.75">
      <c r="A63" s="82" t="s">
        <v>447</v>
      </c>
      <c r="B63" s="173">
        <v>15894.599999999999</v>
      </c>
      <c r="C63" s="173">
        <v>102121.9</v>
      </c>
      <c r="D63" s="174">
        <v>6.4249430624237167</v>
      </c>
      <c r="F63" s="366"/>
      <c r="G63" s="366"/>
      <c r="H63" s="366"/>
      <c r="I63" s="366"/>
      <c r="J63" s="366"/>
      <c r="K63" s="366"/>
      <c r="L63" s="366"/>
      <c r="M63" s="366"/>
      <c r="N63" s="366"/>
      <c r="O63" s="366"/>
      <c r="P63" s="366"/>
      <c r="Q63" s="366"/>
      <c r="R63" s="366"/>
    </row>
    <row r="64" spans="1:18" ht="15.75">
      <c r="A64" s="82" t="s">
        <v>448</v>
      </c>
      <c r="B64" s="173">
        <v>11669.3</v>
      </c>
      <c r="C64" s="173">
        <v>42800.149999999994</v>
      </c>
      <c r="D64" s="174">
        <v>3.6677564206936144</v>
      </c>
      <c r="F64" s="366"/>
      <c r="G64" s="366"/>
      <c r="H64" s="366"/>
      <c r="I64" s="366"/>
      <c r="J64" s="366"/>
      <c r="K64" s="366"/>
      <c r="L64" s="366"/>
      <c r="M64" s="366"/>
      <c r="N64" s="366"/>
      <c r="O64" s="366"/>
      <c r="P64" s="366"/>
      <c r="Q64" s="366"/>
      <c r="R64" s="366"/>
    </row>
    <row r="65" spans="1:18" ht="15.75">
      <c r="A65" s="214" t="s">
        <v>95</v>
      </c>
      <c r="B65" s="175">
        <v>9126.2999999999993</v>
      </c>
      <c r="C65" s="175">
        <v>39857.1</v>
      </c>
      <c r="D65" s="176">
        <v>4.3672791821439141</v>
      </c>
      <c r="F65" s="366"/>
      <c r="G65" s="366"/>
      <c r="H65" s="366"/>
      <c r="I65" s="366"/>
      <c r="J65" s="366"/>
      <c r="K65" s="366"/>
      <c r="L65" s="366"/>
      <c r="M65" s="366"/>
      <c r="N65" s="366"/>
      <c r="O65" s="366"/>
      <c r="P65" s="366"/>
      <c r="Q65" s="366"/>
      <c r="R65" s="366"/>
    </row>
    <row r="66" spans="1:18" ht="15.75">
      <c r="A66" s="82" t="s">
        <v>449</v>
      </c>
      <c r="B66" s="173">
        <v>8468.2999999999993</v>
      </c>
      <c r="C66" s="173">
        <v>46751.399999999994</v>
      </c>
      <c r="D66" s="174">
        <v>5.5207538703163559</v>
      </c>
      <c r="F66" s="366"/>
      <c r="G66" s="366"/>
      <c r="H66" s="366"/>
      <c r="I66" s="366"/>
      <c r="J66" s="366"/>
      <c r="K66" s="366"/>
      <c r="L66" s="366"/>
      <c r="M66" s="366"/>
      <c r="N66" s="366"/>
      <c r="O66" s="366"/>
      <c r="P66" s="366"/>
      <c r="Q66" s="366"/>
      <c r="R66" s="366"/>
    </row>
    <row r="67" spans="1:18" ht="15.75">
      <c r="A67" s="37" t="s">
        <v>450</v>
      </c>
      <c r="B67" s="173">
        <v>4163</v>
      </c>
      <c r="C67" s="173">
        <v>32192.392857142855</v>
      </c>
      <c r="D67" s="174">
        <v>7.7329793075048894</v>
      </c>
      <c r="F67" s="366"/>
      <c r="G67" s="366"/>
      <c r="H67" s="366"/>
      <c r="I67" s="366"/>
      <c r="J67" s="366"/>
      <c r="K67" s="366"/>
      <c r="L67" s="366"/>
      <c r="M67" s="366"/>
      <c r="N67" s="366"/>
      <c r="O67" s="366"/>
      <c r="P67" s="366"/>
      <c r="Q67" s="366"/>
      <c r="R67" s="366"/>
    </row>
    <row r="68" spans="1:18" ht="15.75">
      <c r="A68" s="82" t="s">
        <v>96</v>
      </c>
      <c r="B68" s="173">
        <v>4737.5</v>
      </c>
      <c r="C68" s="173">
        <v>16243.8</v>
      </c>
      <c r="D68" s="174">
        <v>3.4287704485488124</v>
      </c>
      <c r="F68" s="366"/>
      <c r="G68" s="366"/>
      <c r="H68" s="366"/>
      <c r="I68" s="366"/>
      <c r="J68" s="366"/>
      <c r="K68" s="366"/>
      <c r="L68" s="366"/>
      <c r="M68" s="366"/>
      <c r="N68" s="366"/>
      <c r="O68" s="366"/>
      <c r="P68" s="366"/>
      <c r="Q68" s="366"/>
      <c r="R68" s="366"/>
    </row>
    <row r="69" spans="1:18" ht="15.75">
      <c r="A69" s="82" t="s">
        <v>451</v>
      </c>
      <c r="B69" s="173">
        <v>4118.6000000000004</v>
      </c>
      <c r="C69" s="173">
        <v>22119.75</v>
      </c>
      <c r="D69" s="174">
        <v>5.3706963531297038</v>
      </c>
      <c r="F69" s="366"/>
      <c r="G69" s="366"/>
      <c r="H69" s="366"/>
      <c r="I69" s="366"/>
      <c r="J69" s="366"/>
      <c r="K69" s="366"/>
      <c r="L69" s="366"/>
      <c r="M69" s="366"/>
      <c r="N69" s="366"/>
      <c r="O69" s="366"/>
      <c r="P69" s="366"/>
      <c r="Q69" s="366"/>
      <c r="R69" s="366"/>
    </row>
    <row r="70" spans="1:18" ht="15.75">
      <c r="A70" s="82" t="s">
        <v>452</v>
      </c>
      <c r="B70" s="173">
        <v>6599</v>
      </c>
      <c r="C70" s="173">
        <v>16513</v>
      </c>
      <c r="D70" s="174">
        <v>2.5023488407334447</v>
      </c>
      <c r="F70" s="366"/>
      <c r="G70" s="366"/>
      <c r="H70" s="366"/>
      <c r="I70" s="366"/>
      <c r="J70" s="366"/>
      <c r="K70" s="366"/>
      <c r="L70" s="366"/>
      <c r="M70" s="366"/>
      <c r="N70" s="366"/>
      <c r="O70" s="366"/>
      <c r="P70" s="366"/>
      <c r="Q70" s="366"/>
      <c r="R70" s="366"/>
    </row>
    <row r="71" spans="1:18" ht="15.75">
      <c r="A71" s="82" t="s">
        <v>453</v>
      </c>
      <c r="B71" s="173">
        <v>3943.1000000000004</v>
      </c>
      <c r="C71" s="173">
        <v>17636.7</v>
      </c>
      <c r="D71" s="174">
        <v>4.472800588369557</v>
      </c>
      <c r="F71" s="366"/>
      <c r="G71" s="366"/>
      <c r="H71" s="366"/>
      <c r="I71" s="366"/>
      <c r="J71" s="366"/>
      <c r="K71" s="366"/>
      <c r="L71" s="366"/>
      <c r="M71" s="366"/>
      <c r="N71" s="366"/>
      <c r="O71" s="366"/>
      <c r="P71" s="366"/>
      <c r="Q71" s="366"/>
      <c r="R71" s="366"/>
    </row>
    <row r="72" spans="1:18" ht="15.75">
      <c r="A72" s="82" t="s">
        <v>158</v>
      </c>
      <c r="B72" s="173">
        <v>3872.6000000000004</v>
      </c>
      <c r="C72" s="173">
        <v>13230.45</v>
      </c>
      <c r="D72" s="174">
        <v>3.4164256571812217</v>
      </c>
      <c r="F72" s="366"/>
      <c r="G72" s="366"/>
      <c r="H72" s="366"/>
      <c r="I72" s="366"/>
      <c r="J72" s="366"/>
      <c r="K72" s="366"/>
      <c r="L72" s="366"/>
      <c r="M72" s="366"/>
      <c r="N72" s="366"/>
      <c r="O72" s="366"/>
      <c r="P72" s="366"/>
      <c r="Q72" s="366"/>
      <c r="R72" s="366"/>
    </row>
    <row r="73" spans="1:18" ht="15.75">
      <c r="A73" s="82" t="s">
        <v>157</v>
      </c>
      <c r="B73" s="173">
        <v>3553.3999999999996</v>
      </c>
      <c r="C73" s="173">
        <v>26513.949999999997</v>
      </c>
      <c r="D73" s="174">
        <v>7.4615720155344176</v>
      </c>
      <c r="F73" s="366"/>
      <c r="G73" s="366"/>
      <c r="H73" s="366"/>
      <c r="I73" s="366"/>
      <c r="J73" s="366"/>
      <c r="K73" s="366"/>
      <c r="L73" s="366"/>
      <c r="M73" s="366"/>
      <c r="N73" s="366"/>
      <c r="O73" s="366"/>
      <c r="P73" s="366"/>
      <c r="Q73" s="366"/>
      <c r="R73" s="366"/>
    </row>
    <row r="74" spans="1:18" ht="15.75">
      <c r="A74" s="82" t="s">
        <v>624</v>
      </c>
      <c r="B74" s="173">
        <v>5596.4</v>
      </c>
      <c r="C74" s="173">
        <v>43761.65</v>
      </c>
      <c r="D74" s="174">
        <v>7.8196072475162612</v>
      </c>
      <c r="F74" s="366"/>
      <c r="G74" s="366"/>
      <c r="H74" s="366"/>
      <c r="I74" s="366"/>
      <c r="J74" s="366"/>
      <c r="K74" s="366"/>
      <c r="L74" s="366"/>
      <c r="M74" s="366"/>
      <c r="N74" s="366"/>
      <c r="O74" s="366"/>
      <c r="P74" s="366"/>
      <c r="Q74" s="366"/>
      <c r="R74" s="366"/>
    </row>
    <row r="75" spans="1:18" ht="15.75">
      <c r="A75" s="82" t="s">
        <v>343</v>
      </c>
      <c r="B75" s="173">
        <v>3054.6000000000004</v>
      </c>
      <c r="C75" s="173">
        <v>14570.7</v>
      </c>
      <c r="D75" s="174">
        <v>4.7700844627774499</v>
      </c>
      <c r="F75" s="366"/>
      <c r="G75" s="366"/>
      <c r="H75" s="366"/>
      <c r="I75" s="366"/>
      <c r="J75" s="366"/>
      <c r="K75" s="366"/>
      <c r="L75" s="366"/>
      <c r="M75" s="366"/>
      <c r="N75" s="366"/>
      <c r="O75" s="366"/>
      <c r="P75" s="366"/>
      <c r="Q75" s="366"/>
      <c r="R75" s="366"/>
    </row>
    <row r="76" spans="1:18" ht="15.75">
      <c r="A76" s="82" t="s">
        <v>342</v>
      </c>
      <c r="B76" s="173">
        <v>2778</v>
      </c>
      <c r="C76" s="173">
        <v>13136.099999999999</v>
      </c>
      <c r="D76" s="174">
        <v>4.7286177105831531</v>
      </c>
      <c r="F76" s="366"/>
      <c r="G76" s="366"/>
      <c r="H76" s="366"/>
      <c r="I76" s="366"/>
      <c r="J76" s="366"/>
      <c r="K76" s="366"/>
      <c r="L76" s="366"/>
      <c r="M76" s="366"/>
      <c r="N76" s="366"/>
      <c r="O76" s="366"/>
      <c r="P76" s="366"/>
      <c r="Q76" s="366"/>
      <c r="R76" s="366"/>
    </row>
    <row r="77" spans="1:18" ht="15.75">
      <c r="A77" s="82" t="s">
        <v>625</v>
      </c>
      <c r="B77" s="173">
        <v>2628.3</v>
      </c>
      <c r="C77" s="173">
        <v>11625.400000000001</v>
      </c>
      <c r="D77" s="174">
        <v>4.4231632614237339</v>
      </c>
      <c r="F77" s="366"/>
      <c r="G77" s="366"/>
      <c r="H77" s="366"/>
      <c r="I77" s="366"/>
      <c r="J77" s="366"/>
      <c r="K77" s="366"/>
      <c r="L77" s="366"/>
      <c r="M77" s="366"/>
      <c r="N77" s="366"/>
      <c r="O77" s="366"/>
      <c r="P77" s="366"/>
      <c r="Q77" s="366"/>
      <c r="R77" s="366"/>
    </row>
    <row r="78" spans="1:18" ht="15.75">
      <c r="A78" s="82" t="s">
        <v>340</v>
      </c>
      <c r="B78" s="173">
        <v>2721.2</v>
      </c>
      <c r="C78" s="173">
        <v>7758.7000000000007</v>
      </c>
      <c r="D78" s="174">
        <v>2.8512053505806265</v>
      </c>
      <c r="F78" s="366"/>
      <c r="G78" s="366"/>
      <c r="H78" s="366"/>
      <c r="I78" s="366"/>
      <c r="J78" s="366"/>
      <c r="K78" s="366"/>
      <c r="L78" s="366"/>
      <c r="M78" s="366"/>
      <c r="N78" s="366"/>
      <c r="O78" s="366"/>
      <c r="P78" s="366"/>
      <c r="Q78" s="366"/>
      <c r="R78" s="366"/>
    </row>
    <row r="79" spans="1:18" ht="15.75">
      <c r="A79" s="82" t="s">
        <v>626</v>
      </c>
      <c r="B79" s="173">
        <v>2544.5714285714284</v>
      </c>
      <c r="C79" s="173">
        <v>20434.035714285714</v>
      </c>
      <c r="D79" s="174">
        <v>8.0304429598023805</v>
      </c>
      <c r="F79" s="366"/>
      <c r="G79" s="366"/>
      <c r="H79" s="366"/>
      <c r="I79" s="366"/>
      <c r="J79" s="366"/>
      <c r="K79" s="366"/>
      <c r="L79" s="366"/>
      <c r="M79" s="366"/>
      <c r="N79" s="366"/>
      <c r="O79" s="366"/>
      <c r="P79" s="366"/>
      <c r="Q79" s="366"/>
      <c r="R79" s="366"/>
    </row>
    <row r="80" spans="1:18" ht="15.75">
      <c r="A80" s="82" t="s">
        <v>627</v>
      </c>
      <c r="B80" s="173">
        <v>2562.6</v>
      </c>
      <c r="C80" s="173">
        <v>11322.95</v>
      </c>
      <c r="D80" s="174">
        <v>4.4185397643018813</v>
      </c>
      <c r="F80" s="366"/>
      <c r="G80" s="366"/>
      <c r="H80" s="366"/>
      <c r="I80" s="366"/>
      <c r="J80" s="366"/>
      <c r="K80" s="366"/>
      <c r="L80" s="366"/>
      <c r="M80" s="366"/>
      <c r="N80" s="366"/>
      <c r="O80" s="366"/>
      <c r="P80" s="366"/>
      <c r="Q80" s="366"/>
      <c r="R80" s="366"/>
    </row>
    <row r="81" spans="1:18" ht="15.75">
      <c r="A81" s="82" t="s">
        <v>341</v>
      </c>
      <c r="B81" s="173">
        <v>2580.3000000000002</v>
      </c>
      <c r="C81" s="173">
        <v>12988.099999999999</v>
      </c>
      <c r="D81" s="174">
        <v>5.0335619889160164</v>
      </c>
      <c r="F81" s="366"/>
      <c r="G81" s="366"/>
      <c r="H81" s="366"/>
      <c r="I81" s="366"/>
      <c r="J81" s="366"/>
      <c r="K81" s="366"/>
      <c r="L81" s="366"/>
      <c r="M81" s="366"/>
      <c r="N81" s="366"/>
      <c r="O81" s="366"/>
      <c r="P81" s="366"/>
      <c r="Q81" s="366"/>
      <c r="R81" s="366"/>
    </row>
    <row r="82" spans="1:18" ht="15.75">
      <c r="A82" s="82" t="s">
        <v>628</v>
      </c>
      <c r="B82" s="173">
        <v>1774.8</v>
      </c>
      <c r="C82" s="173">
        <v>11321.5</v>
      </c>
      <c r="D82" s="174">
        <v>6.3790286229434301</v>
      </c>
      <c r="F82" s="366"/>
      <c r="G82" s="366"/>
      <c r="H82" s="366"/>
      <c r="I82" s="366"/>
      <c r="J82" s="366"/>
      <c r="K82" s="366"/>
      <c r="L82" s="366"/>
      <c r="M82" s="366"/>
      <c r="N82" s="366"/>
      <c r="O82" s="366"/>
      <c r="P82" s="366"/>
      <c r="Q82" s="366"/>
      <c r="R82" s="366"/>
    </row>
    <row r="83" spans="1:18" ht="15.75">
      <c r="A83" s="82" t="s">
        <v>629</v>
      </c>
      <c r="B83" s="173">
        <v>2088.8000000000002</v>
      </c>
      <c r="C83" s="173">
        <v>10138.700000000001</v>
      </c>
      <c r="D83" s="174">
        <v>4.8538395250861734</v>
      </c>
      <c r="F83" s="366"/>
      <c r="G83" s="366"/>
      <c r="H83" s="366"/>
      <c r="I83" s="366"/>
      <c r="J83" s="366"/>
      <c r="K83" s="366"/>
      <c r="L83" s="366"/>
      <c r="M83" s="366"/>
      <c r="N83" s="366"/>
      <c r="O83" s="366"/>
      <c r="P83" s="366"/>
      <c r="Q83" s="366"/>
      <c r="R83" s="366"/>
    </row>
    <row r="84" spans="1:18" ht="15.75">
      <c r="A84" s="82" t="s">
        <v>630</v>
      </c>
      <c r="B84" s="173">
        <v>1972.4</v>
      </c>
      <c r="C84" s="173">
        <v>9162.7999999999993</v>
      </c>
      <c r="D84" s="174">
        <v>4.6455080105455275</v>
      </c>
      <c r="F84" s="366"/>
      <c r="G84" s="366"/>
      <c r="H84" s="366"/>
      <c r="I84" s="366"/>
      <c r="J84" s="366"/>
      <c r="K84" s="366"/>
      <c r="L84" s="366"/>
      <c r="M84" s="366"/>
      <c r="N84" s="366"/>
      <c r="O84" s="366"/>
      <c r="P84" s="366"/>
      <c r="Q84" s="366"/>
      <c r="R84" s="366"/>
    </row>
    <row r="85" spans="1:18" ht="15.75">
      <c r="A85" s="82" t="s">
        <v>631</v>
      </c>
      <c r="B85" s="173">
        <v>1969.5</v>
      </c>
      <c r="C85" s="173">
        <v>5843.85</v>
      </c>
      <c r="D85" s="174">
        <v>2.9671744097486674</v>
      </c>
      <c r="F85" s="366"/>
      <c r="G85" s="366"/>
      <c r="H85" s="366"/>
      <c r="I85" s="366"/>
      <c r="J85" s="366"/>
      <c r="K85" s="366"/>
      <c r="L85" s="366"/>
      <c r="M85" s="366"/>
      <c r="N85" s="366"/>
      <c r="O85" s="366"/>
      <c r="P85" s="366"/>
      <c r="Q85" s="366"/>
      <c r="R85" s="366"/>
    </row>
    <row r="86" spans="1:18" ht="15.75">
      <c r="A86" s="82" t="s">
        <v>632</v>
      </c>
      <c r="B86" s="173">
        <v>1846.3000000000002</v>
      </c>
      <c r="C86" s="173">
        <v>6494.6</v>
      </c>
      <c r="D86" s="174">
        <v>3.517629854303201</v>
      </c>
      <c r="F86" s="366"/>
      <c r="G86" s="366"/>
      <c r="H86" s="366"/>
      <c r="I86" s="366"/>
      <c r="J86" s="366"/>
      <c r="K86" s="366"/>
      <c r="L86" s="366"/>
      <c r="M86" s="366"/>
      <c r="N86" s="366"/>
      <c r="O86" s="366"/>
      <c r="P86" s="366"/>
      <c r="Q86" s="366"/>
      <c r="R86" s="366"/>
    </row>
    <row r="87" spans="1:18" ht="15.75">
      <c r="A87" s="82" t="s">
        <v>633</v>
      </c>
      <c r="B87" s="173">
        <v>1460.6</v>
      </c>
      <c r="C87" s="173">
        <v>5612.1</v>
      </c>
      <c r="D87" s="174">
        <v>3.8423250718882658</v>
      </c>
      <c r="F87" s="366"/>
      <c r="G87" s="366"/>
      <c r="H87" s="366"/>
      <c r="I87" s="366"/>
      <c r="J87" s="366"/>
      <c r="K87" s="366"/>
      <c r="L87" s="366"/>
      <c r="M87" s="366"/>
      <c r="N87" s="366"/>
      <c r="O87" s="366"/>
      <c r="P87" s="366"/>
      <c r="Q87" s="366"/>
      <c r="R87" s="366"/>
    </row>
    <row r="88" spans="1:18" ht="15.75">
      <c r="A88" s="82" t="s">
        <v>634</v>
      </c>
      <c r="B88" s="173">
        <v>1682.2857142857144</v>
      </c>
      <c r="C88" s="173">
        <v>16997.392857142855</v>
      </c>
      <c r="D88" s="174">
        <v>10.103749150815215</v>
      </c>
      <c r="F88" s="366"/>
      <c r="G88" s="366"/>
      <c r="H88" s="366"/>
      <c r="I88" s="366"/>
      <c r="J88" s="366"/>
      <c r="K88" s="366"/>
      <c r="L88" s="366"/>
      <c r="M88" s="366"/>
      <c r="N88" s="366"/>
      <c r="O88" s="366"/>
      <c r="P88" s="366"/>
      <c r="Q88" s="366"/>
      <c r="R88" s="366"/>
    </row>
    <row r="89" spans="1:18" ht="15.75">
      <c r="A89" s="37" t="s">
        <v>345</v>
      </c>
      <c r="B89" s="173">
        <v>2251.4285714285716</v>
      </c>
      <c r="C89" s="173">
        <v>4466</v>
      </c>
      <c r="D89" s="174">
        <v>1.9836294416243654</v>
      </c>
      <c r="F89" s="366"/>
      <c r="G89" s="366"/>
      <c r="H89" s="366"/>
      <c r="I89" s="366"/>
      <c r="J89" s="366"/>
      <c r="K89" s="366"/>
      <c r="L89" s="366"/>
      <c r="M89" s="366"/>
      <c r="N89" s="366"/>
      <c r="O89" s="366"/>
      <c r="P89" s="366"/>
      <c r="Q89" s="366"/>
      <c r="R89" s="366"/>
    </row>
    <row r="90" spans="1:18" ht="15.75">
      <c r="A90" s="177" t="s">
        <v>635</v>
      </c>
      <c r="B90" s="178">
        <v>1579.9</v>
      </c>
      <c r="C90" s="178">
        <v>8295.75</v>
      </c>
      <c r="D90" s="179">
        <v>5.2508070131020945</v>
      </c>
      <c r="F90" s="366"/>
      <c r="G90" s="366"/>
      <c r="H90" s="366"/>
      <c r="I90" s="366"/>
      <c r="J90" s="366"/>
      <c r="K90" s="366"/>
      <c r="L90" s="366"/>
      <c r="M90" s="366"/>
      <c r="N90" s="366"/>
      <c r="O90" s="366"/>
      <c r="P90" s="366"/>
      <c r="Q90" s="366"/>
      <c r="R90" s="366"/>
    </row>
    <row r="91" spans="1:18" ht="15.75">
      <c r="A91" s="169" t="s">
        <v>636</v>
      </c>
      <c r="B91" s="164"/>
      <c r="C91" s="165"/>
      <c r="D91" s="166"/>
      <c r="F91" s="366"/>
      <c r="G91" s="366"/>
      <c r="H91" s="366"/>
      <c r="I91" s="366"/>
      <c r="J91" s="366"/>
      <c r="K91" s="366"/>
      <c r="L91" s="366"/>
      <c r="M91" s="366"/>
      <c r="N91" s="366"/>
      <c r="O91" s="366"/>
      <c r="P91" s="366"/>
      <c r="Q91" s="366"/>
      <c r="R91" s="366"/>
    </row>
    <row r="92" spans="1:18" ht="15.75">
      <c r="A92" s="170" t="s">
        <v>637</v>
      </c>
      <c r="B92" s="164"/>
      <c r="C92" s="167"/>
      <c r="D92" s="166"/>
      <c r="F92" s="366"/>
      <c r="G92" s="366"/>
      <c r="H92" s="366"/>
      <c r="I92" s="366"/>
      <c r="J92" s="366"/>
      <c r="K92" s="366"/>
      <c r="L92" s="366"/>
      <c r="M92" s="366"/>
      <c r="N92" s="366"/>
      <c r="O92" s="366"/>
      <c r="P92" s="366"/>
      <c r="Q92" s="366"/>
      <c r="R92" s="366"/>
    </row>
    <row r="93" spans="1:18" ht="15.75">
      <c r="A93" s="171" t="s">
        <v>638</v>
      </c>
      <c r="B93" s="164"/>
      <c r="C93" s="168"/>
      <c r="D93" s="166"/>
      <c r="F93" s="366"/>
      <c r="G93" s="366"/>
      <c r="H93" s="366"/>
      <c r="I93" s="366"/>
      <c r="J93" s="366"/>
      <c r="K93" s="366"/>
      <c r="L93" s="366"/>
      <c r="M93" s="366"/>
      <c r="N93" s="366"/>
      <c r="O93" s="366"/>
      <c r="P93" s="366"/>
      <c r="Q93" s="366"/>
      <c r="R93" s="366"/>
    </row>
    <row r="94" spans="1:18" ht="15.75">
      <c r="F94" s="366"/>
      <c r="G94" s="366"/>
      <c r="H94" s="366"/>
      <c r="I94" s="366"/>
      <c r="J94" s="366"/>
      <c r="K94" s="366"/>
      <c r="L94" s="366"/>
      <c r="M94" s="366"/>
      <c r="N94" s="366"/>
      <c r="O94" s="366"/>
      <c r="P94" s="366"/>
      <c r="Q94" s="366"/>
      <c r="R94" s="366"/>
    </row>
    <row r="95" spans="1:18" ht="15.75">
      <c r="A95" s="215">
        <v>2011</v>
      </c>
      <c r="F95" s="366"/>
      <c r="G95" s="366"/>
      <c r="H95" s="366"/>
      <c r="I95" s="366"/>
      <c r="J95" s="366"/>
      <c r="K95" s="366"/>
      <c r="L95" s="366"/>
      <c r="M95" s="366"/>
      <c r="N95" s="366"/>
      <c r="O95" s="366"/>
      <c r="P95" s="366"/>
      <c r="Q95" s="366"/>
      <c r="R95" s="366"/>
    </row>
    <row r="96" spans="1:18" ht="15" customHeight="1">
      <c r="A96" s="5249" t="s">
        <v>148</v>
      </c>
      <c r="B96" s="5251" t="s">
        <v>454</v>
      </c>
      <c r="C96" s="5252"/>
      <c r="D96" s="5253"/>
      <c r="F96" s="366"/>
      <c r="G96" s="366"/>
      <c r="H96" s="366"/>
      <c r="I96" s="366"/>
      <c r="J96" s="366"/>
      <c r="K96" s="366"/>
      <c r="L96" s="366"/>
      <c r="M96" s="366"/>
      <c r="N96" s="366"/>
      <c r="O96" s="366"/>
      <c r="P96" s="366"/>
      <c r="Q96" s="366"/>
      <c r="R96" s="366"/>
    </row>
    <row r="97" spans="1:18" ht="15" customHeight="1">
      <c r="A97" s="5250"/>
      <c r="B97" s="466" t="s">
        <v>150</v>
      </c>
      <c r="C97" s="466" t="s">
        <v>151</v>
      </c>
      <c r="D97" s="466" t="s">
        <v>152</v>
      </c>
      <c r="F97" s="366"/>
      <c r="G97" s="366"/>
      <c r="H97" s="366"/>
      <c r="I97" s="366"/>
      <c r="J97" s="366"/>
      <c r="K97" s="366"/>
      <c r="L97" s="366"/>
      <c r="M97" s="366"/>
      <c r="N97" s="366"/>
      <c r="O97" s="366"/>
      <c r="P97" s="366"/>
      <c r="Q97" s="366"/>
      <c r="R97" s="366"/>
    </row>
    <row r="98" spans="1:18" ht="15" customHeight="1">
      <c r="A98" s="467" t="s">
        <v>153</v>
      </c>
      <c r="B98" s="468">
        <v>47886</v>
      </c>
      <c r="C98" s="468">
        <v>286247</v>
      </c>
      <c r="D98" s="469">
        <f t="shared" ref="D98:D103" si="0">C98/B98</f>
        <v>5.9776761475170197</v>
      </c>
      <c r="F98" s="366"/>
      <c r="G98" s="366"/>
      <c r="H98" s="366"/>
      <c r="I98" s="366"/>
      <c r="J98" s="366"/>
      <c r="K98" s="366"/>
      <c r="L98" s="366"/>
      <c r="M98" s="366"/>
      <c r="N98" s="366"/>
      <c r="O98" s="366"/>
      <c r="P98" s="366"/>
      <c r="Q98" s="366"/>
      <c r="R98" s="366"/>
    </row>
    <row r="99" spans="1:18" ht="15" customHeight="1">
      <c r="A99" s="17" t="s">
        <v>447</v>
      </c>
      <c r="B99" s="14">
        <v>13795</v>
      </c>
      <c r="C99" s="14">
        <v>77531</v>
      </c>
      <c r="D99" s="15">
        <f t="shared" si="0"/>
        <v>5.6202247191011239</v>
      </c>
      <c r="F99" s="366"/>
      <c r="G99" s="366"/>
      <c r="H99" s="366"/>
      <c r="I99" s="366"/>
      <c r="J99" s="366"/>
      <c r="K99" s="366"/>
      <c r="L99" s="366"/>
      <c r="M99" s="366"/>
      <c r="N99" s="366"/>
      <c r="O99" s="366"/>
      <c r="P99" s="366"/>
      <c r="Q99" s="366"/>
      <c r="R99" s="366"/>
    </row>
    <row r="100" spans="1:18" ht="15" customHeight="1">
      <c r="A100" s="18" t="s">
        <v>448</v>
      </c>
      <c r="B100" s="14">
        <v>9553</v>
      </c>
      <c r="C100" s="14">
        <v>30749</v>
      </c>
      <c r="D100" s="15">
        <f t="shared" si="0"/>
        <v>3.2187794410132944</v>
      </c>
      <c r="F100" s="366"/>
      <c r="G100" s="366"/>
      <c r="H100" s="366"/>
      <c r="I100" s="366"/>
      <c r="J100" s="366"/>
      <c r="K100" s="366"/>
      <c r="L100" s="366"/>
      <c r="M100" s="366"/>
      <c r="N100" s="366"/>
      <c r="O100" s="366"/>
      <c r="P100" s="366"/>
      <c r="Q100" s="366"/>
      <c r="R100" s="366"/>
    </row>
    <row r="101" spans="1:18" ht="15" customHeight="1">
      <c r="A101" s="109" t="s">
        <v>95</v>
      </c>
      <c r="B101" s="110">
        <v>7925</v>
      </c>
      <c r="C101" s="110">
        <v>30814</v>
      </c>
      <c r="D101" s="111">
        <f>C101/B101</f>
        <v>3.8882018927444797</v>
      </c>
      <c r="F101" s="366"/>
      <c r="G101" s="366"/>
      <c r="H101" s="366"/>
      <c r="I101" s="366"/>
      <c r="J101" s="366"/>
      <c r="K101" s="366"/>
      <c r="L101" s="366"/>
      <c r="M101" s="366"/>
      <c r="N101" s="366"/>
      <c r="O101" s="366"/>
      <c r="P101" s="366"/>
      <c r="Q101" s="366"/>
      <c r="R101" s="366"/>
    </row>
    <row r="102" spans="1:18" ht="15" customHeight="1">
      <c r="A102" s="17" t="s">
        <v>449</v>
      </c>
      <c r="B102" s="14">
        <v>7359</v>
      </c>
      <c r="C102" s="14">
        <v>35704</v>
      </c>
      <c r="D102" s="15">
        <f t="shared" si="0"/>
        <v>4.8517461611632013</v>
      </c>
      <c r="F102" s="366"/>
      <c r="G102" s="366"/>
      <c r="H102" s="366"/>
      <c r="I102" s="366"/>
      <c r="J102" s="366"/>
      <c r="K102" s="366"/>
      <c r="L102" s="366"/>
      <c r="M102" s="366"/>
      <c r="N102" s="366"/>
      <c r="O102" s="366"/>
      <c r="P102" s="366"/>
      <c r="Q102" s="366"/>
      <c r="R102" s="366"/>
    </row>
    <row r="103" spans="1:18" ht="15" customHeight="1">
      <c r="A103" s="17" t="s">
        <v>450</v>
      </c>
      <c r="B103" s="14">
        <v>3822</v>
      </c>
      <c r="C103" s="14">
        <v>24889</v>
      </c>
      <c r="D103" s="15">
        <f t="shared" si="0"/>
        <v>6.5120355834641552</v>
      </c>
      <c r="F103" s="366"/>
      <c r="G103" s="366"/>
      <c r="H103" s="366"/>
      <c r="I103" s="366"/>
      <c r="J103" s="366"/>
      <c r="K103" s="366"/>
      <c r="L103" s="366"/>
      <c r="M103" s="366"/>
      <c r="N103" s="366"/>
      <c r="O103" s="366"/>
      <c r="P103" s="366"/>
      <c r="Q103" s="366"/>
      <c r="R103" s="366"/>
    </row>
    <row r="104" spans="1:18" ht="15" customHeight="1">
      <c r="A104" s="17" t="s">
        <v>96</v>
      </c>
      <c r="B104" s="14">
        <v>3790</v>
      </c>
      <c r="C104" s="14">
        <v>11963</v>
      </c>
      <c r="D104" s="15">
        <f>C104/B104</f>
        <v>3.1564643799472294</v>
      </c>
      <c r="F104" s="366"/>
      <c r="G104" s="366"/>
      <c r="H104" s="366"/>
      <c r="I104" s="366"/>
      <c r="J104" s="366"/>
      <c r="K104" s="366"/>
      <c r="L104" s="366"/>
      <c r="M104" s="366"/>
      <c r="N104" s="366"/>
      <c r="O104" s="366"/>
      <c r="P104" s="366"/>
      <c r="Q104" s="366"/>
      <c r="R104" s="366"/>
    </row>
    <row r="105" spans="1:18" ht="15" customHeight="1">
      <c r="A105" s="17" t="s">
        <v>451</v>
      </c>
      <c r="B105" s="14">
        <v>3651</v>
      </c>
      <c r="C105" s="14">
        <v>16398</v>
      </c>
      <c r="D105" s="15">
        <f t="shared" ref="D105:D107" si="1">C105/B105</f>
        <v>4.4913722267871812</v>
      </c>
      <c r="F105" s="366"/>
      <c r="G105" s="366"/>
      <c r="H105" s="366"/>
      <c r="I105" s="366"/>
      <c r="J105" s="366"/>
      <c r="K105" s="366"/>
      <c r="L105" s="366"/>
      <c r="M105" s="366"/>
      <c r="N105" s="366"/>
      <c r="O105" s="366"/>
      <c r="P105" s="366"/>
      <c r="Q105" s="366"/>
      <c r="R105" s="366"/>
    </row>
    <row r="106" spans="1:18" ht="15" customHeight="1">
      <c r="A106" s="17" t="s">
        <v>452</v>
      </c>
      <c r="B106" s="14">
        <v>3641</v>
      </c>
      <c r="C106" s="14">
        <v>9591</v>
      </c>
      <c r="D106" s="15">
        <f t="shared" si="1"/>
        <v>2.6341664377918153</v>
      </c>
      <c r="F106" s="366"/>
      <c r="G106" s="366"/>
      <c r="H106" s="366"/>
      <c r="I106" s="366"/>
      <c r="J106" s="366"/>
      <c r="K106" s="366"/>
      <c r="L106" s="366"/>
      <c r="M106" s="366"/>
      <c r="N106" s="366"/>
      <c r="O106" s="366"/>
      <c r="P106" s="366"/>
      <c r="Q106" s="366"/>
      <c r="R106" s="366"/>
    </row>
    <row r="107" spans="1:18" ht="15" customHeight="1">
      <c r="A107" s="470" t="s">
        <v>453</v>
      </c>
      <c r="B107" s="13">
        <v>3356</v>
      </c>
      <c r="C107" s="13">
        <v>13567</v>
      </c>
      <c r="D107" s="16">
        <f t="shared" si="1"/>
        <v>4.0426102502979742</v>
      </c>
      <c r="F107" s="366"/>
      <c r="G107" s="366"/>
      <c r="H107" s="366"/>
      <c r="I107" s="366"/>
      <c r="J107" s="366"/>
      <c r="K107" s="366"/>
      <c r="L107" s="366"/>
      <c r="M107" s="366"/>
      <c r="N107" s="366"/>
      <c r="O107" s="366"/>
      <c r="P107" s="366"/>
      <c r="Q107" s="366"/>
      <c r="R107" s="366"/>
    </row>
    <row r="108" spans="1:18" ht="15" customHeight="1">
      <c r="A108" s="6" t="s">
        <v>455</v>
      </c>
      <c r="F108" s="366"/>
      <c r="G108" s="366"/>
      <c r="H108" s="366"/>
      <c r="I108" s="366"/>
      <c r="J108" s="366"/>
      <c r="K108" s="366"/>
      <c r="L108" s="366"/>
      <c r="M108" s="366"/>
      <c r="N108" s="366"/>
      <c r="O108" s="366"/>
      <c r="P108" s="366"/>
      <c r="Q108" s="366"/>
      <c r="R108" s="366"/>
    </row>
    <row r="109" spans="1:18" ht="12.75" customHeight="1">
      <c r="B109" s="365"/>
      <c r="C109" s="365"/>
      <c r="D109" s="365"/>
      <c r="F109" s="366"/>
      <c r="G109" s="366"/>
      <c r="H109" s="366"/>
      <c r="I109" s="366"/>
      <c r="J109" s="366"/>
      <c r="K109" s="366"/>
      <c r="L109" s="366"/>
      <c r="M109" s="366"/>
      <c r="N109" s="366"/>
      <c r="O109" s="366"/>
      <c r="P109" s="366"/>
      <c r="Q109" s="366"/>
      <c r="R109" s="366"/>
    </row>
    <row r="110" spans="1:18" ht="12.75" customHeight="1">
      <c r="A110" s="365"/>
      <c r="B110" s="365"/>
      <c r="C110" s="365"/>
      <c r="D110" s="365"/>
      <c r="F110" s="366"/>
      <c r="G110" s="366"/>
      <c r="H110" s="366"/>
      <c r="I110" s="366"/>
      <c r="J110" s="366"/>
      <c r="K110" s="366"/>
      <c r="L110" s="366"/>
      <c r="M110" s="366"/>
      <c r="N110" s="366"/>
      <c r="O110" s="366"/>
      <c r="P110" s="366"/>
      <c r="Q110" s="366"/>
      <c r="R110" s="366"/>
    </row>
    <row r="111" spans="1:18" ht="15.75">
      <c r="A111" s="215">
        <v>2010</v>
      </c>
      <c r="B111" s="7"/>
      <c r="C111" s="7"/>
      <c r="D111" s="7"/>
      <c r="F111" s="366"/>
      <c r="G111" s="366"/>
      <c r="H111" s="366"/>
      <c r="I111" s="366"/>
      <c r="J111" s="366"/>
      <c r="K111" s="366"/>
      <c r="L111" s="366"/>
      <c r="M111" s="366"/>
      <c r="N111" s="366"/>
      <c r="O111" s="366"/>
      <c r="P111" s="366"/>
      <c r="Q111" s="366"/>
      <c r="R111" s="366"/>
    </row>
    <row r="112" spans="1:18" ht="15" customHeight="1">
      <c r="A112" s="5249" t="s">
        <v>148</v>
      </c>
      <c r="B112" s="5251" t="s">
        <v>149</v>
      </c>
      <c r="C112" s="5252"/>
      <c r="D112" s="5253"/>
      <c r="F112" s="366"/>
      <c r="G112" s="366"/>
      <c r="H112" s="366"/>
      <c r="I112" s="366"/>
      <c r="J112" s="366"/>
      <c r="K112" s="366"/>
      <c r="L112" s="366"/>
      <c r="M112" s="366"/>
      <c r="N112" s="366"/>
      <c r="O112" s="366"/>
      <c r="P112" s="366"/>
      <c r="Q112" s="366"/>
      <c r="R112" s="366"/>
    </row>
    <row r="113" spans="1:18" ht="15" customHeight="1">
      <c r="A113" s="5250"/>
      <c r="B113" s="466" t="s">
        <v>150</v>
      </c>
      <c r="C113" s="466" t="s">
        <v>151</v>
      </c>
      <c r="D113" s="466" t="s">
        <v>152</v>
      </c>
      <c r="F113" s="366"/>
      <c r="G113" s="366"/>
      <c r="H113" s="366"/>
      <c r="I113" s="366"/>
      <c r="J113" s="366"/>
      <c r="K113" s="366"/>
      <c r="L113" s="366"/>
      <c r="M113" s="366"/>
      <c r="N113" s="366"/>
      <c r="O113" s="366"/>
      <c r="P113" s="366"/>
      <c r="Q113" s="366"/>
      <c r="R113" s="366"/>
    </row>
    <row r="114" spans="1:18" ht="15" customHeight="1">
      <c r="A114" s="467" t="s">
        <v>153</v>
      </c>
      <c r="B114" s="468">
        <v>23655</v>
      </c>
      <c r="C114" s="468">
        <v>73240</v>
      </c>
      <c r="D114" s="469">
        <f>+C114/B114</f>
        <v>3.0961741703656731</v>
      </c>
      <c r="F114" s="366"/>
      <c r="G114" s="366"/>
      <c r="H114" s="366"/>
      <c r="I114" s="366"/>
      <c r="J114" s="366"/>
      <c r="K114" s="366"/>
      <c r="L114" s="366"/>
      <c r="M114" s="366"/>
      <c r="N114" s="366"/>
      <c r="O114" s="366"/>
      <c r="P114" s="366"/>
      <c r="Q114" s="366"/>
      <c r="R114" s="366"/>
    </row>
    <row r="115" spans="1:18" ht="15" customHeight="1">
      <c r="A115" s="17" t="s">
        <v>154</v>
      </c>
      <c r="B115" s="14">
        <v>9225</v>
      </c>
      <c r="C115" s="14">
        <v>29313</v>
      </c>
      <c r="D115" s="15">
        <f>+C115/B115</f>
        <v>3.1775609756097563</v>
      </c>
      <c r="F115" s="366"/>
      <c r="G115" s="366"/>
      <c r="H115" s="366"/>
      <c r="I115" s="366"/>
      <c r="J115" s="366"/>
      <c r="K115" s="366"/>
      <c r="L115" s="366"/>
      <c r="M115" s="366"/>
      <c r="N115" s="366"/>
      <c r="O115" s="366"/>
      <c r="P115" s="366"/>
      <c r="Q115" s="366"/>
      <c r="R115" s="366"/>
    </row>
    <row r="116" spans="1:18" ht="15" customHeight="1">
      <c r="A116" s="18" t="s">
        <v>93</v>
      </c>
      <c r="B116" s="14">
        <v>6026</v>
      </c>
      <c r="C116" s="14">
        <v>19502</v>
      </c>
      <c r="D116" s="15">
        <f t="shared" ref="D116:D124" si="2">+C116/B116</f>
        <v>3.2363093262529041</v>
      </c>
      <c r="F116" s="366"/>
      <c r="G116" s="366"/>
      <c r="H116" s="366"/>
      <c r="I116" s="366"/>
      <c r="J116" s="366"/>
      <c r="K116" s="366"/>
      <c r="L116" s="366"/>
      <c r="M116" s="366"/>
      <c r="N116" s="366"/>
      <c r="O116" s="366"/>
      <c r="P116" s="366"/>
      <c r="Q116" s="366"/>
      <c r="R116" s="366"/>
    </row>
    <row r="117" spans="1:18" ht="15" customHeight="1">
      <c r="A117" s="17" t="s">
        <v>155</v>
      </c>
      <c r="B117" s="14">
        <v>4328</v>
      </c>
      <c r="C117" s="14">
        <v>7670</v>
      </c>
      <c r="D117" s="15">
        <f t="shared" si="2"/>
        <v>1.7721811460258781</v>
      </c>
      <c r="F117" s="366"/>
      <c r="G117" s="366"/>
      <c r="H117" s="366"/>
      <c r="I117" s="366"/>
      <c r="J117" s="366"/>
      <c r="K117" s="366"/>
      <c r="L117" s="366"/>
      <c r="M117" s="366"/>
      <c r="N117" s="366"/>
      <c r="O117" s="366"/>
      <c r="P117" s="366"/>
      <c r="Q117" s="366"/>
      <c r="R117" s="366"/>
    </row>
    <row r="118" spans="1:18" ht="15" customHeight="1">
      <c r="A118" s="109" t="s">
        <v>95</v>
      </c>
      <c r="B118" s="110">
        <v>3898</v>
      </c>
      <c r="C118" s="110">
        <v>7410</v>
      </c>
      <c r="D118" s="111">
        <f t="shared" si="2"/>
        <v>1.900974858902001</v>
      </c>
      <c r="F118" s="366"/>
      <c r="G118" s="366"/>
      <c r="H118" s="366"/>
      <c r="I118" s="366"/>
      <c r="J118" s="366"/>
      <c r="K118" s="366"/>
      <c r="L118" s="366"/>
      <c r="M118" s="366"/>
      <c r="N118" s="366"/>
      <c r="O118" s="366"/>
      <c r="P118" s="366"/>
      <c r="Q118" s="366"/>
      <c r="R118" s="366"/>
    </row>
    <row r="119" spans="1:18" ht="15" customHeight="1">
      <c r="A119" s="17" t="s">
        <v>156</v>
      </c>
      <c r="B119" s="14">
        <v>3784</v>
      </c>
      <c r="C119" s="14">
        <v>9424</v>
      </c>
      <c r="D119" s="15">
        <f t="shared" si="2"/>
        <v>2.4904862579281182</v>
      </c>
      <c r="F119" s="366"/>
      <c r="G119" s="366"/>
      <c r="H119" s="366"/>
      <c r="I119" s="366"/>
      <c r="J119" s="366"/>
      <c r="K119" s="366"/>
      <c r="L119" s="366"/>
      <c r="M119" s="366"/>
      <c r="N119" s="366"/>
      <c r="O119" s="366"/>
      <c r="P119" s="366"/>
      <c r="Q119" s="366"/>
      <c r="R119" s="366"/>
    </row>
    <row r="120" spans="1:18" ht="15" customHeight="1">
      <c r="A120" s="17" t="s">
        <v>96</v>
      </c>
      <c r="B120" s="14">
        <v>1746</v>
      </c>
      <c r="C120" s="14">
        <v>2626</v>
      </c>
      <c r="D120" s="15">
        <f t="shared" si="2"/>
        <v>1.5040091638029782</v>
      </c>
      <c r="F120" s="366"/>
      <c r="G120" s="366"/>
      <c r="H120" s="366"/>
      <c r="I120" s="366"/>
      <c r="J120" s="366"/>
      <c r="K120" s="366"/>
      <c r="L120" s="366"/>
      <c r="M120" s="366"/>
      <c r="N120" s="366"/>
      <c r="O120" s="366"/>
      <c r="P120" s="366"/>
      <c r="Q120" s="366"/>
      <c r="R120" s="366"/>
    </row>
    <row r="121" spans="1:18" ht="15" customHeight="1">
      <c r="A121" s="17" t="s">
        <v>157</v>
      </c>
      <c r="B121" s="14">
        <v>1717</v>
      </c>
      <c r="C121" s="14">
        <v>5689</v>
      </c>
      <c r="D121" s="15">
        <f t="shared" si="2"/>
        <v>3.3133372160745487</v>
      </c>
      <c r="F121" s="366"/>
      <c r="G121" s="366"/>
      <c r="H121" s="366"/>
      <c r="I121" s="366"/>
      <c r="J121" s="366"/>
      <c r="K121" s="366"/>
      <c r="L121" s="366"/>
      <c r="M121" s="366"/>
      <c r="N121" s="366"/>
      <c r="O121" s="366"/>
      <c r="P121" s="366"/>
      <c r="Q121" s="366"/>
      <c r="R121" s="366"/>
    </row>
    <row r="122" spans="1:18" ht="15" customHeight="1">
      <c r="A122" s="17" t="s">
        <v>158</v>
      </c>
      <c r="B122" s="14">
        <v>1603</v>
      </c>
      <c r="C122" s="14">
        <v>2660</v>
      </c>
      <c r="D122" s="15">
        <f t="shared" si="2"/>
        <v>1.6593886462882097</v>
      </c>
      <c r="F122" s="366"/>
      <c r="G122" s="366"/>
      <c r="H122" s="366"/>
      <c r="I122" s="366"/>
      <c r="J122" s="366"/>
      <c r="K122" s="366"/>
      <c r="L122" s="366"/>
      <c r="M122" s="366"/>
      <c r="N122" s="366"/>
      <c r="O122" s="366"/>
      <c r="P122" s="366"/>
      <c r="Q122" s="366"/>
      <c r="R122" s="366"/>
    </row>
    <row r="123" spans="1:18" ht="15" customHeight="1">
      <c r="A123" s="17" t="s">
        <v>159</v>
      </c>
      <c r="B123" s="14">
        <v>1564</v>
      </c>
      <c r="C123" s="14">
        <v>4012</v>
      </c>
      <c r="D123" s="15">
        <f t="shared" si="2"/>
        <v>2.5652173913043477</v>
      </c>
      <c r="F123" s="366"/>
      <c r="G123" s="366"/>
      <c r="H123" s="366"/>
      <c r="I123" s="366"/>
      <c r="J123" s="366"/>
      <c r="K123" s="366"/>
      <c r="L123" s="366"/>
      <c r="M123" s="366"/>
      <c r="N123" s="366"/>
      <c r="O123" s="366"/>
      <c r="P123" s="366"/>
      <c r="Q123" s="366"/>
      <c r="R123" s="366"/>
    </row>
    <row r="124" spans="1:18" ht="15" customHeight="1">
      <c r="A124" s="470" t="s">
        <v>160</v>
      </c>
      <c r="B124" s="13">
        <v>1449</v>
      </c>
      <c r="C124" s="13">
        <v>2651</v>
      </c>
      <c r="D124" s="16">
        <f t="shared" si="2"/>
        <v>1.8295376121463078</v>
      </c>
      <c r="F124" s="366"/>
      <c r="G124" s="366"/>
      <c r="H124" s="366"/>
      <c r="I124" s="366"/>
      <c r="J124" s="366"/>
      <c r="K124" s="366"/>
      <c r="L124" s="366"/>
      <c r="M124" s="366"/>
      <c r="N124" s="366"/>
      <c r="O124" s="366"/>
      <c r="P124" s="366"/>
      <c r="Q124" s="366"/>
      <c r="R124" s="366"/>
    </row>
    <row r="125" spans="1:18" ht="15" customHeight="1">
      <c r="A125" s="6" t="s">
        <v>161</v>
      </c>
      <c r="B125" s="7"/>
      <c r="C125" s="7"/>
      <c r="D125" s="7"/>
      <c r="F125" s="366"/>
      <c r="G125" s="366"/>
      <c r="H125" s="366"/>
      <c r="I125" s="366"/>
      <c r="J125" s="366"/>
      <c r="K125" s="366"/>
      <c r="L125" s="366"/>
      <c r="M125" s="366"/>
      <c r="N125" s="366"/>
      <c r="O125" s="366"/>
      <c r="P125" s="366"/>
      <c r="Q125" s="366"/>
      <c r="R125" s="366"/>
    </row>
    <row r="126" spans="1:18" ht="15.75">
      <c r="F126" s="366"/>
      <c r="G126" s="366"/>
      <c r="H126" s="366"/>
      <c r="I126" s="366"/>
      <c r="J126" s="366"/>
      <c r="K126" s="366"/>
      <c r="L126" s="366"/>
      <c r="M126" s="366"/>
      <c r="N126" s="366"/>
      <c r="O126" s="366"/>
      <c r="P126" s="366"/>
      <c r="Q126" s="366"/>
      <c r="R126" s="366"/>
    </row>
    <row r="127" spans="1:18" ht="15.75">
      <c r="F127" s="366"/>
      <c r="G127" s="366"/>
      <c r="H127" s="366"/>
      <c r="I127" s="366"/>
      <c r="J127" s="366"/>
      <c r="K127" s="366"/>
      <c r="L127" s="366"/>
      <c r="M127" s="366"/>
      <c r="N127" s="366"/>
      <c r="O127" s="366"/>
      <c r="P127" s="366"/>
      <c r="Q127" s="366"/>
      <c r="R127" s="366"/>
    </row>
    <row r="128" spans="1:18" ht="15.75">
      <c r="F128" s="366"/>
      <c r="G128" s="366"/>
      <c r="H128" s="366"/>
      <c r="I128" s="366"/>
      <c r="J128" s="366"/>
      <c r="K128" s="366"/>
      <c r="L128" s="366"/>
      <c r="M128" s="366"/>
      <c r="N128" s="366"/>
      <c r="O128" s="366"/>
      <c r="P128" s="366"/>
      <c r="Q128" s="366"/>
      <c r="R128" s="366"/>
    </row>
    <row r="129" spans="6:18" ht="15.75">
      <c r="F129" s="366"/>
      <c r="G129" s="366"/>
      <c r="H129" s="366"/>
      <c r="I129" s="366"/>
      <c r="J129" s="366"/>
      <c r="K129" s="366"/>
      <c r="L129" s="366"/>
      <c r="M129" s="366"/>
      <c r="N129" s="366"/>
      <c r="O129" s="366"/>
      <c r="P129" s="366"/>
      <c r="Q129" s="366"/>
      <c r="R129" s="366"/>
    </row>
    <row r="130" spans="6:18" ht="15.75">
      <c r="F130" s="366"/>
      <c r="G130" s="366"/>
      <c r="H130" s="366"/>
      <c r="I130" s="366"/>
      <c r="J130" s="366"/>
      <c r="K130" s="366"/>
      <c r="L130" s="366"/>
      <c r="M130" s="366"/>
      <c r="N130" s="366"/>
      <c r="O130" s="366"/>
      <c r="P130" s="366"/>
      <c r="Q130" s="366"/>
      <c r="R130" s="366"/>
    </row>
    <row r="131" spans="6:18" ht="15.75">
      <c r="F131" s="366"/>
      <c r="G131" s="366"/>
      <c r="H131" s="366"/>
      <c r="I131" s="366"/>
      <c r="J131" s="366"/>
      <c r="K131" s="366"/>
      <c r="L131" s="366"/>
      <c r="M131" s="366"/>
      <c r="N131" s="366"/>
      <c r="O131" s="366"/>
      <c r="P131" s="366"/>
      <c r="Q131" s="366"/>
      <c r="R131" s="366"/>
    </row>
    <row r="132" spans="6:18" ht="15.75">
      <c r="F132" s="366"/>
      <c r="G132" s="366"/>
      <c r="H132" s="366"/>
      <c r="I132" s="366"/>
      <c r="J132" s="366"/>
      <c r="K132" s="366"/>
      <c r="L132" s="366"/>
      <c r="M132" s="366"/>
      <c r="N132" s="366"/>
      <c r="O132" s="366"/>
      <c r="P132" s="366"/>
      <c r="Q132" s="366"/>
      <c r="R132" s="366"/>
    </row>
    <row r="133" spans="6:18" ht="15.75">
      <c r="F133" s="366"/>
      <c r="G133" s="366"/>
      <c r="H133" s="366"/>
      <c r="I133" s="366"/>
      <c r="J133" s="366"/>
      <c r="K133" s="366"/>
      <c r="L133" s="366"/>
      <c r="M133" s="366"/>
      <c r="N133" s="366"/>
      <c r="O133" s="366"/>
      <c r="P133" s="366"/>
      <c r="Q133" s="366"/>
      <c r="R133" s="366"/>
    </row>
    <row r="134" spans="6:18" ht="15.75">
      <c r="F134" s="366"/>
      <c r="G134" s="366"/>
      <c r="H134" s="366"/>
      <c r="I134" s="366"/>
      <c r="J134" s="366"/>
      <c r="K134" s="366"/>
      <c r="L134" s="366"/>
      <c r="M134" s="366"/>
      <c r="N134" s="366"/>
      <c r="O134" s="366"/>
      <c r="P134" s="366"/>
      <c r="Q134" s="366"/>
      <c r="R134" s="366"/>
    </row>
    <row r="135" spans="6:18" ht="15.75">
      <c r="F135" s="366"/>
      <c r="G135" s="366"/>
      <c r="H135" s="366"/>
      <c r="I135" s="366"/>
      <c r="J135" s="366"/>
      <c r="K135" s="366"/>
      <c r="L135" s="366"/>
      <c r="M135" s="366"/>
      <c r="N135" s="366"/>
      <c r="O135" s="366"/>
      <c r="P135" s="366"/>
      <c r="Q135" s="366"/>
      <c r="R135" s="366"/>
    </row>
    <row r="136" spans="6:18" ht="15.75">
      <c r="F136" s="366"/>
      <c r="G136" s="366"/>
      <c r="H136" s="366"/>
      <c r="I136" s="366"/>
      <c r="J136" s="366"/>
      <c r="K136" s="366"/>
      <c r="L136" s="366"/>
      <c r="M136" s="366"/>
      <c r="N136" s="366"/>
      <c r="O136" s="366"/>
      <c r="P136" s="366"/>
      <c r="Q136" s="366"/>
      <c r="R136" s="366"/>
    </row>
    <row r="137" spans="6:18" ht="15.75">
      <c r="F137" s="366"/>
      <c r="G137" s="366"/>
      <c r="H137" s="366"/>
      <c r="I137" s="366"/>
      <c r="J137" s="366"/>
      <c r="K137" s="366"/>
      <c r="L137" s="366"/>
      <c r="M137" s="366"/>
      <c r="N137" s="366"/>
      <c r="O137" s="366"/>
      <c r="P137" s="366"/>
      <c r="Q137" s="366"/>
      <c r="R137" s="366"/>
    </row>
    <row r="138" spans="6:18" ht="15.75">
      <c r="F138" s="366"/>
      <c r="G138" s="366"/>
      <c r="H138" s="366"/>
      <c r="I138" s="366"/>
      <c r="J138" s="366"/>
      <c r="K138" s="366"/>
      <c r="L138" s="366"/>
      <c r="M138" s="366"/>
      <c r="N138" s="366"/>
      <c r="O138" s="366"/>
      <c r="P138" s="366"/>
      <c r="Q138" s="366"/>
      <c r="R138" s="366"/>
    </row>
    <row r="139" spans="6:18" ht="15.75">
      <c r="F139" s="366"/>
      <c r="G139" s="366"/>
      <c r="H139" s="366"/>
      <c r="I139" s="366"/>
      <c r="J139" s="366"/>
      <c r="K139" s="366"/>
      <c r="L139" s="366"/>
      <c r="M139" s="366"/>
      <c r="N139" s="366"/>
      <c r="O139" s="366"/>
      <c r="P139" s="366"/>
      <c r="Q139" s="366"/>
      <c r="R139" s="366"/>
    </row>
  </sheetData>
  <mergeCells count="10">
    <mergeCell ref="H5:H6"/>
    <mergeCell ref="M25:M26"/>
    <mergeCell ref="A96:A97"/>
    <mergeCell ref="B96:D96"/>
    <mergeCell ref="A112:A113"/>
    <mergeCell ref="B112:D112"/>
    <mergeCell ref="L33:L34"/>
    <mergeCell ref="K39:K40"/>
    <mergeCell ref="M11:M12"/>
    <mergeCell ref="M17:M18"/>
  </mergeCells>
  <hyperlinks>
    <hyperlink ref="A9" location="_ftn1" display="_ftn1"/>
    <hyperlink ref="A13" location="_ftnref1" display="_ftnref1"/>
    <hyperlink ref="A11" location="_ftn1" display="_ftn1"/>
    <hyperlink ref="A14" location="_ftnref1" display="_ftnref1"/>
    <hyperlink ref="A18" location="_ftn1" display="_ftn1"/>
    <hyperlink ref="A19" location="_ftnref1" display="_ftnref1"/>
  </hyperlinks>
  <pageMargins left="0.70866141732283472" right="0.70866141732283472" top="0.74803149606299213" bottom="0.74803149606299213" header="0.31496062992125984" footer="0.31496062992125984"/>
  <pageSetup scale="86" orientation="portrait" r:id="rId1"/>
  <ignoredErrors>
    <ignoredError sqref="J39:J40 K33:K34 L25:L26 L17:L18 L11:L12" formulaRange="1"/>
  </ignoredErrors>
  <drawing r:id="rId2"/>
</worksheet>
</file>

<file path=xl/worksheets/sheet34.xml><?xml version="1.0" encoding="utf-8"?>
<worksheet xmlns="http://schemas.openxmlformats.org/spreadsheetml/2006/main" xmlns:r="http://schemas.openxmlformats.org/officeDocument/2006/relationships">
  <sheetPr>
    <tabColor theme="4" tint="-0.499984740745262"/>
  </sheetPr>
  <dimension ref="B2:AR61"/>
  <sheetViews>
    <sheetView showGridLines="0" workbookViewId="0"/>
  </sheetViews>
  <sheetFormatPr baseColWidth="10" defaultColWidth="11.5703125" defaultRowHeight="15"/>
  <cols>
    <col min="1" max="1" width="1.7109375" customWidth="1"/>
    <col min="2" max="2" width="16.42578125" bestFit="1" customWidth="1"/>
    <col min="3" max="3" width="2.7109375" customWidth="1"/>
    <col min="4" max="6" width="15.7109375" customWidth="1"/>
    <col min="7" max="7" width="2.7109375" customWidth="1"/>
    <col min="8" max="8" width="17.85546875" customWidth="1"/>
    <col min="9" max="9" width="14.5703125" customWidth="1"/>
    <col min="10" max="10" width="11.5703125" customWidth="1"/>
    <col min="11" max="11" width="2.7109375" customWidth="1"/>
    <col min="12" max="12" width="15.140625" customWidth="1"/>
    <col min="13" max="13" width="16.42578125" customWidth="1"/>
    <col min="14" max="14" width="12.7109375" customWidth="1"/>
    <col min="15" max="15" width="2.7109375" customWidth="1"/>
    <col min="16" max="16" width="15.140625" customWidth="1"/>
    <col min="17" max="17" width="14.42578125" customWidth="1"/>
    <col min="18" max="18" width="11.5703125" customWidth="1"/>
    <col min="19" max="19" width="2.7109375" customWidth="1"/>
    <col min="20" max="20" width="15.140625" customWidth="1"/>
    <col min="21" max="22" width="14.42578125" customWidth="1"/>
    <col min="23" max="23" width="2.7109375" customWidth="1"/>
    <col min="24" max="24" width="15.140625" customWidth="1"/>
    <col min="25" max="25" width="15.5703125" customWidth="1"/>
    <col min="26" max="26" width="11.5703125" customWidth="1"/>
    <col min="27" max="27" width="2.7109375" customWidth="1"/>
    <col min="28" max="28" width="15.140625" bestFit="1" customWidth="1"/>
    <col min="29" max="29" width="15.140625" customWidth="1"/>
    <col min="30" max="30" width="8.7109375" customWidth="1"/>
    <col min="31" max="31" width="2.7109375" customWidth="1"/>
    <col min="32" max="32" width="17.140625" customWidth="1"/>
    <col min="33" max="33" width="18.7109375" customWidth="1"/>
    <col min="34" max="34" width="8.7109375" customWidth="1"/>
    <col min="35" max="35" width="2.7109375" customWidth="1"/>
    <col min="36" max="36" width="16.7109375" customWidth="1"/>
    <col min="37" max="37" width="18.7109375" customWidth="1"/>
    <col min="40" max="40" width="18.85546875" customWidth="1"/>
    <col min="41" max="41" width="13.42578125" customWidth="1"/>
    <col min="42" max="42" width="19" bestFit="1" customWidth="1"/>
    <col min="43" max="43" width="19" customWidth="1"/>
    <col min="44" max="44" width="12.140625" customWidth="1"/>
    <col min="45" max="45" width="18.42578125" bestFit="1" customWidth="1"/>
    <col min="46" max="46" width="14.28515625" customWidth="1"/>
    <col min="47" max="47" width="19.42578125" bestFit="1" customWidth="1"/>
  </cols>
  <sheetData>
    <row r="2" spans="2:44" ht="15.75">
      <c r="B2" s="3548"/>
      <c r="C2" s="3548"/>
      <c r="D2" s="370" t="s">
        <v>2317</v>
      </c>
      <c r="E2" s="3548"/>
      <c r="F2" s="3548"/>
      <c r="G2" s="3548"/>
      <c r="H2" s="3548"/>
      <c r="I2" s="3548"/>
      <c r="J2" s="3548"/>
      <c r="K2" s="3548"/>
      <c r="P2" s="5263"/>
      <c r="Q2" s="5263"/>
      <c r="R2" s="5263"/>
      <c r="T2" s="5263"/>
      <c r="U2" s="5263"/>
      <c r="V2" s="5263"/>
      <c r="X2" s="5263"/>
      <c r="Y2" s="5263"/>
      <c r="Z2" s="5263"/>
      <c r="AB2" s="5263"/>
      <c r="AC2" s="5263"/>
      <c r="AD2" s="5263"/>
      <c r="AF2" s="5262"/>
      <c r="AG2" s="5262"/>
      <c r="AH2" s="5262"/>
      <c r="AI2" s="74"/>
      <c r="AJ2" s="5262"/>
      <c r="AK2" s="5262"/>
      <c r="AL2" s="5262"/>
      <c r="AN2" s="113"/>
      <c r="AO2" s="113"/>
      <c r="AP2" s="113"/>
      <c r="AQ2" s="113"/>
      <c r="AR2" s="113"/>
    </row>
    <row r="3" spans="2:44">
      <c r="B3" s="5260" t="s">
        <v>2763</v>
      </c>
      <c r="AH3" s="118"/>
    </row>
    <row r="4" spans="2:44" ht="45.75" thickBot="1">
      <c r="B4" s="5261"/>
      <c r="D4" s="3532" t="s">
        <v>84</v>
      </c>
      <c r="E4" s="3532" t="s">
        <v>2767</v>
      </c>
      <c r="F4" s="3532" t="s">
        <v>76</v>
      </c>
      <c r="H4" s="3222" t="s">
        <v>84</v>
      </c>
      <c r="I4" s="3223" t="s">
        <v>2703</v>
      </c>
      <c r="J4" s="3223" t="s">
        <v>76</v>
      </c>
      <c r="L4" s="1916" t="s">
        <v>84</v>
      </c>
      <c r="M4" s="1917" t="s">
        <v>2316</v>
      </c>
      <c r="N4" s="2646" t="s">
        <v>76</v>
      </c>
      <c r="P4" s="1916" t="s">
        <v>84</v>
      </c>
      <c r="Q4" s="1917" t="s">
        <v>2310</v>
      </c>
      <c r="R4" s="1916" t="s">
        <v>76</v>
      </c>
      <c r="T4" s="1916" t="s">
        <v>84</v>
      </c>
      <c r="U4" s="1917" t="s">
        <v>2311</v>
      </c>
      <c r="V4" s="1916" t="s">
        <v>76</v>
      </c>
      <c r="X4" s="1916" t="s">
        <v>84</v>
      </c>
      <c r="Y4" s="1917" t="s">
        <v>2312</v>
      </c>
      <c r="Z4" s="1916" t="s">
        <v>76</v>
      </c>
      <c r="AB4" s="1916" t="s">
        <v>84</v>
      </c>
      <c r="AC4" s="1917" t="s">
        <v>2313</v>
      </c>
      <c r="AD4" s="1916" t="s">
        <v>76</v>
      </c>
      <c r="AF4" s="1916" t="s">
        <v>84</v>
      </c>
      <c r="AG4" s="1917" t="s">
        <v>2314</v>
      </c>
      <c r="AH4" s="1916" t="s">
        <v>76</v>
      </c>
      <c r="AJ4" s="1916" t="s">
        <v>84</v>
      </c>
      <c r="AK4" s="1917" t="s">
        <v>2315</v>
      </c>
      <c r="AL4" s="1916" t="s">
        <v>76</v>
      </c>
    </row>
    <row r="5" spans="2:44">
      <c r="B5" s="191"/>
      <c r="J5" s="3"/>
      <c r="N5" s="3"/>
    </row>
    <row r="6" spans="2:44">
      <c r="B6" s="3536" t="s">
        <v>4</v>
      </c>
      <c r="D6" s="4376">
        <v>600000</v>
      </c>
      <c r="E6" s="4380">
        <v>574653015</v>
      </c>
      <c r="F6" s="4384">
        <f>D6/E6</f>
        <v>1.0441083303112922E-3</v>
      </c>
      <c r="H6" s="3406">
        <v>5949604</v>
      </c>
      <c r="I6" s="3406">
        <v>566285509</v>
      </c>
      <c r="J6" s="3224">
        <f>H6/I6</f>
        <v>1.0506368087197513E-2</v>
      </c>
      <c r="L6" s="3406">
        <v>21975831.800000001</v>
      </c>
      <c r="M6" s="3406">
        <v>568508638</v>
      </c>
      <c r="N6" s="1919">
        <f>+L6/M6</f>
        <v>3.8655229368740045E-2</v>
      </c>
      <c r="P6" s="1918">
        <v>16604914.84</v>
      </c>
      <c r="Q6" s="1918">
        <v>544808000</v>
      </c>
      <c r="R6" s="1919">
        <f>+P6/Q6</f>
        <v>3.0478471020983538E-2</v>
      </c>
      <c r="T6" s="1918">
        <v>11146044.289999999</v>
      </c>
      <c r="U6" s="1918">
        <v>525495000</v>
      </c>
      <c r="V6" s="1919">
        <f>+T6/U6</f>
        <v>2.1210562022474046E-2</v>
      </c>
      <c r="X6" s="1918">
        <v>3179140</v>
      </c>
      <c r="Y6" s="1918">
        <v>454564850.86000001</v>
      </c>
      <c r="Z6" s="1919">
        <f>+X6/Y6</f>
        <v>6.9938095609137479E-3</v>
      </c>
      <c r="AB6" s="1918">
        <v>18820683.18</v>
      </c>
      <c r="AC6" s="1918">
        <v>442210806</v>
      </c>
      <c r="AD6" s="1919">
        <f t="shared" ref="AD6:AD11" si="0">+AB6/AC6</f>
        <v>4.2560432546282008E-2</v>
      </c>
      <c r="AF6" s="1918">
        <v>13213414.189999999</v>
      </c>
      <c r="AG6" s="1918">
        <f>344828563+31946140</f>
        <v>376774703</v>
      </c>
      <c r="AH6" s="1919">
        <f t="shared" ref="AH6:AH11" si="1">+AF6/AG6</f>
        <v>3.5069801886354349E-2</v>
      </c>
      <c r="AJ6" s="1918">
        <v>13661993.449999999</v>
      </c>
      <c r="AK6" s="1918">
        <v>338547000</v>
      </c>
      <c r="AL6" s="1919">
        <f t="shared" ref="AL6:AL11" si="2">+AJ6/AK6</f>
        <v>4.0354791062983869E-2</v>
      </c>
    </row>
    <row r="7" spans="2:44">
      <c r="B7" s="3537" t="s">
        <v>16</v>
      </c>
      <c r="D7" s="4377">
        <v>3789212</v>
      </c>
      <c r="E7" s="4381">
        <v>490616572</v>
      </c>
      <c r="F7" s="4384">
        <f t="shared" ref="F7:F43" si="3">D7/E7</f>
        <v>7.7233673223741006E-3</v>
      </c>
      <c r="H7" s="2862">
        <v>4788740.55</v>
      </c>
      <c r="I7" s="2862">
        <v>504153104</v>
      </c>
      <c r="J7" s="2863">
        <f t="shared" ref="J7:J11" si="4">H7/I7</f>
        <v>9.4985838865330081E-3</v>
      </c>
      <c r="L7" s="2862">
        <v>7980682.2999999998</v>
      </c>
      <c r="M7" s="2862">
        <v>489931347</v>
      </c>
      <c r="N7" s="44">
        <f t="shared" ref="N7:N43" si="5">+L7/M7</f>
        <v>1.6289389011068932E-2</v>
      </c>
      <c r="P7" s="35">
        <v>4862181</v>
      </c>
      <c r="Q7" s="35">
        <v>475890000</v>
      </c>
      <c r="R7" s="44">
        <f t="shared" ref="R7:R11" si="6">+P7/Q7</f>
        <v>1.0217027044064806E-2</v>
      </c>
      <c r="T7" s="35">
        <v>6974673.8899999997</v>
      </c>
      <c r="U7" s="35">
        <v>433633000</v>
      </c>
      <c r="V7" s="44">
        <f t="shared" ref="V7:V11" si="7">+T7/U7</f>
        <v>1.6084278387484347E-2</v>
      </c>
      <c r="X7" s="35">
        <v>2829094.34</v>
      </c>
      <c r="Y7" s="35">
        <v>405730526.4199999</v>
      </c>
      <c r="Z7" s="44">
        <f t="shared" ref="Z7:Z11" si="8">+X7/Y7</f>
        <v>6.9728407299366165E-3</v>
      </c>
      <c r="AB7" s="35">
        <v>8880950</v>
      </c>
      <c r="AC7" s="35">
        <v>381887931</v>
      </c>
      <c r="AD7" s="44">
        <f t="shared" si="0"/>
        <v>2.3255382742116561E-2</v>
      </c>
      <c r="AF7" s="35">
        <v>10599861.25</v>
      </c>
      <c r="AG7" s="35">
        <f>320078258+4706567</f>
        <v>324784825</v>
      </c>
      <c r="AH7" s="44">
        <f t="shared" si="1"/>
        <v>3.2636565609246063E-2</v>
      </c>
      <c r="AJ7" s="35">
        <v>12662239.540000001</v>
      </c>
      <c r="AK7" s="35">
        <v>304965000</v>
      </c>
      <c r="AL7" s="44">
        <f t="shared" si="2"/>
        <v>4.1520304100470549E-2</v>
      </c>
    </row>
    <row r="8" spans="2:44">
      <c r="B8" s="3537" t="s">
        <v>21</v>
      </c>
      <c r="D8" s="4377">
        <v>3252202.06</v>
      </c>
      <c r="E8" s="4381">
        <v>341742961</v>
      </c>
      <c r="F8" s="4384">
        <f t="shared" si="3"/>
        <v>9.5165151331383247E-3</v>
      </c>
      <c r="H8" s="2862">
        <v>1088053.19</v>
      </c>
      <c r="I8" s="2862">
        <v>321893929</v>
      </c>
      <c r="J8" s="2863">
        <f t="shared" si="4"/>
        <v>3.3801606429178723E-3</v>
      </c>
      <c r="L8" s="2862">
        <v>535343.76</v>
      </c>
      <c r="M8" s="2862">
        <v>335652640</v>
      </c>
      <c r="N8" s="44">
        <f t="shared" si="5"/>
        <v>1.5949338578120525E-3</v>
      </c>
      <c r="P8" s="35">
        <v>1635000</v>
      </c>
      <c r="Q8" s="35">
        <v>315889000</v>
      </c>
      <c r="R8" s="44">
        <f t="shared" si="6"/>
        <v>5.1758687387025186E-3</v>
      </c>
      <c r="T8" s="35">
        <v>1228659</v>
      </c>
      <c r="U8" s="35">
        <v>289974000</v>
      </c>
      <c r="V8" s="44">
        <f t="shared" si="7"/>
        <v>4.2371350534875542E-3</v>
      </c>
      <c r="X8" s="35">
        <v>396500</v>
      </c>
      <c r="Y8" s="35">
        <v>259481344</v>
      </c>
      <c r="Z8" s="44">
        <f t="shared" si="8"/>
        <v>1.5280481975613631E-3</v>
      </c>
      <c r="AB8" s="35">
        <v>435000</v>
      </c>
      <c r="AC8" s="35">
        <v>245219428</v>
      </c>
      <c r="AD8" s="44">
        <f t="shared" si="0"/>
        <v>1.7739214366000397E-3</v>
      </c>
      <c r="AF8" s="35">
        <v>4652186.21</v>
      </c>
      <c r="AG8" s="35">
        <v>214006854</v>
      </c>
      <c r="AH8" s="44">
        <f t="shared" si="1"/>
        <v>2.1738491655972851E-2</v>
      </c>
      <c r="AJ8" s="35">
        <v>192337.66</v>
      </c>
      <c r="AK8" s="35">
        <v>192343000</v>
      </c>
      <c r="AL8" s="44">
        <f t="shared" si="2"/>
        <v>9.9997223709726892E-4</v>
      </c>
    </row>
    <row r="9" spans="2:44">
      <c r="B9" s="3537" t="s">
        <v>85</v>
      </c>
      <c r="D9" s="4377"/>
      <c r="E9" s="4381">
        <v>371582505</v>
      </c>
      <c r="F9" s="4384">
        <f t="shared" si="3"/>
        <v>0</v>
      </c>
      <c r="H9" s="2862"/>
      <c r="I9" s="2862">
        <v>298703562</v>
      </c>
      <c r="J9" s="2863">
        <f t="shared" si="4"/>
        <v>0</v>
      </c>
      <c r="L9" s="2862"/>
      <c r="M9" s="2862">
        <v>315377711</v>
      </c>
      <c r="N9" s="44">
        <f t="shared" si="5"/>
        <v>0</v>
      </c>
      <c r="P9" s="35"/>
      <c r="Q9" s="35">
        <v>54812000</v>
      </c>
      <c r="R9" s="44">
        <f t="shared" si="6"/>
        <v>0</v>
      </c>
      <c r="T9" s="35"/>
      <c r="U9" s="35">
        <v>54269000</v>
      </c>
      <c r="V9" s="44">
        <f t="shared" si="7"/>
        <v>0</v>
      </c>
      <c r="X9" s="35"/>
      <c r="Y9" s="35">
        <v>272415349</v>
      </c>
      <c r="Z9" s="44">
        <f t="shared" si="8"/>
        <v>0</v>
      </c>
      <c r="AB9" s="35">
        <v>0</v>
      </c>
      <c r="AC9" s="35">
        <v>43754693</v>
      </c>
      <c r="AD9" s="44">
        <f t="shared" si="0"/>
        <v>0</v>
      </c>
      <c r="AF9" s="35">
        <v>0</v>
      </c>
      <c r="AG9" s="35">
        <f>52156389+270036</f>
        <v>52426425</v>
      </c>
      <c r="AH9" s="44">
        <f t="shared" si="1"/>
        <v>0</v>
      </c>
      <c r="AJ9" s="35">
        <v>0</v>
      </c>
      <c r="AK9" s="35">
        <f>271694000-AK10</f>
        <v>38085000</v>
      </c>
      <c r="AL9" s="44">
        <f t="shared" si="2"/>
        <v>0</v>
      </c>
    </row>
    <row r="10" spans="2:44">
      <c r="B10" s="3537" t="s">
        <v>86</v>
      </c>
      <c r="D10" s="4377"/>
      <c r="E10" s="4381">
        <v>59582297</v>
      </c>
      <c r="F10" s="4384">
        <f t="shared" si="3"/>
        <v>0</v>
      </c>
      <c r="H10" s="2862"/>
      <c r="I10" s="2862">
        <v>59565878</v>
      </c>
      <c r="J10" s="2863">
        <f t="shared" si="4"/>
        <v>0</v>
      </c>
      <c r="L10" s="2862"/>
      <c r="M10" s="2862">
        <v>57728607</v>
      </c>
      <c r="N10" s="44">
        <f t="shared" si="5"/>
        <v>0</v>
      </c>
      <c r="P10" s="35"/>
      <c r="Q10" s="35">
        <v>283364000</v>
      </c>
      <c r="R10" s="44">
        <f t="shared" si="6"/>
        <v>0</v>
      </c>
      <c r="T10" s="35"/>
      <c r="U10" s="35">
        <v>289443000</v>
      </c>
      <c r="V10" s="44">
        <f t="shared" si="7"/>
        <v>0</v>
      </c>
      <c r="X10" s="35"/>
      <c r="Y10" s="35">
        <v>50668652</v>
      </c>
      <c r="Z10" s="44">
        <f t="shared" si="8"/>
        <v>0</v>
      </c>
      <c r="AB10" s="35">
        <v>0</v>
      </c>
      <c r="AC10" s="35">
        <v>249204575</v>
      </c>
      <c r="AD10" s="44">
        <f t="shared" si="0"/>
        <v>0</v>
      </c>
      <c r="AF10" s="35">
        <v>0</v>
      </c>
      <c r="AG10" s="35">
        <v>335973051</v>
      </c>
      <c r="AH10" s="44">
        <f t="shared" si="1"/>
        <v>0</v>
      </c>
      <c r="AJ10" s="35">
        <v>0</v>
      </c>
      <c r="AK10" s="35">
        <v>233609000</v>
      </c>
      <c r="AL10" s="44">
        <f t="shared" si="2"/>
        <v>0</v>
      </c>
    </row>
    <row r="11" spans="2:44">
      <c r="B11" s="3538" t="s">
        <v>3</v>
      </c>
      <c r="D11" s="4378">
        <v>7641414.0600000005</v>
      </c>
      <c r="E11" s="4382">
        <v>1838177350</v>
      </c>
      <c r="F11" s="4385">
        <f t="shared" si="3"/>
        <v>4.1570602858315058E-3</v>
      </c>
      <c r="H11" s="2864">
        <f>SUM(H6:H10)</f>
        <v>11826397.74</v>
      </c>
      <c r="I11" s="2864">
        <f t="shared" ref="I11" si="9">SUM(I6:I10)</f>
        <v>1750601982</v>
      </c>
      <c r="J11" s="2865">
        <f t="shared" si="4"/>
        <v>6.755617702710907E-3</v>
      </c>
      <c r="L11" s="2864">
        <f>SUM(L6:L10)</f>
        <v>30491857.860000003</v>
      </c>
      <c r="M11" s="2864">
        <f t="shared" ref="M11" si="10">SUM(M6:M10)</f>
        <v>1767198943</v>
      </c>
      <c r="N11" s="1921">
        <f t="shared" si="5"/>
        <v>1.725434364975172E-2</v>
      </c>
      <c r="P11" s="1920">
        <f>SUM(P6:P10)</f>
        <v>23102095.84</v>
      </c>
      <c r="Q11" s="1920">
        <f>SUM(Q6:Q10)</f>
        <v>1674763000</v>
      </c>
      <c r="R11" s="1921">
        <f t="shared" si="6"/>
        <v>1.379424780700314E-2</v>
      </c>
      <c r="T11" s="1920">
        <f>SUM(T6:T10)</f>
        <v>19349377.18</v>
      </c>
      <c r="U11" s="1920">
        <f>SUM(U6:U10)</f>
        <v>1592814000</v>
      </c>
      <c r="V11" s="1921">
        <f t="shared" si="7"/>
        <v>1.2147920083575358E-2</v>
      </c>
      <c r="X11" s="1920">
        <v>6404734.3399999999</v>
      </c>
      <c r="Y11" s="1920">
        <v>1442860722.28</v>
      </c>
      <c r="Z11" s="1921">
        <f t="shared" si="8"/>
        <v>4.4389137780944492E-3</v>
      </c>
      <c r="AB11" s="1920">
        <f>+AB6+AB7+AB8+AB9+AB10</f>
        <v>28136633.18</v>
      </c>
      <c r="AC11" s="1920">
        <f>+AC6+AC7+AC8+AC9+AC10</f>
        <v>1362277433</v>
      </c>
      <c r="AD11" s="1921">
        <f t="shared" si="0"/>
        <v>2.0654113837911606E-2</v>
      </c>
      <c r="AF11" s="1920">
        <f>+AF6+AF7+AF8+AF9+AF10</f>
        <v>28465461.649999999</v>
      </c>
      <c r="AG11" s="1920">
        <f>+AG6+AG7+AG8+AG9+AG10</f>
        <v>1303965858</v>
      </c>
      <c r="AH11" s="1921">
        <f t="shared" si="1"/>
        <v>2.1829913318175236E-2</v>
      </c>
      <c r="AJ11" s="1920">
        <f>+AJ6+AJ7+AJ8+AJ9+AJ10</f>
        <v>26516570.650000002</v>
      </c>
      <c r="AK11" s="1920">
        <f t="shared" ref="AK11" si="11">+AK6+AK7+AK8+AK9+AK10</f>
        <v>1107549000</v>
      </c>
      <c r="AL11" s="1921">
        <f t="shared" si="2"/>
        <v>2.3941668179015108E-2</v>
      </c>
    </row>
    <row r="12" spans="2:44">
      <c r="B12" s="191"/>
      <c r="D12" s="2"/>
      <c r="E12" s="2"/>
      <c r="F12" s="4386"/>
      <c r="H12" s="36"/>
      <c r="I12" s="36"/>
      <c r="J12" s="45"/>
      <c r="L12" s="36"/>
      <c r="M12" s="36"/>
      <c r="N12" s="45"/>
      <c r="P12" s="36"/>
      <c r="Q12" s="36"/>
      <c r="R12" s="45"/>
      <c r="T12" s="36"/>
      <c r="U12" s="36"/>
      <c r="V12" s="45"/>
      <c r="X12" s="36"/>
      <c r="Y12" s="36"/>
      <c r="Z12" s="45"/>
      <c r="AB12" s="36"/>
      <c r="AC12" s="36"/>
      <c r="AD12" s="45"/>
      <c r="AF12" s="36"/>
      <c r="AG12" s="36"/>
      <c r="AH12" s="45"/>
      <c r="AJ12" s="36"/>
      <c r="AK12" s="36"/>
      <c r="AL12" s="45"/>
    </row>
    <row r="13" spans="2:44">
      <c r="B13" s="3536" t="s">
        <v>16</v>
      </c>
      <c r="D13" s="4376">
        <v>284700</v>
      </c>
      <c r="E13" s="4380">
        <v>86189884</v>
      </c>
      <c r="F13" s="4384">
        <f t="shared" si="3"/>
        <v>3.3031718664338844E-3</v>
      </c>
      <c r="H13" s="3406">
        <v>2077359</v>
      </c>
      <c r="I13" s="2866">
        <v>74782669</v>
      </c>
      <c r="J13" s="3224">
        <f t="shared" ref="J13:J18" si="12">H13/I13</f>
        <v>2.7778615390151428E-2</v>
      </c>
      <c r="L13" s="3406">
        <v>3886595</v>
      </c>
      <c r="M13" s="2866">
        <v>80568840</v>
      </c>
      <c r="N13" s="1919">
        <f t="shared" si="5"/>
        <v>4.8239431025691816E-2</v>
      </c>
      <c r="P13" s="1918">
        <v>697587</v>
      </c>
      <c r="Q13" s="1922">
        <v>73397000</v>
      </c>
      <c r="R13" s="1919">
        <f t="shared" ref="R13:R18" si="13">+P13/Q13</f>
        <v>9.5042985408122956E-3</v>
      </c>
      <c r="T13" s="1918"/>
      <c r="U13" s="1922">
        <v>66212000</v>
      </c>
      <c r="V13" s="1919">
        <f t="shared" ref="V13:V18" si="14">+T13/U13</f>
        <v>0</v>
      </c>
      <c r="X13" s="1918"/>
      <c r="Y13" s="1922">
        <v>64095764.459999993</v>
      </c>
      <c r="Z13" s="1919">
        <f t="shared" ref="Z13:Z18" si="15">+X13/Y13</f>
        <v>0</v>
      </c>
      <c r="AB13" s="1918">
        <v>904563.19999999995</v>
      </c>
      <c r="AC13" s="1922">
        <v>58650469</v>
      </c>
      <c r="AD13" s="1919">
        <f t="shared" ref="AD13:AD18" si="16">+AB13/AC13</f>
        <v>1.542294913276823E-2</v>
      </c>
      <c r="AF13" s="1918">
        <v>765300</v>
      </c>
      <c r="AG13" s="1922">
        <v>43217897</v>
      </c>
      <c r="AH13" s="1919">
        <f t="shared" ref="AH13:AH18" si="17">+AF13/AG13</f>
        <v>1.7707941689064602E-2</v>
      </c>
      <c r="AJ13" s="1918">
        <v>0</v>
      </c>
      <c r="AK13" s="1922">
        <v>41691000</v>
      </c>
      <c r="AL13" s="1919">
        <f t="shared" ref="AL13:AL18" si="18">+AJ13/AK13</f>
        <v>0</v>
      </c>
    </row>
    <row r="14" spans="2:44">
      <c r="B14" s="3537" t="s">
        <v>61</v>
      </c>
      <c r="D14" s="4377">
        <v>1365300</v>
      </c>
      <c r="E14" s="4381">
        <v>77843578</v>
      </c>
      <c r="F14" s="4384">
        <f t="shared" si="3"/>
        <v>1.7539019082601779E-2</v>
      </c>
      <c r="H14" s="2862">
        <v>1865600</v>
      </c>
      <c r="I14" s="2">
        <v>69191240</v>
      </c>
      <c r="J14" s="2863">
        <f t="shared" si="12"/>
        <v>2.6962950801286405E-2</v>
      </c>
      <c r="L14" s="2862">
        <v>1416660</v>
      </c>
      <c r="M14" s="2">
        <v>76678775</v>
      </c>
      <c r="N14" s="44">
        <f t="shared" si="5"/>
        <v>1.8475256027499134E-2</v>
      </c>
      <c r="P14" s="35">
        <v>11523378.780000001</v>
      </c>
      <c r="Q14" s="2">
        <v>71469000</v>
      </c>
      <c r="R14" s="44">
        <f t="shared" si="13"/>
        <v>0.16123604331948119</v>
      </c>
      <c r="T14" s="35">
        <v>1328028.1299999999</v>
      </c>
      <c r="U14" s="2">
        <v>60921000</v>
      </c>
      <c r="V14" s="44">
        <f t="shared" si="14"/>
        <v>2.1799184681801018E-2</v>
      </c>
      <c r="X14" s="35">
        <v>435100</v>
      </c>
      <c r="Y14" s="2">
        <v>60447136</v>
      </c>
      <c r="Z14" s="44">
        <f t="shared" si="15"/>
        <v>7.1980250644133083E-3</v>
      </c>
      <c r="AB14" s="35">
        <v>10619229.43</v>
      </c>
      <c r="AC14" s="2">
        <v>50133242</v>
      </c>
      <c r="AD14" s="44">
        <f t="shared" si="16"/>
        <v>0.21182012186644542</v>
      </c>
      <c r="AF14" s="35">
        <v>4264115.09</v>
      </c>
      <c r="AG14" s="2">
        <v>34999417</v>
      </c>
      <c r="AH14" s="44">
        <f t="shared" si="17"/>
        <v>0.1218338891187816</v>
      </c>
      <c r="AJ14" s="35">
        <v>4798600</v>
      </c>
      <c r="AK14" s="2">
        <v>34602000</v>
      </c>
      <c r="AL14" s="44">
        <f t="shared" si="18"/>
        <v>0.1386798450956592</v>
      </c>
    </row>
    <row r="15" spans="2:44">
      <c r="B15" s="3537" t="s">
        <v>64</v>
      </c>
      <c r="D15" s="4377">
        <v>5712251</v>
      </c>
      <c r="E15" s="4381">
        <v>85833819</v>
      </c>
      <c r="F15" s="4384">
        <f t="shared" si="3"/>
        <v>6.655012052999762E-2</v>
      </c>
      <c r="H15" s="2862">
        <v>11813236</v>
      </c>
      <c r="I15" s="2">
        <v>82921290</v>
      </c>
      <c r="J15" s="2863">
        <f t="shared" si="12"/>
        <v>0.14246324436100788</v>
      </c>
      <c r="L15" s="2862">
        <v>6627913.1000000006</v>
      </c>
      <c r="M15" s="2">
        <v>76305734</v>
      </c>
      <c r="N15" s="44">
        <f t="shared" si="5"/>
        <v>8.6859961271062547E-2</v>
      </c>
      <c r="P15" s="35">
        <v>3788235</v>
      </c>
      <c r="Q15" s="2">
        <v>71019000</v>
      </c>
      <c r="R15" s="44">
        <f t="shared" si="13"/>
        <v>5.3341148143454566E-2</v>
      </c>
      <c r="T15" s="35">
        <v>1345296</v>
      </c>
      <c r="U15" s="2">
        <v>63824000</v>
      </c>
      <c r="V15" s="44">
        <f t="shared" si="14"/>
        <v>2.107821509150163E-2</v>
      </c>
      <c r="X15" s="35">
        <v>38000</v>
      </c>
      <c r="Y15" s="2">
        <v>51917423</v>
      </c>
      <c r="Z15" s="44">
        <f t="shared" si="15"/>
        <v>7.3193155214965121E-4</v>
      </c>
      <c r="AB15" s="35">
        <v>3217134</v>
      </c>
      <c r="AC15" s="2">
        <v>56237259</v>
      </c>
      <c r="AD15" s="44">
        <f t="shared" si="16"/>
        <v>5.7206450975855708E-2</v>
      </c>
      <c r="AF15" s="35">
        <v>3743270</v>
      </c>
      <c r="AG15" s="2">
        <v>42953608</v>
      </c>
      <c r="AH15" s="44">
        <f t="shared" si="17"/>
        <v>8.7146811974444613E-2</v>
      </c>
      <c r="AJ15" s="35">
        <v>4078009.1500000004</v>
      </c>
      <c r="AK15" s="2">
        <v>42621000</v>
      </c>
      <c r="AL15" s="44">
        <f t="shared" si="18"/>
        <v>9.5680747753454878E-2</v>
      </c>
    </row>
    <row r="16" spans="2:44">
      <c r="B16" s="3537" t="s">
        <v>85</v>
      </c>
      <c r="D16" s="4377"/>
      <c r="E16" s="4381">
        <v>140720163</v>
      </c>
      <c r="F16" s="4384">
        <f t="shared" si="3"/>
        <v>0</v>
      </c>
      <c r="H16" s="2862"/>
      <c r="I16" s="2">
        <v>118915766</v>
      </c>
      <c r="J16" s="2863">
        <f t="shared" si="12"/>
        <v>0</v>
      </c>
      <c r="L16" s="2862"/>
      <c r="M16" s="2">
        <v>123197673</v>
      </c>
      <c r="N16" s="44">
        <f t="shared" si="5"/>
        <v>0</v>
      </c>
      <c r="P16" s="35"/>
      <c r="Q16" s="2">
        <v>28464000</v>
      </c>
      <c r="R16" s="44">
        <f t="shared" si="13"/>
        <v>0</v>
      </c>
      <c r="T16" s="35">
        <v>2737000</v>
      </c>
      <c r="U16" s="2">
        <v>30220000</v>
      </c>
      <c r="V16" s="44">
        <f t="shared" si="14"/>
        <v>9.0569159497021837E-2</v>
      </c>
      <c r="X16" s="35">
        <v>552000</v>
      </c>
      <c r="Y16" s="2">
        <v>101924572</v>
      </c>
      <c r="Z16" s="44">
        <f t="shared" si="15"/>
        <v>5.4157696144164335E-3</v>
      </c>
      <c r="AB16" s="35">
        <v>800000</v>
      </c>
      <c r="AC16" s="2">
        <v>25543779</v>
      </c>
      <c r="AD16" s="44">
        <f t="shared" si="16"/>
        <v>3.1318780200846552E-2</v>
      </c>
      <c r="AF16" s="35">
        <v>0</v>
      </c>
      <c r="AG16" s="2">
        <v>31013067</v>
      </c>
      <c r="AH16" s="44">
        <f t="shared" si="17"/>
        <v>0</v>
      </c>
      <c r="AJ16" s="35">
        <v>0</v>
      </c>
      <c r="AK16" s="2">
        <f>82946000-AK17</f>
        <v>15003000</v>
      </c>
      <c r="AL16" s="44">
        <f t="shared" si="18"/>
        <v>0</v>
      </c>
    </row>
    <row r="17" spans="2:38">
      <c r="B17" s="3537" t="s">
        <v>86</v>
      </c>
      <c r="D17" s="4377"/>
      <c r="E17" s="4381">
        <v>31460970</v>
      </c>
      <c r="F17" s="4384">
        <f t="shared" si="3"/>
        <v>0</v>
      </c>
      <c r="H17" s="2862"/>
      <c r="I17" s="2">
        <v>31040293</v>
      </c>
      <c r="J17" s="2863">
        <f t="shared" si="12"/>
        <v>0</v>
      </c>
      <c r="L17" s="2862"/>
      <c r="M17" s="2">
        <v>31106413</v>
      </c>
      <c r="N17" s="44">
        <f t="shared" si="5"/>
        <v>0</v>
      </c>
      <c r="P17" s="35"/>
      <c r="Q17" s="2">
        <v>109573000</v>
      </c>
      <c r="R17" s="44">
        <f t="shared" si="13"/>
        <v>0</v>
      </c>
      <c r="T17" s="35"/>
      <c r="U17" s="2">
        <v>108608000</v>
      </c>
      <c r="V17" s="44">
        <f t="shared" si="14"/>
        <v>0</v>
      </c>
      <c r="X17" s="35"/>
      <c r="Y17" s="2">
        <v>27936270.730000004</v>
      </c>
      <c r="Z17" s="44">
        <f t="shared" si="15"/>
        <v>0</v>
      </c>
      <c r="AB17" s="35">
        <v>0</v>
      </c>
      <c r="AC17" s="2">
        <v>181636324</v>
      </c>
      <c r="AD17" s="44">
        <f t="shared" si="16"/>
        <v>0</v>
      </c>
      <c r="AF17" s="35">
        <v>0</v>
      </c>
      <c r="AG17" s="2">
        <v>119895345</v>
      </c>
      <c r="AH17" s="44">
        <f t="shared" si="17"/>
        <v>0</v>
      </c>
      <c r="AJ17" s="35">
        <v>0</v>
      </c>
      <c r="AK17" s="2">
        <v>67943000</v>
      </c>
      <c r="AL17" s="44">
        <f t="shared" si="18"/>
        <v>0</v>
      </c>
    </row>
    <row r="18" spans="2:38">
      <c r="B18" s="3538" t="s">
        <v>59</v>
      </c>
      <c r="D18" s="4378">
        <v>7362251</v>
      </c>
      <c r="E18" s="4382">
        <v>422048414</v>
      </c>
      <c r="F18" s="4385">
        <f t="shared" si="3"/>
        <v>1.744409114163855E-2</v>
      </c>
      <c r="H18" s="2864">
        <f>SUM(H13:H17)</f>
        <v>15756195</v>
      </c>
      <c r="I18" s="2864">
        <f>SUM(I13:I17)</f>
        <v>376851258</v>
      </c>
      <c r="J18" s="2865">
        <f t="shared" si="12"/>
        <v>4.1810116499597837E-2</v>
      </c>
      <c r="L18" s="2864">
        <f>SUM(L13:L17)</f>
        <v>11931168.100000001</v>
      </c>
      <c r="M18" s="2864">
        <f>SUM(M13:M17)</f>
        <v>387857435</v>
      </c>
      <c r="N18" s="1921">
        <f t="shared" si="5"/>
        <v>3.0761736203406803E-2</v>
      </c>
      <c r="P18" s="1920">
        <f>SUM(P13:P17)</f>
        <v>16009200.780000001</v>
      </c>
      <c r="Q18" s="1920">
        <f>SUM(Q13:Q17)</f>
        <v>353922000</v>
      </c>
      <c r="R18" s="1921">
        <f t="shared" si="13"/>
        <v>4.5233697763914088E-2</v>
      </c>
      <c r="T18" s="1920">
        <f>SUM(T13:T17)</f>
        <v>5410324.1299999999</v>
      </c>
      <c r="U18" s="1920">
        <f>SUM(U13:U17)</f>
        <v>329785000</v>
      </c>
      <c r="V18" s="1921">
        <f t="shared" si="14"/>
        <v>1.6405610109616872E-2</v>
      </c>
      <c r="X18" s="1920">
        <v>1025100</v>
      </c>
      <c r="Y18" s="1920">
        <v>306321166.19</v>
      </c>
      <c r="Z18" s="1921">
        <f t="shared" si="15"/>
        <v>3.3464876513435815E-3</v>
      </c>
      <c r="AB18" s="1920">
        <f>+AB13+AB14+AB15+AB16+AB17</f>
        <v>15540926.629999999</v>
      </c>
      <c r="AC18" s="1920">
        <f>+AC13+AC14+AC15+AC16+AC17</f>
        <v>372201073</v>
      </c>
      <c r="AD18" s="1921">
        <f t="shared" si="16"/>
        <v>4.1754115604067589E-2</v>
      </c>
      <c r="AF18" s="1920">
        <f>+AF13+AF14+AF15+AF16+AF17</f>
        <v>8772685.0899999999</v>
      </c>
      <c r="AG18" s="1920">
        <f>+AG13+AG14+AG15+AG16+AG17</f>
        <v>272079334</v>
      </c>
      <c r="AH18" s="1921">
        <f t="shared" si="17"/>
        <v>3.2243114392510236E-2</v>
      </c>
      <c r="AJ18" s="1920">
        <f>+AJ13+AJ14+AJ15+AJ16+AJ17</f>
        <v>8876609.1500000004</v>
      </c>
      <c r="AK18" s="1920">
        <f t="shared" ref="AK18" si="19">+AK13+AK14+AK15+AK16+AK17</f>
        <v>201860000</v>
      </c>
      <c r="AL18" s="1921">
        <f t="shared" si="18"/>
        <v>4.3974086743287427E-2</v>
      </c>
    </row>
    <row r="19" spans="2:38">
      <c r="B19" s="191"/>
      <c r="D19" s="2"/>
      <c r="E19" s="2"/>
      <c r="F19" s="4386"/>
      <c r="H19" s="36"/>
      <c r="I19" s="36"/>
      <c r="J19" s="45"/>
      <c r="L19" s="36"/>
      <c r="M19" s="36"/>
      <c r="N19" s="45"/>
      <c r="P19" s="36"/>
      <c r="Q19" s="36"/>
      <c r="R19" s="45"/>
      <c r="T19" s="36"/>
      <c r="U19" s="36"/>
      <c r="V19" s="45"/>
      <c r="X19" s="36"/>
      <c r="Y19" s="36"/>
      <c r="Z19" s="45"/>
      <c r="AB19" s="36"/>
      <c r="AC19" s="36"/>
      <c r="AD19" s="45"/>
      <c r="AF19" s="36"/>
      <c r="AG19" s="36"/>
      <c r="AH19" s="45"/>
      <c r="AJ19" s="36"/>
      <c r="AK19" s="36"/>
      <c r="AL19" s="45"/>
    </row>
    <row r="20" spans="2:38">
      <c r="B20" s="3536" t="s">
        <v>4</v>
      </c>
      <c r="D20" s="4376">
        <v>32172924.489999998</v>
      </c>
      <c r="E20" s="4380">
        <v>488254472</v>
      </c>
      <c r="F20" s="4384">
        <f t="shared" si="3"/>
        <v>6.5893763058047311E-2</v>
      </c>
      <c r="H20" s="3406">
        <v>25504189</v>
      </c>
      <c r="I20" s="2867">
        <v>487238266</v>
      </c>
      <c r="J20" s="3224">
        <f t="shared" ref="J20:J25" si="20">H20/I20</f>
        <v>5.2344388320272037E-2</v>
      </c>
      <c r="L20" s="3406">
        <v>70917004.390000001</v>
      </c>
      <c r="M20" s="3406">
        <v>488170128</v>
      </c>
      <c r="N20" s="1919">
        <f t="shared" si="5"/>
        <v>0.14527108547289072</v>
      </c>
      <c r="P20" s="1918">
        <v>104001670.19</v>
      </c>
      <c r="Q20" s="1923">
        <v>454478000</v>
      </c>
      <c r="R20" s="1919">
        <f t="shared" ref="R20:R25" si="21">+P20/Q20</f>
        <v>0.22883763392287415</v>
      </c>
      <c r="T20" s="1918">
        <v>96085863.349999994</v>
      </c>
      <c r="U20" s="1923">
        <v>433968000</v>
      </c>
      <c r="V20" s="1919">
        <f t="shared" ref="V20:V25" si="22">+T20/U20</f>
        <v>0.22141232383493711</v>
      </c>
      <c r="X20" s="1922">
        <v>23588382.640000001</v>
      </c>
      <c r="Y20" s="1918">
        <v>400409853</v>
      </c>
      <c r="Z20" s="1919">
        <f t="shared" ref="Z20:Z25" si="23">+X20/Y20</f>
        <v>5.8910594889881492E-2</v>
      </c>
      <c r="AB20" s="1922">
        <v>61920998.530000001</v>
      </c>
      <c r="AC20" s="1918">
        <v>359219796</v>
      </c>
      <c r="AD20" s="1919">
        <f t="shared" ref="AD20:AD25" si="24">+AB20/AC20</f>
        <v>0.17237635347357083</v>
      </c>
      <c r="AF20" s="3426">
        <v>17873249.740000002</v>
      </c>
      <c r="AG20" s="3406">
        <v>327764627</v>
      </c>
      <c r="AH20" s="3427">
        <f t="shared" ref="AH20:AH25" si="25">+AF20/AG20</f>
        <v>5.4530746357812437E-2</v>
      </c>
      <c r="AJ20" s="3426">
        <v>38568912.340000004</v>
      </c>
      <c r="AK20" s="3406">
        <v>300523000</v>
      </c>
      <c r="AL20" s="3427">
        <f t="shared" ref="AL20:AL25" si="26">+AJ20/AK20</f>
        <v>0.12833930294852641</v>
      </c>
    </row>
    <row r="21" spans="2:38">
      <c r="B21" s="3537" t="s">
        <v>16</v>
      </c>
      <c r="D21" s="4377">
        <v>2810271</v>
      </c>
      <c r="E21" s="4381">
        <v>505444704</v>
      </c>
      <c r="F21" s="4384">
        <f t="shared" si="3"/>
        <v>5.5599969250048767E-3</v>
      </c>
      <c r="H21" s="2862">
        <v>4244095.5199999996</v>
      </c>
      <c r="I21" s="315">
        <v>499055937</v>
      </c>
      <c r="J21" s="2863">
        <f t="shared" si="20"/>
        <v>8.5042481320084951E-3</v>
      </c>
      <c r="L21" s="2862">
        <v>5256160</v>
      </c>
      <c r="M21" s="315">
        <v>488120147</v>
      </c>
      <c r="N21" s="44">
        <f t="shared" si="5"/>
        <v>1.0768168518149693E-2</v>
      </c>
      <c r="P21" s="35">
        <v>44348581.829999998</v>
      </c>
      <c r="Q21" s="315">
        <v>348901000</v>
      </c>
      <c r="R21" s="44">
        <f t="shared" si="21"/>
        <v>0.12710935718155006</v>
      </c>
      <c r="T21" s="35">
        <v>26310312.199999999</v>
      </c>
      <c r="U21" s="315">
        <v>330420000</v>
      </c>
      <c r="V21" s="44">
        <f t="shared" si="22"/>
        <v>7.962687549179831E-2</v>
      </c>
      <c r="X21" s="2">
        <v>18644364.449999999</v>
      </c>
      <c r="Y21" s="35">
        <v>427434927.91000003</v>
      </c>
      <c r="Z21" s="44">
        <f t="shared" si="23"/>
        <v>4.3619187933854872E-2</v>
      </c>
      <c r="AB21" s="2">
        <v>27296002.790000003</v>
      </c>
      <c r="AC21" s="35">
        <v>272530571</v>
      </c>
      <c r="AD21" s="44">
        <f t="shared" si="24"/>
        <v>0.10015758118380048</v>
      </c>
      <c r="AF21" s="3428">
        <v>14880758.470000001</v>
      </c>
      <c r="AG21" s="2862">
        <v>262369686</v>
      </c>
      <c r="AH21" s="2863">
        <f t="shared" si="25"/>
        <v>5.6716759839396995E-2</v>
      </c>
      <c r="AJ21" s="3428">
        <v>26113336.719999995</v>
      </c>
      <c r="AK21" s="2862">
        <v>243176000</v>
      </c>
      <c r="AL21" s="2863">
        <f t="shared" si="26"/>
        <v>0.10738451459025559</v>
      </c>
    </row>
    <row r="22" spans="2:38">
      <c r="B22" s="3537" t="s">
        <v>41</v>
      </c>
      <c r="D22" s="4377">
        <v>13254456.029999999</v>
      </c>
      <c r="E22" s="4381">
        <v>397273665</v>
      </c>
      <c r="F22" s="4384">
        <f t="shared" si="3"/>
        <v>3.3363540545784727E-2</v>
      </c>
      <c r="H22" s="2862">
        <v>13336462.08</v>
      </c>
      <c r="I22" s="315">
        <v>383638717</v>
      </c>
      <c r="J22" s="2863">
        <f t="shared" si="20"/>
        <v>3.4763076532757772E-2</v>
      </c>
      <c r="L22" s="2862">
        <v>34691110.57</v>
      </c>
      <c r="M22" s="315">
        <v>393687277</v>
      </c>
      <c r="N22" s="44">
        <f t="shared" si="5"/>
        <v>8.811844475736004E-2</v>
      </c>
      <c r="P22" s="35">
        <v>11276969.07</v>
      </c>
      <c r="Q22" s="315">
        <v>453432000</v>
      </c>
      <c r="R22" s="44">
        <f t="shared" si="21"/>
        <v>2.4870254128513205E-2</v>
      </c>
      <c r="T22" s="35">
        <v>12840054.91</v>
      </c>
      <c r="U22" s="315">
        <v>442942000</v>
      </c>
      <c r="V22" s="44">
        <f t="shared" si="22"/>
        <v>2.8988117879993319E-2</v>
      </c>
      <c r="X22" s="2">
        <v>10979709.6</v>
      </c>
      <c r="Y22" s="35">
        <v>322132645</v>
      </c>
      <c r="Z22" s="44">
        <f t="shared" si="23"/>
        <v>3.4084436242095235E-2</v>
      </c>
      <c r="AB22" s="2">
        <v>11069227.67</v>
      </c>
      <c r="AC22" s="35">
        <v>379629094</v>
      </c>
      <c r="AD22" s="44">
        <f t="shared" si="24"/>
        <v>2.9158006709570052E-2</v>
      </c>
      <c r="AF22" s="3428">
        <v>42424335.490000002</v>
      </c>
      <c r="AG22" s="2862">
        <v>345723524</v>
      </c>
      <c r="AH22" s="2863">
        <f t="shared" si="25"/>
        <v>0.12271174087071958</v>
      </c>
      <c r="AJ22" s="3428">
        <v>45887150.830000006</v>
      </c>
      <c r="AK22" s="2862">
        <v>308858000</v>
      </c>
      <c r="AL22" s="2863">
        <f t="shared" si="26"/>
        <v>0.14857038130791497</v>
      </c>
    </row>
    <row r="23" spans="2:38">
      <c r="B23" s="3537" t="s">
        <v>85</v>
      </c>
      <c r="D23" s="4377"/>
      <c r="E23" s="4381">
        <v>409716132</v>
      </c>
      <c r="F23" s="4384">
        <f t="shared" si="3"/>
        <v>0</v>
      </c>
      <c r="H23" s="2862"/>
      <c r="I23" s="315">
        <v>339123114</v>
      </c>
      <c r="J23" s="2863">
        <f t="shared" si="20"/>
        <v>0</v>
      </c>
      <c r="L23" s="2862"/>
      <c r="M23" s="315">
        <v>350048683</v>
      </c>
      <c r="N23" s="44">
        <f t="shared" si="5"/>
        <v>0</v>
      </c>
      <c r="P23" s="35"/>
      <c r="Q23" s="315">
        <v>32359000</v>
      </c>
      <c r="R23" s="44">
        <f t="shared" si="21"/>
        <v>0</v>
      </c>
      <c r="T23" s="35">
        <v>440000</v>
      </c>
      <c r="U23" s="315">
        <v>34512000</v>
      </c>
      <c r="V23" s="44">
        <f t="shared" si="22"/>
        <v>1.2749188687992583E-2</v>
      </c>
      <c r="X23" s="2">
        <v>377500</v>
      </c>
      <c r="Y23" s="35">
        <v>289900171.15999997</v>
      </c>
      <c r="Z23" s="44">
        <f t="shared" si="23"/>
        <v>1.3021723943434738E-3</v>
      </c>
      <c r="AB23" s="2">
        <v>509110</v>
      </c>
      <c r="AC23" s="35">
        <v>31630232</v>
      </c>
      <c r="AD23" s="44">
        <f t="shared" si="24"/>
        <v>1.6095677072491911E-2</v>
      </c>
      <c r="AF23" s="3428">
        <v>67045.45</v>
      </c>
      <c r="AG23" s="2862">
        <v>57594185</v>
      </c>
      <c r="AH23" s="2863">
        <f t="shared" si="25"/>
        <v>1.1641010286021062E-3</v>
      </c>
      <c r="AJ23" s="3428">
        <v>300000</v>
      </c>
      <c r="AK23" s="2862">
        <f>272057000-AK24</f>
        <v>25563000</v>
      </c>
      <c r="AL23" s="2863">
        <f t="shared" si="26"/>
        <v>1.1735711770918906E-2</v>
      </c>
    </row>
    <row r="24" spans="2:38">
      <c r="B24" s="3537" t="s">
        <v>86</v>
      </c>
      <c r="D24" s="4377"/>
      <c r="E24" s="4381">
        <v>34225698</v>
      </c>
      <c r="F24" s="4384">
        <f t="shared" si="3"/>
        <v>0</v>
      </c>
      <c r="H24" s="2862"/>
      <c r="I24" s="315">
        <v>33750486</v>
      </c>
      <c r="J24" s="2863">
        <f t="shared" si="20"/>
        <v>0</v>
      </c>
      <c r="L24" s="2862"/>
      <c r="M24" s="315">
        <v>35592622</v>
      </c>
      <c r="N24" s="44">
        <f t="shared" si="5"/>
        <v>0</v>
      </c>
      <c r="P24" s="35"/>
      <c r="Q24" s="315">
        <v>328671000</v>
      </c>
      <c r="R24" s="44">
        <f t="shared" si="21"/>
        <v>0</v>
      </c>
      <c r="T24" s="35"/>
      <c r="U24" s="315">
        <v>321547000</v>
      </c>
      <c r="V24" s="44">
        <f t="shared" si="22"/>
        <v>0</v>
      </c>
      <c r="X24" s="2"/>
      <c r="Y24" s="35">
        <v>31564662</v>
      </c>
      <c r="Z24" s="44">
        <f t="shared" si="23"/>
        <v>0</v>
      </c>
      <c r="AB24" s="2">
        <v>0</v>
      </c>
      <c r="AC24" s="35">
        <v>263933131</v>
      </c>
      <c r="AD24" s="44">
        <f t="shared" si="24"/>
        <v>0</v>
      </c>
      <c r="AF24" s="3428">
        <v>0</v>
      </c>
      <c r="AG24" s="2862">
        <v>338406525</v>
      </c>
      <c r="AH24" s="2863">
        <f t="shared" si="25"/>
        <v>0</v>
      </c>
      <c r="AJ24" s="3428">
        <v>0</v>
      </c>
      <c r="AK24" s="2862">
        <v>246494000</v>
      </c>
      <c r="AL24" s="2863">
        <f t="shared" si="26"/>
        <v>0</v>
      </c>
    </row>
    <row r="25" spans="2:38">
      <c r="B25" s="3538" t="s">
        <v>25</v>
      </c>
      <c r="D25" s="4378">
        <v>48237651.519999996</v>
      </c>
      <c r="E25" s="4382">
        <v>1834914671</v>
      </c>
      <c r="F25" s="4385">
        <f t="shared" si="3"/>
        <v>2.628877096160075E-2</v>
      </c>
      <c r="H25" s="2864">
        <f>SUM(H20:H24)</f>
        <v>43084746.600000001</v>
      </c>
      <c r="I25" s="2868">
        <f>SUM(I20:I24)</f>
        <v>1742806520</v>
      </c>
      <c r="J25" s="2865">
        <f t="shared" si="20"/>
        <v>2.4721474303412636E-2</v>
      </c>
      <c r="L25" s="2864">
        <f>SUM(L20:L24)</f>
        <v>110864274.96000001</v>
      </c>
      <c r="M25" s="2868">
        <f>SUM(M20:M24)</f>
        <v>1755618857</v>
      </c>
      <c r="N25" s="1921">
        <f t="shared" si="5"/>
        <v>6.3148259383272287E-2</v>
      </c>
      <c r="P25" s="1920">
        <f>SUM(P20:P24)</f>
        <v>159627221.08999997</v>
      </c>
      <c r="Q25" s="1924">
        <f>SUM(Q20:Q24)</f>
        <v>1617841000</v>
      </c>
      <c r="R25" s="1921">
        <f t="shared" si="21"/>
        <v>9.8666816510398714E-2</v>
      </c>
      <c r="T25" s="1920">
        <f>SUM(T20:T24)</f>
        <v>135676230.46000001</v>
      </c>
      <c r="U25" s="1924">
        <f>SUM(U20:U24)</f>
        <v>1563389000</v>
      </c>
      <c r="V25" s="1921">
        <f t="shared" si="22"/>
        <v>8.6783411204760949E-2</v>
      </c>
      <c r="X25" s="1924">
        <v>53589956.690000005</v>
      </c>
      <c r="Y25" s="1920">
        <v>1471442259.0700002</v>
      </c>
      <c r="Z25" s="1921">
        <f t="shared" si="23"/>
        <v>3.6420020126287943E-2</v>
      </c>
      <c r="AB25" s="1924">
        <f>+AB20+AB21+AB22+AB23+AB24</f>
        <v>100795338.99000001</v>
      </c>
      <c r="AC25" s="1920">
        <f>+AC20+AC21+AC22+AC23+AC24</f>
        <v>1306942824</v>
      </c>
      <c r="AD25" s="1921">
        <f t="shared" si="24"/>
        <v>7.712299049281135E-2</v>
      </c>
      <c r="AF25" s="3429">
        <f>+AF20+AF21+AF22+AF23+AF24</f>
        <v>75245389.150000006</v>
      </c>
      <c r="AG25" s="2864">
        <f>+AG20+AG21+AG22+AG23+AG24</f>
        <v>1331858547</v>
      </c>
      <c r="AH25" s="2865">
        <f t="shared" si="25"/>
        <v>5.6496532097563668E-2</v>
      </c>
      <c r="AJ25" s="3429">
        <f>+AJ20+AJ21+AJ22+AJ23+AJ24</f>
        <v>110869399.89000002</v>
      </c>
      <c r="AK25" s="2864">
        <f t="shared" ref="AK25" si="27">+AK20+AK21+AK22+AK23+AK24</f>
        <v>1124614000</v>
      </c>
      <c r="AL25" s="2865">
        <f t="shared" si="26"/>
        <v>9.8584403084080424E-2</v>
      </c>
    </row>
    <row r="26" spans="2:38">
      <c r="B26" s="191"/>
      <c r="D26" s="2"/>
      <c r="E26" s="2"/>
      <c r="F26" s="4386"/>
      <c r="H26" s="36"/>
      <c r="I26" s="36"/>
      <c r="J26" s="45"/>
      <c r="L26" s="36"/>
      <c r="M26" s="36"/>
      <c r="N26" s="45"/>
      <c r="P26" s="36"/>
      <c r="Q26" s="36"/>
      <c r="R26" s="45"/>
      <c r="T26" s="36"/>
      <c r="U26" s="36"/>
      <c r="V26" s="45"/>
      <c r="X26" s="36"/>
      <c r="Y26" s="36"/>
      <c r="Z26" s="45"/>
      <c r="AB26" s="36"/>
      <c r="AC26" s="36"/>
      <c r="AD26" s="45"/>
      <c r="AF26" s="36"/>
      <c r="AG26" s="36"/>
      <c r="AH26" s="45"/>
      <c r="AJ26" s="36"/>
      <c r="AK26" s="36"/>
      <c r="AL26" s="45"/>
    </row>
    <row r="27" spans="2:38">
      <c r="B27" s="3536" t="s">
        <v>4</v>
      </c>
      <c r="D27" s="4376">
        <v>4106406</v>
      </c>
      <c r="E27" s="4380">
        <v>562637890</v>
      </c>
      <c r="F27" s="4384">
        <f t="shared" si="3"/>
        <v>7.2984881981553E-3</v>
      </c>
      <c r="H27" s="3408">
        <v>6010706</v>
      </c>
      <c r="I27" s="3406">
        <v>558729938</v>
      </c>
      <c r="J27" s="3224">
        <f t="shared" ref="J27:J32" si="28">H27/I27</f>
        <v>1.0757801920397542E-2</v>
      </c>
      <c r="L27" s="3408">
        <v>19851139.899999999</v>
      </c>
      <c r="M27" s="3406">
        <v>553816926</v>
      </c>
      <c r="N27" s="1919">
        <f t="shared" si="5"/>
        <v>3.5844227520052355E-2</v>
      </c>
      <c r="P27" s="1918">
        <v>14119652.09</v>
      </c>
      <c r="Q27" s="1923">
        <v>546832000</v>
      </c>
      <c r="R27" s="1919">
        <f t="shared" ref="R27:R32" si="29">+P27/Q27</f>
        <v>2.5820822647540743E-2</v>
      </c>
      <c r="T27" s="1918">
        <v>12830360.58</v>
      </c>
      <c r="U27" s="1923">
        <v>520453000</v>
      </c>
      <c r="V27" s="1919">
        <f t="shared" ref="V27:V32" si="30">+T27/U27</f>
        <v>2.4652294405066357E-2</v>
      </c>
      <c r="X27" s="3426">
        <v>4504231.3099999996</v>
      </c>
      <c r="Y27" s="3406">
        <v>460991329</v>
      </c>
      <c r="Z27" s="3427">
        <f t="shared" ref="Z27:Z32" si="31">+X27/Y27</f>
        <v>9.7707506121009913E-3</v>
      </c>
      <c r="AB27" s="3426">
        <v>10135065.76</v>
      </c>
      <c r="AC27" s="3406">
        <v>442654842</v>
      </c>
      <c r="AD27" s="3427">
        <f t="shared" ref="AD27:AD32" si="32">+AB27/AC27</f>
        <v>2.2896091487913738E-2</v>
      </c>
      <c r="AF27" s="3426">
        <v>20588483.23</v>
      </c>
      <c r="AG27" s="3406">
        <v>389864073</v>
      </c>
      <c r="AH27" s="3427">
        <f t="shared" ref="AH27:AH32" si="33">+AF27/AG27</f>
        <v>5.2809388337765613E-2</v>
      </c>
      <c r="AJ27" s="3426">
        <v>10245946.619999999</v>
      </c>
      <c r="AK27" s="3406">
        <v>375372000</v>
      </c>
      <c r="AL27" s="3427">
        <f t="shared" ref="AL27:AL32" si="34">+AJ27/AK27</f>
        <v>2.7295447236341547E-2</v>
      </c>
    </row>
    <row r="28" spans="2:38">
      <c r="B28" s="3537" t="s">
        <v>16</v>
      </c>
      <c r="D28" s="4377">
        <v>11395372.800000001</v>
      </c>
      <c r="E28" s="4381">
        <v>618587494</v>
      </c>
      <c r="F28" s="4384">
        <f t="shared" si="3"/>
        <v>1.8421602296408535E-2</v>
      </c>
      <c r="H28" s="2869">
        <v>13474191.359999999</v>
      </c>
      <c r="I28" s="2862">
        <v>608714446</v>
      </c>
      <c r="J28" s="2863">
        <f t="shared" si="28"/>
        <v>2.213548807415686E-2</v>
      </c>
      <c r="L28" s="2869">
        <v>17106534.939999998</v>
      </c>
      <c r="M28" s="2862">
        <v>606955787</v>
      </c>
      <c r="N28" s="44">
        <f t="shared" si="5"/>
        <v>2.8184153288252606E-2</v>
      </c>
      <c r="P28" s="35">
        <v>8966223.6300000008</v>
      </c>
      <c r="Q28" s="315">
        <v>514174000</v>
      </c>
      <c r="R28" s="44">
        <f t="shared" si="29"/>
        <v>1.7438111670368399E-2</v>
      </c>
      <c r="T28" s="35">
        <v>10266345.57</v>
      </c>
      <c r="U28" s="315">
        <v>477736000</v>
      </c>
      <c r="V28" s="44">
        <f t="shared" si="30"/>
        <v>2.1489579119011337E-2</v>
      </c>
      <c r="X28" s="3428">
        <v>8021240.6500000004</v>
      </c>
      <c r="Y28" s="2862">
        <v>497658110.60000008</v>
      </c>
      <c r="Z28" s="2863">
        <f t="shared" si="31"/>
        <v>1.6117974326449167E-2</v>
      </c>
      <c r="AB28" s="3428">
        <v>10780507.57</v>
      </c>
      <c r="AC28" s="2862">
        <v>412509987</v>
      </c>
      <c r="AD28" s="2863">
        <f t="shared" si="32"/>
        <v>2.6133931079831044E-2</v>
      </c>
      <c r="AF28" s="3428">
        <v>16493722.030000001</v>
      </c>
      <c r="AG28" s="2862">
        <v>351094246</v>
      </c>
      <c r="AH28" s="2863">
        <f t="shared" si="33"/>
        <v>4.6978047113879505E-2</v>
      </c>
      <c r="AJ28" s="3428">
        <v>12491729.550000001</v>
      </c>
      <c r="AK28" s="2862">
        <v>325848000</v>
      </c>
      <c r="AL28" s="2863">
        <f t="shared" si="34"/>
        <v>3.8336063287176848E-2</v>
      </c>
    </row>
    <row r="29" spans="2:38">
      <c r="B29" s="3537" t="s">
        <v>41</v>
      </c>
      <c r="D29" s="4377">
        <v>607806</v>
      </c>
      <c r="E29" s="4381">
        <v>246271656</v>
      </c>
      <c r="F29" s="4384">
        <f t="shared" si="3"/>
        <v>2.4680306693515715E-3</v>
      </c>
      <c r="H29" s="2869">
        <v>302000</v>
      </c>
      <c r="I29" s="2862">
        <v>243080407</v>
      </c>
      <c r="J29" s="2863">
        <f t="shared" si="28"/>
        <v>1.2423872566578351E-3</v>
      </c>
      <c r="L29" s="2869">
        <v>4608676</v>
      </c>
      <c r="M29" s="2862">
        <v>245782456</v>
      </c>
      <c r="N29" s="44">
        <f t="shared" si="5"/>
        <v>1.8751037299423845E-2</v>
      </c>
      <c r="P29" s="35">
        <v>217000</v>
      </c>
      <c r="Q29" s="315">
        <v>240290000</v>
      </c>
      <c r="R29" s="44">
        <f t="shared" si="29"/>
        <v>9.030754504973157E-4</v>
      </c>
      <c r="T29" s="35">
        <v>652561</v>
      </c>
      <c r="U29" s="315">
        <v>224645000</v>
      </c>
      <c r="V29" s="44">
        <f t="shared" si="30"/>
        <v>2.9048543257139043E-3</v>
      </c>
      <c r="X29" s="3428">
        <v>550000</v>
      </c>
      <c r="Y29" s="2862">
        <v>207508158</v>
      </c>
      <c r="Z29" s="2863">
        <f t="shared" si="31"/>
        <v>2.6504982035453276E-3</v>
      </c>
      <c r="AB29" s="3428">
        <v>5926316.5099999998</v>
      </c>
      <c r="AC29" s="2862">
        <v>188983547</v>
      </c>
      <c r="AD29" s="2863">
        <f t="shared" si="32"/>
        <v>3.1358901894247969E-2</v>
      </c>
      <c r="AF29" s="3428">
        <v>16841569.739999998</v>
      </c>
      <c r="AG29" s="2862">
        <v>167096360</v>
      </c>
      <c r="AH29" s="2863">
        <f t="shared" si="33"/>
        <v>0.10078956681043201</v>
      </c>
      <c r="AJ29" s="3428">
        <v>15194169.84</v>
      </c>
      <c r="AK29" s="2862">
        <v>160595000</v>
      </c>
      <c r="AL29" s="2863">
        <f t="shared" si="34"/>
        <v>9.4611724150814161E-2</v>
      </c>
    </row>
    <row r="30" spans="2:38">
      <c r="B30" s="3537" t="s">
        <v>85</v>
      </c>
      <c r="D30" s="4377"/>
      <c r="E30" s="4381">
        <v>396281531</v>
      </c>
      <c r="F30" s="4384">
        <f t="shared" si="3"/>
        <v>0</v>
      </c>
      <c r="H30" s="2869"/>
      <c r="I30" s="2862">
        <v>324284875</v>
      </c>
      <c r="J30" s="2863">
        <f t="shared" si="28"/>
        <v>0</v>
      </c>
      <c r="L30" s="2869"/>
      <c r="M30" s="2862">
        <v>346827534</v>
      </c>
      <c r="N30" s="44">
        <f t="shared" si="5"/>
        <v>0</v>
      </c>
      <c r="P30" s="35"/>
      <c r="Q30" s="315">
        <v>73909000</v>
      </c>
      <c r="R30" s="44">
        <f t="shared" si="29"/>
        <v>0</v>
      </c>
      <c r="T30" s="35">
        <v>1114000</v>
      </c>
      <c r="U30" s="315">
        <v>84163000</v>
      </c>
      <c r="V30" s="44">
        <f t="shared" si="30"/>
        <v>1.3236220191770731E-2</v>
      </c>
      <c r="X30" s="3428"/>
      <c r="Y30" s="2862">
        <v>282451476</v>
      </c>
      <c r="Z30" s="2863">
        <f t="shared" si="31"/>
        <v>0</v>
      </c>
      <c r="AB30" s="3428">
        <v>0</v>
      </c>
      <c r="AC30" s="2862">
        <v>31659012</v>
      </c>
      <c r="AD30" s="2863">
        <f t="shared" si="32"/>
        <v>0</v>
      </c>
      <c r="AF30" s="3428">
        <v>0</v>
      </c>
      <c r="AG30" s="2862">
        <v>86647214</v>
      </c>
      <c r="AH30" s="2863">
        <f t="shared" si="33"/>
        <v>0</v>
      </c>
      <c r="AJ30" s="3428">
        <v>0</v>
      </c>
      <c r="AK30" s="2862">
        <f>295971000-AK31</f>
        <v>24317000</v>
      </c>
      <c r="AL30" s="2863">
        <f t="shared" si="34"/>
        <v>0</v>
      </c>
    </row>
    <row r="31" spans="2:38">
      <c r="B31" s="3537" t="s">
        <v>86</v>
      </c>
      <c r="D31" s="4377">
        <v>100000</v>
      </c>
      <c r="E31" s="4381">
        <v>86070748</v>
      </c>
      <c r="F31" s="4384">
        <f t="shared" si="3"/>
        <v>1.1618349128324063E-3</v>
      </c>
      <c r="H31" s="2869"/>
      <c r="I31" s="2862">
        <v>84036687</v>
      </c>
      <c r="J31" s="2863">
        <f t="shared" si="28"/>
        <v>0</v>
      </c>
      <c r="L31" s="2869"/>
      <c r="M31" s="2862">
        <v>83744514</v>
      </c>
      <c r="N31" s="44">
        <f t="shared" si="5"/>
        <v>0</v>
      </c>
      <c r="P31" s="35"/>
      <c r="Q31" s="315">
        <v>314849000</v>
      </c>
      <c r="R31" s="44">
        <f t="shared" si="29"/>
        <v>0</v>
      </c>
      <c r="T31" s="35"/>
      <c r="U31" s="315">
        <v>309613000</v>
      </c>
      <c r="V31" s="44">
        <f t="shared" si="30"/>
        <v>0</v>
      </c>
      <c r="X31" s="3428"/>
      <c r="Y31" s="2862">
        <v>83052794.589999974</v>
      </c>
      <c r="Z31" s="2863">
        <f t="shared" si="31"/>
        <v>0</v>
      </c>
      <c r="AB31" s="3428">
        <v>0</v>
      </c>
      <c r="AC31" s="2862">
        <v>306372516</v>
      </c>
      <c r="AD31" s="2863">
        <f t="shared" si="32"/>
        <v>0</v>
      </c>
      <c r="AF31" s="3428">
        <v>0</v>
      </c>
      <c r="AG31" s="2862">
        <v>358761827</v>
      </c>
      <c r="AH31" s="2863">
        <f t="shared" si="33"/>
        <v>0</v>
      </c>
      <c r="AJ31" s="3428">
        <v>0</v>
      </c>
      <c r="AK31" s="2862">
        <v>271654000</v>
      </c>
      <c r="AL31" s="2863">
        <f t="shared" si="34"/>
        <v>0</v>
      </c>
    </row>
    <row r="32" spans="2:38">
      <c r="B32" s="3538" t="s">
        <v>249</v>
      </c>
      <c r="D32" s="4378">
        <v>16209584.800000001</v>
      </c>
      <c r="E32" s="4382">
        <v>1909849319</v>
      </c>
      <c r="F32" s="4385">
        <f t="shared" si="3"/>
        <v>8.4873631855351631E-3</v>
      </c>
      <c r="H32" s="2864">
        <f>SUM(H27:H31)</f>
        <v>19786897.359999999</v>
      </c>
      <c r="I32" s="2864">
        <f>SUM(I27:I31)</f>
        <v>1818846353</v>
      </c>
      <c r="J32" s="2865">
        <f t="shared" si="28"/>
        <v>1.0878817403879963E-2</v>
      </c>
      <c r="L32" s="2864">
        <f>SUM(L27:L31)</f>
        <v>41566350.839999996</v>
      </c>
      <c r="M32" s="2864">
        <f>SUM(M27:M31)</f>
        <v>1837127217</v>
      </c>
      <c r="N32" s="1921">
        <f t="shared" si="5"/>
        <v>2.2625733512280765E-2</v>
      </c>
      <c r="P32" s="1920">
        <f>SUM(P27:P31)</f>
        <v>23302875.719999999</v>
      </c>
      <c r="Q32" s="1924">
        <f>SUM(Q27:Q31)</f>
        <v>1690054000</v>
      </c>
      <c r="R32" s="1921">
        <f t="shared" si="29"/>
        <v>1.3788243286900891E-2</v>
      </c>
      <c r="T32" s="1920">
        <f>SUM(T27:T31)</f>
        <v>24863267.149999999</v>
      </c>
      <c r="U32" s="1924">
        <f>SUM(U27:U31)</f>
        <v>1616610000</v>
      </c>
      <c r="V32" s="1921">
        <f t="shared" si="30"/>
        <v>1.5379879593717716E-2</v>
      </c>
      <c r="X32" s="3429">
        <v>13075471.960000001</v>
      </c>
      <c r="Y32" s="2864">
        <v>1531661868.1900001</v>
      </c>
      <c r="Z32" s="2865">
        <f t="shared" si="31"/>
        <v>8.5367875453161123E-3</v>
      </c>
      <c r="AB32" s="3429">
        <f>+AB29+AB28+AB27+AB30+AB31</f>
        <v>26841889.84</v>
      </c>
      <c r="AC32" s="2864">
        <f>+AC29+AC28+AC27+AC30+AC31</f>
        <v>1382179904</v>
      </c>
      <c r="AD32" s="2865">
        <f t="shared" si="32"/>
        <v>1.9419968241702928E-2</v>
      </c>
      <c r="AF32" s="3429">
        <f>+AF29+AF28+AF27+AF30+AF31</f>
        <v>53923775</v>
      </c>
      <c r="AG32" s="2864">
        <f>+AG29+AG28+AG27+AG30+AG31</f>
        <v>1353463720</v>
      </c>
      <c r="AH32" s="2865">
        <f t="shared" si="33"/>
        <v>3.9841315436220187E-2</v>
      </c>
      <c r="AJ32" s="3429">
        <f>+AJ29+AJ28+AJ27+AJ30+AJ31</f>
        <v>37931846.009999998</v>
      </c>
      <c r="AK32" s="2864">
        <f t="shared" ref="AK32" si="35">+AK29+AK28+AK27+AK30+AK31</f>
        <v>1157786000</v>
      </c>
      <c r="AL32" s="2865">
        <f t="shared" si="34"/>
        <v>3.2762398241125736E-2</v>
      </c>
    </row>
    <row r="33" spans="2:38">
      <c r="B33" s="191"/>
      <c r="D33" s="2"/>
      <c r="E33" s="2"/>
      <c r="F33" s="4386"/>
    </row>
    <row r="34" spans="2:38">
      <c r="B34" s="3536" t="s">
        <v>16</v>
      </c>
      <c r="D34" s="4376">
        <v>1004806</v>
      </c>
      <c r="E34" s="4380">
        <v>26905566</v>
      </c>
      <c r="F34" s="4384">
        <f t="shared" si="3"/>
        <v>3.7345655542054011E-2</v>
      </c>
      <c r="H34" s="3406">
        <v>1029998</v>
      </c>
      <c r="I34" s="2867">
        <v>20585962</v>
      </c>
      <c r="J34" s="3224">
        <f t="shared" ref="J34:J39" si="36">H34/I34</f>
        <v>5.0033998896918203E-2</v>
      </c>
      <c r="L34" s="3406"/>
      <c r="M34" s="2867">
        <v>20036016</v>
      </c>
      <c r="N34" s="1919">
        <f t="shared" si="5"/>
        <v>0</v>
      </c>
      <c r="P34" s="1925">
        <v>1117756.98</v>
      </c>
      <c r="Q34" s="1918">
        <v>27818000</v>
      </c>
      <c r="R34" s="1919">
        <f>+P34/Q34</f>
        <v>4.0181069091954846E-2</v>
      </c>
      <c r="T34" s="1925">
        <v>1714698</v>
      </c>
      <c r="U34" s="1918">
        <v>24110000</v>
      </c>
      <c r="V34" s="1919">
        <f>+T34/U34</f>
        <v>7.1119784321858157E-2</v>
      </c>
      <c r="X34" s="1925">
        <v>923719.05</v>
      </c>
      <c r="Y34" s="1918">
        <v>16168745</v>
      </c>
      <c r="Z34" s="1919">
        <f>+X34/Y34</f>
        <v>5.712991639116085E-2</v>
      </c>
      <c r="AB34" s="3430"/>
      <c r="AC34" s="3433"/>
      <c r="AD34" s="3431"/>
      <c r="AF34" s="3430"/>
      <c r="AG34" s="3433"/>
      <c r="AH34" s="3431"/>
      <c r="AJ34" s="3430"/>
      <c r="AK34" s="3433"/>
      <c r="AL34" s="3431"/>
    </row>
    <row r="35" spans="2:38">
      <c r="B35" s="3537" t="s">
        <v>41</v>
      </c>
      <c r="D35" s="4377">
        <v>1547999.6</v>
      </c>
      <c r="E35" s="4381">
        <v>28169932</v>
      </c>
      <c r="F35" s="4384">
        <f t="shared" si="3"/>
        <v>5.4952195127769568E-2</v>
      </c>
      <c r="H35" s="2862"/>
      <c r="I35" s="315">
        <v>22855592</v>
      </c>
      <c r="J35" s="2863">
        <f t="shared" si="36"/>
        <v>0</v>
      </c>
      <c r="L35" s="2862">
        <v>1691640</v>
      </c>
      <c r="M35" s="315">
        <v>23359448</v>
      </c>
      <c r="N35" s="44">
        <f t="shared" si="5"/>
        <v>7.2417807133113757E-2</v>
      </c>
      <c r="P35" s="202"/>
      <c r="Q35" s="35">
        <v>20929000</v>
      </c>
      <c r="R35" s="44">
        <f t="shared" ref="R35:R37" si="37">+P35/Q35</f>
        <v>0</v>
      </c>
      <c r="T35" s="202"/>
      <c r="U35" s="35">
        <v>19011000</v>
      </c>
      <c r="V35" s="44">
        <f t="shared" ref="V35:V37" si="38">+T35/U35</f>
        <v>0</v>
      </c>
      <c r="X35" s="202"/>
      <c r="Y35" s="35">
        <v>20886419.609999999</v>
      </c>
      <c r="Z35" s="44">
        <f t="shared" ref="Z35:Z37" si="39">+X35/Y35</f>
        <v>0</v>
      </c>
      <c r="AB35" s="3432"/>
      <c r="AC35" s="2638"/>
      <c r="AD35" s="205"/>
      <c r="AF35" s="3432"/>
      <c r="AG35" s="2638"/>
      <c r="AH35" s="205"/>
      <c r="AJ35" s="3432"/>
      <c r="AK35" s="2638"/>
      <c r="AL35" s="205"/>
    </row>
    <row r="36" spans="2:38">
      <c r="B36" s="3537" t="s">
        <v>21</v>
      </c>
      <c r="D36" s="4377">
        <v>1278056</v>
      </c>
      <c r="E36" s="4381">
        <v>31921138</v>
      </c>
      <c r="F36" s="4384">
        <f t="shared" si="3"/>
        <v>4.0037920953820631E-2</v>
      </c>
      <c r="H36" s="2862">
        <v>190000</v>
      </c>
      <c r="I36" s="315">
        <v>28912991</v>
      </c>
      <c r="J36" s="2863">
        <f t="shared" si="36"/>
        <v>6.5714404988401233E-3</v>
      </c>
      <c r="L36" s="2862">
        <v>4997570</v>
      </c>
      <c r="M36" s="315">
        <v>31269766</v>
      </c>
      <c r="N36" s="44">
        <f t="shared" si="5"/>
        <v>0.15982115120400964</v>
      </c>
      <c r="P36" s="202">
        <v>343995.8</v>
      </c>
      <c r="Q36" s="35">
        <v>22205000</v>
      </c>
      <c r="R36" s="44">
        <f t="shared" si="37"/>
        <v>1.549181715829768E-2</v>
      </c>
      <c r="T36" s="202">
        <v>914561</v>
      </c>
      <c r="U36" s="35">
        <v>18365000</v>
      </c>
      <c r="V36" s="44">
        <f t="shared" si="38"/>
        <v>4.9799128777566024E-2</v>
      </c>
      <c r="X36" s="202"/>
      <c r="Y36" s="35">
        <v>19112287.580000002</v>
      </c>
      <c r="Z36" s="44">
        <f t="shared" si="39"/>
        <v>0</v>
      </c>
      <c r="AB36" s="3432"/>
      <c r="AC36" s="2638"/>
      <c r="AD36" s="205"/>
      <c r="AF36" s="3432"/>
      <c r="AG36" s="2638"/>
      <c r="AH36" s="205"/>
      <c r="AJ36" s="3432"/>
      <c r="AK36" s="2638"/>
      <c r="AL36" s="205"/>
    </row>
    <row r="37" spans="2:38">
      <c r="B37" s="3537" t="s">
        <v>85</v>
      </c>
      <c r="D37" s="4377"/>
      <c r="E37" s="4381">
        <v>58365761</v>
      </c>
      <c r="F37" s="4384">
        <f t="shared" si="3"/>
        <v>0</v>
      </c>
      <c r="H37" s="2862"/>
      <c r="I37" s="315">
        <v>46668520</v>
      </c>
      <c r="J37" s="2863">
        <f t="shared" si="36"/>
        <v>0</v>
      </c>
      <c r="L37" s="2862"/>
      <c r="M37" s="315">
        <v>46464129</v>
      </c>
      <c r="N37" s="44">
        <f t="shared" si="5"/>
        <v>0</v>
      </c>
      <c r="P37" s="202">
        <v>8880402.0399999991</v>
      </c>
      <c r="Q37" s="35">
        <v>5813000</v>
      </c>
      <c r="R37" s="44">
        <f t="shared" si="37"/>
        <v>1.5276796903492171</v>
      </c>
      <c r="T37" s="202"/>
      <c r="U37" s="35">
        <v>11104000</v>
      </c>
      <c r="V37" s="44">
        <f t="shared" si="38"/>
        <v>0</v>
      </c>
      <c r="X37" s="202">
        <v>211200</v>
      </c>
      <c r="Y37" s="35">
        <v>37451293</v>
      </c>
      <c r="Z37" s="44">
        <f t="shared" si="39"/>
        <v>5.6393246556267094E-3</v>
      </c>
      <c r="AB37" s="3432"/>
      <c r="AC37" s="2638"/>
      <c r="AD37" s="205"/>
      <c r="AF37" s="3432"/>
      <c r="AG37" s="2638"/>
      <c r="AH37" s="205"/>
      <c r="AJ37" s="3432"/>
      <c r="AK37" s="2638"/>
      <c r="AL37" s="205"/>
    </row>
    <row r="38" spans="2:38">
      <c r="B38" s="3537" t="s">
        <v>86</v>
      </c>
      <c r="D38" s="4377"/>
      <c r="E38" s="4381">
        <v>13718487</v>
      </c>
      <c r="F38" s="4384">
        <f t="shared" si="3"/>
        <v>0</v>
      </c>
      <c r="H38" s="2862"/>
      <c r="I38" s="315">
        <v>13073028</v>
      </c>
      <c r="J38" s="2863">
        <f t="shared" si="36"/>
        <v>0</v>
      </c>
      <c r="L38" s="2862">
        <v>12000000</v>
      </c>
      <c r="M38" s="315">
        <v>13851143</v>
      </c>
      <c r="N38" s="44">
        <f t="shared" si="5"/>
        <v>0.86635449507668794</v>
      </c>
      <c r="P38" s="202"/>
      <c r="Q38" s="35">
        <v>38500000</v>
      </c>
      <c r="R38" s="44">
        <f>+P38/Q38</f>
        <v>0</v>
      </c>
      <c r="T38" s="202"/>
      <c r="U38" s="35">
        <v>40985000</v>
      </c>
      <c r="V38" s="44">
        <f>+T38/U38</f>
        <v>0</v>
      </c>
      <c r="X38" s="202"/>
      <c r="Y38" s="35">
        <v>11025917.080000002</v>
      </c>
      <c r="Z38" s="44">
        <f>+X38/Y38</f>
        <v>0</v>
      </c>
      <c r="AB38" s="3432"/>
      <c r="AC38" s="2638"/>
      <c r="AD38" s="3434"/>
      <c r="AF38" s="3432"/>
      <c r="AG38" s="2638"/>
      <c r="AH38" s="3434"/>
      <c r="AJ38" s="3432"/>
      <c r="AK38" s="2638"/>
      <c r="AL38" s="3434"/>
    </row>
    <row r="39" spans="2:38">
      <c r="B39" s="3538" t="s">
        <v>48</v>
      </c>
      <c r="D39" s="4378">
        <v>3830861.6</v>
      </c>
      <c r="E39" s="4382">
        <v>159080884</v>
      </c>
      <c r="F39" s="4385">
        <f t="shared" si="3"/>
        <v>2.4081218960286893E-2</v>
      </c>
      <c r="H39" s="2864">
        <f>SUM(H34:H38)</f>
        <v>1219998</v>
      </c>
      <c r="I39" s="2868">
        <f>SUM(I34:I38)</f>
        <v>132096093</v>
      </c>
      <c r="J39" s="2865">
        <f t="shared" si="36"/>
        <v>9.2356857216057096E-3</v>
      </c>
      <c r="L39" s="2864">
        <f>SUM(L34:L38)</f>
        <v>18689210</v>
      </c>
      <c r="M39" s="2868">
        <f>SUM(M34:M38)</f>
        <v>134980502</v>
      </c>
      <c r="N39" s="1921">
        <f t="shared" si="5"/>
        <v>0.13845859011548201</v>
      </c>
      <c r="P39" s="1920">
        <f>SUM(P34:P38)</f>
        <v>10342154.819999998</v>
      </c>
      <c r="Q39" s="1920">
        <f>SUM(Q34:Q38)</f>
        <v>115265000</v>
      </c>
      <c r="R39" s="1921">
        <f>+P39/Q39</f>
        <v>8.9725023380904864E-2</v>
      </c>
      <c r="T39" s="1920">
        <f>SUM(T34:T38)</f>
        <v>2629259</v>
      </c>
      <c r="U39" s="1920">
        <f>SUM(U34:U38)</f>
        <v>113575000</v>
      </c>
      <c r="V39" s="1921">
        <f>+T39/U39</f>
        <v>2.3149980189302224E-2</v>
      </c>
      <c r="X39" s="1920">
        <v>923719.05</v>
      </c>
      <c r="Y39" s="1920">
        <v>104644662.27</v>
      </c>
      <c r="Z39" s="1921">
        <f>+X39/Y39</f>
        <v>8.8271970109345555E-3</v>
      </c>
      <c r="AB39" s="2864">
        <v>273290</v>
      </c>
      <c r="AC39" s="2864">
        <v>228732064</v>
      </c>
      <c r="AD39" s="2865">
        <f>+AB39/AC39</f>
        <v>1.1948040655987784E-3</v>
      </c>
      <c r="AF39" s="2864">
        <v>150000</v>
      </c>
      <c r="AG39" s="2864">
        <f>27832740+16353894+16215022+15834750+58495056</f>
        <v>134731462</v>
      </c>
      <c r="AH39" s="2865">
        <f>+AF39/AG39</f>
        <v>1.1133257056172967E-3</v>
      </c>
      <c r="AJ39" s="2864">
        <v>0</v>
      </c>
      <c r="AK39" s="2864">
        <v>84737000</v>
      </c>
      <c r="AL39" s="2865">
        <f>+AJ39/AK39</f>
        <v>0</v>
      </c>
    </row>
    <row r="40" spans="2:38">
      <c r="B40" s="191"/>
      <c r="D40" s="2"/>
      <c r="E40" s="2"/>
      <c r="F40" s="4386"/>
      <c r="H40" s="1"/>
      <c r="I40" s="1"/>
      <c r="J40" s="335"/>
      <c r="L40" s="1"/>
      <c r="M40" s="1"/>
      <c r="P40" s="36"/>
      <c r="Q40" s="36"/>
      <c r="T40" s="36"/>
      <c r="U40" s="36"/>
      <c r="X40" s="36"/>
      <c r="Y40" s="36"/>
      <c r="AB40" s="36"/>
      <c r="AC40" s="36"/>
      <c r="AD40" s="45"/>
      <c r="AF40" s="36"/>
      <c r="AG40" s="36"/>
      <c r="AH40" s="45"/>
      <c r="AJ40" s="36"/>
      <c r="AK40" s="36"/>
      <c r="AL40" s="45"/>
    </row>
    <row r="41" spans="2:38">
      <c r="B41" s="3546" t="s">
        <v>87</v>
      </c>
      <c r="D41" s="4379">
        <v>0</v>
      </c>
      <c r="E41" s="4383">
        <v>932936364</v>
      </c>
      <c r="F41" s="4385">
        <f t="shared" si="3"/>
        <v>0</v>
      </c>
      <c r="H41" s="3407">
        <v>1200000</v>
      </c>
      <c r="I41" s="3407">
        <f>2051348369-1218424620</f>
        <v>832923749</v>
      </c>
      <c r="J41" s="3225">
        <f>H41/I41</f>
        <v>1.4407081097647992E-3</v>
      </c>
      <c r="L41" s="3407">
        <v>1834000</v>
      </c>
      <c r="M41" s="3407">
        <f>2167021373-1321737579</f>
        <v>845283794</v>
      </c>
      <c r="N41" s="1927">
        <f t="shared" si="5"/>
        <v>2.1696855103790148E-3</v>
      </c>
      <c r="P41" s="1926">
        <v>22600041.18</v>
      </c>
      <c r="Q41" s="1926">
        <v>793537000</v>
      </c>
      <c r="R41" s="1927">
        <f>+P41/Q41</f>
        <v>2.848013536860915E-2</v>
      </c>
      <c r="T41" s="1926">
        <v>1366806</v>
      </c>
      <c r="U41" s="1926">
        <v>798806000</v>
      </c>
      <c r="V41" s="1927">
        <f>+T41/U41</f>
        <v>1.7110612589289515E-3</v>
      </c>
      <c r="X41" s="1926">
        <v>1730989.5</v>
      </c>
      <c r="Y41" s="1926">
        <v>671387122</v>
      </c>
      <c r="Z41" s="1927">
        <f>+X41/Y41</f>
        <v>2.5782286303668482E-3</v>
      </c>
      <c r="AB41" s="1926">
        <v>1322012</v>
      </c>
      <c r="AC41" s="1926">
        <v>603101943</v>
      </c>
      <c r="AD41" s="1927">
        <f>+AB41/AC41</f>
        <v>2.1920207940699672E-3</v>
      </c>
      <c r="AF41" s="1926">
        <v>3321700.31</v>
      </c>
      <c r="AG41" s="1926">
        <v>640566516</v>
      </c>
      <c r="AH41" s="1927">
        <f>+AF41/AG41</f>
        <v>5.18556656807831E-3</v>
      </c>
      <c r="AJ41" s="1926">
        <v>4944450.1400000006</v>
      </c>
      <c r="AK41" s="1926">
        <v>478933000</v>
      </c>
      <c r="AL41" s="1927">
        <f>+AJ41/AK41</f>
        <v>1.0323886931992576E-2</v>
      </c>
    </row>
    <row r="42" spans="2:38">
      <c r="B42" s="237"/>
      <c r="D42" s="36"/>
      <c r="E42" s="36"/>
      <c r="F42" s="333"/>
      <c r="H42" s="1"/>
      <c r="I42" s="1"/>
      <c r="J42" s="335"/>
      <c r="L42" s="1"/>
      <c r="M42" s="1"/>
      <c r="P42" s="36"/>
      <c r="Q42" s="36"/>
      <c r="T42" s="36"/>
      <c r="U42" s="36"/>
      <c r="X42" s="36"/>
      <c r="Y42" s="36"/>
      <c r="AB42" s="36"/>
      <c r="AC42" s="36"/>
      <c r="AD42" s="45"/>
      <c r="AF42" s="36"/>
      <c r="AG42" s="36"/>
      <c r="AH42" s="45"/>
      <c r="AI42" s="191"/>
      <c r="AJ42" s="36"/>
      <c r="AK42" s="36"/>
      <c r="AL42" s="45"/>
    </row>
    <row r="43" spans="2:38" s="1" customFormat="1">
      <c r="B43" s="3547" t="s">
        <v>67</v>
      </c>
      <c r="C43"/>
      <c r="D43" s="4379">
        <f>SUM(D11,D18,D25,D32,D39,D41)</f>
        <v>83281762.979999989</v>
      </c>
      <c r="E43" s="4383">
        <v>7097007002</v>
      </c>
      <c r="F43" s="4387">
        <f t="shared" si="3"/>
        <v>1.1734772553631473E-2</v>
      </c>
      <c r="G43"/>
      <c r="H43" s="3407">
        <f>H11+H18+H25+H39+H32+H41</f>
        <v>92874234.700000003</v>
      </c>
      <c r="I43" s="3407">
        <f>I11+I18+I25+I39+I32+I41</f>
        <v>6654125955</v>
      </c>
      <c r="J43" s="3225">
        <f>H43/I43</f>
        <v>1.3957390546569538E-2</v>
      </c>
      <c r="L43" s="3407">
        <f>L11+L18+L25+L39+L32+L41</f>
        <v>215376861.76000002</v>
      </c>
      <c r="M43" s="3407">
        <f>M11+M18+M25+M39+M32+M41</f>
        <v>6728066748</v>
      </c>
      <c r="N43" s="1930">
        <f t="shared" si="5"/>
        <v>3.2011701106268518E-2</v>
      </c>
      <c r="P43" s="1928">
        <f>+P32+P41+P25+P18+P11+P39</f>
        <v>254983589.42999998</v>
      </c>
      <c r="Q43" s="1928">
        <f>SUM(Q11,Q18,Q25,Q32,Q39,Q41)</f>
        <v>6245382000</v>
      </c>
      <c r="R43" s="1930">
        <f>+P43/Q43</f>
        <v>4.0827540962266193E-2</v>
      </c>
      <c r="T43" s="1928">
        <f>+T32+T41+T25+T18+T11+T39</f>
        <v>189295263.92000002</v>
      </c>
      <c r="U43" s="1928">
        <f>SUM(U11,U18,U25,U32,U39,U41)</f>
        <v>6014979000</v>
      </c>
      <c r="V43" s="1930">
        <f>+T43/U43</f>
        <v>3.1470644190112716E-2</v>
      </c>
      <c r="X43" s="1928">
        <f>+X32+X41+X25+X18+X11+X39</f>
        <v>76749971.540000007</v>
      </c>
      <c r="Y43" s="1928">
        <f>SUM(Y11,Y18,Y25,Y32,Y39,Y41)</f>
        <v>5528317800</v>
      </c>
      <c r="Z43" s="1930">
        <f>+X43/Y43</f>
        <v>1.3883060691626665E-2</v>
      </c>
      <c r="AB43" s="1926">
        <f>+AB32+AB41+AB25+AB18+AB11+AB39</f>
        <v>172910090.64000002</v>
      </c>
      <c r="AC43" s="1926">
        <f>SUM(AC11,AC18,AC25,AC32,AC39,AC41)</f>
        <v>5255435241</v>
      </c>
      <c r="AD43" s="1927">
        <f>+AB43/AC43</f>
        <v>3.2901193281015262E-2</v>
      </c>
      <c r="AE43"/>
      <c r="AF43" s="1926">
        <f>+AF32+AF41+AF25+AF18+AF11+AF39</f>
        <v>169879011.20000002</v>
      </c>
      <c r="AG43" s="1926">
        <f>SUM(AG11,AG18,AG25,AG32,AG39,AG41)</f>
        <v>5036665437</v>
      </c>
      <c r="AH43" s="1927">
        <f>+AF43/AG43</f>
        <v>3.3728468433111856E-2</v>
      </c>
      <c r="AI43" s="191"/>
      <c r="AJ43" s="1926">
        <f>+AJ32+AJ41+AJ25+AJ18+AJ11</f>
        <v>189138875.84000003</v>
      </c>
      <c r="AK43" s="1926">
        <f>SUM(AK11,AK18,AK25,AK32,AK39,AK41)</f>
        <v>4155479000</v>
      </c>
      <c r="AL43" s="1927">
        <f>+AJ43/AK43</f>
        <v>4.5515541250479193E-2</v>
      </c>
    </row>
    <row r="45" spans="2:38">
      <c r="B45" s="74" t="s">
        <v>2753</v>
      </c>
      <c r="H45" s="761" t="s">
        <v>2753</v>
      </c>
      <c r="L45" s="761" t="s">
        <v>2753</v>
      </c>
      <c r="AG45" s="2"/>
      <c r="AL45" s="39"/>
    </row>
    <row r="46" spans="2:38">
      <c r="AG46" s="2"/>
      <c r="AL46" s="39"/>
    </row>
    <row r="47" spans="2:38">
      <c r="AG47" s="2"/>
      <c r="AL47" s="39"/>
    </row>
    <row r="48" spans="2:38">
      <c r="AB48" s="1"/>
      <c r="AC48" s="1"/>
      <c r="AD48" s="1"/>
      <c r="AE48" s="1"/>
      <c r="AG48" s="2"/>
      <c r="AL48" s="39"/>
    </row>
    <row r="49" spans="33:38">
      <c r="AG49" s="2"/>
      <c r="AL49" s="39"/>
    </row>
    <row r="50" spans="33:38">
      <c r="AG50" s="2"/>
      <c r="AL50" s="39"/>
    </row>
    <row r="51" spans="33:38">
      <c r="AG51" s="2"/>
      <c r="AL51" s="39"/>
    </row>
    <row r="52" spans="33:38">
      <c r="AG52" s="2"/>
      <c r="AL52" s="39"/>
    </row>
    <row r="53" spans="33:38">
      <c r="AG53" s="2"/>
      <c r="AL53" s="39"/>
    </row>
    <row r="54" spans="33:38">
      <c r="AG54" s="2"/>
      <c r="AL54" s="39"/>
    </row>
    <row r="55" spans="33:38">
      <c r="AG55" s="2"/>
      <c r="AL55" s="39"/>
    </row>
    <row r="56" spans="33:38">
      <c r="AG56" s="2"/>
      <c r="AL56" s="39"/>
    </row>
    <row r="57" spans="33:38">
      <c r="AG57" s="2"/>
      <c r="AL57" s="39"/>
    </row>
    <row r="58" spans="33:38">
      <c r="AG58" s="2"/>
      <c r="AL58" s="39"/>
    </row>
    <row r="59" spans="33:38">
      <c r="AG59" s="2"/>
      <c r="AL59" s="39"/>
    </row>
    <row r="60" spans="33:38">
      <c r="AG60" s="2"/>
      <c r="AL60" s="39"/>
    </row>
    <row r="61" spans="33:38">
      <c r="AG61" s="2"/>
      <c r="AL61" s="39"/>
    </row>
  </sheetData>
  <mergeCells count="7">
    <mergeCell ref="B3:B4"/>
    <mergeCell ref="AJ2:AL2"/>
    <mergeCell ref="P2:R2"/>
    <mergeCell ref="T2:V2"/>
    <mergeCell ref="X2:Z2"/>
    <mergeCell ref="AB2:AD2"/>
    <mergeCell ref="AF2:AH2"/>
  </mergeCells>
  <pageMargins left="0.7" right="0.7" top="0.75" bottom="0.75" header="0.3" footer="0.3"/>
  <pageSetup scale="69" orientation="landscape" r:id="rId1"/>
  <drawing r:id="rId2"/>
</worksheet>
</file>

<file path=xl/worksheets/sheet35.xml><?xml version="1.0" encoding="utf-8"?>
<worksheet xmlns="http://schemas.openxmlformats.org/spreadsheetml/2006/main" xmlns:r="http://schemas.openxmlformats.org/officeDocument/2006/relationships">
  <sheetPr>
    <tabColor theme="4" tint="-0.499984740745262"/>
    <pageSetUpPr fitToPage="1"/>
  </sheetPr>
  <dimension ref="A1:AC85"/>
  <sheetViews>
    <sheetView workbookViewId="0">
      <pane xSplit="2" ySplit="3" topLeftCell="S4" activePane="bottomRight" state="frozen"/>
      <selection pane="topRight" activeCell="D1" sqref="D1"/>
      <selection pane="bottomLeft" activeCell="A5" sqref="A5"/>
      <selection pane="bottomRight" activeCell="Z82" sqref="Z82"/>
    </sheetView>
  </sheetViews>
  <sheetFormatPr baseColWidth="10" defaultRowHeight="15"/>
  <cols>
    <col min="1" max="1" width="2.7109375" style="237" customWidth="1"/>
    <col min="2" max="2" width="48" customWidth="1"/>
    <col min="3" max="3" width="12" bestFit="1" customWidth="1"/>
    <col min="4" max="4" width="10.7109375" customWidth="1"/>
    <col min="5" max="5" width="6.7109375" customWidth="1"/>
    <col min="6" max="6" width="12" bestFit="1" customWidth="1"/>
    <col min="7" max="7" width="10.7109375" customWidth="1"/>
    <col min="8" max="8" width="6.7109375" customWidth="1"/>
    <col min="9" max="9" width="12" bestFit="1" customWidth="1"/>
    <col min="10" max="10" width="10.7109375" customWidth="1"/>
    <col min="11" max="11" width="6.7109375" customWidth="1"/>
    <col min="12" max="12" width="12" bestFit="1" customWidth="1"/>
    <col min="13" max="13" width="10.7109375" style="191" customWidth="1"/>
    <col min="14" max="14" width="6.7109375" style="191" customWidth="1"/>
    <col min="15" max="15" width="12" style="237" bestFit="1" customWidth="1"/>
    <col min="16" max="16" width="10.7109375" customWidth="1"/>
    <col min="17" max="17" width="6.7109375" customWidth="1"/>
    <col min="18" max="18" width="12.42578125" customWidth="1"/>
    <col min="20" max="20" width="8" customWidth="1"/>
    <col min="21" max="21" width="12.5703125" customWidth="1"/>
    <col min="23" max="23" width="8" customWidth="1"/>
    <col min="24" max="24" width="12.28515625" customWidth="1"/>
    <col min="26" max="26" width="8" customWidth="1"/>
    <col min="27" max="27" width="12.28515625" customWidth="1"/>
    <col min="29" max="29" width="8" customWidth="1"/>
  </cols>
  <sheetData>
    <row r="1" spans="1:29" ht="75">
      <c r="B1" s="4242" t="s">
        <v>2487</v>
      </c>
      <c r="C1" s="472"/>
      <c r="D1" s="472"/>
      <c r="E1" s="472"/>
      <c r="F1" s="472"/>
      <c r="G1" s="472"/>
      <c r="H1" s="472"/>
      <c r="I1" s="472"/>
      <c r="J1" s="472"/>
      <c r="K1" s="472"/>
      <c r="L1" s="472"/>
      <c r="M1" s="237"/>
      <c r="N1" s="237"/>
      <c r="O1" s="471"/>
    </row>
    <row r="2" spans="1:29">
      <c r="C2" s="5264">
        <v>2010</v>
      </c>
      <c r="D2" s="5265"/>
      <c r="E2" s="5266"/>
      <c r="F2" s="5264">
        <v>2011</v>
      </c>
      <c r="G2" s="5265"/>
      <c r="H2" s="5266"/>
      <c r="I2" s="5264">
        <v>2012</v>
      </c>
      <c r="J2" s="5265"/>
      <c r="K2" s="5266"/>
      <c r="L2" s="5264">
        <v>2013</v>
      </c>
      <c r="M2" s="5265"/>
      <c r="N2" s="5266"/>
      <c r="O2" s="5264">
        <v>2014</v>
      </c>
      <c r="P2" s="5265"/>
      <c r="Q2" s="5266"/>
      <c r="R2" s="5264">
        <v>2015</v>
      </c>
      <c r="S2" s="5265"/>
      <c r="T2" s="5266"/>
      <c r="U2" s="5264">
        <v>2016</v>
      </c>
      <c r="V2" s="5265"/>
      <c r="W2" s="5266"/>
      <c r="X2" s="5264">
        <v>2017</v>
      </c>
      <c r="Y2" s="5265"/>
      <c r="Z2" s="5266"/>
      <c r="AA2" s="5264">
        <v>2018</v>
      </c>
      <c r="AB2" s="5265"/>
      <c r="AC2" s="5266"/>
    </row>
    <row r="3" spans="1:29" s="1" customFormat="1" ht="51.75" thickBot="1">
      <c r="A3" s="237"/>
      <c r="B3" s="4293" t="s">
        <v>2868</v>
      </c>
      <c r="C3" s="4297" t="s">
        <v>1146</v>
      </c>
      <c r="D3" s="4290" t="s">
        <v>1147</v>
      </c>
      <c r="E3" s="4332" t="s">
        <v>76</v>
      </c>
      <c r="F3" s="4297" t="s">
        <v>1146</v>
      </c>
      <c r="G3" s="4290" t="s">
        <v>1147</v>
      </c>
      <c r="H3" s="4332" t="s">
        <v>76</v>
      </c>
      <c r="I3" s="4297" t="s">
        <v>1146</v>
      </c>
      <c r="J3" s="4290" t="s">
        <v>1147</v>
      </c>
      <c r="K3" s="4332" t="s">
        <v>76</v>
      </c>
      <c r="L3" s="4297" t="s">
        <v>1146</v>
      </c>
      <c r="M3" s="4290" t="s">
        <v>1147</v>
      </c>
      <c r="N3" s="4332" t="s">
        <v>76</v>
      </c>
      <c r="O3" s="4297" t="s">
        <v>1146</v>
      </c>
      <c r="P3" s="4290" t="s">
        <v>1147</v>
      </c>
      <c r="Q3" s="4332" t="s">
        <v>76</v>
      </c>
      <c r="R3" s="4297" t="s">
        <v>1146</v>
      </c>
      <c r="S3" s="4290" t="s">
        <v>1147</v>
      </c>
      <c r="T3" s="4332" t="s">
        <v>76</v>
      </c>
      <c r="U3" s="4297" t="s">
        <v>1146</v>
      </c>
      <c r="V3" s="4290" t="s">
        <v>1147</v>
      </c>
      <c r="W3" s="4332" t="s">
        <v>76</v>
      </c>
      <c r="X3" s="4297" t="s">
        <v>1146</v>
      </c>
      <c r="Y3" s="4290" t="s">
        <v>1147</v>
      </c>
      <c r="Z3" s="4332" t="s">
        <v>76</v>
      </c>
      <c r="AA3" s="4297" t="s">
        <v>1146</v>
      </c>
      <c r="AB3" s="4290" t="s">
        <v>1147</v>
      </c>
      <c r="AC3" s="4332" t="s">
        <v>76</v>
      </c>
    </row>
    <row r="4" spans="1:29" s="1" customFormat="1">
      <c r="A4" s="237"/>
      <c r="B4" s="4291" t="s">
        <v>1150</v>
      </c>
      <c r="C4" s="4294">
        <v>232</v>
      </c>
      <c r="D4" s="4295">
        <v>134</v>
      </c>
      <c r="E4" s="4296">
        <f>C4/D4</f>
        <v>1.7313432835820894</v>
      </c>
      <c r="F4" s="4294">
        <v>277</v>
      </c>
      <c r="G4" s="4295">
        <v>136</v>
      </c>
      <c r="H4" s="4296">
        <f>F4/G4</f>
        <v>2.0367647058823528</v>
      </c>
      <c r="I4" s="4294">
        <v>258</v>
      </c>
      <c r="J4" s="4295">
        <v>139</v>
      </c>
      <c r="K4" s="4296">
        <f>I4/J4</f>
        <v>1.8561151079136691</v>
      </c>
      <c r="L4" s="4294">
        <v>361</v>
      </c>
      <c r="M4" s="4295">
        <v>139</v>
      </c>
      <c r="N4" s="4296">
        <f>L4/M4</f>
        <v>2.5971223021582732</v>
      </c>
      <c r="O4" s="4294">
        <v>341</v>
      </c>
      <c r="P4" s="4295">
        <v>145</v>
      </c>
      <c r="Q4" s="4296">
        <f>O4/P4</f>
        <v>2.3517241379310345</v>
      </c>
      <c r="R4" s="4294">
        <v>529</v>
      </c>
      <c r="S4" s="4295">
        <v>143</v>
      </c>
      <c r="T4" s="4296">
        <f>R4/S4</f>
        <v>3.6993006993006992</v>
      </c>
      <c r="U4" s="4294">
        <v>347</v>
      </c>
      <c r="V4" s="4295">
        <v>142</v>
      </c>
      <c r="W4" s="4296">
        <f>U4/V4</f>
        <v>2.443661971830986</v>
      </c>
      <c r="X4" s="4294">
        <v>324</v>
      </c>
      <c r="Y4" s="4289">
        <v>142</v>
      </c>
      <c r="Z4" s="4296">
        <f>X4/Y4</f>
        <v>2.2816901408450705</v>
      </c>
      <c r="AA4" s="4294">
        <v>284</v>
      </c>
      <c r="AB4" s="4289">
        <v>143</v>
      </c>
      <c r="AC4" s="4296">
        <f>AA4/AB4</f>
        <v>1.986013986013986</v>
      </c>
    </row>
    <row r="5" spans="1:29" s="1" customFormat="1">
      <c r="A5" s="237"/>
      <c r="B5" s="1545" t="s">
        <v>1151</v>
      </c>
      <c r="C5" s="2452">
        <v>36</v>
      </c>
      <c r="D5" s="2453">
        <v>52</v>
      </c>
      <c r="E5" s="1547">
        <f t="shared" ref="E5:E68" si="0">C5/D5</f>
        <v>0.69230769230769229</v>
      </c>
      <c r="F5" s="2452">
        <v>77</v>
      </c>
      <c r="G5" s="2453">
        <v>52</v>
      </c>
      <c r="H5" s="1547">
        <f t="shared" ref="H5:H68" si="1">F5/G5</f>
        <v>1.4807692307692308</v>
      </c>
      <c r="I5" s="2452">
        <v>32</v>
      </c>
      <c r="J5" s="2453">
        <v>52</v>
      </c>
      <c r="K5" s="1547">
        <f t="shared" ref="K5:K68" si="2">I5/J5</f>
        <v>0.61538461538461542</v>
      </c>
      <c r="L5" s="2452">
        <v>61</v>
      </c>
      <c r="M5" s="2453">
        <v>51</v>
      </c>
      <c r="N5" s="1547">
        <f t="shared" ref="N5:N68" si="3">L5/M5</f>
        <v>1.196078431372549</v>
      </c>
      <c r="O5" s="2452">
        <v>38</v>
      </c>
      <c r="P5" s="2453">
        <v>53</v>
      </c>
      <c r="Q5" s="1547">
        <f t="shared" ref="Q5:Q68" si="4">O5/P5</f>
        <v>0.71698113207547165</v>
      </c>
      <c r="R5" s="2452">
        <v>42</v>
      </c>
      <c r="S5" s="2453">
        <v>56</v>
      </c>
      <c r="T5" s="1547">
        <f t="shared" ref="T5:T52" si="5">R5/S5</f>
        <v>0.75</v>
      </c>
      <c r="U5" s="2452">
        <v>90</v>
      </c>
      <c r="V5" s="2453">
        <v>54</v>
      </c>
      <c r="W5" s="1547">
        <f t="shared" ref="W5:W52" si="6">U5/V5</f>
        <v>1.6666666666666667</v>
      </c>
      <c r="X5" s="2452">
        <v>105</v>
      </c>
      <c r="Y5" s="2056">
        <v>56</v>
      </c>
      <c r="Z5" s="1547">
        <f t="shared" ref="Z5:Z52" si="7">X5/Y5</f>
        <v>1.875</v>
      </c>
      <c r="AA5" s="2452">
        <v>114</v>
      </c>
      <c r="AB5" s="2056">
        <v>55</v>
      </c>
      <c r="AC5" s="1547">
        <f t="shared" ref="AC5:AC52" si="8">AA5/AB5</f>
        <v>2.0727272727272728</v>
      </c>
    </row>
    <row r="6" spans="1:29" s="1" customFormat="1">
      <c r="A6" s="237"/>
      <c r="B6" s="1545" t="s">
        <v>1152</v>
      </c>
      <c r="C6" s="2452">
        <v>111</v>
      </c>
      <c r="D6" s="2453">
        <v>64</v>
      </c>
      <c r="E6" s="1547">
        <f t="shared" si="0"/>
        <v>1.734375</v>
      </c>
      <c r="F6" s="2452">
        <v>109</v>
      </c>
      <c r="G6" s="2453">
        <v>62</v>
      </c>
      <c r="H6" s="1547">
        <f t="shared" si="1"/>
        <v>1.7580645161290323</v>
      </c>
      <c r="I6" s="2452">
        <v>70</v>
      </c>
      <c r="J6" s="2453">
        <v>63</v>
      </c>
      <c r="K6" s="1547">
        <f t="shared" si="2"/>
        <v>1.1111111111111112</v>
      </c>
      <c r="L6" s="2452">
        <v>60</v>
      </c>
      <c r="M6" s="2453">
        <v>64</v>
      </c>
      <c r="N6" s="1547">
        <f t="shared" si="3"/>
        <v>0.9375</v>
      </c>
      <c r="O6" s="2452">
        <v>93</v>
      </c>
      <c r="P6" s="2453">
        <v>66</v>
      </c>
      <c r="Q6" s="1547">
        <f t="shared" si="4"/>
        <v>1.4090909090909092</v>
      </c>
      <c r="R6" s="2452">
        <v>123</v>
      </c>
      <c r="S6" s="2453">
        <v>61</v>
      </c>
      <c r="T6" s="1547">
        <f t="shared" si="5"/>
        <v>2.0163934426229506</v>
      </c>
      <c r="U6" s="2452">
        <v>176</v>
      </c>
      <c r="V6" s="2453">
        <v>60</v>
      </c>
      <c r="W6" s="1547">
        <f t="shared" si="6"/>
        <v>2.9333333333333331</v>
      </c>
      <c r="X6" s="2452">
        <v>169</v>
      </c>
      <c r="Y6" s="2056">
        <v>62</v>
      </c>
      <c r="Z6" s="1547">
        <f t="shared" si="7"/>
        <v>2.725806451612903</v>
      </c>
      <c r="AA6" s="2452">
        <v>163</v>
      </c>
      <c r="AB6" s="2056">
        <v>65</v>
      </c>
      <c r="AC6" s="1547">
        <f t="shared" si="8"/>
        <v>2.5076923076923077</v>
      </c>
    </row>
    <row r="7" spans="1:29" s="1" customFormat="1">
      <c r="A7" s="237"/>
      <c r="B7" s="1545" t="s">
        <v>1153</v>
      </c>
      <c r="C7" s="2452">
        <v>61</v>
      </c>
      <c r="D7" s="2453">
        <v>50</v>
      </c>
      <c r="E7" s="1547">
        <f t="shared" si="0"/>
        <v>1.22</v>
      </c>
      <c r="F7" s="2452">
        <v>118</v>
      </c>
      <c r="G7" s="2453">
        <v>51</v>
      </c>
      <c r="H7" s="1547">
        <f t="shared" si="1"/>
        <v>2.3137254901960786</v>
      </c>
      <c r="I7" s="2452">
        <v>85</v>
      </c>
      <c r="J7" s="2453">
        <v>49</v>
      </c>
      <c r="K7" s="1547">
        <f t="shared" si="2"/>
        <v>1.7346938775510203</v>
      </c>
      <c r="L7" s="2452">
        <v>94</v>
      </c>
      <c r="M7" s="2453">
        <v>51</v>
      </c>
      <c r="N7" s="1547">
        <f t="shared" si="3"/>
        <v>1.8431372549019607</v>
      </c>
      <c r="O7" s="2452">
        <v>69</v>
      </c>
      <c r="P7" s="2453">
        <v>51</v>
      </c>
      <c r="Q7" s="1547">
        <f t="shared" si="4"/>
        <v>1.3529411764705883</v>
      </c>
      <c r="R7" s="2452">
        <v>94</v>
      </c>
      <c r="S7" s="2453">
        <v>50</v>
      </c>
      <c r="T7" s="1547">
        <f t="shared" si="5"/>
        <v>1.88</v>
      </c>
      <c r="U7" s="2452">
        <v>96</v>
      </c>
      <c r="V7" s="2453">
        <v>49</v>
      </c>
      <c r="W7" s="1547">
        <f t="shared" si="6"/>
        <v>1.9591836734693877</v>
      </c>
      <c r="X7" s="2452">
        <v>83</v>
      </c>
      <c r="Y7" s="2056">
        <v>50</v>
      </c>
      <c r="Z7" s="1547">
        <f t="shared" si="7"/>
        <v>1.66</v>
      </c>
      <c r="AA7" s="2452">
        <v>86</v>
      </c>
      <c r="AB7" s="2056">
        <v>50</v>
      </c>
      <c r="AC7" s="1547">
        <f t="shared" si="8"/>
        <v>1.72</v>
      </c>
    </row>
    <row r="8" spans="1:29" s="1" customFormat="1">
      <c r="A8" s="237"/>
      <c r="B8" s="1555" t="s">
        <v>1154</v>
      </c>
      <c r="C8" s="2454">
        <v>45</v>
      </c>
      <c r="D8" s="2455">
        <v>42</v>
      </c>
      <c r="E8" s="1558">
        <f t="shared" si="0"/>
        <v>1.0714285714285714</v>
      </c>
      <c r="F8" s="2454">
        <v>49</v>
      </c>
      <c r="G8" s="2455">
        <v>41</v>
      </c>
      <c r="H8" s="1558">
        <f t="shared" si="1"/>
        <v>1.1951219512195121</v>
      </c>
      <c r="I8" s="2454">
        <v>15</v>
      </c>
      <c r="J8" s="2455">
        <v>45</v>
      </c>
      <c r="K8" s="1558">
        <f t="shared" si="2"/>
        <v>0.33333333333333331</v>
      </c>
      <c r="L8" s="2454">
        <v>84</v>
      </c>
      <c r="M8" s="2455">
        <v>44</v>
      </c>
      <c r="N8" s="1558">
        <f t="shared" si="3"/>
        <v>1.9090909090909092</v>
      </c>
      <c r="O8" s="2454">
        <v>45</v>
      </c>
      <c r="P8" s="2455">
        <v>42</v>
      </c>
      <c r="Q8" s="1558">
        <f t="shared" si="4"/>
        <v>1.0714285714285714</v>
      </c>
      <c r="R8" s="2454">
        <v>69</v>
      </c>
      <c r="S8" s="2455">
        <v>41</v>
      </c>
      <c r="T8" s="1558">
        <f t="shared" si="5"/>
        <v>1.6829268292682926</v>
      </c>
      <c r="U8" s="2454">
        <v>80</v>
      </c>
      <c r="V8" s="2455">
        <v>43</v>
      </c>
      <c r="W8" s="1558">
        <f t="shared" si="6"/>
        <v>1.8604651162790697</v>
      </c>
      <c r="X8" s="2454">
        <v>53</v>
      </c>
      <c r="Y8" s="2058">
        <v>45</v>
      </c>
      <c r="Z8" s="1558">
        <f t="shared" si="7"/>
        <v>1.1777777777777778</v>
      </c>
      <c r="AA8" s="2454">
        <v>126</v>
      </c>
      <c r="AB8" s="2058">
        <v>47</v>
      </c>
      <c r="AC8" s="1558">
        <f t="shared" si="8"/>
        <v>2.6808510638297873</v>
      </c>
    </row>
    <row r="9" spans="1:29" s="1" customFormat="1" ht="15" customHeight="1">
      <c r="A9" s="237"/>
      <c r="B9" s="4179" t="s">
        <v>4</v>
      </c>
      <c r="C9" s="2456">
        <v>485</v>
      </c>
      <c r="D9" s="2457">
        <f>SUM(D4:D8)</f>
        <v>342</v>
      </c>
      <c r="E9" s="1561">
        <f t="shared" si="0"/>
        <v>1.4181286549707601</v>
      </c>
      <c r="F9" s="2456">
        <v>630</v>
      </c>
      <c r="G9" s="2457">
        <f t="shared" ref="G9" si="9">SUM(G4:G8)</f>
        <v>342</v>
      </c>
      <c r="H9" s="1561">
        <f t="shared" si="1"/>
        <v>1.8421052631578947</v>
      </c>
      <c r="I9" s="2456">
        <f t="shared" ref="I9" si="10">SUM(I4:I8)</f>
        <v>460</v>
      </c>
      <c r="J9" s="2457">
        <f t="shared" ref="J9" si="11">SUM(J4:J8)</f>
        <v>348</v>
      </c>
      <c r="K9" s="1561">
        <f t="shared" si="2"/>
        <v>1.3218390804597702</v>
      </c>
      <c r="L9" s="2456">
        <f t="shared" ref="L9" si="12">SUM(L4:L8)</f>
        <v>660</v>
      </c>
      <c r="M9" s="2457">
        <f t="shared" ref="M9" si="13">SUM(M4:M8)</f>
        <v>349</v>
      </c>
      <c r="N9" s="1561">
        <f t="shared" si="3"/>
        <v>1.8911174785100286</v>
      </c>
      <c r="O9" s="2456">
        <f t="shared" ref="O9" si="14">SUM(O4:O8)</f>
        <v>586</v>
      </c>
      <c r="P9" s="2457">
        <f t="shared" ref="P9" si="15">SUM(P4:P8)</f>
        <v>357</v>
      </c>
      <c r="Q9" s="1561">
        <f t="shared" si="4"/>
        <v>1.6414565826330532</v>
      </c>
      <c r="R9" s="2456">
        <f>SUM(R4:R8)</f>
        <v>857</v>
      </c>
      <c r="S9" s="2457">
        <v>351</v>
      </c>
      <c r="T9" s="1561">
        <f t="shared" si="5"/>
        <v>2.4415954415954415</v>
      </c>
      <c r="U9" s="2456">
        <v>789</v>
      </c>
      <c r="V9" s="2457">
        <f>SUM(V4:V8)</f>
        <v>348</v>
      </c>
      <c r="W9" s="1561">
        <f t="shared" si="6"/>
        <v>2.2672413793103448</v>
      </c>
      <c r="X9" s="2456">
        <v>734</v>
      </c>
      <c r="Y9" s="2060">
        <f>SUM(Y4:Y8)</f>
        <v>355</v>
      </c>
      <c r="Z9" s="1561">
        <f t="shared" si="7"/>
        <v>2.0676056338028168</v>
      </c>
      <c r="AA9" s="2456">
        <v>773</v>
      </c>
      <c r="AB9" s="2060">
        <v>360</v>
      </c>
      <c r="AC9" s="1561">
        <f t="shared" si="8"/>
        <v>2.1472222222222221</v>
      </c>
    </row>
    <row r="10" spans="1:29" s="1" customFormat="1">
      <c r="A10" s="237"/>
      <c r="B10" s="1541" t="s">
        <v>1155</v>
      </c>
      <c r="C10" s="2458">
        <v>67</v>
      </c>
      <c r="D10" s="2459">
        <v>42</v>
      </c>
      <c r="E10" s="1549">
        <f t="shared" si="0"/>
        <v>1.5952380952380953</v>
      </c>
      <c r="F10" s="2458">
        <v>77</v>
      </c>
      <c r="G10" s="2459">
        <v>44</v>
      </c>
      <c r="H10" s="1549">
        <f t="shared" si="1"/>
        <v>1.75</v>
      </c>
      <c r="I10" s="2458">
        <v>73</v>
      </c>
      <c r="J10" s="2459">
        <v>44</v>
      </c>
      <c r="K10" s="1549">
        <f t="shared" si="2"/>
        <v>1.6590909090909092</v>
      </c>
      <c r="L10" s="2458">
        <v>85</v>
      </c>
      <c r="M10" s="2459">
        <v>43</v>
      </c>
      <c r="N10" s="1549">
        <f t="shared" si="3"/>
        <v>1.9767441860465116</v>
      </c>
      <c r="O10" s="2458">
        <v>104</v>
      </c>
      <c r="P10" s="2459">
        <v>44</v>
      </c>
      <c r="Q10" s="1549">
        <f t="shared" si="4"/>
        <v>2.3636363636363638</v>
      </c>
      <c r="R10" s="2458">
        <v>77</v>
      </c>
      <c r="S10" s="2459">
        <v>43</v>
      </c>
      <c r="T10" s="1549">
        <f t="shared" si="5"/>
        <v>1.7906976744186047</v>
      </c>
      <c r="U10" s="2458">
        <v>61</v>
      </c>
      <c r="V10" s="2459">
        <v>41</v>
      </c>
      <c r="W10" s="1549">
        <f t="shared" si="6"/>
        <v>1.4878048780487805</v>
      </c>
      <c r="X10" s="2458">
        <v>57</v>
      </c>
      <c r="Y10" s="2066">
        <v>45</v>
      </c>
      <c r="Z10" s="1549">
        <f t="shared" si="7"/>
        <v>1.2666666666666666</v>
      </c>
      <c r="AA10" s="2458">
        <v>97</v>
      </c>
      <c r="AB10" s="2066">
        <v>49</v>
      </c>
      <c r="AC10" s="1549">
        <f t="shared" si="8"/>
        <v>1.9795918367346939</v>
      </c>
    </row>
    <row r="11" spans="1:29" s="1" customFormat="1">
      <c r="A11" s="237"/>
      <c r="B11" s="1545" t="s">
        <v>1156</v>
      </c>
      <c r="C11" s="2458">
        <v>65</v>
      </c>
      <c r="D11" s="2459">
        <v>64</v>
      </c>
      <c r="E11" s="1549">
        <f t="shared" si="0"/>
        <v>1.015625</v>
      </c>
      <c r="F11" s="2458">
        <v>77</v>
      </c>
      <c r="G11" s="2459">
        <v>63</v>
      </c>
      <c r="H11" s="1549">
        <f t="shared" si="1"/>
        <v>1.2222222222222223</v>
      </c>
      <c r="I11" s="2458">
        <v>105</v>
      </c>
      <c r="J11" s="2459">
        <v>62</v>
      </c>
      <c r="K11" s="1549">
        <f t="shared" si="2"/>
        <v>1.6935483870967742</v>
      </c>
      <c r="L11" s="2458">
        <v>89</v>
      </c>
      <c r="M11" s="2459">
        <v>73</v>
      </c>
      <c r="N11" s="1549">
        <f t="shared" si="3"/>
        <v>1.2191780821917808</v>
      </c>
      <c r="O11" s="2458">
        <v>59</v>
      </c>
      <c r="P11" s="2459">
        <v>71</v>
      </c>
      <c r="Q11" s="1549">
        <f t="shared" si="4"/>
        <v>0.83098591549295775</v>
      </c>
      <c r="R11" s="2458">
        <v>76</v>
      </c>
      <c r="S11" s="2459">
        <v>71</v>
      </c>
      <c r="T11" s="1549">
        <f t="shared" si="5"/>
        <v>1.0704225352112675</v>
      </c>
      <c r="U11" s="2458">
        <v>71</v>
      </c>
      <c r="V11" s="2459">
        <v>68</v>
      </c>
      <c r="W11" s="1549">
        <f t="shared" si="6"/>
        <v>1.0441176470588236</v>
      </c>
      <c r="X11" s="2458">
        <v>70</v>
      </c>
      <c r="Y11" s="2066">
        <v>70</v>
      </c>
      <c r="Z11" s="1549">
        <f t="shared" si="7"/>
        <v>1</v>
      </c>
      <c r="AA11" s="2458">
        <v>46</v>
      </c>
      <c r="AB11" s="2066">
        <v>72</v>
      </c>
      <c r="AC11" s="1549">
        <f t="shared" si="8"/>
        <v>0.63888888888888884</v>
      </c>
    </row>
    <row r="12" spans="1:29" s="1" customFormat="1">
      <c r="A12" s="237"/>
      <c r="B12" s="1545" t="s">
        <v>1157</v>
      </c>
      <c r="C12" s="2458">
        <v>104</v>
      </c>
      <c r="D12" s="2459">
        <v>71</v>
      </c>
      <c r="E12" s="1549">
        <f t="shared" si="0"/>
        <v>1.4647887323943662</v>
      </c>
      <c r="F12" s="2458">
        <v>133</v>
      </c>
      <c r="G12" s="2459">
        <v>74</v>
      </c>
      <c r="H12" s="1549">
        <f t="shared" si="1"/>
        <v>1.7972972972972974</v>
      </c>
      <c r="I12" s="2458">
        <v>131</v>
      </c>
      <c r="J12" s="2459">
        <v>74</v>
      </c>
      <c r="K12" s="1549">
        <f t="shared" si="2"/>
        <v>1.7702702702702702</v>
      </c>
      <c r="L12" s="2458">
        <v>100</v>
      </c>
      <c r="M12" s="2459">
        <v>76</v>
      </c>
      <c r="N12" s="1549">
        <f t="shared" si="3"/>
        <v>1.3157894736842106</v>
      </c>
      <c r="O12" s="2458">
        <v>89</v>
      </c>
      <c r="P12" s="2459">
        <v>76</v>
      </c>
      <c r="Q12" s="1549">
        <f t="shared" si="4"/>
        <v>1.1710526315789473</v>
      </c>
      <c r="R12" s="2458">
        <v>71</v>
      </c>
      <c r="S12" s="2459">
        <v>74</v>
      </c>
      <c r="T12" s="1549">
        <f t="shared" si="5"/>
        <v>0.95945945945945943</v>
      </c>
      <c r="U12" s="2458">
        <v>100</v>
      </c>
      <c r="V12" s="2459">
        <v>74</v>
      </c>
      <c r="W12" s="1549">
        <f t="shared" si="6"/>
        <v>1.3513513513513513</v>
      </c>
      <c r="X12" s="2458">
        <v>98</v>
      </c>
      <c r="Y12" s="2066">
        <v>78</v>
      </c>
      <c r="Z12" s="1549">
        <f t="shared" si="7"/>
        <v>1.2564102564102564</v>
      </c>
      <c r="AA12" s="2458">
        <v>113</v>
      </c>
      <c r="AB12" s="2066">
        <v>77</v>
      </c>
      <c r="AC12" s="1549">
        <f t="shared" si="8"/>
        <v>1.4675324675324675</v>
      </c>
    </row>
    <row r="13" spans="1:29" s="1" customFormat="1">
      <c r="A13" s="237"/>
      <c r="B13" s="1545" t="s">
        <v>854</v>
      </c>
      <c r="C13" s="2458">
        <v>116</v>
      </c>
      <c r="D13" s="2459">
        <v>56</v>
      </c>
      <c r="E13" s="1549">
        <f t="shared" si="0"/>
        <v>2.0714285714285716</v>
      </c>
      <c r="F13" s="2458">
        <v>106</v>
      </c>
      <c r="G13" s="2459">
        <v>57</v>
      </c>
      <c r="H13" s="1549">
        <f t="shared" si="1"/>
        <v>1.8596491228070176</v>
      </c>
      <c r="I13" s="2458">
        <v>118</v>
      </c>
      <c r="J13" s="2459">
        <v>58</v>
      </c>
      <c r="K13" s="1549">
        <f t="shared" si="2"/>
        <v>2.0344827586206895</v>
      </c>
      <c r="L13" s="2458">
        <v>92</v>
      </c>
      <c r="M13" s="2459">
        <v>58</v>
      </c>
      <c r="N13" s="1549">
        <f t="shared" si="3"/>
        <v>1.5862068965517242</v>
      </c>
      <c r="O13" s="2458">
        <v>95</v>
      </c>
      <c r="P13" s="2459">
        <v>58</v>
      </c>
      <c r="Q13" s="1549">
        <f t="shared" si="4"/>
        <v>1.6379310344827587</v>
      </c>
      <c r="R13" s="2458">
        <v>119</v>
      </c>
      <c r="S13" s="2459">
        <v>56</v>
      </c>
      <c r="T13" s="1549">
        <f t="shared" si="5"/>
        <v>2.125</v>
      </c>
      <c r="U13" s="2458">
        <v>99</v>
      </c>
      <c r="V13" s="2459">
        <v>56</v>
      </c>
      <c r="W13" s="1549">
        <f t="shared" si="6"/>
        <v>1.7678571428571428</v>
      </c>
      <c r="X13" s="2458">
        <v>74</v>
      </c>
      <c r="Y13" s="2066">
        <v>57</v>
      </c>
      <c r="Z13" s="1549">
        <f t="shared" si="7"/>
        <v>1.2982456140350878</v>
      </c>
      <c r="AA13" s="2458">
        <v>102</v>
      </c>
      <c r="AB13" s="2066">
        <v>57</v>
      </c>
      <c r="AC13" s="1549">
        <f t="shared" si="8"/>
        <v>1.7894736842105263</v>
      </c>
    </row>
    <row r="14" spans="1:29" s="1" customFormat="1">
      <c r="A14" s="237"/>
      <c r="B14" s="1545" t="s">
        <v>1158</v>
      </c>
      <c r="C14" s="2460">
        <v>144</v>
      </c>
      <c r="D14" s="2461">
        <v>75</v>
      </c>
      <c r="E14" s="1551">
        <f t="shared" si="0"/>
        <v>1.92</v>
      </c>
      <c r="F14" s="2460">
        <v>80</v>
      </c>
      <c r="G14" s="2461">
        <v>77</v>
      </c>
      <c r="H14" s="1551">
        <f t="shared" si="1"/>
        <v>1.0389610389610389</v>
      </c>
      <c r="I14" s="2460">
        <v>50</v>
      </c>
      <c r="J14" s="2461">
        <v>76</v>
      </c>
      <c r="K14" s="1551">
        <f t="shared" si="2"/>
        <v>0.65789473684210531</v>
      </c>
      <c r="L14" s="2460">
        <v>107</v>
      </c>
      <c r="M14" s="2461">
        <v>76</v>
      </c>
      <c r="N14" s="1551">
        <f t="shared" si="3"/>
        <v>1.4078947368421053</v>
      </c>
      <c r="O14" s="2460">
        <v>83</v>
      </c>
      <c r="P14" s="2461">
        <v>76</v>
      </c>
      <c r="Q14" s="1551">
        <f t="shared" si="4"/>
        <v>1.0921052631578947</v>
      </c>
      <c r="R14" s="2460">
        <v>98</v>
      </c>
      <c r="S14" s="2461">
        <v>75</v>
      </c>
      <c r="T14" s="1551">
        <f t="shared" si="5"/>
        <v>1.3066666666666666</v>
      </c>
      <c r="U14" s="2460">
        <v>71</v>
      </c>
      <c r="V14" s="2461">
        <v>72</v>
      </c>
      <c r="W14" s="1551">
        <f t="shared" si="6"/>
        <v>0.98611111111111116</v>
      </c>
      <c r="X14" s="2460">
        <v>86</v>
      </c>
      <c r="Y14" s="2064">
        <v>73</v>
      </c>
      <c r="Z14" s="1551">
        <f t="shared" si="7"/>
        <v>1.178082191780822</v>
      </c>
      <c r="AA14" s="2460">
        <v>92</v>
      </c>
      <c r="AB14" s="2064">
        <v>76</v>
      </c>
      <c r="AC14" s="1551">
        <f t="shared" si="8"/>
        <v>1.2105263157894737</v>
      </c>
    </row>
    <row r="15" spans="1:29" s="1" customFormat="1" ht="15" customHeight="1">
      <c r="A15" s="237"/>
      <c r="B15" s="4179" t="s">
        <v>16</v>
      </c>
      <c r="C15" s="2456">
        <v>496</v>
      </c>
      <c r="D15" s="2457">
        <f>SUM(D10:D14)</f>
        <v>308</v>
      </c>
      <c r="E15" s="1561">
        <f t="shared" si="0"/>
        <v>1.6103896103896105</v>
      </c>
      <c r="F15" s="2456">
        <v>473</v>
      </c>
      <c r="G15" s="2457">
        <f t="shared" ref="G15" si="16">SUM(G10:G14)</f>
        <v>315</v>
      </c>
      <c r="H15" s="1561">
        <f t="shared" si="1"/>
        <v>1.5015873015873016</v>
      </c>
      <c r="I15" s="2456">
        <f t="shared" ref="I15" si="17">SUM(I10:I14)</f>
        <v>477</v>
      </c>
      <c r="J15" s="2457">
        <f t="shared" ref="J15" si="18">SUM(J10:J14)</f>
        <v>314</v>
      </c>
      <c r="K15" s="1561">
        <f t="shared" si="2"/>
        <v>1.5191082802547771</v>
      </c>
      <c r="L15" s="2456">
        <f t="shared" ref="L15" si="19">SUM(L10:L14)</f>
        <v>473</v>
      </c>
      <c r="M15" s="2457">
        <f t="shared" ref="M15" si="20">SUM(M10:M14)</f>
        <v>326</v>
      </c>
      <c r="N15" s="1561">
        <f t="shared" si="3"/>
        <v>1.4509202453987731</v>
      </c>
      <c r="O15" s="2456">
        <f t="shared" ref="O15" si="21">SUM(O10:O14)</f>
        <v>430</v>
      </c>
      <c r="P15" s="2457">
        <f t="shared" ref="P15" si="22">SUM(P10:P14)</f>
        <v>325</v>
      </c>
      <c r="Q15" s="1561">
        <f t="shared" si="4"/>
        <v>1.323076923076923</v>
      </c>
      <c r="R15" s="2456">
        <f>SUM(R10:R14)</f>
        <v>441</v>
      </c>
      <c r="S15" s="2457">
        <v>319</v>
      </c>
      <c r="T15" s="1561">
        <f t="shared" si="5"/>
        <v>1.3824451410658307</v>
      </c>
      <c r="U15" s="2456">
        <v>402</v>
      </c>
      <c r="V15" s="2457">
        <f>SUM(V10:V14)</f>
        <v>311</v>
      </c>
      <c r="W15" s="1561">
        <f t="shared" si="6"/>
        <v>1.292604501607717</v>
      </c>
      <c r="X15" s="2456">
        <v>385</v>
      </c>
      <c r="Y15" s="2060">
        <f>SUM(Y10:Y14)</f>
        <v>323</v>
      </c>
      <c r="Z15" s="1561">
        <f t="shared" si="7"/>
        <v>1.1919504643962848</v>
      </c>
      <c r="AA15" s="2456">
        <v>450</v>
      </c>
      <c r="AB15" s="2060">
        <v>331</v>
      </c>
      <c r="AC15" s="1561">
        <f t="shared" si="8"/>
        <v>1.3595166163141994</v>
      </c>
    </row>
    <row r="16" spans="1:29" s="1" customFormat="1">
      <c r="A16" s="237"/>
      <c r="B16" s="1545" t="s">
        <v>1160</v>
      </c>
      <c r="C16" s="2458">
        <v>48</v>
      </c>
      <c r="D16" s="2459">
        <v>55</v>
      </c>
      <c r="E16" s="1549">
        <f t="shared" si="0"/>
        <v>0.87272727272727268</v>
      </c>
      <c r="F16" s="2458">
        <v>40</v>
      </c>
      <c r="G16" s="2459">
        <v>58</v>
      </c>
      <c r="H16" s="1549">
        <f t="shared" si="1"/>
        <v>0.68965517241379315</v>
      </c>
      <c r="I16" s="2458">
        <v>36</v>
      </c>
      <c r="J16" s="2459">
        <v>57</v>
      </c>
      <c r="K16" s="1549">
        <f t="shared" si="2"/>
        <v>0.63157894736842102</v>
      </c>
      <c r="L16" s="2458">
        <v>60</v>
      </c>
      <c r="M16" s="2459">
        <v>59</v>
      </c>
      <c r="N16" s="1549">
        <f t="shared" si="3"/>
        <v>1.0169491525423728</v>
      </c>
      <c r="O16" s="2458">
        <v>90</v>
      </c>
      <c r="P16" s="2459">
        <v>60</v>
      </c>
      <c r="Q16" s="1549">
        <f t="shared" si="4"/>
        <v>1.5</v>
      </c>
      <c r="R16" s="2458">
        <v>43</v>
      </c>
      <c r="S16" s="2459">
        <v>60</v>
      </c>
      <c r="T16" s="1549">
        <f t="shared" si="5"/>
        <v>0.71666666666666667</v>
      </c>
      <c r="U16" s="2458">
        <v>59</v>
      </c>
      <c r="V16" s="2459">
        <v>61</v>
      </c>
      <c r="W16" s="1549">
        <f t="shared" si="6"/>
        <v>0.96721311475409832</v>
      </c>
      <c r="X16" s="2458">
        <v>27</v>
      </c>
      <c r="Y16" s="2066">
        <v>60</v>
      </c>
      <c r="Z16" s="1549">
        <f t="shared" si="7"/>
        <v>0.45</v>
      </c>
      <c r="AA16" s="2458">
        <v>55</v>
      </c>
      <c r="AB16" s="2066">
        <v>61</v>
      </c>
      <c r="AC16" s="1549">
        <f t="shared" si="8"/>
        <v>0.90163934426229508</v>
      </c>
    </row>
    <row r="17" spans="1:29" s="1" customFormat="1">
      <c r="A17" s="237"/>
      <c r="B17" s="1545" t="s">
        <v>1161</v>
      </c>
      <c r="C17" s="2458">
        <v>18</v>
      </c>
      <c r="D17" s="2459">
        <v>41</v>
      </c>
      <c r="E17" s="1549">
        <f t="shared" si="0"/>
        <v>0.43902439024390244</v>
      </c>
      <c r="F17" s="2458">
        <v>24</v>
      </c>
      <c r="G17" s="2459">
        <v>41</v>
      </c>
      <c r="H17" s="1549">
        <f t="shared" si="1"/>
        <v>0.58536585365853655</v>
      </c>
      <c r="I17" s="2458">
        <v>45</v>
      </c>
      <c r="J17" s="2459">
        <v>41</v>
      </c>
      <c r="K17" s="1549">
        <f t="shared" si="2"/>
        <v>1.0975609756097562</v>
      </c>
      <c r="L17" s="2458">
        <v>42</v>
      </c>
      <c r="M17" s="2459">
        <v>44</v>
      </c>
      <c r="N17" s="1549">
        <f t="shared" si="3"/>
        <v>0.95454545454545459</v>
      </c>
      <c r="O17" s="2458">
        <v>50</v>
      </c>
      <c r="P17" s="2459">
        <v>45</v>
      </c>
      <c r="Q17" s="1549">
        <f t="shared" si="4"/>
        <v>1.1111111111111112</v>
      </c>
      <c r="R17" s="2458">
        <v>41</v>
      </c>
      <c r="S17" s="2459">
        <v>42</v>
      </c>
      <c r="T17" s="1549">
        <f t="shared" si="5"/>
        <v>0.97619047619047616</v>
      </c>
      <c r="U17" s="2458">
        <v>54</v>
      </c>
      <c r="V17" s="2459">
        <v>40</v>
      </c>
      <c r="W17" s="1549">
        <f t="shared" si="6"/>
        <v>1.35</v>
      </c>
      <c r="X17" s="2458">
        <v>27</v>
      </c>
      <c r="Y17" s="2066">
        <v>38</v>
      </c>
      <c r="Z17" s="1549">
        <f t="shared" si="7"/>
        <v>0.71052631578947367</v>
      </c>
      <c r="AA17" s="2458">
        <v>21</v>
      </c>
      <c r="AB17" s="2066">
        <v>37</v>
      </c>
      <c r="AC17" s="1549">
        <f t="shared" si="8"/>
        <v>0.56756756756756754</v>
      </c>
    </row>
    <row r="18" spans="1:29" s="1" customFormat="1">
      <c r="A18" s="237"/>
      <c r="B18" s="1545" t="s">
        <v>1162</v>
      </c>
      <c r="C18" s="2458">
        <v>29</v>
      </c>
      <c r="D18" s="2459">
        <v>36</v>
      </c>
      <c r="E18" s="1549">
        <f t="shared" si="0"/>
        <v>0.80555555555555558</v>
      </c>
      <c r="F18" s="2458">
        <v>32</v>
      </c>
      <c r="G18" s="2459">
        <v>36</v>
      </c>
      <c r="H18" s="1549">
        <f t="shared" si="1"/>
        <v>0.88888888888888884</v>
      </c>
      <c r="I18" s="2458">
        <v>17</v>
      </c>
      <c r="J18" s="2459">
        <v>38</v>
      </c>
      <c r="K18" s="1549">
        <f t="shared" si="2"/>
        <v>0.44736842105263158</v>
      </c>
      <c r="L18" s="2458">
        <v>45</v>
      </c>
      <c r="M18" s="2459">
        <v>39</v>
      </c>
      <c r="N18" s="1549">
        <f t="shared" si="3"/>
        <v>1.1538461538461537</v>
      </c>
      <c r="O18" s="2458">
        <v>29</v>
      </c>
      <c r="P18" s="2459">
        <v>41</v>
      </c>
      <c r="Q18" s="1549">
        <f t="shared" si="4"/>
        <v>0.70731707317073167</v>
      </c>
      <c r="R18" s="2458">
        <v>21</v>
      </c>
      <c r="S18" s="2459">
        <v>41</v>
      </c>
      <c r="T18" s="1549">
        <f t="shared" si="5"/>
        <v>0.51219512195121952</v>
      </c>
      <c r="U18" s="2458">
        <v>41</v>
      </c>
      <c r="V18" s="2459">
        <v>41</v>
      </c>
      <c r="W18" s="1549">
        <f t="shared" si="6"/>
        <v>1</v>
      </c>
      <c r="X18" s="2458">
        <v>54</v>
      </c>
      <c r="Y18" s="2066">
        <v>40</v>
      </c>
      <c r="Z18" s="1549">
        <f t="shared" si="7"/>
        <v>1.35</v>
      </c>
      <c r="AA18" s="2458">
        <v>61</v>
      </c>
      <c r="AB18" s="2066">
        <v>42</v>
      </c>
      <c r="AC18" s="1549">
        <f t="shared" si="8"/>
        <v>1.4523809523809523</v>
      </c>
    </row>
    <row r="19" spans="1:29" s="1" customFormat="1">
      <c r="A19" s="237"/>
      <c r="B19" s="1545" t="s">
        <v>1163</v>
      </c>
      <c r="C19" s="2458">
        <v>50</v>
      </c>
      <c r="D19" s="2459">
        <v>67</v>
      </c>
      <c r="E19" s="1549">
        <f t="shared" si="0"/>
        <v>0.74626865671641796</v>
      </c>
      <c r="F19" s="2458">
        <v>58</v>
      </c>
      <c r="G19" s="2459">
        <v>66</v>
      </c>
      <c r="H19" s="1549">
        <f t="shared" si="1"/>
        <v>0.87878787878787878</v>
      </c>
      <c r="I19" s="2458">
        <v>46</v>
      </c>
      <c r="J19" s="2459">
        <v>70</v>
      </c>
      <c r="K19" s="1549">
        <f t="shared" si="2"/>
        <v>0.65714285714285714</v>
      </c>
      <c r="L19" s="2458">
        <v>61</v>
      </c>
      <c r="M19" s="2459">
        <v>69</v>
      </c>
      <c r="N19" s="1549">
        <f t="shared" si="3"/>
        <v>0.88405797101449279</v>
      </c>
      <c r="O19" s="2458">
        <v>90</v>
      </c>
      <c r="P19" s="2459">
        <v>75</v>
      </c>
      <c r="Q19" s="1549">
        <f t="shared" si="4"/>
        <v>1.2</v>
      </c>
      <c r="R19" s="2458">
        <v>91</v>
      </c>
      <c r="S19" s="2459">
        <v>72</v>
      </c>
      <c r="T19" s="1549">
        <f t="shared" si="5"/>
        <v>1.2638888888888888</v>
      </c>
      <c r="U19" s="2458">
        <v>85</v>
      </c>
      <c r="V19" s="2459">
        <v>71</v>
      </c>
      <c r="W19" s="1549">
        <f t="shared" si="6"/>
        <v>1.1971830985915493</v>
      </c>
      <c r="X19" s="2458">
        <v>83</v>
      </c>
      <c r="Y19" s="2066">
        <v>71</v>
      </c>
      <c r="Z19" s="1549">
        <f t="shared" si="7"/>
        <v>1.1690140845070423</v>
      </c>
      <c r="AA19" s="2458">
        <v>88</v>
      </c>
      <c r="AB19" s="2066">
        <v>73</v>
      </c>
      <c r="AC19" s="1549">
        <f t="shared" si="8"/>
        <v>1.2054794520547945</v>
      </c>
    </row>
    <row r="20" spans="1:29" s="1" customFormat="1" ht="15" customHeight="1">
      <c r="A20" s="237"/>
      <c r="B20" s="4243" t="s">
        <v>21</v>
      </c>
      <c r="C20" s="4299">
        <v>145</v>
      </c>
      <c r="D20" s="4300">
        <f>SUM(D16:D19)</f>
        <v>199</v>
      </c>
      <c r="E20" s="4301">
        <f t="shared" si="0"/>
        <v>0.72864321608040206</v>
      </c>
      <c r="F20" s="4299">
        <v>154</v>
      </c>
      <c r="G20" s="4300">
        <f t="shared" ref="G20" si="23">SUM(G16:G19)</f>
        <v>201</v>
      </c>
      <c r="H20" s="4301">
        <f t="shared" si="1"/>
        <v>0.76616915422885568</v>
      </c>
      <c r="I20" s="4299">
        <f t="shared" ref="I20" si="24">SUM(I16:I19)</f>
        <v>144</v>
      </c>
      <c r="J20" s="4300">
        <f t="shared" ref="J20" si="25">SUM(J16:J19)</f>
        <v>206</v>
      </c>
      <c r="K20" s="4301">
        <f t="shared" si="2"/>
        <v>0.69902912621359226</v>
      </c>
      <c r="L20" s="4299">
        <f t="shared" ref="L20" si="26">SUM(L16:L19)</f>
        <v>208</v>
      </c>
      <c r="M20" s="4300">
        <f t="shared" ref="M20" si="27">SUM(M16:M19)</f>
        <v>211</v>
      </c>
      <c r="N20" s="4301">
        <f t="shared" si="3"/>
        <v>0.98578199052132698</v>
      </c>
      <c r="O20" s="4299">
        <f t="shared" ref="O20" si="28">SUM(O16:O19)</f>
        <v>259</v>
      </c>
      <c r="P20" s="4300">
        <f t="shared" ref="P20" si="29">SUM(P16:P19)</f>
        <v>221</v>
      </c>
      <c r="Q20" s="4301">
        <f t="shared" si="4"/>
        <v>1.1719457013574661</v>
      </c>
      <c r="R20" s="4299">
        <f>SUM(R16:R19)</f>
        <v>196</v>
      </c>
      <c r="S20" s="4300">
        <v>215</v>
      </c>
      <c r="T20" s="4301">
        <f t="shared" si="5"/>
        <v>0.91162790697674423</v>
      </c>
      <c r="U20" s="4299">
        <v>239</v>
      </c>
      <c r="V20" s="4300">
        <f>SUM(V16:V19)</f>
        <v>213</v>
      </c>
      <c r="W20" s="4301">
        <f t="shared" si="6"/>
        <v>1.1220657276995305</v>
      </c>
      <c r="X20" s="4299">
        <v>191</v>
      </c>
      <c r="Y20" s="4271">
        <f>SUM(Y16:Y19)</f>
        <v>209</v>
      </c>
      <c r="Z20" s="4301">
        <f t="shared" si="7"/>
        <v>0.9138755980861244</v>
      </c>
      <c r="AA20" s="4299">
        <v>225</v>
      </c>
      <c r="AB20" s="4271">
        <v>213</v>
      </c>
      <c r="AC20" s="4301">
        <f t="shared" si="8"/>
        <v>1.056338028169014</v>
      </c>
    </row>
    <row r="21" spans="1:29" s="1" customFormat="1" ht="15" customHeight="1">
      <c r="A21" s="237"/>
      <c r="B21" s="4306" t="s">
        <v>1164</v>
      </c>
      <c r="C21" s="4302">
        <v>1126</v>
      </c>
      <c r="D21" s="4303">
        <f>SUM(D9,D15,D20)</f>
        <v>849</v>
      </c>
      <c r="E21" s="4304">
        <f t="shared" si="0"/>
        <v>1.3262661955241462</v>
      </c>
      <c r="F21" s="4302">
        <v>1257</v>
      </c>
      <c r="G21" s="4303">
        <f t="shared" ref="G21" si="30">SUM(G9,G15,G20)</f>
        <v>858</v>
      </c>
      <c r="H21" s="4304">
        <f t="shared" si="1"/>
        <v>1.465034965034965</v>
      </c>
      <c r="I21" s="4302">
        <f t="shared" ref="I21" si="31">SUM(I20,I15,I9)</f>
        <v>1081</v>
      </c>
      <c r="J21" s="4303">
        <f t="shared" ref="J21" si="32">SUM(J9,J15,J20)</f>
        <v>868</v>
      </c>
      <c r="K21" s="4304">
        <f t="shared" si="2"/>
        <v>1.2453917050691243</v>
      </c>
      <c r="L21" s="4302">
        <f t="shared" ref="L21" si="33">SUM(L20,L15,L9)</f>
        <v>1341</v>
      </c>
      <c r="M21" s="4303">
        <f t="shared" ref="M21" si="34">SUM(M9,M15,M20)</f>
        <v>886</v>
      </c>
      <c r="N21" s="4304">
        <f t="shared" si="3"/>
        <v>1.5135440180586908</v>
      </c>
      <c r="O21" s="4302">
        <f t="shared" ref="O21" si="35">SUM(O20,O15,O9)</f>
        <v>1275</v>
      </c>
      <c r="P21" s="4303">
        <f t="shared" ref="P21" si="36">SUM(P9,P15,P20)</f>
        <v>903</v>
      </c>
      <c r="Q21" s="4304">
        <f t="shared" si="4"/>
        <v>1.4119601328903655</v>
      </c>
      <c r="R21" s="4302">
        <f t="shared" ref="R21" si="37">SUM(R20,R15,R9)</f>
        <v>1494</v>
      </c>
      <c r="S21" s="4303">
        <v>885</v>
      </c>
      <c r="T21" s="4304">
        <f t="shared" si="5"/>
        <v>1.688135593220339</v>
      </c>
      <c r="U21" s="4302">
        <v>1430</v>
      </c>
      <c r="V21" s="4303">
        <f>SUM(V9,V15,V20)</f>
        <v>872</v>
      </c>
      <c r="W21" s="4304">
        <f t="shared" si="6"/>
        <v>1.6399082568807339</v>
      </c>
      <c r="X21" s="4302">
        <v>1310</v>
      </c>
      <c r="Y21" s="4305">
        <f>SUM(Y9,Y15,Y20)</f>
        <v>887</v>
      </c>
      <c r="Z21" s="4304">
        <f t="shared" si="7"/>
        <v>1.4768883878241263</v>
      </c>
      <c r="AA21" s="4302">
        <v>1448</v>
      </c>
      <c r="AB21" s="4305">
        <v>904</v>
      </c>
      <c r="AC21" s="4304">
        <f t="shared" si="8"/>
        <v>1.6017699115044248</v>
      </c>
    </row>
    <row r="22" spans="1:29" s="1" customFormat="1">
      <c r="A22" s="237"/>
      <c r="B22" s="1541" t="s">
        <v>1165</v>
      </c>
      <c r="C22" s="2458">
        <v>41</v>
      </c>
      <c r="D22" s="2459">
        <v>16</v>
      </c>
      <c r="E22" s="1549">
        <f t="shared" si="0"/>
        <v>2.5625</v>
      </c>
      <c r="F22" s="2458">
        <v>37</v>
      </c>
      <c r="G22" s="2459">
        <v>17</v>
      </c>
      <c r="H22" s="1549">
        <f t="shared" si="1"/>
        <v>2.1764705882352939</v>
      </c>
      <c r="I22" s="2458">
        <v>16</v>
      </c>
      <c r="J22" s="2459">
        <v>18</v>
      </c>
      <c r="K22" s="1549">
        <f t="shared" si="2"/>
        <v>0.88888888888888884</v>
      </c>
      <c r="L22" s="2458">
        <v>62</v>
      </c>
      <c r="M22" s="2459">
        <v>21</v>
      </c>
      <c r="N22" s="1549">
        <f t="shared" si="3"/>
        <v>2.9523809523809526</v>
      </c>
      <c r="O22" s="2458">
        <v>28</v>
      </c>
      <c r="P22" s="2459">
        <v>21</v>
      </c>
      <c r="Q22" s="1549">
        <f t="shared" si="4"/>
        <v>1.3333333333333333</v>
      </c>
      <c r="R22" s="2458">
        <v>32</v>
      </c>
      <c r="S22" s="2459">
        <v>19</v>
      </c>
      <c r="T22" s="1549">
        <f t="shared" si="5"/>
        <v>1.6842105263157894</v>
      </c>
      <c r="U22" s="2458">
        <v>29</v>
      </c>
      <c r="V22" s="2459">
        <v>18</v>
      </c>
      <c r="W22" s="1549">
        <f t="shared" si="6"/>
        <v>1.6111111111111112</v>
      </c>
      <c r="X22" s="2458">
        <v>16</v>
      </c>
      <c r="Y22" s="2066">
        <v>19</v>
      </c>
      <c r="Z22" s="1549">
        <f t="shared" si="7"/>
        <v>0.84210526315789469</v>
      </c>
      <c r="AA22" s="2458">
        <v>28</v>
      </c>
      <c r="AB22" s="2066">
        <v>16</v>
      </c>
      <c r="AC22" s="1549">
        <f t="shared" si="8"/>
        <v>1.75</v>
      </c>
    </row>
    <row r="23" spans="1:29" s="1" customFormat="1">
      <c r="A23" s="237"/>
      <c r="B23" s="1545" t="s">
        <v>1166</v>
      </c>
      <c r="C23" s="2458">
        <v>7</v>
      </c>
      <c r="D23" s="2459">
        <v>6</v>
      </c>
      <c r="E23" s="1549">
        <f t="shared" si="0"/>
        <v>1.1666666666666667</v>
      </c>
      <c r="F23" s="2458">
        <v>14</v>
      </c>
      <c r="G23" s="2459">
        <v>7</v>
      </c>
      <c r="H23" s="1549">
        <f t="shared" si="1"/>
        <v>2</v>
      </c>
      <c r="I23" s="2458">
        <v>17</v>
      </c>
      <c r="J23" s="2459">
        <v>14</v>
      </c>
      <c r="K23" s="1549">
        <f t="shared" si="2"/>
        <v>1.2142857142857142</v>
      </c>
      <c r="L23" s="2458">
        <v>34</v>
      </c>
      <c r="M23" s="2459">
        <v>13</v>
      </c>
      <c r="N23" s="1549">
        <f t="shared" si="3"/>
        <v>2.6153846153846154</v>
      </c>
      <c r="O23" s="2458">
        <v>34</v>
      </c>
      <c r="P23" s="2459">
        <v>14</v>
      </c>
      <c r="Q23" s="1549">
        <f t="shared" si="4"/>
        <v>2.4285714285714284</v>
      </c>
      <c r="R23" s="2458">
        <v>39</v>
      </c>
      <c r="S23" s="2459">
        <v>16</v>
      </c>
      <c r="T23" s="1549">
        <f t="shared" si="5"/>
        <v>2.4375</v>
      </c>
      <c r="U23" s="2458">
        <v>36</v>
      </c>
      <c r="V23" s="2459">
        <v>16</v>
      </c>
      <c r="W23" s="1549">
        <f t="shared" si="6"/>
        <v>2.25</v>
      </c>
      <c r="X23" s="2458">
        <v>30</v>
      </c>
      <c r="Y23" s="2066">
        <v>16</v>
      </c>
      <c r="Z23" s="1549">
        <f t="shared" si="7"/>
        <v>1.875</v>
      </c>
      <c r="AA23" s="2458">
        <v>48</v>
      </c>
      <c r="AB23" s="2066">
        <v>17</v>
      </c>
      <c r="AC23" s="1549">
        <f t="shared" si="8"/>
        <v>2.8235294117647061</v>
      </c>
    </row>
    <row r="24" spans="1:29" s="1" customFormat="1">
      <c r="A24" s="237"/>
      <c r="B24" s="1545" t="s">
        <v>1167</v>
      </c>
      <c r="C24" s="2458">
        <v>19</v>
      </c>
      <c r="D24" s="2459">
        <v>16</v>
      </c>
      <c r="E24" s="1549">
        <f t="shared" si="0"/>
        <v>1.1875</v>
      </c>
      <c r="F24" s="2458">
        <v>23</v>
      </c>
      <c r="G24" s="2459">
        <v>17</v>
      </c>
      <c r="H24" s="1549">
        <f t="shared" si="1"/>
        <v>1.3529411764705883</v>
      </c>
      <c r="I24" s="2458">
        <v>70</v>
      </c>
      <c r="J24" s="2459">
        <v>20</v>
      </c>
      <c r="K24" s="1549">
        <f t="shared" si="2"/>
        <v>3.5</v>
      </c>
      <c r="L24" s="2458">
        <v>38</v>
      </c>
      <c r="M24" s="2459">
        <v>17</v>
      </c>
      <c r="N24" s="1549">
        <f t="shared" si="3"/>
        <v>2.2352941176470589</v>
      </c>
      <c r="O24" s="2458">
        <v>36</v>
      </c>
      <c r="P24" s="2459">
        <v>17</v>
      </c>
      <c r="Q24" s="1549">
        <f t="shared" si="4"/>
        <v>2.1176470588235294</v>
      </c>
      <c r="R24" s="2458">
        <v>55</v>
      </c>
      <c r="S24" s="2459">
        <v>19</v>
      </c>
      <c r="T24" s="1549">
        <f t="shared" si="5"/>
        <v>2.8947368421052633</v>
      </c>
      <c r="U24" s="2458">
        <v>53</v>
      </c>
      <c r="V24" s="2459">
        <v>19</v>
      </c>
      <c r="W24" s="1549">
        <f t="shared" si="6"/>
        <v>2.7894736842105261</v>
      </c>
      <c r="X24" s="2458">
        <v>61</v>
      </c>
      <c r="Y24" s="2066">
        <v>19</v>
      </c>
      <c r="Z24" s="1549">
        <f t="shared" si="7"/>
        <v>3.2105263157894739</v>
      </c>
      <c r="AA24" s="2458">
        <v>41</v>
      </c>
      <c r="AB24" s="2066">
        <v>19</v>
      </c>
      <c r="AC24" s="1549">
        <f t="shared" si="8"/>
        <v>2.1578947368421053</v>
      </c>
    </row>
    <row r="25" spans="1:29" s="1" customFormat="1" ht="15" customHeight="1">
      <c r="A25" s="237"/>
      <c r="B25" s="4179" t="s">
        <v>61</v>
      </c>
      <c r="C25" s="2456">
        <v>67</v>
      </c>
      <c r="D25" s="2457">
        <f>SUM(D22:D24)</f>
        <v>38</v>
      </c>
      <c r="E25" s="1561">
        <f t="shared" si="0"/>
        <v>1.763157894736842</v>
      </c>
      <c r="F25" s="2456">
        <v>74</v>
      </c>
      <c r="G25" s="2457">
        <f t="shared" ref="G25" si="38">SUM(G22:G24)</f>
        <v>41</v>
      </c>
      <c r="H25" s="1561">
        <f t="shared" si="1"/>
        <v>1.8048780487804879</v>
      </c>
      <c r="I25" s="2456">
        <f t="shared" ref="I25" si="39">SUM(I22:I24)</f>
        <v>103</v>
      </c>
      <c r="J25" s="2457">
        <f t="shared" ref="J25" si="40">SUM(J22:J24)</f>
        <v>52</v>
      </c>
      <c r="K25" s="1561">
        <f t="shared" si="2"/>
        <v>1.9807692307692308</v>
      </c>
      <c r="L25" s="2456">
        <f t="shared" ref="L25" si="41">SUM(L22:L24)</f>
        <v>134</v>
      </c>
      <c r="M25" s="2457">
        <f t="shared" ref="M25" si="42">SUM(M22:M24)</f>
        <v>51</v>
      </c>
      <c r="N25" s="1561">
        <f t="shared" si="3"/>
        <v>2.6274509803921569</v>
      </c>
      <c r="O25" s="2456">
        <f t="shared" ref="O25" si="43">SUM(O22:O24)</f>
        <v>98</v>
      </c>
      <c r="P25" s="2457">
        <f t="shared" ref="P25" si="44">SUM(P22:P24)</f>
        <v>52</v>
      </c>
      <c r="Q25" s="1561">
        <f t="shared" si="4"/>
        <v>1.8846153846153846</v>
      </c>
      <c r="R25" s="2456">
        <f>SUM(R22:R24)</f>
        <v>126</v>
      </c>
      <c r="S25" s="2457">
        <v>54</v>
      </c>
      <c r="T25" s="1561">
        <f t="shared" si="5"/>
        <v>2.3333333333333335</v>
      </c>
      <c r="U25" s="2456">
        <v>118</v>
      </c>
      <c r="V25" s="2457">
        <f>SUM(V22:V24)</f>
        <v>53</v>
      </c>
      <c r="W25" s="1561">
        <f t="shared" si="6"/>
        <v>2.2264150943396226</v>
      </c>
      <c r="X25" s="2456">
        <v>107</v>
      </c>
      <c r="Y25" s="2060">
        <f>SUM(Y22:Y24)</f>
        <v>54</v>
      </c>
      <c r="Z25" s="1561">
        <f t="shared" si="7"/>
        <v>1.9814814814814814</v>
      </c>
      <c r="AA25" s="2456">
        <v>117</v>
      </c>
      <c r="AB25" s="2060">
        <v>52</v>
      </c>
      <c r="AC25" s="1561">
        <f t="shared" si="8"/>
        <v>2.25</v>
      </c>
    </row>
    <row r="26" spans="1:29" s="1" customFormat="1">
      <c r="A26" s="237"/>
      <c r="B26" s="1545" t="s">
        <v>1168</v>
      </c>
      <c r="C26" s="2458">
        <v>14</v>
      </c>
      <c r="D26" s="2459">
        <v>8</v>
      </c>
      <c r="E26" s="1549">
        <f t="shared" si="0"/>
        <v>1.75</v>
      </c>
      <c r="F26" s="2458">
        <v>21</v>
      </c>
      <c r="G26" s="2459">
        <v>8</v>
      </c>
      <c r="H26" s="1549">
        <f t="shared" si="1"/>
        <v>2.625</v>
      </c>
      <c r="I26" s="2458">
        <v>12</v>
      </c>
      <c r="J26" s="2459">
        <v>9</v>
      </c>
      <c r="K26" s="1549">
        <f t="shared" si="2"/>
        <v>1.3333333333333333</v>
      </c>
      <c r="L26" s="2458">
        <v>22</v>
      </c>
      <c r="M26" s="2459">
        <v>10</v>
      </c>
      <c r="N26" s="1549">
        <f t="shared" si="3"/>
        <v>2.2000000000000002</v>
      </c>
      <c r="O26" s="2458">
        <v>15</v>
      </c>
      <c r="P26" s="2459">
        <v>10</v>
      </c>
      <c r="Q26" s="1549">
        <f t="shared" si="4"/>
        <v>1.5</v>
      </c>
      <c r="R26" s="2458">
        <v>28</v>
      </c>
      <c r="S26" s="2459">
        <v>12</v>
      </c>
      <c r="T26" s="1549">
        <f t="shared" si="5"/>
        <v>2.3333333333333335</v>
      </c>
      <c r="U26" s="2458">
        <v>8</v>
      </c>
      <c r="V26" s="2459">
        <v>13</v>
      </c>
      <c r="W26" s="1549">
        <f t="shared" si="6"/>
        <v>0.61538461538461542</v>
      </c>
      <c r="X26" s="2458">
        <v>23</v>
      </c>
      <c r="Y26" s="2066">
        <v>13</v>
      </c>
      <c r="Z26" s="1549">
        <f t="shared" si="7"/>
        <v>1.7692307692307692</v>
      </c>
      <c r="AA26" s="2458">
        <v>17</v>
      </c>
      <c r="AB26" s="2066">
        <v>13</v>
      </c>
      <c r="AC26" s="1549">
        <f t="shared" si="8"/>
        <v>1.3076923076923077</v>
      </c>
    </row>
    <row r="27" spans="1:29" s="1" customFormat="1">
      <c r="A27" s="237"/>
      <c r="B27" s="1545" t="s">
        <v>1169</v>
      </c>
      <c r="C27" s="2458">
        <v>13</v>
      </c>
      <c r="D27" s="2459">
        <v>8</v>
      </c>
      <c r="E27" s="1549">
        <f t="shared" si="0"/>
        <v>1.625</v>
      </c>
      <c r="F27" s="2458">
        <v>15</v>
      </c>
      <c r="G27" s="2459">
        <v>11</v>
      </c>
      <c r="H27" s="1549">
        <f t="shared" si="1"/>
        <v>1.3636363636363635</v>
      </c>
      <c r="I27" s="2458">
        <v>30</v>
      </c>
      <c r="J27" s="2459">
        <v>14</v>
      </c>
      <c r="K27" s="1549">
        <f t="shared" si="2"/>
        <v>2.1428571428571428</v>
      </c>
      <c r="L27" s="2458">
        <v>25</v>
      </c>
      <c r="M27" s="2459">
        <v>14</v>
      </c>
      <c r="N27" s="1549">
        <f t="shared" si="3"/>
        <v>1.7857142857142858</v>
      </c>
      <c r="O27" s="2458">
        <v>33</v>
      </c>
      <c r="P27" s="2459">
        <v>17</v>
      </c>
      <c r="Q27" s="1549">
        <f t="shared" si="4"/>
        <v>1.9411764705882353</v>
      </c>
      <c r="R27" s="2458">
        <v>57</v>
      </c>
      <c r="S27" s="2459">
        <v>16</v>
      </c>
      <c r="T27" s="1549">
        <f t="shared" si="5"/>
        <v>3.5625</v>
      </c>
      <c r="U27" s="2458">
        <v>31</v>
      </c>
      <c r="V27" s="2459">
        <v>18</v>
      </c>
      <c r="W27" s="1549">
        <f t="shared" si="6"/>
        <v>1.7222222222222223</v>
      </c>
      <c r="X27" s="2458">
        <v>39</v>
      </c>
      <c r="Y27" s="2066">
        <v>19</v>
      </c>
      <c r="Z27" s="1549">
        <f t="shared" si="7"/>
        <v>2.0526315789473686</v>
      </c>
      <c r="AA27" s="2458">
        <v>41</v>
      </c>
      <c r="AB27" s="2066">
        <v>19</v>
      </c>
      <c r="AC27" s="1549">
        <f t="shared" si="8"/>
        <v>2.1578947368421053</v>
      </c>
    </row>
    <row r="28" spans="1:29" s="1" customFormat="1">
      <c r="A28" s="237"/>
      <c r="B28" s="1545" t="s">
        <v>1170</v>
      </c>
      <c r="C28" s="2458">
        <v>19</v>
      </c>
      <c r="D28" s="2459">
        <v>11</v>
      </c>
      <c r="E28" s="1549">
        <f t="shared" si="0"/>
        <v>1.7272727272727273</v>
      </c>
      <c r="F28" s="2458">
        <v>30</v>
      </c>
      <c r="G28" s="2459">
        <v>14</v>
      </c>
      <c r="H28" s="1549">
        <f t="shared" si="1"/>
        <v>2.1428571428571428</v>
      </c>
      <c r="I28" s="2458">
        <v>4</v>
      </c>
      <c r="J28" s="2459">
        <v>13</v>
      </c>
      <c r="K28" s="1549">
        <f t="shared" si="2"/>
        <v>0.30769230769230771</v>
      </c>
      <c r="L28" s="2458">
        <v>31</v>
      </c>
      <c r="M28" s="2459">
        <v>14</v>
      </c>
      <c r="N28" s="1549">
        <f t="shared" si="3"/>
        <v>2.2142857142857144</v>
      </c>
      <c r="O28" s="2458">
        <v>18</v>
      </c>
      <c r="P28" s="2459">
        <v>15</v>
      </c>
      <c r="Q28" s="1549">
        <f t="shared" si="4"/>
        <v>1.2</v>
      </c>
      <c r="R28" s="2458">
        <v>49</v>
      </c>
      <c r="S28" s="2459">
        <v>15</v>
      </c>
      <c r="T28" s="1549">
        <f t="shared" si="5"/>
        <v>3.2666666666666666</v>
      </c>
      <c r="U28" s="2458">
        <v>33</v>
      </c>
      <c r="V28" s="2459">
        <v>15</v>
      </c>
      <c r="W28" s="1549">
        <f t="shared" si="6"/>
        <v>2.2000000000000002</v>
      </c>
      <c r="X28" s="2458">
        <v>36</v>
      </c>
      <c r="Y28" s="2066">
        <v>16</v>
      </c>
      <c r="Z28" s="1549">
        <f t="shared" si="7"/>
        <v>2.25</v>
      </c>
      <c r="AA28" s="2458">
        <v>40</v>
      </c>
      <c r="AB28" s="2066">
        <v>17</v>
      </c>
      <c r="AC28" s="1549">
        <f t="shared" si="8"/>
        <v>2.3529411764705883</v>
      </c>
    </row>
    <row r="29" spans="1:29" s="1" customFormat="1" ht="15" customHeight="1">
      <c r="A29" s="237"/>
      <c r="B29" s="4179" t="s">
        <v>64</v>
      </c>
      <c r="C29" s="2456">
        <v>46</v>
      </c>
      <c r="D29" s="2457">
        <f>SUM(D26:D28)</f>
        <v>27</v>
      </c>
      <c r="E29" s="1561">
        <f t="shared" si="0"/>
        <v>1.7037037037037037</v>
      </c>
      <c r="F29" s="2456">
        <v>66</v>
      </c>
      <c r="G29" s="2457">
        <f t="shared" ref="G29" si="45">SUM(G26:G28)</f>
        <v>33</v>
      </c>
      <c r="H29" s="1561">
        <f t="shared" si="1"/>
        <v>2</v>
      </c>
      <c r="I29" s="2456">
        <f>SUM(I26:I28)</f>
        <v>46</v>
      </c>
      <c r="J29" s="2457">
        <f t="shared" ref="J29" si="46">SUM(J26:J28)</f>
        <v>36</v>
      </c>
      <c r="K29" s="1561">
        <f t="shared" si="2"/>
        <v>1.2777777777777777</v>
      </c>
      <c r="L29" s="2456">
        <f>SUM(L26:L28)</f>
        <v>78</v>
      </c>
      <c r="M29" s="2457">
        <f t="shared" ref="M29" si="47">SUM(M26:M28)</f>
        <v>38</v>
      </c>
      <c r="N29" s="1561">
        <f t="shared" si="3"/>
        <v>2.0526315789473686</v>
      </c>
      <c r="O29" s="2456">
        <f>SUM(O26:O28)</f>
        <v>66</v>
      </c>
      <c r="P29" s="2457">
        <f t="shared" ref="P29" si="48">SUM(P26:P28)</f>
        <v>42</v>
      </c>
      <c r="Q29" s="1561">
        <f t="shared" si="4"/>
        <v>1.5714285714285714</v>
      </c>
      <c r="R29" s="2456">
        <f>SUM(R26:R28)</f>
        <v>134</v>
      </c>
      <c r="S29" s="2457">
        <v>43</v>
      </c>
      <c r="T29" s="1561">
        <f t="shared" si="5"/>
        <v>3.1162790697674421</v>
      </c>
      <c r="U29" s="2456">
        <v>72</v>
      </c>
      <c r="V29" s="2457">
        <f>SUM(V26:V28)</f>
        <v>46</v>
      </c>
      <c r="W29" s="1561">
        <f t="shared" si="6"/>
        <v>1.5652173913043479</v>
      </c>
      <c r="X29" s="2456">
        <v>98</v>
      </c>
      <c r="Y29" s="2060">
        <f>SUM(Y26:Y28)</f>
        <v>48</v>
      </c>
      <c r="Z29" s="1561">
        <f t="shared" si="7"/>
        <v>2.0416666666666665</v>
      </c>
      <c r="AA29" s="2456">
        <v>98</v>
      </c>
      <c r="AB29" s="2060">
        <v>49</v>
      </c>
      <c r="AC29" s="1561">
        <f t="shared" si="8"/>
        <v>2</v>
      </c>
    </row>
    <row r="30" spans="1:29" s="1" customFormat="1">
      <c r="A30" s="237"/>
      <c r="B30" s="1545" t="s">
        <v>1171</v>
      </c>
      <c r="C30" s="2458">
        <v>29</v>
      </c>
      <c r="D30" s="2459">
        <v>11</v>
      </c>
      <c r="E30" s="1549">
        <f t="shared" si="0"/>
        <v>2.6363636363636362</v>
      </c>
      <c r="F30" s="2458">
        <v>29</v>
      </c>
      <c r="G30" s="2459">
        <v>13</v>
      </c>
      <c r="H30" s="1549">
        <f t="shared" si="1"/>
        <v>2.2307692307692308</v>
      </c>
      <c r="I30" s="2458">
        <v>20</v>
      </c>
      <c r="J30" s="2459">
        <v>13</v>
      </c>
      <c r="K30" s="1549">
        <f t="shared" si="2"/>
        <v>1.5384615384615385</v>
      </c>
      <c r="L30" s="2458">
        <v>26</v>
      </c>
      <c r="M30" s="2459">
        <v>13</v>
      </c>
      <c r="N30" s="1549">
        <f t="shared" si="3"/>
        <v>2</v>
      </c>
      <c r="O30" s="2458">
        <v>22</v>
      </c>
      <c r="P30" s="2459">
        <v>13</v>
      </c>
      <c r="Q30" s="1549">
        <f t="shared" si="4"/>
        <v>1.6923076923076923</v>
      </c>
      <c r="R30" s="2458">
        <v>25</v>
      </c>
      <c r="S30" s="2459">
        <v>15</v>
      </c>
      <c r="T30" s="1549">
        <f t="shared" si="5"/>
        <v>1.6666666666666667</v>
      </c>
      <c r="U30" s="2458">
        <v>22</v>
      </c>
      <c r="V30" s="2459">
        <v>15</v>
      </c>
      <c r="W30" s="1549">
        <f t="shared" si="6"/>
        <v>1.4666666666666666</v>
      </c>
      <c r="X30" s="2458">
        <v>43</v>
      </c>
      <c r="Y30" s="2066">
        <v>19</v>
      </c>
      <c r="Z30" s="1549">
        <f t="shared" si="7"/>
        <v>2.263157894736842</v>
      </c>
      <c r="AA30" s="2458">
        <v>49</v>
      </c>
      <c r="AB30" s="2066">
        <v>17</v>
      </c>
      <c r="AC30" s="1549">
        <f t="shared" si="8"/>
        <v>2.8823529411764706</v>
      </c>
    </row>
    <row r="31" spans="1:29" s="1" customFormat="1">
      <c r="A31" s="237"/>
      <c r="B31" s="1545" t="s">
        <v>1172</v>
      </c>
      <c r="C31" s="2458">
        <v>25</v>
      </c>
      <c r="D31" s="2459">
        <v>12</v>
      </c>
      <c r="E31" s="1549">
        <f t="shared" si="0"/>
        <v>2.0833333333333335</v>
      </c>
      <c r="F31" s="2458">
        <v>31</v>
      </c>
      <c r="G31" s="2459">
        <v>15</v>
      </c>
      <c r="H31" s="1549">
        <f t="shared" si="1"/>
        <v>2.0666666666666669</v>
      </c>
      <c r="I31" s="2458">
        <v>29</v>
      </c>
      <c r="J31" s="2459">
        <v>12</v>
      </c>
      <c r="K31" s="1549">
        <f t="shared" si="2"/>
        <v>2.4166666666666665</v>
      </c>
      <c r="L31" s="2458">
        <v>34</v>
      </c>
      <c r="M31" s="2459">
        <v>13</v>
      </c>
      <c r="N31" s="1549">
        <f t="shared" si="3"/>
        <v>2.6153846153846154</v>
      </c>
      <c r="O31" s="2458">
        <v>28</v>
      </c>
      <c r="P31" s="2459">
        <v>16</v>
      </c>
      <c r="Q31" s="1549">
        <f t="shared" si="4"/>
        <v>1.75</v>
      </c>
      <c r="R31" s="2458">
        <v>36</v>
      </c>
      <c r="S31" s="2459">
        <v>16</v>
      </c>
      <c r="T31" s="1549">
        <f t="shared" si="5"/>
        <v>2.25</v>
      </c>
      <c r="U31" s="2458">
        <v>28</v>
      </c>
      <c r="V31" s="2459">
        <v>18</v>
      </c>
      <c r="W31" s="1549">
        <f t="shared" si="6"/>
        <v>1.5555555555555556</v>
      </c>
      <c r="X31" s="2458">
        <v>40</v>
      </c>
      <c r="Y31" s="2066">
        <v>21</v>
      </c>
      <c r="Z31" s="1549">
        <f t="shared" si="7"/>
        <v>1.9047619047619047</v>
      </c>
      <c r="AA31" s="2458">
        <v>70</v>
      </c>
      <c r="AB31" s="2066">
        <v>20</v>
      </c>
      <c r="AC31" s="1549">
        <f t="shared" si="8"/>
        <v>3.5</v>
      </c>
    </row>
    <row r="32" spans="1:29" s="1" customFormat="1">
      <c r="A32" s="237"/>
      <c r="B32" s="1545" t="s">
        <v>854</v>
      </c>
      <c r="C32" s="2458">
        <v>41</v>
      </c>
      <c r="D32" s="2459">
        <v>15</v>
      </c>
      <c r="E32" s="1549">
        <f t="shared" si="0"/>
        <v>2.7333333333333334</v>
      </c>
      <c r="F32" s="2458">
        <v>54</v>
      </c>
      <c r="G32" s="2459">
        <v>17</v>
      </c>
      <c r="H32" s="1549">
        <f t="shared" si="1"/>
        <v>3.1764705882352939</v>
      </c>
      <c r="I32" s="2458">
        <v>7</v>
      </c>
      <c r="J32" s="2459">
        <v>17</v>
      </c>
      <c r="K32" s="1549">
        <f t="shared" si="2"/>
        <v>0.41176470588235292</v>
      </c>
      <c r="L32" s="2458">
        <v>37</v>
      </c>
      <c r="M32" s="2459">
        <v>20</v>
      </c>
      <c r="N32" s="1549">
        <f t="shared" si="3"/>
        <v>1.85</v>
      </c>
      <c r="O32" s="2458">
        <v>23</v>
      </c>
      <c r="P32" s="2459">
        <v>20</v>
      </c>
      <c r="Q32" s="1549">
        <f t="shared" si="4"/>
        <v>1.1499999999999999</v>
      </c>
      <c r="R32" s="2458">
        <v>45</v>
      </c>
      <c r="S32" s="2459">
        <v>19</v>
      </c>
      <c r="T32" s="1549">
        <f t="shared" si="5"/>
        <v>2.3684210526315788</v>
      </c>
      <c r="U32" s="2458">
        <v>39</v>
      </c>
      <c r="V32" s="2459">
        <v>21</v>
      </c>
      <c r="W32" s="1549">
        <f t="shared" si="6"/>
        <v>1.8571428571428572</v>
      </c>
      <c r="X32" s="2458">
        <v>45</v>
      </c>
      <c r="Y32" s="2066">
        <v>21</v>
      </c>
      <c r="Z32" s="1549">
        <f t="shared" si="7"/>
        <v>2.1428571428571428</v>
      </c>
      <c r="AA32" s="2458">
        <v>36</v>
      </c>
      <c r="AB32" s="2066">
        <v>22</v>
      </c>
      <c r="AC32" s="1549">
        <f t="shared" si="8"/>
        <v>1.6363636363636365</v>
      </c>
    </row>
    <row r="33" spans="1:29" s="1" customFormat="1" ht="15" customHeight="1">
      <c r="A33" s="237"/>
      <c r="B33" s="4243" t="s">
        <v>16</v>
      </c>
      <c r="C33" s="4299">
        <v>95</v>
      </c>
      <c r="D33" s="4300">
        <f>SUM(D30:D32)</f>
        <v>38</v>
      </c>
      <c r="E33" s="4301">
        <f t="shared" si="0"/>
        <v>2.5</v>
      </c>
      <c r="F33" s="4299">
        <v>114</v>
      </c>
      <c r="G33" s="4300">
        <f t="shared" ref="G33" si="49">SUM(G30:G32)</f>
        <v>45</v>
      </c>
      <c r="H33" s="4301">
        <f t="shared" si="1"/>
        <v>2.5333333333333332</v>
      </c>
      <c r="I33" s="4299">
        <f>SUM(I30:I32)</f>
        <v>56</v>
      </c>
      <c r="J33" s="4300">
        <f t="shared" ref="J33" si="50">SUM(J30:J32)</f>
        <v>42</v>
      </c>
      <c r="K33" s="4301">
        <f t="shared" si="2"/>
        <v>1.3333333333333333</v>
      </c>
      <c r="L33" s="4299">
        <f>SUM(L30:L32)</f>
        <v>97</v>
      </c>
      <c r="M33" s="4300">
        <f t="shared" ref="M33" si="51">SUM(M30:M32)</f>
        <v>46</v>
      </c>
      <c r="N33" s="4301">
        <f t="shared" si="3"/>
        <v>2.1086956521739131</v>
      </c>
      <c r="O33" s="4299">
        <f>SUM(O30:O32)</f>
        <v>73</v>
      </c>
      <c r="P33" s="4300">
        <f t="shared" ref="P33" si="52">SUM(P30:P32)</f>
        <v>49</v>
      </c>
      <c r="Q33" s="4301">
        <f t="shared" si="4"/>
        <v>1.489795918367347</v>
      </c>
      <c r="R33" s="4299">
        <f>SUM(R30:R32)</f>
        <v>106</v>
      </c>
      <c r="S33" s="4300">
        <v>50</v>
      </c>
      <c r="T33" s="4301">
        <f t="shared" si="5"/>
        <v>2.12</v>
      </c>
      <c r="U33" s="4299">
        <v>89</v>
      </c>
      <c r="V33" s="4300">
        <f>SUM(V30:V32)</f>
        <v>54</v>
      </c>
      <c r="W33" s="4301">
        <f t="shared" si="6"/>
        <v>1.6481481481481481</v>
      </c>
      <c r="X33" s="4299">
        <v>128</v>
      </c>
      <c r="Y33" s="4271">
        <f>SUM(Y30:Y32)</f>
        <v>61</v>
      </c>
      <c r="Z33" s="4301">
        <f t="shared" si="7"/>
        <v>2.098360655737705</v>
      </c>
      <c r="AA33" s="4299">
        <v>155</v>
      </c>
      <c r="AB33" s="4271">
        <v>59</v>
      </c>
      <c r="AC33" s="4301">
        <f t="shared" si="8"/>
        <v>2.6271186440677967</v>
      </c>
    </row>
    <row r="34" spans="1:29" s="1" customFormat="1" ht="15" customHeight="1">
      <c r="A34" s="237"/>
      <c r="B34" s="4307" t="s">
        <v>366</v>
      </c>
      <c r="C34" s="4308">
        <v>208</v>
      </c>
      <c r="D34" s="4309">
        <f>SUM(D33,D29,D25)</f>
        <v>103</v>
      </c>
      <c r="E34" s="4310">
        <f t="shared" si="0"/>
        <v>2.0194174757281553</v>
      </c>
      <c r="F34" s="4308">
        <v>254</v>
      </c>
      <c r="G34" s="4309">
        <f t="shared" ref="G34" si="53">SUM(G33,G29,G25)</f>
        <v>119</v>
      </c>
      <c r="H34" s="4310">
        <f t="shared" si="1"/>
        <v>2.134453781512605</v>
      </c>
      <c r="I34" s="4308">
        <f t="shared" ref="I34" si="54">SUM(I33,I29,I25)</f>
        <v>205</v>
      </c>
      <c r="J34" s="4309">
        <f t="shared" ref="J34" si="55">SUM(J33,J29,J25)</f>
        <v>130</v>
      </c>
      <c r="K34" s="4310">
        <f t="shared" si="2"/>
        <v>1.5769230769230769</v>
      </c>
      <c r="L34" s="4308">
        <f t="shared" ref="L34" si="56">SUM(L33,L29,L25)</f>
        <v>309</v>
      </c>
      <c r="M34" s="4309">
        <f t="shared" ref="M34" si="57">SUM(M33,M29,M25)</f>
        <v>135</v>
      </c>
      <c r="N34" s="4310">
        <f t="shared" si="3"/>
        <v>2.2888888888888888</v>
      </c>
      <c r="O34" s="4308">
        <f t="shared" ref="O34" si="58">SUM(O33,O29,O25)</f>
        <v>237</v>
      </c>
      <c r="P34" s="4309">
        <f t="shared" ref="P34" si="59">SUM(P33,P29,P25)</f>
        <v>143</v>
      </c>
      <c r="Q34" s="4310">
        <f t="shared" si="4"/>
        <v>1.6573426573426573</v>
      </c>
      <c r="R34" s="4308">
        <f t="shared" ref="R34" si="60">SUM(R33,R29,R25)</f>
        <v>366</v>
      </c>
      <c r="S34" s="4309">
        <v>147</v>
      </c>
      <c r="T34" s="4310">
        <f t="shared" si="5"/>
        <v>2.489795918367347</v>
      </c>
      <c r="U34" s="4308">
        <v>279</v>
      </c>
      <c r="V34" s="4309">
        <f>SUM(V25,V29,V33)</f>
        <v>153</v>
      </c>
      <c r="W34" s="4310">
        <f t="shared" si="6"/>
        <v>1.8235294117647058</v>
      </c>
      <c r="X34" s="4308">
        <v>333</v>
      </c>
      <c r="Y34" s="4311">
        <f>SUM(Y25,Y29,Y33)</f>
        <v>163</v>
      </c>
      <c r="Z34" s="4310">
        <f t="shared" si="7"/>
        <v>2.0429447852760738</v>
      </c>
      <c r="AA34" s="4308">
        <v>370</v>
      </c>
      <c r="AB34" s="4311">
        <v>160</v>
      </c>
      <c r="AC34" s="4310">
        <f t="shared" si="8"/>
        <v>2.3125</v>
      </c>
    </row>
    <row r="35" spans="1:29" s="1" customFormat="1">
      <c r="A35" s="237"/>
      <c r="B35" s="1545" t="s">
        <v>1173</v>
      </c>
      <c r="C35" s="2458">
        <v>105</v>
      </c>
      <c r="D35" s="2459">
        <v>56</v>
      </c>
      <c r="E35" s="1549">
        <f t="shared" si="0"/>
        <v>1.875</v>
      </c>
      <c r="F35" s="2458">
        <v>121</v>
      </c>
      <c r="G35" s="2459">
        <v>56</v>
      </c>
      <c r="H35" s="1549">
        <f t="shared" si="1"/>
        <v>2.1607142857142856</v>
      </c>
      <c r="I35" s="2458">
        <v>127</v>
      </c>
      <c r="J35" s="2459">
        <v>56</v>
      </c>
      <c r="K35" s="1549">
        <f t="shared" si="2"/>
        <v>2.2678571428571428</v>
      </c>
      <c r="L35" s="2458">
        <v>121</v>
      </c>
      <c r="M35" s="2459">
        <v>58</v>
      </c>
      <c r="N35" s="1549">
        <f t="shared" si="3"/>
        <v>2.0862068965517242</v>
      </c>
      <c r="O35" s="2458">
        <v>112</v>
      </c>
      <c r="P35" s="2459">
        <v>57</v>
      </c>
      <c r="Q35" s="1549">
        <f t="shared" si="4"/>
        <v>1.9649122807017543</v>
      </c>
      <c r="R35" s="2458">
        <v>112</v>
      </c>
      <c r="S35" s="2459">
        <v>56</v>
      </c>
      <c r="T35" s="1549">
        <f t="shared" si="5"/>
        <v>2</v>
      </c>
      <c r="U35" s="2458">
        <v>91</v>
      </c>
      <c r="V35" s="2459">
        <v>57</v>
      </c>
      <c r="W35" s="1549">
        <f t="shared" si="6"/>
        <v>1.5964912280701755</v>
      </c>
      <c r="X35" s="2458">
        <v>66</v>
      </c>
      <c r="Y35" s="2066">
        <v>56</v>
      </c>
      <c r="Z35" s="1549">
        <f t="shared" si="7"/>
        <v>1.1785714285714286</v>
      </c>
      <c r="AA35" s="2458">
        <v>97</v>
      </c>
      <c r="AB35" s="2066">
        <v>57</v>
      </c>
      <c r="AC35" s="1549">
        <f t="shared" si="8"/>
        <v>1.7017543859649122</v>
      </c>
    </row>
    <row r="36" spans="1:29" s="1" customFormat="1">
      <c r="A36" s="237"/>
      <c r="B36" s="1545" t="s">
        <v>1174</v>
      </c>
      <c r="C36" s="2458">
        <v>98</v>
      </c>
      <c r="D36" s="2459">
        <v>38</v>
      </c>
      <c r="E36" s="1549">
        <f t="shared" si="0"/>
        <v>2.5789473684210527</v>
      </c>
      <c r="F36" s="2458">
        <v>93</v>
      </c>
      <c r="G36" s="2459">
        <v>39</v>
      </c>
      <c r="H36" s="1549">
        <f t="shared" si="1"/>
        <v>2.3846153846153846</v>
      </c>
      <c r="I36" s="2458">
        <v>85</v>
      </c>
      <c r="J36" s="2459">
        <v>43</v>
      </c>
      <c r="K36" s="1549">
        <f t="shared" si="2"/>
        <v>1.9767441860465116</v>
      </c>
      <c r="L36" s="2458">
        <v>122</v>
      </c>
      <c r="M36" s="2459">
        <v>44</v>
      </c>
      <c r="N36" s="1549">
        <f t="shared" si="3"/>
        <v>2.7727272727272729</v>
      </c>
      <c r="O36" s="2458">
        <v>110</v>
      </c>
      <c r="P36" s="2459">
        <v>46</v>
      </c>
      <c r="Q36" s="1549">
        <f t="shared" si="4"/>
        <v>2.3913043478260869</v>
      </c>
      <c r="R36" s="2458">
        <v>107</v>
      </c>
      <c r="S36" s="2459">
        <v>46</v>
      </c>
      <c r="T36" s="1549">
        <f t="shared" si="5"/>
        <v>2.3260869565217392</v>
      </c>
      <c r="U36" s="2458">
        <v>110</v>
      </c>
      <c r="V36" s="2459">
        <v>45</v>
      </c>
      <c r="W36" s="1549">
        <f t="shared" si="6"/>
        <v>2.4444444444444446</v>
      </c>
      <c r="X36" s="2458">
        <v>110</v>
      </c>
      <c r="Y36" s="2066">
        <v>42</v>
      </c>
      <c r="Z36" s="1549">
        <f t="shared" si="7"/>
        <v>2.6190476190476191</v>
      </c>
      <c r="AA36" s="2458">
        <v>128</v>
      </c>
      <c r="AB36" s="2066">
        <v>40</v>
      </c>
      <c r="AC36" s="1549">
        <f t="shared" si="8"/>
        <v>3.2</v>
      </c>
    </row>
    <row r="37" spans="1:29" s="1" customFormat="1">
      <c r="A37" s="237"/>
      <c r="B37" s="1545" t="s">
        <v>1175</v>
      </c>
      <c r="C37" s="2458">
        <v>97</v>
      </c>
      <c r="D37" s="2459">
        <v>64</v>
      </c>
      <c r="E37" s="1549">
        <f t="shared" si="0"/>
        <v>1.515625</v>
      </c>
      <c r="F37" s="2458">
        <v>109</v>
      </c>
      <c r="G37" s="2459">
        <v>64</v>
      </c>
      <c r="H37" s="1549">
        <f t="shared" si="1"/>
        <v>1.703125</v>
      </c>
      <c r="I37" s="2458">
        <v>98</v>
      </c>
      <c r="J37" s="2459">
        <v>62</v>
      </c>
      <c r="K37" s="1549">
        <f t="shared" si="2"/>
        <v>1.5806451612903225</v>
      </c>
      <c r="L37" s="2458">
        <v>132</v>
      </c>
      <c r="M37" s="2459">
        <v>64</v>
      </c>
      <c r="N37" s="1549">
        <f t="shared" si="3"/>
        <v>2.0625</v>
      </c>
      <c r="O37" s="2458">
        <v>120</v>
      </c>
      <c r="P37" s="2459">
        <v>64</v>
      </c>
      <c r="Q37" s="1549">
        <f t="shared" si="4"/>
        <v>1.875</v>
      </c>
      <c r="R37" s="2458">
        <v>96</v>
      </c>
      <c r="S37" s="2459">
        <v>66</v>
      </c>
      <c r="T37" s="1549">
        <f t="shared" si="5"/>
        <v>1.4545454545454546</v>
      </c>
      <c r="U37" s="2458">
        <v>107</v>
      </c>
      <c r="V37" s="2459">
        <v>65</v>
      </c>
      <c r="W37" s="1549">
        <f t="shared" si="6"/>
        <v>1.6461538461538461</v>
      </c>
      <c r="X37" s="2458">
        <v>128</v>
      </c>
      <c r="Y37" s="2066">
        <v>64</v>
      </c>
      <c r="Z37" s="1549">
        <f t="shared" si="7"/>
        <v>2</v>
      </c>
      <c r="AA37" s="2458">
        <v>112</v>
      </c>
      <c r="AB37" s="2066">
        <v>64</v>
      </c>
      <c r="AC37" s="1549">
        <f t="shared" si="8"/>
        <v>1.75</v>
      </c>
    </row>
    <row r="38" spans="1:29" s="1" customFormat="1">
      <c r="A38" s="237"/>
      <c r="B38" s="1545" t="s">
        <v>1176</v>
      </c>
      <c r="C38" s="2458">
        <v>73</v>
      </c>
      <c r="D38" s="2459">
        <v>63</v>
      </c>
      <c r="E38" s="1549">
        <f t="shared" si="0"/>
        <v>1.1587301587301588</v>
      </c>
      <c r="F38" s="2458">
        <v>66</v>
      </c>
      <c r="G38" s="2459">
        <v>63</v>
      </c>
      <c r="H38" s="1549">
        <f t="shared" si="1"/>
        <v>1.0476190476190477</v>
      </c>
      <c r="I38" s="2458">
        <v>50</v>
      </c>
      <c r="J38" s="2459">
        <v>62</v>
      </c>
      <c r="K38" s="1549">
        <f t="shared" si="2"/>
        <v>0.80645161290322576</v>
      </c>
      <c r="L38" s="2458">
        <v>77</v>
      </c>
      <c r="M38" s="2459">
        <v>62</v>
      </c>
      <c r="N38" s="1549">
        <f t="shared" si="3"/>
        <v>1.2419354838709677</v>
      </c>
      <c r="O38" s="2458">
        <v>63</v>
      </c>
      <c r="P38" s="2459">
        <v>63</v>
      </c>
      <c r="Q38" s="1549">
        <f t="shared" si="4"/>
        <v>1</v>
      </c>
      <c r="R38" s="2458">
        <v>65</v>
      </c>
      <c r="S38" s="2459">
        <v>60</v>
      </c>
      <c r="T38" s="1549">
        <f t="shared" si="5"/>
        <v>1.0833333333333333</v>
      </c>
      <c r="U38" s="2458">
        <v>57</v>
      </c>
      <c r="V38" s="2459">
        <v>60</v>
      </c>
      <c r="W38" s="1549">
        <f t="shared" si="6"/>
        <v>0.95</v>
      </c>
      <c r="X38" s="2458">
        <v>59</v>
      </c>
      <c r="Y38" s="2066">
        <v>59</v>
      </c>
      <c r="Z38" s="1549">
        <f t="shared" si="7"/>
        <v>1</v>
      </c>
      <c r="AA38" s="2458">
        <v>71</v>
      </c>
      <c r="AB38" s="2066">
        <v>60</v>
      </c>
      <c r="AC38" s="1549">
        <f t="shared" si="8"/>
        <v>1.1833333333333333</v>
      </c>
    </row>
    <row r="39" spans="1:29" s="1" customFormat="1">
      <c r="A39" s="237"/>
      <c r="B39" s="1545" t="s">
        <v>1177</v>
      </c>
      <c r="C39" s="2458">
        <v>112</v>
      </c>
      <c r="D39" s="2459">
        <v>55</v>
      </c>
      <c r="E39" s="1549">
        <f t="shared" si="0"/>
        <v>2.0363636363636362</v>
      </c>
      <c r="F39" s="2458">
        <v>143</v>
      </c>
      <c r="G39" s="2459">
        <v>56</v>
      </c>
      <c r="H39" s="1549">
        <f t="shared" si="1"/>
        <v>2.5535714285714284</v>
      </c>
      <c r="I39" s="2458">
        <v>155</v>
      </c>
      <c r="J39" s="2459">
        <v>56</v>
      </c>
      <c r="K39" s="1549">
        <f t="shared" si="2"/>
        <v>2.7678571428571428</v>
      </c>
      <c r="L39" s="2458">
        <v>126</v>
      </c>
      <c r="M39" s="2459">
        <v>56</v>
      </c>
      <c r="N39" s="1549">
        <f t="shared" si="3"/>
        <v>2.25</v>
      </c>
      <c r="O39" s="2458">
        <v>109</v>
      </c>
      <c r="P39" s="2459">
        <v>56</v>
      </c>
      <c r="Q39" s="1549">
        <f t="shared" si="4"/>
        <v>1.9464285714285714</v>
      </c>
      <c r="R39" s="2458">
        <v>136</v>
      </c>
      <c r="S39" s="2459">
        <v>55</v>
      </c>
      <c r="T39" s="1549">
        <f t="shared" si="5"/>
        <v>2.4727272727272727</v>
      </c>
      <c r="U39" s="2458">
        <v>116</v>
      </c>
      <c r="V39" s="2459">
        <v>54</v>
      </c>
      <c r="W39" s="1549">
        <f t="shared" si="6"/>
        <v>2.1481481481481484</v>
      </c>
      <c r="X39" s="2458">
        <v>130</v>
      </c>
      <c r="Y39" s="2066">
        <v>54</v>
      </c>
      <c r="Z39" s="1549">
        <f t="shared" si="7"/>
        <v>2.4074074074074074</v>
      </c>
      <c r="AA39" s="2458">
        <v>112</v>
      </c>
      <c r="AB39" s="2066">
        <v>54</v>
      </c>
      <c r="AC39" s="1549">
        <f t="shared" si="8"/>
        <v>2.074074074074074</v>
      </c>
    </row>
    <row r="40" spans="1:29" s="1" customFormat="1" ht="15" customHeight="1">
      <c r="A40" s="237"/>
      <c r="B40" s="4179" t="s">
        <v>4</v>
      </c>
      <c r="C40" s="2456">
        <v>485</v>
      </c>
      <c r="D40" s="2457">
        <f>SUM(D35:D39)</f>
        <v>276</v>
      </c>
      <c r="E40" s="1561">
        <f t="shared" si="0"/>
        <v>1.7572463768115942</v>
      </c>
      <c r="F40" s="2456">
        <v>532</v>
      </c>
      <c r="G40" s="2457">
        <f t="shared" ref="G40" si="61">SUM(G35:G39)</f>
        <v>278</v>
      </c>
      <c r="H40" s="1561">
        <f t="shared" si="1"/>
        <v>1.9136690647482015</v>
      </c>
      <c r="I40" s="2456">
        <f>SUM(I35:I39)</f>
        <v>515</v>
      </c>
      <c r="J40" s="2457">
        <f t="shared" ref="J40" si="62">SUM(J35:J39)</f>
        <v>279</v>
      </c>
      <c r="K40" s="1561">
        <f t="shared" si="2"/>
        <v>1.8458781362007168</v>
      </c>
      <c r="L40" s="2456">
        <f>SUM(L35:L39)</f>
        <v>578</v>
      </c>
      <c r="M40" s="2457">
        <f t="shared" ref="M40" si="63">SUM(M35:M39)</f>
        <v>284</v>
      </c>
      <c r="N40" s="1561">
        <f t="shared" si="3"/>
        <v>2.035211267605634</v>
      </c>
      <c r="O40" s="2456">
        <f>SUM(O35:O39)</f>
        <v>514</v>
      </c>
      <c r="P40" s="2457">
        <f t="shared" ref="P40" si="64">SUM(P35:P39)</f>
        <v>286</v>
      </c>
      <c r="Q40" s="1561">
        <f t="shared" si="4"/>
        <v>1.7972027972027973</v>
      </c>
      <c r="R40" s="2456">
        <f>SUM(R35:R39)</f>
        <v>516</v>
      </c>
      <c r="S40" s="2457">
        <v>283</v>
      </c>
      <c r="T40" s="1561">
        <f t="shared" si="5"/>
        <v>1.8233215547703181</v>
      </c>
      <c r="U40" s="2456">
        <v>481</v>
      </c>
      <c r="V40" s="2457">
        <f>SUM(V35:V39)</f>
        <v>281</v>
      </c>
      <c r="W40" s="1561">
        <f t="shared" si="6"/>
        <v>1.7117437722419928</v>
      </c>
      <c r="X40" s="2456">
        <v>493</v>
      </c>
      <c r="Y40" s="2060">
        <f>SUM(Y35:Y39)</f>
        <v>275</v>
      </c>
      <c r="Z40" s="1561">
        <f t="shared" si="7"/>
        <v>1.7927272727272727</v>
      </c>
      <c r="AA40" s="2456">
        <v>520</v>
      </c>
      <c r="AB40" s="2060">
        <v>275</v>
      </c>
      <c r="AC40" s="1561">
        <f t="shared" si="8"/>
        <v>1.8909090909090909</v>
      </c>
    </row>
    <row r="41" spans="1:29" s="1" customFormat="1">
      <c r="A41" s="237"/>
      <c r="B41" s="1545" t="s">
        <v>1178</v>
      </c>
      <c r="C41" s="2458">
        <v>65</v>
      </c>
      <c r="D41" s="2459">
        <v>40</v>
      </c>
      <c r="E41" s="1549">
        <f t="shared" si="0"/>
        <v>1.625</v>
      </c>
      <c r="F41" s="2458">
        <v>72</v>
      </c>
      <c r="G41" s="2459">
        <v>43</v>
      </c>
      <c r="H41" s="1549">
        <f t="shared" si="1"/>
        <v>1.6744186046511629</v>
      </c>
      <c r="I41" s="2458">
        <v>107</v>
      </c>
      <c r="J41" s="2459">
        <v>43</v>
      </c>
      <c r="K41" s="1549">
        <f t="shared" si="2"/>
        <v>2.4883720930232558</v>
      </c>
      <c r="L41" s="2458">
        <v>73</v>
      </c>
      <c r="M41" s="2459">
        <v>46</v>
      </c>
      <c r="N41" s="1549">
        <f t="shared" si="3"/>
        <v>1.5869565217391304</v>
      </c>
      <c r="O41" s="2458">
        <v>52</v>
      </c>
      <c r="P41" s="2459">
        <v>47</v>
      </c>
      <c r="Q41" s="1549">
        <f t="shared" si="4"/>
        <v>1.1063829787234043</v>
      </c>
      <c r="R41" s="2458">
        <v>77</v>
      </c>
      <c r="S41" s="2459">
        <v>47</v>
      </c>
      <c r="T41" s="1549">
        <f t="shared" si="5"/>
        <v>1.6382978723404256</v>
      </c>
      <c r="U41" s="2458">
        <v>63</v>
      </c>
      <c r="V41" s="2459">
        <v>48</v>
      </c>
      <c r="W41" s="1549">
        <f t="shared" si="6"/>
        <v>1.3125</v>
      </c>
      <c r="X41" s="2458">
        <v>55</v>
      </c>
      <c r="Y41" s="2066">
        <v>47</v>
      </c>
      <c r="Z41" s="1549">
        <f t="shared" si="7"/>
        <v>1.1702127659574468</v>
      </c>
      <c r="AA41" s="2458">
        <v>69</v>
      </c>
      <c r="AB41" s="2066">
        <v>47</v>
      </c>
      <c r="AC41" s="1549">
        <f t="shared" si="8"/>
        <v>1.4680851063829787</v>
      </c>
    </row>
    <row r="42" spans="1:29" s="1" customFormat="1">
      <c r="A42" s="237"/>
      <c r="B42" s="1545" t="s">
        <v>1179</v>
      </c>
      <c r="C42" s="2458">
        <v>52</v>
      </c>
      <c r="D42" s="2459">
        <v>33</v>
      </c>
      <c r="E42" s="1549">
        <f t="shared" si="0"/>
        <v>1.5757575757575757</v>
      </c>
      <c r="F42" s="2458">
        <v>56</v>
      </c>
      <c r="G42" s="2459">
        <v>36</v>
      </c>
      <c r="H42" s="1549">
        <f t="shared" si="1"/>
        <v>1.5555555555555556</v>
      </c>
      <c r="I42" s="2458">
        <v>56</v>
      </c>
      <c r="J42" s="2459">
        <v>35</v>
      </c>
      <c r="K42" s="1549">
        <f t="shared" si="2"/>
        <v>1.6</v>
      </c>
      <c r="L42" s="2458">
        <v>56</v>
      </c>
      <c r="M42" s="2459">
        <v>35</v>
      </c>
      <c r="N42" s="1549">
        <f t="shared" si="3"/>
        <v>1.6</v>
      </c>
      <c r="O42" s="2458">
        <v>32</v>
      </c>
      <c r="P42" s="2459">
        <v>34</v>
      </c>
      <c r="Q42" s="1549">
        <f t="shared" si="4"/>
        <v>0.94117647058823528</v>
      </c>
      <c r="R42" s="2458">
        <v>42</v>
      </c>
      <c r="S42" s="2459">
        <v>36</v>
      </c>
      <c r="T42" s="1549">
        <f t="shared" si="5"/>
        <v>1.1666666666666667</v>
      </c>
      <c r="U42" s="2458">
        <v>56</v>
      </c>
      <c r="V42" s="2459">
        <v>37</v>
      </c>
      <c r="W42" s="1549">
        <f t="shared" si="6"/>
        <v>1.5135135135135136</v>
      </c>
      <c r="X42" s="2458">
        <v>59</v>
      </c>
      <c r="Y42" s="2066">
        <v>37</v>
      </c>
      <c r="Z42" s="1549">
        <f t="shared" si="7"/>
        <v>1.5945945945945945</v>
      </c>
      <c r="AA42" s="2458">
        <v>50</v>
      </c>
      <c r="AB42" s="2066">
        <v>39</v>
      </c>
      <c r="AC42" s="1549">
        <f t="shared" si="8"/>
        <v>1.2820512820512822</v>
      </c>
    </row>
    <row r="43" spans="1:29" s="1" customFormat="1">
      <c r="A43" s="237"/>
      <c r="B43" s="1545" t="s">
        <v>1180</v>
      </c>
      <c r="C43" s="2458">
        <v>116</v>
      </c>
      <c r="D43" s="2459">
        <v>50</v>
      </c>
      <c r="E43" s="1549">
        <f t="shared" si="0"/>
        <v>2.3199999999999998</v>
      </c>
      <c r="F43" s="2458">
        <v>102</v>
      </c>
      <c r="G43" s="2459">
        <v>49</v>
      </c>
      <c r="H43" s="1549">
        <f t="shared" si="1"/>
        <v>2.0816326530612246</v>
      </c>
      <c r="I43" s="2458">
        <v>100</v>
      </c>
      <c r="J43" s="2459">
        <v>48</v>
      </c>
      <c r="K43" s="1549">
        <f t="shared" si="2"/>
        <v>2.0833333333333335</v>
      </c>
      <c r="L43" s="2458">
        <v>84</v>
      </c>
      <c r="M43" s="2459">
        <v>49</v>
      </c>
      <c r="N43" s="1549">
        <f t="shared" si="3"/>
        <v>1.7142857142857142</v>
      </c>
      <c r="O43" s="2458">
        <v>100</v>
      </c>
      <c r="P43" s="2459">
        <v>51</v>
      </c>
      <c r="Q43" s="1549">
        <f t="shared" si="4"/>
        <v>1.9607843137254901</v>
      </c>
      <c r="R43" s="2458">
        <v>102</v>
      </c>
      <c r="S43" s="2459">
        <v>53</v>
      </c>
      <c r="T43" s="1549">
        <f t="shared" si="5"/>
        <v>1.9245283018867925</v>
      </c>
      <c r="U43" s="2458">
        <v>88</v>
      </c>
      <c r="V43" s="2459">
        <v>53</v>
      </c>
      <c r="W43" s="1549">
        <f t="shared" si="6"/>
        <v>1.6603773584905661</v>
      </c>
      <c r="X43" s="2458">
        <v>87</v>
      </c>
      <c r="Y43" s="2066">
        <v>51</v>
      </c>
      <c r="Z43" s="1549">
        <f t="shared" si="7"/>
        <v>1.7058823529411764</v>
      </c>
      <c r="AA43" s="2458">
        <v>142</v>
      </c>
      <c r="AB43" s="2066">
        <v>49</v>
      </c>
      <c r="AC43" s="1549">
        <f t="shared" si="8"/>
        <v>2.8979591836734695</v>
      </c>
    </row>
    <row r="44" spans="1:29" s="1" customFormat="1">
      <c r="A44" s="237"/>
      <c r="B44" s="1545" t="s">
        <v>1181</v>
      </c>
      <c r="C44" s="2458">
        <v>87</v>
      </c>
      <c r="D44" s="2459">
        <v>46</v>
      </c>
      <c r="E44" s="1549">
        <f t="shared" si="0"/>
        <v>1.8913043478260869</v>
      </c>
      <c r="F44" s="2458">
        <v>54</v>
      </c>
      <c r="G44" s="2459">
        <v>48</v>
      </c>
      <c r="H44" s="1549">
        <f t="shared" si="1"/>
        <v>1.125</v>
      </c>
      <c r="I44" s="2458">
        <v>49</v>
      </c>
      <c r="J44" s="2459">
        <v>48</v>
      </c>
      <c r="K44" s="1549">
        <f t="shared" si="2"/>
        <v>1.0208333333333333</v>
      </c>
      <c r="L44" s="2458">
        <v>99</v>
      </c>
      <c r="M44" s="2459">
        <v>50</v>
      </c>
      <c r="N44" s="1549">
        <f t="shared" si="3"/>
        <v>1.98</v>
      </c>
      <c r="O44" s="2458">
        <v>89</v>
      </c>
      <c r="P44" s="2459">
        <v>55</v>
      </c>
      <c r="Q44" s="1549">
        <f t="shared" si="4"/>
        <v>1.6181818181818182</v>
      </c>
      <c r="R44" s="2458">
        <v>94</v>
      </c>
      <c r="S44" s="2459">
        <v>54</v>
      </c>
      <c r="T44" s="1549">
        <f t="shared" si="5"/>
        <v>1.7407407407407407</v>
      </c>
      <c r="U44" s="2458">
        <v>104</v>
      </c>
      <c r="V44" s="2459">
        <v>55</v>
      </c>
      <c r="W44" s="1549">
        <f t="shared" si="6"/>
        <v>1.8909090909090909</v>
      </c>
      <c r="X44" s="2458">
        <v>168</v>
      </c>
      <c r="Y44" s="2066">
        <v>55</v>
      </c>
      <c r="Z44" s="1549">
        <f t="shared" si="7"/>
        <v>3.0545454545454547</v>
      </c>
      <c r="AA44" s="2458">
        <v>103</v>
      </c>
      <c r="AB44" s="2066">
        <v>55</v>
      </c>
      <c r="AC44" s="1549">
        <f t="shared" si="8"/>
        <v>1.8727272727272728</v>
      </c>
    </row>
    <row r="45" spans="1:29" s="1" customFormat="1">
      <c r="A45" s="237"/>
      <c r="B45" s="1545" t="s">
        <v>1182</v>
      </c>
      <c r="C45" s="2458">
        <v>30</v>
      </c>
      <c r="D45" s="2459">
        <v>37</v>
      </c>
      <c r="E45" s="1549">
        <f t="shared" si="0"/>
        <v>0.81081081081081086</v>
      </c>
      <c r="F45" s="2458">
        <v>45</v>
      </c>
      <c r="G45" s="2459">
        <v>38</v>
      </c>
      <c r="H45" s="1549">
        <f t="shared" si="1"/>
        <v>1.1842105263157894</v>
      </c>
      <c r="I45" s="2458">
        <v>19</v>
      </c>
      <c r="J45" s="2459">
        <v>40</v>
      </c>
      <c r="K45" s="1549">
        <f t="shared" si="2"/>
        <v>0.47499999999999998</v>
      </c>
      <c r="L45" s="2458">
        <v>62</v>
      </c>
      <c r="M45" s="2459">
        <v>41</v>
      </c>
      <c r="N45" s="1549">
        <f t="shared" si="3"/>
        <v>1.5121951219512195</v>
      </c>
      <c r="O45" s="2458">
        <v>68</v>
      </c>
      <c r="P45" s="2459">
        <v>41</v>
      </c>
      <c r="Q45" s="1549">
        <f t="shared" si="4"/>
        <v>1.6585365853658536</v>
      </c>
      <c r="R45" s="2458">
        <v>56</v>
      </c>
      <c r="S45" s="2459">
        <v>39</v>
      </c>
      <c r="T45" s="1549">
        <f t="shared" si="5"/>
        <v>1.4358974358974359</v>
      </c>
      <c r="U45" s="2458">
        <v>59</v>
      </c>
      <c r="V45" s="2459">
        <v>38</v>
      </c>
      <c r="W45" s="1549">
        <f t="shared" si="6"/>
        <v>1.5526315789473684</v>
      </c>
      <c r="X45" s="2458">
        <v>54</v>
      </c>
      <c r="Y45" s="2066">
        <v>38</v>
      </c>
      <c r="Z45" s="1549">
        <f t="shared" si="7"/>
        <v>1.4210526315789473</v>
      </c>
      <c r="AA45" s="2458">
        <v>67</v>
      </c>
      <c r="AB45" s="2066">
        <v>37</v>
      </c>
      <c r="AC45" s="1549">
        <f t="shared" si="8"/>
        <v>1.8108108108108107</v>
      </c>
    </row>
    <row r="46" spans="1:29" s="1" customFormat="1" ht="15" customHeight="1">
      <c r="A46" s="237"/>
      <c r="B46" s="4179" t="s">
        <v>41</v>
      </c>
      <c r="C46" s="2456">
        <v>350</v>
      </c>
      <c r="D46" s="2457">
        <f>SUM(D41:D45)</f>
        <v>206</v>
      </c>
      <c r="E46" s="1561">
        <f t="shared" si="0"/>
        <v>1.6990291262135921</v>
      </c>
      <c r="F46" s="2456">
        <v>329</v>
      </c>
      <c r="G46" s="2457">
        <f t="shared" ref="G46" si="65">SUM(G41:G45)</f>
        <v>214</v>
      </c>
      <c r="H46" s="1561">
        <f t="shared" si="1"/>
        <v>1.5373831775700935</v>
      </c>
      <c r="I46" s="2456">
        <f>SUM(I41:I45)</f>
        <v>331</v>
      </c>
      <c r="J46" s="2457">
        <f t="shared" ref="J46" si="66">SUM(J41:J45)</f>
        <v>214</v>
      </c>
      <c r="K46" s="1561">
        <f t="shared" si="2"/>
        <v>1.5467289719626167</v>
      </c>
      <c r="L46" s="2456">
        <f>SUM(L41:L45)</f>
        <v>374</v>
      </c>
      <c r="M46" s="2457">
        <f t="shared" ref="M46" si="67">SUM(M41:M45)</f>
        <v>221</v>
      </c>
      <c r="N46" s="1561">
        <f t="shared" si="3"/>
        <v>1.6923076923076923</v>
      </c>
      <c r="O46" s="2456">
        <f>SUM(O41:O45)</f>
        <v>341</v>
      </c>
      <c r="P46" s="2457">
        <f t="shared" ref="P46" si="68">SUM(P41:P45)</f>
        <v>228</v>
      </c>
      <c r="Q46" s="1561">
        <f t="shared" si="4"/>
        <v>1.4956140350877194</v>
      </c>
      <c r="R46" s="2456">
        <f>SUM(R41:R45)</f>
        <v>371</v>
      </c>
      <c r="S46" s="2457">
        <v>229</v>
      </c>
      <c r="T46" s="1561">
        <f t="shared" si="5"/>
        <v>1.6200873362445414</v>
      </c>
      <c r="U46" s="2456">
        <v>370</v>
      </c>
      <c r="V46" s="2457">
        <f>SUM(V41:V45)</f>
        <v>231</v>
      </c>
      <c r="W46" s="1561">
        <f t="shared" si="6"/>
        <v>1.6017316017316017</v>
      </c>
      <c r="X46" s="2456">
        <v>423</v>
      </c>
      <c r="Y46" s="2060">
        <f>SUM(Y41:Y45)</f>
        <v>228</v>
      </c>
      <c r="Z46" s="1561">
        <f t="shared" si="7"/>
        <v>1.8552631578947369</v>
      </c>
      <c r="AA46" s="2456">
        <v>431</v>
      </c>
      <c r="AB46" s="2060">
        <v>227</v>
      </c>
      <c r="AC46" s="1561">
        <f t="shared" si="8"/>
        <v>1.8986784140969164</v>
      </c>
    </row>
    <row r="47" spans="1:29" s="1" customFormat="1">
      <c r="A47" s="237"/>
      <c r="B47" s="1545" t="s">
        <v>1183</v>
      </c>
      <c r="C47" s="2458">
        <v>44</v>
      </c>
      <c r="D47" s="2459">
        <v>25</v>
      </c>
      <c r="E47" s="1549">
        <f t="shared" si="0"/>
        <v>1.76</v>
      </c>
      <c r="F47" s="2458">
        <v>42</v>
      </c>
      <c r="G47" s="2459">
        <v>25</v>
      </c>
      <c r="H47" s="1549">
        <f t="shared" si="1"/>
        <v>1.68</v>
      </c>
      <c r="I47" s="2458">
        <v>33</v>
      </c>
      <c r="J47" s="2459">
        <v>26</v>
      </c>
      <c r="K47" s="1549">
        <f t="shared" si="2"/>
        <v>1.2692307692307692</v>
      </c>
      <c r="L47" s="2458">
        <v>53</v>
      </c>
      <c r="M47" s="2459">
        <v>24</v>
      </c>
      <c r="N47" s="1549">
        <f t="shared" si="3"/>
        <v>2.2083333333333335</v>
      </c>
      <c r="O47" s="2458">
        <v>27</v>
      </c>
      <c r="P47" s="2459">
        <v>24</v>
      </c>
      <c r="Q47" s="1549">
        <f t="shared" si="4"/>
        <v>1.125</v>
      </c>
      <c r="R47" s="2458">
        <v>45</v>
      </c>
      <c r="S47" s="2459">
        <v>24</v>
      </c>
      <c r="T47" s="1549">
        <f t="shared" si="5"/>
        <v>1.875</v>
      </c>
      <c r="U47" s="2458">
        <v>30</v>
      </c>
      <c r="V47" s="2459">
        <v>24</v>
      </c>
      <c r="W47" s="1549">
        <f t="shared" si="6"/>
        <v>1.25</v>
      </c>
      <c r="X47" s="2458">
        <v>35</v>
      </c>
      <c r="Y47" s="2066">
        <v>23</v>
      </c>
      <c r="Z47" s="1549">
        <f t="shared" si="7"/>
        <v>1.5217391304347827</v>
      </c>
      <c r="AA47" s="2458">
        <v>41</v>
      </c>
      <c r="AB47" s="2066">
        <v>23</v>
      </c>
      <c r="AC47" s="1549">
        <f t="shared" si="8"/>
        <v>1.7826086956521738</v>
      </c>
    </row>
    <row r="48" spans="1:29" s="1" customFormat="1">
      <c r="A48" s="237"/>
      <c r="B48" s="1545" t="s">
        <v>1157</v>
      </c>
      <c r="C48" s="2458">
        <v>170</v>
      </c>
      <c r="D48" s="2459">
        <v>82</v>
      </c>
      <c r="E48" s="1549">
        <f t="shared" si="0"/>
        <v>2.0731707317073171</v>
      </c>
      <c r="F48" s="2458">
        <v>135</v>
      </c>
      <c r="G48" s="2459">
        <v>80</v>
      </c>
      <c r="H48" s="1549">
        <f t="shared" si="1"/>
        <v>1.6875</v>
      </c>
      <c r="I48" s="2458">
        <v>163</v>
      </c>
      <c r="J48" s="2459">
        <v>78</v>
      </c>
      <c r="K48" s="1549">
        <f t="shared" si="2"/>
        <v>2.0897435897435899</v>
      </c>
      <c r="L48" s="2458">
        <v>142</v>
      </c>
      <c r="M48" s="2459">
        <v>79</v>
      </c>
      <c r="N48" s="1549">
        <f t="shared" si="3"/>
        <v>1.7974683544303798</v>
      </c>
      <c r="O48" s="2458">
        <v>136</v>
      </c>
      <c r="P48" s="2459">
        <v>79</v>
      </c>
      <c r="Q48" s="1549">
        <f t="shared" si="4"/>
        <v>1.7215189873417722</v>
      </c>
      <c r="R48" s="2458">
        <v>160</v>
      </c>
      <c r="S48" s="2459">
        <v>78</v>
      </c>
      <c r="T48" s="1549">
        <f t="shared" si="5"/>
        <v>2.0512820512820511</v>
      </c>
      <c r="U48" s="2458">
        <v>109</v>
      </c>
      <c r="V48" s="2459">
        <v>78</v>
      </c>
      <c r="W48" s="1549">
        <f t="shared" si="6"/>
        <v>1.3974358974358974</v>
      </c>
      <c r="X48" s="2458">
        <v>110</v>
      </c>
      <c r="Y48" s="2066">
        <v>83</v>
      </c>
      <c r="Z48" s="1549">
        <f t="shared" si="7"/>
        <v>1.3253012048192772</v>
      </c>
      <c r="AA48" s="2458">
        <v>149</v>
      </c>
      <c r="AB48" s="2066">
        <v>87</v>
      </c>
      <c r="AC48" s="1549">
        <f t="shared" si="8"/>
        <v>1.7126436781609196</v>
      </c>
    </row>
    <row r="49" spans="1:29" s="1" customFormat="1">
      <c r="A49" s="237"/>
      <c r="B49" s="1545" t="s">
        <v>1184</v>
      </c>
      <c r="C49" s="2458">
        <v>181</v>
      </c>
      <c r="D49" s="2459">
        <v>108</v>
      </c>
      <c r="E49" s="1549">
        <f t="shared" si="0"/>
        <v>1.6759259259259258</v>
      </c>
      <c r="F49" s="2458">
        <v>178</v>
      </c>
      <c r="G49" s="2459">
        <v>105</v>
      </c>
      <c r="H49" s="1549">
        <f t="shared" si="1"/>
        <v>1.6952380952380952</v>
      </c>
      <c r="I49" s="2458">
        <v>216</v>
      </c>
      <c r="J49" s="2459">
        <v>105</v>
      </c>
      <c r="K49" s="1549">
        <f t="shared" si="2"/>
        <v>2.0571428571428569</v>
      </c>
      <c r="L49" s="2458">
        <v>158</v>
      </c>
      <c r="M49" s="2459">
        <v>104</v>
      </c>
      <c r="N49" s="1549">
        <f t="shared" si="3"/>
        <v>1.5192307692307692</v>
      </c>
      <c r="O49" s="2458">
        <v>136</v>
      </c>
      <c r="P49" s="2459">
        <v>106</v>
      </c>
      <c r="Q49" s="1549">
        <f t="shared" si="4"/>
        <v>1.2830188679245282</v>
      </c>
      <c r="R49" s="2458">
        <v>152</v>
      </c>
      <c r="S49" s="2459">
        <v>107</v>
      </c>
      <c r="T49" s="1549">
        <f t="shared" si="5"/>
        <v>1.4205607476635513</v>
      </c>
      <c r="U49" s="2458">
        <v>138</v>
      </c>
      <c r="V49" s="2459">
        <v>105</v>
      </c>
      <c r="W49" s="1549">
        <f t="shared" si="6"/>
        <v>1.3142857142857143</v>
      </c>
      <c r="X49" s="2458">
        <v>152</v>
      </c>
      <c r="Y49" s="2066">
        <v>107</v>
      </c>
      <c r="Z49" s="1549">
        <f t="shared" si="7"/>
        <v>1.4205607476635513</v>
      </c>
      <c r="AA49" s="2458">
        <v>152</v>
      </c>
      <c r="AB49" s="2066">
        <v>106</v>
      </c>
      <c r="AC49" s="1549">
        <f t="shared" si="8"/>
        <v>1.4339622641509433</v>
      </c>
    </row>
    <row r="50" spans="1:29" s="1" customFormat="1">
      <c r="A50" s="237"/>
      <c r="B50" s="1545" t="s">
        <v>1158</v>
      </c>
      <c r="C50" s="2458">
        <v>151</v>
      </c>
      <c r="D50" s="2459">
        <v>92</v>
      </c>
      <c r="E50" s="1549">
        <f t="shared" si="0"/>
        <v>1.6413043478260869</v>
      </c>
      <c r="F50" s="2458">
        <v>145</v>
      </c>
      <c r="G50" s="2459">
        <v>92</v>
      </c>
      <c r="H50" s="1549">
        <f t="shared" si="1"/>
        <v>1.576086956521739</v>
      </c>
      <c r="I50" s="2458">
        <v>111</v>
      </c>
      <c r="J50" s="2459">
        <v>89</v>
      </c>
      <c r="K50" s="1549">
        <f t="shared" si="2"/>
        <v>1.247191011235955</v>
      </c>
      <c r="L50" s="2458">
        <v>142</v>
      </c>
      <c r="M50" s="2459">
        <v>92</v>
      </c>
      <c r="N50" s="1549">
        <f t="shared" si="3"/>
        <v>1.5434782608695652</v>
      </c>
      <c r="O50" s="2458">
        <v>117</v>
      </c>
      <c r="P50" s="2459">
        <v>94</v>
      </c>
      <c r="Q50" s="1549">
        <f t="shared" si="4"/>
        <v>1.2446808510638299</v>
      </c>
      <c r="R50" s="2458">
        <v>121</v>
      </c>
      <c r="S50" s="2459">
        <v>92</v>
      </c>
      <c r="T50" s="1549">
        <f t="shared" si="5"/>
        <v>1.3152173913043479</v>
      </c>
      <c r="U50" s="2458">
        <v>96</v>
      </c>
      <c r="V50" s="2459">
        <v>91</v>
      </c>
      <c r="W50" s="1549">
        <f t="shared" si="6"/>
        <v>1.054945054945055</v>
      </c>
      <c r="X50" s="2458">
        <v>129</v>
      </c>
      <c r="Y50" s="2066">
        <v>90</v>
      </c>
      <c r="Z50" s="1549">
        <f t="shared" si="7"/>
        <v>1.4333333333333333</v>
      </c>
      <c r="AA50" s="2458">
        <v>162</v>
      </c>
      <c r="AB50" s="2066">
        <v>93</v>
      </c>
      <c r="AC50" s="1549">
        <f t="shared" si="8"/>
        <v>1.7419354838709677</v>
      </c>
    </row>
    <row r="51" spans="1:29" s="1" customFormat="1" ht="15" customHeight="1">
      <c r="A51" s="237"/>
      <c r="B51" s="4243" t="s">
        <v>16</v>
      </c>
      <c r="C51" s="4299">
        <v>546</v>
      </c>
      <c r="D51" s="4300">
        <f>SUM(D47:D50)</f>
        <v>307</v>
      </c>
      <c r="E51" s="4301">
        <f t="shared" si="0"/>
        <v>1.778501628664495</v>
      </c>
      <c r="F51" s="4299">
        <v>500</v>
      </c>
      <c r="G51" s="4300">
        <f t="shared" ref="G51" si="69">SUM(G47:G50)</f>
        <v>302</v>
      </c>
      <c r="H51" s="4301">
        <f t="shared" si="1"/>
        <v>1.6556291390728477</v>
      </c>
      <c r="I51" s="4299">
        <f>SUM(I47:I50)</f>
        <v>523</v>
      </c>
      <c r="J51" s="4300">
        <f t="shared" ref="J51" si="70">SUM(J47:J50)</f>
        <v>298</v>
      </c>
      <c r="K51" s="4301">
        <f t="shared" si="2"/>
        <v>1.7550335570469799</v>
      </c>
      <c r="L51" s="4299">
        <f>SUM(L47:L50)</f>
        <v>495</v>
      </c>
      <c r="M51" s="4300">
        <f t="shared" ref="M51" si="71">SUM(M47:M50)</f>
        <v>299</v>
      </c>
      <c r="N51" s="4301">
        <f t="shared" si="3"/>
        <v>1.6555183946488294</v>
      </c>
      <c r="O51" s="4299">
        <f>SUM(O47:O50)</f>
        <v>416</v>
      </c>
      <c r="P51" s="4300">
        <f t="shared" ref="P51" si="72">SUM(P47:P50)</f>
        <v>303</v>
      </c>
      <c r="Q51" s="4301">
        <f t="shared" si="4"/>
        <v>1.3729372937293729</v>
      </c>
      <c r="R51" s="4299">
        <f>SUM(R47:R50)</f>
        <v>478</v>
      </c>
      <c r="S51" s="4300">
        <v>301</v>
      </c>
      <c r="T51" s="4301">
        <f t="shared" si="5"/>
        <v>1.5880398671096345</v>
      </c>
      <c r="U51" s="4299">
        <v>373</v>
      </c>
      <c r="V51" s="4300">
        <f>SUM(V47:V50)</f>
        <v>298</v>
      </c>
      <c r="W51" s="4301">
        <f t="shared" si="6"/>
        <v>1.2516778523489933</v>
      </c>
      <c r="X51" s="4299">
        <v>426</v>
      </c>
      <c r="Y51" s="4271">
        <f>SUM(Y47:Y50)</f>
        <v>303</v>
      </c>
      <c r="Z51" s="4301">
        <f t="shared" si="7"/>
        <v>1.4059405940594059</v>
      </c>
      <c r="AA51" s="4299">
        <v>504</v>
      </c>
      <c r="AB51" s="4271">
        <v>309</v>
      </c>
      <c r="AC51" s="4301">
        <f t="shared" si="8"/>
        <v>1.6310679611650485</v>
      </c>
    </row>
    <row r="52" spans="1:29" s="1" customFormat="1" ht="15" customHeight="1">
      <c r="A52" s="237"/>
      <c r="B52" s="4312" t="s">
        <v>1185</v>
      </c>
      <c r="C52" s="4313">
        <v>1381</v>
      </c>
      <c r="D52" s="4314">
        <f>SUM(D51,D46,D40)</f>
        <v>789</v>
      </c>
      <c r="E52" s="4315">
        <f t="shared" si="0"/>
        <v>1.750316856780735</v>
      </c>
      <c r="F52" s="4313">
        <v>1361</v>
      </c>
      <c r="G52" s="4314">
        <f t="shared" ref="G52" si="73">SUM(G51,G46,G40)</f>
        <v>794</v>
      </c>
      <c r="H52" s="4315">
        <f t="shared" si="1"/>
        <v>1.7141057934508817</v>
      </c>
      <c r="I52" s="4313">
        <f t="shared" ref="I52" si="74">SUM(I51,I46,I40)</f>
        <v>1369</v>
      </c>
      <c r="J52" s="4314">
        <f t="shared" ref="J52" si="75">SUM(J51,J46,J40)</f>
        <v>791</v>
      </c>
      <c r="K52" s="4315">
        <f t="shared" si="2"/>
        <v>1.7307206068268015</v>
      </c>
      <c r="L52" s="4313">
        <f t="shared" ref="L52" si="76">SUM(L51,L46,L40)</f>
        <v>1447</v>
      </c>
      <c r="M52" s="4314">
        <f t="shared" ref="M52" si="77">SUM(M51,M46,M40)</f>
        <v>804</v>
      </c>
      <c r="N52" s="4315">
        <f t="shared" si="3"/>
        <v>1.7997512437810945</v>
      </c>
      <c r="O52" s="4313">
        <f t="shared" ref="O52" si="78">SUM(O51,O46,O40)</f>
        <v>1271</v>
      </c>
      <c r="P52" s="4314">
        <f t="shared" ref="P52" si="79">SUM(P51,P46,P40)</f>
        <v>817</v>
      </c>
      <c r="Q52" s="4315">
        <f t="shared" si="4"/>
        <v>1.5556915544675642</v>
      </c>
      <c r="R52" s="4313">
        <f t="shared" ref="R52" si="80">SUM(R51,R46,R40)</f>
        <v>1365</v>
      </c>
      <c r="S52" s="4314">
        <v>813</v>
      </c>
      <c r="T52" s="4315">
        <f t="shared" si="5"/>
        <v>1.6789667896678966</v>
      </c>
      <c r="U52" s="4313">
        <v>1224</v>
      </c>
      <c r="V52" s="4314">
        <f>SUM(V40,V46,V51)</f>
        <v>810</v>
      </c>
      <c r="W52" s="4315">
        <f t="shared" si="6"/>
        <v>1.5111111111111111</v>
      </c>
      <c r="X52" s="4313">
        <v>1342</v>
      </c>
      <c r="Y52" s="4316">
        <f>SUM(Y40,Y46,Y51)</f>
        <v>806</v>
      </c>
      <c r="Z52" s="4315">
        <f t="shared" si="7"/>
        <v>1.6650124069478909</v>
      </c>
      <c r="AA52" s="4313">
        <v>1455</v>
      </c>
      <c r="AB52" s="4316">
        <v>811</v>
      </c>
      <c r="AC52" s="4315">
        <f t="shared" si="8"/>
        <v>1.7940813810110974</v>
      </c>
    </row>
    <row r="53" spans="1:29" s="1" customFormat="1">
      <c r="A53" s="237"/>
      <c r="B53" s="1545" t="s">
        <v>1186</v>
      </c>
      <c r="C53" s="2462"/>
      <c r="D53" s="2463">
        <v>1</v>
      </c>
      <c r="E53" s="1554">
        <f t="shared" si="0"/>
        <v>0</v>
      </c>
      <c r="F53" s="2462"/>
      <c r="G53" s="2463">
        <v>1</v>
      </c>
      <c r="H53" s="1554"/>
      <c r="I53" s="2462"/>
      <c r="J53" s="2463">
        <v>2</v>
      </c>
      <c r="K53" s="1554"/>
      <c r="L53" s="2462"/>
      <c r="M53" s="2463">
        <v>2</v>
      </c>
      <c r="N53" s="1554"/>
      <c r="O53" s="2462"/>
      <c r="P53" s="2463">
        <v>2</v>
      </c>
      <c r="Q53" s="1554"/>
      <c r="R53" s="2462"/>
      <c r="S53" s="2463">
        <v>5</v>
      </c>
      <c r="T53" s="1554"/>
      <c r="U53" s="2462">
        <v>6</v>
      </c>
      <c r="V53" s="2463">
        <v>5</v>
      </c>
      <c r="W53" s="1554"/>
      <c r="X53" s="2462"/>
      <c r="Y53" s="2072">
        <v>6</v>
      </c>
      <c r="Z53" s="1554"/>
      <c r="AA53" s="2462">
        <v>0</v>
      </c>
      <c r="AB53" s="2072">
        <v>6</v>
      </c>
      <c r="AC53" s="1554"/>
    </row>
    <row r="54" spans="1:29" s="1" customFormat="1">
      <c r="A54" s="237"/>
      <c r="B54" s="1545" t="s">
        <v>1187</v>
      </c>
      <c r="C54" s="2462"/>
      <c r="D54" s="2463">
        <v>1</v>
      </c>
      <c r="E54" s="1554">
        <f t="shared" si="0"/>
        <v>0</v>
      </c>
      <c r="F54" s="2462"/>
      <c r="G54" s="2463">
        <v>2</v>
      </c>
      <c r="H54" s="1554"/>
      <c r="I54" s="2462"/>
      <c r="J54" s="2463">
        <v>3</v>
      </c>
      <c r="K54" s="1554"/>
      <c r="L54" s="2462">
        <v>18</v>
      </c>
      <c r="M54" s="2463">
        <v>4</v>
      </c>
      <c r="N54" s="1554"/>
      <c r="O54" s="2462">
        <v>2</v>
      </c>
      <c r="P54" s="2463">
        <v>6</v>
      </c>
      <c r="Q54" s="1554">
        <f t="shared" si="4"/>
        <v>0.33333333333333331</v>
      </c>
      <c r="R54" s="2462">
        <v>6</v>
      </c>
      <c r="S54" s="2463">
        <v>8</v>
      </c>
      <c r="T54" s="1554">
        <f t="shared" ref="T54:T58" si="81">R54/S54</f>
        <v>0.75</v>
      </c>
      <c r="U54" s="2462">
        <v>8</v>
      </c>
      <c r="V54" s="2463">
        <v>8</v>
      </c>
      <c r="W54" s="1554">
        <f t="shared" ref="W54:W58" si="82">U54/V54</f>
        <v>1</v>
      </c>
      <c r="X54" s="2462">
        <v>6</v>
      </c>
      <c r="Y54" s="2072">
        <v>9</v>
      </c>
      <c r="Z54" s="1554">
        <f t="shared" ref="Z54:Z58" si="83">X54/Y54</f>
        <v>0.66666666666666663</v>
      </c>
      <c r="AA54" s="2462">
        <v>10</v>
      </c>
      <c r="AB54" s="2072">
        <v>11</v>
      </c>
      <c r="AC54" s="1554">
        <f t="shared" ref="AC54:AC58" si="84">AA54/AB54</f>
        <v>0.90909090909090906</v>
      </c>
    </row>
    <row r="55" spans="1:29" s="1" customFormat="1">
      <c r="A55" s="237"/>
      <c r="B55" s="1545" t="s">
        <v>1188</v>
      </c>
      <c r="C55" s="2462"/>
      <c r="D55" s="2463">
        <v>1</v>
      </c>
      <c r="E55" s="1554">
        <f t="shared" si="0"/>
        <v>0</v>
      </c>
      <c r="F55" s="2462"/>
      <c r="G55" s="2463">
        <v>1</v>
      </c>
      <c r="H55" s="1554"/>
      <c r="I55" s="2462"/>
      <c r="J55" s="2463">
        <v>2</v>
      </c>
      <c r="K55" s="1554"/>
      <c r="L55" s="2462"/>
      <c r="M55" s="2463">
        <v>2</v>
      </c>
      <c r="N55" s="1554"/>
      <c r="O55" s="2462">
        <v>3</v>
      </c>
      <c r="P55" s="2463">
        <v>2</v>
      </c>
      <c r="Q55" s="1554">
        <f t="shared" si="4"/>
        <v>1.5</v>
      </c>
      <c r="R55" s="2462">
        <v>3</v>
      </c>
      <c r="S55" s="2463">
        <v>2</v>
      </c>
      <c r="T55" s="1554">
        <f t="shared" si="81"/>
        <v>1.5</v>
      </c>
      <c r="U55" s="2462">
        <v>2</v>
      </c>
      <c r="V55" s="2463">
        <v>3</v>
      </c>
      <c r="W55" s="1554">
        <f t="shared" si="82"/>
        <v>0.66666666666666663</v>
      </c>
      <c r="X55" s="2462">
        <v>6</v>
      </c>
      <c r="Y55" s="2072">
        <v>4</v>
      </c>
      <c r="Z55" s="1554">
        <f t="shared" si="83"/>
        <v>1.5</v>
      </c>
      <c r="AA55" s="2462">
        <v>26</v>
      </c>
      <c r="AB55" s="2072">
        <v>4</v>
      </c>
      <c r="AC55" s="1554">
        <f t="shared" si="84"/>
        <v>6.5</v>
      </c>
    </row>
    <row r="56" spans="1:29" s="1" customFormat="1" ht="15" customHeight="1">
      <c r="A56" s="237"/>
      <c r="B56" s="4179" t="s">
        <v>4</v>
      </c>
      <c r="C56" s="2456"/>
      <c r="D56" s="2457">
        <f>SUM(D53:D55)</f>
        <v>3</v>
      </c>
      <c r="E56" s="1561">
        <f t="shared" si="0"/>
        <v>0</v>
      </c>
      <c r="F56" s="2456"/>
      <c r="G56" s="2457">
        <f t="shared" ref="G56" si="85">SUM(G53:G55)</f>
        <v>4</v>
      </c>
      <c r="H56" s="1561"/>
      <c r="I56" s="2456"/>
      <c r="J56" s="2457">
        <f t="shared" ref="J56" si="86">SUM(J53:J55)</f>
        <v>7</v>
      </c>
      <c r="K56" s="1561"/>
      <c r="L56" s="2456">
        <f>SUM(L53:L55)</f>
        <v>18</v>
      </c>
      <c r="M56" s="2457">
        <f t="shared" ref="M56" si="87">SUM(M53:M55)</f>
        <v>8</v>
      </c>
      <c r="N56" s="1561"/>
      <c r="O56" s="2456">
        <f t="shared" ref="O56" si="88">SUM(O54:O55)</f>
        <v>5</v>
      </c>
      <c r="P56" s="2457">
        <f t="shared" ref="P56" si="89">SUM(P53:P55)</f>
        <v>10</v>
      </c>
      <c r="Q56" s="1561">
        <f t="shared" si="4"/>
        <v>0.5</v>
      </c>
      <c r="R56" s="2456">
        <f>SUM(R53:R55)</f>
        <v>9</v>
      </c>
      <c r="S56" s="2457">
        <v>15</v>
      </c>
      <c r="T56" s="1561">
        <f t="shared" si="81"/>
        <v>0.6</v>
      </c>
      <c r="U56" s="2456">
        <v>16</v>
      </c>
      <c r="V56" s="2457">
        <f>SUM(V53:V55)</f>
        <v>16</v>
      </c>
      <c r="W56" s="1561">
        <f t="shared" si="82"/>
        <v>1</v>
      </c>
      <c r="X56" s="2456">
        <v>12</v>
      </c>
      <c r="Y56" s="2060">
        <f>SUM(Y53:Y55)</f>
        <v>19</v>
      </c>
      <c r="Z56" s="1561">
        <f t="shared" si="83"/>
        <v>0.63157894736842102</v>
      </c>
      <c r="AA56" s="2456">
        <v>36</v>
      </c>
      <c r="AB56" s="2060">
        <v>21</v>
      </c>
      <c r="AC56" s="1561">
        <f t="shared" si="84"/>
        <v>1.7142857142857142</v>
      </c>
    </row>
    <row r="57" spans="1:29" s="1" customFormat="1">
      <c r="A57" s="237"/>
      <c r="B57" s="1545" t="s">
        <v>1189</v>
      </c>
      <c r="C57" s="2462"/>
      <c r="D57" s="2463">
        <v>1</v>
      </c>
      <c r="E57" s="1554">
        <f t="shared" si="0"/>
        <v>0</v>
      </c>
      <c r="F57" s="2462"/>
      <c r="G57" s="2463">
        <v>2</v>
      </c>
      <c r="H57" s="1554"/>
      <c r="I57" s="2462"/>
      <c r="J57" s="2463">
        <v>2</v>
      </c>
      <c r="K57" s="1554"/>
      <c r="L57" s="2462"/>
      <c r="M57" s="2463">
        <v>6</v>
      </c>
      <c r="N57" s="1554"/>
      <c r="O57" s="2462">
        <v>13</v>
      </c>
      <c r="P57" s="2463">
        <v>8</v>
      </c>
      <c r="Q57" s="1554">
        <f t="shared" si="4"/>
        <v>1.625</v>
      </c>
      <c r="R57" s="2462">
        <v>23</v>
      </c>
      <c r="S57" s="2463">
        <v>7</v>
      </c>
      <c r="T57" s="1554">
        <f t="shared" si="81"/>
        <v>3.2857142857142856</v>
      </c>
      <c r="U57" s="2462">
        <v>4</v>
      </c>
      <c r="V57" s="2463">
        <v>8</v>
      </c>
      <c r="W57" s="1554">
        <f t="shared" si="82"/>
        <v>0.5</v>
      </c>
      <c r="X57" s="2462">
        <v>23</v>
      </c>
      <c r="Y57" s="2072">
        <v>9</v>
      </c>
      <c r="Z57" s="1554">
        <f t="shared" si="83"/>
        <v>2.5555555555555554</v>
      </c>
      <c r="AA57" s="2462">
        <v>15</v>
      </c>
      <c r="AB57" s="2072">
        <v>9</v>
      </c>
      <c r="AC57" s="1554">
        <f t="shared" si="84"/>
        <v>1.6666666666666667</v>
      </c>
    </row>
    <row r="58" spans="1:29" s="1" customFormat="1">
      <c r="A58" s="237"/>
      <c r="B58" s="1545" t="s">
        <v>1190</v>
      </c>
      <c r="C58" s="2462"/>
      <c r="D58" s="2463">
        <v>2</v>
      </c>
      <c r="E58" s="1554">
        <f t="shared" si="0"/>
        <v>0</v>
      </c>
      <c r="F58" s="2462"/>
      <c r="G58" s="2463">
        <v>2</v>
      </c>
      <c r="H58" s="1554"/>
      <c r="I58" s="2462"/>
      <c r="J58" s="2463">
        <v>4</v>
      </c>
      <c r="K58" s="1554"/>
      <c r="L58" s="2462"/>
      <c r="M58" s="2463">
        <v>4</v>
      </c>
      <c r="N58" s="1554"/>
      <c r="O58" s="2462">
        <v>5</v>
      </c>
      <c r="P58" s="2463">
        <v>2</v>
      </c>
      <c r="Q58" s="1554">
        <f t="shared" si="4"/>
        <v>2.5</v>
      </c>
      <c r="R58" s="2462"/>
      <c r="S58" s="2463">
        <v>4</v>
      </c>
      <c r="T58" s="1554">
        <f t="shared" si="81"/>
        <v>0</v>
      </c>
      <c r="U58" s="2462">
        <v>1</v>
      </c>
      <c r="V58" s="2463">
        <v>6</v>
      </c>
      <c r="W58" s="1554">
        <f t="shared" si="82"/>
        <v>0.16666666666666666</v>
      </c>
      <c r="X58" s="2462">
        <v>23</v>
      </c>
      <c r="Y58" s="2072">
        <v>7</v>
      </c>
      <c r="Z58" s="1554">
        <f t="shared" si="83"/>
        <v>3.2857142857142856</v>
      </c>
      <c r="AA58" s="2462">
        <v>46</v>
      </c>
      <c r="AB58" s="2072">
        <v>8</v>
      </c>
      <c r="AC58" s="1554">
        <f t="shared" si="84"/>
        <v>5.75</v>
      </c>
    </row>
    <row r="59" spans="1:29" s="1" customFormat="1">
      <c r="A59" s="237"/>
      <c r="B59" s="1545" t="s">
        <v>1181</v>
      </c>
      <c r="C59" s="2462"/>
      <c r="D59" s="2463">
        <v>2</v>
      </c>
      <c r="E59" s="1554">
        <f t="shared" si="0"/>
        <v>0</v>
      </c>
      <c r="F59" s="2462"/>
      <c r="G59" s="2463">
        <v>2</v>
      </c>
      <c r="H59" s="1554"/>
      <c r="I59" s="2462"/>
      <c r="J59" s="2463">
        <v>3</v>
      </c>
      <c r="K59" s="1554"/>
      <c r="L59" s="2462"/>
      <c r="M59" s="2463">
        <v>3</v>
      </c>
      <c r="N59" s="1554"/>
      <c r="O59" s="2462">
        <v>0</v>
      </c>
      <c r="P59" s="2463">
        <v>3</v>
      </c>
      <c r="Q59" s="1554"/>
      <c r="R59" s="2462"/>
      <c r="S59" s="2463">
        <v>3</v>
      </c>
      <c r="T59" s="1554"/>
      <c r="U59" s="2462">
        <v>0</v>
      </c>
      <c r="V59" s="2463">
        <v>4</v>
      </c>
      <c r="W59" s="1554"/>
      <c r="X59" s="2462">
        <v>36</v>
      </c>
      <c r="Y59" s="2072">
        <v>4</v>
      </c>
      <c r="Z59" s="1554"/>
      <c r="AA59" s="2462">
        <v>8</v>
      </c>
      <c r="AB59" s="2072">
        <v>3</v>
      </c>
      <c r="AC59" s="1554"/>
    </row>
    <row r="60" spans="1:29" s="1" customFormat="1" ht="15" customHeight="1">
      <c r="A60" s="237"/>
      <c r="B60" s="4179" t="s">
        <v>41</v>
      </c>
      <c r="C60" s="2456"/>
      <c r="D60" s="2457">
        <f>SUM(D57:D59)</f>
        <v>5</v>
      </c>
      <c r="E60" s="1561">
        <f t="shared" si="0"/>
        <v>0</v>
      </c>
      <c r="F60" s="2456"/>
      <c r="G60" s="2457">
        <f t="shared" ref="G60" si="90">SUM(G57:G59)</f>
        <v>6</v>
      </c>
      <c r="H60" s="1561"/>
      <c r="I60" s="2456"/>
      <c r="J60" s="2457">
        <f t="shared" ref="J60" si="91">SUM(J57:J59)</f>
        <v>9</v>
      </c>
      <c r="K60" s="1561"/>
      <c r="L60" s="2456"/>
      <c r="M60" s="2457">
        <f t="shared" ref="M60" si="92">SUM(M57:M59)</f>
        <v>13</v>
      </c>
      <c r="N60" s="1561"/>
      <c r="O60" s="2456">
        <f>SUM(O57:O59)</f>
        <v>18</v>
      </c>
      <c r="P60" s="2457">
        <f t="shared" ref="P60" si="93">SUM(P57:P59)</f>
        <v>13</v>
      </c>
      <c r="Q60" s="1561">
        <f t="shared" si="4"/>
        <v>1.3846153846153846</v>
      </c>
      <c r="R60" s="2456">
        <f>SUM(R57:R59)</f>
        <v>23</v>
      </c>
      <c r="S60" s="2457">
        <v>14</v>
      </c>
      <c r="T60" s="1561">
        <f t="shared" ref="T60" si="94">R60/S60</f>
        <v>1.6428571428571428</v>
      </c>
      <c r="U60" s="2456">
        <v>5</v>
      </c>
      <c r="V60" s="2457">
        <f>SUM(V57:V59)</f>
        <v>18</v>
      </c>
      <c r="W60" s="1561">
        <f t="shared" ref="W60" si="95">U60/V60</f>
        <v>0.27777777777777779</v>
      </c>
      <c r="X60" s="2456">
        <v>82</v>
      </c>
      <c r="Y60" s="2060">
        <f>SUM(Y57:Y59)</f>
        <v>20</v>
      </c>
      <c r="Z60" s="1561">
        <f t="shared" ref="Z60" si="96">X60/Y60</f>
        <v>4.0999999999999996</v>
      </c>
      <c r="AA60" s="2456">
        <v>69</v>
      </c>
      <c r="AB60" s="2060">
        <v>20</v>
      </c>
      <c r="AC60" s="1561">
        <f t="shared" ref="AC60" si="97">AA60/AB60</f>
        <v>3.45</v>
      </c>
    </row>
    <row r="61" spans="1:29" s="1" customFormat="1">
      <c r="A61" s="237"/>
      <c r="B61" s="1545" t="s">
        <v>1191</v>
      </c>
      <c r="C61" s="2462"/>
      <c r="D61" s="2463"/>
      <c r="E61" s="1554"/>
      <c r="F61" s="2462"/>
      <c r="G61" s="2463"/>
      <c r="H61" s="1554"/>
      <c r="I61" s="2462"/>
      <c r="J61" s="2463">
        <v>1</v>
      </c>
      <c r="K61" s="1554"/>
      <c r="L61" s="2462"/>
      <c r="M61" s="2463">
        <v>1</v>
      </c>
      <c r="N61" s="1554"/>
      <c r="O61" s="2462"/>
      <c r="P61" s="2463">
        <v>2</v>
      </c>
      <c r="Q61" s="1554"/>
      <c r="R61" s="2462"/>
      <c r="S61" s="2463">
        <v>1</v>
      </c>
      <c r="T61" s="1554"/>
      <c r="U61" s="2462">
        <v>10</v>
      </c>
      <c r="V61" s="2463">
        <v>6</v>
      </c>
      <c r="W61" s="1554"/>
      <c r="X61" s="2462">
        <v>8</v>
      </c>
      <c r="Y61" s="2072">
        <v>9</v>
      </c>
      <c r="Z61" s="1554"/>
      <c r="AA61" s="2462">
        <v>6</v>
      </c>
      <c r="AB61" s="2072">
        <v>9</v>
      </c>
      <c r="AC61" s="1554"/>
    </row>
    <row r="62" spans="1:29" s="1" customFormat="1">
      <c r="A62" s="237"/>
      <c r="B62" s="1545" t="s">
        <v>1192</v>
      </c>
      <c r="C62" s="2462"/>
      <c r="D62" s="2463"/>
      <c r="E62" s="1554"/>
      <c r="F62" s="2462"/>
      <c r="G62" s="2463"/>
      <c r="H62" s="1554"/>
      <c r="I62" s="2462"/>
      <c r="J62" s="2463">
        <v>1</v>
      </c>
      <c r="K62" s="1554"/>
      <c r="L62" s="2462"/>
      <c r="M62" s="2463">
        <v>1</v>
      </c>
      <c r="N62" s="1554"/>
      <c r="O62" s="2462"/>
      <c r="P62" s="2463">
        <v>3</v>
      </c>
      <c r="Q62" s="1554"/>
      <c r="R62" s="2462"/>
      <c r="S62" s="2463">
        <v>2</v>
      </c>
      <c r="T62" s="1554"/>
      <c r="U62" s="2462">
        <v>3</v>
      </c>
      <c r="V62" s="2463">
        <v>3</v>
      </c>
      <c r="W62" s="1554"/>
      <c r="X62" s="2462"/>
      <c r="Y62" s="2072">
        <v>4</v>
      </c>
      <c r="Z62" s="1554"/>
      <c r="AA62" s="2462">
        <v>21</v>
      </c>
      <c r="AB62" s="2072">
        <v>7</v>
      </c>
      <c r="AC62" s="1554"/>
    </row>
    <row r="63" spans="1:29" s="1" customFormat="1">
      <c r="A63" s="237"/>
      <c r="B63" s="1545" t="s">
        <v>1193</v>
      </c>
      <c r="C63" s="2462"/>
      <c r="D63" s="2463">
        <v>2</v>
      </c>
      <c r="E63" s="1554">
        <f t="shared" si="0"/>
        <v>0</v>
      </c>
      <c r="F63" s="2462"/>
      <c r="G63" s="2463">
        <v>3</v>
      </c>
      <c r="H63" s="1554"/>
      <c r="I63" s="2462"/>
      <c r="J63" s="2463">
        <v>4</v>
      </c>
      <c r="K63" s="1554"/>
      <c r="L63" s="2462"/>
      <c r="M63" s="2463">
        <v>5</v>
      </c>
      <c r="N63" s="1554"/>
      <c r="O63" s="2462">
        <v>1</v>
      </c>
      <c r="P63" s="2463">
        <v>8</v>
      </c>
      <c r="Q63" s="1554">
        <f t="shared" si="4"/>
        <v>0.125</v>
      </c>
      <c r="R63" s="2462">
        <v>25</v>
      </c>
      <c r="S63" s="2463">
        <v>10</v>
      </c>
      <c r="T63" s="1554">
        <f t="shared" ref="T63:T82" si="98">R63/S63</f>
        <v>2.5</v>
      </c>
      <c r="U63" s="2462">
        <v>26</v>
      </c>
      <c r="V63" s="2463">
        <v>12</v>
      </c>
      <c r="W63" s="1554">
        <f t="shared" ref="W63:W82" si="99">U63/V63</f>
        <v>2.1666666666666665</v>
      </c>
      <c r="X63" s="2462">
        <v>35</v>
      </c>
      <c r="Y63" s="2072">
        <v>14</v>
      </c>
      <c r="Z63" s="1554">
        <f t="shared" ref="Z63:Z82" si="100">X63/Y63</f>
        <v>2.5</v>
      </c>
      <c r="AA63" s="2462">
        <v>27</v>
      </c>
      <c r="AB63" s="2072">
        <v>14</v>
      </c>
      <c r="AC63" s="1554">
        <f t="shared" ref="AC63:AC82" si="101">AA63/AB63</f>
        <v>1.9285714285714286</v>
      </c>
    </row>
    <row r="64" spans="1:29" s="1" customFormat="1" ht="15" customHeight="1">
      <c r="A64" s="237"/>
      <c r="B64" s="4243" t="s">
        <v>16</v>
      </c>
      <c r="C64" s="4299"/>
      <c r="D64" s="4300">
        <f>SUM(D61:D63)</f>
        <v>2</v>
      </c>
      <c r="E64" s="4301">
        <f t="shared" si="0"/>
        <v>0</v>
      </c>
      <c r="F64" s="4299"/>
      <c r="G64" s="4300">
        <f t="shared" ref="G64" si="102">SUM(G61:G63)</f>
        <v>3</v>
      </c>
      <c r="H64" s="4301"/>
      <c r="I64" s="4299"/>
      <c r="J64" s="4300">
        <f t="shared" ref="J64" si="103">SUM(J61:J63)</f>
        <v>6</v>
      </c>
      <c r="K64" s="4301"/>
      <c r="L64" s="4299"/>
      <c r="M64" s="4300">
        <f t="shared" ref="M64" si="104">SUM(M61:M63)</f>
        <v>7</v>
      </c>
      <c r="N64" s="4301"/>
      <c r="O64" s="4299">
        <f>SUM(O61:O63)</f>
        <v>1</v>
      </c>
      <c r="P64" s="4300">
        <f t="shared" ref="P64" si="105">SUM(P61:P63)</f>
        <v>13</v>
      </c>
      <c r="Q64" s="4301">
        <f t="shared" si="4"/>
        <v>7.6923076923076927E-2</v>
      </c>
      <c r="R64" s="4299">
        <f>SUM(R61:R63)</f>
        <v>25</v>
      </c>
      <c r="S64" s="4300">
        <v>13</v>
      </c>
      <c r="T64" s="4301">
        <f t="shared" si="98"/>
        <v>1.9230769230769231</v>
      </c>
      <c r="U64" s="4299">
        <v>39</v>
      </c>
      <c r="V64" s="4300">
        <f>SUM(V61:V63)</f>
        <v>21</v>
      </c>
      <c r="W64" s="4301">
        <f t="shared" si="99"/>
        <v>1.8571428571428572</v>
      </c>
      <c r="X64" s="4299">
        <v>43</v>
      </c>
      <c r="Y64" s="4271">
        <f>SUM(Y61:Y63)</f>
        <v>27</v>
      </c>
      <c r="Z64" s="4301">
        <f t="shared" si="100"/>
        <v>1.5925925925925926</v>
      </c>
      <c r="AA64" s="4299">
        <v>54</v>
      </c>
      <c r="AB64" s="4271">
        <v>30</v>
      </c>
      <c r="AC64" s="4301">
        <f t="shared" si="101"/>
        <v>1.8</v>
      </c>
    </row>
    <row r="65" spans="1:29" s="1" customFormat="1" ht="15" customHeight="1">
      <c r="A65" s="237"/>
      <c r="B65" s="4317" t="s">
        <v>363</v>
      </c>
      <c r="C65" s="4318"/>
      <c r="D65" s="4319">
        <f>SUM(D56,D60,D64)</f>
        <v>10</v>
      </c>
      <c r="E65" s="4320">
        <f t="shared" si="0"/>
        <v>0</v>
      </c>
      <c r="F65" s="4318"/>
      <c r="G65" s="4319">
        <f t="shared" ref="G65" si="106">SUM(G56,G60,G64)</f>
        <v>13</v>
      </c>
      <c r="H65" s="4320"/>
      <c r="I65" s="4318"/>
      <c r="J65" s="4319">
        <f t="shared" ref="J65" si="107">SUM(J56,J60,J64)</f>
        <v>22</v>
      </c>
      <c r="K65" s="4320"/>
      <c r="L65" s="4318">
        <f>SUM(L56,L60,L64)</f>
        <v>18</v>
      </c>
      <c r="M65" s="4319">
        <f t="shared" ref="M65" si="108">SUM(M56,M60,M64)</f>
        <v>28</v>
      </c>
      <c r="N65" s="4320"/>
      <c r="O65" s="4318">
        <f>SUM(O56,O60,O64)</f>
        <v>24</v>
      </c>
      <c r="P65" s="4319">
        <f t="shared" ref="P65" si="109">SUM(P56,P60,P64)</f>
        <v>36</v>
      </c>
      <c r="Q65" s="4320">
        <f t="shared" si="4"/>
        <v>0.66666666666666663</v>
      </c>
      <c r="R65" s="4318">
        <f>SUM(R56,R60,R64)</f>
        <v>57</v>
      </c>
      <c r="S65" s="4319">
        <v>42</v>
      </c>
      <c r="T65" s="4320">
        <f t="shared" si="98"/>
        <v>1.3571428571428572</v>
      </c>
      <c r="U65" s="4318">
        <v>60</v>
      </c>
      <c r="V65" s="4319">
        <f>SUM(V56,V60,V64)</f>
        <v>55</v>
      </c>
      <c r="W65" s="4320">
        <f t="shared" si="99"/>
        <v>1.0909090909090908</v>
      </c>
      <c r="X65" s="4318">
        <v>137</v>
      </c>
      <c r="Y65" s="4281">
        <f>SUM(Y56,Y60,Y64)</f>
        <v>66</v>
      </c>
      <c r="Z65" s="4320">
        <f t="shared" si="100"/>
        <v>2.0757575757575757</v>
      </c>
      <c r="AA65" s="4318">
        <v>159</v>
      </c>
      <c r="AB65" s="4281">
        <v>71</v>
      </c>
      <c r="AC65" s="4320">
        <f t="shared" si="101"/>
        <v>2.23943661971831</v>
      </c>
    </row>
    <row r="66" spans="1:29" s="1" customFormat="1">
      <c r="A66" s="237"/>
      <c r="B66" s="1545" t="s">
        <v>1194</v>
      </c>
      <c r="C66" s="2458">
        <v>221</v>
      </c>
      <c r="D66" s="2459">
        <v>129</v>
      </c>
      <c r="E66" s="1549">
        <f t="shared" si="0"/>
        <v>1.7131782945736433</v>
      </c>
      <c r="F66" s="2458">
        <v>216</v>
      </c>
      <c r="G66" s="2459">
        <v>129</v>
      </c>
      <c r="H66" s="1549">
        <f t="shared" si="1"/>
        <v>1.6744186046511629</v>
      </c>
      <c r="I66" s="2458">
        <v>224</v>
      </c>
      <c r="J66" s="2459">
        <v>135</v>
      </c>
      <c r="K66" s="1549">
        <f t="shared" si="2"/>
        <v>1.6592592592592592</v>
      </c>
      <c r="L66" s="2458">
        <v>151</v>
      </c>
      <c r="M66" s="2459">
        <v>137</v>
      </c>
      <c r="N66" s="1549">
        <f t="shared" si="3"/>
        <v>1.1021897810218979</v>
      </c>
      <c r="O66" s="2458">
        <v>252</v>
      </c>
      <c r="P66" s="2459">
        <v>138</v>
      </c>
      <c r="Q66" s="1549">
        <f t="shared" si="4"/>
        <v>1.826086956521739</v>
      </c>
      <c r="R66" s="2458">
        <v>217</v>
      </c>
      <c r="S66" s="2459">
        <v>140</v>
      </c>
      <c r="T66" s="1549">
        <f t="shared" si="98"/>
        <v>1.55</v>
      </c>
      <c r="U66" s="2458">
        <v>204</v>
      </c>
      <c r="V66" s="2459">
        <v>135</v>
      </c>
      <c r="W66" s="1549">
        <f t="shared" si="99"/>
        <v>1.5111111111111111</v>
      </c>
      <c r="X66" s="2458">
        <v>228</v>
      </c>
      <c r="Y66" s="2066">
        <v>138</v>
      </c>
      <c r="Z66" s="1549">
        <f t="shared" si="100"/>
        <v>1.6521739130434783</v>
      </c>
      <c r="AA66" s="2458">
        <v>208</v>
      </c>
      <c r="AB66" s="2066">
        <v>136</v>
      </c>
      <c r="AC66" s="1549">
        <f t="shared" si="101"/>
        <v>1.5294117647058822</v>
      </c>
    </row>
    <row r="67" spans="1:29" s="1" customFormat="1">
      <c r="A67" s="237"/>
      <c r="B67" s="1545" t="s">
        <v>1195</v>
      </c>
      <c r="C67" s="2458">
        <v>60</v>
      </c>
      <c r="D67" s="2459">
        <v>56</v>
      </c>
      <c r="E67" s="1549">
        <f t="shared" si="0"/>
        <v>1.0714285714285714</v>
      </c>
      <c r="F67" s="2458">
        <v>44</v>
      </c>
      <c r="G67" s="2459">
        <v>55</v>
      </c>
      <c r="H67" s="1549">
        <f t="shared" si="1"/>
        <v>0.8</v>
      </c>
      <c r="I67" s="2458">
        <v>66</v>
      </c>
      <c r="J67" s="2459">
        <v>55</v>
      </c>
      <c r="K67" s="1549">
        <f t="shared" si="2"/>
        <v>1.2</v>
      </c>
      <c r="L67" s="2458">
        <v>75</v>
      </c>
      <c r="M67" s="2459">
        <v>52</v>
      </c>
      <c r="N67" s="1549">
        <f t="shared" si="3"/>
        <v>1.4423076923076923</v>
      </c>
      <c r="O67" s="2458">
        <v>96</v>
      </c>
      <c r="P67" s="2459">
        <v>53</v>
      </c>
      <c r="Q67" s="1549">
        <f t="shared" si="4"/>
        <v>1.8113207547169812</v>
      </c>
      <c r="R67" s="2458">
        <v>58</v>
      </c>
      <c r="S67" s="2459">
        <v>53</v>
      </c>
      <c r="T67" s="1549">
        <f t="shared" si="98"/>
        <v>1.0943396226415094</v>
      </c>
      <c r="U67" s="2458">
        <v>83</v>
      </c>
      <c r="V67" s="2459">
        <v>53</v>
      </c>
      <c r="W67" s="1549">
        <f t="shared" si="99"/>
        <v>1.5660377358490567</v>
      </c>
      <c r="X67" s="2458">
        <v>84</v>
      </c>
      <c r="Y67" s="2066">
        <v>52</v>
      </c>
      <c r="Z67" s="1549">
        <f t="shared" si="100"/>
        <v>1.6153846153846154</v>
      </c>
      <c r="AA67" s="2458">
        <v>94</v>
      </c>
      <c r="AB67" s="2066">
        <v>52</v>
      </c>
      <c r="AC67" s="1549">
        <f t="shared" si="101"/>
        <v>1.8076923076923077</v>
      </c>
    </row>
    <row r="68" spans="1:29" s="1" customFormat="1">
      <c r="A68" s="237"/>
      <c r="B68" s="1545" t="s">
        <v>1196</v>
      </c>
      <c r="C68" s="2458">
        <v>157</v>
      </c>
      <c r="D68" s="2459">
        <v>86</v>
      </c>
      <c r="E68" s="1549">
        <f t="shared" si="0"/>
        <v>1.8255813953488371</v>
      </c>
      <c r="F68" s="2458">
        <v>147</v>
      </c>
      <c r="G68" s="2459">
        <v>87</v>
      </c>
      <c r="H68" s="1549">
        <f t="shared" si="1"/>
        <v>1.6896551724137931</v>
      </c>
      <c r="I68" s="2458">
        <v>189</v>
      </c>
      <c r="J68" s="2459">
        <v>89</v>
      </c>
      <c r="K68" s="1549">
        <f t="shared" si="2"/>
        <v>2.1235955056179776</v>
      </c>
      <c r="L68" s="2458">
        <v>177</v>
      </c>
      <c r="M68" s="2459">
        <v>89</v>
      </c>
      <c r="N68" s="1549">
        <f t="shared" si="3"/>
        <v>1.9887640449438202</v>
      </c>
      <c r="O68" s="2458">
        <v>148</v>
      </c>
      <c r="P68" s="2459">
        <v>91</v>
      </c>
      <c r="Q68" s="1549">
        <f t="shared" si="4"/>
        <v>1.6263736263736264</v>
      </c>
      <c r="R68" s="2458">
        <v>185</v>
      </c>
      <c r="S68" s="2459">
        <v>93</v>
      </c>
      <c r="T68" s="1549">
        <f t="shared" si="98"/>
        <v>1.989247311827957</v>
      </c>
      <c r="U68" s="2458">
        <v>87</v>
      </c>
      <c r="V68" s="2459">
        <v>92</v>
      </c>
      <c r="W68" s="1549">
        <f t="shared" si="99"/>
        <v>0.94565217391304346</v>
      </c>
      <c r="X68" s="2458">
        <v>124</v>
      </c>
      <c r="Y68" s="2066">
        <v>89</v>
      </c>
      <c r="Z68" s="1549">
        <f t="shared" si="100"/>
        <v>1.3932584269662922</v>
      </c>
      <c r="AA68" s="2458">
        <v>118</v>
      </c>
      <c r="AB68" s="2066">
        <v>88</v>
      </c>
      <c r="AC68" s="1549">
        <f t="shared" si="101"/>
        <v>1.3409090909090908</v>
      </c>
    </row>
    <row r="69" spans="1:29" s="1" customFormat="1">
      <c r="A69" s="237"/>
      <c r="B69" s="1545" t="s">
        <v>1197</v>
      </c>
      <c r="C69" s="2458">
        <v>86</v>
      </c>
      <c r="D69" s="2459">
        <v>69</v>
      </c>
      <c r="E69" s="1549">
        <f t="shared" ref="E69:E82" si="110">C69/D69</f>
        <v>1.2463768115942029</v>
      </c>
      <c r="F69" s="2458">
        <v>80</v>
      </c>
      <c r="G69" s="2459">
        <v>69</v>
      </c>
      <c r="H69" s="1549">
        <f t="shared" ref="H69:H82" si="111">F69/G69</f>
        <v>1.1594202898550725</v>
      </c>
      <c r="I69" s="2458">
        <v>118</v>
      </c>
      <c r="J69" s="2459">
        <v>69</v>
      </c>
      <c r="K69" s="1549">
        <f t="shared" ref="K69:K82" si="112">I69/J69</f>
        <v>1.7101449275362319</v>
      </c>
      <c r="L69" s="2458">
        <v>131</v>
      </c>
      <c r="M69" s="2459">
        <v>71</v>
      </c>
      <c r="N69" s="1549">
        <f t="shared" ref="N69:N82" si="113">L69/M69</f>
        <v>1.8450704225352113</v>
      </c>
      <c r="O69" s="2458">
        <v>165</v>
      </c>
      <c r="P69" s="2459">
        <v>71</v>
      </c>
      <c r="Q69" s="1549">
        <f t="shared" ref="Q69:Q82" si="114">O69/P69</f>
        <v>2.323943661971831</v>
      </c>
      <c r="R69" s="2458">
        <v>136</v>
      </c>
      <c r="S69" s="2459">
        <v>68</v>
      </c>
      <c r="T69" s="1549">
        <f t="shared" si="98"/>
        <v>2</v>
      </c>
      <c r="U69" s="2458">
        <v>96</v>
      </c>
      <c r="V69" s="2459">
        <v>67</v>
      </c>
      <c r="W69" s="1549">
        <f t="shared" si="99"/>
        <v>1.4328358208955223</v>
      </c>
      <c r="X69" s="2458">
        <v>123</v>
      </c>
      <c r="Y69" s="2066">
        <v>68</v>
      </c>
      <c r="Z69" s="1549">
        <f t="shared" si="100"/>
        <v>1.8088235294117647</v>
      </c>
      <c r="AA69" s="2458">
        <v>117</v>
      </c>
      <c r="AB69" s="2066">
        <v>68</v>
      </c>
      <c r="AC69" s="1549">
        <f t="shared" si="101"/>
        <v>1.7205882352941178</v>
      </c>
    </row>
    <row r="70" spans="1:29" s="1" customFormat="1" ht="15" customHeight="1">
      <c r="A70" s="237"/>
      <c r="B70" s="4179" t="s">
        <v>41</v>
      </c>
      <c r="C70" s="2456">
        <v>524</v>
      </c>
      <c r="D70" s="2457">
        <f>SUM(D66:D69)</f>
        <v>340</v>
      </c>
      <c r="E70" s="1561">
        <f t="shared" si="110"/>
        <v>1.5411764705882354</v>
      </c>
      <c r="F70" s="2456">
        <v>487</v>
      </c>
      <c r="G70" s="2457">
        <f t="shared" ref="G70" si="115">SUM(G66:G69)</f>
        <v>340</v>
      </c>
      <c r="H70" s="1561">
        <f t="shared" si="111"/>
        <v>1.4323529411764706</v>
      </c>
      <c r="I70" s="2456">
        <v>597</v>
      </c>
      <c r="J70" s="2457">
        <f t="shared" ref="J70" si="116">SUM(J66:J69)</f>
        <v>348</v>
      </c>
      <c r="K70" s="1561">
        <f t="shared" si="112"/>
        <v>1.7155172413793103</v>
      </c>
      <c r="L70" s="2456">
        <f t="shared" ref="L70" si="117">SUM(L66:L69)</f>
        <v>534</v>
      </c>
      <c r="M70" s="2457">
        <f t="shared" ref="M70" si="118">SUM(M66:M69)</f>
        <v>349</v>
      </c>
      <c r="N70" s="1561">
        <f t="shared" si="113"/>
        <v>1.5300859598853869</v>
      </c>
      <c r="O70" s="2456">
        <f t="shared" ref="O70" si="119">SUM(O66:O69)</f>
        <v>661</v>
      </c>
      <c r="P70" s="2457">
        <f t="shared" ref="P70" si="120">SUM(P66:P69)</f>
        <v>353</v>
      </c>
      <c r="Q70" s="1561">
        <f t="shared" si="114"/>
        <v>1.8725212464589236</v>
      </c>
      <c r="R70" s="2456">
        <f>SUM(R66:R69)</f>
        <v>596</v>
      </c>
      <c r="S70" s="2457">
        <v>354</v>
      </c>
      <c r="T70" s="1561">
        <f t="shared" si="98"/>
        <v>1.6836158192090396</v>
      </c>
      <c r="U70" s="2456">
        <v>470</v>
      </c>
      <c r="V70" s="2457">
        <f>SUM(V66:V69)</f>
        <v>347</v>
      </c>
      <c r="W70" s="1561">
        <f t="shared" si="99"/>
        <v>1.3544668587896254</v>
      </c>
      <c r="X70" s="2456">
        <v>559</v>
      </c>
      <c r="Y70" s="2060">
        <f>SUM(Y66:Y69)</f>
        <v>347</v>
      </c>
      <c r="Z70" s="1561">
        <f t="shared" si="100"/>
        <v>1.6109510086455332</v>
      </c>
      <c r="AA70" s="2456">
        <v>537</v>
      </c>
      <c r="AB70" s="2060">
        <v>344</v>
      </c>
      <c r="AC70" s="1561">
        <f t="shared" si="101"/>
        <v>1.5610465116279071</v>
      </c>
    </row>
    <row r="71" spans="1:29" s="1" customFormat="1">
      <c r="A71" s="237"/>
      <c r="B71" s="1545" t="s">
        <v>1198</v>
      </c>
      <c r="C71" s="2458">
        <v>245</v>
      </c>
      <c r="D71" s="2459">
        <v>128</v>
      </c>
      <c r="E71" s="1549">
        <f t="shared" si="110"/>
        <v>1.9140625</v>
      </c>
      <c r="F71" s="2458">
        <v>210</v>
      </c>
      <c r="G71" s="2459">
        <v>131</v>
      </c>
      <c r="H71" s="1549">
        <f t="shared" si="111"/>
        <v>1.6030534351145038</v>
      </c>
      <c r="I71" s="2458">
        <v>303</v>
      </c>
      <c r="J71" s="2459">
        <v>134</v>
      </c>
      <c r="K71" s="1549">
        <f t="shared" si="112"/>
        <v>2.2611940298507465</v>
      </c>
      <c r="L71" s="2458">
        <v>219</v>
      </c>
      <c r="M71" s="2459">
        <v>136</v>
      </c>
      <c r="N71" s="1549">
        <f t="shared" si="113"/>
        <v>1.6102941176470589</v>
      </c>
      <c r="O71" s="2458">
        <v>233</v>
      </c>
      <c r="P71" s="2459">
        <v>135</v>
      </c>
      <c r="Q71" s="1549">
        <f t="shared" si="114"/>
        <v>1.7259259259259259</v>
      </c>
      <c r="R71" s="2458">
        <v>221</v>
      </c>
      <c r="S71" s="2459">
        <v>132</v>
      </c>
      <c r="T71" s="1549">
        <f t="shared" si="98"/>
        <v>1.6742424242424243</v>
      </c>
      <c r="U71" s="2458">
        <v>210</v>
      </c>
      <c r="V71" s="2459">
        <v>130</v>
      </c>
      <c r="W71" s="1549">
        <f t="shared" si="99"/>
        <v>1.6153846153846154</v>
      </c>
      <c r="X71" s="2458">
        <v>159</v>
      </c>
      <c r="Y71" s="2066">
        <v>126</v>
      </c>
      <c r="Z71" s="1549">
        <f t="shared" si="100"/>
        <v>1.2619047619047619</v>
      </c>
      <c r="AA71" s="2458">
        <v>142</v>
      </c>
      <c r="AB71" s="2066">
        <v>125</v>
      </c>
      <c r="AC71" s="1549">
        <f t="shared" si="101"/>
        <v>1.1359999999999999</v>
      </c>
    </row>
    <row r="72" spans="1:29" s="1" customFormat="1">
      <c r="A72" s="237"/>
      <c r="B72" s="1545" t="s">
        <v>1199</v>
      </c>
      <c r="C72" s="2458">
        <v>151</v>
      </c>
      <c r="D72" s="2459">
        <v>91</v>
      </c>
      <c r="E72" s="1549">
        <f t="shared" si="110"/>
        <v>1.6593406593406594</v>
      </c>
      <c r="F72" s="2458">
        <v>162</v>
      </c>
      <c r="G72" s="2459">
        <v>98</v>
      </c>
      <c r="H72" s="1549">
        <f t="shared" si="111"/>
        <v>1.653061224489796</v>
      </c>
      <c r="I72" s="2458">
        <v>229</v>
      </c>
      <c r="J72" s="2459">
        <v>99</v>
      </c>
      <c r="K72" s="1549">
        <f t="shared" si="112"/>
        <v>2.3131313131313131</v>
      </c>
      <c r="L72" s="2458">
        <v>174</v>
      </c>
      <c r="M72" s="2459">
        <v>99</v>
      </c>
      <c r="N72" s="1549">
        <f t="shared" si="113"/>
        <v>1.7575757575757576</v>
      </c>
      <c r="O72" s="2458">
        <v>220</v>
      </c>
      <c r="P72" s="2459">
        <v>98</v>
      </c>
      <c r="Q72" s="1549">
        <f t="shared" si="114"/>
        <v>2.2448979591836733</v>
      </c>
      <c r="R72" s="2458">
        <v>170</v>
      </c>
      <c r="S72" s="2459">
        <v>97</v>
      </c>
      <c r="T72" s="1549">
        <f t="shared" si="98"/>
        <v>1.7525773195876289</v>
      </c>
      <c r="U72" s="2458">
        <v>139</v>
      </c>
      <c r="V72" s="2459">
        <v>96</v>
      </c>
      <c r="W72" s="1549">
        <f t="shared" si="99"/>
        <v>1.4479166666666667</v>
      </c>
      <c r="X72" s="2458">
        <v>142</v>
      </c>
      <c r="Y72" s="2066">
        <v>99</v>
      </c>
      <c r="Z72" s="1549">
        <f t="shared" si="100"/>
        <v>1.4343434343434343</v>
      </c>
      <c r="AA72" s="2458">
        <v>207</v>
      </c>
      <c r="AB72" s="2066">
        <v>100</v>
      </c>
      <c r="AC72" s="1549">
        <f t="shared" si="101"/>
        <v>2.0699999999999998</v>
      </c>
    </row>
    <row r="73" spans="1:29" s="1" customFormat="1">
      <c r="A73" s="237"/>
      <c r="B73" s="1545" t="s">
        <v>1200</v>
      </c>
      <c r="C73" s="2458">
        <v>160</v>
      </c>
      <c r="D73" s="2459">
        <v>66</v>
      </c>
      <c r="E73" s="1549">
        <f t="shared" si="110"/>
        <v>2.4242424242424243</v>
      </c>
      <c r="F73" s="2458">
        <v>153</v>
      </c>
      <c r="G73" s="2459">
        <v>69</v>
      </c>
      <c r="H73" s="1549">
        <f t="shared" si="111"/>
        <v>2.2173913043478262</v>
      </c>
      <c r="I73" s="2458">
        <v>286</v>
      </c>
      <c r="J73" s="2459">
        <v>73</v>
      </c>
      <c r="K73" s="1549">
        <f t="shared" si="112"/>
        <v>3.9178082191780823</v>
      </c>
      <c r="L73" s="2458">
        <v>122</v>
      </c>
      <c r="M73" s="2459">
        <v>70</v>
      </c>
      <c r="N73" s="1549">
        <f t="shared" si="113"/>
        <v>1.7428571428571429</v>
      </c>
      <c r="O73" s="2458">
        <v>143</v>
      </c>
      <c r="P73" s="2459">
        <v>68</v>
      </c>
      <c r="Q73" s="1549">
        <f t="shared" si="114"/>
        <v>2.1029411764705883</v>
      </c>
      <c r="R73" s="2458">
        <v>153</v>
      </c>
      <c r="S73" s="2459">
        <v>68</v>
      </c>
      <c r="T73" s="1549">
        <f t="shared" si="98"/>
        <v>2.25</v>
      </c>
      <c r="U73" s="2458">
        <v>119</v>
      </c>
      <c r="V73" s="2459">
        <v>66</v>
      </c>
      <c r="W73" s="1549">
        <f t="shared" si="99"/>
        <v>1.803030303030303</v>
      </c>
      <c r="X73" s="2458">
        <v>159</v>
      </c>
      <c r="Y73" s="2066">
        <v>67</v>
      </c>
      <c r="Z73" s="1549">
        <f t="shared" si="100"/>
        <v>2.3731343283582089</v>
      </c>
      <c r="AA73" s="2458">
        <v>161</v>
      </c>
      <c r="AB73" s="2066">
        <v>68</v>
      </c>
      <c r="AC73" s="1549">
        <f t="shared" si="101"/>
        <v>2.3676470588235294</v>
      </c>
    </row>
    <row r="74" spans="1:29" s="1" customFormat="1">
      <c r="A74" s="237"/>
      <c r="B74" s="1545" t="s">
        <v>1201</v>
      </c>
      <c r="C74" s="2458">
        <v>94</v>
      </c>
      <c r="D74" s="2459">
        <v>57</v>
      </c>
      <c r="E74" s="1549">
        <f t="shared" si="110"/>
        <v>1.6491228070175439</v>
      </c>
      <c r="F74" s="2458">
        <v>105</v>
      </c>
      <c r="G74" s="2459">
        <v>58</v>
      </c>
      <c r="H74" s="1549">
        <f t="shared" si="111"/>
        <v>1.8103448275862069</v>
      </c>
      <c r="I74" s="2458">
        <v>84</v>
      </c>
      <c r="J74" s="2459">
        <v>57</v>
      </c>
      <c r="K74" s="1549">
        <f t="shared" si="112"/>
        <v>1.4736842105263157</v>
      </c>
      <c r="L74" s="2458">
        <v>97</v>
      </c>
      <c r="M74" s="2459">
        <v>57</v>
      </c>
      <c r="N74" s="1549">
        <f t="shared" si="113"/>
        <v>1.7017543859649122</v>
      </c>
      <c r="O74" s="2458">
        <v>117</v>
      </c>
      <c r="P74" s="2459">
        <v>60</v>
      </c>
      <c r="Q74" s="1549">
        <f t="shared" si="114"/>
        <v>1.95</v>
      </c>
      <c r="R74" s="2458">
        <v>71</v>
      </c>
      <c r="S74" s="2459">
        <v>61</v>
      </c>
      <c r="T74" s="1549">
        <f t="shared" si="98"/>
        <v>1.1639344262295082</v>
      </c>
      <c r="U74" s="2458">
        <v>62</v>
      </c>
      <c r="V74" s="2459">
        <v>59</v>
      </c>
      <c r="W74" s="1549">
        <f t="shared" si="99"/>
        <v>1.0508474576271187</v>
      </c>
      <c r="X74" s="2458">
        <v>52</v>
      </c>
      <c r="Y74" s="2066">
        <v>58</v>
      </c>
      <c r="Z74" s="1549">
        <f t="shared" si="100"/>
        <v>0.89655172413793105</v>
      </c>
      <c r="AA74" s="2458">
        <v>97</v>
      </c>
      <c r="AB74" s="2066">
        <v>60</v>
      </c>
      <c r="AC74" s="1549">
        <f t="shared" si="101"/>
        <v>1.6166666666666667</v>
      </c>
    </row>
    <row r="75" spans="1:29" s="1" customFormat="1" ht="15" customHeight="1">
      <c r="A75" s="237"/>
      <c r="B75" s="4179" t="s">
        <v>16</v>
      </c>
      <c r="C75" s="2456">
        <v>650</v>
      </c>
      <c r="D75" s="2457">
        <f>SUM(D71:D74)</f>
        <v>342</v>
      </c>
      <c r="E75" s="1561">
        <f t="shared" si="110"/>
        <v>1.9005847953216375</v>
      </c>
      <c r="F75" s="2456">
        <v>630</v>
      </c>
      <c r="G75" s="2457">
        <f t="shared" ref="G75" si="121">SUM(G71:G74)</f>
        <v>356</v>
      </c>
      <c r="H75" s="1561">
        <f t="shared" si="111"/>
        <v>1.7696629213483146</v>
      </c>
      <c r="I75" s="2456">
        <v>902</v>
      </c>
      <c r="J75" s="2457">
        <f t="shared" ref="J75" si="122">SUM(J71:J74)</f>
        <v>363</v>
      </c>
      <c r="K75" s="1561">
        <f t="shared" si="112"/>
        <v>2.4848484848484849</v>
      </c>
      <c r="L75" s="2456">
        <f>SUM(L71:L74)</f>
        <v>612</v>
      </c>
      <c r="M75" s="2457">
        <f t="shared" ref="M75" si="123">SUM(M71:M74)</f>
        <v>362</v>
      </c>
      <c r="N75" s="1561">
        <f t="shared" si="113"/>
        <v>1.6906077348066297</v>
      </c>
      <c r="O75" s="2456">
        <f>SUM(O71:O74)</f>
        <v>713</v>
      </c>
      <c r="P75" s="2457">
        <f t="shared" ref="P75" si="124">SUM(P71:P74)</f>
        <v>361</v>
      </c>
      <c r="Q75" s="1561">
        <f t="shared" si="114"/>
        <v>1.9750692520775623</v>
      </c>
      <c r="R75" s="2456">
        <f>SUM(R71:R74)</f>
        <v>615</v>
      </c>
      <c r="S75" s="2457">
        <v>358</v>
      </c>
      <c r="T75" s="1561">
        <f t="shared" si="98"/>
        <v>1.717877094972067</v>
      </c>
      <c r="U75" s="2456">
        <v>530</v>
      </c>
      <c r="V75" s="2457">
        <f>SUM(V71:V74)</f>
        <v>351</v>
      </c>
      <c r="W75" s="1561">
        <f t="shared" si="99"/>
        <v>1.5099715099715099</v>
      </c>
      <c r="X75" s="2456">
        <v>512</v>
      </c>
      <c r="Y75" s="2060">
        <f>SUM(Y71:Y74)</f>
        <v>350</v>
      </c>
      <c r="Z75" s="1561">
        <f t="shared" si="100"/>
        <v>1.4628571428571429</v>
      </c>
      <c r="AA75" s="2456">
        <v>607</v>
      </c>
      <c r="AB75" s="2060">
        <v>353</v>
      </c>
      <c r="AC75" s="1561">
        <f t="shared" si="101"/>
        <v>1.7195467422096318</v>
      </c>
    </row>
    <row r="76" spans="1:29" s="1" customFormat="1">
      <c r="A76" s="237"/>
      <c r="B76" s="1545" t="s">
        <v>1202</v>
      </c>
      <c r="C76" s="2458">
        <v>24</v>
      </c>
      <c r="D76" s="2459">
        <v>29</v>
      </c>
      <c r="E76" s="1549">
        <f t="shared" si="110"/>
        <v>0.82758620689655171</v>
      </c>
      <c r="F76" s="2458">
        <v>37</v>
      </c>
      <c r="G76" s="2459">
        <v>28</v>
      </c>
      <c r="H76" s="1549">
        <f t="shared" si="111"/>
        <v>1.3214285714285714</v>
      </c>
      <c r="I76" s="2458">
        <v>29</v>
      </c>
      <c r="J76" s="2459">
        <v>26</v>
      </c>
      <c r="K76" s="1549">
        <f t="shared" si="112"/>
        <v>1.1153846153846154</v>
      </c>
      <c r="L76" s="2458">
        <v>14</v>
      </c>
      <c r="M76" s="2459">
        <v>26</v>
      </c>
      <c r="N76" s="1549">
        <f t="shared" si="113"/>
        <v>0.53846153846153844</v>
      </c>
      <c r="O76" s="2458">
        <v>42</v>
      </c>
      <c r="P76" s="2459">
        <v>29</v>
      </c>
      <c r="Q76" s="1549">
        <f t="shared" si="114"/>
        <v>1.4482758620689655</v>
      </c>
      <c r="R76" s="2458">
        <v>34</v>
      </c>
      <c r="S76" s="2459">
        <v>29</v>
      </c>
      <c r="T76" s="1549">
        <f t="shared" si="98"/>
        <v>1.1724137931034482</v>
      </c>
      <c r="U76" s="2458">
        <v>21</v>
      </c>
      <c r="V76" s="2459">
        <v>32</v>
      </c>
      <c r="W76" s="1549">
        <f t="shared" si="99"/>
        <v>0.65625</v>
      </c>
      <c r="X76" s="2458">
        <v>32</v>
      </c>
      <c r="Y76" s="2066">
        <v>31</v>
      </c>
      <c r="Z76" s="1549">
        <f t="shared" si="100"/>
        <v>1.032258064516129</v>
      </c>
      <c r="AA76" s="2458">
        <v>12</v>
      </c>
      <c r="AB76" s="2066">
        <v>29</v>
      </c>
      <c r="AC76" s="1549">
        <f t="shared" si="101"/>
        <v>0.41379310344827586</v>
      </c>
    </row>
    <row r="77" spans="1:29" s="1" customFormat="1">
      <c r="A77" s="237"/>
      <c r="B77" s="1545" t="s">
        <v>1203</v>
      </c>
      <c r="C77" s="2458">
        <v>34</v>
      </c>
      <c r="D77" s="2459">
        <v>37</v>
      </c>
      <c r="E77" s="1549">
        <f t="shared" si="110"/>
        <v>0.91891891891891897</v>
      </c>
      <c r="F77" s="2458">
        <v>35</v>
      </c>
      <c r="G77" s="2459">
        <v>39</v>
      </c>
      <c r="H77" s="1549">
        <f t="shared" si="111"/>
        <v>0.89743589743589747</v>
      </c>
      <c r="I77" s="2458">
        <v>50</v>
      </c>
      <c r="J77" s="2459">
        <v>38</v>
      </c>
      <c r="K77" s="1549">
        <f t="shared" si="112"/>
        <v>1.3157894736842106</v>
      </c>
      <c r="L77" s="2458">
        <v>25</v>
      </c>
      <c r="M77" s="2459">
        <v>39</v>
      </c>
      <c r="N77" s="1549">
        <f t="shared" si="113"/>
        <v>0.64102564102564108</v>
      </c>
      <c r="O77" s="2458">
        <v>45</v>
      </c>
      <c r="P77" s="2459">
        <v>40</v>
      </c>
      <c r="Q77" s="1549">
        <f t="shared" si="114"/>
        <v>1.125</v>
      </c>
      <c r="R77" s="2458">
        <v>37</v>
      </c>
      <c r="S77" s="2459">
        <v>40</v>
      </c>
      <c r="T77" s="1549">
        <f t="shared" si="98"/>
        <v>0.92500000000000004</v>
      </c>
      <c r="U77" s="2458">
        <v>43</v>
      </c>
      <c r="V77" s="2459">
        <v>39</v>
      </c>
      <c r="W77" s="1549">
        <f t="shared" si="99"/>
        <v>1.1025641025641026</v>
      </c>
      <c r="X77" s="2458">
        <v>42</v>
      </c>
      <c r="Y77" s="2066">
        <v>38</v>
      </c>
      <c r="Z77" s="1549">
        <f t="shared" si="100"/>
        <v>1.1052631578947369</v>
      </c>
      <c r="AA77" s="2458">
        <v>33</v>
      </c>
      <c r="AB77" s="2066">
        <v>36</v>
      </c>
      <c r="AC77" s="1549">
        <f t="shared" si="101"/>
        <v>0.91666666666666663</v>
      </c>
    </row>
    <row r="78" spans="1:29" s="1" customFormat="1">
      <c r="A78" s="237"/>
      <c r="B78" s="1545" t="s">
        <v>1204</v>
      </c>
      <c r="C78" s="2458">
        <v>10</v>
      </c>
      <c r="D78" s="2459">
        <v>29</v>
      </c>
      <c r="E78" s="1549">
        <f t="shared" si="110"/>
        <v>0.34482758620689657</v>
      </c>
      <c r="F78" s="2458">
        <v>29</v>
      </c>
      <c r="G78" s="2459">
        <v>28</v>
      </c>
      <c r="H78" s="1549">
        <f t="shared" si="111"/>
        <v>1.0357142857142858</v>
      </c>
      <c r="I78" s="2458">
        <v>28</v>
      </c>
      <c r="J78" s="2459">
        <v>30</v>
      </c>
      <c r="K78" s="1549">
        <f t="shared" si="112"/>
        <v>0.93333333333333335</v>
      </c>
      <c r="L78" s="2458">
        <v>12</v>
      </c>
      <c r="M78" s="2459">
        <v>29</v>
      </c>
      <c r="N78" s="1549">
        <f t="shared" si="113"/>
        <v>0.41379310344827586</v>
      </c>
      <c r="O78" s="2458">
        <v>19</v>
      </c>
      <c r="P78" s="2459">
        <v>31</v>
      </c>
      <c r="Q78" s="1549">
        <f t="shared" si="114"/>
        <v>0.61290322580645162</v>
      </c>
      <c r="R78" s="2458">
        <v>33</v>
      </c>
      <c r="S78" s="2459">
        <v>30</v>
      </c>
      <c r="T78" s="1549">
        <f t="shared" si="98"/>
        <v>1.1000000000000001</v>
      </c>
      <c r="U78" s="2458">
        <v>16</v>
      </c>
      <c r="V78" s="2459">
        <v>27</v>
      </c>
      <c r="W78" s="1549">
        <f t="shared" si="99"/>
        <v>0.59259259259259256</v>
      </c>
      <c r="X78" s="2458">
        <v>15</v>
      </c>
      <c r="Y78" s="2066">
        <v>22</v>
      </c>
      <c r="Z78" s="1549">
        <f t="shared" si="100"/>
        <v>0.68181818181818177</v>
      </c>
      <c r="AA78" s="2458">
        <v>19</v>
      </c>
      <c r="AB78" s="2066">
        <v>24</v>
      </c>
      <c r="AC78" s="1549">
        <f t="shared" si="101"/>
        <v>0.79166666666666663</v>
      </c>
    </row>
    <row r="79" spans="1:29" s="1" customFormat="1">
      <c r="A79" s="237"/>
      <c r="B79" s="4321" t="s">
        <v>1205</v>
      </c>
      <c r="C79" s="2460">
        <v>47</v>
      </c>
      <c r="D79" s="2461">
        <v>47</v>
      </c>
      <c r="E79" s="1551">
        <f t="shared" si="110"/>
        <v>1</v>
      </c>
      <c r="F79" s="2460">
        <v>53</v>
      </c>
      <c r="G79" s="2461">
        <v>48</v>
      </c>
      <c r="H79" s="1551">
        <f t="shared" si="111"/>
        <v>1.1041666666666667</v>
      </c>
      <c r="I79" s="2460">
        <v>67</v>
      </c>
      <c r="J79" s="2461">
        <v>47</v>
      </c>
      <c r="K79" s="1551">
        <f t="shared" si="112"/>
        <v>1.425531914893617</v>
      </c>
      <c r="L79" s="2460">
        <v>34</v>
      </c>
      <c r="M79" s="2461">
        <v>47</v>
      </c>
      <c r="N79" s="1551">
        <f t="shared" si="113"/>
        <v>0.72340425531914898</v>
      </c>
      <c r="O79" s="2460">
        <v>47</v>
      </c>
      <c r="P79" s="2461">
        <v>46</v>
      </c>
      <c r="Q79" s="1551">
        <f t="shared" si="114"/>
        <v>1.0217391304347827</v>
      </c>
      <c r="R79" s="2460">
        <v>37</v>
      </c>
      <c r="S79" s="2461">
        <v>45</v>
      </c>
      <c r="T79" s="1551">
        <f t="shared" si="98"/>
        <v>0.82222222222222219</v>
      </c>
      <c r="U79" s="2460">
        <v>39</v>
      </c>
      <c r="V79" s="2461">
        <v>46</v>
      </c>
      <c r="W79" s="1551">
        <f t="shared" si="99"/>
        <v>0.84782608695652173</v>
      </c>
      <c r="X79" s="2460">
        <v>29</v>
      </c>
      <c r="Y79" s="2064">
        <v>44</v>
      </c>
      <c r="Z79" s="1551">
        <f t="shared" si="100"/>
        <v>0.65909090909090906</v>
      </c>
      <c r="AA79" s="2460">
        <v>27</v>
      </c>
      <c r="AB79" s="2064">
        <v>44</v>
      </c>
      <c r="AC79" s="1551">
        <f t="shared" si="101"/>
        <v>0.61363636363636365</v>
      </c>
    </row>
    <row r="80" spans="1:29" s="1" customFormat="1" ht="15" customHeight="1">
      <c r="A80" s="237"/>
      <c r="B80" s="4322" t="s">
        <v>21</v>
      </c>
      <c r="C80" s="4323">
        <v>115</v>
      </c>
      <c r="D80" s="4324">
        <f>SUM(D76:D79)</f>
        <v>142</v>
      </c>
      <c r="E80" s="4325">
        <f t="shared" si="110"/>
        <v>0.8098591549295775</v>
      </c>
      <c r="F80" s="4323">
        <v>154</v>
      </c>
      <c r="G80" s="4324">
        <f t="shared" ref="G80" si="125">SUM(G76:G79)</f>
        <v>143</v>
      </c>
      <c r="H80" s="4325">
        <f t="shared" si="111"/>
        <v>1.0769230769230769</v>
      </c>
      <c r="I80" s="4323">
        <v>174</v>
      </c>
      <c r="J80" s="4324">
        <f t="shared" ref="J80" si="126">SUM(J76:J79)</f>
        <v>141</v>
      </c>
      <c r="K80" s="4325">
        <f t="shared" si="112"/>
        <v>1.2340425531914894</v>
      </c>
      <c r="L80" s="4323">
        <f>SUM(L76:L79)</f>
        <v>85</v>
      </c>
      <c r="M80" s="4324">
        <f t="shared" ref="M80" si="127">SUM(M76:M79)</f>
        <v>141</v>
      </c>
      <c r="N80" s="4325">
        <f t="shared" si="113"/>
        <v>0.6028368794326241</v>
      </c>
      <c r="O80" s="4323">
        <f>SUM(O76:O79)</f>
        <v>153</v>
      </c>
      <c r="P80" s="4324">
        <f t="shared" ref="P80" si="128">SUM(P76:P79)</f>
        <v>146</v>
      </c>
      <c r="Q80" s="4325">
        <f t="shared" si="114"/>
        <v>1.047945205479452</v>
      </c>
      <c r="R80" s="4323">
        <f>SUM(R76:R79)</f>
        <v>141</v>
      </c>
      <c r="S80" s="4324">
        <f t="shared" ref="S80" si="129">SUM(S76:S79)</f>
        <v>144</v>
      </c>
      <c r="T80" s="4325">
        <f t="shared" si="98"/>
        <v>0.97916666666666663</v>
      </c>
      <c r="U80" s="4323">
        <v>119</v>
      </c>
      <c r="V80" s="4324">
        <f>SUM(V76:V79)</f>
        <v>144</v>
      </c>
      <c r="W80" s="4325">
        <f t="shared" si="99"/>
        <v>0.82638888888888884</v>
      </c>
      <c r="X80" s="4323">
        <v>118</v>
      </c>
      <c r="Y80" s="4326">
        <f>SUM(Y76:Y79)</f>
        <v>135</v>
      </c>
      <c r="Z80" s="4325">
        <f t="shared" si="100"/>
        <v>0.87407407407407411</v>
      </c>
      <c r="AA80" s="4323">
        <v>91</v>
      </c>
      <c r="AB80" s="4326">
        <v>133</v>
      </c>
      <c r="AC80" s="4325">
        <f t="shared" si="101"/>
        <v>0.68421052631578949</v>
      </c>
    </row>
    <row r="81" spans="1:29" s="1" customFormat="1" ht="15" customHeight="1">
      <c r="A81" s="237"/>
      <c r="B81" s="4327" t="s">
        <v>360</v>
      </c>
      <c r="C81" s="4328">
        <v>1289</v>
      </c>
      <c r="D81" s="4329">
        <f>SUM(D80,D75,D70)</f>
        <v>824</v>
      </c>
      <c r="E81" s="4330">
        <f t="shared" si="110"/>
        <v>1.5643203883495145</v>
      </c>
      <c r="F81" s="4328">
        <v>1271</v>
      </c>
      <c r="G81" s="4329">
        <f t="shared" ref="G81" si="130">SUM(G80,G75,G70)</f>
        <v>839</v>
      </c>
      <c r="H81" s="4330">
        <f t="shared" si="111"/>
        <v>1.5148986889153755</v>
      </c>
      <c r="I81" s="4328">
        <v>1673</v>
      </c>
      <c r="J81" s="4329">
        <f t="shared" ref="J81" si="131">SUM(J80,J75,J70)</f>
        <v>852</v>
      </c>
      <c r="K81" s="4330">
        <f t="shared" si="112"/>
        <v>1.9636150234741785</v>
      </c>
      <c r="L81" s="4328">
        <f t="shared" ref="L81" si="132">SUM(L80,L75,L70)</f>
        <v>1231</v>
      </c>
      <c r="M81" s="4329">
        <f t="shared" ref="M81" si="133">SUM(M80,M75,M70)</f>
        <v>852</v>
      </c>
      <c r="N81" s="4330">
        <f t="shared" si="113"/>
        <v>1.4448356807511737</v>
      </c>
      <c r="O81" s="4328">
        <f t="shared" ref="O81" si="134">SUM(O80,O75,O70)</f>
        <v>1527</v>
      </c>
      <c r="P81" s="4329">
        <f t="shared" ref="P81" si="135">SUM(P80,P75,P70)</f>
        <v>860</v>
      </c>
      <c r="Q81" s="4330">
        <f t="shared" si="114"/>
        <v>1.7755813953488373</v>
      </c>
      <c r="R81" s="4328">
        <f t="shared" ref="R81:S81" si="136">SUM(R80,R75,R70)</f>
        <v>1352</v>
      </c>
      <c r="S81" s="4329">
        <f t="shared" si="136"/>
        <v>856</v>
      </c>
      <c r="T81" s="4330">
        <f t="shared" si="98"/>
        <v>1.5794392523364487</v>
      </c>
      <c r="U81" s="4328">
        <v>1119</v>
      </c>
      <c r="V81" s="4329">
        <f>SUM(V80,V75,V70)</f>
        <v>842</v>
      </c>
      <c r="W81" s="4330">
        <f t="shared" si="99"/>
        <v>1.3289786223277911</v>
      </c>
      <c r="X81" s="4328">
        <f>SUM(X70,X75,X80)</f>
        <v>1189</v>
      </c>
      <c r="Y81" s="4329">
        <f>SUM(Y80,Y75,Y70)</f>
        <v>832</v>
      </c>
      <c r="Z81" s="4330">
        <f t="shared" si="100"/>
        <v>1.4290865384615385</v>
      </c>
      <c r="AA81" s="4328">
        <v>1235</v>
      </c>
      <c r="AB81" s="4329">
        <v>830</v>
      </c>
      <c r="AC81" s="4330">
        <f t="shared" si="101"/>
        <v>1.4879518072289157</v>
      </c>
    </row>
    <row r="82" spans="1:29" s="1565" customFormat="1" ht="20.100000000000001" customHeight="1">
      <c r="A82" s="237"/>
      <c r="B82" s="4331" t="s">
        <v>67</v>
      </c>
      <c r="C82" s="1563">
        <f>SUM(C21,C34,C52,C65,C81)</f>
        <v>4004</v>
      </c>
      <c r="D82" s="1563">
        <f>SUM(D21,D34,D52,D65,D81)</f>
        <v>2575</v>
      </c>
      <c r="E82" s="1564">
        <f t="shared" si="110"/>
        <v>1.5549514563106797</v>
      </c>
      <c r="F82" s="1563">
        <f>SUM(F21,F34,F52,F65,F81)</f>
        <v>4143</v>
      </c>
      <c r="G82" s="1563">
        <f t="shared" ref="G82" si="137">SUM(G21,G34,G52,G65,G81)</f>
        <v>2623</v>
      </c>
      <c r="H82" s="1564">
        <f t="shared" si="111"/>
        <v>1.5794891345787268</v>
      </c>
      <c r="I82" s="1563">
        <f>SUM(I21,I34,I52,I65,I81)</f>
        <v>4328</v>
      </c>
      <c r="J82" s="1563">
        <f t="shared" ref="J82" si="138">SUM(J21,J34,J52,J65,J81)</f>
        <v>2663</v>
      </c>
      <c r="K82" s="1564">
        <f t="shared" si="112"/>
        <v>1.6252346977093504</v>
      </c>
      <c r="L82" s="1563">
        <f>SUM(L21,L34,L52,L65,L81)</f>
        <v>4346</v>
      </c>
      <c r="M82" s="1563">
        <f t="shared" ref="M82" si="139">SUM(M21,M34,M52,M65,M81)</f>
        <v>2705</v>
      </c>
      <c r="N82" s="1564">
        <f t="shared" si="113"/>
        <v>1.6066543438077634</v>
      </c>
      <c r="O82" s="1563">
        <f>SUM(O21,O34,O52,O65,O81)</f>
        <v>4334</v>
      </c>
      <c r="P82" s="1563">
        <f t="shared" ref="P82" si="140">SUM(P21,P34,P52,P65,P81)</f>
        <v>2759</v>
      </c>
      <c r="Q82" s="1564">
        <f t="shared" si="114"/>
        <v>1.5708590068865531</v>
      </c>
      <c r="R82" s="1563">
        <f>SUM(R21,R34,R52,R65,R81)</f>
        <v>4634</v>
      </c>
      <c r="S82" s="1563">
        <f t="shared" ref="S82" si="141">SUM(S21,S34,S52,S65,S81)</f>
        <v>2743</v>
      </c>
      <c r="T82" s="1564">
        <f t="shared" si="98"/>
        <v>1.6893911775428363</v>
      </c>
      <c r="U82" s="1563">
        <v>4112</v>
      </c>
      <c r="V82" s="1563">
        <f t="shared" ref="V82" si="142">SUM(V21,V34,V52,V65,V81)</f>
        <v>2732</v>
      </c>
      <c r="W82" s="1564">
        <f t="shared" si="99"/>
        <v>1.5051244509516837</v>
      </c>
      <c r="X82" s="1563">
        <f>SUM(X21,X34,X52,X65,X81)</f>
        <v>4311</v>
      </c>
      <c r="Y82" s="1563">
        <f t="shared" ref="Y82" si="143">SUM(Y21,Y34,Y52,Y65,Y81)</f>
        <v>2754</v>
      </c>
      <c r="Z82" s="1564">
        <f t="shared" si="100"/>
        <v>1.565359477124183</v>
      </c>
      <c r="AA82" s="1563">
        <f>SUM(AA21,AA34,AA52,AA65,AA81)</f>
        <v>4667</v>
      </c>
      <c r="AB82" s="1563">
        <v>2776</v>
      </c>
      <c r="AC82" s="1933">
        <f t="shared" si="101"/>
        <v>1.6811959654178674</v>
      </c>
    </row>
    <row r="84" spans="1:29">
      <c r="B84" s="4298" t="s">
        <v>2743</v>
      </c>
    </row>
    <row r="85" spans="1:29">
      <c r="B85" s="34" t="s">
        <v>1644</v>
      </c>
    </row>
  </sheetData>
  <mergeCells count="9">
    <mergeCell ref="C2:E2"/>
    <mergeCell ref="F2:H2"/>
    <mergeCell ref="AA2:AC2"/>
    <mergeCell ref="X2:Z2"/>
    <mergeCell ref="U2:W2"/>
    <mergeCell ref="R2:T2"/>
    <mergeCell ref="I2:K2"/>
    <mergeCell ref="L2:N2"/>
    <mergeCell ref="O2:Q2"/>
  </mergeCells>
  <printOptions horizontalCentered="1" verticalCentered="1"/>
  <pageMargins left="0.19685039370078741" right="0.19685039370078741" top="0.19685039370078741" bottom="0.19685039370078741" header="0.31496062992125984" footer="0.31496062992125984"/>
  <pageSetup scale="44" orientation="landscape" r:id="rId1"/>
  <ignoredErrors>
    <ignoredError sqref="E82 H80:N82 H9:H34 H70:N79 C35:N69 C70:G79 C9:G34 I9:N34 Q9:Q82 T80:T82 W82 Z82" formula="1"/>
    <ignoredError sqref="S80" formulaRange="1"/>
  </ignoredErrors>
  <drawing r:id="rId2"/>
</worksheet>
</file>

<file path=xl/worksheets/sheet36.xml><?xml version="1.0" encoding="utf-8"?>
<worksheet xmlns="http://schemas.openxmlformats.org/spreadsheetml/2006/main" xmlns:r="http://schemas.openxmlformats.org/officeDocument/2006/relationships">
  <sheetPr>
    <tabColor theme="4" tint="-0.499984740745262"/>
  </sheetPr>
  <dimension ref="A1:AC87"/>
  <sheetViews>
    <sheetView workbookViewId="0">
      <pane xSplit="2" ySplit="3" topLeftCell="R4" activePane="bottomRight" state="frozen"/>
      <selection pane="topRight" activeCell="D1" sqref="D1"/>
      <selection pane="bottomLeft" activeCell="A5" sqref="A5"/>
      <selection pane="bottomRight" activeCell="AD80" sqref="AD80"/>
    </sheetView>
  </sheetViews>
  <sheetFormatPr baseColWidth="10" defaultRowHeight="15"/>
  <cols>
    <col min="1" max="1" width="2.7109375" style="237" customWidth="1"/>
    <col min="2" max="2" width="48" customWidth="1"/>
    <col min="3" max="3" width="8.7109375" customWidth="1"/>
    <col min="4" max="4" width="10.7109375" customWidth="1"/>
    <col min="5" max="5" width="7.7109375" style="156" customWidth="1"/>
    <col min="6" max="6" width="8.7109375" customWidth="1"/>
    <col min="7" max="7" width="10.7109375" customWidth="1"/>
    <col min="8" max="8" width="7.7109375" style="156" customWidth="1"/>
    <col min="9" max="9" width="8.7109375" customWidth="1"/>
    <col min="10" max="10" width="10.7109375" customWidth="1"/>
    <col min="11" max="11" width="7.7109375" style="156" customWidth="1"/>
    <col min="12" max="12" width="8.7109375" customWidth="1"/>
    <col min="13" max="13" width="10.7109375" customWidth="1"/>
    <col min="14" max="14" width="7.7109375" style="156" customWidth="1"/>
    <col min="15" max="15" width="8.7109375" style="237" customWidth="1"/>
    <col min="16" max="16" width="10.7109375" customWidth="1"/>
    <col min="17" max="17" width="7.7109375" style="156" customWidth="1"/>
    <col min="18" max="18" width="9" customWidth="1"/>
    <col min="20" max="20" width="7.7109375" style="156" customWidth="1"/>
    <col min="21" max="21" width="9" customWidth="1"/>
    <col min="23" max="23" width="7.7109375" style="156" customWidth="1"/>
    <col min="24" max="24" width="9" customWidth="1"/>
    <col min="26" max="26" width="7.7109375" style="156" customWidth="1"/>
    <col min="27" max="27" width="9" customWidth="1"/>
    <col min="29" max="29" width="7.7109375" customWidth="1"/>
  </cols>
  <sheetData>
    <row r="1" spans="1:29" ht="75">
      <c r="B1" s="4242" t="s">
        <v>2488</v>
      </c>
      <c r="C1" s="472"/>
      <c r="D1" s="472"/>
      <c r="E1" s="3419"/>
      <c r="F1" s="472"/>
      <c r="G1" s="472"/>
      <c r="H1" s="3419"/>
      <c r="I1" s="472"/>
      <c r="J1" s="472"/>
      <c r="K1" s="3419"/>
      <c r="L1" s="472"/>
      <c r="M1" s="472"/>
      <c r="N1" s="3419"/>
      <c r="O1" s="471"/>
    </row>
    <row r="2" spans="1:29" s="1" customFormat="1" ht="18.75">
      <c r="A2" s="4242"/>
      <c r="C2" s="5267">
        <v>2010</v>
      </c>
      <c r="D2" s="5268"/>
      <c r="E2" s="5269"/>
      <c r="F2" s="5267">
        <v>2011</v>
      </c>
      <c r="G2" s="5268"/>
      <c r="H2" s="5269"/>
      <c r="I2" s="5267">
        <v>2012</v>
      </c>
      <c r="J2" s="5268"/>
      <c r="K2" s="5269"/>
      <c r="L2" s="5267">
        <v>2013</v>
      </c>
      <c r="M2" s="5268"/>
      <c r="N2" s="5269"/>
      <c r="O2" s="5267">
        <v>2014</v>
      </c>
      <c r="P2" s="5268"/>
      <c r="Q2" s="5269"/>
      <c r="R2" s="5267">
        <v>2015</v>
      </c>
      <c r="S2" s="5268"/>
      <c r="T2" s="5269"/>
      <c r="U2" s="5267">
        <v>2016</v>
      </c>
      <c r="V2" s="5268"/>
      <c r="W2" s="5269"/>
      <c r="X2" s="5267">
        <v>2017</v>
      </c>
      <c r="Y2" s="5268"/>
      <c r="Z2" s="5269"/>
      <c r="AA2" s="5267">
        <v>2018</v>
      </c>
      <c r="AB2" s="5268"/>
      <c r="AC2" s="5269"/>
    </row>
    <row r="3" spans="1:29" s="1" customFormat="1" ht="51.75" thickBot="1">
      <c r="A3" s="4242"/>
      <c r="B3" s="4293" t="s">
        <v>2868</v>
      </c>
      <c r="C3" s="4290" t="s">
        <v>1485</v>
      </c>
      <c r="D3" s="4290" t="s">
        <v>1147</v>
      </c>
      <c r="E3" s="4333" t="s">
        <v>76</v>
      </c>
      <c r="F3" s="4290" t="s">
        <v>1485</v>
      </c>
      <c r="G3" s="4290" t="s">
        <v>1147</v>
      </c>
      <c r="H3" s="4333" t="s">
        <v>76</v>
      </c>
      <c r="I3" s="4290" t="s">
        <v>1485</v>
      </c>
      <c r="J3" s="4290" t="s">
        <v>1147</v>
      </c>
      <c r="K3" s="4333" t="s">
        <v>76</v>
      </c>
      <c r="L3" s="4290" t="s">
        <v>1485</v>
      </c>
      <c r="M3" s="4290" t="s">
        <v>1147</v>
      </c>
      <c r="N3" s="4333" t="s">
        <v>76</v>
      </c>
      <c r="O3" s="4290" t="s">
        <v>1485</v>
      </c>
      <c r="P3" s="4290" t="s">
        <v>1147</v>
      </c>
      <c r="Q3" s="4333" t="s">
        <v>76</v>
      </c>
      <c r="R3" s="4290" t="s">
        <v>1485</v>
      </c>
      <c r="S3" s="4290" t="s">
        <v>1147</v>
      </c>
      <c r="T3" s="4333" t="s">
        <v>76</v>
      </c>
      <c r="U3" s="4290" t="s">
        <v>1485</v>
      </c>
      <c r="V3" s="4290" t="s">
        <v>1147</v>
      </c>
      <c r="W3" s="4333" t="s">
        <v>76</v>
      </c>
      <c r="X3" s="4290" t="s">
        <v>1485</v>
      </c>
      <c r="Y3" s="4290" t="s">
        <v>1147</v>
      </c>
      <c r="Z3" s="4333" t="s">
        <v>76</v>
      </c>
      <c r="AA3" s="4290" t="s">
        <v>1485</v>
      </c>
      <c r="AB3" s="4290" t="s">
        <v>1147</v>
      </c>
      <c r="AC3" s="4333" t="s">
        <v>76</v>
      </c>
    </row>
    <row r="4" spans="1:29" s="1" customFormat="1" ht="18.75">
      <c r="A4" s="4242"/>
      <c r="B4" s="4285" t="s">
        <v>1150</v>
      </c>
      <c r="C4" s="4286">
        <v>54</v>
      </c>
      <c r="D4" s="4287">
        <v>134</v>
      </c>
      <c r="E4" s="4288">
        <f>C4/D4</f>
        <v>0.40298507462686567</v>
      </c>
      <c r="F4" s="4286">
        <v>72</v>
      </c>
      <c r="G4" s="4287">
        <v>136</v>
      </c>
      <c r="H4" s="4288">
        <f>F4/G4</f>
        <v>0.52941176470588236</v>
      </c>
      <c r="I4" s="4286">
        <v>58</v>
      </c>
      <c r="J4" s="4287">
        <v>139</v>
      </c>
      <c r="K4" s="4288">
        <f>I4/J4</f>
        <v>0.41726618705035973</v>
      </c>
      <c r="L4" s="4286">
        <v>82</v>
      </c>
      <c r="M4" s="4287">
        <v>139</v>
      </c>
      <c r="N4" s="4288">
        <f>L4/M4</f>
        <v>0.58992805755395683</v>
      </c>
      <c r="O4" s="4286">
        <v>91</v>
      </c>
      <c r="P4" s="4287">
        <v>145</v>
      </c>
      <c r="Q4" s="4288">
        <f>O4/P4</f>
        <v>0.62758620689655176</v>
      </c>
      <c r="R4" s="4286">
        <v>73</v>
      </c>
      <c r="S4" s="4287">
        <v>143</v>
      </c>
      <c r="T4" s="4288">
        <f>R4/S4</f>
        <v>0.51048951048951052</v>
      </c>
      <c r="U4" s="4286">
        <v>70</v>
      </c>
      <c r="V4" s="4289">
        <v>142</v>
      </c>
      <c r="W4" s="4288">
        <f>U4/V4</f>
        <v>0.49295774647887325</v>
      </c>
      <c r="X4" s="4286">
        <v>99</v>
      </c>
      <c r="Y4" s="4289">
        <v>142</v>
      </c>
      <c r="Z4" s="4288">
        <f>X4/Y4</f>
        <v>0.69718309859154926</v>
      </c>
      <c r="AA4" s="4286">
        <v>97</v>
      </c>
      <c r="AB4" s="4289">
        <v>143</v>
      </c>
      <c r="AC4" s="4288">
        <f>AA4/AB4</f>
        <v>0.67832167832167833</v>
      </c>
    </row>
    <row r="5" spans="1:29" s="1" customFormat="1" ht="18.75">
      <c r="A5" s="4242"/>
      <c r="B5" s="4268" t="s">
        <v>1151</v>
      </c>
      <c r="C5" s="1546">
        <v>4</v>
      </c>
      <c r="D5" s="1542">
        <v>52</v>
      </c>
      <c r="E5" s="3420">
        <f t="shared" ref="E5:E68" si="0">C5/D5</f>
        <v>7.6923076923076927E-2</v>
      </c>
      <c r="F5" s="1546">
        <v>13</v>
      </c>
      <c r="G5" s="1542">
        <v>52</v>
      </c>
      <c r="H5" s="3420">
        <f t="shared" ref="H5:H68" si="1">F5/G5</f>
        <v>0.25</v>
      </c>
      <c r="I5" s="1546">
        <v>9</v>
      </c>
      <c r="J5" s="1542">
        <v>52</v>
      </c>
      <c r="K5" s="3420">
        <f t="shared" ref="K5:K68" si="2">I5/J5</f>
        <v>0.17307692307692307</v>
      </c>
      <c r="L5" s="1546">
        <v>8</v>
      </c>
      <c r="M5" s="1542">
        <v>51</v>
      </c>
      <c r="N5" s="3420">
        <f t="shared" ref="N5:N68" si="3">L5/M5</f>
        <v>0.15686274509803921</v>
      </c>
      <c r="O5" s="1546">
        <v>7</v>
      </c>
      <c r="P5" s="1542">
        <v>53</v>
      </c>
      <c r="Q5" s="3420">
        <f t="shared" ref="Q5:Q68" si="4">O5/P5</f>
        <v>0.13207547169811321</v>
      </c>
      <c r="R5" s="1546">
        <v>15</v>
      </c>
      <c r="S5" s="1542">
        <v>56</v>
      </c>
      <c r="T5" s="3420">
        <f t="shared" ref="T5:T52" si="5">R5/S5</f>
        <v>0.26785714285714285</v>
      </c>
      <c r="U5" s="1546">
        <v>8</v>
      </c>
      <c r="V5" s="2056">
        <v>54</v>
      </c>
      <c r="W5" s="3420">
        <f t="shared" ref="W5:W52" si="6">U5/V5</f>
        <v>0.14814814814814814</v>
      </c>
      <c r="X5" s="1546">
        <v>5</v>
      </c>
      <c r="Y5" s="2056">
        <v>56</v>
      </c>
      <c r="Z5" s="3420">
        <f t="shared" ref="Z5:Z52" si="7">X5/Y5</f>
        <v>8.9285714285714288E-2</v>
      </c>
      <c r="AA5" s="1546">
        <v>14</v>
      </c>
      <c r="AB5" s="2056">
        <v>55</v>
      </c>
      <c r="AC5" s="3420">
        <f t="shared" ref="AC5:AC39" si="8">AA5/AB5</f>
        <v>0.25454545454545452</v>
      </c>
    </row>
    <row r="6" spans="1:29" s="1" customFormat="1" ht="18.75">
      <c r="A6" s="4242"/>
      <c r="B6" s="4268" t="s">
        <v>1152</v>
      </c>
      <c r="C6" s="1546">
        <v>38</v>
      </c>
      <c r="D6" s="1542">
        <v>64</v>
      </c>
      <c r="E6" s="3420">
        <f t="shared" si="0"/>
        <v>0.59375</v>
      </c>
      <c r="F6" s="1546">
        <v>42</v>
      </c>
      <c r="G6" s="1542">
        <v>62</v>
      </c>
      <c r="H6" s="3420">
        <f t="shared" si="1"/>
        <v>0.67741935483870963</v>
      </c>
      <c r="I6" s="1546">
        <v>31</v>
      </c>
      <c r="J6" s="1542">
        <v>63</v>
      </c>
      <c r="K6" s="3420">
        <f t="shared" si="2"/>
        <v>0.49206349206349204</v>
      </c>
      <c r="L6" s="1546">
        <v>12</v>
      </c>
      <c r="M6" s="1542">
        <v>64</v>
      </c>
      <c r="N6" s="3420">
        <f t="shared" si="3"/>
        <v>0.1875</v>
      </c>
      <c r="O6" s="1546">
        <v>40</v>
      </c>
      <c r="P6" s="1542">
        <v>66</v>
      </c>
      <c r="Q6" s="3420">
        <f t="shared" si="4"/>
        <v>0.60606060606060608</v>
      </c>
      <c r="R6" s="1546">
        <v>34</v>
      </c>
      <c r="S6" s="1542">
        <v>61</v>
      </c>
      <c r="T6" s="3420">
        <f t="shared" si="5"/>
        <v>0.55737704918032782</v>
      </c>
      <c r="U6" s="1546">
        <v>46</v>
      </c>
      <c r="V6" s="2056">
        <v>60</v>
      </c>
      <c r="W6" s="3420">
        <f t="shared" si="6"/>
        <v>0.76666666666666672</v>
      </c>
      <c r="X6" s="1546">
        <v>37</v>
      </c>
      <c r="Y6" s="2056">
        <v>62</v>
      </c>
      <c r="Z6" s="3420">
        <f t="shared" si="7"/>
        <v>0.59677419354838712</v>
      </c>
      <c r="AA6" s="1546">
        <v>37</v>
      </c>
      <c r="AB6" s="2056">
        <v>65</v>
      </c>
      <c r="AC6" s="3420">
        <f t="shared" si="8"/>
        <v>0.56923076923076921</v>
      </c>
    </row>
    <row r="7" spans="1:29" s="1" customFormat="1" ht="18.75">
      <c r="A7" s="4242"/>
      <c r="B7" s="4268" t="s">
        <v>1153</v>
      </c>
      <c r="C7" s="1546">
        <v>21</v>
      </c>
      <c r="D7" s="1542">
        <v>50</v>
      </c>
      <c r="E7" s="3420">
        <f t="shared" si="0"/>
        <v>0.42</v>
      </c>
      <c r="F7" s="1546">
        <v>19</v>
      </c>
      <c r="G7" s="1542">
        <v>51</v>
      </c>
      <c r="H7" s="3420">
        <f t="shared" si="1"/>
        <v>0.37254901960784315</v>
      </c>
      <c r="I7" s="1546">
        <v>26</v>
      </c>
      <c r="J7" s="1542">
        <v>49</v>
      </c>
      <c r="K7" s="3420">
        <f t="shared" si="2"/>
        <v>0.53061224489795922</v>
      </c>
      <c r="L7" s="1546">
        <v>37</v>
      </c>
      <c r="M7" s="1542">
        <v>51</v>
      </c>
      <c r="N7" s="3420">
        <f t="shared" si="3"/>
        <v>0.72549019607843135</v>
      </c>
      <c r="O7" s="1546">
        <v>33</v>
      </c>
      <c r="P7" s="1542">
        <v>51</v>
      </c>
      <c r="Q7" s="3420">
        <f t="shared" si="4"/>
        <v>0.6470588235294118</v>
      </c>
      <c r="R7" s="1546">
        <v>40</v>
      </c>
      <c r="S7" s="1542">
        <v>50</v>
      </c>
      <c r="T7" s="3420">
        <f t="shared" si="5"/>
        <v>0.8</v>
      </c>
      <c r="U7" s="1546">
        <v>31</v>
      </c>
      <c r="V7" s="2056">
        <v>49</v>
      </c>
      <c r="W7" s="3420">
        <f t="shared" si="6"/>
        <v>0.63265306122448983</v>
      </c>
      <c r="X7" s="1546">
        <v>40</v>
      </c>
      <c r="Y7" s="2056">
        <v>50</v>
      </c>
      <c r="Z7" s="3420">
        <f t="shared" si="7"/>
        <v>0.8</v>
      </c>
      <c r="AA7" s="1546">
        <v>18</v>
      </c>
      <c r="AB7" s="2056">
        <v>50</v>
      </c>
      <c r="AC7" s="3420">
        <f t="shared" si="8"/>
        <v>0.36</v>
      </c>
    </row>
    <row r="8" spans="1:29" s="1" customFormat="1" ht="18.75">
      <c r="A8" s="4242"/>
      <c r="B8" s="4269" t="s">
        <v>1154</v>
      </c>
      <c r="C8" s="1556">
        <v>11</v>
      </c>
      <c r="D8" s="1557">
        <v>42</v>
      </c>
      <c r="E8" s="3421">
        <f t="shared" si="0"/>
        <v>0.26190476190476192</v>
      </c>
      <c r="F8" s="1556">
        <v>7</v>
      </c>
      <c r="G8" s="1557">
        <v>41</v>
      </c>
      <c r="H8" s="3421">
        <f t="shared" si="1"/>
        <v>0.17073170731707318</v>
      </c>
      <c r="I8" s="1556">
        <v>3</v>
      </c>
      <c r="J8" s="1557">
        <v>45</v>
      </c>
      <c r="K8" s="3421">
        <f t="shared" si="2"/>
        <v>6.6666666666666666E-2</v>
      </c>
      <c r="L8" s="1556">
        <v>19</v>
      </c>
      <c r="M8" s="1557">
        <v>44</v>
      </c>
      <c r="N8" s="3421">
        <f t="shared" si="3"/>
        <v>0.43181818181818182</v>
      </c>
      <c r="O8" s="1556">
        <v>11</v>
      </c>
      <c r="P8" s="1557">
        <v>42</v>
      </c>
      <c r="Q8" s="3421">
        <f t="shared" si="4"/>
        <v>0.26190476190476192</v>
      </c>
      <c r="R8" s="1556">
        <v>17</v>
      </c>
      <c r="S8" s="1557">
        <v>41</v>
      </c>
      <c r="T8" s="3421">
        <f t="shared" si="5"/>
        <v>0.41463414634146339</v>
      </c>
      <c r="U8" s="1556">
        <v>5</v>
      </c>
      <c r="V8" s="2058">
        <v>43</v>
      </c>
      <c r="W8" s="3421">
        <f t="shared" si="6"/>
        <v>0.11627906976744186</v>
      </c>
      <c r="X8" s="1556">
        <v>6</v>
      </c>
      <c r="Y8" s="2058">
        <v>45</v>
      </c>
      <c r="Z8" s="3421">
        <f t="shared" si="7"/>
        <v>0.13333333333333333</v>
      </c>
      <c r="AA8" s="1556">
        <v>14</v>
      </c>
      <c r="AB8" s="2058">
        <v>47</v>
      </c>
      <c r="AC8" s="3421">
        <f t="shared" si="8"/>
        <v>0.2978723404255319</v>
      </c>
    </row>
    <row r="9" spans="1:29" s="1" customFormat="1" ht="15" customHeight="1">
      <c r="A9" s="4242"/>
      <c r="B9" s="4179" t="s">
        <v>4</v>
      </c>
      <c r="C9" s="1559">
        <f t="shared" ref="C9" si="9">SUM(C4:C8)</f>
        <v>128</v>
      </c>
      <c r="D9" s="1560">
        <f>SUM(D4:D8)</f>
        <v>342</v>
      </c>
      <c r="E9" s="3422">
        <f t="shared" si="0"/>
        <v>0.3742690058479532</v>
      </c>
      <c r="F9" s="1559">
        <v>153</v>
      </c>
      <c r="G9" s="1560">
        <f t="shared" ref="G9" si="10">SUM(G4:G8)</f>
        <v>342</v>
      </c>
      <c r="H9" s="3422">
        <f t="shared" si="1"/>
        <v>0.44736842105263158</v>
      </c>
      <c r="I9" s="1559">
        <v>127</v>
      </c>
      <c r="J9" s="1560">
        <f t="shared" ref="J9" si="11">SUM(J4:J8)</f>
        <v>348</v>
      </c>
      <c r="K9" s="3422">
        <f t="shared" si="2"/>
        <v>0.36494252873563221</v>
      </c>
      <c r="L9" s="1559">
        <v>158</v>
      </c>
      <c r="M9" s="1560">
        <f t="shared" ref="M9" si="12">SUM(M4:M8)</f>
        <v>349</v>
      </c>
      <c r="N9" s="3422">
        <f t="shared" si="3"/>
        <v>0.45272206303724927</v>
      </c>
      <c r="O9" s="1559">
        <f>SUM(O4:O8)</f>
        <v>182</v>
      </c>
      <c r="P9" s="1560">
        <f t="shared" ref="P9" si="13">SUM(P4:P8)</f>
        <v>357</v>
      </c>
      <c r="Q9" s="3422">
        <f t="shared" si="4"/>
        <v>0.50980392156862742</v>
      </c>
      <c r="R9" s="1559">
        <f>SUM(R4:R8)</f>
        <v>179</v>
      </c>
      <c r="S9" s="1560">
        <v>351</v>
      </c>
      <c r="T9" s="3422">
        <f t="shared" si="5"/>
        <v>0.50997150997150997</v>
      </c>
      <c r="U9" s="1559">
        <v>160</v>
      </c>
      <c r="V9" s="2060">
        <f>SUM(V4:V8)</f>
        <v>348</v>
      </c>
      <c r="W9" s="3422">
        <f t="shared" si="6"/>
        <v>0.45977011494252873</v>
      </c>
      <c r="X9" s="1559">
        <v>187</v>
      </c>
      <c r="Y9" s="2060">
        <f>SUM(Y4:Y8)</f>
        <v>355</v>
      </c>
      <c r="Z9" s="3422">
        <f t="shared" si="7"/>
        <v>0.52676056338028165</v>
      </c>
      <c r="AA9" s="1559">
        <v>180</v>
      </c>
      <c r="AB9" s="2060">
        <f>SUM(AB4:AB8)</f>
        <v>360</v>
      </c>
      <c r="AC9" s="3422">
        <f t="shared" si="8"/>
        <v>0.5</v>
      </c>
    </row>
    <row r="10" spans="1:29" s="1" customFormat="1" ht="18.75">
      <c r="A10" s="4242"/>
      <c r="B10" s="4267" t="s">
        <v>1155</v>
      </c>
      <c r="C10" s="1548"/>
      <c r="D10" s="1543">
        <v>42</v>
      </c>
      <c r="E10" s="3423">
        <f t="shared" si="0"/>
        <v>0</v>
      </c>
      <c r="F10" s="1548">
        <v>3</v>
      </c>
      <c r="G10" s="1543">
        <v>44</v>
      </c>
      <c r="H10" s="3423">
        <f t="shared" si="1"/>
        <v>6.8181818181818177E-2</v>
      </c>
      <c r="I10" s="1548">
        <v>15</v>
      </c>
      <c r="J10" s="1543">
        <v>44</v>
      </c>
      <c r="K10" s="3423">
        <f t="shared" si="2"/>
        <v>0.34090909090909088</v>
      </c>
      <c r="L10" s="1548">
        <v>11</v>
      </c>
      <c r="M10" s="1543">
        <v>43</v>
      </c>
      <c r="N10" s="3423">
        <f t="shared" si="3"/>
        <v>0.2558139534883721</v>
      </c>
      <c r="O10" s="1548">
        <v>0</v>
      </c>
      <c r="P10" s="1543">
        <v>44</v>
      </c>
      <c r="Q10" s="3423">
        <f t="shared" si="4"/>
        <v>0</v>
      </c>
      <c r="R10" s="1548"/>
      <c r="S10" s="1543">
        <v>43</v>
      </c>
      <c r="T10" s="3423">
        <f t="shared" si="5"/>
        <v>0</v>
      </c>
      <c r="U10" s="1548"/>
      <c r="V10" s="2066">
        <v>41</v>
      </c>
      <c r="W10" s="3423">
        <f t="shared" si="6"/>
        <v>0</v>
      </c>
      <c r="X10" s="1548">
        <v>2</v>
      </c>
      <c r="Y10" s="2066">
        <v>45</v>
      </c>
      <c r="Z10" s="3423">
        <f t="shared" si="7"/>
        <v>4.4444444444444446E-2</v>
      </c>
      <c r="AA10" s="1548">
        <v>2</v>
      </c>
      <c r="AB10" s="2066">
        <v>49</v>
      </c>
      <c r="AC10" s="3423">
        <f t="shared" si="8"/>
        <v>4.0816326530612242E-2</v>
      </c>
    </row>
    <row r="11" spans="1:29" s="1" customFormat="1" ht="18.75">
      <c r="A11" s="4242"/>
      <c r="B11" s="4268" t="s">
        <v>1156</v>
      </c>
      <c r="C11" s="1548">
        <v>1</v>
      </c>
      <c r="D11" s="1543">
        <v>64</v>
      </c>
      <c r="E11" s="3423">
        <f t="shared" si="0"/>
        <v>1.5625E-2</v>
      </c>
      <c r="F11" s="1548"/>
      <c r="G11" s="1543">
        <v>63</v>
      </c>
      <c r="H11" s="3423">
        <f t="shared" si="1"/>
        <v>0</v>
      </c>
      <c r="I11" s="1548"/>
      <c r="J11" s="1543">
        <v>62</v>
      </c>
      <c r="K11" s="3423">
        <f t="shared" si="2"/>
        <v>0</v>
      </c>
      <c r="L11" s="1548"/>
      <c r="M11" s="1543">
        <v>73</v>
      </c>
      <c r="N11" s="3423">
        <f t="shared" si="3"/>
        <v>0</v>
      </c>
      <c r="O11" s="1548">
        <v>1</v>
      </c>
      <c r="P11" s="1543">
        <v>71</v>
      </c>
      <c r="Q11" s="3423">
        <f t="shared" si="4"/>
        <v>1.4084507042253521E-2</v>
      </c>
      <c r="R11" s="1548"/>
      <c r="S11" s="1543">
        <v>71</v>
      </c>
      <c r="T11" s="3423">
        <f t="shared" si="5"/>
        <v>0</v>
      </c>
      <c r="U11" s="1548">
        <v>1</v>
      </c>
      <c r="V11" s="2066">
        <v>68</v>
      </c>
      <c r="W11" s="3423">
        <f t="shared" si="6"/>
        <v>1.4705882352941176E-2</v>
      </c>
      <c r="X11" s="1548">
        <v>1</v>
      </c>
      <c r="Y11" s="2066">
        <v>70</v>
      </c>
      <c r="Z11" s="3423">
        <f t="shared" si="7"/>
        <v>1.4285714285714285E-2</v>
      </c>
      <c r="AA11" s="1548">
        <v>0</v>
      </c>
      <c r="AB11" s="2066">
        <v>72</v>
      </c>
      <c r="AC11" s="3423">
        <f t="shared" si="8"/>
        <v>0</v>
      </c>
    </row>
    <row r="12" spans="1:29" s="1" customFormat="1" ht="18.75">
      <c r="A12" s="4242"/>
      <c r="B12" s="4268" t="s">
        <v>1157</v>
      </c>
      <c r="C12" s="1548"/>
      <c r="D12" s="1543">
        <v>71</v>
      </c>
      <c r="E12" s="3423">
        <f t="shared" si="0"/>
        <v>0</v>
      </c>
      <c r="F12" s="1548">
        <v>1</v>
      </c>
      <c r="G12" s="1543">
        <v>74</v>
      </c>
      <c r="H12" s="3423">
        <f t="shared" si="1"/>
        <v>1.3513513513513514E-2</v>
      </c>
      <c r="I12" s="1548">
        <v>19</v>
      </c>
      <c r="J12" s="1543">
        <v>74</v>
      </c>
      <c r="K12" s="3423">
        <f t="shared" si="2"/>
        <v>0.25675675675675674</v>
      </c>
      <c r="L12" s="1548">
        <v>12</v>
      </c>
      <c r="M12" s="1543">
        <v>76</v>
      </c>
      <c r="N12" s="3423">
        <f t="shared" si="3"/>
        <v>0.15789473684210525</v>
      </c>
      <c r="O12" s="1548">
        <v>0</v>
      </c>
      <c r="P12" s="1543">
        <v>76</v>
      </c>
      <c r="Q12" s="3423">
        <f t="shared" si="4"/>
        <v>0</v>
      </c>
      <c r="R12" s="1548"/>
      <c r="S12" s="1543">
        <v>74</v>
      </c>
      <c r="T12" s="3423">
        <f t="shared" si="5"/>
        <v>0</v>
      </c>
      <c r="U12" s="1548">
        <v>3</v>
      </c>
      <c r="V12" s="2066">
        <v>74</v>
      </c>
      <c r="W12" s="3423">
        <f t="shared" si="6"/>
        <v>4.0540540540540543E-2</v>
      </c>
      <c r="X12" s="1548">
        <v>6</v>
      </c>
      <c r="Y12" s="2066">
        <v>78</v>
      </c>
      <c r="Z12" s="3423">
        <f t="shared" si="7"/>
        <v>7.6923076923076927E-2</v>
      </c>
      <c r="AA12" s="1548">
        <v>3</v>
      </c>
      <c r="AB12" s="2066">
        <v>77</v>
      </c>
      <c r="AC12" s="3423">
        <f t="shared" si="8"/>
        <v>3.896103896103896E-2</v>
      </c>
    </row>
    <row r="13" spans="1:29" s="1" customFormat="1" ht="18.75">
      <c r="A13" s="4242"/>
      <c r="B13" s="4268" t="s">
        <v>854</v>
      </c>
      <c r="C13" s="1548"/>
      <c r="D13" s="1543">
        <v>56</v>
      </c>
      <c r="E13" s="3423">
        <f t="shared" si="0"/>
        <v>0</v>
      </c>
      <c r="F13" s="1548"/>
      <c r="G13" s="1543">
        <v>57</v>
      </c>
      <c r="H13" s="3423">
        <f t="shared" si="1"/>
        <v>0</v>
      </c>
      <c r="I13" s="1548"/>
      <c r="J13" s="1543">
        <v>58</v>
      </c>
      <c r="K13" s="3423">
        <f t="shared" si="2"/>
        <v>0</v>
      </c>
      <c r="L13" s="1548"/>
      <c r="M13" s="1543">
        <v>58</v>
      </c>
      <c r="N13" s="3423">
        <f t="shared" si="3"/>
        <v>0</v>
      </c>
      <c r="O13" s="1548">
        <v>0</v>
      </c>
      <c r="P13" s="1543">
        <v>58</v>
      </c>
      <c r="Q13" s="3423">
        <f t="shared" si="4"/>
        <v>0</v>
      </c>
      <c r="R13" s="1548"/>
      <c r="S13" s="1543">
        <v>56</v>
      </c>
      <c r="T13" s="3423">
        <f t="shared" si="5"/>
        <v>0</v>
      </c>
      <c r="U13" s="1548"/>
      <c r="V13" s="2066">
        <v>56</v>
      </c>
      <c r="W13" s="3423">
        <f t="shared" si="6"/>
        <v>0</v>
      </c>
      <c r="X13" s="1548">
        <v>1</v>
      </c>
      <c r="Y13" s="2066">
        <v>57</v>
      </c>
      <c r="Z13" s="3423">
        <f t="shared" si="7"/>
        <v>1.7543859649122806E-2</v>
      </c>
      <c r="AA13" s="1548">
        <v>2</v>
      </c>
      <c r="AB13" s="2066">
        <v>57</v>
      </c>
      <c r="AC13" s="3423">
        <f t="shared" si="8"/>
        <v>3.5087719298245612E-2</v>
      </c>
    </row>
    <row r="14" spans="1:29" s="1" customFormat="1" ht="18.75">
      <c r="A14" s="4242"/>
      <c r="B14" s="4268" t="s">
        <v>1158</v>
      </c>
      <c r="C14" s="1550"/>
      <c r="D14" s="1544">
        <v>75</v>
      </c>
      <c r="E14" s="3424">
        <f t="shared" si="0"/>
        <v>0</v>
      </c>
      <c r="F14" s="1550"/>
      <c r="G14" s="1544">
        <v>77</v>
      </c>
      <c r="H14" s="3424">
        <f t="shared" si="1"/>
        <v>0</v>
      </c>
      <c r="I14" s="1550">
        <v>1</v>
      </c>
      <c r="J14" s="1544">
        <v>76</v>
      </c>
      <c r="K14" s="3424">
        <f t="shared" si="2"/>
        <v>1.3157894736842105E-2</v>
      </c>
      <c r="L14" s="1550"/>
      <c r="M14" s="1544">
        <v>76</v>
      </c>
      <c r="N14" s="3424">
        <f t="shared" si="3"/>
        <v>0</v>
      </c>
      <c r="O14" s="1550">
        <v>0</v>
      </c>
      <c r="P14" s="1544">
        <v>76</v>
      </c>
      <c r="Q14" s="3424">
        <f t="shared" si="4"/>
        <v>0</v>
      </c>
      <c r="R14" s="1550">
        <v>1</v>
      </c>
      <c r="S14" s="1544">
        <v>75</v>
      </c>
      <c r="T14" s="3424">
        <f t="shared" si="5"/>
        <v>1.3333333333333334E-2</v>
      </c>
      <c r="U14" s="1550">
        <v>1</v>
      </c>
      <c r="V14" s="2064">
        <v>72</v>
      </c>
      <c r="W14" s="3424">
        <f t="shared" si="6"/>
        <v>1.3888888888888888E-2</v>
      </c>
      <c r="X14" s="1550"/>
      <c r="Y14" s="2064">
        <v>73</v>
      </c>
      <c r="Z14" s="3424">
        <f t="shared" si="7"/>
        <v>0</v>
      </c>
      <c r="AA14" s="1550">
        <v>0</v>
      </c>
      <c r="AB14" s="2064">
        <v>76</v>
      </c>
      <c r="AC14" s="3424">
        <f t="shared" si="8"/>
        <v>0</v>
      </c>
    </row>
    <row r="15" spans="1:29" s="1" customFormat="1" ht="15" customHeight="1">
      <c r="A15" s="4242"/>
      <c r="B15" s="4179" t="s">
        <v>16</v>
      </c>
      <c r="C15" s="1559">
        <f t="shared" ref="C15" si="14">SUM(C10:C14)</f>
        <v>1</v>
      </c>
      <c r="D15" s="1560">
        <f>SUM(D10:D14)</f>
        <v>308</v>
      </c>
      <c r="E15" s="3422">
        <f t="shared" si="0"/>
        <v>3.246753246753247E-3</v>
      </c>
      <c r="F15" s="1559">
        <v>4</v>
      </c>
      <c r="G15" s="1560">
        <f t="shared" ref="G15" si="15">SUM(G10:G14)</f>
        <v>315</v>
      </c>
      <c r="H15" s="3422">
        <f t="shared" si="1"/>
        <v>1.2698412698412698E-2</v>
      </c>
      <c r="I15" s="1559">
        <v>35</v>
      </c>
      <c r="J15" s="1560">
        <f t="shared" ref="J15" si="16">SUM(J10:J14)</f>
        <v>314</v>
      </c>
      <c r="K15" s="3422">
        <f t="shared" si="2"/>
        <v>0.11146496815286625</v>
      </c>
      <c r="L15" s="1559">
        <v>23</v>
      </c>
      <c r="M15" s="1560">
        <f t="shared" ref="M15" si="17">SUM(M10:M14)</f>
        <v>326</v>
      </c>
      <c r="N15" s="3422">
        <f t="shared" si="3"/>
        <v>7.0552147239263799E-2</v>
      </c>
      <c r="O15" s="1559">
        <f>SUM(O10:O14)</f>
        <v>1</v>
      </c>
      <c r="P15" s="1560">
        <f t="shared" ref="P15" si="18">SUM(P10:P14)</f>
        <v>325</v>
      </c>
      <c r="Q15" s="3422">
        <f t="shared" si="4"/>
        <v>3.0769230769230769E-3</v>
      </c>
      <c r="R15" s="1559">
        <f>SUM(R10:R14)</f>
        <v>1</v>
      </c>
      <c r="S15" s="1560">
        <v>319</v>
      </c>
      <c r="T15" s="3422">
        <f t="shared" si="5"/>
        <v>3.134796238244514E-3</v>
      </c>
      <c r="U15" s="1559">
        <v>5</v>
      </c>
      <c r="V15" s="2060">
        <f>SUM(V10:V14)</f>
        <v>311</v>
      </c>
      <c r="W15" s="3422">
        <f t="shared" si="6"/>
        <v>1.607717041800643E-2</v>
      </c>
      <c r="X15" s="1559">
        <v>10</v>
      </c>
      <c r="Y15" s="2060">
        <f>SUM(Y10:Y14)</f>
        <v>323</v>
      </c>
      <c r="Z15" s="3422">
        <f t="shared" si="7"/>
        <v>3.0959752321981424E-2</v>
      </c>
      <c r="AA15" s="1559">
        <v>7</v>
      </c>
      <c r="AB15" s="2060">
        <f>SUM(AB10:AB14)</f>
        <v>331</v>
      </c>
      <c r="AC15" s="3422">
        <f t="shared" si="8"/>
        <v>2.1148036253776436E-2</v>
      </c>
    </row>
    <row r="16" spans="1:29" s="1" customFormat="1" ht="18.75">
      <c r="A16" s="4242"/>
      <c r="B16" s="4268" t="s">
        <v>1160</v>
      </c>
      <c r="C16" s="1548">
        <v>1</v>
      </c>
      <c r="D16" s="1543">
        <v>55</v>
      </c>
      <c r="E16" s="3423">
        <f t="shared" si="0"/>
        <v>1.8181818181818181E-2</v>
      </c>
      <c r="F16" s="1548">
        <v>2</v>
      </c>
      <c r="G16" s="1543">
        <v>58</v>
      </c>
      <c r="H16" s="3423">
        <f t="shared" si="1"/>
        <v>3.4482758620689655E-2</v>
      </c>
      <c r="I16" s="1548"/>
      <c r="J16" s="1543">
        <v>57</v>
      </c>
      <c r="K16" s="3423">
        <f t="shared" si="2"/>
        <v>0</v>
      </c>
      <c r="L16" s="1548">
        <v>1</v>
      </c>
      <c r="M16" s="1543">
        <v>59</v>
      </c>
      <c r="N16" s="3423">
        <f t="shared" si="3"/>
        <v>1.6949152542372881E-2</v>
      </c>
      <c r="O16" s="1548">
        <v>1</v>
      </c>
      <c r="P16" s="1543">
        <v>60</v>
      </c>
      <c r="Q16" s="3423">
        <f t="shared" si="4"/>
        <v>1.6666666666666666E-2</v>
      </c>
      <c r="R16" s="1548"/>
      <c r="S16" s="1543">
        <v>60</v>
      </c>
      <c r="T16" s="3423">
        <f t="shared" si="5"/>
        <v>0</v>
      </c>
      <c r="U16" s="1548"/>
      <c r="V16" s="2066">
        <v>61</v>
      </c>
      <c r="W16" s="3423">
        <f t="shared" si="6"/>
        <v>0</v>
      </c>
      <c r="X16" s="1548"/>
      <c r="Y16" s="2066">
        <v>60</v>
      </c>
      <c r="Z16" s="3423">
        <f t="shared" si="7"/>
        <v>0</v>
      </c>
      <c r="AA16" s="1548">
        <v>0</v>
      </c>
      <c r="AB16" s="2066">
        <v>61</v>
      </c>
      <c r="AC16" s="3423">
        <f t="shared" si="8"/>
        <v>0</v>
      </c>
    </row>
    <row r="17" spans="1:29" s="1" customFormat="1" ht="18.75">
      <c r="A17" s="4242"/>
      <c r="B17" s="4268" t="s">
        <v>1161</v>
      </c>
      <c r="C17" s="1548"/>
      <c r="D17" s="1543">
        <v>41</v>
      </c>
      <c r="E17" s="3423">
        <f t="shared" si="0"/>
        <v>0</v>
      </c>
      <c r="F17" s="1548">
        <v>2</v>
      </c>
      <c r="G17" s="1543">
        <v>41</v>
      </c>
      <c r="H17" s="3423">
        <f t="shared" si="1"/>
        <v>4.878048780487805E-2</v>
      </c>
      <c r="I17" s="1548">
        <v>3</v>
      </c>
      <c r="J17" s="1543">
        <v>41</v>
      </c>
      <c r="K17" s="3423">
        <f t="shared" si="2"/>
        <v>7.3170731707317069E-2</v>
      </c>
      <c r="L17" s="1548"/>
      <c r="M17" s="1543">
        <v>44</v>
      </c>
      <c r="N17" s="3423">
        <f t="shared" si="3"/>
        <v>0</v>
      </c>
      <c r="O17" s="1548">
        <v>2</v>
      </c>
      <c r="P17" s="1543">
        <v>45</v>
      </c>
      <c r="Q17" s="3423">
        <f t="shared" si="4"/>
        <v>4.4444444444444446E-2</v>
      </c>
      <c r="R17" s="1548"/>
      <c r="S17" s="1543">
        <v>42</v>
      </c>
      <c r="T17" s="3423">
        <f t="shared" si="5"/>
        <v>0</v>
      </c>
      <c r="U17" s="1548"/>
      <c r="V17" s="2066">
        <v>40</v>
      </c>
      <c r="W17" s="3423">
        <f t="shared" si="6"/>
        <v>0</v>
      </c>
      <c r="X17" s="1548"/>
      <c r="Y17" s="2066">
        <v>38</v>
      </c>
      <c r="Z17" s="3423">
        <f t="shared" si="7"/>
        <v>0</v>
      </c>
      <c r="AA17" s="1548">
        <v>1</v>
      </c>
      <c r="AB17" s="2066">
        <v>37</v>
      </c>
      <c r="AC17" s="3423">
        <f t="shared" si="8"/>
        <v>2.7027027027027029E-2</v>
      </c>
    </row>
    <row r="18" spans="1:29" s="1" customFormat="1" ht="18.75">
      <c r="A18" s="4242"/>
      <c r="B18" s="4268" t="s">
        <v>1162</v>
      </c>
      <c r="C18" s="1548">
        <v>2</v>
      </c>
      <c r="D18" s="1543">
        <v>36</v>
      </c>
      <c r="E18" s="3423">
        <f t="shared" si="0"/>
        <v>5.5555555555555552E-2</v>
      </c>
      <c r="F18" s="1548"/>
      <c r="G18" s="1543">
        <v>36</v>
      </c>
      <c r="H18" s="3423">
        <f t="shared" si="1"/>
        <v>0</v>
      </c>
      <c r="I18" s="1548"/>
      <c r="J18" s="1543">
        <v>38</v>
      </c>
      <c r="K18" s="3423">
        <f t="shared" si="2"/>
        <v>0</v>
      </c>
      <c r="L18" s="1548">
        <v>1</v>
      </c>
      <c r="M18" s="1543">
        <v>39</v>
      </c>
      <c r="N18" s="3423">
        <f t="shared" si="3"/>
        <v>2.564102564102564E-2</v>
      </c>
      <c r="O18" s="1548">
        <v>1</v>
      </c>
      <c r="P18" s="1543">
        <v>41</v>
      </c>
      <c r="Q18" s="3423">
        <f t="shared" si="4"/>
        <v>2.4390243902439025E-2</v>
      </c>
      <c r="R18" s="1548">
        <v>1</v>
      </c>
      <c r="S18" s="1543">
        <v>41</v>
      </c>
      <c r="T18" s="3423">
        <f t="shared" si="5"/>
        <v>2.4390243902439025E-2</v>
      </c>
      <c r="U18" s="1548"/>
      <c r="V18" s="2066">
        <v>41</v>
      </c>
      <c r="W18" s="3423">
        <f t="shared" si="6"/>
        <v>0</v>
      </c>
      <c r="X18" s="1548">
        <v>5</v>
      </c>
      <c r="Y18" s="2066">
        <v>40</v>
      </c>
      <c r="Z18" s="3423">
        <f t="shared" si="7"/>
        <v>0.125</v>
      </c>
      <c r="AA18" s="1548">
        <v>2</v>
      </c>
      <c r="AB18" s="2066">
        <v>42</v>
      </c>
      <c r="AC18" s="3423">
        <f t="shared" si="8"/>
        <v>4.7619047619047616E-2</v>
      </c>
    </row>
    <row r="19" spans="1:29" s="1" customFormat="1" ht="18.75">
      <c r="A19" s="4242"/>
      <c r="B19" s="4268" t="s">
        <v>1163</v>
      </c>
      <c r="C19" s="1548"/>
      <c r="D19" s="1543">
        <v>67</v>
      </c>
      <c r="E19" s="3423">
        <f t="shared" si="0"/>
        <v>0</v>
      </c>
      <c r="F19" s="1548">
        <v>1</v>
      </c>
      <c r="G19" s="1543">
        <v>66</v>
      </c>
      <c r="H19" s="3423">
        <f t="shared" si="1"/>
        <v>1.5151515151515152E-2</v>
      </c>
      <c r="I19" s="1548"/>
      <c r="J19" s="1543">
        <v>70</v>
      </c>
      <c r="K19" s="3423">
        <f t="shared" si="2"/>
        <v>0</v>
      </c>
      <c r="L19" s="1548"/>
      <c r="M19" s="1543">
        <v>69</v>
      </c>
      <c r="N19" s="3423">
        <f t="shared" si="3"/>
        <v>0</v>
      </c>
      <c r="O19" s="1548">
        <v>1</v>
      </c>
      <c r="P19" s="1543">
        <v>75</v>
      </c>
      <c r="Q19" s="3423">
        <f t="shared" si="4"/>
        <v>1.3333333333333334E-2</v>
      </c>
      <c r="R19" s="1548">
        <v>1</v>
      </c>
      <c r="S19" s="1543">
        <v>72</v>
      </c>
      <c r="T19" s="3423">
        <f t="shared" si="5"/>
        <v>1.3888888888888888E-2</v>
      </c>
      <c r="U19" s="1548">
        <v>4</v>
      </c>
      <c r="V19" s="2066">
        <v>71</v>
      </c>
      <c r="W19" s="3423">
        <f t="shared" si="6"/>
        <v>5.6338028169014086E-2</v>
      </c>
      <c r="X19" s="1548">
        <v>5</v>
      </c>
      <c r="Y19" s="2066">
        <v>71</v>
      </c>
      <c r="Z19" s="3423">
        <f t="shared" si="7"/>
        <v>7.0422535211267609E-2</v>
      </c>
      <c r="AA19" s="1548">
        <v>2</v>
      </c>
      <c r="AB19" s="2066">
        <v>73</v>
      </c>
      <c r="AC19" s="3423">
        <f t="shared" si="8"/>
        <v>2.7397260273972601E-2</v>
      </c>
    </row>
    <row r="20" spans="1:29" s="1" customFormat="1" ht="15" customHeight="1">
      <c r="A20" s="4242"/>
      <c r="B20" s="4243" t="s">
        <v>21</v>
      </c>
      <c r="C20" s="4244">
        <f t="shared" ref="C20" si="19">SUM(C16:C19)</f>
        <v>3</v>
      </c>
      <c r="D20" s="4245">
        <f>SUM(D16:D19)</f>
        <v>199</v>
      </c>
      <c r="E20" s="4270">
        <f t="shared" si="0"/>
        <v>1.507537688442211E-2</v>
      </c>
      <c r="F20" s="4244">
        <v>5</v>
      </c>
      <c r="G20" s="4245">
        <f t="shared" ref="G20" si="20">SUM(G16:G19)</f>
        <v>201</v>
      </c>
      <c r="H20" s="4270">
        <f t="shared" si="1"/>
        <v>2.4875621890547265E-2</v>
      </c>
      <c r="I20" s="4244">
        <v>3</v>
      </c>
      <c r="J20" s="4245">
        <f t="shared" ref="J20" si="21">SUM(J16:J19)</f>
        <v>206</v>
      </c>
      <c r="K20" s="4270">
        <f t="shared" si="2"/>
        <v>1.4563106796116505E-2</v>
      </c>
      <c r="L20" s="4244">
        <v>2</v>
      </c>
      <c r="M20" s="4245">
        <f t="shared" ref="M20" si="22">SUM(M16:M19)</f>
        <v>211</v>
      </c>
      <c r="N20" s="4270">
        <f t="shared" si="3"/>
        <v>9.4786729857819912E-3</v>
      </c>
      <c r="O20" s="4244">
        <f>SUM(O16:O19)</f>
        <v>5</v>
      </c>
      <c r="P20" s="4245">
        <f t="shared" ref="P20" si="23">SUM(P16:P19)</f>
        <v>221</v>
      </c>
      <c r="Q20" s="4270">
        <f t="shared" si="4"/>
        <v>2.2624434389140271E-2</v>
      </c>
      <c r="R20" s="4244">
        <f>SUM(R16:R19)</f>
        <v>2</v>
      </c>
      <c r="S20" s="4245">
        <v>215</v>
      </c>
      <c r="T20" s="4270">
        <f t="shared" si="5"/>
        <v>9.3023255813953487E-3</v>
      </c>
      <c r="U20" s="4244">
        <v>4</v>
      </c>
      <c r="V20" s="4271">
        <f>SUM(V16:V19)</f>
        <v>213</v>
      </c>
      <c r="W20" s="4270">
        <f t="shared" si="6"/>
        <v>1.8779342723004695E-2</v>
      </c>
      <c r="X20" s="4244">
        <v>10</v>
      </c>
      <c r="Y20" s="4271">
        <f>SUM(Y16:Y19)</f>
        <v>209</v>
      </c>
      <c r="Z20" s="4270">
        <f t="shared" si="7"/>
        <v>4.784688995215311E-2</v>
      </c>
      <c r="AA20" s="4244">
        <v>5</v>
      </c>
      <c r="AB20" s="4271">
        <f>SUM(AB16:AB19)</f>
        <v>213</v>
      </c>
      <c r="AC20" s="4270">
        <f t="shared" si="8"/>
        <v>2.3474178403755867E-2</v>
      </c>
    </row>
    <row r="21" spans="1:29" s="1" customFormat="1" ht="15" customHeight="1">
      <c r="A21" s="4242"/>
      <c r="B21" s="4272" t="s">
        <v>1164</v>
      </c>
      <c r="C21" s="4247">
        <f t="shared" ref="C21" si="24">SUM(C20,C15,C9)</f>
        <v>132</v>
      </c>
      <c r="D21" s="4248">
        <f>SUM(D9,D15,D20)</f>
        <v>849</v>
      </c>
      <c r="E21" s="4273">
        <f t="shared" si="0"/>
        <v>0.15547703180212014</v>
      </c>
      <c r="F21" s="4247">
        <v>162</v>
      </c>
      <c r="G21" s="4248">
        <f t="shared" ref="G21" si="25">SUM(G9,G15,G20)</f>
        <v>858</v>
      </c>
      <c r="H21" s="4273">
        <f t="shared" si="1"/>
        <v>0.1888111888111888</v>
      </c>
      <c r="I21" s="4247">
        <v>165</v>
      </c>
      <c r="J21" s="4248">
        <f t="shared" ref="J21" si="26">SUM(J9,J15,J20)</f>
        <v>868</v>
      </c>
      <c r="K21" s="4273">
        <f t="shared" si="2"/>
        <v>0.19009216589861752</v>
      </c>
      <c r="L21" s="4247">
        <v>183</v>
      </c>
      <c r="M21" s="4248">
        <f t="shared" ref="M21" si="27">SUM(M9,M15,M20)</f>
        <v>886</v>
      </c>
      <c r="N21" s="4273">
        <f t="shared" si="3"/>
        <v>0.20654627539503387</v>
      </c>
      <c r="O21" s="4247">
        <f>SUM(O9,O15,O20)</f>
        <v>188</v>
      </c>
      <c r="P21" s="4248">
        <f t="shared" ref="P21" si="28">SUM(P9,P15,P20)</f>
        <v>903</v>
      </c>
      <c r="Q21" s="4274">
        <f t="shared" si="4"/>
        <v>0.20819490586932449</v>
      </c>
      <c r="R21" s="4247">
        <f t="shared" ref="R21" si="29">SUM(R20,R15,R9)</f>
        <v>182</v>
      </c>
      <c r="S21" s="4248">
        <v>885</v>
      </c>
      <c r="T21" s="4274">
        <f t="shared" si="5"/>
        <v>0.20564971751412428</v>
      </c>
      <c r="U21" s="4247">
        <v>169</v>
      </c>
      <c r="V21" s="4275">
        <f>SUM(V9,V15,V20)</f>
        <v>872</v>
      </c>
      <c r="W21" s="4274">
        <f t="shared" si="6"/>
        <v>0.19380733944954129</v>
      </c>
      <c r="X21" s="4247">
        <v>207</v>
      </c>
      <c r="Y21" s="4275">
        <f>SUM(Y9,Y15,Y20)</f>
        <v>887</v>
      </c>
      <c r="Z21" s="4274">
        <f t="shared" si="7"/>
        <v>0.23337091319052988</v>
      </c>
      <c r="AA21" s="4247">
        <v>192</v>
      </c>
      <c r="AB21" s="4275">
        <f>SUM(AB9,AB15,AB20)</f>
        <v>904</v>
      </c>
      <c r="AC21" s="4274">
        <f t="shared" si="8"/>
        <v>0.21238938053097345</v>
      </c>
    </row>
    <row r="22" spans="1:29" s="1" customFormat="1" ht="18.75">
      <c r="A22" s="4242"/>
      <c r="B22" s="4267" t="s">
        <v>1165</v>
      </c>
      <c r="C22" s="1548"/>
      <c r="D22" s="1543">
        <v>16</v>
      </c>
      <c r="E22" s="3423">
        <f t="shared" si="0"/>
        <v>0</v>
      </c>
      <c r="F22" s="1548"/>
      <c r="G22" s="1543">
        <v>17</v>
      </c>
      <c r="H22" s="3423">
        <f t="shared" si="1"/>
        <v>0</v>
      </c>
      <c r="I22" s="1548"/>
      <c r="J22" s="1543">
        <v>18</v>
      </c>
      <c r="K22" s="3423">
        <f t="shared" si="2"/>
        <v>0</v>
      </c>
      <c r="L22" s="1548"/>
      <c r="M22" s="1543">
        <v>21</v>
      </c>
      <c r="N22" s="3423">
        <f t="shared" si="3"/>
        <v>0</v>
      </c>
      <c r="O22" s="1548">
        <v>1</v>
      </c>
      <c r="P22" s="1543">
        <v>21</v>
      </c>
      <c r="Q22" s="3423">
        <f t="shared" si="4"/>
        <v>4.7619047619047616E-2</v>
      </c>
      <c r="R22" s="1548"/>
      <c r="S22" s="1543">
        <v>19</v>
      </c>
      <c r="T22" s="3423">
        <f t="shared" si="5"/>
        <v>0</v>
      </c>
      <c r="U22" s="1548"/>
      <c r="V22" s="2066">
        <v>18</v>
      </c>
      <c r="W22" s="3423">
        <f t="shared" si="6"/>
        <v>0</v>
      </c>
      <c r="X22" s="1548"/>
      <c r="Y22" s="2066">
        <v>19</v>
      </c>
      <c r="Z22" s="3423">
        <f t="shared" si="7"/>
        <v>0</v>
      </c>
      <c r="AA22" s="1548">
        <v>1</v>
      </c>
      <c r="AB22" s="2066">
        <v>16</v>
      </c>
      <c r="AC22" s="3423">
        <f t="shared" si="8"/>
        <v>6.25E-2</v>
      </c>
    </row>
    <row r="23" spans="1:29" s="1" customFormat="1" ht="18.75">
      <c r="A23" s="4242"/>
      <c r="B23" s="4268" t="s">
        <v>1166</v>
      </c>
      <c r="C23" s="1548"/>
      <c r="D23" s="1543">
        <v>6</v>
      </c>
      <c r="E23" s="3423">
        <f t="shared" si="0"/>
        <v>0</v>
      </c>
      <c r="F23" s="1548">
        <v>2</v>
      </c>
      <c r="G23" s="1543">
        <v>7</v>
      </c>
      <c r="H23" s="3423">
        <f t="shared" si="1"/>
        <v>0.2857142857142857</v>
      </c>
      <c r="I23" s="1548">
        <v>3</v>
      </c>
      <c r="J23" s="1543">
        <v>14</v>
      </c>
      <c r="K23" s="3423">
        <f t="shared" si="2"/>
        <v>0.21428571428571427</v>
      </c>
      <c r="L23" s="1548">
        <v>3</v>
      </c>
      <c r="M23" s="1543">
        <v>13</v>
      </c>
      <c r="N23" s="3423">
        <f t="shared" si="3"/>
        <v>0.23076923076923078</v>
      </c>
      <c r="O23" s="1548">
        <v>5</v>
      </c>
      <c r="P23" s="1543">
        <v>14</v>
      </c>
      <c r="Q23" s="3423">
        <f t="shared" si="4"/>
        <v>0.35714285714285715</v>
      </c>
      <c r="R23" s="1548">
        <v>1</v>
      </c>
      <c r="S23" s="1543">
        <v>16</v>
      </c>
      <c r="T23" s="3423">
        <f t="shared" si="5"/>
        <v>6.25E-2</v>
      </c>
      <c r="U23" s="1548">
        <v>1</v>
      </c>
      <c r="V23" s="2066">
        <v>16</v>
      </c>
      <c r="W23" s="3423">
        <f t="shared" si="6"/>
        <v>6.25E-2</v>
      </c>
      <c r="X23" s="1548"/>
      <c r="Y23" s="2066">
        <v>16</v>
      </c>
      <c r="Z23" s="3423">
        <f t="shared" si="7"/>
        <v>0</v>
      </c>
      <c r="AA23" s="1548">
        <v>4</v>
      </c>
      <c r="AB23" s="2066">
        <v>17</v>
      </c>
      <c r="AC23" s="3423">
        <f t="shared" si="8"/>
        <v>0.23529411764705882</v>
      </c>
    </row>
    <row r="24" spans="1:29" s="1" customFormat="1" ht="18.75">
      <c r="A24" s="4242"/>
      <c r="B24" s="4268" t="s">
        <v>1167</v>
      </c>
      <c r="C24" s="1548">
        <v>7</v>
      </c>
      <c r="D24" s="1543">
        <v>16</v>
      </c>
      <c r="E24" s="3423">
        <f t="shared" si="0"/>
        <v>0.4375</v>
      </c>
      <c r="F24" s="1548">
        <v>1</v>
      </c>
      <c r="G24" s="1543">
        <v>17</v>
      </c>
      <c r="H24" s="3423">
        <f t="shared" si="1"/>
        <v>5.8823529411764705E-2</v>
      </c>
      <c r="I24" s="1548">
        <v>3</v>
      </c>
      <c r="J24" s="1543">
        <v>20</v>
      </c>
      <c r="K24" s="3423">
        <f t="shared" si="2"/>
        <v>0.15</v>
      </c>
      <c r="L24" s="1548">
        <v>9</v>
      </c>
      <c r="M24" s="1543">
        <v>17</v>
      </c>
      <c r="N24" s="3423">
        <f t="shared" si="3"/>
        <v>0.52941176470588236</v>
      </c>
      <c r="O24" s="1548">
        <v>13</v>
      </c>
      <c r="P24" s="1543">
        <v>17</v>
      </c>
      <c r="Q24" s="3423">
        <f t="shared" si="4"/>
        <v>0.76470588235294112</v>
      </c>
      <c r="R24" s="1548">
        <v>5</v>
      </c>
      <c r="S24" s="1543">
        <v>19</v>
      </c>
      <c r="T24" s="3423">
        <f t="shared" si="5"/>
        <v>0.26315789473684209</v>
      </c>
      <c r="U24" s="1548">
        <v>18</v>
      </c>
      <c r="V24" s="2066">
        <v>19</v>
      </c>
      <c r="W24" s="3423">
        <f t="shared" si="6"/>
        <v>0.94736842105263153</v>
      </c>
      <c r="X24" s="1548">
        <v>7</v>
      </c>
      <c r="Y24" s="2066">
        <v>19</v>
      </c>
      <c r="Z24" s="3423">
        <f t="shared" si="7"/>
        <v>0.36842105263157893</v>
      </c>
      <c r="AA24" s="1548">
        <v>11</v>
      </c>
      <c r="AB24" s="2066">
        <v>19</v>
      </c>
      <c r="AC24" s="3423">
        <f t="shared" si="8"/>
        <v>0.57894736842105265</v>
      </c>
    </row>
    <row r="25" spans="1:29" s="1" customFormat="1" ht="15" customHeight="1">
      <c r="A25" s="4242"/>
      <c r="B25" s="4179" t="s">
        <v>61</v>
      </c>
      <c r="C25" s="1559">
        <f t="shared" ref="C25" si="30">SUM(C22:C24)</f>
        <v>7</v>
      </c>
      <c r="D25" s="1560">
        <f>SUM(D22:D24)</f>
        <v>38</v>
      </c>
      <c r="E25" s="3422">
        <f t="shared" si="0"/>
        <v>0.18421052631578946</v>
      </c>
      <c r="F25" s="1559">
        <v>3</v>
      </c>
      <c r="G25" s="1560">
        <f t="shared" ref="G25" si="31">SUM(G22:G24)</f>
        <v>41</v>
      </c>
      <c r="H25" s="3422">
        <f t="shared" si="1"/>
        <v>7.3170731707317069E-2</v>
      </c>
      <c r="I25" s="1559">
        <v>6</v>
      </c>
      <c r="J25" s="1560">
        <f t="shared" ref="J25" si="32">SUM(J22:J24)</f>
        <v>52</v>
      </c>
      <c r="K25" s="3422">
        <f t="shared" si="2"/>
        <v>0.11538461538461539</v>
      </c>
      <c r="L25" s="1559">
        <v>12</v>
      </c>
      <c r="M25" s="1560">
        <f t="shared" ref="M25" si="33">SUM(M22:M24)</f>
        <v>51</v>
      </c>
      <c r="N25" s="3422">
        <f t="shared" si="3"/>
        <v>0.23529411764705882</v>
      </c>
      <c r="O25" s="1559">
        <f>SUM(O22:O24)</f>
        <v>19</v>
      </c>
      <c r="P25" s="1560">
        <f t="shared" ref="P25" si="34">SUM(P22:P24)</f>
        <v>52</v>
      </c>
      <c r="Q25" s="3422">
        <f t="shared" si="4"/>
        <v>0.36538461538461536</v>
      </c>
      <c r="R25" s="1559">
        <f>SUM(R22:R24)</f>
        <v>6</v>
      </c>
      <c r="S25" s="1560">
        <v>54</v>
      </c>
      <c r="T25" s="3422">
        <f t="shared" si="5"/>
        <v>0.1111111111111111</v>
      </c>
      <c r="U25" s="1559">
        <v>19</v>
      </c>
      <c r="V25" s="2060">
        <f>SUM(V22:V24)</f>
        <v>53</v>
      </c>
      <c r="W25" s="3422">
        <f t="shared" si="6"/>
        <v>0.35849056603773582</v>
      </c>
      <c r="X25" s="1559">
        <v>7</v>
      </c>
      <c r="Y25" s="2060">
        <f>SUM(Y22:Y24)</f>
        <v>54</v>
      </c>
      <c r="Z25" s="3422">
        <f t="shared" si="7"/>
        <v>0.12962962962962962</v>
      </c>
      <c r="AA25" s="1559">
        <v>16</v>
      </c>
      <c r="AB25" s="2060">
        <f>SUM(AB22:AB24)</f>
        <v>52</v>
      </c>
      <c r="AC25" s="3422">
        <f t="shared" si="8"/>
        <v>0.30769230769230771</v>
      </c>
    </row>
    <row r="26" spans="1:29" s="1" customFormat="1" ht="18.75">
      <c r="A26" s="4242"/>
      <c r="B26" s="4268" t="s">
        <v>1168</v>
      </c>
      <c r="C26" s="1548">
        <v>7</v>
      </c>
      <c r="D26" s="1543">
        <v>8</v>
      </c>
      <c r="E26" s="3423">
        <f t="shared" si="0"/>
        <v>0.875</v>
      </c>
      <c r="F26" s="1548">
        <v>13</v>
      </c>
      <c r="G26" s="1543">
        <v>8</v>
      </c>
      <c r="H26" s="3423">
        <f t="shared" si="1"/>
        <v>1.625</v>
      </c>
      <c r="I26" s="1548">
        <v>6</v>
      </c>
      <c r="J26" s="1543">
        <v>9</v>
      </c>
      <c r="K26" s="3423">
        <f t="shared" si="2"/>
        <v>0.66666666666666663</v>
      </c>
      <c r="L26" s="1548">
        <v>19</v>
      </c>
      <c r="M26" s="1543">
        <v>10</v>
      </c>
      <c r="N26" s="3423">
        <f t="shared" si="3"/>
        <v>1.9</v>
      </c>
      <c r="O26" s="1548">
        <v>10</v>
      </c>
      <c r="P26" s="1543">
        <v>10</v>
      </c>
      <c r="Q26" s="3423">
        <f t="shared" si="4"/>
        <v>1</v>
      </c>
      <c r="R26" s="1548">
        <v>21</v>
      </c>
      <c r="S26" s="1543">
        <v>12</v>
      </c>
      <c r="T26" s="3423">
        <f t="shared" si="5"/>
        <v>1.75</v>
      </c>
      <c r="U26" s="1548">
        <v>4</v>
      </c>
      <c r="V26" s="2066">
        <v>13</v>
      </c>
      <c r="W26" s="3423">
        <f t="shared" si="6"/>
        <v>0.30769230769230771</v>
      </c>
      <c r="X26" s="1548">
        <v>16</v>
      </c>
      <c r="Y26" s="2066">
        <v>13</v>
      </c>
      <c r="Z26" s="3423">
        <f t="shared" si="7"/>
        <v>1.2307692307692308</v>
      </c>
      <c r="AA26" s="1548">
        <v>12</v>
      </c>
      <c r="AB26" s="2066">
        <v>13</v>
      </c>
      <c r="AC26" s="3423">
        <f t="shared" si="8"/>
        <v>0.92307692307692313</v>
      </c>
    </row>
    <row r="27" spans="1:29" s="1" customFormat="1" ht="18.75">
      <c r="A27" s="4242"/>
      <c r="B27" s="4268" t="s">
        <v>1169</v>
      </c>
      <c r="C27" s="1548">
        <v>7</v>
      </c>
      <c r="D27" s="1543">
        <v>8</v>
      </c>
      <c r="E27" s="3423">
        <f t="shared" si="0"/>
        <v>0.875</v>
      </c>
      <c r="F27" s="1548">
        <v>9</v>
      </c>
      <c r="G27" s="1543">
        <v>11</v>
      </c>
      <c r="H27" s="3423">
        <f t="shared" si="1"/>
        <v>0.81818181818181823</v>
      </c>
      <c r="I27" s="1548">
        <v>18</v>
      </c>
      <c r="J27" s="1543">
        <v>14</v>
      </c>
      <c r="K27" s="3423">
        <f t="shared" si="2"/>
        <v>1.2857142857142858</v>
      </c>
      <c r="L27" s="1548">
        <v>20</v>
      </c>
      <c r="M27" s="1543">
        <v>14</v>
      </c>
      <c r="N27" s="3423">
        <f t="shared" si="3"/>
        <v>1.4285714285714286</v>
      </c>
      <c r="O27" s="1548">
        <v>21</v>
      </c>
      <c r="P27" s="1543">
        <v>17</v>
      </c>
      <c r="Q27" s="3423">
        <f t="shared" si="4"/>
        <v>1.2352941176470589</v>
      </c>
      <c r="R27" s="1548">
        <v>21</v>
      </c>
      <c r="S27" s="1543">
        <v>16</v>
      </c>
      <c r="T27" s="3423">
        <f t="shared" si="5"/>
        <v>1.3125</v>
      </c>
      <c r="U27" s="1548">
        <v>18</v>
      </c>
      <c r="V27" s="2066">
        <v>18</v>
      </c>
      <c r="W27" s="3423">
        <f t="shared" si="6"/>
        <v>1</v>
      </c>
      <c r="X27" s="1548">
        <v>20</v>
      </c>
      <c r="Y27" s="2066">
        <v>19</v>
      </c>
      <c r="Z27" s="3423">
        <f t="shared" si="7"/>
        <v>1.0526315789473684</v>
      </c>
      <c r="AA27" s="1548">
        <v>32</v>
      </c>
      <c r="AB27" s="2066">
        <v>19</v>
      </c>
      <c r="AC27" s="3423">
        <f t="shared" si="8"/>
        <v>1.6842105263157894</v>
      </c>
    </row>
    <row r="28" spans="1:29" s="1" customFormat="1" ht="18.75">
      <c r="A28" s="4242"/>
      <c r="B28" s="4268" t="s">
        <v>1170</v>
      </c>
      <c r="C28" s="1548">
        <v>14</v>
      </c>
      <c r="D28" s="1543">
        <v>11</v>
      </c>
      <c r="E28" s="3423">
        <f t="shared" si="0"/>
        <v>1.2727272727272727</v>
      </c>
      <c r="F28" s="1548">
        <v>13</v>
      </c>
      <c r="G28" s="1543">
        <v>14</v>
      </c>
      <c r="H28" s="3423">
        <f t="shared" si="1"/>
        <v>0.9285714285714286</v>
      </c>
      <c r="I28" s="1548">
        <v>4</v>
      </c>
      <c r="J28" s="1543">
        <v>13</v>
      </c>
      <c r="K28" s="3423">
        <f t="shared" si="2"/>
        <v>0.30769230769230771</v>
      </c>
      <c r="L28" s="1548">
        <v>27</v>
      </c>
      <c r="M28" s="1543">
        <v>14</v>
      </c>
      <c r="N28" s="3423">
        <f t="shared" si="3"/>
        <v>1.9285714285714286</v>
      </c>
      <c r="O28" s="1548">
        <v>14</v>
      </c>
      <c r="P28" s="1543">
        <v>15</v>
      </c>
      <c r="Q28" s="3423">
        <f t="shared" si="4"/>
        <v>0.93333333333333335</v>
      </c>
      <c r="R28" s="1548">
        <v>42</v>
      </c>
      <c r="S28" s="1543">
        <v>15</v>
      </c>
      <c r="T28" s="3423">
        <f t="shared" si="5"/>
        <v>2.8</v>
      </c>
      <c r="U28" s="1548">
        <v>23</v>
      </c>
      <c r="V28" s="2066">
        <v>15</v>
      </c>
      <c r="W28" s="3423">
        <f t="shared" si="6"/>
        <v>1.5333333333333334</v>
      </c>
      <c r="X28" s="1548">
        <v>20</v>
      </c>
      <c r="Y28" s="2066">
        <v>16</v>
      </c>
      <c r="Z28" s="3423">
        <f t="shared" si="7"/>
        <v>1.25</v>
      </c>
      <c r="AA28" s="1548">
        <v>31</v>
      </c>
      <c r="AB28" s="2066">
        <v>17</v>
      </c>
      <c r="AC28" s="3423">
        <f t="shared" si="8"/>
        <v>1.8235294117647058</v>
      </c>
    </row>
    <row r="29" spans="1:29" s="1" customFormat="1" ht="15" customHeight="1">
      <c r="A29" s="4242"/>
      <c r="B29" s="4179" t="s">
        <v>64</v>
      </c>
      <c r="C29" s="1559">
        <f t="shared" ref="C29" si="35">SUM(C26:C28)</f>
        <v>28</v>
      </c>
      <c r="D29" s="1560">
        <f>SUM(D26:D28)</f>
        <v>27</v>
      </c>
      <c r="E29" s="3422">
        <f t="shared" si="0"/>
        <v>1.037037037037037</v>
      </c>
      <c r="F29" s="1559">
        <v>35</v>
      </c>
      <c r="G29" s="1560">
        <f t="shared" ref="G29" si="36">SUM(G26:G28)</f>
        <v>33</v>
      </c>
      <c r="H29" s="3422">
        <f t="shared" si="1"/>
        <v>1.0606060606060606</v>
      </c>
      <c r="I29" s="1559">
        <v>28</v>
      </c>
      <c r="J29" s="1560">
        <f t="shared" ref="J29" si="37">SUM(J26:J28)</f>
        <v>36</v>
      </c>
      <c r="K29" s="3422">
        <f t="shared" si="2"/>
        <v>0.77777777777777779</v>
      </c>
      <c r="L29" s="1559">
        <v>66</v>
      </c>
      <c r="M29" s="1560">
        <f t="shared" ref="M29" si="38">SUM(M26:M28)</f>
        <v>38</v>
      </c>
      <c r="N29" s="3422">
        <f t="shared" si="3"/>
        <v>1.736842105263158</v>
      </c>
      <c r="O29" s="1559">
        <f>SUM(O26:O28)</f>
        <v>45</v>
      </c>
      <c r="P29" s="1560">
        <f t="shared" ref="P29" si="39">SUM(P26:P28)</f>
        <v>42</v>
      </c>
      <c r="Q29" s="3422">
        <f t="shared" si="4"/>
        <v>1.0714285714285714</v>
      </c>
      <c r="R29" s="1559">
        <f>SUM(R26:R28)</f>
        <v>84</v>
      </c>
      <c r="S29" s="1560">
        <v>43</v>
      </c>
      <c r="T29" s="3422">
        <f t="shared" si="5"/>
        <v>1.9534883720930232</v>
      </c>
      <c r="U29" s="1559">
        <v>45</v>
      </c>
      <c r="V29" s="2060">
        <f>SUM(V26:V28)</f>
        <v>46</v>
      </c>
      <c r="W29" s="3422">
        <f t="shared" si="6"/>
        <v>0.97826086956521741</v>
      </c>
      <c r="X29" s="1559">
        <v>56</v>
      </c>
      <c r="Y29" s="2060">
        <f>SUM(Y26:Y28)</f>
        <v>48</v>
      </c>
      <c r="Z29" s="3422">
        <f t="shared" si="7"/>
        <v>1.1666666666666667</v>
      </c>
      <c r="AA29" s="1559">
        <v>75</v>
      </c>
      <c r="AB29" s="2060">
        <f>SUM(AB26:AB28)</f>
        <v>49</v>
      </c>
      <c r="AC29" s="3422">
        <f t="shared" si="8"/>
        <v>1.5306122448979591</v>
      </c>
    </row>
    <row r="30" spans="1:29" s="1" customFormat="1" ht="18.75">
      <c r="A30" s="4242"/>
      <c r="B30" s="4268" t="s">
        <v>1171</v>
      </c>
      <c r="C30" s="1548">
        <v>1</v>
      </c>
      <c r="D30" s="1543">
        <v>11</v>
      </c>
      <c r="E30" s="3423">
        <f t="shared" si="0"/>
        <v>9.0909090909090912E-2</v>
      </c>
      <c r="F30" s="1548"/>
      <c r="G30" s="1543">
        <v>13</v>
      </c>
      <c r="H30" s="3423">
        <f t="shared" si="1"/>
        <v>0</v>
      </c>
      <c r="I30" s="1548"/>
      <c r="J30" s="1543">
        <v>13</v>
      </c>
      <c r="K30" s="3423">
        <f t="shared" si="2"/>
        <v>0</v>
      </c>
      <c r="L30" s="1548">
        <v>3</v>
      </c>
      <c r="M30" s="1543">
        <v>13</v>
      </c>
      <c r="N30" s="3423">
        <f t="shared" si="3"/>
        <v>0.23076923076923078</v>
      </c>
      <c r="O30" s="1548">
        <v>1</v>
      </c>
      <c r="P30" s="1543">
        <v>13</v>
      </c>
      <c r="Q30" s="3423">
        <f t="shared" si="4"/>
        <v>7.6923076923076927E-2</v>
      </c>
      <c r="R30" s="1548"/>
      <c r="S30" s="1543">
        <v>15</v>
      </c>
      <c r="T30" s="3423">
        <f t="shared" si="5"/>
        <v>0</v>
      </c>
      <c r="U30" s="1548"/>
      <c r="V30" s="2066">
        <v>15</v>
      </c>
      <c r="W30" s="3423">
        <f t="shared" si="6"/>
        <v>0</v>
      </c>
      <c r="X30" s="1548"/>
      <c r="Y30" s="2066">
        <v>19</v>
      </c>
      <c r="Z30" s="3423">
        <f t="shared" si="7"/>
        <v>0</v>
      </c>
      <c r="AA30" s="1548">
        <v>1</v>
      </c>
      <c r="AB30" s="2066">
        <v>17</v>
      </c>
      <c r="AC30" s="3423">
        <f t="shared" si="8"/>
        <v>5.8823529411764705E-2</v>
      </c>
    </row>
    <row r="31" spans="1:29" s="1" customFormat="1" ht="18.75">
      <c r="A31" s="4242"/>
      <c r="B31" s="4268" t="s">
        <v>1172</v>
      </c>
      <c r="C31" s="1548"/>
      <c r="D31" s="1543">
        <v>12</v>
      </c>
      <c r="E31" s="3423">
        <f t="shared" si="0"/>
        <v>0</v>
      </c>
      <c r="F31" s="1548">
        <v>1</v>
      </c>
      <c r="G31" s="1543">
        <v>15</v>
      </c>
      <c r="H31" s="3423">
        <f t="shared" si="1"/>
        <v>6.6666666666666666E-2</v>
      </c>
      <c r="I31" s="1548">
        <v>14</v>
      </c>
      <c r="J31" s="1543">
        <v>12</v>
      </c>
      <c r="K31" s="3423">
        <f t="shared" si="2"/>
        <v>1.1666666666666667</v>
      </c>
      <c r="L31" s="1548">
        <v>6</v>
      </c>
      <c r="M31" s="1543">
        <v>13</v>
      </c>
      <c r="N31" s="3423">
        <f t="shared" si="3"/>
        <v>0.46153846153846156</v>
      </c>
      <c r="O31" s="1548">
        <v>1</v>
      </c>
      <c r="P31" s="1543">
        <v>16</v>
      </c>
      <c r="Q31" s="3423">
        <f t="shared" si="4"/>
        <v>6.25E-2</v>
      </c>
      <c r="R31" s="1548"/>
      <c r="S31" s="1543">
        <v>16</v>
      </c>
      <c r="T31" s="3423">
        <f t="shared" si="5"/>
        <v>0</v>
      </c>
      <c r="U31" s="1548"/>
      <c r="V31" s="2066">
        <v>18</v>
      </c>
      <c r="W31" s="3423">
        <f t="shared" si="6"/>
        <v>0</v>
      </c>
      <c r="X31" s="1548"/>
      <c r="Y31" s="2066">
        <v>21</v>
      </c>
      <c r="Z31" s="3423">
        <f t="shared" si="7"/>
        <v>0</v>
      </c>
      <c r="AA31" s="1548">
        <v>1</v>
      </c>
      <c r="AB31" s="2066">
        <v>20</v>
      </c>
      <c r="AC31" s="3423">
        <f t="shared" si="8"/>
        <v>0.05</v>
      </c>
    </row>
    <row r="32" spans="1:29" s="1" customFormat="1" ht="18.75">
      <c r="A32" s="4242"/>
      <c r="B32" s="4268" t="s">
        <v>854</v>
      </c>
      <c r="C32" s="1548"/>
      <c r="D32" s="1543">
        <v>15</v>
      </c>
      <c r="E32" s="3423">
        <f t="shared" si="0"/>
        <v>0</v>
      </c>
      <c r="F32" s="1548"/>
      <c r="G32" s="1543">
        <v>17</v>
      </c>
      <c r="H32" s="3423">
        <f t="shared" si="1"/>
        <v>0</v>
      </c>
      <c r="I32" s="1548"/>
      <c r="J32" s="1543">
        <v>17</v>
      </c>
      <c r="K32" s="3423">
        <f t="shared" si="2"/>
        <v>0</v>
      </c>
      <c r="L32" s="1548"/>
      <c r="M32" s="1543">
        <v>20</v>
      </c>
      <c r="N32" s="3423">
        <f t="shared" si="3"/>
        <v>0</v>
      </c>
      <c r="O32" s="1548">
        <v>0</v>
      </c>
      <c r="P32" s="1543">
        <v>20</v>
      </c>
      <c r="Q32" s="3423">
        <f t="shared" si="4"/>
        <v>0</v>
      </c>
      <c r="R32" s="1548"/>
      <c r="S32" s="1543">
        <v>19</v>
      </c>
      <c r="T32" s="3423">
        <f t="shared" si="5"/>
        <v>0</v>
      </c>
      <c r="U32" s="1548">
        <v>2</v>
      </c>
      <c r="V32" s="2066">
        <v>21</v>
      </c>
      <c r="W32" s="3423">
        <f t="shared" si="6"/>
        <v>9.5238095238095233E-2</v>
      </c>
      <c r="X32" s="1548">
        <v>3</v>
      </c>
      <c r="Y32" s="2066">
        <v>21</v>
      </c>
      <c r="Z32" s="3423">
        <f t="shared" si="7"/>
        <v>0.14285714285714285</v>
      </c>
      <c r="AA32" s="1548">
        <v>6</v>
      </c>
      <c r="AB32" s="2066">
        <v>22</v>
      </c>
      <c r="AC32" s="3423">
        <f t="shared" si="8"/>
        <v>0.27272727272727271</v>
      </c>
    </row>
    <row r="33" spans="1:29" s="1" customFormat="1" ht="15" customHeight="1">
      <c r="A33" s="4242"/>
      <c r="B33" s="4243" t="s">
        <v>16</v>
      </c>
      <c r="C33" s="4244">
        <f t="shared" ref="C33" si="40">SUM(C30:C32)</f>
        <v>1</v>
      </c>
      <c r="D33" s="4245">
        <f>SUM(D30:D32)</f>
        <v>38</v>
      </c>
      <c r="E33" s="4270">
        <f t="shared" si="0"/>
        <v>2.6315789473684209E-2</v>
      </c>
      <c r="F33" s="4244">
        <v>1</v>
      </c>
      <c r="G33" s="4245">
        <f t="shared" ref="G33" si="41">SUM(G30:G32)</f>
        <v>45</v>
      </c>
      <c r="H33" s="4270">
        <f t="shared" si="1"/>
        <v>2.2222222222222223E-2</v>
      </c>
      <c r="I33" s="4244">
        <v>14</v>
      </c>
      <c r="J33" s="4245">
        <f t="shared" ref="J33" si="42">SUM(J30:J32)</f>
        <v>42</v>
      </c>
      <c r="K33" s="4270">
        <f t="shared" si="2"/>
        <v>0.33333333333333331</v>
      </c>
      <c r="L33" s="4244">
        <v>9</v>
      </c>
      <c r="M33" s="4245">
        <f t="shared" ref="M33" si="43">SUM(M30:M32)</f>
        <v>46</v>
      </c>
      <c r="N33" s="4270">
        <f t="shared" si="3"/>
        <v>0.19565217391304349</v>
      </c>
      <c r="O33" s="4244">
        <f>SUM(O30:O32)</f>
        <v>2</v>
      </c>
      <c r="P33" s="4245">
        <f t="shared" ref="P33" si="44">SUM(P30:P32)</f>
        <v>49</v>
      </c>
      <c r="Q33" s="4270">
        <f t="shared" si="4"/>
        <v>4.0816326530612242E-2</v>
      </c>
      <c r="R33" s="4244">
        <f>SUM(R30:R32)</f>
        <v>0</v>
      </c>
      <c r="S33" s="4245">
        <v>50</v>
      </c>
      <c r="T33" s="4270">
        <f t="shared" si="5"/>
        <v>0</v>
      </c>
      <c r="U33" s="4244">
        <v>2</v>
      </c>
      <c r="V33" s="4271">
        <f>SUM(V30:V32)</f>
        <v>54</v>
      </c>
      <c r="W33" s="4270">
        <f t="shared" si="6"/>
        <v>3.7037037037037035E-2</v>
      </c>
      <c r="X33" s="4244">
        <v>3</v>
      </c>
      <c r="Y33" s="4271">
        <f>SUM(Y30:Y32)</f>
        <v>61</v>
      </c>
      <c r="Z33" s="4270">
        <f t="shared" si="7"/>
        <v>4.9180327868852458E-2</v>
      </c>
      <c r="AA33" s="4244">
        <v>8</v>
      </c>
      <c r="AB33" s="4271">
        <f>SUM(AB30:AB32)</f>
        <v>59</v>
      </c>
      <c r="AC33" s="4270">
        <f t="shared" si="8"/>
        <v>0.13559322033898305</v>
      </c>
    </row>
    <row r="34" spans="1:29" s="1" customFormat="1" ht="15" customHeight="1">
      <c r="A34" s="4242"/>
      <c r="B34" s="4251" t="s">
        <v>366</v>
      </c>
      <c r="C34" s="4252">
        <f t="shared" ref="C34" si="45">SUM(C25,C29,C33)</f>
        <v>36</v>
      </c>
      <c r="D34" s="4253">
        <f>SUM(D33,D29,D25)</f>
        <v>103</v>
      </c>
      <c r="E34" s="4276">
        <f t="shared" si="0"/>
        <v>0.34951456310679613</v>
      </c>
      <c r="F34" s="4252">
        <v>39</v>
      </c>
      <c r="G34" s="4253">
        <f t="shared" ref="G34" si="46">SUM(G33,G29,G25)</f>
        <v>119</v>
      </c>
      <c r="H34" s="4276">
        <f t="shared" si="1"/>
        <v>0.32773109243697479</v>
      </c>
      <c r="I34" s="4252">
        <v>48</v>
      </c>
      <c r="J34" s="4253">
        <f t="shared" ref="J34" si="47">SUM(J33,J29,J25)</f>
        <v>130</v>
      </c>
      <c r="K34" s="4276">
        <f t="shared" si="2"/>
        <v>0.36923076923076925</v>
      </c>
      <c r="L34" s="4252">
        <v>87</v>
      </c>
      <c r="M34" s="4253">
        <f t="shared" ref="M34" si="48">SUM(M33,M29,M25)</f>
        <v>135</v>
      </c>
      <c r="N34" s="4276">
        <f t="shared" si="3"/>
        <v>0.64444444444444449</v>
      </c>
      <c r="O34" s="4252">
        <f>SUM(O25,O29,O33)</f>
        <v>66</v>
      </c>
      <c r="P34" s="4253">
        <f t="shared" ref="P34" si="49">SUM(P33,P29,P25)</f>
        <v>143</v>
      </c>
      <c r="Q34" s="4276">
        <f t="shared" si="4"/>
        <v>0.46153846153846156</v>
      </c>
      <c r="R34" s="4252">
        <f t="shared" ref="R34" si="50">SUM(R33,R29,R25)</f>
        <v>90</v>
      </c>
      <c r="S34" s="4253">
        <v>147</v>
      </c>
      <c r="T34" s="4276">
        <f t="shared" si="5"/>
        <v>0.61224489795918369</v>
      </c>
      <c r="U34" s="4252">
        <v>66</v>
      </c>
      <c r="V34" s="4277">
        <f>SUM(V25,V29,V33)</f>
        <v>153</v>
      </c>
      <c r="W34" s="4276">
        <f t="shared" si="6"/>
        <v>0.43137254901960786</v>
      </c>
      <c r="X34" s="4252">
        <v>66</v>
      </c>
      <c r="Y34" s="4277">
        <f>SUM(Y25,Y29,Y33)</f>
        <v>163</v>
      </c>
      <c r="Z34" s="4276">
        <f t="shared" si="7"/>
        <v>0.40490797546012269</v>
      </c>
      <c r="AA34" s="4252">
        <v>99</v>
      </c>
      <c r="AB34" s="4277">
        <f>SUM(AB25,AB29,AB33)</f>
        <v>160</v>
      </c>
      <c r="AC34" s="4276">
        <f t="shared" si="8"/>
        <v>0.61875000000000002</v>
      </c>
    </row>
    <row r="35" spans="1:29" s="1" customFormat="1" ht="18.75">
      <c r="A35" s="4242"/>
      <c r="B35" s="4268" t="s">
        <v>1173</v>
      </c>
      <c r="C35" s="1548">
        <v>56</v>
      </c>
      <c r="D35" s="1543">
        <v>56</v>
      </c>
      <c r="E35" s="3423">
        <f t="shared" si="0"/>
        <v>1</v>
      </c>
      <c r="F35" s="1548">
        <v>45</v>
      </c>
      <c r="G35" s="1543">
        <v>56</v>
      </c>
      <c r="H35" s="3423">
        <f t="shared" si="1"/>
        <v>0.8035714285714286</v>
      </c>
      <c r="I35" s="1548">
        <v>69</v>
      </c>
      <c r="J35" s="1543">
        <v>56</v>
      </c>
      <c r="K35" s="3423">
        <f t="shared" si="2"/>
        <v>1.2321428571428572</v>
      </c>
      <c r="L35" s="1548">
        <v>58</v>
      </c>
      <c r="M35" s="1543">
        <v>58</v>
      </c>
      <c r="N35" s="3423">
        <f t="shared" si="3"/>
        <v>1</v>
      </c>
      <c r="O35" s="1548">
        <v>73</v>
      </c>
      <c r="P35" s="1543">
        <v>57</v>
      </c>
      <c r="Q35" s="3423">
        <f t="shared" si="4"/>
        <v>1.2807017543859649</v>
      </c>
      <c r="R35" s="1548">
        <v>78</v>
      </c>
      <c r="S35" s="1543">
        <v>56</v>
      </c>
      <c r="T35" s="3423">
        <f t="shared" si="5"/>
        <v>1.3928571428571428</v>
      </c>
      <c r="U35" s="1548">
        <v>55</v>
      </c>
      <c r="V35" s="2066">
        <v>57</v>
      </c>
      <c r="W35" s="3423">
        <f t="shared" si="6"/>
        <v>0.96491228070175439</v>
      </c>
      <c r="X35" s="1548">
        <v>46</v>
      </c>
      <c r="Y35" s="2066">
        <v>56</v>
      </c>
      <c r="Z35" s="3423">
        <f t="shared" si="7"/>
        <v>0.8214285714285714</v>
      </c>
      <c r="AA35" s="1548">
        <v>66</v>
      </c>
      <c r="AB35" s="2066">
        <v>57</v>
      </c>
      <c r="AC35" s="3423">
        <f t="shared" si="8"/>
        <v>1.1578947368421053</v>
      </c>
    </row>
    <row r="36" spans="1:29" s="1" customFormat="1" ht="18.75">
      <c r="A36" s="4242"/>
      <c r="B36" s="4268" t="s">
        <v>1174</v>
      </c>
      <c r="C36" s="1548">
        <v>75</v>
      </c>
      <c r="D36" s="1543">
        <v>38</v>
      </c>
      <c r="E36" s="3423">
        <f t="shared" si="0"/>
        <v>1.9736842105263157</v>
      </c>
      <c r="F36" s="1548">
        <v>71</v>
      </c>
      <c r="G36" s="1543">
        <v>39</v>
      </c>
      <c r="H36" s="3423">
        <f t="shared" si="1"/>
        <v>1.8205128205128205</v>
      </c>
      <c r="I36" s="1548">
        <v>60</v>
      </c>
      <c r="J36" s="1543">
        <v>43</v>
      </c>
      <c r="K36" s="3423">
        <f t="shared" si="2"/>
        <v>1.3953488372093024</v>
      </c>
      <c r="L36" s="1548">
        <v>89</v>
      </c>
      <c r="M36" s="1543">
        <v>44</v>
      </c>
      <c r="N36" s="3423">
        <f t="shared" si="3"/>
        <v>2.0227272727272729</v>
      </c>
      <c r="O36" s="1548">
        <v>85</v>
      </c>
      <c r="P36" s="1543">
        <v>46</v>
      </c>
      <c r="Q36" s="3423">
        <f t="shared" si="4"/>
        <v>1.8478260869565217</v>
      </c>
      <c r="R36" s="1548">
        <v>75</v>
      </c>
      <c r="S36" s="1543">
        <v>46</v>
      </c>
      <c r="T36" s="3423">
        <f t="shared" si="5"/>
        <v>1.6304347826086956</v>
      </c>
      <c r="U36" s="1548">
        <v>81</v>
      </c>
      <c r="V36" s="2066">
        <v>45</v>
      </c>
      <c r="W36" s="3423">
        <f t="shared" si="6"/>
        <v>1.8</v>
      </c>
      <c r="X36" s="1548">
        <v>70</v>
      </c>
      <c r="Y36" s="2066">
        <v>42</v>
      </c>
      <c r="Z36" s="3423">
        <f t="shared" si="7"/>
        <v>1.6666666666666667</v>
      </c>
      <c r="AA36" s="1548">
        <v>98</v>
      </c>
      <c r="AB36" s="2066">
        <v>40</v>
      </c>
      <c r="AC36" s="3423">
        <f t="shared" si="8"/>
        <v>2.4500000000000002</v>
      </c>
    </row>
    <row r="37" spans="1:29" s="1" customFormat="1" ht="18.75">
      <c r="A37" s="4242"/>
      <c r="B37" s="4268" t="s">
        <v>1175</v>
      </c>
      <c r="C37" s="1548">
        <v>30</v>
      </c>
      <c r="D37" s="1543">
        <v>64</v>
      </c>
      <c r="E37" s="3423">
        <f t="shared" si="0"/>
        <v>0.46875</v>
      </c>
      <c r="F37" s="1548">
        <v>35</v>
      </c>
      <c r="G37" s="1543">
        <v>64</v>
      </c>
      <c r="H37" s="3423">
        <f t="shared" si="1"/>
        <v>0.546875</v>
      </c>
      <c r="I37" s="1548">
        <v>32</v>
      </c>
      <c r="J37" s="1543">
        <v>62</v>
      </c>
      <c r="K37" s="3423">
        <f t="shared" si="2"/>
        <v>0.5161290322580645</v>
      </c>
      <c r="L37" s="1548">
        <v>36</v>
      </c>
      <c r="M37" s="1543">
        <v>64</v>
      </c>
      <c r="N37" s="3423">
        <f t="shared" si="3"/>
        <v>0.5625</v>
      </c>
      <c r="O37" s="1548">
        <v>42</v>
      </c>
      <c r="P37" s="1543">
        <v>64</v>
      </c>
      <c r="Q37" s="3423">
        <f t="shared" si="4"/>
        <v>0.65625</v>
      </c>
      <c r="R37" s="1548">
        <v>31</v>
      </c>
      <c r="S37" s="1543">
        <v>66</v>
      </c>
      <c r="T37" s="3423">
        <f t="shared" si="5"/>
        <v>0.46969696969696972</v>
      </c>
      <c r="U37" s="1548">
        <v>39</v>
      </c>
      <c r="V37" s="2066">
        <v>65</v>
      </c>
      <c r="W37" s="3423">
        <f t="shared" si="6"/>
        <v>0.6</v>
      </c>
      <c r="X37" s="1548">
        <v>54</v>
      </c>
      <c r="Y37" s="2066">
        <v>64</v>
      </c>
      <c r="Z37" s="3423">
        <f t="shared" si="7"/>
        <v>0.84375</v>
      </c>
      <c r="AA37" s="1548">
        <v>40</v>
      </c>
      <c r="AB37" s="2066">
        <v>64</v>
      </c>
      <c r="AC37" s="3423">
        <f t="shared" si="8"/>
        <v>0.625</v>
      </c>
    </row>
    <row r="38" spans="1:29" s="1" customFormat="1" ht="18.75">
      <c r="A38" s="4242"/>
      <c r="B38" s="4268" t="s">
        <v>1176</v>
      </c>
      <c r="C38" s="1548">
        <v>48</v>
      </c>
      <c r="D38" s="1543">
        <v>63</v>
      </c>
      <c r="E38" s="3423">
        <f t="shared" si="0"/>
        <v>0.76190476190476186</v>
      </c>
      <c r="F38" s="1548">
        <v>43</v>
      </c>
      <c r="G38" s="1543">
        <v>63</v>
      </c>
      <c r="H38" s="3423">
        <f t="shared" si="1"/>
        <v>0.68253968253968256</v>
      </c>
      <c r="I38" s="1548">
        <v>39</v>
      </c>
      <c r="J38" s="1543">
        <v>62</v>
      </c>
      <c r="K38" s="3423">
        <f t="shared" si="2"/>
        <v>0.62903225806451613</v>
      </c>
      <c r="L38" s="1548">
        <v>64</v>
      </c>
      <c r="M38" s="1543">
        <v>62</v>
      </c>
      <c r="N38" s="3423">
        <f t="shared" si="3"/>
        <v>1.032258064516129</v>
      </c>
      <c r="O38" s="1548">
        <v>55</v>
      </c>
      <c r="P38" s="1543">
        <v>63</v>
      </c>
      <c r="Q38" s="3423">
        <f t="shared" si="4"/>
        <v>0.87301587301587302</v>
      </c>
      <c r="R38" s="1548">
        <v>42</v>
      </c>
      <c r="S38" s="1543">
        <v>60</v>
      </c>
      <c r="T38" s="3423">
        <f t="shared" si="5"/>
        <v>0.7</v>
      </c>
      <c r="U38" s="1548">
        <v>49</v>
      </c>
      <c r="V38" s="2066">
        <v>60</v>
      </c>
      <c r="W38" s="3423">
        <f t="shared" si="6"/>
        <v>0.81666666666666665</v>
      </c>
      <c r="X38" s="1548">
        <v>50</v>
      </c>
      <c r="Y38" s="2066">
        <v>59</v>
      </c>
      <c r="Z38" s="3423">
        <f t="shared" si="7"/>
        <v>0.84745762711864403</v>
      </c>
      <c r="AA38" s="1548">
        <v>49</v>
      </c>
      <c r="AB38" s="2066">
        <v>60</v>
      </c>
      <c r="AC38" s="3423">
        <f t="shared" si="8"/>
        <v>0.81666666666666665</v>
      </c>
    </row>
    <row r="39" spans="1:29" s="1" customFormat="1" ht="18.75">
      <c r="A39" s="4242"/>
      <c r="B39" s="4268" t="s">
        <v>1177</v>
      </c>
      <c r="C39" s="1548">
        <v>51</v>
      </c>
      <c r="D39" s="1543">
        <v>55</v>
      </c>
      <c r="E39" s="3423">
        <f t="shared" si="0"/>
        <v>0.92727272727272725</v>
      </c>
      <c r="F39" s="1548">
        <v>64</v>
      </c>
      <c r="G39" s="1543">
        <v>56</v>
      </c>
      <c r="H39" s="3423">
        <f t="shared" si="1"/>
        <v>1.1428571428571428</v>
      </c>
      <c r="I39" s="1548">
        <v>81</v>
      </c>
      <c r="J39" s="1543">
        <v>56</v>
      </c>
      <c r="K39" s="3423">
        <f t="shared" si="2"/>
        <v>1.4464285714285714</v>
      </c>
      <c r="L39" s="1548">
        <v>90</v>
      </c>
      <c r="M39" s="1543">
        <v>56</v>
      </c>
      <c r="N39" s="3423">
        <f t="shared" si="3"/>
        <v>1.6071428571428572</v>
      </c>
      <c r="O39" s="1548">
        <v>86</v>
      </c>
      <c r="P39" s="1543">
        <v>56</v>
      </c>
      <c r="Q39" s="3423">
        <f t="shared" si="4"/>
        <v>1.5357142857142858</v>
      </c>
      <c r="R39" s="1548">
        <v>93</v>
      </c>
      <c r="S39" s="1543">
        <v>55</v>
      </c>
      <c r="T39" s="3423">
        <f t="shared" si="5"/>
        <v>1.6909090909090909</v>
      </c>
      <c r="U39" s="1548">
        <v>84</v>
      </c>
      <c r="V39" s="2066">
        <v>54</v>
      </c>
      <c r="W39" s="3423">
        <f t="shared" si="6"/>
        <v>1.5555555555555556</v>
      </c>
      <c r="X39" s="1548">
        <v>101</v>
      </c>
      <c r="Y39" s="2066">
        <v>54</v>
      </c>
      <c r="Z39" s="3423">
        <f t="shared" si="7"/>
        <v>1.8703703703703705</v>
      </c>
      <c r="AA39" s="1548">
        <v>85</v>
      </c>
      <c r="AB39" s="2066">
        <v>54</v>
      </c>
      <c r="AC39" s="3423">
        <f t="shared" si="8"/>
        <v>1.5740740740740742</v>
      </c>
    </row>
    <row r="40" spans="1:29" s="1" customFormat="1" ht="15" customHeight="1">
      <c r="A40" s="4242"/>
      <c r="B40" s="4179" t="s">
        <v>4</v>
      </c>
      <c r="C40" s="1559">
        <f t="shared" ref="C40" si="51">SUM(C35:C39)</f>
        <v>260</v>
      </c>
      <c r="D40" s="1560">
        <f>SUM(D35:D39)</f>
        <v>276</v>
      </c>
      <c r="E40" s="3422">
        <f t="shared" si="0"/>
        <v>0.94202898550724634</v>
      </c>
      <c r="F40" s="1559">
        <v>258</v>
      </c>
      <c r="G40" s="1560">
        <f t="shared" ref="G40" si="52">SUM(G35:G39)</f>
        <v>278</v>
      </c>
      <c r="H40" s="3422">
        <f t="shared" si="1"/>
        <v>0.92805755395683454</v>
      </c>
      <c r="I40" s="1559">
        <v>281</v>
      </c>
      <c r="J40" s="1560">
        <f t="shared" ref="J40" si="53">SUM(J35:J39)</f>
        <v>279</v>
      </c>
      <c r="K40" s="3422">
        <f t="shared" si="2"/>
        <v>1.0071684587813621</v>
      </c>
      <c r="L40" s="1559">
        <v>337</v>
      </c>
      <c r="M40" s="1560">
        <f t="shared" ref="M40" si="54">SUM(M35:M39)</f>
        <v>284</v>
      </c>
      <c r="N40" s="3422">
        <f t="shared" si="3"/>
        <v>1.1866197183098592</v>
      </c>
      <c r="O40" s="1559">
        <f>SUM(O35:O39)</f>
        <v>341</v>
      </c>
      <c r="P40" s="1560">
        <f t="shared" ref="P40" si="55">SUM(P35:P39)</f>
        <v>286</v>
      </c>
      <c r="Q40" s="3422">
        <f t="shared" si="4"/>
        <v>1.1923076923076923</v>
      </c>
      <c r="R40" s="1559">
        <f>SUM(R35:R39)</f>
        <v>319</v>
      </c>
      <c r="S40" s="1560">
        <v>283</v>
      </c>
      <c r="T40" s="3422">
        <f t="shared" si="5"/>
        <v>1.127208480565371</v>
      </c>
      <c r="U40" s="1559">
        <v>308</v>
      </c>
      <c r="V40" s="2060">
        <f>SUM(V35:V39)</f>
        <v>281</v>
      </c>
      <c r="W40" s="3422">
        <f t="shared" si="6"/>
        <v>1.0960854092526691</v>
      </c>
      <c r="X40" s="1559">
        <v>321</v>
      </c>
      <c r="Y40" s="2060">
        <f>SUM(Y35:Y39)</f>
        <v>275</v>
      </c>
      <c r="Z40" s="3422">
        <f>X40/Y40</f>
        <v>1.1672727272727272</v>
      </c>
      <c r="AA40" s="1559">
        <v>338</v>
      </c>
      <c r="AB40" s="2060">
        <f>SUM(AB35:AB39)</f>
        <v>275</v>
      </c>
      <c r="AC40" s="3422">
        <f>AA40/AB40</f>
        <v>1.229090909090909</v>
      </c>
    </row>
    <row r="41" spans="1:29" s="1" customFormat="1" ht="18.75">
      <c r="A41" s="4242"/>
      <c r="B41" s="4268" t="s">
        <v>1178</v>
      </c>
      <c r="C41" s="1548">
        <v>26</v>
      </c>
      <c r="D41" s="1543">
        <v>40</v>
      </c>
      <c r="E41" s="3423">
        <f t="shared" si="0"/>
        <v>0.65</v>
      </c>
      <c r="F41" s="1548">
        <v>38</v>
      </c>
      <c r="G41" s="1543">
        <v>43</v>
      </c>
      <c r="H41" s="3423">
        <f t="shared" si="1"/>
        <v>0.88372093023255816</v>
      </c>
      <c r="I41" s="1548">
        <v>56</v>
      </c>
      <c r="J41" s="1543">
        <v>43</v>
      </c>
      <c r="K41" s="3423">
        <f t="shared" si="2"/>
        <v>1.3023255813953489</v>
      </c>
      <c r="L41" s="1548">
        <v>38</v>
      </c>
      <c r="M41" s="1543">
        <v>46</v>
      </c>
      <c r="N41" s="3423">
        <f t="shared" si="3"/>
        <v>0.82608695652173914</v>
      </c>
      <c r="O41" s="1548">
        <v>36</v>
      </c>
      <c r="P41" s="1543">
        <v>47</v>
      </c>
      <c r="Q41" s="3423">
        <f t="shared" si="4"/>
        <v>0.76595744680851063</v>
      </c>
      <c r="R41" s="1548">
        <v>47</v>
      </c>
      <c r="S41" s="1543">
        <v>47</v>
      </c>
      <c r="T41" s="3423">
        <f t="shared" si="5"/>
        <v>1</v>
      </c>
      <c r="U41" s="1548">
        <v>42</v>
      </c>
      <c r="V41" s="2066">
        <v>48</v>
      </c>
      <c r="W41" s="3423">
        <f t="shared" si="6"/>
        <v>0.875</v>
      </c>
      <c r="X41" s="1548">
        <v>35</v>
      </c>
      <c r="Y41" s="2066">
        <v>47</v>
      </c>
      <c r="Z41" s="3423">
        <f t="shared" si="7"/>
        <v>0.74468085106382975</v>
      </c>
      <c r="AA41" s="1548">
        <v>41</v>
      </c>
      <c r="AB41" s="2066">
        <v>47</v>
      </c>
      <c r="AC41" s="3423">
        <f t="shared" ref="AC41:AC52" si="56">AA41/AB41</f>
        <v>0.87234042553191493</v>
      </c>
    </row>
    <row r="42" spans="1:29" s="1" customFormat="1" ht="18.75">
      <c r="A42" s="4242"/>
      <c r="B42" s="4268" t="s">
        <v>1179</v>
      </c>
      <c r="C42" s="1548">
        <v>24</v>
      </c>
      <c r="D42" s="1543">
        <v>33</v>
      </c>
      <c r="E42" s="3423">
        <f t="shared" si="0"/>
        <v>0.72727272727272729</v>
      </c>
      <c r="F42" s="1548">
        <v>25</v>
      </c>
      <c r="G42" s="1543">
        <v>36</v>
      </c>
      <c r="H42" s="3423">
        <f t="shared" si="1"/>
        <v>0.69444444444444442</v>
      </c>
      <c r="I42" s="1548">
        <v>11</v>
      </c>
      <c r="J42" s="1543">
        <v>35</v>
      </c>
      <c r="K42" s="3423">
        <f t="shared" si="2"/>
        <v>0.31428571428571428</v>
      </c>
      <c r="L42" s="1548">
        <v>19</v>
      </c>
      <c r="M42" s="1543">
        <v>35</v>
      </c>
      <c r="N42" s="3423">
        <f t="shared" si="3"/>
        <v>0.54285714285714282</v>
      </c>
      <c r="O42" s="1548">
        <v>16</v>
      </c>
      <c r="P42" s="1543">
        <v>34</v>
      </c>
      <c r="Q42" s="3423">
        <f t="shared" si="4"/>
        <v>0.47058823529411764</v>
      </c>
      <c r="R42" s="1548">
        <v>26</v>
      </c>
      <c r="S42" s="1543">
        <v>36</v>
      </c>
      <c r="T42" s="3423">
        <f t="shared" si="5"/>
        <v>0.72222222222222221</v>
      </c>
      <c r="U42" s="1548">
        <v>32</v>
      </c>
      <c r="V42" s="2066">
        <v>37</v>
      </c>
      <c r="W42" s="3423">
        <f t="shared" si="6"/>
        <v>0.86486486486486491</v>
      </c>
      <c r="X42" s="1548">
        <v>25</v>
      </c>
      <c r="Y42" s="2066">
        <v>37</v>
      </c>
      <c r="Z42" s="3423">
        <f t="shared" si="7"/>
        <v>0.67567567567567566</v>
      </c>
      <c r="AA42" s="1548">
        <v>22</v>
      </c>
      <c r="AB42" s="2066">
        <v>39</v>
      </c>
      <c r="AC42" s="3423">
        <f t="shared" si="56"/>
        <v>0.5641025641025641</v>
      </c>
    </row>
    <row r="43" spans="1:29" s="1" customFormat="1" ht="18.75">
      <c r="A43" s="4242"/>
      <c r="B43" s="4268" t="s">
        <v>1180</v>
      </c>
      <c r="C43" s="1548">
        <v>86</v>
      </c>
      <c r="D43" s="1543">
        <v>50</v>
      </c>
      <c r="E43" s="3423">
        <f t="shared" si="0"/>
        <v>1.72</v>
      </c>
      <c r="F43" s="1548">
        <v>77</v>
      </c>
      <c r="G43" s="1543">
        <v>49</v>
      </c>
      <c r="H43" s="3423">
        <f t="shared" si="1"/>
        <v>1.5714285714285714</v>
      </c>
      <c r="I43" s="1548">
        <v>91</v>
      </c>
      <c r="J43" s="1543">
        <v>48</v>
      </c>
      <c r="K43" s="3423">
        <f t="shared" si="2"/>
        <v>1.8958333333333333</v>
      </c>
      <c r="L43" s="1548">
        <v>70</v>
      </c>
      <c r="M43" s="1543">
        <v>49</v>
      </c>
      <c r="N43" s="3423">
        <f t="shared" si="3"/>
        <v>1.4285714285714286</v>
      </c>
      <c r="O43" s="1548">
        <v>75</v>
      </c>
      <c r="P43" s="1543">
        <v>51</v>
      </c>
      <c r="Q43" s="3423">
        <f t="shared" si="4"/>
        <v>1.4705882352941178</v>
      </c>
      <c r="R43" s="1548">
        <v>87</v>
      </c>
      <c r="S43" s="1543">
        <v>53</v>
      </c>
      <c r="T43" s="3423">
        <f t="shared" si="5"/>
        <v>1.6415094339622642</v>
      </c>
      <c r="U43" s="1548">
        <v>76</v>
      </c>
      <c r="V43" s="2066">
        <v>53</v>
      </c>
      <c r="W43" s="3423">
        <f t="shared" si="6"/>
        <v>1.4339622641509433</v>
      </c>
      <c r="X43" s="1548">
        <v>76</v>
      </c>
      <c r="Y43" s="2066">
        <v>51</v>
      </c>
      <c r="Z43" s="3423">
        <f t="shared" si="7"/>
        <v>1.4901960784313726</v>
      </c>
      <c r="AA43" s="1548">
        <v>119</v>
      </c>
      <c r="AB43" s="2066">
        <v>49</v>
      </c>
      <c r="AC43" s="3423">
        <f t="shared" si="56"/>
        <v>2.4285714285714284</v>
      </c>
    </row>
    <row r="44" spans="1:29" s="1" customFormat="1" ht="18.75">
      <c r="A44" s="4242"/>
      <c r="B44" s="4268" t="s">
        <v>1181</v>
      </c>
      <c r="C44" s="1548">
        <v>45</v>
      </c>
      <c r="D44" s="1543">
        <v>46</v>
      </c>
      <c r="E44" s="3423">
        <f t="shared" si="0"/>
        <v>0.97826086956521741</v>
      </c>
      <c r="F44" s="1548">
        <v>26</v>
      </c>
      <c r="G44" s="1543">
        <v>48</v>
      </c>
      <c r="H44" s="3423">
        <f t="shared" si="1"/>
        <v>0.54166666666666663</v>
      </c>
      <c r="I44" s="1548">
        <v>33</v>
      </c>
      <c r="J44" s="1543">
        <v>48</v>
      </c>
      <c r="K44" s="3423">
        <f t="shared" si="2"/>
        <v>0.6875</v>
      </c>
      <c r="L44" s="1548">
        <v>50</v>
      </c>
      <c r="M44" s="1543">
        <v>50</v>
      </c>
      <c r="N44" s="3423">
        <f t="shared" si="3"/>
        <v>1</v>
      </c>
      <c r="O44" s="1548">
        <v>59</v>
      </c>
      <c r="P44" s="1543">
        <v>55</v>
      </c>
      <c r="Q44" s="3423">
        <f t="shared" si="4"/>
        <v>1.0727272727272728</v>
      </c>
      <c r="R44" s="1548">
        <v>63</v>
      </c>
      <c r="S44" s="1543">
        <v>54</v>
      </c>
      <c r="T44" s="3423">
        <f t="shared" si="5"/>
        <v>1.1666666666666667</v>
      </c>
      <c r="U44" s="1548">
        <v>73</v>
      </c>
      <c r="V44" s="2066">
        <v>55</v>
      </c>
      <c r="W44" s="3423">
        <f t="shared" si="6"/>
        <v>1.3272727272727274</v>
      </c>
      <c r="X44" s="1548">
        <v>93</v>
      </c>
      <c r="Y44" s="2066">
        <v>55</v>
      </c>
      <c r="Z44" s="3423">
        <f t="shared" si="7"/>
        <v>1.6909090909090909</v>
      </c>
      <c r="AA44" s="1548">
        <v>73</v>
      </c>
      <c r="AB44" s="2066">
        <v>55</v>
      </c>
      <c r="AC44" s="3423">
        <f t="shared" si="56"/>
        <v>1.3272727272727274</v>
      </c>
    </row>
    <row r="45" spans="1:29" s="1" customFormat="1" ht="18.75">
      <c r="A45" s="4242"/>
      <c r="B45" s="4268" t="s">
        <v>1182</v>
      </c>
      <c r="C45" s="1548">
        <v>20</v>
      </c>
      <c r="D45" s="1543">
        <v>37</v>
      </c>
      <c r="E45" s="3423">
        <f t="shared" si="0"/>
        <v>0.54054054054054057</v>
      </c>
      <c r="F45" s="1548">
        <v>15</v>
      </c>
      <c r="G45" s="1543">
        <v>38</v>
      </c>
      <c r="H45" s="3423">
        <f t="shared" si="1"/>
        <v>0.39473684210526316</v>
      </c>
      <c r="I45" s="1548">
        <v>8</v>
      </c>
      <c r="J45" s="1543">
        <v>40</v>
      </c>
      <c r="K45" s="3423">
        <f t="shared" si="2"/>
        <v>0.2</v>
      </c>
      <c r="L45" s="1548">
        <v>30</v>
      </c>
      <c r="M45" s="1543">
        <v>41</v>
      </c>
      <c r="N45" s="3423">
        <f t="shared" si="3"/>
        <v>0.73170731707317072</v>
      </c>
      <c r="O45" s="1548">
        <v>48</v>
      </c>
      <c r="P45" s="1543">
        <v>41</v>
      </c>
      <c r="Q45" s="3423">
        <f t="shared" si="4"/>
        <v>1.1707317073170731</v>
      </c>
      <c r="R45" s="1548">
        <v>32</v>
      </c>
      <c r="S45" s="1543">
        <v>39</v>
      </c>
      <c r="T45" s="3423">
        <f t="shared" si="5"/>
        <v>0.82051282051282048</v>
      </c>
      <c r="U45" s="1548">
        <v>31</v>
      </c>
      <c r="V45" s="2066">
        <v>38</v>
      </c>
      <c r="W45" s="3423">
        <f t="shared" si="6"/>
        <v>0.81578947368421051</v>
      </c>
      <c r="X45" s="1548">
        <v>39</v>
      </c>
      <c r="Y45" s="2066">
        <v>38</v>
      </c>
      <c r="Z45" s="3423">
        <f t="shared" si="7"/>
        <v>1.0263157894736843</v>
      </c>
      <c r="AA45" s="1548">
        <v>47</v>
      </c>
      <c r="AB45" s="2066">
        <v>37</v>
      </c>
      <c r="AC45" s="3423">
        <f t="shared" si="56"/>
        <v>1.2702702702702702</v>
      </c>
    </row>
    <row r="46" spans="1:29" s="1" customFormat="1" ht="15" customHeight="1">
      <c r="A46" s="4242"/>
      <c r="B46" s="4179" t="s">
        <v>41</v>
      </c>
      <c r="C46" s="1559">
        <f t="shared" ref="C46" si="57">SUM(C41:C45)</f>
        <v>201</v>
      </c>
      <c r="D46" s="1560">
        <f>SUM(D41:D45)</f>
        <v>206</v>
      </c>
      <c r="E46" s="3422">
        <f t="shared" si="0"/>
        <v>0.97572815533980584</v>
      </c>
      <c r="F46" s="1559">
        <v>181</v>
      </c>
      <c r="G46" s="1560">
        <f t="shared" ref="G46" si="58">SUM(G41:G45)</f>
        <v>214</v>
      </c>
      <c r="H46" s="3422">
        <f t="shared" si="1"/>
        <v>0.84579439252336452</v>
      </c>
      <c r="I46" s="1559">
        <v>199</v>
      </c>
      <c r="J46" s="1560">
        <f t="shared" ref="J46" si="59">SUM(J41:J45)</f>
        <v>214</v>
      </c>
      <c r="K46" s="3422">
        <f t="shared" si="2"/>
        <v>0.92990654205607481</v>
      </c>
      <c r="L46" s="1559">
        <v>207</v>
      </c>
      <c r="M46" s="1560">
        <f t="shared" ref="M46" si="60">SUM(M41:M45)</f>
        <v>221</v>
      </c>
      <c r="N46" s="3422">
        <f t="shared" si="3"/>
        <v>0.93665158371040724</v>
      </c>
      <c r="O46" s="1559">
        <f>SUM(O41:O45)</f>
        <v>234</v>
      </c>
      <c r="P46" s="1560">
        <f t="shared" ref="P46" si="61">SUM(P41:P45)</f>
        <v>228</v>
      </c>
      <c r="Q46" s="3422">
        <f t="shared" si="4"/>
        <v>1.0263157894736843</v>
      </c>
      <c r="R46" s="1559">
        <f>SUM(R41:R45)</f>
        <v>255</v>
      </c>
      <c r="S46" s="1560">
        <v>229</v>
      </c>
      <c r="T46" s="3422">
        <f t="shared" si="5"/>
        <v>1.1135371179039302</v>
      </c>
      <c r="U46" s="1559">
        <v>254</v>
      </c>
      <c r="V46" s="2060">
        <f>SUM(V41:V45)</f>
        <v>231</v>
      </c>
      <c r="W46" s="3422">
        <f t="shared" si="6"/>
        <v>1.0995670995670996</v>
      </c>
      <c r="X46" s="1559">
        <v>268</v>
      </c>
      <c r="Y46" s="2060">
        <f>SUM(Y41:Y45)</f>
        <v>228</v>
      </c>
      <c r="Z46" s="3422">
        <f t="shared" si="7"/>
        <v>1.1754385964912282</v>
      </c>
      <c r="AA46" s="1559">
        <v>302</v>
      </c>
      <c r="AB46" s="2060">
        <f>SUM(AB41:AB45)</f>
        <v>227</v>
      </c>
      <c r="AC46" s="3422">
        <f t="shared" si="56"/>
        <v>1.330396475770925</v>
      </c>
    </row>
    <row r="47" spans="1:29" s="1" customFormat="1" ht="18.75">
      <c r="A47" s="4242"/>
      <c r="B47" s="4268" t="s">
        <v>1183</v>
      </c>
      <c r="C47" s="1548">
        <v>1</v>
      </c>
      <c r="D47" s="1543">
        <v>25</v>
      </c>
      <c r="E47" s="3423">
        <f t="shared" si="0"/>
        <v>0.04</v>
      </c>
      <c r="F47" s="1548"/>
      <c r="G47" s="1543">
        <v>25</v>
      </c>
      <c r="H47" s="3423">
        <f t="shared" si="1"/>
        <v>0</v>
      </c>
      <c r="I47" s="1548">
        <v>1</v>
      </c>
      <c r="J47" s="1543">
        <v>26</v>
      </c>
      <c r="K47" s="3423">
        <f t="shared" si="2"/>
        <v>3.8461538461538464E-2</v>
      </c>
      <c r="L47" s="1548">
        <v>1</v>
      </c>
      <c r="M47" s="1543">
        <v>24</v>
      </c>
      <c r="N47" s="3423">
        <f t="shared" si="3"/>
        <v>4.1666666666666664E-2</v>
      </c>
      <c r="O47" s="1548">
        <v>2</v>
      </c>
      <c r="P47" s="1543">
        <v>24</v>
      </c>
      <c r="Q47" s="3423">
        <f t="shared" si="4"/>
        <v>8.3333333333333329E-2</v>
      </c>
      <c r="R47" s="1548">
        <v>3</v>
      </c>
      <c r="S47" s="1543">
        <v>24</v>
      </c>
      <c r="T47" s="3423">
        <f t="shared" si="5"/>
        <v>0.125</v>
      </c>
      <c r="U47" s="1548">
        <v>1</v>
      </c>
      <c r="V47" s="2066">
        <v>24</v>
      </c>
      <c r="W47" s="3423">
        <f t="shared" si="6"/>
        <v>4.1666666666666664E-2</v>
      </c>
      <c r="X47" s="1548">
        <v>1</v>
      </c>
      <c r="Y47" s="2066">
        <v>23</v>
      </c>
      <c r="Z47" s="3423">
        <f t="shared" si="7"/>
        <v>4.3478260869565216E-2</v>
      </c>
      <c r="AA47" s="1548">
        <v>0</v>
      </c>
      <c r="AB47" s="2066">
        <v>23</v>
      </c>
      <c r="AC47" s="3423">
        <f t="shared" si="56"/>
        <v>0</v>
      </c>
    </row>
    <row r="48" spans="1:29" s="1" customFormat="1" ht="18.75">
      <c r="A48" s="4242"/>
      <c r="B48" s="4268" t="s">
        <v>1157</v>
      </c>
      <c r="C48" s="1548">
        <v>1</v>
      </c>
      <c r="D48" s="1543">
        <v>82</v>
      </c>
      <c r="E48" s="3423">
        <f t="shared" si="0"/>
        <v>1.2195121951219513E-2</v>
      </c>
      <c r="F48" s="1548">
        <v>5</v>
      </c>
      <c r="G48" s="1543">
        <v>80</v>
      </c>
      <c r="H48" s="3423">
        <f t="shared" si="1"/>
        <v>6.25E-2</v>
      </c>
      <c r="I48" s="1548">
        <v>17</v>
      </c>
      <c r="J48" s="1543">
        <v>78</v>
      </c>
      <c r="K48" s="3423">
        <f t="shared" si="2"/>
        <v>0.21794871794871795</v>
      </c>
      <c r="L48" s="1548">
        <v>15</v>
      </c>
      <c r="M48" s="1543">
        <v>79</v>
      </c>
      <c r="N48" s="3423">
        <f t="shared" si="3"/>
        <v>0.189873417721519</v>
      </c>
      <c r="O48" s="1548">
        <v>1</v>
      </c>
      <c r="P48" s="1543">
        <v>79</v>
      </c>
      <c r="Q48" s="3423">
        <f t="shared" si="4"/>
        <v>1.2658227848101266E-2</v>
      </c>
      <c r="R48" s="1548">
        <v>3</v>
      </c>
      <c r="S48" s="1543">
        <v>78</v>
      </c>
      <c r="T48" s="3423">
        <f t="shared" si="5"/>
        <v>3.8461538461538464E-2</v>
      </c>
      <c r="U48" s="1548">
        <v>4</v>
      </c>
      <c r="V48" s="2066">
        <v>78</v>
      </c>
      <c r="W48" s="3423">
        <f t="shared" si="6"/>
        <v>5.128205128205128E-2</v>
      </c>
      <c r="X48" s="1548">
        <v>15</v>
      </c>
      <c r="Y48" s="2066">
        <v>83</v>
      </c>
      <c r="Z48" s="3423">
        <f t="shared" si="7"/>
        <v>0.18072289156626506</v>
      </c>
      <c r="AA48" s="1548">
        <v>6</v>
      </c>
      <c r="AB48" s="2066">
        <v>87</v>
      </c>
      <c r="AC48" s="3423">
        <f t="shared" si="56"/>
        <v>6.8965517241379309E-2</v>
      </c>
    </row>
    <row r="49" spans="1:29" s="1" customFormat="1" ht="18.75">
      <c r="A49" s="4242"/>
      <c r="B49" s="4268" t="s">
        <v>1184</v>
      </c>
      <c r="C49" s="1548">
        <v>4</v>
      </c>
      <c r="D49" s="1543">
        <v>108</v>
      </c>
      <c r="E49" s="3423">
        <f t="shared" si="0"/>
        <v>3.7037037037037035E-2</v>
      </c>
      <c r="F49" s="1548">
        <v>3</v>
      </c>
      <c r="G49" s="1543">
        <v>105</v>
      </c>
      <c r="H49" s="3423">
        <f t="shared" si="1"/>
        <v>2.8571428571428571E-2</v>
      </c>
      <c r="I49" s="1548">
        <v>2</v>
      </c>
      <c r="J49" s="1543">
        <v>105</v>
      </c>
      <c r="K49" s="3423">
        <f t="shared" si="2"/>
        <v>1.9047619047619049E-2</v>
      </c>
      <c r="L49" s="1548"/>
      <c r="M49" s="1543">
        <v>104</v>
      </c>
      <c r="N49" s="3423">
        <f t="shared" si="3"/>
        <v>0</v>
      </c>
      <c r="O49" s="1548">
        <v>3</v>
      </c>
      <c r="P49" s="1543">
        <v>106</v>
      </c>
      <c r="Q49" s="3423">
        <f t="shared" si="4"/>
        <v>2.8301886792452831E-2</v>
      </c>
      <c r="R49" s="1548">
        <v>2</v>
      </c>
      <c r="S49" s="1543">
        <v>107</v>
      </c>
      <c r="T49" s="3423">
        <f t="shared" si="5"/>
        <v>1.8691588785046728E-2</v>
      </c>
      <c r="U49" s="1548">
        <v>5</v>
      </c>
      <c r="V49" s="2066">
        <v>105</v>
      </c>
      <c r="W49" s="3423">
        <f t="shared" si="6"/>
        <v>4.7619047619047616E-2</v>
      </c>
      <c r="X49" s="1548">
        <v>7</v>
      </c>
      <c r="Y49" s="2066">
        <v>107</v>
      </c>
      <c r="Z49" s="3423">
        <f t="shared" si="7"/>
        <v>6.5420560747663545E-2</v>
      </c>
      <c r="AA49" s="1548">
        <v>3</v>
      </c>
      <c r="AB49" s="2066">
        <v>106</v>
      </c>
      <c r="AC49" s="3423">
        <f t="shared" si="56"/>
        <v>2.8301886792452831E-2</v>
      </c>
    </row>
    <row r="50" spans="1:29" s="1" customFormat="1" ht="18.75">
      <c r="A50" s="4242"/>
      <c r="B50" s="4268" t="s">
        <v>1158</v>
      </c>
      <c r="C50" s="1548">
        <v>2</v>
      </c>
      <c r="D50" s="1543">
        <v>92</v>
      </c>
      <c r="E50" s="3423">
        <f t="shared" si="0"/>
        <v>2.1739130434782608E-2</v>
      </c>
      <c r="F50" s="1548">
        <v>3</v>
      </c>
      <c r="G50" s="1543">
        <v>92</v>
      </c>
      <c r="H50" s="3423">
        <f t="shared" si="1"/>
        <v>3.2608695652173912E-2</v>
      </c>
      <c r="I50" s="1548"/>
      <c r="J50" s="1543">
        <v>89</v>
      </c>
      <c r="K50" s="3423">
        <f t="shared" si="2"/>
        <v>0</v>
      </c>
      <c r="L50" s="1548"/>
      <c r="M50" s="1543">
        <v>92</v>
      </c>
      <c r="N50" s="3423">
        <f t="shared" si="3"/>
        <v>0</v>
      </c>
      <c r="O50" s="1548">
        <v>1</v>
      </c>
      <c r="P50" s="1543">
        <v>94</v>
      </c>
      <c r="Q50" s="3423">
        <f t="shared" si="4"/>
        <v>1.0638297872340425E-2</v>
      </c>
      <c r="R50" s="1548">
        <v>3</v>
      </c>
      <c r="S50" s="1543">
        <v>92</v>
      </c>
      <c r="T50" s="3423">
        <f t="shared" si="5"/>
        <v>3.2608695652173912E-2</v>
      </c>
      <c r="U50" s="1548">
        <v>2</v>
      </c>
      <c r="V50" s="2066">
        <v>91</v>
      </c>
      <c r="W50" s="3423">
        <f t="shared" si="6"/>
        <v>2.197802197802198E-2</v>
      </c>
      <c r="X50" s="1548"/>
      <c r="Y50" s="2066">
        <v>90</v>
      </c>
      <c r="Z50" s="3423">
        <f t="shared" si="7"/>
        <v>0</v>
      </c>
      <c r="AA50" s="1548">
        <v>0</v>
      </c>
      <c r="AB50" s="2066">
        <v>93</v>
      </c>
      <c r="AC50" s="3423">
        <f t="shared" si="56"/>
        <v>0</v>
      </c>
    </row>
    <row r="51" spans="1:29" s="1" customFormat="1" ht="15" customHeight="1">
      <c r="A51" s="4242"/>
      <c r="B51" s="4243" t="s">
        <v>16</v>
      </c>
      <c r="C51" s="4244">
        <f t="shared" ref="C51" si="62">SUM(C47:C50)</f>
        <v>8</v>
      </c>
      <c r="D51" s="4245">
        <f>SUM(D47:D50)</f>
        <v>307</v>
      </c>
      <c r="E51" s="4270">
        <f t="shared" si="0"/>
        <v>2.6058631921824105E-2</v>
      </c>
      <c r="F51" s="4244">
        <v>11</v>
      </c>
      <c r="G51" s="4245">
        <f t="shared" ref="G51" si="63">SUM(G47:G50)</f>
        <v>302</v>
      </c>
      <c r="H51" s="4270">
        <f t="shared" si="1"/>
        <v>3.6423841059602648E-2</v>
      </c>
      <c r="I51" s="4244">
        <v>20</v>
      </c>
      <c r="J51" s="4245">
        <f t="shared" ref="J51" si="64">SUM(J47:J50)</f>
        <v>298</v>
      </c>
      <c r="K51" s="4270">
        <f t="shared" si="2"/>
        <v>6.7114093959731544E-2</v>
      </c>
      <c r="L51" s="4244">
        <v>16</v>
      </c>
      <c r="M51" s="4245">
        <f t="shared" ref="M51" si="65">SUM(M47:M50)</f>
        <v>299</v>
      </c>
      <c r="N51" s="4270">
        <f t="shared" si="3"/>
        <v>5.3511705685618728E-2</v>
      </c>
      <c r="O51" s="4244">
        <f>SUM(O47:O50)</f>
        <v>7</v>
      </c>
      <c r="P51" s="4245">
        <f t="shared" ref="P51" si="66">SUM(P47:P50)</f>
        <v>303</v>
      </c>
      <c r="Q51" s="4270">
        <f t="shared" si="4"/>
        <v>2.3102310231023101E-2</v>
      </c>
      <c r="R51" s="4244">
        <f>SUM(R47:R50)</f>
        <v>11</v>
      </c>
      <c r="S51" s="4245">
        <v>301</v>
      </c>
      <c r="T51" s="4270">
        <f t="shared" si="5"/>
        <v>3.6544850498338874E-2</v>
      </c>
      <c r="U51" s="4244">
        <v>12</v>
      </c>
      <c r="V51" s="4271">
        <f>SUM(V47:V50)</f>
        <v>298</v>
      </c>
      <c r="W51" s="4270">
        <f t="shared" si="6"/>
        <v>4.0268456375838924E-2</v>
      </c>
      <c r="X51" s="4244">
        <v>23</v>
      </c>
      <c r="Y51" s="4271">
        <f>SUM(Y47:Y50)</f>
        <v>303</v>
      </c>
      <c r="Z51" s="4270">
        <f t="shared" si="7"/>
        <v>7.590759075907591E-2</v>
      </c>
      <c r="AA51" s="4244">
        <v>9</v>
      </c>
      <c r="AB51" s="4271">
        <f>SUM(AB47:AB50)</f>
        <v>309</v>
      </c>
      <c r="AC51" s="4270">
        <f t="shared" si="56"/>
        <v>2.9126213592233011E-2</v>
      </c>
    </row>
    <row r="52" spans="1:29" s="1" customFormat="1" ht="15" customHeight="1">
      <c r="A52" s="4242"/>
      <c r="B52" s="4255" t="s">
        <v>1185</v>
      </c>
      <c r="C52" s="4256">
        <f t="shared" ref="C52" si="67">SUM(C40,C46,C51)</f>
        <v>469</v>
      </c>
      <c r="D52" s="4257">
        <f>SUM(D51,D46,D40)</f>
        <v>789</v>
      </c>
      <c r="E52" s="4278">
        <f t="shared" si="0"/>
        <v>0.59442332065906212</v>
      </c>
      <c r="F52" s="4256">
        <v>450</v>
      </c>
      <c r="G52" s="4257">
        <f t="shared" ref="G52" si="68">SUM(G51,G46,G40)</f>
        <v>794</v>
      </c>
      <c r="H52" s="4278">
        <f t="shared" si="1"/>
        <v>0.56675062972292189</v>
      </c>
      <c r="I52" s="4256">
        <v>500</v>
      </c>
      <c r="J52" s="4257">
        <f t="shared" ref="J52" si="69">SUM(J51,J46,J40)</f>
        <v>791</v>
      </c>
      <c r="K52" s="4278">
        <f t="shared" si="2"/>
        <v>0.63211125158027814</v>
      </c>
      <c r="L52" s="4256">
        <v>560</v>
      </c>
      <c r="M52" s="4257">
        <f t="shared" ref="M52" si="70">SUM(M51,M46,M40)</f>
        <v>804</v>
      </c>
      <c r="N52" s="4278">
        <f t="shared" si="3"/>
        <v>0.69651741293532343</v>
      </c>
      <c r="O52" s="4256">
        <f>SUM(O40,O46,O51)</f>
        <v>582</v>
      </c>
      <c r="P52" s="4257">
        <f t="shared" ref="P52" si="71">SUM(P51,P46,P40)</f>
        <v>817</v>
      </c>
      <c r="Q52" s="4278">
        <f t="shared" si="4"/>
        <v>0.71236230110159116</v>
      </c>
      <c r="R52" s="4256">
        <f t="shared" ref="R52" si="72">SUM(R51,R46,R40)</f>
        <v>585</v>
      </c>
      <c r="S52" s="4257">
        <v>813</v>
      </c>
      <c r="T52" s="4278">
        <f t="shared" si="5"/>
        <v>0.71955719557195574</v>
      </c>
      <c r="U52" s="4256">
        <v>574</v>
      </c>
      <c r="V52" s="4279">
        <f>SUM(V40,V46,V51)</f>
        <v>810</v>
      </c>
      <c r="W52" s="4278">
        <f t="shared" si="6"/>
        <v>0.70864197530864192</v>
      </c>
      <c r="X52" s="4256">
        <v>612</v>
      </c>
      <c r="Y52" s="4279">
        <f>SUM(Y40,Y46,Y51)</f>
        <v>806</v>
      </c>
      <c r="Z52" s="4278">
        <f t="shared" si="7"/>
        <v>0.75930521091811409</v>
      </c>
      <c r="AA52" s="4256">
        <v>649</v>
      </c>
      <c r="AB52" s="4279">
        <f>SUM(AB40,AB46,AB51)</f>
        <v>811</v>
      </c>
      <c r="AC52" s="4278">
        <f t="shared" si="56"/>
        <v>0.8002466091245376</v>
      </c>
    </row>
    <row r="53" spans="1:29" s="1" customFormat="1" ht="18.75">
      <c r="A53" s="4242"/>
      <c r="B53" s="4268" t="s">
        <v>1186</v>
      </c>
      <c r="C53" s="1552"/>
      <c r="D53" s="1553">
        <v>1</v>
      </c>
      <c r="E53" s="3425">
        <f t="shared" si="0"/>
        <v>0</v>
      </c>
      <c r="F53" s="1552"/>
      <c r="G53" s="1553">
        <v>1</v>
      </c>
      <c r="H53" s="3425"/>
      <c r="I53" s="1552"/>
      <c r="J53" s="1553">
        <v>2</v>
      </c>
      <c r="K53" s="3425"/>
      <c r="L53" s="1552"/>
      <c r="M53" s="1553">
        <v>2</v>
      </c>
      <c r="N53" s="3425"/>
      <c r="O53" s="1552">
        <v>0</v>
      </c>
      <c r="P53" s="1553">
        <v>2</v>
      </c>
      <c r="Q53" s="3425"/>
      <c r="R53" s="1552"/>
      <c r="S53" s="1553">
        <v>5</v>
      </c>
      <c r="T53" s="3425"/>
      <c r="U53" s="1552"/>
      <c r="V53" s="2072">
        <v>5</v>
      </c>
      <c r="W53" s="3425"/>
      <c r="X53" s="1552"/>
      <c r="Y53" s="2072">
        <v>6</v>
      </c>
      <c r="Z53" s="3425"/>
      <c r="AA53" s="1552">
        <v>0</v>
      </c>
      <c r="AB53" s="2072">
        <v>6</v>
      </c>
      <c r="AC53" s="3425"/>
    </row>
    <row r="54" spans="1:29" s="1" customFormat="1" ht="18.75">
      <c r="A54" s="4242"/>
      <c r="B54" s="4268" t="s">
        <v>1187</v>
      </c>
      <c r="C54" s="1552"/>
      <c r="D54" s="1553">
        <v>1</v>
      </c>
      <c r="E54" s="3425">
        <f t="shared" si="0"/>
        <v>0</v>
      </c>
      <c r="F54" s="1552"/>
      <c r="G54" s="1553">
        <v>2</v>
      </c>
      <c r="H54" s="3425"/>
      <c r="I54" s="1552"/>
      <c r="J54" s="1553">
        <v>3</v>
      </c>
      <c r="K54" s="3425"/>
      <c r="L54" s="1552"/>
      <c r="M54" s="1553">
        <v>4</v>
      </c>
      <c r="N54" s="3425"/>
      <c r="O54" s="1552">
        <v>2</v>
      </c>
      <c r="P54" s="1553">
        <v>6</v>
      </c>
      <c r="Q54" s="3425">
        <f t="shared" si="4"/>
        <v>0.33333333333333331</v>
      </c>
      <c r="R54" s="1552">
        <v>6</v>
      </c>
      <c r="S54" s="1553">
        <v>8</v>
      </c>
      <c r="T54" s="3425">
        <f t="shared" ref="T54:T58" si="73">R54/S54</f>
        <v>0.75</v>
      </c>
      <c r="U54" s="1552">
        <v>6</v>
      </c>
      <c r="V54" s="2072">
        <v>8</v>
      </c>
      <c r="W54" s="3425">
        <f t="shared" ref="W54:W58" si="74">U54/V54</f>
        <v>0.75</v>
      </c>
      <c r="X54" s="1552">
        <v>5</v>
      </c>
      <c r="Y54" s="2072">
        <v>9</v>
      </c>
      <c r="Z54" s="3425">
        <f t="shared" ref="Z54:Z58" si="75">X54/Y54</f>
        <v>0.55555555555555558</v>
      </c>
      <c r="AA54" s="1552">
        <v>8</v>
      </c>
      <c r="AB54" s="2072">
        <v>11</v>
      </c>
      <c r="AC54" s="3425">
        <f t="shared" ref="AC54:AC58" si="76">AA54/AB54</f>
        <v>0.72727272727272729</v>
      </c>
    </row>
    <row r="55" spans="1:29" s="1" customFormat="1" ht="18.75">
      <c r="A55" s="4242"/>
      <c r="B55" s="4268" t="s">
        <v>1188</v>
      </c>
      <c r="C55" s="1552"/>
      <c r="D55" s="1553">
        <v>1</v>
      </c>
      <c r="E55" s="3425">
        <f t="shared" si="0"/>
        <v>0</v>
      </c>
      <c r="F55" s="1552"/>
      <c r="G55" s="1553">
        <v>1</v>
      </c>
      <c r="H55" s="3425"/>
      <c r="I55" s="1552"/>
      <c r="J55" s="1553">
        <v>2</v>
      </c>
      <c r="K55" s="3425"/>
      <c r="L55" s="1552"/>
      <c r="M55" s="1553">
        <v>2</v>
      </c>
      <c r="N55" s="3425"/>
      <c r="O55" s="1552">
        <v>0</v>
      </c>
      <c r="P55" s="1553">
        <v>2</v>
      </c>
      <c r="Q55" s="3425">
        <f t="shared" si="4"/>
        <v>0</v>
      </c>
      <c r="R55" s="1552">
        <v>1</v>
      </c>
      <c r="S55" s="1553">
        <v>2</v>
      </c>
      <c r="T55" s="3425">
        <f t="shared" si="73"/>
        <v>0.5</v>
      </c>
      <c r="U55" s="1552">
        <v>2</v>
      </c>
      <c r="V55" s="2072">
        <v>3</v>
      </c>
      <c r="W55" s="3425">
        <f t="shared" si="74"/>
        <v>0.66666666666666663</v>
      </c>
      <c r="X55" s="1552">
        <v>1</v>
      </c>
      <c r="Y55" s="2072">
        <v>4</v>
      </c>
      <c r="Z55" s="3425">
        <f t="shared" si="75"/>
        <v>0.25</v>
      </c>
      <c r="AA55" s="1552">
        <v>7</v>
      </c>
      <c r="AB55" s="2072">
        <v>4</v>
      </c>
      <c r="AC55" s="3425">
        <f t="shared" si="76"/>
        <v>1.75</v>
      </c>
    </row>
    <row r="56" spans="1:29" s="1" customFormat="1" ht="15" customHeight="1">
      <c r="A56" s="4242"/>
      <c r="B56" s="4179" t="s">
        <v>4</v>
      </c>
      <c r="C56" s="1559">
        <v>0</v>
      </c>
      <c r="D56" s="1560">
        <f>SUM(D53:D55)</f>
        <v>3</v>
      </c>
      <c r="E56" s="3422">
        <f t="shared" si="0"/>
        <v>0</v>
      </c>
      <c r="F56" s="1559">
        <v>0</v>
      </c>
      <c r="G56" s="1560">
        <f t="shared" ref="G56" si="77">SUM(G53:G55)</f>
        <v>4</v>
      </c>
      <c r="H56" s="3422"/>
      <c r="I56" s="1559"/>
      <c r="J56" s="1560">
        <f t="shared" ref="J56" si="78">SUM(J53:J55)</f>
        <v>7</v>
      </c>
      <c r="K56" s="3422"/>
      <c r="L56" s="1559">
        <v>0</v>
      </c>
      <c r="M56" s="1560">
        <f t="shared" ref="M56" si="79">SUM(M53:M55)</f>
        <v>8</v>
      </c>
      <c r="N56" s="3422"/>
      <c r="O56" s="1559">
        <f>SUM(O53:O55)</f>
        <v>2</v>
      </c>
      <c r="P56" s="1560">
        <f t="shared" ref="P56" si="80">SUM(P53:P55)</f>
        <v>10</v>
      </c>
      <c r="Q56" s="3422">
        <f t="shared" si="4"/>
        <v>0.2</v>
      </c>
      <c r="R56" s="1559">
        <f>SUM(R53:R55)</f>
        <v>7</v>
      </c>
      <c r="S56" s="1560">
        <v>15</v>
      </c>
      <c r="T56" s="3422">
        <f t="shared" si="73"/>
        <v>0.46666666666666667</v>
      </c>
      <c r="U56" s="1559">
        <v>8</v>
      </c>
      <c r="V56" s="2060">
        <f>SUM(V53:V55)</f>
        <v>16</v>
      </c>
      <c r="W56" s="3422">
        <f t="shared" si="74"/>
        <v>0.5</v>
      </c>
      <c r="X56" s="1559">
        <v>6</v>
      </c>
      <c r="Y56" s="2060">
        <f>SUM(Y53:Y55)</f>
        <v>19</v>
      </c>
      <c r="Z56" s="3422">
        <f t="shared" si="75"/>
        <v>0.31578947368421051</v>
      </c>
      <c r="AA56" s="1559">
        <v>15</v>
      </c>
      <c r="AB56" s="2060">
        <f>SUM(AB53:AB55)</f>
        <v>21</v>
      </c>
      <c r="AC56" s="3422">
        <f t="shared" si="76"/>
        <v>0.7142857142857143</v>
      </c>
    </row>
    <row r="57" spans="1:29" s="1" customFormat="1" ht="18.75">
      <c r="A57" s="4242"/>
      <c r="B57" s="4268" t="s">
        <v>1189</v>
      </c>
      <c r="C57" s="1552"/>
      <c r="D57" s="1553">
        <v>1</v>
      </c>
      <c r="E57" s="3425">
        <f t="shared" si="0"/>
        <v>0</v>
      </c>
      <c r="F57" s="1552"/>
      <c r="G57" s="1553">
        <v>2</v>
      </c>
      <c r="H57" s="3425"/>
      <c r="I57" s="1552"/>
      <c r="J57" s="1553">
        <v>2</v>
      </c>
      <c r="K57" s="3425"/>
      <c r="L57" s="1552"/>
      <c r="M57" s="1553">
        <v>6</v>
      </c>
      <c r="N57" s="3425"/>
      <c r="O57" s="1552">
        <v>8</v>
      </c>
      <c r="P57" s="1553">
        <v>8</v>
      </c>
      <c r="Q57" s="3425">
        <f t="shared" si="4"/>
        <v>1</v>
      </c>
      <c r="R57" s="1552">
        <v>18</v>
      </c>
      <c r="S57" s="1553">
        <v>7</v>
      </c>
      <c r="T57" s="3425">
        <f t="shared" si="73"/>
        <v>2.5714285714285716</v>
      </c>
      <c r="U57" s="1552">
        <v>3</v>
      </c>
      <c r="V57" s="2072">
        <v>8</v>
      </c>
      <c r="W57" s="3425">
        <f t="shared" si="74"/>
        <v>0.375</v>
      </c>
      <c r="X57" s="1552">
        <v>15</v>
      </c>
      <c r="Y57" s="2072">
        <v>9</v>
      </c>
      <c r="Z57" s="3425">
        <f t="shared" si="75"/>
        <v>1.6666666666666667</v>
      </c>
      <c r="AA57" s="1552">
        <v>11</v>
      </c>
      <c r="AB57" s="2072">
        <v>9</v>
      </c>
      <c r="AC57" s="3425">
        <f t="shared" si="76"/>
        <v>1.2222222222222223</v>
      </c>
    </row>
    <row r="58" spans="1:29" s="1" customFormat="1" ht="18.75">
      <c r="A58" s="4242"/>
      <c r="B58" s="4268" t="s">
        <v>1190</v>
      </c>
      <c r="C58" s="1552"/>
      <c r="D58" s="1553">
        <v>2</v>
      </c>
      <c r="E58" s="3425">
        <f t="shared" si="0"/>
        <v>0</v>
      </c>
      <c r="F58" s="1552"/>
      <c r="G58" s="1553">
        <v>2</v>
      </c>
      <c r="H58" s="3425"/>
      <c r="I58" s="1552"/>
      <c r="J58" s="1553">
        <v>4</v>
      </c>
      <c r="K58" s="3425"/>
      <c r="L58" s="1552"/>
      <c r="M58" s="1553">
        <v>4</v>
      </c>
      <c r="N58" s="3425"/>
      <c r="O58" s="1552">
        <v>5</v>
      </c>
      <c r="P58" s="1553">
        <v>2</v>
      </c>
      <c r="Q58" s="3425">
        <f t="shared" si="4"/>
        <v>2.5</v>
      </c>
      <c r="R58" s="1552"/>
      <c r="S58" s="1553">
        <v>4</v>
      </c>
      <c r="T58" s="3425">
        <f t="shared" si="73"/>
        <v>0</v>
      </c>
      <c r="U58" s="1552"/>
      <c r="V58" s="2072">
        <v>6</v>
      </c>
      <c r="W58" s="3425">
        <f t="shared" si="74"/>
        <v>0</v>
      </c>
      <c r="X58" s="1552">
        <v>14</v>
      </c>
      <c r="Y58" s="2072">
        <v>7</v>
      </c>
      <c r="Z58" s="3425">
        <f t="shared" si="75"/>
        <v>2</v>
      </c>
      <c r="AA58" s="1552">
        <v>32</v>
      </c>
      <c r="AB58" s="2072">
        <v>8</v>
      </c>
      <c r="AC58" s="3425">
        <f t="shared" si="76"/>
        <v>4</v>
      </c>
    </row>
    <row r="59" spans="1:29" s="1" customFormat="1" ht="18.75">
      <c r="A59" s="4242"/>
      <c r="B59" s="4268" t="s">
        <v>1181</v>
      </c>
      <c r="C59" s="1552"/>
      <c r="D59" s="1553">
        <v>2</v>
      </c>
      <c r="E59" s="3425">
        <f t="shared" si="0"/>
        <v>0</v>
      </c>
      <c r="F59" s="1552"/>
      <c r="G59" s="1553">
        <v>2</v>
      </c>
      <c r="H59" s="3425"/>
      <c r="I59" s="1552"/>
      <c r="J59" s="1553">
        <v>3</v>
      </c>
      <c r="K59" s="3425"/>
      <c r="L59" s="1552"/>
      <c r="M59" s="1553">
        <v>3</v>
      </c>
      <c r="N59" s="3425"/>
      <c r="O59" s="1552">
        <v>0</v>
      </c>
      <c r="P59" s="1553">
        <v>3</v>
      </c>
      <c r="Q59" s="3425"/>
      <c r="R59" s="1552"/>
      <c r="S59" s="1553">
        <v>3</v>
      </c>
      <c r="T59" s="3425"/>
      <c r="U59" s="1552"/>
      <c r="V59" s="2072">
        <v>4</v>
      </c>
      <c r="W59" s="3425"/>
      <c r="X59" s="1552">
        <v>26</v>
      </c>
      <c r="Y59" s="2072">
        <v>4</v>
      </c>
      <c r="Z59" s="3425"/>
      <c r="AA59" s="1552">
        <v>6</v>
      </c>
      <c r="AB59" s="2072">
        <v>3</v>
      </c>
      <c r="AC59" s="3425"/>
    </row>
    <row r="60" spans="1:29" s="1" customFormat="1" ht="15" customHeight="1">
      <c r="A60" s="4242"/>
      <c r="B60" s="4179" t="s">
        <v>41</v>
      </c>
      <c r="C60" s="1559">
        <v>0</v>
      </c>
      <c r="D60" s="1560">
        <f>SUM(D57:D59)</f>
        <v>5</v>
      </c>
      <c r="E60" s="3422">
        <f t="shared" si="0"/>
        <v>0</v>
      </c>
      <c r="F60" s="1559">
        <v>0</v>
      </c>
      <c r="G60" s="1560">
        <f t="shared" ref="G60" si="81">SUM(G57:G59)</f>
        <v>6</v>
      </c>
      <c r="H60" s="3422"/>
      <c r="I60" s="1559"/>
      <c r="J60" s="1560">
        <f t="shared" ref="J60" si="82">SUM(J57:J59)</f>
        <v>9</v>
      </c>
      <c r="K60" s="3422"/>
      <c r="L60" s="1559">
        <v>0</v>
      </c>
      <c r="M60" s="1560">
        <f t="shared" ref="M60" si="83">SUM(M57:M59)</f>
        <v>13</v>
      </c>
      <c r="N60" s="3422"/>
      <c r="O60" s="1559">
        <f>SUM(O57:O59)</f>
        <v>13</v>
      </c>
      <c r="P60" s="1560">
        <f t="shared" ref="P60" si="84">SUM(P57:P59)</f>
        <v>13</v>
      </c>
      <c r="Q60" s="3422">
        <f t="shared" si="4"/>
        <v>1</v>
      </c>
      <c r="R60" s="1559">
        <f>SUM(R57:R59)</f>
        <v>18</v>
      </c>
      <c r="S60" s="1560">
        <v>14</v>
      </c>
      <c r="T60" s="3422">
        <f t="shared" ref="T60" si="85">R60/S60</f>
        <v>1.2857142857142858</v>
      </c>
      <c r="U60" s="1559">
        <v>3</v>
      </c>
      <c r="V60" s="2060">
        <f>SUM(V57:V59)</f>
        <v>18</v>
      </c>
      <c r="W60" s="3422">
        <f t="shared" ref="W60" si="86">U60/V60</f>
        <v>0.16666666666666666</v>
      </c>
      <c r="X60" s="1559">
        <v>55</v>
      </c>
      <c r="Y60" s="2060">
        <f>SUM(Y57:Y59)</f>
        <v>20</v>
      </c>
      <c r="Z60" s="3422">
        <f t="shared" ref="Z60" si="87">X60/Y60</f>
        <v>2.75</v>
      </c>
      <c r="AA60" s="1559">
        <v>49</v>
      </c>
      <c r="AB60" s="2060">
        <f>SUM(AB57:AB59)</f>
        <v>20</v>
      </c>
      <c r="AC60" s="3422">
        <f t="shared" ref="AC60" si="88">AA60/AB60</f>
        <v>2.4500000000000002</v>
      </c>
    </row>
    <row r="61" spans="1:29" s="1" customFormat="1" ht="18.75">
      <c r="A61" s="4242"/>
      <c r="B61" s="4268" t="s">
        <v>1191</v>
      </c>
      <c r="C61" s="1552"/>
      <c r="D61" s="1553"/>
      <c r="E61" s="3425"/>
      <c r="F61" s="1552"/>
      <c r="G61" s="1553"/>
      <c r="H61" s="3425"/>
      <c r="I61" s="1552"/>
      <c r="J61" s="1553">
        <v>1</v>
      </c>
      <c r="K61" s="3425"/>
      <c r="L61" s="1552"/>
      <c r="M61" s="1553">
        <v>1</v>
      </c>
      <c r="N61" s="3425"/>
      <c r="O61" s="1552">
        <v>0</v>
      </c>
      <c r="P61" s="1553">
        <v>2</v>
      </c>
      <c r="Q61" s="3425"/>
      <c r="R61" s="1552"/>
      <c r="S61" s="1553">
        <v>1</v>
      </c>
      <c r="T61" s="3425"/>
      <c r="U61" s="1552"/>
      <c r="V61" s="2072">
        <v>6</v>
      </c>
      <c r="W61" s="3425"/>
      <c r="X61" s="1552"/>
      <c r="Y61" s="2072">
        <v>9</v>
      </c>
      <c r="Z61" s="3425"/>
      <c r="AA61" s="1552">
        <v>0</v>
      </c>
      <c r="AB61" s="2072">
        <v>9</v>
      </c>
      <c r="AC61" s="3425"/>
    </row>
    <row r="62" spans="1:29" s="1" customFormat="1" ht="18.75">
      <c r="A62" s="4242"/>
      <c r="B62" s="4268" t="s">
        <v>1192</v>
      </c>
      <c r="C62" s="1552"/>
      <c r="D62" s="1553"/>
      <c r="E62" s="3425"/>
      <c r="F62" s="1552"/>
      <c r="G62" s="1553"/>
      <c r="H62" s="3425"/>
      <c r="I62" s="1552"/>
      <c r="J62" s="1553">
        <v>1</v>
      </c>
      <c r="K62" s="3425"/>
      <c r="L62" s="1552"/>
      <c r="M62" s="1553">
        <v>1</v>
      </c>
      <c r="N62" s="3425"/>
      <c r="O62" s="1552">
        <v>0</v>
      </c>
      <c r="P62" s="1553">
        <v>3</v>
      </c>
      <c r="Q62" s="3425"/>
      <c r="R62" s="1552"/>
      <c r="S62" s="1553">
        <v>2</v>
      </c>
      <c r="T62" s="3425"/>
      <c r="U62" s="1552"/>
      <c r="V62" s="2072">
        <v>3</v>
      </c>
      <c r="W62" s="3425"/>
      <c r="X62" s="1552"/>
      <c r="Y62" s="2072">
        <v>4</v>
      </c>
      <c r="Z62" s="3425"/>
      <c r="AA62" s="1552">
        <v>0</v>
      </c>
      <c r="AB62" s="2072">
        <v>7</v>
      </c>
      <c r="AC62" s="3425"/>
    </row>
    <row r="63" spans="1:29" s="1" customFormat="1" ht="18.75">
      <c r="A63" s="4242"/>
      <c r="B63" s="4268" t="s">
        <v>1193</v>
      </c>
      <c r="C63" s="1552"/>
      <c r="D63" s="1553">
        <v>2</v>
      </c>
      <c r="E63" s="3425">
        <f t="shared" si="0"/>
        <v>0</v>
      </c>
      <c r="F63" s="1552"/>
      <c r="G63" s="1553">
        <v>3</v>
      </c>
      <c r="H63" s="3425"/>
      <c r="I63" s="1552"/>
      <c r="J63" s="1553">
        <v>4</v>
      </c>
      <c r="K63" s="3425"/>
      <c r="L63" s="1552"/>
      <c r="M63" s="1553">
        <v>5</v>
      </c>
      <c r="N63" s="3425"/>
      <c r="O63" s="1552">
        <v>0</v>
      </c>
      <c r="P63" s="1553">
        <v>8</v>
      </c>
      <c r="Q63" s="3425">
        <f t="shared" si="4"/>
        <v>0</v>
      </c>
      <c r="R63" s="1552"/>
      <c r="S63" s="1553">
        <v>10</v>
      </c>
      <c r="T63" s="3425">
        <f t="shared" ref="T63:T82" si="89">R63/S63</f>
        <v>0</v>
      </c>
      <c r="U63" s="1552">
        <v>1</v>
      </c>
      <c r="V63" s="2072">
        <v>12</v>
      </c>
      <c r="W63" s="3425">
        <f t="shared" ref="W63:W82" si="90">U63/V63</f>
        <v>8.3333333333333329E-2</v>
      </c>
      <c r="X63" s="1552"/>
      <c r="Y63" s="2072">
        <v>14</v>
      </c>
      <c r="Z63" s="3425">
        <f t="shared" ref="Z63:Z82" si="91">X63/Y63</f>
        <v>0</v>
      </c>
      <c r="AA63" s="1552">
        <v>0</v>
      </c>
      <c r="AB63" s="2072">
        <v>14</v>
      </c>
      <c r="AC63" s="3425">
        <f t="shared" ref="AC63:AC82" si="92">AA63/AB63</f>
        <v>0</v>
      </c>
    </row>
    <row r="64" spans="1:29" s="1" customFormat="1" ht="15" customHeight="1">
      <c r="A64" s="4242"/>
      <c r="B64" s="4243" t="s">
        <v>16</v>
      </c>
      <c r="C64" s="4244">
        <v>0</v>
      </c>
      <c r="D64" s="4245">
        <f>SUM(D61:D63)</f>
        <v>2</v>
      </c>
      <c r="E64" s="4270">
        <f t="shared" si="0"/>
        <v>0</v>
      </c>
      <c r="F64" s="4244">
        <v>0</v>
      </c>
      <c r="G64" s="4245">
        <f t="shared" ref="G64" si="93">SUM(G61:G63)</f>
        <v>3</v>
      </c>
      <c r="H64" s="4270"/>
      <c r="I64" s="4244"/>
      <c r="J64" s="4245">
        <f t="shared" ref="J64" si="94">SUM(J61:J63)</f>
        <v>6</v>
      </c>
      <c r="K64" s="4270"/>
      <c r="L64" s="4244">
        <v>0</v>
      </c>
      <c r="M64" s="4245">
        <f t="shared" ref="M64" si="95">SUM(M61:M63)</f>
        <v>7</v>
      </c>
      <c r="N64" s="4270"/>
      <c r="O64" s="4244">
        <f>SUM(O61:O63)</f>
        <v>0</v>
      </c>
      <c r="P64" s="4245">
        <f t="shared" ref="P64" si="96">SUM(P61:P63)</f>
        <v>13</v>
      </c>
      <c r="Q64" s="4270">
        <f t="shared" si="4"/>
        <v>0</v>
      </c>
      <c r="R64" s="4244">
        <f>SUM(R61:R63)</f>
        <v>0</v>
      </c>
      <c r="S64" s="4245">
        <v>13</v>
      </c>
      <c r="T64" s="4270">
        <f t="shared" si="89"/>
        <v>0</v>
      </c>
      <c r="U64" s="4244">
        <v>1</v>
      </c>
      <c r="V64" s="4271">
        <f>SUM(V61:V63)</f>
        <v>21</v>
      </c>
      <c r="W64" s="4270">
        <f t="shared" si="90"/>
        <v>4.7619047619047616E-2</v>
      </c>
      <c r="X64" s="4244">
        <v>0</v>
      </c>
      <c r="Y64" s="4271">
        <f>SUM(Y61:Y63)</f>
        <v>27</v>
      </c>
      <c r="Z64" s="4270">
        <f t="shared" si="91"/>
        <v>0</v>
      </c>
      <c r="AA64" s="4244">
        <v>0</v>
      </c>
      <c r="AB64" s="4271">
        <f>SUM(AB61:AB63)</f>
        <v>30</v>
      </c>
      <c r="AC64" s="4270">
        <f t="shared" si="92"/>
        <v>0</v>
      </c>
    </row>
    <row r="65" spans="1:29" s="1" customFormat="1" ht="15" customHeight="1">
      <c r="A65" s="4242"/>
      <c r="B65" s="4259" t="s">
        <v>363</v>
      </c>
      <c r="C65" s="4260">
        <v>0</v>
      </c>
      <c r="D65" s="4261">
        <f>SUM(D56,D60,D64)</f>
        <v>10</v>
      </c>
      <c r="E65" s="4280">
        <f t="shared" si="0"/>
        <v>0</v>
      </c>
      <c r="F65" s="4260">
        <v>0</v>
      </c>
      <c r="G65" s="4261">
        <f t="shared" ref="G65" si="97">SUM(G56,G60,G64)</f>
        <v>13</v>
      </c>
      <c r="H65" s="4280"/>
      <c r="I65" s="4260"/>
      <c r="J65" s="4261">
        <f t="shared" ref="J65" si="98">SUM(J56,J60,J64)</f>
        <v>22</v>
      </c>
      <c r="K65" s="4280"/>
      <c r="L65" s="4260">
        <v>0</v>
      </c>
      <c r="M65" s="4261">
        <f t="shared" ref="M65" si="99">SUM(M56,M60,M64)</f>
        <v>28</v>
      </c>
      <c r="N65" s="4280"/>
      <c r="O65" s="4260">
        <f>SUM(O56,O60,O64)</f>
        <v>15</v>
      </c>
      <c r="P65" s="4261">
        <f t="shared" ref="P65" si="100">SUM(P56,P60,P64)</f>
        <v>36</v>
      </c>
      <c r="Q65" s="4280">
        <f t="shared" si="4"/>
        <v>0.41666666666666669</v>
      </c>
      <c r="R65" s="4260">
        <f>SUM(R56,R60,R64)</f>
        <v>25</v>
      </c>
      <c r="S65" s="4261">
        <v>42</v>
      </c>
      <c r="T65" s="4280">
        <f t="shared" si="89"/>
        <v>0.59523809523809523</v>
      </c>
      <c r="U65" s="4260">
        <v>12</v>
      </c>
      <c r="V65" s="4281">
        <f>SUM(V56,V60,V64)</f>
        <v>55</v>
      </c>
      <c r="W65" s="4280">
        <f t="shared" si="90"/>
        <v>0.21818181818181817</v>
      </c>
      <c r="X65" s="4260">
        <v>61</v>
      </c>
      <c r="Y65" s="4281">
        <f>SUM(Y56,Y60,Y64)</f>
        <v>66</v>
      </c>
      <c r="Z65" s="4280">
        <f t="shared" si="91"/>
        <v>0.9242424242424242</v>
      </c>
      <c r="AA65" s="4260">
        <v>64</v>
      </c>
      <c r="AB65" s="4281">
        <f>SUM(AB56,AB60,AB64)</f>
        <v>71</v>
      </c>
      <c r="AC65" s="4280">
        <f t="shared" si="92"/>
        <v>0.90140845070422537</v>
      </c>
    </row>
    <row r="66" spans="1:29" s="1" customFormat="1" ht="18.75">
      <c r="A66" s="4242"/>
      <c r="B66" s="4268" t="s">
        <v>1194</v>
      </c>
      <c r="C66" s="1548">
        <v>50</v>
      </c>
      <c r="D66" s="1543">
        <v>129</v>
      </c>
      <c r="E66" s="3423">
        <f t="shared" si="0"/>
        <v>0.38759689922480622</v>
      </c>
      <c r="F66" s="1548">
        <v>33</v>
      </c>
      <c r="G66" s="1543">
        <v>129</v>
      </c>
      <c r="H66" s="3423">
        <f t="shared" si="1"/>
        <v>0.2558139534883721</v>
      </c>
      <c r="I66" s="1548">
        <v>38</v>
      </c>
      <c r="J66" s="1543">
        <v>135</v>
      </c>
      <c r="K66" s="3423">
        <f t="shared" si="2"/>
        <v>0.2814814814814815</v>
      </c>
      <c r="L66" s="1548">
        <v>35</v>
      </c>
      <c r="M66" s="1543">
        <v>137</v>
      </c>
      <c r="N66" s="3423">
        <f t="shared" si="3"/>
        <v>0.25547445255474455</v>
      </c>
      <c r="O66" s="1548">
        <v>51</v>
      </c>
      <c r="P66" s="1543">
        <v>138</v>
      </c>
      <c r="Q66" s="3423">
        <f t="shared" si="4"/>
        <v>0.36956521739130432</v>
      </c>
      <c r="R66" s="1548">
        <v>46</v>
      </c>
      <c r="S66" s="1543">
        <v>140</v>
      </c>
      <c r="T66" s="3423">
        <f t="shared" si="89"/>
        <v>0.32857142857142857</v>
      </c>
      <c r="U66" s="1548">
        <v>48</v>
      </c>
      <c r="V66" s="2066">
        <v>135</v>
      </c>
      <c r="W66" s="3423">
        <f t="shared" si="90"/>
        <v>0.35555555555555557</v>
      </c>
      <c r="X66" s="1548">
        <v>45</v>
      </c>
      <c r="Y66" s="2066">
        <v>138</v>
      </c>
      <c r="Z66" s="3423">
        <f t="shared" si="91"/>
        <v>0.32608695652173914</v>
      </c>
      <c r="AA66" s="1548">
        <v>43</v>
      </c>
      <c r="AB66" s="2066">
        <v>136</v>
      </c>
      <c r="AC66" s="3423">
        <f t="shared" si="92"/>
        <v>0.31617647058823528</v>
      </c>
    </row>
    <row r="67" spans="1:29" s="1" customFormat="1" ht="18.75">
      <c r="A67" s="4242"/>
      <c r="B67" s="4268" t="s">
        <v>1195</v>
      </c>
      <c r="C67" s="1548">
        <v>26</v>
      </c>
      <c r="D67" s="1543">
        <v>56</v>
      </c>
      <c r="E67" s="3423">
        <f t="shared" si="0"/>
        <v>0.4642857142857143</v>
      </c>
      <c r="F67" s="1548">
        <v>12</v>
      </c>
      <c r="G67" s="1543">
        <v>55</v>
      </c>
      <c r="H67" s="3423">
        <f t="shared" si="1"/>
        <v>0.21818181818181817</v>
      </c>
      <c r="I67" s="1548">
        <v>21</v>
      </c>
      <c r="J67" s="1543">
        <v>55</v>
      </c>
      <c r="K67" s="3423">
        <f t="shared" si="2"/>
        <v>0.38181818181818183</v>
      </c>
      <c r="L67" s="1548">
        <v>31</v>
      </c>
      <c r="M67" s="1543">
        <v>52</v>
      </c>
      <c r="N67" s="3423">
        <f t="shared" si="3"/>
        <v>0.59615384615384615</v>
      </c>
      <c r="O67" s="1548">
        <v>24</v>
      </c>
      <c r="P67" s="1543">
        <v>53</v>
      </c>
      <c r="Q67" s="3423">
        <f t="shared" si="4"/>
        <v>0.45283018867924529</v>
      </c>
      <c r="R67" s="1548">
        <v>21</v>
      </c>
      <c r="S67" s="1543">
        <v>53</v>
      </c>
      <c r="T67" s="3423">
        <f t="shared" si="89"/>
        <v>0.39622641509433965</v>
      </c>
      <c r="U67" s="1548">
        <v>17</v>
      </c>
      <c r="V67" s="2066">
        <v>53</v>
      </c>
      <c r="W67" s="3423">
        <f t="shared" si="90"/>
        <v>0.32075471698113206</v>
      </c>
      <c r="X67" s="1548">
        <v>22</v>
      </c>
      <c r="Y67" s="2066">
        <v>52</v>
      </c>
      <c r="Z67" s="3423">
        <f t="shared" si="91"/>
        <v>0.42307692307692307</v>
      </c>
      <c r="AA67" s="1548">
        <v>19</v>
      </c>
      <c r="AB67" s="2066">
        <v>52</v>
      </c>
      <c r="AC67" s="3423">
        <f t="shared" si="92"/>
        <v>0.36538461538461536</v>
      </c>
    </row>
    <row r="68" spans="1:29" s="1" customFormat="1" ht="18.75">
      <c r="A68" s="4242"/>
      <c r="B68" s="4268" t="s">
        <v>1196</v>
      </c>
      <c r="C68" s="1548">
        <v>73</v>
      </c>
      <c r="D68" s="1543">
        <v>86</v>
      </c>
      <c r="E68" s="3423">
        <f t="shared" si="0"/>
        <v>0.84883720930232553</v>
      </c>
      <c r="F68" s="1548">
        <v>74</v>
      </c>
      <c r="G68" s="1543">
        <v>87</v>
      </c>
      <c r="H68" s="3423">
        <f t="shared" si="1"/>
        <v>0.85057471264367812</v>
      </c>
      <c r="I68" s="1548">
        <v>84</v>
      </c>
      <c r="J68" s="1543">
        <v>89</v>
      </c>
      <c r="K68" s="3423">
        <f t="shared" si="2"/>
        <v>0.9438202247191011</v>
      </c>
      <c r="L68" s="1548">
        <v>86</v>
      </c>
      <c r="M68" s="1543">
        <v>89</v>
      </c>
      <c r="N68" s="3423">
        <f t="shared" si="3"/>
        <v>0.9662921348314607</v>
      </c>
      <c r="O68" s="1548">
        <v>84</v>
      </c>
      <c r="P68" s="1543">
        <v>91</v>
      </c>
      <c r="Q68" s="3423">
        <f t="shared" si="4"/>
        <v>0.92307692307692313</v>
      </c>
      <c r="R68" s="1548">
        <v>83</v>
      </c>
      <c r="S68" s="1543">
        <v>93</v>
      </c>
      <c r="T68" s="3423">
        <f t="shared" si="89"/>
        <v>0.89247311827956988</v>
      </c>
      <c r="U68" s="1548">
        <v>38</v>
      </c>
      <c r="V68" s="2066">
        <v>92</v>
      </c>
      <c r="W68" s="3423">
        <f t="shared" si="90"/>
        <v>0.41304347826086957</v>
      </c>
      <c r="X68" s="1548">
        <v>64</v>
      </c>
      <c r="Y68" s="2066">
        <v>89</v>
      </c>
      <c r="Z68" s="3423">
        <f t="shared" si="91"/>
        <v>0.7191011235955056</v>
      </c>
      <c r="AA68" s="1548">
        <v>60</v>
      </c>
      <c r="AB68" s="2066">
        <v>88</v>
      </c>
      <c r="AC68" s="3423">
        <f t="shared" si="92"/>
        <v>0.68181818181818177</v>
      </c>
    </row>
    <row r="69" spans="1:29" s="1" customFormat="1" ht="18.75">
      <c r="A69" s="4242"/>
      <c r="B69" s="4268" t="s">
        <v>1197</v>
      </c>
      <c r="C69" s="1548">
        <v>49</v>
      </c>
      <c r="D69" s="1543">
        <v>69</v>
      </c>
      <c r="E69" s="3423">
        <f t="shared" ref="E69:E82" si="101">C69/D69</f>
        <v>0.71014492753623193</v>
      </c>
      <c r="F69" s="1548">
        <v>46</v>
      </c>
      <c r="G69" s="1543">
        <v>69</v>
      </c>
      <c r="H69" s="3423">
        <f t="shared" ref="H69:H82" si="102">F69/G69</f>
        <v>0.66666666666666663</v>
      </c>
      <c r="I69" s="1548">
        <v>58</v>
      </c>
      <c r="J69" s="1543">
        <v>69</v>
      </c>
      <c r="K69" s="3423">
        <f t="shared" ref="K69:K82" si="103">I69/J69</f>
        <v>0.84057971014492749</v>
      </c>
      <c r="L69" s="1548">
        <v>78</v>
      </c>
      <c r="M69" s="1543">
        <v>71</v>
      </c>
      <c r="N69" s="3423">
        <f t="shared" ref="N69:N82" si="104">L69/M69</f>
        <v>1.0985915492957747</v>
      </c>
      <c r="O69" s="1548">
        <v>106</v>
      </c>
      <c r="P69" s="1543">
        <v>71</v>
      </c>
      <c r="Q69" s="3423">
        <f t="shared" ref="Q69:Q82" si="105">O69/P69</f>
        <v>1.4929577464788732</v>
      </c>
      <c r="R69" s="1548">
        <v>77</v>
      </c>
      <c r="S69" s="1543">
        <v>68</v>
      </c>
      <c r="T69" s="3423">
        <f t="shared" si="89"/>
        <v>1.1323529411764706</v>
      </c>
      <c r="U69" s="1548">
        <v>59</v>
      </c>
      <c r="V69" s="2066">
        <v>67</v>
      </c>
      <c r="W69" s="3423">
        <f t="shared" si="90"/>
        <v>0.88059701492537312</v>
      </c>
      <c r="X69" s="1548">
        <v>63</v>
      </c>
      <c r="Y69" s="2066">
        <v>68</v>
      </c>
      <c r="Z69" s="3423">
        <f t="shared" si="91"/>
        <v>0.92647058823529416</v>
      </c>
      <c r="AA69" s="1548">
        <v>79</v>
      </c>
      <c r="AB69" s="2066">
        <v>68</v>
      </c>
      <c r="AC69" s="3423">
        <f t="shared" si="92"/>
        <v>1.161764705882353</v>
      </c>
    </row>
    <row r="70" spans="1:29" s="1" customFormat="1" ht="15" customHeight="1">
      <c r="A70" s="4242"/>
      <c r="B70" s="4179" t="s">
        <v>41</v>
      </c>
      <c r="C70" s="1559">
        <f t="shared" ref="C70" si="106">SUM(C66:C69)</f>
        <v>198</v>
      </c>
      <c r="D70" s="1560">
        <f>SUM(D66:D69)</f>
        <v>340</v>
      </c>
      <c r="E70" s="3422">
        <f t="shared" si="101"/>
        <v>0.58235294117647063</v>
      </c>
      <c r="F70" s="1559">
        <v>165</v>
      </c>
      <c r="G70" s="1560">
        <f t="shared" ref="G70" si="107">SUM(G66:G69)</f>
        <v>340</v>
      </c>
      <c r="H70" s="3422">
        <f t="shared" si="102"/>
        <v>0.48529411764705882</v>
      </c>
      <c r="I70" s="1559">
        <v>201</v>
      </c>
      <c r="J70" s="1560">
        <f t="shared" ref="J70" si="108">SUM(J66:J69)</f>
        <v>348</v>
      </c>
      <c r="K70" s="3422">
        <f t="shared" si="103"/>
        <v>0.57758620689655171</v>
      </c>
      <c r="L70" s="1559">
        <v>230</v>
      </c>
      <c r="M70" s="1560">
        <f t="shared" ref="M70" si="109">SUM(M66:M69)</f>
        <v>349</v>
      </c>
      <c r="N70" s="3422">
        <f t="shared" si="104"/>
        <v>0.65902578796561606</v>
      </c>
      <c r="O70" s="1559">
        <f>SUM(O66:O69)</f>
        <v>265</v>
      </c>
      <c r="P70" s="1560">
        <f t="shared" ref="P70" si="110">SUM(P66:P69)</f>
        <v>353</v>
      </c>
      <c r="Q70" s="3422">
        <f t="shared" si="105"/>
        <v>0.75070821529745047</v>
      </c>
      <c r="R70" s="1559">
        <f>SUM(R66:R69)</f>
        <v>227</v>
      </c>
      <c r="S70" s="1560">
        <v>354</v>
      </c>
      <c r="T70" s="3422">
        <f t="shared" si="89"/>
        <v>0.64124293785310738</v>
      </c>
      <c r="U70" s="1559">
        <v>162</v>
      </c>
      <c r="V70" s="2060">
        <f>SUM(V66:V69)</f>
        <v>347</v>
      </c>
      <c r="W70" s="3422">
        <f t="shared" si="90"/>
        <v>0.4668587896253602</v>
      </c>
      <c r="X70" s="1559">
        <v>194</v>
      </c>
      <c r="Y70" s="2060">
        <f>SUM(Y66:Y69)</f>
        <v>347</v>
      </c>
      <c r="Z70" s="3422">
        <f t="shared" si="91"/>
        <v>0.55907780979827093</v>
      </c>
      <c r="AA70" s="1559">
        <v>201</v>
      </c>
      <c r="AB70" s="2060">
        <f>SUM(AB66:AB69)</f>
        <v>344</v>
      </c>
      <c r="AC70" s="3422">
        <f t="shared" si="92"/>
        <v>0.58430232558139539</v>
      </c>
    </row>
    <row r="71" spans="1:29" s="1" customFormat="1" ht="18.75">
      <c r="A71" s="4242"/>
      <c r="B71" s="4268" t="s">
        <v>1198</v>
      </c>
      <c r="C71" s="1548">
        <v>5</v>
      </c>
      <c r="D71" s="1543">
        <v>128</v>
      </c>
      <c r="E71" s="3423">
        <f t="shared" si="101"/>
        <v>3.90625E-2</v>
      </c>
      <c r="F71" s="1548"/>
      <c r="G71" s="1543">
        <v>131</v>
      </c>
      <c r="H71" s="3423">
        <f t="shared" si="102"/>
        <v>0</v>
      </c>
      <c r="I71" s="1548">
        <v>3</v>
      </c>
      <c r="J71" s="1543">
        <v>134</v>
      </c>
      <c r="K71" s="3423">
        <f t="shared" si="103"/>
        <v>2.2388059701492536E-2</v>
      </c>
      <c r="L71" s="1548">
        <v>1</v>
      </c>
      <c r="M71" s="1543">
        <v>136</v>
      </c>
      <c r="N71" s="3423">
        <f t="shared" si="104"/>
        <v>7.3529411764705881E-3</v>
      </c>
      <c r="O71" s="1548">
        <v>4</v>
      </c>
      <c r="P71" s="1543">
        <v>135</v>
      </c>
      <c r="Q71" s="3423">
        <f t="shared" si="105"/>
        <v>2.9629629629629631E-2</v>
      </c>
      <c r="R71" s="1548"/>
      <c r="S71" s="1543">
        <v>132</v>
      </c>
      <c r="T71" s="3423">
        <f t="shared" si="89"/>
        <v>0</v>
      </c>
      <c r="U71" s="1548">
        <v>3</v>
      </c>
      <c r="V71" s="2066">
        <v>130</v>
      </c>
      <c r="W71" s="3423">
        <f t="shared" si="90"/>
        <v>2.3076923076923078E-2</v>
      </c>
      <c r="X71" s="1548"/>
      <c r="Y71" s="2066">
        <v>126</v>
      </c>
      <c r="Z71" s="3423">
        <f t="shared" si="91"/>
        <v>0</v>
      </c>
      <c r="AA71" s="1548">
        <v>5</v>
      </c>
      <c r="AB71" s="2066">
        <v>125</v>
      </c>
      <c r="AC71" s="3423">
        <f t="shared" si="92"/>
        <v>0.04</v>
      </c>
    </row>
    <row r="72" spans="1:29" s="1" customFormat="1" ht="18.75">
      <c r="A72" s="4242"/>
      <c r="B72" s="4268" t="s">
        <v>1199</v>
      </c>
      <c r="C72" s="1548"/>
      <c r="D72" s="1543">
        <v>91</v>
      </c>
      <c r="E72" s="3423">
        <f t="shared" si="101"/>
        <v>0</v>
      </c>
      <c r="F72" s="1548"/>
      <c r="G72" s="1543">
        <v>98</v>
      </c>
      <c r="H72" s="3423">
        <f t="shared" si="102"/>
        <v>0</v>
      </c>
      <c r="I72" s="1548">
        <v>1</v>
      </c>
      <c r="J72" s="1543">
        <v>99</v>
      </c>
      <c r="K72" s="3423">
        <f t="shared" si="103"/>
        <v>1.0101010101010102E-2</v>
      </c>
      <c r="L72" s="1548"/>
      <c r="M72" s="1543">
        <v>99</v>
      </c>
      <c r="N72" s="3423">
        <f t="shared" si="104"/>
        <v>0</v>
      </c>
      <c r="O72" s="1548">
        <v>4</v>
      </c>
      <c r="P72" s="1543">
        <v>98</v>
      </c>
      <c r="Q72" s="3423">
        <f t="shared" si="105"/>
        <v>4.0816326530612242E-2</v>
      </c>
      <c r="R72" s="1548">
        <v>1</v>
      </c>
      <c r="S72" s="1543">
        <v>97</v>
      </c>
      <c r="T72" s="3423">
        <f t="shared" si="89"/>
        <v>1.0309278350515464E-2</v>
      </c>
      <c r="U72" s="1548"/>
      <c r="V72" s="2066">
        <v>96</v>
      </c>
      <c r="W72" s="3423">
        <f t="shared" si="90"/>
        <v>0</v>
      </c>
      <c r="X72" s="1548">
        <v>1</v>
      </c>
      <c r="Y72" s="2066">
        <v>99</v>
      </c>
      <c r="Z72" s="3423">
        <f t="shared" si="91"/>
        <v>1.0101010101010102E-2</v>
      </c>
      <c r="AA72" s="1548">
        <v>2</v>
      </c>
      <c r="AB72" s="2066">
        <v>100</v>
      </c>
      <c r="AC72" s="3423">
        <f t="shared" si="92"/>
        <v>0.02</v>
      </c>
    </row>
    <row r="73" spans="1:29" s="1" customFormat="1" ht="18.75">
      <c r="A73" s="4242"/>
      <c r="B73" s="4268" t="s">
        <v>1200</v>
      </c>
      <c r="C73" s="1548">
        <v>1</v>
      </c>
      <c r="D73" s="1543">
        <v>66</v>
      </c>
      <c r="E73" s="3423">
        <f t="shared" si="101"/>
        <v>1.5151515151515152E-2</v>
      </c>
      <c r="F73" s="1548">
        <v>4</v>
      </c>
      <c r="G73" s="1543">
        <v>69</v>
      </c>
      <c r="H73" s="3423">
        <f t="shared" si="102"/>
        <v>5.7971014492753624E-2</v>
      </c>
      <c r="I73" s="1548">
        <v>41</v>
      </c>
      <c r="J73" s="1543">
        <v>73</v>
      </c>
      <c r="K73" s="3423">
        <f t="shared" si="103"/>
        <v>0.56164383561643838</v>
      </c>
      <c r="L73" s="1548">
        <v>20</v>
      </c>
      <c r="M73" s="1543">
        <v>70</v>
      </c>
      <c r="N73" s="3423">
        <f t="shared" si="104"/>
        <v>0.2857142857142857</v>
      </c>
      <c r="O73" s="1548">
        <v>1</v>
      </c>
      <c r="P73" s="1543">
        <v>68</v>
      </c>
      <c r="Q73" s="3423">
        <f t="shared" si="105"/>
        <v>1.4705882352941176E-2</v>
      </c>
      <c r="R73" s="1548">
        <v>1</v>
      </c>
      <c r="S73" s="1543">
        <v>68</v>
      </c>
      <c r="T73" s="3423">
        <f t="shared" si="89"/>
        <v>1.4705882352941176E-2</v>
      </c>
      <c r="U73" s="1548">
        <v>2</v>
      </c>
      <c r="V73" s="2066">
        <v>66</v>
      </c>
      <c r="W73" s="3423">
        <f t="shared" si="90"/>
        <v>3.0303030303030304E-2</v>
      </c>
      <c r="X73" s="1548">
        <v>5</v>
      </c>
      <c r="Y73" s="2066">
        <v>67</v>
      </c>
      <c r="Z73" s="3423">
        <f t="shared" si="91"/>
        <v>7.4626865671641784E-2</v>
      </c>
      <c r="AA73" s="1548">
        <v>3</v>
      </c>
      <c r="AB73" s="2066">
        <v>68</v>
      </c>
      <c r="AC73" s="3423">
        <f t="shared" si="92"/>
        <v>4.4117647058823532E-2</v>
      </c>
    </row>
    <row r="74" spans="1:29" s="1" customFormat="1" ht="18.75">
      <c r="A74" s="4242"/>
      <c r="B74" s="4268" t="s">
        <v>1201</v>
      </c>
      <c r="C74" s="1548"/>
      <c r="D74" s="1543">
        <v>57</v>
      </c>
      <c r="E74" s="3423">
        <f t="shared" si="101"/>
        <v>0</v>
      </c>
      <c r="F74" s="1548">
        <v>1</v>
      </c>
      <c r="G74" s="1543">
        <v>58</v>
      </c>
      <c r="H74" s="3423">
        <f t="shared" si="102"/>
        <v>1.7241379310344827E-2</v>
      </c>
      <c r="I74" s="1548">
        <v>1</v>
      </c>
      <c r="J74" s="1543">
        <v>57</v>
      </c>
      <c r="K74" s="3423">
        <f t="shared" si="103"/>
        <v>1.7543859649122806E-2</v>
      </c>
      <c r="L74" s="1548">
        <v>1</v>
      </c>
      <c r="M74" s="1543">
        <v>57</v>
      </c>
      <c r="N74" s="3423">
        <f t="shared" si="104"/>
        <v>1.7543859649122806E-2</v>
      </c>
      <c r="O74" s="1548">
        <v>0</v>
      </c>
      <c r="P74" s="1543">
        <v>60</v>
      </c>
      <c r="Q74" s="3423">
        <f t="shared" si="105"/>
        <v>0</v>
      </c>
      <c r="R74" s="1548">
        <v>2</v>
      </c>
      <c r="S74" s="1543">
        <v>61</v>
      </c>
      <c r="T74" s="3423">
        <f t="shared" si="89"/>
        <v>3.2786885245901641E-2</v>
      </c>
      <c r="U74" s="1548">
        <v>1</v>
      </c>
      <c r="V74" s="2066">
        <v>59</v>
      </c>
      <c r="W74" s="3423">
        <f t="shared" si="90"/>
        <v>1.6949152542372881E-2</v>
      </c>
      <c r="X74" s="1548">
        <v>1</v>
      </c>
      <c r="Y74" s="2066">
        <v>58</v>
      </c>
      <c r="Z74" s="3423">
        <f t="shared" si="91"/>
        <v>1.7241379310344827E-2</v>
      </c>
      <c r="AA74" s="1548">
        <v>1</v>
      </c>
      <c r="AB74" s="2066">
        <v>60</v>
      </c>
      <c r="AC74" s="3423">
        <f t="shared" si="92"/>
        <v>1.6666666666666666E-2</v>
      </c>
    </row>
    <row r="75" spans="1:29" s="1" customFormat="1" ht="15" customHeight="1">
      <c r="A75" s="4242"/>
      <c r="B75" s="4179" t="s">
        <v>16</v>
      </c>
      <c r="C75" s="1559">
        <f t="shared" ref="C75" si="111">SUM(C71:C74)</f>
        <v>6</v>
      </c>
      <c r="D75" s="1560">
        <f>SUM(D71:D74)</f>
        <v>342</v>
      </c>
      <c r="E75" s="3422">
        <f t="shared" si="101"/>
        <v>1.7543859649122806E-2</v>
      </c>
      <c r="F75" s="1559">
        <v>5</v>
      </c>
      <c r="G75" s="1560">
        <f t="shared" ref="G75" si="112">SUM(G71:G74)</f>
        <v>356</v>
      </c>
      <c r="H75" s="3422">
        <f t="shared" si="102"/>
        <v>1.4044943820224719E-2</v>
      </c>
      <c r="I75" s="1559">
        <v>46</v>
      </c>
      <c r="J75" s="1560">
        <f t="shared" ref="J75" si="113">SUM(J71:J74)</f>
        <v>363</v>
      </c>
      <c r="K75" s="3422">
        <f t="shared" si="103"/>
        <v>0.12672176308539945</v>
      </c>
      <c r="L75" s="1559">
        <v>22</v>
      </c>
      <c r="M75" s="1560">
        <f t="shared" ref="M75" si="114">SUM(M71:M74)</f>
        <v>362</v>
      </c>
      <c r="N75" s="3422">
        <f t="shared" si="104"/>
        <v>6.0773480662983423E-2</v>
      </c>
      <c r="O75" s="1559">
        <f>SUM(O71:O74)</f>
        <v>9</v>
      </c>
      <c r="P75" s="1560">
        <f t="shared" ref="P75" si="115">SUM(P71:P74)</f>
        <v>361</v>
      </c>
      <c r="Q75" s="3422">
        <f t="shared" si="105"/>
        <v>2.4930747922437674E-2</v>
      </c>
      <c r="R75" s="1559">
        <f>SUM(R71:R74)</f>
        <v>4</v>
      </c>
      <c r="S75" s="1560">
        <v>358</v>
      </c>
      <c r="T75" s="3422">
        <f t="shared" si="89"/>
        <v>1.11731843575419E-2</v>
      </c>
      <c r="U75" s="1559">
        <v>6</v>
      </c>
      <c r="V75" s="2060">
        <f>SUM(V71:V74)</f>
        <v>351</v>
      </c>
      <c r="W75" s="3422">
        <f t="shared" si="90"/>
        <v>1.7094017094017096E-2</v>
      </c>
      <c r="X75" s="1559">
        <v>7</v>
      </c>
      <c r="Y75" s="2060">
        <f>SUM(Y71:Y74)</f>
        <v>350</v>
      </c>
      <c r="Z75" s="3422">
        <f t="shared" si="91"/>
        <v>0.02</v>
      </c>
      <c r="AA75" s="1559">
        <v>11</v>
      </c>
      <c r="AB75" s="2060">
        <f>SUM(AB71:AB74)</f>
        <v>353</v>
      </c>
      <c r="AC75" s="3422">
        <f t="shared" si="92"/>
        <v>3.1161473087818695E-2</v>
      </c>
    </row>
    <row r="76" spans="1:29" s="1" customFormat="1" ht="18.75">
      <c r="A76" s="4242"/>
      <c r="B76" s="4268" t="s">
        <v>1202</v>
      </c>
      <c r="C76" s="1548">
        <v>2</v>
      </c>
      <c r="D76" s="1543">
        <v>29</v>
      </c>
      <c r="E76" s="3423">
        <f t="shared" si="101"/>
        <v>6.8965517241379309E-2</v>
      </c>
      <c r="F76" s="1548">
        <v>2</v>
      </c>
      <c r="G76" s="1543">
        <v>28</v>
      </c>
      <c r="H76" s="3423">
        <f t="shared" si="102"/>
        <v>7.1428571428571425E-2</v>
      </c>
      <c r="I76" s="1548">
        <v>3</v>
      </c>
      <c r="J76" s="1543">
        <v>26</v>
      </c>
      <c r="K76" s="3423">
        <f t="shared" si="103"/>
        <v>0.11538461538461539</v>
      </c>
      <c r="L76" s="1548"/>
      <c r="M76" s="1543">
        <v>26</v>
      </c>
      <c r="N76" s="3423">
        <f t="shared" si="104"/>
        <v>0</v>
      </c>
      <c r="O76" s="1548">
        <v>5</v>
      </c>
      <c r="P76" s="1543">
        <v>29</v>
      </c>
      <c r="Q76" s="3423">
        <f t="shared" si="105"/>
        <v>0.17241379310344829</v>
      </c>
      <c r="R76" s="1548"/>
      <c r="S76" s="1543">
        <v>29</v>
      </c>
      <c r="T76" s="3423">
        <f t="shared" si="89"/>
        <v>0</v>
      </c>
      <c r="U76" s="1548"/>
      <c r="V76" s="2066">
        <v>32</v>
      </c>
      <c r="W76" s="3423">
        <f t="shared" si="90"/>
        <v>0</v>
      </c>
      <c r="X76" s="1548"/>
      <c r="Y76" s="2066">
        <v>31</v>
      </c>
      <c r="Z76" s="3423">
        <f t="shared" si="91"/>
        <v>0</v>
      </c>
      <c r="AA76" s="1548">
        <v>1</v>
      </c>
      <c r="AB76" s="2066">
        <v>29</v>
      </c>
      <c r="AC76" s="3423">
        <f t="shared" si="92"/>
        <v>3.4482758620689655E-2</v>
      </c>
    </row>
    <row r="77" spans="1:29" s="1" customFormat="1" ht="18.75">
      <c r="A77" s="4242"/>
      <c r="B77" s="4268" t="s">
        <v>1203</v>
      </c>
      <c r="C77" s="1548"/>
      <c r="D77" s="1543">
        <v>37</v>
      </c>
      <c r="E77" s="3423">
        <f t="shared" si="101"/>
        <v>0</v>
      </c>
      <c r="F77" s="1548"/>
      <c r="G77" s="1543">
        <v>39</v>
      </c>
      <c r="H77" s="3423">
        <f t="shared" si="102"/>
        <v>0</v>
      </c>
      <c r="I77" s="1548"/>
      <c r="J77" s="1543">
        <v>38</v>
      </c>
      <c r="K77" s="3423">
        <f t="shared" si="103"/>
        <v>0</v>
      </c>
      <c r="L77" s="1548">
        <v>3</v>
      </c>
      <c r="M77" s="1543">
        <v>39</v>
      </c>
      <c r="N77" s="3423">
        <f t="shared" si="104"/>
        <v>7.6923076923076927E-2</v>
      </c>
      <c r="O77" s="1548">
        <v>9</v>
      </c>
      <c r="P77" s="1543">
        <v>40</v>
      </c>
      <c r="Q77" s="3423">
        <f t="shared" si="105"/>
        <v>0.22500000000000001</v>
      </c>
      <c r="R77" s="1548">
        <v>3</v>
      </c>
      <c r="S77" s="1543">
        <v>40</v>
      </c>
      <c r="T77" s="3423">
        <f t="shared" si="89"/>
        <v>7.4999999999999997E-2</v>
      </c>
      <c r="U77" s="1548">
        <v>3</v>
      </c>
      <c r="V77" s="2066">
        <v>39</v>
      </c>
      <c r="W77" s="3423">
        <f t="shared" si="90"/>
        <v>7.6923076923076927E-2</v>
      </c>
      <c r="X77" s="1548">
        <v>4</v>
      </c>
      <c r="Y77" s="2066">
        <v>38</v>
      </c>
      <c r="Z77" s="3423">
        <f t="shared" si="91"/>
        <v>0.10526315789473684</v>
      </c>
      <c r="AA77" s="1548">
        <v>5</v>
      </c>
      <c r="AB77" s="2066">
        <v>36</v>
      </c>
      <c r="AC77" s="3423">
        <f t="shared" si="92"/>
        <v>0.1388888888888889</v>
      </c>
    </row>
    <row r="78" spans="1:29" s="1" customFormat="1" ht="18.75">
      <c r="A78" s="4242"/>
      <c r="B78" s="4268" t="s">
        <v>1204</v>
      </c>
      <c r="C78" s="1548"/>
      <c r="D78" s="1543">
        <v>29</v>
      </c>
      <c r="E78" s="3423">
        <f t="shared" si="101"/>
        <v>0</v>
      </c>
      <c r="F78" s="1548">
        <v>3</v>
      </c>
      <c r="G78" s="1543">
        <v>28</v>
      </c>
      <c r="H78" s="3423">
        <f t="shared" si="102"/>
        <v>0.10714285714285714</v>
      </c>
      <c r="I78" s="1548">
        <v>3</v>
      </c>
      <c r="J78" s="1543">
        <v>30</v>
      </c>
      <c r="K78" s="3423">
        <f t="shared" si="103"/>
        <v>0.1</v>
      </c>
      <c r="L78" s="1548">
        <v>2</v>
      </c>
      <c r="M78" s="1543">
        <v>29</v>
      </c>
      <c r="N78" s="3423">
        <f t="shared" si="104"/>
        <v>6.8965517241379309E-2</v>
      </c>
      <c r="O78" s="1548">
        <v>4</v>
      </c>
      <c r="P78" s="1543">
        <v>31</v>
      </c>
      <c r="Q78" s="3423">
        <f t="shared" si="105"/>
        <v>0.12903225806451613</v>
      </c>
      <c r="R78" s="1548"/>
      <c r="S78" s="1543">
        <v>30</v>
      </c>
      <c r="T78" s="3423">
        <f t="shared" si="89"/>
        <v>0</v>
      </c>
      <c r="U78" s="1548">
        <v>2</v>
      </c>
      <c r="V78" s="2066">
        <v>27</v>
      </c>
      <c r="W78" s="3423">
        <f t="shared" si="90"/>
        <v>7.407407407407407E-2</v>
      </c>
      <c r="X78" s="1548"/>
      <c r="Y78" s="2066">
        <v>22</v>
      </c>
      <c r="Z78" s="3423">
        <f t="shared" si="91"/>
        <v>0</v>
      </c>
      <c r="AA78" s="1548">
        <v>1</v>
      </c>
      <c r="AB78" s="2066">
        <v>24</v>
      </c>
      <c r="AC78" s="3423">
        <f t="shared" si="92"/>
        <v>4.1666666666666664E-2</v>
      </c>
    </row>
    <row r="79" spans="1:29" s="1" customFormat="1" ht="18.75">
      <c r="A79" s="4242"/>
      <c r="B79" s="4268" t="s">
        <v>1205</v>
      </c>
      <c r="C79" s="1548">
        <v>10</v>
      </c>
      <c r="D79" s="1543">
        <v>47</v>
      </c>
      <c r="E79" s="3423">
        <f t="shared" si="101"/>
        <v>0.21276595744680851</v>
      </c>
      <c r="F79" s="1548">
        <v>5</v>
      </c>
      <c r="G79" s="1543">
        <v>48</v>
      </c>
      <c r="H79" s="3423">
        <f t="shared" si="102"/>
        <v>0.10416666666666667</v>
      </c>
      <c r="I79" s="1548">
        <v>16</v>
      </c>
      <c r="J79" s="1543">
        <v>47</v>
      </c>
      <c r="K79" s="3423">
        <f t="shared" si="103"/>
        <v>0.34042553191489361</v>
      </c>
      <c r="L79" s="1548"/>
      <c r="M79" s="1543">
        <v>47</v>
      </c>
      <c r="N79" s="3423">
        <f t="shared" si="104"/>
        <v>0</v>
      </c>
      <c r="O79" s="1548">
        <v>2</v>
      </c>
      <c r="P79" s="1543">
        <v>46</v>
      </c>
      <c r="Q79" s="3423">
        <f t="shared" si="105"/>
        <v>4.3478260869565216E-2</v>
      </c>
      <c r="R79" s="1548">
        <v>5</v>
      </c>
      <c r="S79" s="1543">
        <v>45</v>
      </c>
      <c r="T79" s="3423">
        <f t="shared" si="89"/>
        <v>0.1111111111111111</v>
      </c>
      <c r="U79" s="1548">
        <v>2</v>
      </c>
      <c r="V79" s="2066">
        <v>46</v>
      </c>
      <c r="W79" s="3423">
        <f t="shared" si="90"/>
        <v>4.3478260869565216E-2</v>
      </c>
      <c r="X79" s="1548"/>
      <c r="Y79" s="2066">
        <v>44</v>
      </c>
      <c r="Z79" s="3423">
        <f t="shared" si="91"/>
        <v>0</v>
      </c>
      <c r="AA79" s="1548">
        <v>5</v>
      </c>
      <c r="AB79" s="2066">
        <v>44</v>
      </c>
      <c r="AC79" s="3423">
        <f t="shared" si="92"/>
        <v>0.11363636363636363</v>
      </c>
    </row>
    <row r="80" spans="1:29" s="1" customFormat="1" ht="15" customHeight="1">
      <c r="A80" s="4242"/>
      <c r="B80" s="4243" t="s">
        <v>21</v>
      </c>
      <c r="C80" s="4244">
        <f t="shared" ref="C80" si="116">SUM(C76:C79)</f>
        <v>12</v>
      </c>
      <c r="D80" s="4245">
        <f>SUM(D76:D79)</f>
        <v>142</v>
      </c>
      <c r="E80" s="4270">
        <f t="shared" si="101"/>
        <v>8.4507042253521125E-2</v>
      </c>
      <c r="F80" s="4244">
        <v>10</v>
      </c>
      <c r="G80" s="4245">
        <f t="shared" ref="G80" si="117">SUM(G76:G79)</f>
        <v>143</v>
      </c>
      <c r="H80" s="4270">
        <f t="shared" si="102"/>
        <v>6.9930069930069935E-2</v>
      </c>
      <c r="I80" s="4244">
        <v>22</v>
      </c>
      <c r="J80" s="4245">
        <f t="shared" ref="J80" si="118">SUM(J76:J79)</f>
        <v>141</v>
      </c>
      <c r="K80" s="4270">
        <f t="shared" si="103"/>
        <v>0.15602836879432624</v>
      </c>
      <c r="L80" s="4244">
        <v>5</v>
      </c>
      <c r="M80" s="4245">
        <f t="shared" ref="M80" si="119">SUM(M76:M79)</f>
        <v>141</v>
      </c>
      <c r="N80" s="4270">
        <f t="shared" si="104"/>
        <v>3.5460992907801421E-2</v>
      </c>
      <c r="O80" s="4244">
        <f>SUM(O76:O79)</f>
        <v>20</v>
      </c>
      <c r="P80" s="4245">
        <f t="shared" ref="P80" si="120">SUM(P76:P79)</f>
        <v>146</v>
      </c>
      <c r="Q80" s="4270">
        <f t="shared" si="105"/>
        <v>0.13698630136986301</v>
      </c>
      <c r="R80" s="4244">
        <f>SUM(R76:R79)</f>
        <v>8</v>
      </c>
      <c r="S80" s="4245">
        <f t="shared" ref="S80" si="121">SUM(S76:S79)</f>
        <v>144</v>
      </c>
      <c r="T80" s="4270">
        <f t="shared" si="89"/>
        <v>5.5555555555555552E-2</v>
      </c>
      <c r="U80" s="4244">
        <v>7</v>
      </c>
      <c r="V80" s="4271">
        <f>SUM(V76:V79)</f>
        <v>144</v>
      </c>
      <c r="W80" s="4270">
        <f t="shared" si="90"/>
        <v>4.8611111111111112E-2</v>
      </c>
      <c r="X80" s="4244">
        <v>4</v>
      </c>
      <c r="Y80" s="4271">
        <f>SUM(Y76:Y79)</f>
        <v>135</v>
      </c>
      <c r="Z80" s="4270">
        <f t="shared" si="91"/>
        <v>2.9629629629629631E-2</v>
      </c>
      <c r="AA80" s="4244">
        <v>12</v>
      </c>
      <c r="AB80" s="4271">
        <f>SUM(AB76:AB79)</f>
        <v>133</v>
      </c>
      <c r="AC80" s="4270">
        <f t="shared" si="92"/>
        <v>9.0225563909774431E-2</v>
      </c>
    </row>
    <row r="81" spans="1:29" s="1" customFormat="1" ht="15" customHeight="1">
      <c r="A81" s="4242"/>
      <c r="B81" s="4263" t="s">
        <v>360</v>
      </c>
      <c r="C81" s="4264">
        <f t="shared" ref="C81" si="122">SUM(C80,C75,C70)</f>
        <v>216</v>
      </c>
      <c r="D81" s="4265">
        <f>SUM(D80,D75,D70)</f>
        <v>824</v>
      </c>
      <c r="E81" s="4282">
        <f t="shared" si="101"/>
        <v>0.26213592233009708</v>
      </c>
      <c r="F81" s="4264">
        <v>180</v>
      </c>
      <c r="G81" s="4265">
        <f t="shared" ref="G81" si="123">SUM(G80,G75,G70)</f>
        <v>839</v>
      </c>
      <c r="H81" s="4282">
        <f t="shared" si="102"/>
        <v>0.21454112038140644</v>
      </c>
      <c r="I81" s="4264">
        <v>269</v>
      </c>
      <c r="J81" s="4265">
        <f t="shared" ref="J81" si="124">SUM(J80,J75,J70)</f>
        <v>852</v>
      </c>
      <c r="K81" s="4282">
        <f t="shared" si="103"/>
        <v>0.31572769953051644</v>
      </c>
      <c r="L81" s="4264">
        <v>257</v>
      </c>
      <c r="M81" s="4265">
        <f t="shared" ref="M81" si="125">SUM(M80,M75,M70)</f>
        <v>852</v>
      </c>
      <c r="N81" s="4282">
        <f t="shared" si="104"/>
        <v>0.30164319248826293</v>
      </c>
      <c r="O81" s="4264">
        <f>SUM(O70,O75,O80)</f>
        <v>294</v>
      </c>
      <c r="P81" s="4265">
        <f t="shared" ref="P81" si="126">SUM(P80,P75,P70)</f>
        <v>860</v>
      </c>
      <c r="Q81" s="4282">
        <f t="shared" si="105"/>
        <v>0.34186046511627904</v>
      </c>
      <c r="R81" s="4264">
        <f>SUM(R70,R75,R80)</f>
        <v>239</v>
      </c>
      <c r="S81" s="4265">
        <f t="shared" ref="S81" si="127">SUM(S80,S75,S70)</f>
        <v>856</v>
      </c>
      <c r="T81" s="4282">
        <f t="shared" si="89"/>
        <v>0.27920560747663553</v>
      </c>
      <c r="U81" s="4264">
        <f>SUM(U70,U75,U80)</f>
        <v>175</v>
      </c>
      <c r="V81" s="4283">
        <f>SUM(V80,V75,V70)</f>
        <v>842</v>
      </c>
      <c r="W81" s="4282">
        <f t="shared" si="90"/>
        <v>0.20783847980997625</v>
      </c>
      <c r="X81" s="4264">
        <f>SUM(X70,X75,X80)</f>
        <v>205</v>
      </c>
      <c r="Y81" s="4283">
        <f>SUM(Y80,Y75,Y70)</f>
        <v>832</v>
      </c>
      <c r="Z81" s="4282">
        <f t="shared" si="91"/>
        <v>0.24639423076923078</v>
      </c>
      <c r="AA81" s="4264">
        <v>224</v>
      </c>
      <c r="AB81" s="4283">
        <f>SUM(AB70,AB75,AB80)</f>
        <v>830</v>
      </c>
      <c r="AC81" s="4282">
        <f t="shared" si="92"/>
        <v>0.26987951807228916</v>
      </c>
    </row>
    <row r="82" spans="1:29" s="1" customFormat="1" ht="20.100000000000001" customHeight="1">
      <c r="A82" s="4242"/>
      <c r="B82" s="4284" t="s">
        <v>67</v>
      </c>
      <c r="C82" s="1563">
        <f>SUM(C21,C34,C52,C65,C81)</f>
        <v>853</v>
      </c>
      <c r="D82" s="1563">
        <f>SUM(D21,D34,D52,D65,D81)</f>
        <v>2575</v>
      </c>
      <c r="E82" s="3417">
        <f t="shared" si="101"/>
        <v>0.33126213592233011</v>
      </c>
      <c r="F82" s="1563">
        <f>SUM(F21,F34,F52,F65,F81)</f>
        <v>831</v>
      </c>
      <c r="G82" s="1563">
        <f t="shared" ref="G82" si="128">SUM(G21,G34,G52,G65,G81)</f>
        <v>2623</v>
      </c>
      <c r="H82" s="3417">
        <f t="shared" si="102"/>
        <v>0.31681280975981702</v>
      </c>
      <c r="I82" s="1563">
        <f>SUM(I21,I34,I52,I65,I81)</f>
        <v>982</v>
      </c>
      <c r="J82" s="1563">
        <f t="shared" ref="J82" si="129">SUM(J21,J34,J52,J65,J81)</f>
        <v>2663</v>
      </c>
      <c r="K82" s="3417">
        <f t="shared" si="103"/>
        <v>0.36875704093128053</v>
      </c>
      <c r="L82" s="1563">
        <f>SUM(L21,L34,L52,L65,L81)</f>
        <v>1087</v>
      </c>
      <c r="M82" s="1563">
        <f t="shared" ref="M82" si="130">SUM(M21,M34,M52,M65,M81)</f>
        <v>2705</v>
      </c>
      <c r="N82" s="3417">
        <f t="shared" si="104"/>
        <v>0.40184842883548982</v>
      </c>
      <c r="O82" s="1563">
        <f>SUM(O21,O34,O52,O65,O81)</f>
        <v>1145</v>
      </c>
      <c r="P82" s="1563">
        <f t="shared" ref="P82" si="131">SUM(P21,P34,P52,P65,P81)</f>
        <v>2759</v>
      </c>
      <c r="Q82" s="3417">
        <f t="shared" si="105"/>
        <v>0.41500543675244655</v>
      </c>
      <c r="R82" s="1563">
        <f>SUM(R21,R34,R52,R65,R81)</f>
        <v>1121</v>
      </c>
      <c r="S82" s="1563">
        <f t="shared" ref="S82" si="132">SUM(S21,S34,S52,S65,S81)</f>
        <v>2743</v>
      </c>
      <c r="T82" s="3417">
        <f t="shared" si="89"/>
        <v>0.40867663142544658</v>
      </c>
      <c r="U82" s="1563">
        <f>SUM(U21,U34,U52,U65,U81)</f>
        <v>996</v>
      </c>
      <c r="V82" s="1563">
        <f t="shared" ref="V82" si="133">SUM(V21,V34,V52,V65,V81)</f>
        <v>2732</v>
      </c>
      <c r="W82" s="3417">
        <f t="shared" si="90"/>
        <v>0.36456808199121521</v>
      </c>
      <c r="X82" s="1563">
        <f>SUM(X21,X34,X52,X65,X81)</f>
        <v>1151</v>
      </c>
      <c r="Y82" s="1563">
        <f>SUM(Y21,Y34,Y52,Y65,Y81)</f>
        <v>2754</v>
      </c>
      <c r="Z82" s="3417">
        <f t="shared" si="91"/>
        <v>0.41793754538852579</v>
      </c>
      <c r="AA82" s="2088">
        <f>SUM(AA21,AA34,AA52,AA65,AA81)</f>
        <v>1228</v>
      </c>
      <c r="AB82" s="2088">
        <f>SUM(AB21,AB34,AB52,AB65,AB81)</f>
        <v>2776</v>
      </c>
      <c r="AC82" s="3418">
        <f t="shared" si="92"/>
        <v>0.44236311239193082</v>
      </c>
    </row>
    <row r="83" spans="1:29" ht="18.75">
      <c r="A83" s="4242"/>
    </row>
    <row r="84" spans="1:29" ht="18.75">
      <c r="A84" s="4242"/>
    </row>
    <row r="85" spans="1:29" ht="18.75">
      <c r="A85" s="4242"/>
    </row>
    <row r="86" spans="1:29" ht="18.75">
      <c r="A86" s="4242"/>
    </row>
    <row r="87" spans="1:29" ht="18.75">
      <c r="A87" s="4242"/>
    </row>
  </sheetData>
  <mergeCells count="9">
    <mergeCell ref="L2:N2"/>
    <mergeCell ref="C2:E2"/>
    <mergeCell ref="F2:H2"/>
    <mergeCell ref="I2:K2"/>
    <mergeCell ref="AA2:AC2"/>
    <mergeCell ref="X2:Z2"/>
    <mergeCell ref="U2:W2"/>
    <mergeCell ref="R2:T2"/>
    <mergeCell ref="O2:Q2"/>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Q4:Q82 N9:N82 W82 Z82" formula="1"/>
    <ignoredError sqref="S80:S82" formulaRange="1"/>
    <ignoredError sqref="T80:T82" formula="1" formulaRange="1"/>
  </ignoredErrors>
  <drawing r:id="rId2"/>
</worksheet>
</file>

<file path=xl/worksheets/sheet37.xml><?xml version="1.0" encoding="utf-8"?>
<worksheet xmlns="http://schemas.openxmlformats.org/spreadsheetml/2006/main" xmlns:r="http://schemas.openxmlformats.org/officeDocument/2006/relationships">
  <sheetPr>
    <tabColor theme="4" tint="-0.499984740745262"/>
  </sheetPr>
  <dimension ref="A1:AC88"/>
  <sheetViews>
    <sheetView workbookViewId="0">
      <pane xSplit="2" ySplit="3" topLeftCell="M4" activePane="bottomRight" state="frozen"/>
      <selection pane="topRight" activeCell="D1" sqref="D1"/>
      <selection pane="bottomLeft" activeCell="A5" sqref="A5"/>
      <selection pane="bottomRight" activeCell="Z82" sqref="Z82"/>
    </sheetView>
  </sheetViews>
  <sheetFormatPr baseColWidth="10" defaultRowHeight="15"/>
  <cols>
    <col min="1" max="1" width="2.7109375" style="191" customWidth="1"/>
    <col min="2" max="2" width="45.5703125" customWidth="1"/>
    <col min="3" max="17" width="8.42578125" customWidth="1"/>
    <col min="18" max="18" width="7.42578125" customWidth="1"/>
    <col min="19" max="19" width="7.85546875" customWidth="1"/>
    <col min="20" max="20" width="8.140625" customWidth="1"/>
    <col min="21" max="21" width="7.7109375" bestFit="1" customWidth="1"/>
    <col min="22" max="22" width="7.85546875" customWidth="1"/>
    <col min="23" max="23" width="8.140625" customWidth="1"/>
    <col min="24" max="25" width="7.85546875" customWidth="1"/>
    <col min="26" max="26" width="8.42578125" bestFit="1" customWidth="1"/>
    <col min="27" max="28" width="7.85546875" customWidth="1"/>
    <col min="29" max="29" width="8.42578125" customWidth="1"/>
  </cols>
  <sheetData>
    <row r="1" spans="1:29" ht="75">
      <c r="B1" s="4242" t="s">
        <v>2489</v>
      </c>
      <c r="P1" s="471"/>
    </row>
    <row r="2" spans="1:29" ht="18.75">
      <c r="A2" s="4242"/>
      <c r="C2" s="5267">
        <v>2010</v>
      </c>
      <c r="D2" s="5268"/>
      <c r="E2" s="5269"/>
      <c r="F2" s="5267">
        <v>2011</v>
      </c>
      <c r="G2" s="5268"/>
      <c r="H2" s="5269"/>
      <c r="I2" s="5267">
        <v>2012</v>
      </c>
      <c r="J2" s="5268"/>
      <c r="K2" s="5269"/>
      <c r="L2" s="5267">
        <v>2013</v>
      </c>
      <c r="M2" s="5268"/>
      <c r="N2" s="5269"/>
      <c r="O2" s="5267">
        <v>2014</v>
      </c>
      <c r="P2" s="5268"/>
      <c r="Q2" s="5269"/>
      <c r="R2" s="5267">
        <v>2015</v>
      </c>
      <c r="S2" s="5268"/>
      <c r="T2" s="5269"/>
      <c r="U2" s="5267">
        <v>2016</v>
      </c>
      <c r="V2" s="5268"/>
      <c r="W2" s="5269"/>
      <c r="X2" s="5267">
        <v>2017</v>
      </c>
      <c r="Y2" s="5268"/>
      <c r="Z2" s="5269"/>
      <c r="AA2" s="5267">
        <v>2018</v>
      </c>
      <c r="AB2" s="5268"/>
      <c r="AC2" s="5269"/>
    </row>
    <row r="3" spans="1:29" ht="26.25" thickBot="1">
      <c r="A3" s="4242"/>
      <c r="B3" s="4293" t="s">
        <v>2868</v>
      </c>
      <c r="C3" s="4290" t="s">
        <v>1485</v>
      </c>
      <c r="D3" s="4290" t="s">
        <v>1149</v>
      </c>
      <c r="E3" s="4332" t="s">
        <v>76</v>
      </c>
      <c r="F3" s="4290" t="s">
        <v>1485</v>
      </c>
      <c r="G3" s="4290" t="s">
        <v>1149</v>
      </c>
      <c r="H3" s="4332" t="s">
        <v>76</v>
      </c>
      <c r="I3" s="4290" t="s">
        <v>1485</v>
      </c>
      <c r="J3" s="4290" t="s">
        <v>1149</v>
      </c>
      <c r="K3" s="4332" t="s">
        <v>76</v>
      </c>
      <c r="L3" s="4290" t="s">
        <v>1485</v>
      </c>
      <c r="M3" s="4290" t="s">
        <v>1149</v>
      </c>
      <c r="N3" s="4332" t="s">
        <v>76</v>
      </c>
      <c r="O3" s="4290" t="s">
        <v>1485</v>
      </c>
      <c r="P3" s="4290" t="s">
        <v>1149</v>
      </c>
      <c r="Q3" s="4332" t="s">
        <v>76</v>
      </c>
      <c r="R3" s="4290" t="s">
        <v>1485</v>
      </c>
      <c r="S3" s="4290" t="s">
        <v>1149</v>
      </c>
      <c r="T3" s="4332" t="s">
        <v>76</v>
      </c>
      <c r="U3" s="4290" t="s">
        <v>1485</v>
      </c>
      <c r="V3" s="4290" t="s">
        <v>1149</v>
      </c>
      <c r="W3" s="4332" t="s">
        <v>76</v>
      </c>
      <c r="X3" s="4290" t="s">
        <v>1485</v>
      </c>
      <c r="Y3" s="4290" t="s">
        <v>1149</v>
      </c>
      <c r="Z3" s="4332" t="s">
        <v>76</v>
      </c>
      <c r="AA3" s="4290" t="s">
        <v>1485</v>
      </c>
      <c r="AB3" s="4290" t="s">
        <v>1149</v>
      </c>
      <c r="AC3" s="4332" t="s">
        <v>76</v>
      </c>
    </row>
    <row r="4" spans="1:29" ht="18.75">
      <c r="A4" s="4242"/>
      <c r="B4" s="4291" t="s">
        <v>1150</v>
      </c>
      <c r="C4" s="4286">
        <v>54</v>
      </c>
      <c r="D4" s="4287">
        <v>232</v>
      </c>
      <c r="E4" s="4292">
        <f>C4/D4</f>
        <v>0.23275862068965517</v>
      </c>
      <c r="F4" s="4286">
        <v>72</v>
      </c>
      <c r="G4" s="4287">
        <v>277</v>
      </c>
      <c r="H4" s="4292">
        <f>F4/G4</f>
        <v>0.25992779783393499</v>
      </c>
      <c r="I4" s="4286">
        <v>58</v>
      </c>
      <c r="J4" s="4287">
        <v>258</v>
      </c>
      <c r="K4" s="4292">
        <f>I4/J4</f>
        <v>0.22480620155038761</v>
      </c>
      <c r="L4" s="4286">
        <v>82</v>
      </c>
      <c r="M4" s="4287">
        <v>361</v>
      </c>
      <c r="N4" s="4292">
        <f>L4/M4</f>
        <v>0.22714681440443213</v>
      </c>
      <c r="O4" s="4286">
        <v>91</v>
      </c>
      <c r="P4" s="4287">
        <v>341</v>
      </c>
      <c r="Q4" s="4292">
        <f>O4/P4</f>
        <v>0.26686217008797652</v>
      </c>
      <c r="R4" s="4286">
        <v>73</v>
      </c>
      <c r="S4" s="4287">
        <v>529</v>
      </c>
      <c r="T4" s="4292">
        <f>R4/S4</f>
        <v>0.13799621928166353</v>
      </c>
      <c r="U4" s="4286">
        <v>70</v>
      </c>
      <c r="V4" s="4287">
        <v>347</v>
      </c>
      <c r="W4" s="4292">
        <f>U4/V4</f>
        <v>0.20172910662824209</v>
      </c>
      <c r="X4" s="4286">
        <v>99</v>
      </c>
      <c r="Y4" s="4287">
        <v>324</v>
      </c>
      <c r="Z4" s="4292">
        <f>X4/Y4</f>
        <v>0.30555555555555558</v>
      </c>
      <c r="AA4" s="4286">
        <v>97</v>
      </c>
      <c r="AB4" s="4287">
        <v>284</v>
      </c>
      <c r="AC4" s="4292">
        <f>AA4/AB4</f>
        <v>0.34154929577464788</v>
      </c>
    </row>
    <row r="5" spans="1:29" ht="18.75">
      <c r="A5" s="4242"/>
      <c r="B5" s="1545" t="s">
        <v>1151</v>
      </c>
      <c r="C5" s="1546">
        <v>4</v>
      </c>
      <c r="D5" s="1542">
        <v>36</v>
      </c>
      <c r="E5" s="1566">
        <f t="shared" ref="E5:E68" si="0">C5/D5</f>
        <v>0.1111111111111111</v>
      </c>
      <c r="F5" s="1546">
        <v>13</v>
      </c>
      <c r="G5" s="1542">
        <v>77</v>
      </c>
      <c r="H5" s="1566">
        <f t="shared" ref="H5:H68" si="1">F5/G5</f>
        <v>0.16883116883116883</v>
      </c>
      <c r="I5" s="1546">
        <v>9</v>
      </c>
      <c r="J5" s="1542">
        <v>32</v>
      </c>
      <c r="K5" s="1566">
        <f t="shared" ref="K5:K68" si="2">I5/J5</f>
        <v>0.28125</v>
      </c>
      <c r="L5" s="1546">
        <v>8</v>
      </c>
      <c r="M5" s="1542">
        <v>61</v>
      </c>
      <c r="N5" s="1566">
        <f t="shared" ref="N5:N68" si="3">L5/M5</f>
        <v>0.13114754098360656</v>
      </c>
      <c r="O5" s="1546">
        <v>7</v>
      </c>
      <c r="P5" s="1542">
        <v>38</v>
      </c>
      <c r="Q5" s="1566">
        <f t="shared" ref="Q5:Q68" si="4">O5/P5</f>
        <v>0.18421052631578946</v>
      </c>
      <c r="R5" s="1546">
        <v>15</v>
      </c>
      <c r="S5" s="1542">
        <v>42</v>
      </c>
      <c r="T5" s="1566">
        <f t="shared" ref="T5:T52" si="5">R5/S5</f>
        <v>0.35714285714285715</v>
      </c>
      <c r="U5" s="1546">
        <v>8</v>
      </c>
      <c r="V5" s="1542">
        <v>90</v>
      </c>
      <c r="W5" s="1566">
        <f t="shared" ref="W5:W52" si="6">U5/V5</f>
        <v>8.8888888888888892E-2</v>
      </c>
      <c r="X5" s="1546">
        <v>5</v>
      </c>
      <c r="Y5" s="1542">
        <v>105</v>
      </c>
      <c r="Z5" s="1566">
        <f t="shared" ref="Z5:Z52" si="7">X5/Y5</f>
        <v>4.7619047619047616E-2</v>
      </c>
      <c r="AA5" s="1546">
        <v>14</v>
      </c>
      <c r="AB5" s="1542">
        <v>114</v>
      </c>
      <c r="AC5" s="1566">
        <f t="shared" ref="AC5:AC52" si="8">AA5/AB5</f>
        <v>0.12280701754385964</v>
      </c>
    </row>
    <row r="6" spans="1:29" ht="18.75">
      <c r="A6" s="4242"/>
      <c r="B6" s="1545" t="s">
        <v>1152</v>
      </c>
      <c r="C6" s="1546">
        <v>38</v>
      </c>
      <c r="D6" s="1542">
        <v>111</v>
      </c>
      <c r="E6" s="1566">
        <f t="shared" si="0"/>
        <v>0.34234234234234234</v>
      </c>
      <c r="F6" s="1546">
        <v>42</v>
      </c>
      <c r="G6" s="1542">
        <v>109</v>
      </c>
      <c r="H6" s="1566">
        <f t="shared" si="1"/>
        <v>0.38532110091743121</v>
      </c>
      <c r="I6" s="1546">
        <v>31</v>
      </c>
      <c r="J6" s="1542">
        <v>70</v>
      </c>
      <c r="K6" s="1566">
        <f t="shared" si="2"/>
        <v>0.44285714285714284</v>
      </c>
      <c r="L6" s="1546">
        <v>12</v>
      </c>
      <c r="M6" s="1542">
        <v>60</v>
      </c>
      <c r="N6" s="1566">
        <f t="shared" si="3"/>
        <v>0.2</v>
      </c>
      <c r="O6" s="1546">
        <v>40</v>
      </c>
      <c r="P6" s="1542">
        <v>93</v>
      </c>
      <c r="Q6" s="1566">
        <f t="shared" si="4"/>
        <v>0.43010752688172044</v>
      </c>
      <c r="R6" s="1546">
        <v>34</v>
      </c>
      <c r="S6" s="1542">
        <v>123</v>
      </c>
      <c r="T6" s="1566">
        <f t="shared" si="5"/>
        <v>0.27642276422764228</v>
      </c>
      <c r="U6" s="1546">
        <v>46</v>
      </c>
      <c r="V6" s="1542">
        <v>176</v>
      </c>
      <c r="W6" s="1566">
        <f t="shared" si="6"/>
        <v>0.26136363636363635</v>
      </c>
      <c r="X6" s="1546">
        <v>37</v>
      </c>
      <c r="Y6" s="1542">
        <v>169</v>
      </c>
      <c r="Z6" s="1566">
        <f t="shared" si="7"/>
        <v>0.21893491124260356</v>
      </c>
      <c r="AA6" s="1546">
        <v>37</v>
      </c>
      <c r="AB6" s="1542">
        <v>163</v>
      </c>
      <c r="AC6" s="1566">
        <f t="shared" si="8"/>
        <v>0.22699386503067484</v>
      </c>
    </row>
    <row r="7" spans="1:29" ht="18.75">
      <c r="A7" s="4242"/>
      <c r="B7" s="1545" t="s">
        <v>1153</v>
      </c>
      <c r="C7" s="1546">
        <v>21</v>
      </c>
      <c r="D7" s="1542">
        <v>61</v>
      </c>
      <c r="E7" s="1566">
        <f t="shared" si="0"/>
        <v>0.34426229508196721</v>
      </c>
      <c r="F7" s="1546">
        <v>19</v>
      </c>
      <c r="G7" s="1542">
        <v>118</v>
      </c>
      <c r="H7" s="1566">
        <f t="shared" si="1"/>
        <v>0.16101694915254236</v>
      </c>
      <c r="I7" s="1546">
        <v>26</v>
      </c>
      <c r="J7" s="1542">
        <v>85</v>
      </c>
      <c r="K7" s="1566">
        <f t="shared" si="2"/>
        <v>0.30588235294117649</v>
      </c>
      <c r="L7" s="1546">
        <v>37</v>
      </c>
      <c r="M7" s="1542">
        <v>94</v>
      </c>
      <c r="N7" s="1566">
        <f t="shared" si="3"/>
        <v>0.39361702127659576</v>
      </c>
      <c r="O7" s="1546">
        <v>33</v>
      </c>
      <c r="P7" s="1542">
        <v>69</v>
      </c>
      <c r="Q7" s="1566">
        <f t="shared" si="4"/>
        <v>0.47826086956521741</v>
      </c>
      <c r="R7" s="1546">
        <v>40</v>
      </c>
      <c r="S7" s="1542">
        <v>94</v>
      </c>
      <c r="T7" s="1566">
        <f t="shared" si="5"/>
        <v>0.42553191489361702</v>
      </c>
      <c r="U7" s="1546">
        <v>31</v>
      </c>
      <c r="V7" s="1542">
        <v>96</v>
      </c>
      <c r="W7" s="1566">
        <f t="shared" si="6"/>
        <v>0.32291666666666669</v>
      </c>
      <c r="X7" s="1546">
        <v>40</v>
      </c>
      <c r="Y7" s="1542">
        <v>83</v>
      </c>
      <c r="Z7" s="1566">
        <f t="shared" si="7"/>
        <v>0.48192771084337349</v>
      </c>
      <c r="AA7" s="1546">
        <v>18</v>
      </c>
      <c r="AB7" s="1542">
        <v>86</v>
      </c>
      <c r="AC7" s="1566">
        <f t="shared" si="8"/>
        <v>0.20930232558139536</v>
      </c>
    </row>
    <row r="8" spans="1:29" ht="18.75">
      <c r="A8" s="4242"/>
      <c r="B8" s="1555" t="s">
        <v>1154</v>
      </c>
      <c r="C8" s="1556">
        <v>11</v>
      </c>
      <c r="D8" s="1557">
        <v>45</v>
      </c>
      <c r="E8" s="1567">
        <f t="shared" si="0"/>
        <v>0.24444444444444444</v>
      </c>
      <c r="F8" s="1556">
        <v>7</v>
      </c>
      <c r="G8" s="1557">
        <v>49</v>
      </c>
      <c r="H8" s="1567">
        <f t="shared" si="1"/>
        <v>0.14285714285714285</v>
      </c>
      <c r="I8" s="1556">
        <v>3</v>
      </c>
      <c r="J8" s="1557">
        <v>15</v>
      </c>
      <c r="K8" s="1567">
        <f t="shared" si="2"/>
        <v>0.2</v>
      </c>
      <c r="L8" s="1556">
        <v>19</v>
      </c>
      <c r="M8" s="1557">
        <v>84</v>
      </c>
      <c r="N8" s="1567">
        <f t="shared" si="3"/>
        <v>0.22619047619047619</v>
      </c>
      <c r="O8" s="1556">
        <v>11</v>
      </c>
      <c r="P8" s="1557">
        <v>45</v>
      </c>
      <c r="Q8" s="1567">
        <f t="shared" si="4"/>
        <v>0.24444444444444444</v>
      </c>
      <c r="R8" s="1556">
        <v>17</v>
      </c>
      <c r="S8" s="1557">
        <v>69</v>
      </c>
      <c r="T8" s="1567">
        <f t="shared" si="5"/>
        <v>0.24637681159420291</v>
      </c>
      <c r="U8" s="1556">
        <v>5</v>
      </c>
      <c r="V8" s="1557">
        <v>80</v>
      </c>
      <c r="W8" s="1567">
        <f t="shared" si="6"/>
        <v>6.25E-2</v>
      </c>
      <c r="X8" s="1556">
        <v>6</v>
      </c>
      <c r="Y8" s="1557">
        <v>53</v>
      </c>
      <c r="Z8" s="1567">
        <f t="shared" si="7"/>
        <v>0.11320754716981132</v>
      </c>
      <c r="AA8" s="1556">
        <v>14</v>
      </c>
      <c r="AB8" s="1557">
        <v>126</v>
      </c>
      <c r="AC8" s="1567">
        <f t="shared" si="8"/>
        <v>0.1111111111111111</v>
      </c>
    </row>
    <row r="9" spans="1:29" ht="15" customHeight="1">
      <c r="A9" s="4242"/>
      <c r="B9" s="4179" t="s">
        <v>4</v>
      </c>
      <c r="C9" s="1559">
        <f t="shared" ref="C9" si="9">SUM(C4:C8)</f>
        <v>128</v>
      </c>
      <c r="D9" s="1560">
        <v>485</v>
      </c>
      <c r="E9" s="1568">
        <f t="shared" si="0"/>
        <v>0.26391752577319588</v>
      </c>
      <c r="F9" s="1559">
        <v>153</v>
      </c>
      <c r="G9" s="1560">
        <v>630</v>
      </c>
      <c r="H9" s="1568">
        <f t="shared" si="1"/>
        <v>0.24285714285714285</v>
      </c>
      <c r="I9" s="1559">
        <v>127</v>
      </c>
      <c r="J9" s="1560">
        <f t="shared" ref="J9" si="10">SUM(J4:J8)</f>
        <v>460</v>
      </c>
      <c r="K9" s="1568">
        <f t="shared" si="2"/>
        <v>0.27608695652173915</v>
      </c>
      <c r="L9" s="1559">
        <v>158</v>
      </c>
      <c r="M9" s="1560">
        <f t="shared" ref="M9" si="11">SUM(M4:M8)</f>
        <v>660</v>
      </c>
      <c r="N9" s="1568">
        <f t="shared" si="3"/>
        <v>0.23939393939393938</v>
      </c>
      <c r="O9" s="1559">
        <f>SUM(O4:O8)</f>
        <v>182</v>
      </c>
      <c r="P9" s="1560">
        <f t="shared" ref="P9" si="12">SUM(P4:P8)</f>
        <v>586</v>
      </c>
      <c r="Q9" s="1568">
        <f t="shared" si="4"/>
        <v>0.31058020477815701</v>
      </c>
      <c r="R9" s="1559">
        <v>179</v>
      </c>
      <c r="S9" s="1560">
        <v>857</v>
      </c>
      <c r="T9" s="1568">
        <f t="shared" si="5"/>
        <v>0.2088681446907818</v>
      </c>
      <c r="U9" s="1559">
        <v>160</v>
      </c>
      <c r="V9" s="1560">
        <v>789</v>
      </c>
      <c r="W9" s="1568">
        <f t="shared" si="6"/>
        <v>0.20278833967046894</v>
      </c>
      <c r="X9" s="1559">
        <v>187</v>
      </c>
      <c r="Y9" s="1560">
        <v>734</v>
      </c>
      <c r="Z9" s="1568">
        <f t="shared" si="7"/>
        <v>0.25476839237057219</v>
      </c>
      <c r="AA9" s="1559">
        <v>180</v>
      </c>
      <c r="AB9" s="1560">
        <v>773</v>
      </c>
      <c r="AC9" s="1568">
        <f t="shared" si="8"/>
        <v>0.23285899094437257</v>
      </c>
    </row>
    <row r="10" spans="1:29" ht="18.75">
      <c r="A10" s="4242"/>
      <c r="B10" s="1541" t="s">
        <v>1155</v>
      </c>
      <c r="C10" s="1548"/>
      <c r="D10" s="1543">
        <v>67</v>
      </c>
      <c r="E10" s="1569">
        <f t="shared" si="0"/>
        <v>0</v>
      </c>
      <c r="F10" s="1548">
        <v>3</v>
      </c>
      <c r="G10" s="1543">
        <v>77</v>
      </c>
      <c r="H10" s="1569">
        <f t="shared" si="1"/>
        <v>3.896103896103896E-2</v>
      </c>
      <c r="I10" s="1548">
        <v>15</v>
      </c>
      <c r="J10" s="1543">
        <v>73</v>
      </c>
      <c r="K10" s="1569">
        <f t="shared" si="2"/>
        <v>0.20547945205479451</v>
      </c>
      <c r="L10" s="1548">
        <v>11</v>
      </c>
      <c r="M10" s="1543">
        <v>85</v>
      </c>
      <c r="N10" s="1569">
        <f t="shared" si="3"/>
        <v>0.12941176470588237</v>
      </c>
      <c r="O10" s="1548">
        <v>0</v>
      </c>
      <c r="P10" s="1543">
        <v>104</v>
      </c>
      <c r="Q10" s="1569">
        <f t="shared" si="4"/>
        <v>0</v>
      </c>
      <c r="R10" s="1548"/>
      <c r="S10" s="1543">
        <v>77</v>
      </c>
      <c r="T10" s="1569">
        <f t="shared" si="5"/>
        <v>0</v>
      </c>
      <c r="U10" s="1548"/>
      <c r="V10" s="1543">
        <v>61</v>
      </c>
      <c r="W10" s="1569">
        <f t="shared" si="6"/>
        <v>0</v>
      </c>
      <c r="X10" s="1548">
        <v>2</v>
      </c>
      <c r="Y10" s="1543">
        <v>57</v>
      </c>
      <c r="Z10" s="1569">
        <f t="shared" si="7"/>
        <v>3.5087719298245612E-2</v>
      </c>
      <c r="AA10" s="1548">
        <v>2</v>
      </c>
      <c r="AB10" s="1543">
        <v>97</v>
      </c>
      <c r="AC10" s="1569">
        <f t="shared" si="8"/>
        <v>2.0618556701030927E-2</v>
      </c>
    </row>
    <row r="11" spans="1:29" ht="18.75">
      <c r="A11" s="4242"/>
      <c r="B11" s="1545" t="s">
        <v>1156</v>
      </c>
      <c r="C11" s="1548">
        <v>1</v>
      </c>
      <c r="D11" s="1543">
        <v>65</v>
      </c>
      <c r="E11" s="1569">
        <f t="shared" si="0"/>
        <v>1.5384615384615385E-2</v>
      </c>
      <c r="F11" s="1548"/>
      <c r="G11" s="1543">
        <v>77</v>
      </c>
      <c r="H11" s="1569">
        <f t="shared" si="1"/>
        <v>0</v>
      </c>
      <c r="I11" s="1548"/>
      <c r="J11" s="1543">
        <v>105</v>
      </c>
      <c r="K11" s="1569">
        <f t="shared" si="2"/>
        <v>0</v>
      </c>
      <c r="L11" s="1548"/>
      <c r="M11" s="1543">
        <v>89</v>
      </c>
      <c r="N11" s="1569">
        <f t="shared" si="3"/>
        <v>0</v>
      </c>
      <c r="O11" s="1548">
        <v>1</v>
      </c>
      <c r="P11" s="1543">
        <v>59</v>
      </c>
      <c r="Q11" s="1569">
        <f t="shared" si="4"/>
        <v>1.6949152542372881E-2</v>
      </c>
      <c r="R11" s="1548"/>
      <c r="S11" s="1543">
        <v>76</v>
      </c>
      <c r="T11" s="1569">
        <f t="shared" si="5"/>
        <v>0</v>
      </c>
      <c r="U11" s="1548">
        <v>1</v>
      </c>
      <c r="V11" s="1543">
        <v>71</v>
      </c>
      <c r="W11" s="1569">
        <f t="shared" si="6"/>
        <v>1.4084507042253521E-2</v>
      </c>
      <c r="X11" s="1548">
        <v>1</v>
      </c>
      <c r="Y11" s="1543">
        <v>70</v>
      </c>
      <c r="Z11" s="1569">
        <f t="shared" si="7"/>
        <v>1.4285714285714285E-2</v>
      </c>
      <c r="AA11" s="1548">
        <v>0</v>
      </c>
      <c r="AB11" s="1543">
        <v>46</v>
      </c>
      <c r="AC11" s="1569">
        <f t="shared" si="8"/>
        <v>0</v>
      </c>
    </row>
    <row r="12" spans="1:29" ht="18.75">
      <c r="A12" s="4242"/>
      <c r="B12" s="1545" t="s">
        <v>1157</v>
      </c>
      <c r="C12" s="1548"/>
      <c r="D12" s="1543">
        <v>104</v>
      </c>
      <c r="E12" s="1569">
        <f t="shared" si="0"/>
        <v>0</v>
      </c>
      <c r="F12" s="1548">
        <v>1</v>
      </c>
      <c r="G12" s="1543">
        <v>133</v>
      </c>
      <c r="H12" s="1569">
        <f t="shared" si="1"/>
        <v>7.5187969924812026E-3</v>
      </c>
      <c r="I12" s="1548">
        <v>19</v>
      </c>
      <c r="J12" s="1543">
        <v>131</v>
      </c>
      <c r="K12" s="1569">
        <f t="shared" si="2"/>
        <v>0.14503816793893129</v>
      </c>
      <c r="L12" s="1548">
        <v>12</v>
      </c>
      <c r="M12" s="1543">
        <v>100</v>
      </c>
      <c r="N12" s="1569">
        <f t="shared" si="3"/>
        <v>0.12</v>
      </c>
      <c r="O12" s="1548">
        <v>0</v>
      </c>
      <c r="P12" s="1543">
        <v>89</v>
      </c>
      <c r="Q12" s="1569">
        <f t="shared" si="4"/>
        <v>0</v>
      </c>
      <c r="R12" s="1548"/>
      <c r="S12" s="1543">
        <v>71</v>
      </c>
      <c r="T12" s="1569">
        <f t="shared" si="5"/>
        <v>0</v>
      </c>
      <c r="U12" s="1548">
        <v>3</v>
      </c>
      <c r="V12" s="1543">
        <v>100</v>
      </c>
      <c r="W12" s="1569">
        <f t="shared" si="6"/>
        <v>0.03</v>
      </c>
      <c r="X12" s="1548">
        <v>6</v>
      </c>
      <c r="Y12" s="1543">
        <v>98</v>
      </c>
      <c r="Z12" s="1569">
        <f t="shared" si="7"/>
        <v>6.1224489795918366E-2</v>
      </c>
      <c r="AA12" s="1548">
        <v>3</v>
      </c>
      <c r="AB12" s="1543">
        <v>113</v>
      </c>
      <c r="AC12" s="1569">
        <f t="shared" si="8"/>
        <v>2.6548672566371681E-2</v>
      </c>
    </row>
    <row r="13" spans="1:29" ht="18.75">
      <c r="A13" s="4242"/>
      <c r="B13" s="1545" t="s">
        <v>854</v>
      </c>
      <c r="C13" s="1548"/>
      <c r="D13" s="1543">
        <v>116</v>
      </c>
      <c r="E13" s="1569">
        <f t="shared" si="0"/>
        <v>0</v>
      </c>
      <c r="F13" s="1548"/>
      <c r="G13" s="1543">
        <v>106</v>
      </c>
      <c r="H13" s="1569">
        <f t="shared" si="1"/>
        <v>0</v>
      </c>
      <c r="I13" s="1548"/>
      <c r="J13" s="1543">
        <v>118</v>
      </c>
      <c r="K13" s="1569">
        <f t="shared" si="2"/>
        <v>0</v>
      </c>
      <c r="L13" s="1548"/>
      <c r="M13" s="1543">
        <v>92</v>
      </c>
      <c r="N13" s="1569">
        <f t="shared" si="3"/>
        <v>0</v>
      </c>
      <c r="O13" s="1548">
        <v>0</v>
      </c>
      <c r="P13" s="1543">
        <v>95</v>
      </c>
      <c r="Q13" s="1569">
        <f t="shared" si="4"/>
        <v>0</v>
      </c>
      <c r="R13" s="1548"/>
      <c r="S13" s="1543">
        <v>119</v>
      </c>
      <c r="T13" s="1569">
        <f t="shared" si="5"/>
        <v>0</v>
      </c>
      <c r="U13" s="1548"/>
      <c r="V13" s="1543">
        <v>99</v>
      </c>
      <c r="W13" s="1569">
        <f t="shared" si="6"/>
        <v>0</v>
      </c>
      <c r="X13" s="1548">
        <v>1</v>
      </c>
      <c r="Y13" s="1543">
        <v>74</v>
      </c>
      <c r="Z13" s="1569">
        <f t="shared" si="7"/>
        <v>1.3513513513513514E-2</v>
      </c>
      <c r="AA13" s="1548">
        <v>2</v>
      </c>
      <c r="AB13" s="1543">
        <v>102</v>
      </c>
      <c r="AC13" s="1569">
        <f t="shared" si="8"/>
        <v>1.9607843137254902E-2</v>
      </c>
    </row>
    <row r="14" spans="1:29" ht="18.75">
      <c r="A14" s="4242"/>
      <c r="B14" s="1545" t="s">
        <v>1158</v>
      </c>
      <c r="C14" s="1550"/>
      <c r="D14" s="1544">
        <v>144</v>
      </c>
      <c r="E14" s="1570">
        <f t="shared" si="0"/>
        <v>0</v>
      </c>
      <c r="F14" s="1550"/>
      <c r="G14" s="1544">
        <v>80</v>
      </c>
      <c r="H14" s="1570">
        <f t="shared" si="1"/>
        <v>0</v>
      </c>
      <c r="I14" s="1550">
        <v>1</v>
      </c>
      <c r="J14" s="1544">
        <v>50</v>
      </c>
      <c r="K14" s="1570">
        <f t="shared" si="2"/>
        <v>0.02</v>
      </c>
      <c r="L14" s="1550"/>
      <c r="M14" s="1544">
        <v>107</v>
      </c>
      <c r="N14" s="1570">
        <f t="shared" si="3"/>
        <v>0</v>
      </c>
      <c r="O14" s="1550">
        <v>0</v>
      </c>
      <c r="P14" s="1544">
        <v>83</v>
      </c>
      <c r="Q14" s="1570">
        <f t="shared" si="4"/>
        <v>0</v>
      </c>
      <c r="R14" s="1550">
        <v>1</v>
      </c>
      <c r="S14" s="1544">
        <v>98</v>
      </c>
      <c r="T14" s="1570">
        <f t="shared" si="5"/>
        <v>1.020408163265306E-2</v>
      </c>
      <c r="U14" s="1550">
        <v>1</v>
      </c>
      <c r="V14" s="1544">
        <v>71</v>
      </c>
      <c r="W14" s="1570">
        <f t="shared" si="6"/>
        <v>1.4084507042253521E-2</v>
      </c>
      <c r="X14" s="1550"/>
      <c r="Y14" s="1544">
        <v>86</v>
      </c>
      <c r="Z14" s="1570">
        <f t="shared" si="7"/>
        <v>0</v>
      </c>
      <c r="AA14" s="1550">
        <v>0</v>
      </c>
      <c r="AB14" s="1544">
        <v>92</v>
      </c>
      <c r="AC14" s="1570">
        <f t="shared" si="8"/>
        <v>0</v>
      </c>
    </row>
    <row r="15" spans="1:29" ht="15" customHeight="1">
      <c r="A15" s="4242"/>
      <c r="B15" s="4179" t="s">
        <v>16</v>
      </c>
      <c r="C15" s="1559">
        <f t="shared" ref="C15" si="13">SUM(C10:C14)</f>
        <v>1</v>
      </c>
      <c r="D15" s="1560">
        <v>496</v>
      </c>
      <c r="E15" s="1568">
        <f t="shared" si="0"/>
        <v>2.0161290322580645E-3</v>
      </c>
      <c r="F15" s="1559">
        <v>4</v>
      </c>
      <c r="G15" s="1560">
        <v>473</v>
      </c>
      <c r="H15" s="1568">
        <f t="shared" si="1"/>
        <v>8.4566596194503175E-3</v>
      </c>
      <c r="I15" s="1559">
        <v>35</v>
      </c>
      <c r="J15" s="1560">
        <f t="shared" ref="J15" si="14">SUM(J10:J14)</f>
        <v>477</v>
      </c>
      <c r="K15" s="1568">
        <f t="shared" si="2"/>
        <v>7.337526205450734E-2</v>
      </c>
      <c r="L15" s="1559">
        <v>23</v>
      </c>
      <c r="M15" s="1560">
        <f t="shared" ref="M15" si="15">SUM(M10:M14)</f>
        <v>473</v>
      </c>
      <c r="N15" s="1568">
        <f t="shared" si="3"/>
        <v>4.8625792811839326E-2</v>
      </c>
      <c r="O15" s="1559">
        <f>SUM(O10:O14)</f>
        <v>1</v>
      </c>
      <c r="P15" s="1560">
        <f t="shared" ref="P15" si="16">SUM(P10:P14)</f>
        <v>430</v>
      </c>
      <c r="Q15" s="1568">
        <f t="shared" si="4"/>
        <v>2.3255813953488372E-3</v>
      </c>
      <c r="R15" s="1559">
        <v>1</v>
      </c>
      <c r="S15" s="1560">
        <v>441</v>
      </c>
      <c r="T15" s="1568">
        <f t="shared" si="5"/>
        <v>2.2675736961451248E-3</v>
      </c>
      <c r="U15" s="1559">
        <v>5</v>
      </c>
      <c r="V15" s="1560">
        <v>402</v>
      </c>
      <c r="W15" s="1568">
        <f t="shared" si="6"/>
        <v>1.2437810945273632E-2</v>
      </c>
      <c r="X15" s="1559">
        <v>10</v>
      </c>
      <c r="Y15" s="1560">
        <v>385</v>
      </c>
      <c r="Z15" s="1568">
        <f t="shared" si="7"/>
        <v>2.5974025974025976E-2</v>
      </c>
      <c r="AA15" s="1559">
        <v>7</v>
      </c>
      <c r="AB15" s="1560">
        <v>450</v>
      </c>
      <c r="AC15" s="1568">
        <f t="shared" si="8"/>
        <v>1.5555555555555555E-2</v>
      </c>
    </row>
    <row r="16" spans="1:29" ht="18.75">
      <c r="A16" s="4242"/>
      <c r="B16" s="1545" t="s">
        <v>1160</v>
      </c>
      <c r="C16" s="1548">
        <v>1</v>
      </c>
      <c r="D16" s="1543">
        <v>48</v>
      </c>
      <c r="E16" s="1569">
        <f t="shared" si="0"/>
        <v>2.0833333333333332E-2</v>
      </c>
      <c r="F16" s="1548">
        <v>2</v>
      </c>
      <c r="G16" s="1543">
        <v>40</v>
      </c>
      <c r="H16" s="1569">
        <f t="shared" si="1"/>
        <v>0.05</v>
      </c>
      <c r="I16" s="1548"/>
      <c r="J16" s="1543">
        <v>36</v>
      </c>
      <c r="K16" s="1569">
        <f t="shared" si="2"/>
        <v>0</v>
      </c>
      <c r="L16" s="1548">
        <v>1</v>
      </c>
      <c r="M16" s="1543">
        <v>60</v>
      </c>
      <c r="N16" s="1569">
        <f t="shared" si="3"/>
        <v>1.6666666666666666E-2</v>
      </c>
      <c r="O16" s="1548">
        <v>1</v>
      </c>
      <c r="P16" s="1543">
        <v>90</v>
      </c>
      <c r="Q16" s="1569">
        <f t="shared" si="4"/>
        <v>1.1111111111111112E-2</v>
      </c>
      <c r="R16" s="1548"/>
      <c r="S16" s="1543">
        <v>43</v>
      </c>
      <c r="T16" s="1569">
        <f t="shared" si="5"/>
        <v>0</v>
      </c>
      <c r="U16" s="1548"/>
      <c r="V16" s="1543">
        <v>59</v>
      </c>
      <c r="W16" s="1569">
        <f t="shared" si="6"/>
        <v>0</v>
      </c>
      <c r="X16" s="1548"/>
      <c r="Y16" s="1543">
        <v>27</v>
      </c>
      <c r="Z16" s="1569">
        <f t="shared" si="7"/>
        <v>0</v>
      </c>
      <c r="AA16" s="1548">
        <v>0</v>
      </c>
      <c r="AB16" s="1543">
        <v>55</v>
      </c>
      <c r="AC16" s="1569">
        <f t="shared" si="8"/>
        <v>0</v>
      </c>
    </row>
    <row r="17" spans="1:29" ht="18.75">
      <c r="A17" s="4242"/>
      <c r="B17" s="1545" t="s">
        <v>1161</v>
      </c>
      <c r="C17" s="1548"/>
      <c r="D17" s="1543">
        <v>18</v>
      </c>
      <c r="E17" s="1569">
        <f t="shared" si="0"/>
        <v>0</v>
      </c>
      <c r="F17" s="1548">
        <v>2</v>
      </c>
      <c r="G17" s="1543">
        <v>24</v>
      </c>
      <c r="H17" s="1569">
        <f t="shared" si="1"/>
        <v>8.3333333333333329E-2</v>
      </c>
      <c r="I17" s="1548">
        <v>3</v>
      </c>
      <c r="J17" s="1543">
        <v>45</v>
      </c>
      <c r="K17" s="1569">
        <f t="shared" si="2"/>
        <v>6.6666666666666666E-2</v>
      </c>
      <c r="L17" s="1548"/>
      <c r="M17" s="1543">
        <v>42</v>
      </c>
      <c r="N17" s="1569">
        <f t="shared" si="3"/>
        <v>0</v>
      </c>
      <c r="O17" s="1548">
        <v>2</v>
      </c>
      <c r="P17" s="1543">
        <v>50</v>
      </c>
      <c r="Q17" s="1569">
        <f t="shared" si="4"/>
        <v>0.04</v>
      </c>
      <c r="R17" s="1548"/>
      <c r="S17" s="1543">
        <v>41</v>
      </c>
      <c r="T17" s="1569">
        <f t="shared" si="5"/>
        <v>0</v>
      </c>
      <c r="U17" s="1548"/>
      <c r="V17" s="1543">
        <v>54</v>
      </c>
      <c r="W17" s="1569">
        <f t="shared" si="6"/>
        <v>0</v>
      </c>
      <c r="X17" s="1548"/>
      <c r="Y17" s="1543">
        <v>27</v>
      </c>
      <c r="Z17" s="1569">
        <f t="shared" si="7"/>
        <v>0</v>
      </c>
      <c r="AA17" s="1548">
        <v>1</v>
      </c>
      <c r="AB17" s="1543">
        <v>21</v>
      </c>
      <c r="AC17" s="1569">
        <f t="shared" si="8"/>
        <v>4.7619047619047616E-2</v>
      </c>
    </row>
    <row r="18" spans="1:29" ht="18.75">
      <c r="A18" s="4242"/>
      <c r="B18" s="1545" t="s">
        <v>1162</v>
      </c>
      <c r="C18" s="1548">
        <v>2</v>
      </c>
      <c r="D18" s="1543">
        <v>29</v>
      </c>
      <c r="E18" s="1569">
        <f t="shared" si="0"/>
        <v>6.8965517241379309E-2</v>
      </c>
      <c r="F18" s="1548"/>
      <c r="G18" s="1543">
        <v>32</v>
      </c>
      <c r="H18" s="1569">
        <f t="shared" si="1"/>
        <v>0</v>
      </c>
      <c r="I18" s="1548"/>
      <c r="J18" s="1543">
        <v>17</v>
      </c>
      <c r="K18" s="1569">
        <f t="shared" si="2"/>
        <v>0</v>
      </c>
      <c r="L18" s="1548">
        <v>1</v>
      </c>
      <c r="M18" s="1543">
        <v>45</v>
      </c>
      <c r="N18" s="1569">
        <f t="shared" si="3"/>
        <v>2.2222222222222223E-2</v>
      </c>
      <c r="O18" s="1548">
        <v>1</v>
      </c>
      <c r="P18" s="1543">
        <v>29</v>
      </c>
      <c r="Q18" s="1569">
        <f t="shared" si="4"/>
        <v>3.4482758620689655E-2</v>
      </c>
      <c r="R18" s="1548">
        <v>1</v>
      </c>
      <c r="S18" s="1543">
        <v>21</v>
      </c>
      <c r="T18" s="1569">
        <f t="shared" si="5"/>
        <v>4.7619047619047616E-2</v>
      </c>
      <c r="U18" s="1548"/>
      <c r="V18" s="1543">
        <v>41</v>
      </c>
      <c r="W18" s="1569">
        <f t="shared" si="6"/>
        <v>0</v>
      </c>
      <c r="X18" s="1548">
        <v>5</v>
      </c>
      <c r="Y18" s="1543">
        <v>54</v>
      </c>
      <c r="Z18" s="1569">
        <f t="shared" si="7"/>
        <v>9.2592592592592587E-2</v>
      </c>
      <c r="AA18" s="1548">
        <v>2</v>
      </c>
      <c r="AB18" s="1543">
        <v>61</v>
      </c>
      <c r="AC18" s="1569">
        <f t="shared" si="8"/>
        <v>3.2786885245901641E-2</v>
      </c>
    </row>
    <row r="19" spans="1:29" ht="18.75">
      <c r="A19" s="4242"/>
      <c r="B19" s="1545" t="s">
        <v>1163</v>
      </c>
      <c r="C19" s="1548"/>
      <c r="D19" s="1543">
        <v>50</v>
      </c>
      <c r="E19" s="1569">
        <f t="shared" si="0"/>
        <v>0</v>
      </c>
      <c r="F19" s="1548">
        <v>1</v>
      </c>
      <c r="G19" s="1543">
        <v>58</v>
      </c>
      <c r="H19" s="1569">
        <f t="shared" si="1"/>
        <v>1.7241379310344827E-2</v>
      </c>
      <c r="I19" s="1548"/>
      <c r="J19" s="1543">
        <v>46</v>
      </c>
      <c r="K19" s="1569">
        <f t="shared" si="2"/>
        <v>0</v>
      </c>
      <c r="L19" s="1548"/>
      <c r="M19" s="1543">
        <v>61</v>
      </c>
      <c r="N19" s="1569">
        <f t="shared" si="3"/>
        <v>0</v>
      </c>
      <c r="O19" s="1548">
        <v>1</v>
      </c>
      <c r="P19" s="1543">
        <v>90</v>
      </c>
      <c r="Q19" s="1569">
        <f t="shared" si="4"/>
        <v>1.1111111111111112E-2</v>
      </c>
      <c r="R19" s="1548">
        <v>1</v>
      </c>
      <c r="S19" s="1543">
        <v>91</v>
      </c>
      <c r="T19" s="1569">
        <f t="shared" si="5"/>
        <v>1.098901098901099E-2</v>
      </c>
      <c r="U19" s="1548">
        <v>4</v>
      </c>
      <c r="V19" s="1543">
        <v>85</v>
      </c>
      <c r="W19" s="1569">
        <f t="shared" si="6"/>
        <v>4.7058823529411764E-2</v>
      </c>
      <c r="X19" s="1548">
        <v>5</v>
      </c>
      <c r="Y19" s="1543">
        <v>83</v>
      </c>
      <c r="Z19" s="1569">
        <f t="shared" si="7"/>
        <v>6.0240963855421686E-2</v>
      </c>
      <c r="AA19" s="1548">
        <v>2</v>
      </c>
      <c r="AB19" s="1543">
        <v>88</v>
      </c>
      <c r="AC19" s="1569">
        <f t="shared" si="8"/>
        <v>2.2727272727272728E-2</v>
      </c>
    </row>
    <row r="20" spans="1:29" ht="15" customHeight="1">
      <c r="A20" s="4242"/>
      <c r="B20" s="4243" t="s">
        <v>21</v>
      </c>
      <c r="C20" s="4244">
        <f t="shared" ref="C20" si="17">SUM(C16:C19)</f>
        <v>3</v>
      </c>
      <c r="D20" s="4245">
        <v>145</v>
      </c>
      <c r="E20" s="4246">
        <f t="shared" si="0"/>
        <v>2.0689655172413793E-2</v>
      </c>
      <c r="F20" s="4244">
        <v>5</v>
      </c>
      <c r="G20" s="4245">
        <v>154</v>
      </c>
      <c r="H20" s="4246">
        <f t="shared" si="1"/>
        <v>3.2467532467532464E-2</v>
      </c>
      <c r="I20" s="4244">
        <v>3</v>
      </c>
      <c r="J20" s="4245">
        <f t="shared" ref="J20" si="18">SUM(J16:J19)</f>
        <v>144</v>
      </c>
      <c r="K20" s="4246">
        <f t="shared" si="2"/>
        <v>2.0833333333333332E-2</v>
      </c>
      <c r="L20" s="4244">
        <v>2</v>
      </c>
      <c r="M20" s="4245">
        <f t="shared" ref="M20" si="19">SUM(M16:M19)</f>
        <v>208</v>
      </c>
      <c r="N20" s="4246">
        <f t="shared" si="3"/>
        <v>9.6153846153846159E-3</v>
      </c>
      <c r="O20" s="4244">
        <f>SUM(O16:O19)</f>
        <v>5</v>
      </c>
      <c r="P20" s="4245">
        <f t="shared" ref="P20" si="20">SUM(P16:P19)</f>
        <v>259</v>
      </c>
      <c r="Q20" s="4246">
        <f t="shared" si="4"/>
        <v>1.9305019305019305E-2</v>
      </c>
      <c r="R20" s="4244">
        <v>2</v>
      </c>
      <c r="S20" s="4245">
        <v>196</v>
      </c>
      <c r="T20" s="4246">
        <f t="shared" si="5"/>
        <v>1.020408163265306E-2</v>
      </c>
      <c r="U20" s="4244">
        <v>4</v>
      </c>
      <c r="V20" s="4245">
        <v>239</v>
      </c>
      <c r="W20" s="4246">
        <f t="shared" si="6"/>
        <v>1.6736401673640166E-2</v>
      </c>
      <c r="X20" s="4244">
        <v>10</v>
      </c>
      <c r="Y20" s="4245">
        <v>191</v>
      </c>
      <c r="Z20" s="4246">
        <f t="shared" si="7"/>
        <v>5.2356020942408377E-2</v>
      </c>
      <c r="AA20" s="4244">
        <v>5</v>
      </c>
      <c r="AB20" s="4245">
        <v>225</v>
      </c>
      <c r="AC20" s="4246">
        <f t="shared" si="8"/>
        <v>2.2222222222222223E-2</v>
      </c>
    </row>
    <row r="21" spans="1:29" ht="15" customHeight="1">
      <c r="A21" s="4242"/>
      <c r="B21" s="4250" t="s">
        <v>1164</v>
      </c>
      <c r="C21" s="4247">
        <f t="shared" ref="C21" si="21">SUM(C20,C15,C9)</f>
        <v>132</v>
      </c>
      <c r="D21" s="4248">
        <v>1126</v>
      </c>
      <c r="E21" s="4249">
        <f t="shared" si="0"/>
        <v>0.11722912966252221</v>
      </c>
      <c r="F21" s="4247">
        <v>162</v>
      </c>
      <c r="G21" s="4248">
        <v>1257</v>
      </c>
      <c r="H21" s="4249">
        <f t="shared" si="1"/>
        <v>0.12887828162291171</v>
      </c>
      <c r="I21" s="4247">
        <v>165</v>
      </c>
      <c r="J21" s="4248">
        <f t="shared" ref="J21" si="22">SUM(J20,J15,J9)</f>
        <v>1081</v>
      </c>
      <c r="K21" s="4249">
        <f t="shared" si="2"/>
        <v>0.15263644773358001</v>
      </c>
      <c r="L21" s="4247">
        <v>183</v>
      </c>
      <c r="M21" s="4248">
        <f t="shared" ref="M21" si="23">SUM(M20,M15,M9)</f>
        <v>1341</v>
      </c>
      <c r="N21" s="4249">
        <f t="shared" si="3"/>
        <v>0.13646532438478748</v>
      </c>
      <c r="O21" s="4247">
        <f>SUM(O9,O15,O20)</f>
        <v>188</v>
      </c>
      <c r="P21" s="4248">
        <f t="shared" ref="P21" si="24">SUM(P20,P15,P9)</f>
        <v>1275</v>
      </c>
      <c r="Q21" s="4249">
        <f t="shared" si="4"/>
        <v>0.14745098039215687</v>
      </c>
      <c r="R21" s="4247">
        <v>182</v>
      </c>
      <c r="S21" s="4248">
        <v>1494</v>
      </c>
      <c r="T21" s="4249">
        <f t="shared" si="5"/>
        <v>0.12182061579651941</v>
      </c>
      <c r="U21" s="4247">
        <v>169</v>
      </c>
      <c r="V21" s="4248">
        <v>1430</v>
      </c>
      <c r="W21" s="4249">
        <f t="shared" si="6"/>
        <v>0.11818181818181818</v>
      </c>
      <c r="X21" s="4247">
        <v>207</v>
      </c>
      <c r="Y21" s="4248">
        <v>1310</v>
      </c>
      <c r="Z21" s="4249">
        <f t="shared" si="7"/>
        <v>0.15801526717557252</v>
      </c>
      <c r="AA21" s="4247">
        <v>192</v>
      </c>
      <c r="AB21" s="4248">
        <v>1448</v>
      </c>
      <c r="AC21" s="4249">
        <f t="shared" si="8"/>
        <v>0.13259668508287292</v>
      </c>
    </row>
    <row r="22" spans="1:29" ht="18.75">
      <c r="A22" s="4242"/>
      <c r="B22" s="1541" t="s">
        <v>1165</v>
      </c>
      <c r="C22" s="1548"/>
      <c r="D22" s="1543">
        <v>41</v>
      </c>
      <c r="E22" s="1569">
        <f t="shared" si="0"/>
        <v>0</v>
      </c>
      <c r="F22" s="1548"/>
      <c r="G22" s="1543">
        <v>37</v>
      </c>
      <c r="H22" s="1569">
        <f t="shared" si="1"/>
        <v>0</v>
      </c>
      <c r="I22" s="1548"/>
      <c r="J22" s="1543">
        <v>16</v>
      </c>
      <c r="K22" s="1569">
        <f t="shared" si="2"/>
        <v>0</v>
      </c>
      <c r="L22" s="1548"/>
      <c r="M22" s="1543">
        <v>62</v>
      </c>
      <c r="N22" s="1569">
        <f t="shared" si="3"/>
        <v>0</v>
      </c>
      <c r="O22" s="1548">
        <v>1</v>
      </c>
      <c r="P22" s="1543">
        <v>28</v>
      </c>
      <c r="Q22" s="1569">
        <f t="shared" si="4"/>
        <v>3.5714285714285712E-2</v>
      </c>
      <c r="R22" s="1548"/>
      <c r="S22" s="1543">
        <v>32</v>
      </c>
      <c r="T22" s="1569">
        <f t="shared" si="5"/>
        <v>0</v>
      </c>
      <c r="U22" s="1548"/>
      <c r="V22" s="1543">
        <v>29</v>
      </c>
      <c r="W22" s="1569">
        <f t="shared" si="6"/>
        <v>0</v>
      </c>
      <c r="X22" s="1548"/>
      <c r="Y22" s="1543">
        <v>16</v>
      </c>
      <c r="Z22" s="1569">
        <f t="shared" si="7"/>
        <v>0</v>
      </c>
      <c r="AA22" s="1548">
        <v>1</v>
      </c>
      <c r="AB22" s="1543">
        <v>28</v>
      </c>
      <c r="AC22" s="1569">
        <f t="shared" si="8"/>
        <v>3.5714285714285712E-2</v>
      </c>
    </row>
    <row r="23" spans="1:29" ht="18.75">
      <c r="A23" s="4242"/>
      <c r="B23" s="1545" t="s">
        <v>1166</v>
      </c>
      <c r="C23" s="1548"/>
      <c r="D23" s="1543">
        <v>7</v>
      </c>
      <c r="E23" s="1569">
        <f t="shared" si="0"/>
        <v>0</v>
      </c>
      <c r="F23" s="1548">
        <v>2</v>
      </c>
      <c r="G23" s="1543">
        <v>14</v>
      </c>
      <c r="H23" s="1569">
        <f t="shared" si="1"/>
        <v>0.14285714285714285</v>
      </c>
      <c r="I23" s="1548">
        <v>3</v>
      </c>
      <c r="J23" s="1543">
        <v>17</v>
      </c>
      <c r="K23" s="1569">
        <f t="shared" si="2"/>
        <v>0.17647058823529413</v>
      </c>
      <c r="L23" s="1548">
        <v>3</v>
      </c>
      <c r="M23" s="1543">
        <v>34</v>
      </c>
      <c r="N23" s="1569">
        <f t="shared" si="3"/>
        <v>8.8235294117647065E-2</v>
      </c>
      <c r="O23" s="1548">
        <v>5</v>
      </c>
      <c r="P23" s="1543">
        <v>34</v>
      </c>
      <c r="Q23" s="1569">
        <f t="shared" si="4"/>
        <v>0.14705882352941177</v>
      </c>
      <c r="R23" s="1548">
        <v>1</v>
      </c>
      <c r="S23" s="1543">
        <v>39</v>
      </c>
      <c r="T23" s="1569">
        <f t="shared" si="5"/>
        <v>2.564102564102564E-2</v>
      </c>
      <c r="U23" s="1548">
        <v>1</v>
      </c>
      <c r="V23" s="1543">
        <v>36</v>
      </c>
      <c r="W23" s="1569">
        <f t="shared" si="6"/>
        <v>2.7777777777777776E-2</v>
      </c>
      <c r="X23" s="1548"/>
      <c r="Y23" s="1543">
        <v>30</v>
      </c>
      <c r="Z23" s="1569">
        <f t="shared" si="7"/>
        <v>0</v>
      </c>
      <c r="AA23" s="1548">
        <v>4</v>
      </c>
      <c r="AB23" s="1543">
        <v>48</v>
      </c>
      <c r="AC23" s="1569">
        <f t="shared" si="8"/>
        <v>8.3333333333333329E-2</v>
      </c>
    </row>
    <row r="24" spans="1:29" ht="18.75">
      <c r="A24" s="4242"/>
      <c r="B24" s="1545" t="s">
        <v>1167</v>
      </c>
      <c r="C24" s="1548">
        <v>7</v>
      </c>
      <c r="D24" s="1543">
        <v>19</v>
      </c>
      <c r="E24" s="1569">
        <f t="shared" si="0"/>
        <v>0.36842105263157893</v>
      </c>
      <c r="F24" s="1548">
        <v>1</v>
      </c>
      <c r="G24" s="1543">
        <v>23</v>
      </c>
      <c r="H24" s="1569">
        <f t="shared" si="1"/>
        <v>4.3478260869565216E-2</v>
      </c>
      <c r="I24" s="1548">
        <v>3</v>
      </c>
      <c r="J24" s="1543">
        <v>70</v>
      </c>
      <c r="K24" s="1569">
        <f t="shared" si="2"/>
        <v>4.2857142857142858E-2</v>
      </c>
      <c r="L24" s="1548">
        <v>9</v>
      </c>
      <c r="M24" s="1543">
        <v>38</v>
      </c>
      <c r="N24" s="1569">
        <f t="shared" si="3"/>
        <v>0.23684210526315788</v>
      </c>
      <c r="O24" s="1548">
        <v>13</v>
      </c>
      <c r="P24" s="1543">
        <v>36</v>
      </c>
      <c r="Q24" s="1569">
        <f t="shared" si="4"/>
        <v>0.3611111111111111</v>
      </c>
      <c r="R24" s="1548">
        <v>5</v>
      </c>
      <c r="S24" s="1543">
        <v>55</v>
      </c>
      <c r="T24" s="1569">
        <f t="shared" si="5"/>
        <v>9.0909090909090912E-2</v>
      </c>
      <c r="U24" s="1548">
        <v>18</v>
      </c>
      <c r="V24" s="1543">
        <v>53</v>
      </c>
      <c r="W24" s="1569">
        <f t="shared" si="6"/>
        <v>0.33962264150943394</v>
      </c>
      <c r="X24" s="1548">
        <v>7</v>
      </c>
      <c r="Y24" s="1543">
        <v>61</v>
      </c>
      <c r="Z24" s="1569">
        <f t="shared" si="7"/>
        <v>0.11475409836065574</v>
      </c>
      <c r="AA24" s="1548">
        <v>11</v>
      </c>
      <c r="AB24" s="1543">
        <v>41</v>
      </c>
      <c r="AC24" s="1569">
        <f t="shared" si="8"/>
        <v>0.26829268292682928</v>
      </c>
    </row>
    <row r="25" spans="1:29" ht="15" customHeight="1">
      <c r="A25" s="4242"/>
      <c r="B25" s="4179" t="s">
        <v>61</v>
      </c>
      <c r="C25" s="1559">
        <f t="shared" ref="C25" si="25">SUM(C22:C24)</f>
        <v>7</v>
      </c>
      <c r="D25" s="1560">
        <v>67</v>
      </c>
      <c r="E25" s="1568">
        <f t="shared" si="0"/>
        <v>0.1044776119402985</v>
      </c>
      <c r="F25" s="1559">
        <v>3</v>
      </c>
      <c r="G25" s="1560">
        <v>74</v>
      </c>
      <c r="H25" s="1568">
        <f t="shared" si="1"/>
        <v>4.0540540540540543E-2</v>
      </c>
      <c r="I25" s="1559">
        <v>6</v>
      </c>
      <c r="J25" s="1560">
        <f t="shared" ref="J25" si="26">SUM(J22:J24)</f>
        <v>103</v>
      </c>
      <c r="K25" s="1568">
        <f t="shared" si="2"/>
        <v>5.8252427184466021E-2</v>
      </c>
      <c r="L25" s="1559">
        <v>12</v>
      </c>
      <c r="M25" s="1560">
        <f t="shared" ref="M25" si="27">SUM(M22:M24)</f>
        <v>134</v>
      </c>
      <c r="N25" s="1568">
        <f t="shared" si="3"/>
        <v>8.9552238805970144E-2</v>
      </c>
      <c r="O25" s="1559">
        <f>SUM(O22:O24)</f>
        <v>19</v>
      </c>
      <c r="P25" s="1560">
        <f t="shared" ref="P25" si="28">SUM(P22:P24)</f>
        <v>98</v>
      </c>
      <c r="Q25" s="1568">
        <f t="shared" si="4"/>
        <v>0.19387755102040816</v>
      </c>
      <c r="R25" s="1559">
        <v>6</v>
      </c>
      <c r="S25" s="1560">
        <v>126</v>
      </c>
      <c r="T25" s="1568">
        <f t="shared" si="5"/>
        <v>4.7619047619047616E-2</v>
      </c>
      <c r="U25" s="1559">
        <v>19</v>
      </c>
      <c r="V25" s="1560">
        <v>118</v>
      </c>
      <c r="W25" s="1568">
        <f t="shared" si="6"/>
        <v>0.16101694915254236</v>
      </c>
      <c r="X25" s="1559">
        <v>7</v>
      </c>
      <c r="Y25" s="1560">
        <v>107</v>
      </c>
      <c r="Z25" s="1568">
        <f t="shared" si="7"/>
        <v>6.5420560747663545E-2</v>
      </c>
      <c r="AA25" s="1559">
        <v>16</v>
      </c>
      <c r="AB25" s="1560">
        <v>117</v>
      </c>
      <c r="AC25" s="1568">
        <f t="shared" si="8"/>
        <v>0.13675213675213677</v>
      </c>
    </row>
    <row r="26" spans="1:29" ht="18.75">
      <c r="A26" s="4242"/>
      <c r="B26" s="1545" t="s">
        <v>1168</v>
      </c>
      <c r="C26" s="1548">
        <v>7</v>
      </c>
      <c r="D26" s="1543">
        <v>14</v>
      </c>
      <c r="E26" s="1569">
        <f t="shared" si="0"/>
        <v>0.5</v>
      </c>
      <c r="F26" s="1548">
        <v>13</v>
      </c>
      <c r="G26" s="1543">
        <v>21</v>
      </c>
      <c r="H26" s="1569">
        <f t="shared" si="1"/>
        <v>0.61904761904761907</v>
      </c>
      <c r="I26" s="1548">
        <v>6</v>
      </c>
      <c r="J26" s="1543">
        <v>12</v>
      </c>
      <c r="K26" s="1569">
        <f t="shared" si="2"/>
        <v>0.5</v>
      </c>
      <c r="L26" s="1548">
        <v>19</v>
      </c>
      <c r="M26" s="1543">
        <v>22</v>
      </c>
      <c r="N26" s="1569">
        <f t="shared" si="3"/>
        <v>0.86363636363636365</v>
      </c>
      <c r="O26" s="1548">
        <v>10</v>
      </c>
      <c r="P26" s="1543">
        <v>15</v>
      </c>
      <c r="Q26" s="1569">
        <f t="shared" si="4"/>
        <v>0.66666666666666663</v>
      </c>
      <c r="R26" s="1548">
        <v>21</v>
      </c>
      <c r="S26" s="1543">
        <v>28</v>
      </c>
      <c r="T26" s="1569">
        <f t="shared" si="5"/>
        <v>0.75</v>
      </c>
      <c r="U26" s="1548">
        <v>4</v>
      </c>
      <c r="V26" s="1543">
        <v>8</v>
      </c>
      <c r="W26" s="1569">
        <f t="shared" si="6"/>
        <v>0.5</v>
      </c>
      <c r="X26" s="1548">
        <v>16</v>
      </c>
      <c r="Y26" s="1543">
        <v>23</v>
      </c>
      <c r="Z26" s="1569">
        <f t="shared" si="7"/>
        <v>0.69565217391304346</v>
      </c>
      <c r="AA26" s="1548">
        <v>12</v>
      </c>
      <c r="AB26" s="1543">
        <v>17</v>
      </c>
      <c r="AC26" s="1569">
        <f t="shared" si="8"/>
        <v>0.70588235294117652</v>
      </c>
    </row>
    <row r="27" spans="1:29" ht="18.75">
      <c r="A27" s="4242"/>
      <c r="B27" s="1545" t="s">
        <v>1169</v>
      </c>
      <c r="C27" s="1548">
        <v>7</v>
      </c>
      <c r="D27" s="1543">
        <v>13</v>
      </c>
      <c r="E27" s="1569">
        <f t="shared" si="0"/>
        <v>0.53846153846153844</v>
      </c>
      <c r="F27" s="1548">
        <v>9</v>
      </c>
      <c r="G27" s="1543">
        <v>15</v>
      </c>
      <c r="H27" s="1569">
        <f t="shared" si="1"/>
        <v>0.6</v>
      </c>
      <c r="I27" s="1548">
        <v>18</v>
      </c>
      <c r="J27" s="1543">
        <v>30</v>
      </c>
      <c r="K27" s="1569">
        <f t="shared" si="2"/>
        <v>0.6</v>
      </c>
      <c r="L27" s="1548">
        <v>20</v>
      </c>
      <c r="M27" s="1543">
        <v>25</v>
      </c>
      <c r="N27" s="1569">
        <f t="shared" si="3"/>
        <v>0.8</v>
      </c>
      <c r="O27" s="1548">
        <v>21</v>
      </c>
      <c r="P27" s="1543">
        <v>33</v>
      </c>
      <c r="Q27" s="1569">
        <f t="shared" si="4"/>
        <v>0.63636363636363635</v>
      </c>
      <c r="R27" s="1548">
        <v>21</v>
      </c>
      <c r="S27" s="1543">
        <v>57</v>
      </c>
      <c r="T27" s="1569">
        <f t="shared" si="5"/>
        <v>0.36842105263157893</v>
      </c>
      <c r="U27" s="1548">
        <v>18</v>
      </c>
      <c r="V27" s="1543">
        <v>31</v>
      </c>
      <c r="W27" s="1569">
        <f t="shared" si="6"/>
        <v>0.58064516129032262</v>
      </c>
      <c r="X27" s="1548">
        <v>20</v>
      </c>
      <c r="Y27" s="1543">
        <v>39</v>
      </c>
      <c r="Z27" s="1569">
        <f t="shared" si="7"/>
        <v>0.51282051282051277</v>
      </c>
      <c r="AA27" s="1548">
        <v>32</v>
      </c>
      <c r="AB27" s="1543">
        <v>41</v>
      </c>
      <c r="AC27" s="1569">
        <f t="shared" si="8"/>
        <v>0.78048780487804881</v>
      </c>
    </row>
    <row r="28" spans="1:29" ht="18.75">
      <c r="A28" s="4242"/>
      <c r="B28" s="1545" t="s">
        <v>1170</v>
      </c>
      <c r="C28" s="1548">
        <v>14</v>
      </c>
      <c r="D28" s="1543">
        <v>19</v>
      </c>
      <c r="E28" s="1569">
        <f t="shared" si="0"/>
        <v>0.73684210526315785</v>
      </c>
      <c r="F28" s="1548">
        <v>13</v>
      </c>
      <c r="G28" s="1543">
        <v>30</v>
      </c>
      <c r="H28" s="1569">
        <f t="shared" si="1"/>
        <v>0.43333333333333335</v>
      </c>
      <c r="I28" s="1548">
        <v>4</v>
      </c>
      <c r="J28" s="1543">
        <v>4</v>
      </c>
      <c r="K28" s="1569">
        <f t="shared" si="2"/>
        <v>1</v>
      </c>
      <c r="L28" s="1548">
        <v>27</v>
      </c>
      <c r="M28" s="1543">
        <v>31</v>
      </c>
      <c r="N28" s="1569">
        <f t="shared" si="3"/>
        <v>0.87096774193548387</v>
      </c>
      <c r="O28" s="1548">
        <v>14</v>
      </c>
      <c r="P28" s="1543">
        <v>18</v>
      </c>
      <c r="Q28" s="1569">
        <f t="shared" si="4"/>
        <v>0.77777777777777779</v>
      </c>
      <c r="R28" s="1548">
        <v>42</v>
      </c>
      <c r="S28" s="1543">
        <v>49</v>
      </c>
      <c r="T28" s="1569">
        <f t="shared" si="5"/>
        <v>0.8571428571428571</v>
      </c>
      <c r="U28" s="1548">
        <v>23</v>
      </c>
      <c r="V28" s="1543">
        <v>33</v>
      </c>
      <c r="W28" s="1569">
        <f t="shared" si="6"/>
        <v>0.69696969696969702</v>
      </c>
      <c r="X28" s="1548">
        <v>20</v>
      </c>
      <c r="Y28" s="1543">
        <v>36</v>
      </c>
      <c r="Z28" s="1569">
        <f t="shared" si="7"/>
        <v>0.55555555555555558</v>
      </c>
      <c r="AA28" s="1548">
        <v>31</v>
      </c>
      <c r="AB28" s="1543">
        <v>40</v>
      </c>
      <c r="AC28" s="1569">
        <f t="shared" si="8"/>
        <v>0.77500000000000002</v>
      </c>
    </row>
    <row r="29" spans="1:29" ht="15" customHeight="1">
      <c r="A29" s="4242"/>
      <c r="B29" s="4179" t="s">
        <v>64</v>
      </c>
      <c r="C29" s="1559">
        <f t="shared" ref="C29" si="29">SUM(C26:C28)</f>
        <v>28</v>
      </c>
      <c r="D29" s="1560">
        <v>46</v>
      </c>
      <c r="E29" s="1568">
        <f t="shared" si="0"/>
        <v>0.60869565217391308</v>
      </c>
      <c r="F29" s="1559">
        <v>35</v>
      </c>
      <c r="G29" s="1560">
        <v>66</v>
      </c>
      <c r="H29" s="1568">
        <f t="shared" si="1"/>
        <v>0.53030303030303028</v>
      </c>
      <c r="I29" s="1559">
        <v>28</v>
      </c>
      <c r="J29" s="1560">
        <f>SUM(J26:J28)</f>
        <v>46</v>
      </c>
      <c r="K29" s="1568">
        <f t="shared" si="2"/>
        <v>0.60869565217391308</v>
      </c>
      <c r="L29" s="1559">
        <v>66</v>
      </c>
      <c r="M29" s="1560">
        <f>SUM(M26:M28)</f>
        <v>78</v>
      </c>
      <c r="N29" s="1568">
        <f t="shared" si="3"/>
        <v>0.84615384615384615</v>
      </c>
      <c r="O29" s="1559">
        <f>SUM(O26:O28)</f>
        <v>45</v>
      </c>
      <c r="P29" s="1560">
        <f>SUM(P26:P28)</f>
        <v>66</v>
      </c>
      <c r="Q29" s="1568">
        <f t="shared" si="4"/>
        <v>0.68181818181818177</v>
      </c>
      <c r="R29" s="1559">
        <v>84</v>
      </c>
      <c r="S29" s="1560">
        <v>134</v>
      </c>
      <c r="T29" s="1568">
        <f t="shared" si="5"/>
        <v>0.62686567164179108</v>
      </c>
      <c r="U29" s="1559">
        <v>45</v>
      </c>
      <c r="V29" s="1560">
        <v>72</v>
      </c>
      <c r="W29" s="1568">
        <f t="shared" si="6"/>
        <v>0.625</v>
      </c>
      <c r="X29" s="1559">
        <v>56</v>
      </c>
      <c r="Y29" s="1560">
        <v>98</v>
      </c>
      <c r="Z29" s="1568">
        <f t="shared" si="7"/>
        <v>0.5714285714285714</v>
      </c>
      <c r="AA29" s="1559">
        <v>75</v>
      </c>
      <c r="AB29" s="1560">
        <v>98</v>
      </c>
      <c r="AC29" s="1568">
        <f t="shared" si="8"/>
        <v>0.76530612244897955</v>
      </c>
    </row>
    <row r="30" spans="1:29" ht="18.75">
      <c r="A30" s="4242"/>
      <c r="B30" s="1545" t="s">
        <v>1171</v>
      </c>
      <c r="C30" s="1548">
        <v>1</v>
      </c>
      <c r="D30" s="1543">
        <v>29</v>
      </c>
      <c r="E30" s="1569">
        <f t="shared" si="0"/>
        <v>3.4482758620689655E-2</v>
      </c>
      <c r="F30" s="1548"/>
      <c r="G30" s="1543">
        <v>29</v>
      </c>
      <c r="H30" s="1569">
        <f t="shared" si="1"/>
        <v>0</v>
      </c>
      <c r="I30" s="1548"/>
      <c r="J30" s="1543">
        <v>20</v>
      </c>
      <c r="K30" s="1569">
        <f t="shared" si="2"/>
        <v>0</v>
      </c>
      <c r="L30" s="1548">
        <v>3</v>
      </c>
      <c r="M30" s="1543">
        <v>26</v>
      </c>
      <c r="N30" s="1569">
        <f t="shared" si="3"/>
        <v>0.11538461538461539</v>
      </c>
      <c r="O30" s="1548">
        <v>1</v>
      </c>
      <c r="P30" s="1543">
        <v>22</v>
      </c>
      <c r="Q30" s="1569">
        <f t="shared" si="4"/>
        <v>4.5454545454545456E-2</v>
      </c>
      <c r="R30" s="1548"/>
      <c r="S30" s="1543">
        <v>25</v>
      </c>
      <c r="T30" s="1569">
        <f t="shared" si="5"/>
        <v>0</v>
      </c>
      <c r="U30" s="1548"/>
      <c r="V30" s="1543">
        <v>22</v>
      </c>
      <c r="W30" s="1569">
        <f t="shared" si="6"/>
        <v>0</v>
      </c>
      <c r="X30" s="1548"/>
      <c r="Y30" s="1543">
        <v>43</v>
      </c>
      <c r="Z30" s="1569">
        <f t="shared" si="7"/>
        <v>0</v>
      </c>
      <c r="AA30" s="1548">
        <v>1</v>
      </c>
      <c r="AB30" s="1543">
        <v>49</v>
      </c>
      <c r="AC30" s="1569">
        <f t="shared" si="8"/>
        <v>2.0408163265306121E-2</v>
      </c>
    </row>
    <row r="31" spans="1:29" ht="18.75">
      <c r="A31" s="4242"/>
      <c r="B31" s="1545" t="s">
        <v>1172</v>
      </c>
      <c r="C31" s="1548"/>
      <c r="D31" s="1543">
        <v>25</v>
      </c>
      <c r="E31" s="1569">
        <f t="shared" si="0"/>
        <v>0</v>
      </c>
      <c r="F31" s="1548">
        <v>1</v>
      </c>
      <c r="G31" s="1543">
        <v>31</v>
      </c>
      <c r="H31" s="1569">
        <f t="shared" si="1"/>
        <v>3.2258064516129031E-2</v>
      </c>
      <c r="I31" s="1548">
        <v>14</v>
      </c>
      <c r="J31" s="1543">
        <v>29</v>
      </c>
      <c r="K31" s="1569">
        <f t="shared" si="2"/>
        <v>0.48275862068965519</v>
      </c>
      <c r="L31" s="1548">
        <v>6</v>
      </c>
      <c r="M31" s="1543">
        <v>34</v>
      </c>
      <c r="N31" s="1569">
        <f t="shared" si="3"/>
        <v>0.17647058823529413</v>
      </c>
      <c r="O31" s="1548">
        <v>1</v>
      </c>
      <c r="P31" s="1543">
        <v>28</v>
      </c>
      <c r="Q31" s="1569">
        <f t="shared" si="4"/>
        <v>3.5714285714285712E-2</v>
      </c>
      <c r="R31" s="1548"/>
      <c r="S31" s="1543">
        <v>36</v>
      </c>
      <c r="T31" s="1569">
        <f t="shared" si="5"/>
        <v>0</v>
      </c>
      <c r="U31" s="1548"/>
      <c r="V31" s="1543">
        <v>28</v>
      </c>
      <c r="W31" s="1569">
        <f t="shared" si="6"/>
        <v>0</v>
      </c>
      <c r="X31" s="1548"/>
      <c r="Y31" s="1543">
        <v>40</v>
      </c>
      <c r="Z31" s="1569">
        <f t="shared" si="7"/>
        <v>0</v>
      </c>
      <c r="AA31" s="1548">
        <v>1</v>
      </c>
      <c r="AB31" s="1543">
        <v>70</v>
      </c>
      <c r="AC31" s="1569">
        <f t="shared" si="8"/>
        <v>1.4285714285714285E-2</v>
      </c>
    </row>
    <row r="32" spans="1:29" ht="18.75">
      <c r="A32" s="4242"/>
      <c r="B32" s="1545" t="s">
        <v>854</v>
      </c>
      <c r="C32" s="1548"/>
      <c r="D32" s="1543">
        <v>41</v>
      </c>
      <c r="E32" s="1569">
        <f t="shared" si="0"/>
        <v>0</v>
      </c>
      <c r="F32" s="1548"/>
      <c r="G32" s="1543">
        <v>54</v>
      </c>
      <c r="H32" s="1569">
        <f t="shared" si="1"/>
        <v>0</v>
      </c>
      <c r="I32" s="1548"/>
      <c r="J32" s="1543">
        <v>7</v>
      </c>
      <c r="K32" s="1569">
        <f t="shared" si="2"/>
        <v>0</v>
      </c>
      <c r="L32" s="1548"/>
      <c r="M32" s="1543">
        <v>37</v>
      </c>
      <c r="N32" s="1569">
        <f t="shared" si="3"/>
        <v>0</v>
      </c>
      <c r="O32" s="1548">
        <v>0</v>
      </c>
      <c r="P32" s="1543">
        <v>23</v>
      </c>
      <c r="Q32" s="1569">
        <f t="shared" si="4"/>
        <v>0</v>
      </c>
      <c r="R32" s="1548"/>
      <c r="S32" s="1543">
        <v>45</v>
      </c>
      <c r="T32" s="1569">
        <f t="shared" si="5"/>
        <v>0</v>
      </c>
      <c r="U32" s="1548">
        <v>2</v>
      </c>
      <c r="V32" s="1543">
        <v>39</v>
      </c>
      <c r="W32" s="1569">
        <f t="shared" si="6"/>
        <v>5.128205128205128E-2</v>
      </c>
      <c r="X32" s="1548">
        <v>3</v>
      </c>
      <c r="Y32" s="1543">
        <v>45</v>
      </c>
      <c r="Z32" s="1569">
        <f t="shared" si="7"/>
        <v>6.6666666666666666E-2</v>
      </c>
      <c r="AA32" s="1548">
        <v>6</v>
      </c>
      <c r="AB32" s="1543">
        <v>36</v>
      </c>
      <c r="AC32" s="1569">
        <f t="shared" si="8"/>
        <v>0.16666666666666666</v>
      </c>
    </row>
    <row r="33" spans="1:29" ht="15" customHeight="1">
      <c r="A33" s="4242"/>
      <c r="B33" s="4243" t="s">
        <v>16</v>
      </c>
      <c r="C33" s="4244">
        <f t="shared" ref="C33" si="30">SUM(C30:C32)</f>
        <v>1</v>
      </c>
      <c r="D33" s="4245">
        <v>95</v>
      </c>
      <c r="E33" s="4246">
        <f t="shared" si="0"/>
        <v>1.0526315789473684E-2</v>
      </c>
      <c r="F33" s="4244">
        <v>1</v>
      </c>
      <c r="G33" s="4245">
        <v>114</v>
      </c>
      <c r="H33" s="4246">
        <f t="shared" si="1"/>
        <v>8.771929824561403E-3</v>
      </c>
      <c r="I33" s="4244">
        <v>14</v>
      </c>
      <c r="J33" s="4245">
        <f>SUM(J30:J32)</f>
        <v>56</v>
      </c>
      <c r="K33" s="4246">
        <f t="shared" si="2"/>
        <v>0.25</v>
      </c>
      <c r="L33" s="4244">
        <v>9</v>
      </c>
      <c r="M33" s="4245">
        <f>SUM(M30:M32)</f>
        <v>97</v>
      </c>
      <c r="N33" s="4246">
        <f t="shared" si="3"/>
        <v>9.2783505154639179E-2</v>
      </c>
      <c r="O33" s="4244">
        <f>SUM(O30:O32)</f>
        <v>2</v>
      </c>
      <c r="P33" s="4245">
        <f>SUM(P30:P32)</f>
        <v>73</v>
      </c>
      <c r="Q33" s="4246">
        <f t="shared" si="4"/>
        <v>2.7397260273972601E-2</v>
      </c>
      <c r="R33" s="4244">
        <v>0</v>
      </c>
      <c r="S33" s="4245">
        <v>106</v>
      </c>
      <c r="T33" s="4246">
        <f t="shared" si="5"/>
        <v>0</v>
      </c>
      <c r="U33" s="4244">
        <v>2</v>
      </c>
      <c r="V33" s="4245">
        <v>89</v>
      </c>
      <c r="W33" s="4246">
        <f t="shared" si="6"/>
        <v>2.247191011235955E-2</v>
      </c>
      <c r="X33" s="4244">
        <v>3</v>
      </c>
      <c r="Y33" s="4245">
        <v>128</v>
      </c>
      <c r="Z33" s="4246">
        <f t="shared" si="7"/>
        <v>2.34375E-2</v>
      </c>
      <c r="AA33" s="4244">
        <v>8</v>
      </c>
      <c r="AB33" s="4245">
        <v>155</v>
      </c>
      <c r="AC33" s="4246">
        <f t="shared" si="8"/>
        <v>5.1612903225806452E-2</v>
      </c>
    </row>
    <row r="34" spans="1:29" ht="15" customHeight="1">
      <c r="A34" s="4242"/>
      <c r="B34" s="4251" t="s">
        <v>366</v>
      </c>
      <c r="C34" s="4252">
        <f t="shared" ref="C34" si="31">SUM(C25,C29,C33)</f>
        <v>36</v>
      </c>
      <c r="D34" s="4253">
        <v>208</v>
      </c>
      <c r="E34" s="4254">
        <f t="shared" si="0"/>
        <v>0.17307692307692307</v>
      </c>
      <c r="F34" s="4252">
        <v>39</v>
      </c>
      <c r="G34" s="4253">
        <v>254</v>
      </c>
      <c r="H34" s="4254">
        <f t="shared" si="1"/>
        <v>0.15354330708661418</v>
      </c>
      <c r="I34" s="4252">
        <v>48</v>
      </c>
      <c r="J34" s="4253">
        <f t="shared" ref="J34" si="32">SUM(J33,J29,J25)</f>
        <v>205</v>
      </c>
      <c r="K34" s="4254">
        <f t="shared" si="2"/>
        <v>0.23414634146341465</v>
      </c>
      <c r="L34" s="4252">
        <v>87</v>
      </c>
      <c r="M34" s="4253">
        <f t="shared" ref="M34" si="33">SUM(M33,M29,M25)</f>
        <v>309</v>
      </c>
      <c r="N34" s="4254">
        <f t="shared" si="3"/>
        <v>0.28155339805825241</v>
      </c>
      <c r="O34" s="4252">
        <f>SUM(O25,O29,O33)</f>
        <v>66</v>
      </c>
      <c r="P34" s="4253">
        <f t="shared" ref="P34" si="34">SUM(P33,P29,P25)</f>
        <v>237</v>
      </c>
      <c r="Q34" s="4254">
        <f t="shared" si="4"/>
        <v>0.27848101265822783</v>
      </c>
      <c r="R34" s="4252">
        <v>90</v>
      </c>
      <c r="S34" s="4253">
        <v>366</v>
      </c>
      <c r="T34" s="4254">
        <f t="shared" si="5"/>
        <v>0.24590163934426229</v>
      </c>
      <c r="U34" s="4252">
        <v>66</v>
      </c>
      <c r="V34" s="4253">
        <v>279</v>
      </c>
      <c r="W34" s="4254">
        <f t="shared" si="6"/>
        <v>0.23655913978494625</v>
      </c>
      <c r="X34" s="4252">
        <v>66</v>
      </c>
      <c r="Y34" s="4253">
        <v>333</v>
      </c>
      <c r="Z34" s="4254">
        <f t="shared" si="7"/>
        <v>0.1981981981981982</v>
      </c>
      <c r="AA34" s="4252">
        <v>99</v>
      </c>
      <c r="AB34" s="4253">
        <v>370</v>
      </c>
      <c r="AC34" s="4254">
        <f t="shared" si="8"/>
        <v>0.26756756756756755</v>
      </c>
    </row>
    <row r="35" spans="1:29" ht="18.75">
      <c r="A35" s="4242"/>
      <c r="B35" s="1545" t="s">
        <v>1173</v>
      </c>
      <c r="C35" s="1548">
        <v>56</v>
      </c>
      <c r="D35" s="1543">
        <v>105</v>
      </c>
      <c r="E35" s="1569">
        <f t="shared" si="0"/>
        <v>0.53333333333333333</v>
      </c>
      <c r="F35" s="1548">
        <v>45</v>
      </c>
      <c r="G35" s="1543">
        <v>121</v>
      </c>
      <c r="H35" s="1569">
        <f t="shared" si="1"/>
        <v>0.37190082644628097</v>
      </c>
      <c r="I35" s="1548">
        <v>69</v>
      </c>
      <c r="J35" s="1543">
        <v>127</v>
      </c>
      <c r="K35" s="1569">
        <f t="shared" si="2"/>
        <v>0.54330708661417326</v>
      </c>
      <c r="L35" s="1548">
        <v>58</v>
      </c>
      <c r="M35" s="1543">
        <v>121</v>
      </c>
      <c r="N35" s="1569">
        <f t="shared" si="3"/>
        <v>0.47933884297520662</v>
      </c>
      <c r="O35" s="1548">
        <v>73</v>
      </c>
      <c r="P35" s="1543">
        <v>112</v>
      </c>
      <c r="Q35" s="1569">
        <f t="shared" si="4"/>
        <v>0.6517857142857143</v>
      </c>
      <c r="R35" s="1548">
        <v>78</v>
      </c>
      <c r="S35" s="1543">
        <v>112</v>
      </c>
      <c r="T35" s="1569">
        <f t="shared" si="5"/>
        <v>0.6964285714285714</v>
      </c>
      <c r="U35" s="1548">
        <v>55</v>
      </c>
      <c r="V35" s="1543">
        <v>91</v>
      </c>
      <c r="W35" s="1569">
        <f t="shared" si="6"/>
        <v>0.60439560439560436</v>
      </c>
      <c r="X35" s="1548">
        <v>46</v>
      </c>
      <c r="Y35" s="1543">
        <v>66</v>
      </c>
      <c r="Z35" s="1569">
        <f t="shared" si="7"/>
        <v>0.69696969696969702</v>
      </c>
      <c r="AA35" s="1548">
        <v>66</v>
      </c>
      <c r="AB35" s="1543">
        <v>97</v>
      </c>
      <c r="AC35" s="1569">
        <f t="shared" si="8"/>
        <v>0.68041237113402064</v>
      </c>
    </row>
    <row r="36" spans="1:29" ht="18.75">
      <c r="A36" s="4242"/>
      <c r="B36" s="1545" t="s">
        <v>1174</v>
      </c>
      <c r="C36" s="1548">
        <v>75</v>
      </c>
      <c r="D36" s="1543">
        <v>98</v>
      </c>
      <c r="E36" s="1569">
        <f t="shared" si="0"/>
        <v>0.76530612244897955</v>
      </c>
      <c r="F36" s="1548">
        <v>71</v>
      </c>
      <c r="G36" s="1543">
        <v>93</v>
      </c>
      <c r="H36" s="1569">
        <f t="shared" si="1"/>
        <v>0.76344086021505375</v>
      </c>
      <c r="I36" s="1548">
        <v>60</v>
      </c>
      <c r="J36" s="1543">
        <v>85</v>
      </c>
      <c r="K36" s="1569">
        <f t="shared" si="2"/>
        <v>0.70588235294117652</v>
      </c>
      <c r="L36" s="1548">
        <v>89</v>
      </c>
      <c r="M36" s="1543">
        <v>122</v>
      </c>
      <c r="N36" s="1569">
        <f t="shared" si="3"/>
        <v>0.72950819672131151</v>
      </c>
      <c r="O36" s="1548">
        <v>85</v>
      </c>
      <c r="P36" s="1543">
        <v>110</v>
      </c>
      <c r="Q36" s="1569">
        <f t="shared" si="4"/>
        <v>0.77272727272727271</v>
      </c>
      <c r="R36" s="1548">
        <v>75</v>
      </c>
      <c r="S36" s="1543">
        <v>107</v>
      </c>
      <c r="T36" s="1569">
        <f t="shared" si="5"/>
        <v>0.7009345794392523</v>
      </c>
      <c r="U36" s="1548">
        <v>81</v>
      </c>
      <c r="V36" s="1543">
        <v>110</v>
      </c>
      <c r="W36" s="1569">
        <f t="shared" si="6"/>
        <v>0.73636363636363633</v>
      </c>
      <c r="X36" s="1548">
        <v>70</v>
      </c>
      <c r="Y36" s="1543">
        <v>110</v>
      </c>
      <c r="Z36" s="1569">
        <f t="shared" si="7"/>
        <v>0.63636363636363635</v>
      </c>
      <c r="AA36" s="1548">
        <v>98</v>
      </c>
      <c r="AB36" s="1543">
        <v>128</v>
      </c>
      <c r="AC36" s="1569">
        <f t="shared" si="8"/>
        <v>0.765625</v>
      </c>
    </row>
    <row r="37" spans="1:29" ht="18.75">
      <c r="A37" s="4242"/>
      <c r="B37" s="1545" t="s">
        <v>1175</v>
      </c>
      <c r="C37" s="1548">
        <v>30</v>
      </c>
      <c r="D37" s="1543">
        <v>97</v>
      </c>
      <c r="E37" s="1569">
        <f t="shared" si="0"/>
        <v>0.30927835051546393</v>
      </c>
      <c r="F37" s="1548">
        <v>35</v>
      </c>
      <c r="G37" s="1543">
        <v>109</v>
      </c>
      <c r="H37" s="1569">
        <f t="shared" si="1"/>
        <v>0.32110091743119268</v>
      </c>
      <c r="I37" s="1548">
        <v>32</v>
      </c>
      <c r="J37" s="1543">
        <v>98</v>
      </c>
      <c r="K37" s="1569">
        <f t="shared" si="2"/>
        <v>0.32653061224489793</v>
      </c>
      <c r="L37" s="1548">
        <v>36</v>
      </c>
      <c r="M37" s="1543">
        <v>132</v>
      </c>
      <c r="N37" s="1569">
        <f t="shared" si="3"/>
        <v>0.27272727272727271</v>
      </c>
      <c r="O37" s="1548">
        <v>42</v>
      </c>
      <c r="P37" s="1543">
        <v>120</v>
      </c>
      <c r="Q37" s="1569">
        <f t="shared" si="4"/>
        <v>0.35</v>
      </c>
      <c r="R37" s="1548">
        <v>31</v>
      </c>
      <c r="S37" s="1543">
        <v>96</v>
      </c>
      <c r="T37" s="1569">
        <f t="shared" si="5"/>
        <v>0.32291666666666669</v>
      </c>
      <c r="U37" s="1548">
        <v>39</v>
      </c>
      <c r="V37" s="1543">
        <v>107</v>
      </c>
      <c r="W37" s="1569">
        <f t="shared" si="6"/>
        <v>0.3644859813084112</v>
      </c>
      <c r="X37" s="1548">
        <v>54</v>
      </c>
      <c r="Y37" s="1543">
        <v>128</v>
      </c>
      <c r="Z37" s="1569">
        <f t="shared" si="7"/>
        <v>0.421875</v>
      </c>
      <c r="AA37" s="1548">
        <v>40</v>
      </c>
      <c r="AB37" s="1543">
        <v>112</v>
      </c>
      <c r="AC37" s="1569">
        <f t="shared" si="8"/>
        <v>0.35714285714285715</v>
      </c>
    </row>
    <row r="38" spans="1:29" ht="18.75">
      <c r="A38" s="4242"/>
      <c r="B38" s="1545" t="s">
        <v>1176</v>
      </c>
      <c r="C38" s="1548">
        <v>48</v>
      </c>
      <c r="D38" s="1543">
        <v>73</v>
      </c>
      <c r="E38" s="1569">
        <f t="shared" si="0"/>
        <v>0.65753424657534243</v>
      </c>
      <c r="F38" s="1548">
        <v>43</v>
      </c>
      <c r="G38" s="1543">
        <v>66</v>
      </c>
      <c r="H38" s="1569">
        <f t="shared" si="1"/>
        <v>0.65151515151515149</v>
      </c>
      <c r="I38" s="1548">
        <v>39</v>
      </c>
      <c r="J38" s="1543">
        <v>50</v>
      </c>
      <c r="K38" s="1569">
        <f t="shared" si="2"/>
        <v>0.78</v>
      </c>
      <c r="L38" s="1548">
        <v>64</v>
      </c>
      <c r="M38" s="1543">
        <v>77</v>
      </c>
      <c r="N38" s="1569">
        <f t="shared" si="3"/>
        <v>0.83116883116883122</v>
      </c>
      <c r="O38" s="1548">
        <v>55</v>
      </c>
      <c r="P38" s="1543">
        <v>63</v>
      </c>
      <c r="Q38" s="1569">
        <f t="shared" si="4"/>
        <v>0.87301587301587302</v>
      </c>
      <c r="R38" s="1548">
        <v>42</v>
      </c>
      <c r="S38" s="1543">
        <v>65</v>
      </c>
      <c r="T38" s="1569">
        <f t="shared" si="5"/>
        <v>0.64615384615384619</v>
      </c>
      <c r="U38" s="1548">
        <v>49</v>
      </c>
      <c r="V38" s="1543">
        <v>57</v>
      </c>
      <c r="W38" s="1569">
        <f t="shared" si="6"/>
        <v>0.85964912280701755</v>
      </c>
      <c r="X38" s="1548">
        <v>50</v>
      </c>
      <c r="Y38" s="1543">
        <v>59</v>
      </c>
      <c r="Z38" s="1569">
        <f t="shared" si="7"/>
        <v>0.84745762711864403</v>
      </c>
      <c r="AA38" s="1548">
        <v>49</v>
      </c>
      <c r="AB38" s="1543">
        <v>71</v>
      </c>
      <c r="AC38" s="1569">
        <f t="shared" si="8"/>
        <v>0.6901408450704225</v>
      </c>
    </row>
    <row r="39" spans="1:29" ht="18.75">
      <c r="A39" s="4242"/>
      <c r="B39" s="1545" t="s">
        <v>1177</v>
      </c>
      <c r="C39" s="1548">
        <v>51</v>
      </c>
      <c r="D39" s="1543">
        <v>112</v>
      </c>
      <c r="E39" s="1569">
        <f t="shared" si="0"/>
        <v>0.45535714285714285</v>
      </c>
      <c r="F39" s="1548">
        <v>64</v>
      </c>
      <c r="G39" s="1543">
        <v>143</v>
      </c>
      <c r="H39" s="1569">
        <f t="shared" si="1"/>
        <v>0.44755244755244755</v>
      </c>
      <c r="I39" s="1548">
        <v>81</v>
      </c>
      <c r="J39" s="1543">
        <v>155</v>
      </c>
      <c r="K39" s="1569">
        <f t="shared" si="2"/>
        <v>0.52258064516129032</v>
      </c>
      <c r="L39" s="1548">
        <v>90</v>
      </c>
      <c r="M39" s="1543">
        <v>126</v>
      </c>
      <c r="N39" s="1569">
        <f t="shared" si="3"/>
        <v>0.7142857142857143</v>
      </c>
      <c r="O39" s="1548">
        <v>86</v>
      </c>
      <c r="P39" s="1543">
        <v>109</v>
      </c>
      <c r="Q39" s="1569">
        <f t="shared" si="4"/>
        <v>0.78899082568807344</v>
      </c>
      <c r="R39" s="1548">
        <v>93</v>
      </c>
      <c r="S39" s="1543">
        <v>136</v>
      </c>
      <c r="T39" s="1569">
        <f t="shared" si="5"/>
        <v>0.68382352941176472</v>
      </c>
      <c r="U39" s="1548">
        <v>84</v>
      </c>
      <c r="V39" s="1543">
        <v>116</v>
      </c>
      <c r="W39" s="1569">
        <f t="shared" si="6"/>
        <v>0.72413793103448276</v>
      </c>
      <c r="X39" s="1548">
        <v>101</v>
      </c>
      <c r="Y39" s="1543">
        <v>130</v>
      </c>
      <c r="Z39" s="1569">
        <f t="shared" si="7"/>
        <v>0.77692307692307694</v>
      </c>
      <c r="AA39" s="1548">
        <v>85</v>
      </c>
      <c r="AB39" s="1543">
        <v>112</v>
      </c>
      <c r="AC39" s="1569">
        <f t="shared" si="8"/>
        <v>0.7589285714285714</v>
      </c>
    </row>
    <row r="40" spans="1:29" ht="15" customHeight="1">
      <c r="A40" s="4242"/>
      <c r="B40" s="4179" t="s">
        <v>4</v>
      </c>
      <c r="C40" s="1559">
        <f t="shared" ref="C40" si="35">SUM(C35:C39)</f>
        <v>260</v>
      </c>
      <c r="D40" s="1560">
        <v>485</v>
      </c>
      <c r="E40" s="1568">
        <f t="shared" si="0"/>
        <v>0.53608247422680411</v>
      </c>
      <c r="F40" s="1559">
        <v>258</v>
      </c>
      <c r="G40" s="1560">
        <v>532</v>
      </c>
      <c r="H40" s="1568">
        <f t="shared" si="1"/>
        <v>0.48496240601503759</v>
      </c>
      <c r="I40" s="1559">
        <v>281</v>
      </c>
      <c r="J40" s="1560">
        <f>SUM(J35:J39)</f>
        <v>515</v>
      </c>
      <c r="K40" s="1568">
        <f t="shared" si="2"/>
        <v>0.54563106796116501</v>
      </c>
      <c r="L40" s="1559">
        <v>337</v>
      </c>
      <c r="M40" s="1560">
        <f>SUM(M35:M39)</f>
        <v>578</v>
      </c>
      <c r="N40" s="1568">
        <f t="shared" si="3"/>
        <v>0.58304498269896199</v>
      </c>
      <c r="O40" s="1559">
        <f>SUM(O35:O39)</f>
        <v>341</v>
      </c>
      <c r="P40" s="1560">
        <f>SUM(P35:P39)</f>
        <v>514</v>
      </c>
      <c r="Q40" s="1568">
        <f t="shared" si="4"/>
        <v>0.66342412451361865</v>
      </c>
      <c r="R40" s="1559">
        <v>319</v>
      </c>
      <c r="S40" s="1560">
        <v>516</v>
      </c>
      <c r="T40" s="1568">
        <f t="shared" si="5"/>
        <v>0.61821705426356588</v>
      </c>
      <c r="U40" s="1559">
        <v>308</v>
      </c>
      <c r="V40" s="1560">
        <v>481</v>
      </c>
      <c r="W40" s="1568">
        <f t="shared" si="6"/>
        <v>0.64033264033264037</v>
      </c>
      <c r="X40" s="1559">
        <v>321</v>
      </c>
      <c r="Y40" s="1560">
        <v>493</v>
      </c>
      <c r="Z40" s="1568">
        <f t="shared" si="7"/>
        <v>0.65111561866125756</v>
      </c>
      <c r="AA40" s="1559">
        <v>338</v>
      </c>
      <c r="AB40" s="1560">
        <v>520</v>
      </c>
      <c r="AC40" s="1568">
        <f t="shared" si="8"/>
        <v>0.65</v>
      </c>
    </row>
    <row r="41" spans="1:29" ht="18.75">
      <c r="A41" s="4242"/>
      <c r="B41" s="1545" t="s">
        <v>1178</v>
      </c>
      <c r="C41" s="1548">
        <v>26</v>
      </c>
      <c r="D41" s="1543">
        <v>65</v>
      </c>
      <c r="E41" s="1569">
        <f t="shared" si="0"/>
        <v>0.4</v>
      </c>
      <c r="F41" s="1548">
        <v>38</v>
      </c>
      <c r="G41" s="1543">
        <v>72</v>
      </c>
      <c r="H41" s="1569">
        <f t="shared" si="1"/>
        <v>0.52777777777777779</v>
      </c>
      <c r="I41" s="1548">
        <v>56</v>
      </c>
      <c r="J41" s="1543">
        <v>107</v>
      </c>
      <c r="K41" s="1569">
        <f t="shared" si="2"/>
        <v>0.52336448598130836</v>
      </c>
      <c r="L41" s="1548">
        <v>38</v>
      </c>
      <c r="M41" s="1543">
        <v>73</v>
      </c>
      <c r="N41" s="1569">
        <f t="shared" si="3"/>
        <v>0.52054794520547942</v>
      </c>
      <c r="O41" s="1548">
        <v>36</v>
      </c>
      <c r="P41" s="1543">
        <v>52</v>
      </c>
      <c r="Q41" s="1569">
        <f t="shared" si="4"/>
        <v>0.69230769230769229</v>
      </c>
      <c r="R41" s="1548">
        <v>47</v>
      </c>
      <c r="S41" s="1543">
        <v>77</v>
      </c>
      <c r="T41" s="1569">
        <f t="shared" si="5"/>
        <v>0.61038961038961037</v>
      </c>
      <c r="U41" s="1548">
        <v>42</v>
      </c>
      <c r="V41" s="1543">
        <v>63</v>
      </c>
      <c r="W41" s="1569">
        <f t="shared" si="6"/>
        <v>0.66666666666666663</v>
      </c>
      <c r="X41" s="1548">
        <v>35</v>
      </c>
      <c r="Y41" s="1543">
        <v>55</v>
      </c>
      <c r="Z41" s="1569">
        <f t="shared" si="7"/>
        <v>0.63636363636363635</v>
      </c>
      <c r="AA41" s="1548">
        <v>41</v>
      </c>
      <c r="AB41" s="1543">
        <v>69</v>
      </c>
      <c r="AC41" s="1569">
        <f t="shared" si="8"/>
        <v>0.59420289855072461</v>
      </c>
    </row>
    <row r="42" spans="1:29" ht="18.75">
      <c r="A42" s="4242"/>
      <c r="B42" s="1545" t="s">
        <v>1179</v>
      </c>
      <c r="C42" s="1548">
        <v>24</v>
      </c>
      <c r="D42" s="1543">
        <v>52</v>
      </c>
      <c r="E42" s="1569">
        <f t="shared" si="0"/>
        <v>0.46153846153846156</v>
      </c>
      <c r="F42" s="1548">
        <v>25</v>
      </c>
      <c r="G42" s="1543">
        <v>56</v>
      </c>
      <c r="H42" s="1569">
        <f t="shared" si="1"/>
        <v>0.44642857142857145</v>
      </c>
      <c r="I42" s="1548">
        <v>11</v>
      </c>
      <c r="J42" s="1543">
        <v>56</v>
      </c>
      <c r="K42" s="1569">
        <f t="shared" si="2"/>
        <v>0.19642857142857142</v>
      </c>
      <c r="L42" s="1548">
        <v>19</v>
      </c>
      <c r="M42" s="1543">
        <v>56</v>
      </c>
      <c r="N42" s="1569">
        <f t="shared" si="3"/>
        <v>0.3392857142857143</v>
      </c>
      <c r="O42" s="1548">
        <v>16</v>
      </c>
      <c r="P42" s="1543">
        <v>32</v>
      </c>
      <c r="Q42" s="1569">
        <f t="shared" si="4"/>
        <v>0.5</v>
      </c>
      <c r="R42" s="1548">
        <v>26</v>
      </c>
      <c r="S42" s="1543">
        <v>42</v>
      </c>
      <c r="T42" s="1569">
        <f t="shared" si="5"/>
        <v>0.61904761904761907</v>
      </c>
      <c r="U42" s="1548">
        <v>32</v>
      </c>
      <c r="V42" s="1543">
        <v>56</v>
      </c>
      <c r="W42" s="1569">
        <f t="shared" si="6"/>
        <v>0.5714285714285714</v>
      </c>
      <c r="X42" s="1548">
        <v>25</v>
      </c>
      <c r="Y42" s="1543">
        <v>59</v>
      </c>
      <c r="Z42" s="1569">
        <f t="shared" si="7"/>
        <v>0.42372881355932202</v>
      </c>
      <c r="AA42" s="1548">
        <v>22</v>
      </c>
      <c r="AB42" s="1543">
        <v>50</v>
      </c>
      <c r="AC42" s="1569">
        <f t="shared" si="8"/>
        <v>0.44</v>
      </c>
    </row>
    <row r="43" spans="1:29" ht="18.75">
      <c r="A43" s="4242"/>
      <c r="B43" s="1545" t="s">
        <v>1180</v>
      </c>
      <c r="C43" s="1548">
        <v>86</v>
      </c>
      <c r="D43" s="1543">
        <v>116</v>
      </c>
      <c r="E43" s="1569">
        <f t="shared" si="0"/>
        <v>0.74137931034482762</v>
      </c>
      <c r="F43" s="1548">
        <v>77</v>
      </c>
      <c r="G43" s="1543">
        <v>102</v>
      </c>
      <c r="H43" s="1569">
        <f t="shared" si="1"/>
        <v>0.75490196078431371</v>
      </c>
      <c r="I43" s="1548">
        <v>91</v>
      </c>
      <c r="J43" s="1543">
        <v>100</v>
      </c>
      <c r="K43" s="1569">
        <f t="shared" si="2"/>
        <v>0.91</v>
      </c>
      <c r="L43" s="1548">
        <v>70</v>
      </c>
      <c r="M43" s="1543">
        <v>84</v>
      </c>
      <c r="N43" s="1569">
        <f t="shared" si="3"/>
        <v>0.83333333333333337</v>
      </c>
      <c r="O43" s="1548">
        <v>75</v>
      </c>
      <c r="P43" s="1543">
        <v>100</v>
      </c>
      <c r="Q43" s="1569">
        <f t="shared" si="4"/>
        <v>0.75</v>
      </c>
      <c r="R43" s="1548">
        <v>87</v>
      </c>
      <c r="S43" s="1543">
        <v>102</v>
      </c>
      <c r="T43" s="1569">
        <f t="shared" si="5"/>
        <v>0.8529411764705882</v>
      </c>
      <c r="U43" s="1548">
        <v>76</v>
      </c>
      <c r="V43" s="1543">
        <v>88</v>
      </c>
      <c r="W43" s="1569">
        <f t="shared" si="6"/>
        <v>0.86363636363636365</v>
      </c>
      <c r="X43" s="1548">
        <v>76</v>
      </c>
      <c r="Y43" s="1543">
        <v>87</v>
      </c>
      <c r="Z43" s="1569">
        <f t="shared" si="7"/>
        <v>0.87356321839080464</v>
      </c>
      <c r="AA43" s="1548">
        <v>119</v>
      </c>
      <c r="AB43" s="1543">
        <v>142</v>
      </c>
      <c r="AC43" s="1569">
        <f t="shared" si="8"/>
        <v>0.8380281690140845</v>
      </c>
    </row>
    <row r="44" spans="1:29" ht="18.75">
      <c r="A44" s="4242"/>
      <c r="B44" s="1545" t="s">
        <v>1181</v>
      </c>
      <c r="C44" s="1548">
        <v>45</v>
      </c>
      <c r="D44" s="1543">
        <v>87</v>
      </c>
      <c r="E44" s="1569">
        <f t="shared" si="0"/>
        <v>0.51724137931034486</v>
      </c>
      <c r="F44" s="1548">
        <v>26</v>
      </c>
      <c r="G44" s="1543">
        <v>54</v>
      </c>
      <c r="H44" s="1569">
        <f t="shared" si="1"/>
        <v>0.48148148148148145</v>
      </c>
      <c r="I44" s="1548">
        <v>33</v>
      </c>
      <c r="J44" s="1543">
        <v>49</v>
      </c>
      <c r="K44" s="1569">
        <f t="shared" si="2"/>
        <v>0.67346938775510201</v>
      </c>
      <c r="L44" s="1548">
        <v>50</v>
      </c>
      <c r="M44" s="1543">
        <v>99</v>
      </c>
      <c r="N44" s="1569">
        <f t="shared" si="3"/>
        <v>0.50505050505050508</v>
      </c>
      <c r="O44" s="1548">
        <v>59</v>
      </c>
      <c r="P44" s="1543">
        <v>89</v>
      </c>
      <c r="Q44" s="1569">
        <f t="shared" si="4"/>
        <v>0.6629213483146067</v>
      </c>
      <c r="R44" s="1548">
        <v>63</v>
      </c>
      <c r="S44" s="1543">
        <v>94</v>
      </c>
      <c r="T44" s="1569">
        <f t="shared" si="5"/>
        <v>0.67021276595744683</v>
      </c>
      <c r="U44" s="1548">
        <v>73</v>
      </c>
      <c r="V44" s="1543">
        <v>104</v>
      </c>
      <c r="W44" s="1569">
        <f t="shared" si="6"/>
        <v>0.70192307692307687</v>
      </c>
      <c r="X44" s="1548">
        <v>93</v>
      </c>
      <c r="Y44" s="1543">
        <v>168</v>
      </c>
      <c r="Z44" s="1569">
        <f t="shared" si="7"/>
        <v>0.5535714285714286</v>
      </c>
      <c r="AA44" s="1548">
        <v>73</v>
      </c>
      <c r="AB44" s="1543">
        <v>103</v>
      </c>
      <c r="AC44" s="1569">
        <f t="shared" si="8"/>
        <v>0.70873786407766992</v>
      </c>
    </row>
    <row r="45" spans="1:29" ht="18.75">
      <c r="A45" s="4242"/>
      <c r="B45" s="1545" t="s">
        <v>1182</v>
      </c>
      <c r="C45" s="1548">
        <v>20</v>
      </c>
      <c r="D45" s="1543">
        <v>30</v>
      </c>
      <c r="E45" s="1569">
        <f t="shared" si="0"/>
        <v>0.66666666666666663</v>
      </c>
      <c r="F45" s="1548">
        <v>15</v>
      </c>
      <c r="G45" s="1543">
        <v>45</v>
      </c>
      <c r="H45" s="1569">
        <f t="shared" si="1"/>
        <v>0.33333333333333331</v>
      </c>
      <c r="I45" s="1548">
        <v>8</v>
      </c>
      <c r="J45" s="1543">
        <v>19</v>
      </c>
      <c r="K45" s="1569">
        <f t="shared" si="2"/>
        <v>0.42105263157894735</v>
      </c>
      <c r="L45" s="1548">
        <v>30</v>
      </c>
      <c r="M45" s="1543">
        <v>62</v>
      </c>
      <c r="N45" s="1569">
        <f t="shared" si="3"/>
        <v>0.4838709677419355</v>
      </c>
      <c r="O45" s="1548">
        <v>48</v>
      </c>
      <c r="P45" s="1543">
        <v>68</v>
      </c>
      <c r="Q45" s="1569">
        <f t="shared" si="4"/>
        <v>0.70588235294117652</v>
      </c>
      <c r="R45" s="1548">
        <v>32</v>
      </c>
      <c r="S45" s="1543">
        <v>56</v>
      </c>
      <c r="T45" s="1569">
        <f t="shared" si="5"/>
        <v>0.5714285714285714</v>
      </c>
      <c r="U45" s="1548">
        <v>31</v>
      </c>
      <c r="V45" s="1543">
        <v>59</v>
      </c>
      <c r="W45" s="1569">
        <f t="shared" si="6"/>
        <v>0.52542372881355937</v>
      </c>
      <c r="X45" s="1548">
        <v>39</v>
      </c>
      <c r="Y45" s="1543">
        <v>54</v>
      </c>
      <c r="Z45" s="1569">
        <f t="shared" si="7"/>
        <v>0.72222222222222221</v>
      </c>
      <c r="AA45" s="1548">
        <v>47</v>
      </c>
      <c r="AB45" s="1543">
        <v>67</v>
      </c>
      <c r="AC45" s="1569">
        <f t="shared" si="8"/>
        <v>0.70149253731343286</v>
      </c>
    </row>
    <row r="46" spans="1:29" ht="15" customHeight="1">
      <c r="A46" s="4242"/>
      <c r="B46" s="4179" t="s">
        <v>41</v>
      </c>
      <c r="C46" s="1559">
        <f t="shared" ref="C46" si="36">SUM(C41:C45)</f>
        <v>201</v>
      </c>
      <c r="D46" s="1560">
        <v>350</v>
      </c>
      <c r="E46" s="1568">
        <f t="shared" si="0"/>
        <v>0.57428571428571429</v>
      </c>
      <c r="F46" s="1559">
        <v>181</v>
      </c>
      <c r="G46" s="1560">
        <v>329</v>
      </c>
      <c r="H46" s="1568">
        <f t="shared" si="1"/>
        <v>0.55015197568389063</v>
      </c>
      <c r="I46" s="1559">
        <v>199</v>
      </c>
      <c r="J46" s="1560">
        <f>SUM(J41:J45)</f>
        <v>331</v>
      </c>
      <c r="K46" s="1568">
        <f t="shared" si="2"/>
        <v>0.6012084592145015</v>
      </c>
      <c r="L46" s="1559">
        <v>207</v>
      </c>
      <c r="M46" s="1560">
        <f>SUM(M41:M45)</f>
        <v>374</v>
      </c>
      <c r="N46" s="1568">
        <f t="shared" si="3"/>
        <v>0.553475935828877</v>
      </c>
      <c r="O46" s="1559">
        <f>SUM(O41:O45)</f>
        <v>234</v>
      </c>
      <c r="P46" s="1560">
        <f>SUM(P41:P45)</f>
        <v>341</v>
      </c>
      <c r="Q46" s="1568">
        <f t="shared" si="4"/>
        <v>0.6862170087976539</v>
      </c>
      <c r="R46" s="1559">
        <v>255</v>
      </c>
      <c r="S46" s="1560">
        <v>371</v>
      </c>
      <c r="T46" s="1568">
        <f t="shared" si="5"/>
        <v>0.68733153638814015</v>
      </c>
      <c r="U46" s="1559">
        <v>254</v>
      </c>
      <c r="V46" s="1560">
        <v>370</v>
      </c>
      <c r="W46" s="1568">
        <f t="shared" si="6"/>
        <v>0.68648648648648647</v>
      </c>
      <c r="X46" s="1559">
        <v>268</v>
      </c>
      <c r="Y46" s="1560">
        <v>423</v>
      </c>
      <c r="Z46" s="1568">
        <f t="shared" si="7"/>
        <v>0.6335697399527187</v>
      </c>
      <c r="AA46" s="1559">
        <v>302</v>
      </c>
      <c r="AB46" s="1560">
        <v>431</v>
      </c>
      <c r="AC46" s="1568">
        <f t="shared" si="8"/>
        <v>0.70069605568445481</v>
      </c>
    </row>
    <row r="47" spans="1:29" ht="18.75">
      <c r="A47" s="4242"/>
      <c r="B47" s="1545" t="s">
        <v>1183</v>
      </c>
      <c r="C47" s="1548">
        <v>1</v>
      </c>
      <c r="D47" s="1543">
        <v>44</v>
      </c>
      <c r="E47" s="1569">
        <f t="shared" si="0"/>
        <v>2.2727272727272728E-2</v>
      </c>
      <c r="F47" s="1548"/>
      <c r="G47" s="1543">
        <v>42</v>
      </c>
      <c r="H47" s="1569">
        <f t="shared" si="1"/>
        <v>0</v>
      </c>
      <c r="I47" s="1548">
        <v>1</v>
      </c>
      <c r="J47" s="1543">
        <v>33</v>
      </c>
      <c r="K47" s="1569">
        <f t="shared" si="2"/>
        <v>3.0303030303030304E-2</v>
      </c>
      <c r="L47" s="1548">
        <v>1</v>
      </c>
      <c r="M47" s="1543">
        <v>53</v>
      </c>
      <c r="N47" s="1569">
        <f t="shared" si="3"/>
        <v>1.8867924528301886E-2</v>
      </c>
      <c r="O47" s="1548">
        <v>2</v>
      </c>
      <c r="P47" s="1543">
        <v>27</v>
      </c>
      <c r="Q47" s="1569">
        <f t="shared" si="4"/>
        <v>7.407407407407407E-2</v>
      </c>
      <c r="R47" s="1548">
        <v>3</v>
      </c>
      <c r="S47" s="1543">
        <v>45</v>
      </c>
      <c r="T47" s="1569">
        <f t="shared" si="5"/>
        <v>6.6666666666666666E-2</v>
      </c>
      <c r="U47" s="1548">
        <v>1</v>
      </c>
      <c r="V47" s="1543">
        <v>30</v>
      </c>
      <c r="W47" s="1569">
        <f t="shared" si="6"/>
        <v>3.3333333333333333E-2</v>
      </c>
      <c r="X47" s="1548">
        <v>1</v>
      </c>
      <c r="Y47" s="1543">
        <v>35</v>
      </c>
      <c r="Z47" s="1569">
        <f t="shared" si="7"/>
        <v>2.8571428571428571E-2</v>
      </c>
      <c r="AA47" s="1548">
        <v>0</v>
      </c>
      <c r="AB47" s="1543">
        <v>41</v>
      </c>
      <c r="AC47" s="1569">
        <f t="shared" si="8"/>
        <v>0</v>
      </c>
    </row>
    <row r="48" spans="1:29" ht="18.75">
      <c r="A48" s="4242"/>
      <c r="B48" s="1545" t="s">
        <v>1157</v>
      </c>
      <c r="C48" s="1548">
        <v>1</v>
      </c>
      <c r="D48" s="1543">
        <v>170</v>
      </c>
      <c r="E48" s="1569">
        <f t="shared" si="0"/>
        <v>5.8823529411764705E-3</v>
      </c>
      <c r="F48" s="1548">
        <v>5</v>
      </c>
      <c r="G48" s="1543">
        <v>135</v>
      </c>
      <c r="H48" s="1569">
        <f t="shared" si="1"/>
        <v>3.7037037037037035E-2</v>
      </c>
      <c r="I48" s="1548">
        <v>17</v>
      </c>
      <c r="J48" s="1543">
        <v>163</v>
      </c>
      <c r="K48" s="1569">
        <f t="shared" si="2"/>
        <v>0.10429447852760736</v>
      </c>
      <c r="L48" s="1548">
        <v>15</v>
      </c>
      <c r="M48" s="1543">
        <v>142</v>
      </c>
      <c r="N48" s="1569">
        <f t="shared" si="3"/>
        <v>0.10563380281690141</v>
      </c>
      <c r="O48" s="1548">
        <v>1</v>
      </c>
      <c r="P48" s="1543">
        <v>136</v>
      </c>
      <c r="Q48" s="1569">
        <f t="shared" si="4"/>
        <v>7.3529411764705881E-3</v>
      </c>
      <c r="R48" s="1548">
        <v>3</v>
      </c>
      <c r="S48" s="1543">
        <v>160</v>
      </c>
      <c r="T48" s="1569">
        <f t="shared" si="5"/>
        <v>1.8749999999999999E-2</v>
      </c>
      <c r="U48" s="1548">
        <v>4</v>
      </c>
      <c r="V48" s="1543">
        <v>109</v>
      </c>
      <c r="W48" s="1569">
        <f t="shared" si="6"/>
        <v>3.669724770642202E-2</v>
      </c>
      <c r="X48" s="1548">
        <v>15</v>
      </c>
      <c r="Y48" s="1543">
        <v>110</v>
      </c>
      <c r="Z48" s="1569">
        <f t="shared" si="7"/>
        <v>0.13636363636363635</v>
      </c>
      <c r="AA48" s="1548">
        <v>6</v>
      </c>
      <c r="AB48" s="1543">
        <v>149</v>
      </c>
      <c r="AC48" s="1569">
        <f t="shared" si="8"/>
        <v>4.0268456375838924E-2</v>
      </c>
    </row>
    <row r="49" spans="1:29" ht="18.75">
      <c r="A49" s="4242"/>
      <c r="B49" s="1545" t="s">
        <v>1184</v>
      </c>
      <c r="C49" s="1548">
        <v>4</v>
      </c>
      <c r="D49" s="1543">
        <v>181</v>
      </c>
      <c r="E49" s="1569">
        <f t="shared" si="0"/>
        <v>2.2099447513812154E-2</v>
      </c>
      <c r="F49" s="1548">
        <v>3</v>
      </c>
      <c r="G49" s="1543">
        <v>178</v>
      </c>
      <c r="H49" s="1569">
        <f t="shared" si="1"/>
        <v>1.6853932584269662E-2</v>
      </c>
      <c r="I49" s="1548">
        <v>2</v>
      </c>
      <c r="J49" s="1543">
        <v>216</v>
      </c>
      <c r="K49" s="1569">
        <f t="shared" si="2"/>
        <v>9.2592592592592587E-3</v>
      </c>
      <c r="L49" s="1548"/>
      <c r="M49" s="1543">
        <v>158</v>
      </c>
      <c r="N49" s="1569">
        <f t="shared" si="3"/>
        <v>0</v>
      </c>
      <c r="O49" s="1548">
        <v>3</v>
      </c>
      <c r="P49" s="1543">
        <v>136</v>
      </c>
      <c r="Q49" s="1569">
        <f t="shared" si="4"/>
        <v>2.2058823529411766E-2</v>
      </c>
      <c r="R49" s="1548">
        <v>2</v>
      </c>
      <c r="S49" s="1543">
        <v>152</v>
      </c>
      <c r="T49" s="1569">
        <f t="shared" si="5"/>
        <v>1.3157894736842105E-2</v>
      </c>
      <c r="U49" s="1548">
        <v>5</v>
      </c>
      <c r="V49" s="1543">
        <v>138</v>
      </c>
      <c r="W49" s="1569">
        <f t="shared" si="6"/>
        <v>3.6231884057971016E-2</v>
      </c>
      <c r="X49" s="1548">
        <v>7</v>
      </c>
      <c r="Y49" s="1543">
        <v>152</v>
      </c>
      <c r="Z49" s="1569">
        <f t="shared" si="7"/>
        <v>4.6052631578947366E-2</v>
      </c>
      <c r="AA49" s="1548">
        <v>3</v>
      </c>
      <c r="AB49" s="1543">
        <v>152</v>
      </c>
      <c r="AC49" s="1569">
        <f t="shared" si="8"/>
        <v>1.9736842105263157E-2</v>
      </c>
    </row>
    <row r="50" spans="1:29" ht="18.75">
      <c r="A50" s="4242"/>
      <c r="B50" s="1545" t="s">
        <v>1158</v>
      </c>
      <c r="C50" s="1548">
        <v>2</v>
      </c>
      <c r="D50" s="1543">
        <v>151</v>
      </c>
      <c r="E50" s="1569">
        <f t="shared" si="0"/>
        <v>1.3245033112582781E-2</v>
      </c>
      <c r="F50" s="1548">
        <v>3</v>
      </c>
      <c r="G50" s="1543">
        <v>145</v>
      </c>
      <c r="H50" s="1569">
        <f t="shared" si="1"/>
        <v>2.0689655172413793E-2</v>
      </c>
      <c r="I50" s="1548"/>
      <c r="J50" s="1543">
        <v>111</v>
      </c>
      <c r="K50" s="1569">
        <f t="shared" si="2"/>
        <v>0</v>
      </c>
      <c r="L50" s="1548"/>
      <c r="M50" s="1543">
        <v>142</v>
      </c>
      <c r="N50" s="1569">
        <f t="shared" si="3"/>
        <v>0</v>
      </c>
      <c r="O50" s="1548">
        <v>1</v>
      </c>
      <c r="P50" s="1543">
        <v>117</v>
      </c>
      <c r="Q50" s="1569">
        <f t="shared" si="4"/>
        <v>8.5470085470085479E-3</v>
      </c>
      <c r="R50" s="1548">
        <v>3</v>
      </c>
      <c r="S50" s="1543">
        <v>121</v>
      </c>
      <c r="T50" s="1569">
        <f t="shared" si="5"/>
        <v>2.4793388429752067E-2</v>
      </c>
      <c r="U50" s="1548">
        <v>2</v>
      </c>
      <c r="V50" s="1543">
        <v>96</v>
      </c>
      <c r="W50" s="1569">
        <f t="shared" si="6"/>
        <v>2.0833333333333332E-2</v>
      </c>
      <c r="X50" s="1548"/>
      <c r="Y50" s="1543">
        <v>129</v>
      </c>
      <c r="Z50" s="1569">
        <f t="shared" si="7"/>
        <v>0</v>
      </c>
      <c r="AA50" s="1548">
        <v>0</v>
      </c>
      <c r="AB50" s="1543">
        <v>162</v>
      </c>
      <c r="AC50" s="1569">
        <f t="shared" si="8"/>
        <v>0</v>
      </c>
    </row>
    <row r="51" spans="1:29" ht="15" customHeight="1">
      <c r="A51" s="4242"/>
      <c r="B51" s="4243" t="s">
        <v>16</v>
      </c>
      <c r="C51" s="4244">
        <f t="shared" ref="C51" si="37">SUM(C47:C50)</f>
        <v>8</v>
      </c>
      <c r="D51" s="4245">
        <v>546</v>
      </c>
      <c r="E51" s="4246">
        <f t="shared" si="0"/>
        <v>1.4652014652014652E-2</v>
      </c>
      <c r="F51" s="4244">
        <v>11</v>
      </c>
      <c r="G51" s="4245">
        <v>500</v>
      </c>
      <c r="H51" s="4246">
        <f t="shared" si="1"/>
        <v>2.1999999999999999E-2</v>
      </c>
      <c r="I51" s="4244">
        <v>20</v>
      </c>
      <c r="J51" s="4245">
        <f>SUM(J47:J50)</f>
        <v>523</v>
      </c>
      <c r="K51" s="4246">
        <f t="shared" si="2"/>
        <v>3.8240917782026769E-2</v>
      </c>
      <c r="L51" s="4244">
        <v>16</v>
      </c>
      <c r="M51" s="4245">
        <f>SUM(M47:M50)</f>
        <v>495</v>
      </c>
      <c r="N51" s="4246">
        <f t="shared" si="3"/>
        <v>3.2323232323232323E-2</v>
      </c>
      <c r="O51" s="4244">
        <f>SUM(O47:O50)</f>
        <v>7</v>
      </c>
      <c r="P51" s="4245">
        <f>SUM(P47:P50)</f>
        <v>416</v>
      </c>
      <c r="Q51" s="4246">
        <f t="shared" si="4"/>
        <v>1.6826923076923076E-2</v>
      </c>
      <c r="R51" s="4244">
        <v>11</v>
      </c>
      <c r="S51" s="4245">
        <v>478</v>
      </c>
      <c r="T51" s="4246">
        <f t="shared" si="5"/>
        <v>2.3012552301255231E-2</v>
      </c>
      <c r="U51" s="4244">
        <v>12</v>
      </c>
      <c r="V51" s="4245">
        <v>373</v>
      </c>
      <c r="W51" s="4246">
        <f t="shared" si="6"/>
        <v>3.2171581769436998E-2</v>
      </c>
      <c r="X51" s="4244">
        <v>23</v>
      </c>
      <c r="Y51" s="4245">
        <v>426</v>
      </c>
      <c r="Z51" s="4246">
        <f t="shared" si="7"/>
        <v>5.39906103286385E-2</v>
      </c>
      <c r="AA51" s="4244">
        <v>9</v>
      </c>
      <c r="AB51" s="4245">
        <v>504</v>
      </c>
      <c r="AC51" s="4246">
        <f t="shared" si="8"/>
        <v>1.7857142857142856E-2</v>
      </c>
    </row>
    <row r="52" spans="1:29" ht="15" customHeight="1">
      <c r="A52" s="4242"/>
      <c r="B52" s="4255" t="s">
        <v>1185</v>
      </c>
      <c r="C52" s="4256">
        <f t="shared" ref="C52" si="38">SUM(C40,C46,C51)</f>
        <v>469</v>
      </c>
      <c r="D52" s="4257">
        <v>1381</v>
      </c>
      <c r="E52" s="4258">
        <f t="shared" si="0"/>
        <v>0.33960897900072412</v>
      </c>
      <c r="F52" s="4256">
        <v>450</v>
      </c>
      <c r="G52" s="4257">
        <v>1361</v>
      </c>
      <c r="H52" s="4258">
        <f t="shared" si="1"/>
        <v>0.33063923585598826</v>
      </c>
      <c r="I52" s="4256">
        <v>500</v>
      </c>
      <c r="J52" s="4257">
        <f t="shared" ref="J52" si="39">SUM(J51,J46,J40)</f>
        <v>1369</v>
      </c>
      <c r="K52" s="4258">
        <f t="shared" si="2"/>
        <v>0.36523009495982467</v>
      </c>
      <c r="L52" s="4256">
        <v>560</v>
      </c>
      <c r="M52" s="4257">
        <f t="shared" ref="M52" si="40">SUM(M51,M46,M40)</f>
        <v>1447</v>
      </c>
      <c r="N52" s="4258">
        <f t="shared" si="3"/>
        <v>0.38700760193503803</v>
      </c>
      <c r="O52" s="4256">
        <f>SUM(O40,O46,O51)</f>
        <v>582</v>
      </c>
      <c r="P52" s="4257">
        <f t="shared" ref="P52" si="41">SUM(P51,P46,P40)</f>
        <v>1271</v>
      </c>
      <c r="Q52" s="4258">
        <f t="shared" si="4"/>
        <v>0.45790715971675844</v>
      </c>
      <c r="R52" s="4256">
        <v>585</v>
      </c>
      <c r="S52" s="4257">
        <v>1365</v>
      </c>
      <c r="T52" s="4258">
        <f t="shared" si="5"/>
        <v>0.42857142857142855</v>
      </c>
      <c r="U52" s="4256">
        <v>574</v>
      </c>
      <c r="V52" s="4257">
        <v>1224</v>
      </c>
      <c r="W52" s="4258">
        <f t="shared" si="6"/>
        <v>0.46895424836601307</v>
      </c>
      <c r="X52" s="4256">
        <v>612</v>
      </c>
      <c r="Y52" s="4257">
        <v>1342</v>
      </c>
      <c r="Z52" s="4258">
        <f t="shared" si="7"/>
        <v>0.45603576751117736</v>
      </c>
      <c r="AA52" s="4256">
        <v>649</v>
      </c>
      <c r="AB52" s="4257">
        <v>1455</v>
      </c>
      <c r="AC52" s="4258">
        <f t="shared" si="8"/>
        <v>0.44604810996563576</v>
      </c>
    </row>
    <row r="53" spans="1:29" ht="18.75">
      <c r="A53" s="4242"/>
      <c r="B53" s="1545" t="s">
        <v>1186</v>
      </c>
      <c r="C53" s="1552"/>
      <c r="D53" s="1553"/>
      <c r="E53" s="1571"/>
      <c r="F53" s="1552"/>
      <c r="G53" s="1553"/>
      <c r="H53" s="1571"/>
      <c r="I53" s="1552"/>
      <c r="J53" s="1553"/>
      <c r="K53" s="1571"/>
      <c r="L53" s="1552"/>
      <c r="M53" s="1553"/>
      <c r="N53" s="1571"/>
      <c r="O53" s="1552">
        <v>0</v>
      </c>
      <c r="P53" s="1553"/>
      <c r="Q53" s="1571"/>
      <c r="R53" s="1552"/>
      <c r="S53" s="1553"/>
      <c r="T53" s="1571"/>
      <c r="U53" s="1552"/>
      <c r="V53" s="1553">
        <v>6</v>
      </c>
      <c r="W53" s="1571"/>
      <c r="X53" s="1552"/>
      <c r="Y53" s="1553">
        <v>0</v>
      </c>
      <c r="Z53" s="1571"/>
      <c r="AA53" s="1552">
        <v>0</v>
      </c>
      <c r="AB53" s="1553">
        <v>0</v>
      </c>
      <c r="AC53" s="1571"/>
    </row>
    <row r="54" spans="1:29" ht="18.75">
      <c r="A54" s="4242"/>
      <c r="B54" s="1545" t="s">
        <v>1187</v>
      </c>
      <c r="C54" s="1552"/>
      <c r="D54" s="1553"/>
      <c r="E54" s="1571"/>
      <c r="F54" s="1552"/>
      <c r="G54" s="1553"/>
      <c r="H54" s="1571"/>
      <c r="I54" s="1552"/>
      <c r="J54" s="1553"/>
      <c r="K54" s="1571"/>
      <c r="L54" s="1552"/>
      <c r="M54" s="1553">
        <v>18</v>
      </c>
      <c r="N54" s="1571"/>
      <c r="O54" s="1552">
        <v>2</v>
      </c>
      <c r="P54" s="1553">
        <v>2</v>
      </c>
      <c r="Q54" s="1571">
        <f t="shared" si="4"/>
        <v>1</v>
      </c>
      <c r="R54" s="1552">
        <v>6</v>
      </c>
      <c r="S54" s="1553">
        <v>6</v>
      </c>
      <c r="T54" s="1571">
        <f t="shared" ref="T54:T58" si="42">R54/S54</f>
        <v>1</v>
      </c>
      <c r="U54" s="1552">
        <v>6</v>
      </c>
      <c r="V54" s="1553">
        <v>8</v>
      </c>
      <c r="W54" s="1571">
        <f t="shared" ref="W54:W58" si="43">U54/V54</f>
        <v>0.75</v>
      </c>
      <c r="X54" s="1552">
        <v>5</v>
      </c>
      <c r="Y54" s="1553">
        <v>6</v>
      </c>
      <c r="Z54" s="1571">
        <f t="shared" ref="Z54:Z58" si="44">X54/Y54</f>
        <v>0.83333333333333337</v>
      </c>
      <c r="AA54" s="1552">
        <v>8</v>
      </c>
      <c r="AB54" s="1553">
        <v>10</v>
      </c>
      <c r="AC54" s="1571">
        <f t="shared" ref="AC54:AC58" si="45">AA54/AB54</f>
        <v>0.8</v>
      </c>
    </row>
    <row r="55" spans="1:29" ht="18.75">
      <c r="A55" s="4242"/>
      <c r="B55" s="1545" t="s">
        <v>1188</v>
      </c>
      <c r="C55" s="1552"/>
      <c r="D55" s="1553"/>
      <c r="E55" s="1571"/>
      <c r="F55" s="1552"/>
      <c r="G55" s="1553"/>
      <c r="H55" s="1571"/>
      <c r="I55" s="1552"/>
      <c r="J55" s="1553"/>
      <c r="K55" s="1571"/>
      <c r="L55" s="1552"/>
      <c r="M55" s="1553"/>
      <c r="N55" s="1571"/>
      <c r="O55" s="1552">
        <v>0</v>
      </c>
      <c r="P55" s="1553">
        <v>3</v>
      </c>
      <c r="Q55" s="1571">
        <f t="shared" si="4"/>
        <v>0</v>
      </c>
      <c r="R55" s="1552">
        <v>1</v>
      </c>
      <c r="S55" s="1553">
        <v>3</v>
      </c>
      <c r="T55" s="1571">
        <f t="shared" si="42"/>
        <v>0.33333333333333331</v>
      </c>
      <c r="U55" s="1552">
        <v>2</v>
      </c>
      <c r="V55" s="1553">
        <v>2</v>
      </c>
      <c r="W55" s="1571">
        <f t="shared" si="43"/>
        <v>1</v>
      </c>
      <c r="X55" s="1552">
        <v>1</v>
      </c>
      <c r="Y55" s="1553">
        <v>6</v>
      </c>
      <c r="Z55" s="1571">
        <f t="shared" si="44"/>
        <v>0.16666666666666666</v>
      </c>
      <c r="AA55" s="1552">
        <v>7</v>
      </c>
      <c r="AB55" s="1553">
        <v>26</v>
      </c>
      <c r="AC55" s="1571">
        <f t="shared" si="45"/>
        <v>0.26923076923076922</v>
      </c>
    </row>
    <row r="56" spans="1:29" ht="15" customHeight="1">
      <c r="A56" s="4242"/>
      <c r="B56" s="4179" t="s">
        <v>4</v>
      </c>
      <c r="C56" s="1559"/>
      <c r="D56" s="1560"/>
      <c r="E56" s="1568"/>
      <c r="F56" s="1559"/>
      <c r="G56" s="1560"/>
      <c r="H56" s="1568"/>
      <c r="I56" s="1559"/>
      <c r="J56" s="1560"/>
      <c r="K56" s="1568"/>
      <c r="L56" s="1559">
        <v>0</v>
      </c>
      <c r="M56" s="1560">
        <f>SUM(M53:M55)</f>
        <v>18</v>
      </c>
      <c r="N56" s="1568"/>
      <c r="O56" s="1559">
        <f>SUM(O53:O55)</f>
        <v>2</v>
      </c>
      <c r="P56" s="1560">
        <f t="shared" ref="P56" si="46">SUM(P54:P55)</f>
        <v>5</v>
      </c>
      <c r="Q56" s="1568">
        <f t="shared" si="4"/>
        <v>0.4</v>
      </c>
      <c r="R56" s="1559">
        <v>7</v>
      </c>
      <c r="S56" s="1560">
        <v>9</v>
      </c>
      <c r="T56" s="1568">
        <f t="shared" si="42"/>
        <v>0.77777777777777779</v>
      </c>
      <c r="U56" s="1559">
        <v>8</v>
      </c>
      <c r="V56" s="1560">
        <v>16</v>
      </c>
      <c r="W56" s="1568">
        <f t="shared" si="43"/>
        <v>0.5</v>
      </c>
      <c r="X56" s="1559">
        <v>6</v>
      </c>
      <c r="Y56" s="1560">
        <v>12</v>
      </c>
      <c r="Z56" s="1568">
        <f t="shared" si="44"/>
        <v>0.5</v>
      </c>
      <c r="AA56" s="1559">
        <v>15</v>
      </c>
      <c r="AB56" s="1560">
        <v>36</v>
      </c>
      <c r="AC56" s="1568">
        <f t="shared" si="45"/>
        <v>0.41666666666666669</v>
      </c>
    </row>
    <row r="57" spans="1:29" ht="18.75">
      <c r="A57" s="4242"/>
      <c r="B57" s="1545" t="s">
        <v>1189</v>
      </c>
      <c r="C57" s="1552"/>
      <c r="D57" s="1553"/>
      <c r="E57" s="1571"/>
      <c r="F57" s="1552"/>
      <c r="G57" s="1553"/>
      <c r="H57" s="1571"/>
      <c r="I57" s="1552"/>
      <c r="J57" s="1553"/>
      <c r="K57" s="1571"/>
      <c r="L57" s="1552"/>
      <c r="M57" s="1553"/>
      <c r="N57" s="1571"/>
      <c r="O57" s="1552">
        <v>8</v>
      </c>
      <c r="P57" s="1553">
        <v>13</v>
      </c>
      <c r="Q57" s="1571">
        <f t="shared" si="4"/>
        <v>0.61538461538461542</v>
      </c>
      <c r="R57" s="1552">
        <v>18</v>
      </c>
      <c r="S57" s="1553">
        <v>23</v>
      </c>
      <c r="T57" s="1571">
        <f t="shared" si="42"/>
        <v>0.78260869565217395</v>
      </c>
      <c r="U57" s="1552">
        <v>3</v>
      </c>
      <c r="V57" s="1553">
        <v>4</v>
      </c>
      <c r="W57" s="1571">
        <f t="shared" si="43"/>
        <v>0.75</v>
      </c>
      <c r="X57" s="1552">
        <v>15</v>
      </c>
      <c r="Y57" s="1553">
        <v>23</v>
      </c>
      <c r="Z57" s="1571">
        <f t="shared" si="44"/>
        <v>0.65217391304347827</v>
      </c>
      <c r="AA57" s="1552">
        <v>11</v>
      </c>
      <c r="AB57" s="1553">
        <v>15</v>
      </c>
      <c r="AC57" s="1571">
        <f t="shared" si="45"/>
        <v>0.73333333333333328</v>
      </c>
    </row>
    <row r="58" spans="1:29" ht="18.75">
      <c r="A58" s="4242"/>
      <c r="B58" s="1545" t="s">
        <v>1190</v>
      </c>
      <c r="C58" s="1552"/>
      <c r="D58" s="1553"/>
      <c r="E58" s="1571"/>
      <c r="F58" s="1552"/>
      <c r="G58" s="1553"/>
      <c r="H58" s="1571"/>
      <c r="I58" s="1552"/>
      <c r="J58" s="1553"/>
      <c r="K58" s="1571"/>
      <c r="L58" s="1552"/>
      <c r="M58" s="1553"/>
      <c r="N58" s="1571"/>
      <c r="O58" s="1552">
        <v>5</v>
      </c>
      <c r="P58" s="1553">
        <v>5</v>
      </c>
      <c r="Q58" s="1571">
        <f t="shared" si="4"/>
        <v>1</v>
      </c>
      <c r="R58" s="1552"/>
      <c r="S58" s="1553"/>
      <c r="T58" s="1571" t="e">
        <f t="shared" si="42"/>
        <v>#DIV/0!</v>
      </c>
      <c r="U58" s="1552"/>
      <c r="V58" s="1553">
        <v>1</v>
      </c>
      <c r="W58" s="1571">
        <f t="shared" si="43"/>
        <v>0</v>
      </c>
      <c r="X58" s="1552">
        <v>14</v>
      </c>
      <c r="Y58" s="1553">
        <v>23</v>
      </c>
      <c r="Z58" s="1571">
        <f t="shared" si="44"/>
        <v>0.60869565217391308</v>
      </c>
      <c r="AA58" s="1552">
        <v>32</v>
      </c>
      <c r="AB58" s="1553">
        <v>46</v>
      </c>
      <c r="AC58" s="1571">
        <f t="shared" si="45"/>
        <v>0.69565217391304346</v>
      </c>
    </row>
    <row r="59" spans="1:29" ht="18.75">
      <c r="A59" s="4242"/>
      <c r="B59" s="1545" t="s">
        <v>1181</v>
      </c>
      <c r="C59" s="1552"/>
      <c r="D59" s="1553"/>
      <c r="E59" s="1571"/>
      <c r="F59" s="1552"/>
      <c r="G59" s="1553"/>
      <c r="H59" s="1571"/>
      <c r="I59" s="1552"/>
      <c r="J59" s="1553"/>
      <c r="K59" s="1571"/>
      <c r="L59" s="1552"/>
      <c r="M59" s="1553"/>
      <c r="N59" s="1571"/>
      <c r="O59" s="1552">
        <v>0</v>
      </c>
      <c r="P59" s="1553">
        <v>0</v>
      </c>
      <c r="Q59" s="1571"/>
      <c r="R59" s="1552"/>
      <c r="S59" s="1553"/>
      <c r="T59" s="1571"/>
      <c r="U59" s="1552"/>
      <c r="V59" s="1553">
        <v>0</v>
      </c>
      <c r="W59" s="1571"/>
      <c r="X59" s="1552">
        <v>26</v>
      </c>
      <c r="Y59" s="1553">
        <v>36</v>
      </c>
      <c r="Z59" s="1571"/>
      <c r="AA59" s="1552">
        <v>6</v>
      </c>
      <c r="AB59" s="1553">
        <v>8</v>
      </c>
      <c r="AC59" s="1571"/>
    </row>
    <row r="60" spans="1:29" ht="15" customHeight="1">
      <c r="A60" s="4242"/>
      <c r="B60" s="4179" t="s">
        <v>41</v>
      </c>
      <c r="C60" s="1559"/>
      <c r="D60" s="1560"/>
      <c r="E60" s="1568"/>
      <c r="F60" s="1559"/>
      <c r="G60" s="1560"/>
      <c r="H60" s="1568"/>
      <c r="I60" s="1559"/>
      <c r="J60" s="1560"/>
      <c r="K60" s="1568"/>
      <c r="L60" s="1559">
        <v>0</v>
      </c>
      <c r="M60" s="1560"/>
      <c r="N60" s="1568"/>
      <c r="O60" s="1559">
        <f>SUM(O57:O59)</f>
        <v>13</v>
      </c>
      <c r="P60" s="1560">
        <f>SUM(P57:P59)</f>
        <v>18</v>
      </c>
      <c r="Q60" s="1568">
        <f t="shared" si="4"/>
        <v>0.72222222222222221</v>
      </c>
      <c r="R60" s="1559">
        <v>18</v>
      </c>
      <c r="S60" s="1560">
        <v>23</v>
      </c>
      <c r="T60" s="1568">
        <f t="shared" ref="T60" si="47">R60/S60</f>
        <v>0.78260869565217395</v>
      </c>
      <c r="U60" s="1559">
        <v>3</v>
      </c>
      <c r="V60" s="1560">
        <v>5</v>
      </c>
      <c r="W60" s="1568">
        <f t="shared" ref="W60" si="48">U60/V60</f>
        <v>0.6</v>
      </c>
      <c r="X60" s="1559">
        <v>55</v>
      </c>
      <c r="Y60" s="1560">
        <v>82</v>
      </c>
      <c r="Z60" s="1568">
        <f t="shared" ref="Z60" si="49">X60/Y60</f>
        <v>0.67073170731707321</v>
      </c>
      <c r="AA60" s="1559">
        <v>49</v>
      </c>
      <c r="AB60" s="1560">
        <v>69</v>
      </c>
      <c r="AC60" s="1568">
        <f t="shared" ref="AC60" si="50">AA60/AB60</f>
        <v>0.71014492753623193</v>
      </c>
    </row>
    <row r="61" spans="1:29" ht="18.75">
      <c r="A61" s="4242"/>
      <c r="B61" s="1545" t="s">
        <v>1191</v>
      </c>
      <c r="C61" s="1552"/>
      <c r="D61" s="1553"/>
      <c r="E61" s="1571"/>
      <c r="F61" s="1552"/>
      <c r="G61" s="1553"/>
      <c r="H61" s="1571"/>
      <c r="I61" s="1552"/>
      <c r="J61" s="1553"/>
      <c r="K61" s="1571"/>
      <c r="L61" s="1552"/>
      <c r="M61" s="1553"/>
      <c r="N61" s="1571"/>
      <c r="O61" s="1552">
        <v>0</v>
      </c>
      <c r="P61" s="1553"/>
      <c r="Q61" s="1571"/>
      <c r="R61" s="1552"/>
      <c r="S61" s="1553"/>
      <c r="T61" s="1571"/>
      <c r="U61" s="1552"/>
      <c r="V61" s="1553">
        <v>10</v>
      </c>
      <c r="W61" s="1571"/>
      <c r="X61" s="1552"/>
      <c r="Y61" s="1553">
        <v>8</v>
      </c>
      <c r="Z61" s="1571"/>
      <c r="AA61" s="1552">
        <v>0</v>
      </c>
      <c r="AB61" s="1553">
        <v>6</v>
      </c>
      <c r="AC61" s="1571"/>
    </row>
    <row r="62" spans="1:29" ht="18.75">
      <c r="A62" s="4242"/>
      <c r="B62" s="1545" t="s">
        <v>1192</v>
      </c>
      <c r="C62" s="1552"/>
      <c r="D62" s="1553"/>
      <c r="E62" s="1571"/>
      <c r="F62" s="1552"/>
      <c r="G62" s="1553"/>
      <c r="H62" s="1571"/>
      <c r="I62" s="1552"/>
      <c r="J62" s="1553"/>
      <c r="K62" s="1571"/>
      <c r="L62" s="1552"/>
      <c r="M62" s="1553"/>
      <c r="N62" s="1571"/>
      <c r="O62" s="1552">
        <v>0</v>
      </c>
      <c r="P62" s="1553"/>
      <c r="Q62" s="1571"/>
      <c r="R62" s="1552"/>
      <c r="S62" s="1553"/>
      <c r="T62" s="1571"/>
      <c r="U62" s="1552"/>
      <c r="V62" s="1553">
        <v>3</v>
      </c>
      <c r="W62" s="1571"/>
      <c r="X62" s="1552"/>
      <c r="Y62" s="1553">
        <v>0</v>
      </c>
      <c r="Z62" s="1571"/>
      <c r="AA62" s="1552">
        <v>0</v>
      </c>
      <c r="AB62" s="1553">
        <v>21</v>
      </c>
      <c r="AC62" s="1571"/>
    </row>
    <row r="63" spans="1:29" ht="18.75">
      <c r="A63" s="4242"/>
      <c r="B63" s="1545" t="s">
        <v>1193</v>
      </c>
      <c r="C63" s="1552"/>
      <c r="D63" s="1553"/>
      <c r="E63" s="1571"/>
      <c r="F63" s="1552"/>
      <c r="G63" s="1553"/>
      <c r="H63" s="1571"/>
      <c r="I63" s="1552"/>
      <c r="J63" s="1553"/>
      <c r="K63" s="1571"/>
      <c r="L63" s="1552"/>
      <c r="M63" s="1553"/>
      <c r="N63" s="1571"/>
      <c r="O63" s="1552">
        <v>0</v>
      </c>
      <c r="P63" s="1553">
        <v>1</v>
      </c>
      <c r="Q63" s="1571">
        <f t="shared" si="4"/>
        <v>0</v>
      </c>
      <c r="R63" s="1552"/>
      <c r="S63" s="1553">
        <v>25</v>
      </c>
      <c r="T63" s="1571">
        <f t="shared" ref="T63:T82" si="51">R63/S63</f>
        <v>0</v>
      </c>
      <c r="U63" s="1552">
        <v>1</v>
      </c>
      <c r="V63" s="1553">
        <v>26</v>
      </c>
      <c r="W63" s="1571">
        <f t="shared" ref="W63:W82" si="52">U63/V63</f>
        <v>3.8461538461538464E-2</v>
      </c>
      <c r="X63" s="1552"/>
      <c r="Y63" s="1553">
        <v>35</v>
      </c>
      <c r="Z63" s="1571">
        <f t="shared" ref="Z63:Z82" si="53">X63/Y63</f>
        <v>0</v>
      </c>
      <c r="AA63" s="1552">
        <v>0</v>
      </c>
      <c r="AB63" s="1553">
        <v>27</v>
      </c>
      <c r="AC63" s="1571">
        <f t="shared" ref="AC63:AC82" si="54">AA63/AB63</f>
        <v>0</v>
      </c>
    </row>
    <row r="64" spans="1:29" ht="15" customHeight="1">
      <c r="A64" s="4242"/>
      <c r="B64" s="4243" t="s">
        <v>16</v>
      </c>
      <c r="C64" s="4244"/>
      <c r="D64" s="4245"/>
      <c r="E64" s="4246"/>
      <c r="F64" s="4244"/>
      <c r="G64" s="4245"/>
      <c r="H64" s="4246"/>
      <c r="I64" s="4244"/>
      <c r="J64" s="4245"/>
      <c r="K64" s="4246"/>
      <c r="L64" s="4244">
        <v>0</v>
      </c>
      <c r="M64" s="4245"/>
      <c r="N64" s="4246"/>
      <c r="O64" s="4244">
        <f>SUM(O61:O63)</f>
        <v>0</v>
      </c>
      <c r="P64" s="4245">
        <f>SUM(P61:P63)</f>
        <v>1</v>
      </c>
      <c r="Q64" s="4246">
        <f t="shared" si="4"/>
        <v>0</v>
      </c>
      <c r="R64" s="4244">
        <v>0</v>
      </c>
      <c r="S64" s="4245">
        <v>25</v>
      </c>
      <c r="T64" s="4246">
        <f t="shared" si="51"/>
        <v>0</v>
      </c>
      <c r="U64" s="4244">
        <v>1</v>
      </c>
      <c r="V64" s="4245">
        <v>39</v>
      </c>
      <c r="W64" s="4246">
        <f t="shared" si="52"/>
        <v>2.564102564102564E-2</v>
      </c>
      <c r="X64" s="4244">
        <v>0</v>
      </c>
      <c r="Y64" s="4245">
        <v>43</v>
      </c>
      <c r="Z64" s="4246">
        <f t="shared" si="53"/>
        <v>0</v>
      </c>
      <c r="AA64" s="4244">
        <v>0</v>
      </c>
      <c r="AB64" s="4245">
        <v>54</v>
      </c>
      <c r="AC64" s="4246">
        <f t="shared" si="54"/>
        <v>0</v>
      </c>
    </row>
    <row r="65" spans="1:29" ht="15" customHeight="1">
      <c r="A65" s="4242"/>
      <c r="B65" s="4259" t="s">
        <v>363</v>
      </c>
      <c r="C65" s="4260"/>
      <c r="D65" s="4261"/>
      <c r="E65" s="4262"/>
      <c r="F65" s="4260"/>
      <c r="G65" s="4261"/>
      <c r="H65" s="4262"/>
      <c r="I65" s="4260"/>
      <c r="J65" s="4261"/>
      <c r="K65" s="4262"/>
      <c r="L65" s="4260">
        <v>0</v>
      </c>
      <c r="M65" s="4261">
        <f>SUM(M56,M60,M64)</f>
        <v>18</v>
      </c>
      <c r="N65" s="4262"/>
      <c r="O65" s="4260">
        <f>SUM(O56,O60,O64)</f>
        <v>15</v>
      </c>
      <c r="P65" s="4261">
        <f>SUM(P56,P60,P64)</f>
        <v>24</v>
      </c>
      <c r="Q65" s="4262">
        <f t="shared" si="4"/>
        <v>0.625</v>
      </c>
      <c r="R65" s="4260">
        <v>25</v>
      </c>
      <c r="S65" s="4261">
        <v>57</v>
      </c>
      <c r="T65" s="4262">
        <f t="shared" si="51"/>
        <v>0.43859649122807015</v>
      </c>
      <c r="U65" s="4260">
        <v>12</v>
      </c>
      <c r="V65" s="4261">
        <v>60</v>
      </c>
      <c r="W65" s="4262">
        <f t="shared" si="52"/>
        <v>0.2</v>
      </c>
      <c r="X65" s="4260">
        <v>61</v>
      </c>
      <c r="Y65" s="4261">
        <v>137</v>
      </c>
      <c r="Z65" s="4262">
        <f t="shared" si="53"/>
        <v>0.44525547445255476</v>
      </c>
      <c r="AA65" s="4260">
        <v>64</v>
      </c>
      <c r="AB65" s="4261">
        <v>159</v>
      </c>
      <c r="AC65" s="4262">
        <f t="shared" si="54"/>
        <v>0.40251572327044027</v>
      </c>
    </row>
    <row r="66" spans="1:29" ht="18.75">
      <c r="A66" s="4242"/>
      <c r="B66" s="1545" t="s">
        <v>1194</v>
      </c>
      <c r="C66" s="1548">
        <v>50</v>
      </c>
      <c r="D66" s="1543">
        <v>221</v>
      </c>
      <c r="E66" s="1569">
        <f t="shared" si="0"/>
        <v>0.22624434389140272</v>
      </c>
      <c r="F66" s="1548">
        <v>33</v>
      </c>
      <c r="G66" s="1543">
        <v>216</v>
      </c>
      <c r="H66" s="1569">
        <f t="shared" si="1"/>
        <v>0.15277777777777779</v>
      </c>
      <c r="I66" s="1548">
        <v>38</v>
      </c>
      <c r="J66" s="1543">
        <v>224</v>
      </c>
      <c r="K66" s="1569">
        <f t="shared" si="2"/>
        <v>0.16964285714285715</v>
      </c>
      <c r="L66" s="1548">
        <v>35</v>
      </c>
      <c r="M66" s="1543">
        <v>151</v>
      </c>
      <c r="N66" s="1569">
        <f t="shared" si="3"/>
        <v>0.23178807947019867</v>
      </c>
      <c r="O66" s="1548">
        <v>51</v>
      </c>
      <c r="P66" s="1543">
        <v>252</v>
      </c>
      <c r="Q66" s="1569">
        <f t="shared" si="4"/>
        <v>0.20238095238095238</v>
      </c>
      <c r="R66" s="1548">
        <v>46</v>
      </c>
      <c r="S66" s="1543">
        <v>217</v>
      </c>
      <c r="T66" s="1569">
        <f t="shared" si="51"/>
        <v>0.2119815668202765</v>
      </c>
      <c r="U66" s="1548">
        <v>48</v>
      </c>
      <c r="V66" s="1543">
        <v>204</v>
      </c>
      <c r="W66" s="1569">
        <f t="shared" si="52"/>
        <v>0.23529411764705882</v>
      </c>
      <c r="X66" s="1548">
        <v>45</v>
      </c>
      <c r="Y66" s="1543">
        <v>228</v>
      </c>
      <c r="Z66" s="1569">
        <f t="shared" si="53"/>
        <v>0.19736842105263158</v>
      </c>
      <c r="AA66" s="1548">
        <v>43</v>
      </c>
      <c r="AB66" s="1543">
        <v>208</v>
      </c>
      <c r="AC66" s="1569">
        <f t="shared" si="54"/>
        <v>0.20673076923076922</v>
      </c>
    </row>
    <row r="67" spans="1:29" ht="18.75">
      <c r="A67" s="4242"/>
      <c r="B67" s="1545" t="s">
        <v>1195</v>
      </c>
      <c r="C67" s="1548">
        <v>26</v>
      </c>
      <c r="D67" s="1543">
        <v>60</v>
      </c>
      <c r="E67" s="1569">
        <f t="shared" si="0"/>
        <v>0.43333333333333335</v>
      </c>
      <c r="F67" s="1548">
        <v>12</v>
      </c>
      <c r="G67" s="1543">
        <v>44</v>
      </c>
      <c r="H67" s="1569">
        <f t="shared" si="1"/>
        <v>0.27272727272727271</v>
      </c>
      <c r="I67" s="1548">
        <v>21</v>
      </c>
      <c r="J67" s="1543">
        <v>66</v>
      </c>
      <c r="K67" s="1569">
        <f t="shared" si="2"/>
        <v>0.31818181818181818</v>
      </c>
      <c r="L67" s="1548">
        <v>31</v>
      </c>
      <c r="M67" s="1543">
        <v>75</v>
      </c>
      <c r="N67" s="1569">
        <f t="shared" si="3"/>
        <v>0.41333333333333333</v>
      </c>
      <c r="O67" s="1548">
        <v>24</v>
      </c>
      <c r="P67" s="1543">
        <v>96</v>
      </c>
      <c r="Q67" s="1569">
        <f t="shared" si="4"/>
        <v>0.25</v>
      </c>
      <c r="R67" s="1548">
        <v>21</v>
      </c>
      <c r="S67" s="1543">
        <v>58</v>
      </c>
      <c r="T67" s="1569">
        <f t="shared" si="51"/>
        <v>0.36206896551724138</v>
      </c>
      <c r="U67" s="1548">
        <v>17</v>
      </c>
      <c r="V67" s="1543">
        <v>83</v>
      </c>
      <c r="W67" s="1569">
        <f t="shared" si="52"/>
        <v>0.20481927710843373</v>
      </c>
      <c r="X67" s="1548">
        <v>22</v>
      </c>
      <c r="Y67" s="1543">
        <v>84</v>
      </c>
      <c r="Z67" s="1569">
        <f t="shared" si="53"/>
        <v>0.26190476190476192</v>
      </c>
      <c r="AA67" s="1548">
        <v>19</v>
      </c>
      <c r="AB67" s="1543">
        <v>94</v>
      </c>
      <c r="AC67" s="1569">
        <f t="shared" si="54"/>
        <v>0.20212765957446807</v>
      </c>
    </row>
    <row r="68" spans="1:29" ht="18.75">
      <c r="A68" s="4242"/>
      <c r="B68" s="1545" t="s">
        <v>1196</v>
      </c>
      <c r="C68" s="1548">
        <v>73</v>
      </c>
      <c r="D68" s="1543">
        <v>157</v>
      </c>
      <c r="E68" s="1569">
        <f t="shared" si="0"/>
        <v>0.46496815286624205</v>
      </c>
      <c r="F68" s="1548">
        <v>74</v>
      </c>
      <c r="G68" s="1543">
        <v>147</v>
      </c>
      <c r="H68" s="1569">
        <f t="shared" si="1"/>
        <v>0.50340136054421769</v>
      </c>
      <c r="I68" s="1548">
        <v>84</v>
      </c>
      <c r="J68" s="1543">
        <v>189</v>
      </c>
      <c r="K68" s="1569">
        <f t="shared" si="2"/>
        <v>0.44444444444444442</v>
      </c>
      <c r="L68" s="1548">
        <v>86</v>
      </c>
      <c r="M68" s="1543">
        <v>177</v>
      </c>
      <c r="N68" s="1569">
        <f t="shared" si="3"/>
        <v>0.48587570621468928</v>
      </c>
      <c r="O68" s="1548">
        <v>84</v>
      </c>
      <c r="P68" s="1543">
        <v>148</v>
      </c>
      <c r="Q68" s="1569">
        <f t="shared" si="4"/>
        <v>0.56756756756756754</v>
      </c>
      <c r="R68" s="1548">
        <v>83</v>
      </c>
      <c r="S68" s="1543">
        <v>185</v>
      </c>
      <c r="T68" s="1569">
        <f t="shared" si="51"/>
        <v>0.44864864864864867</v>
      </c>
      <c r="U68" s="1548">
        <v>38</v>
      </c>
      <c r="V68" s="1543">
        <v>87</v>
      </c>
      <c r="W68" s="1569">
        <f t="shared" si="52"/>
        <v>0.43678160919540232</v>
      </c>
      <c r="X68" s="1548">
        <v>64</v>
      </c>
      <c r="Y68" s="1543">
        <v>124</v>
      </c>
      <c r="Z68" s="1569">
        <f t="shared" si="53"/>
        <v>0.5161290322580645</v>
      </c>
      <c r="AA68" s="1548">
        <v>60</v>
      </c>
      <c r="AB68" s="1543">
        <v>118</v>
      </c>
      <c r="AC68" s="1569">
        <f t="shared" si="54"/>
        <v>0.50847457627118642</v>
      </c>
    </row>
    <row r="69" spans="1:29" ht="18.75">
      <c r="A69" s="4242"/>
      <c r="B69" s="1545" t="s">
        <v>1197</v>
      </c>
      <c r="C69" s="1548">
        <v>49</v>
      </c>
      <c r="D69" s="1543">
        <v>86</v>
      </c>
      <c r="E69" s="1569">
        <f t="shared" ref="E69:E82" si="55">C69/D69</f>
        <v>0.56976744186046513</v>
      </c>
      <c r="F69" s="1548">
        <v>46</v>
      </c>
      <c r="G69" s="1543">
        <v>80</v>
      </c>
      <c r="H69" s="1569">
        <f t="shared" ref="H69:H82" si="56">F69/G69</f>
        <v>0.57499999999999996</v>
      </c>
      <c r="I69" s="1548">
        <v>58</v>
      </c>
      <c r="J69" s="1543">
        <v>118</v>
      </c>
      <c r="K69" s="1569">
        <f t="shared" ref="K69:K82" si="57">I69/J69</f>
        <v>0.49152542372881358</v>
      </c>
      <c r="L69" s="1548">
        <v>78</v>
      </c>
      <c r="M69" s="1543">
        <v>131</v>
      </c>
      <c r="N69" s="1569">
        <f t="shared" ref="N69:N82" si="58">L69/M69</f>
        <v>0.59541984732824427</v>
      </c>
      <c r="O69" s="1548">
        <v>106</v>
      </c>
      <c r="P69" s="1543">
        <v>165</v>
      </c>
      <c r="Q69" s="1569">
        <f t="shared" ref="Q69:Q82" si="59">O69/P69</f>
        <v>0.64242424242424245</v>
      </c>
      <c r="R69" s="1548">
        <v>77</v>
      </c>
      <c r="S69" s="1543">
        <v>136</v>
      </c>
      <c r="T69" s="1569">
        <f t="shared" si="51"/>
        <v>0.56617647058823528</v>
      </c>
      <c r="U69" s="1548">
        <v>59</v>
      </c>
      <c r="V69" s="1543">
        <v>96</v>
      </c>
      <c r="W69" s="1569">
        <f t="shared" si="52"/>
        <v>0.61458333333333337</v>
      </c>
      <c r="X69" s="1548">
        <v>63</v>
      </c>
      <c r="Y69" s="1543">
        <v>123</v>
      </c>
      <c r="Z69" s="1569">
        <f t="shared" si="53"/>
        <v>0.51219512195121952</v>
      </c>
      <c r="AA69" s="1548">
        <v>79</v>
      </c>
      <c r="AB69" s="1543">
        <v>117</v>
      </c>
      <c r="AC69" s="1569">
        <f t="shared" si="54"/>
        <v>0.67521367521367526</v>
      </c>
    </row>
    <row r="70" spans="1:29" ht="15" customHeight="1">
      <c r="A70" s="4242"/>
      <c r="B70" s="4179" t="s">
        <v>41</v>
      </c>
      <c r="C70" s="1559">
        <f t="shared" ref="C70" si="60">SUM(C66:C69)</f>
        <v>198</v>
      </c>
      <c r="D70" s="1560">
        <v>524</v>
      </c>
      <c r="E70" s="1568">
        <f t="shared" si="55"/>
        <v>0.37786259541984735</v>
      </c>
      <c r="F70" s="1559">
        <v>165</v>
      </c>
      <c r="G70" s="1560">
        <v>487</v>
      </c>
      <c r="H70" s="1568">
        <f t="shared" si="56"/>
        <v>0.33880903490759756</v>
      </c>
      <c r="I70" s="1559">
        <v>201</v>
      </c>
      <c r="J70" s="1560">
        <v>597</v>
      </c>
      <c r="K70" s="1568">
        <f t="shared" si="57"/>
        <v>0.33668341708542715</v>
      </c>
      <c r="L70" s="1559">
        <v>230</v>
      </c>
      <c r="M70" s="1560">
        <f t="shared" ref="M70" si="61">SUM(M66:M69)</f>
        <v>534</v>
      </c>
      <c r="N70" s="1568">
        <f t="shared" si="58"/>
        <v>0.43071161048689138</v>
      </c>
      <c r="O70" s="1559">
        <f>SUM(O66:O69)</f>
        <v>265</v>
      </c>
      <c r="P70" s="1560">
        <f t="shared" ref="P70" si="62">SUM(P66:P69)</f>
        <v>661</v>
      </c>
      <c r="Q70" s="1568">
        <f t="shared" si="59"/>
        <v>0.40090771558245081</v>
      </c>
      <c r="R70" s="1559">
        <v>227</v>
      </c>
      <c r="S70" s="1560">
        <v>596</v>
      </c>
      <c r="T70" s="1568">
        <f t="shared" si="51"/>
        <v>0.38087248322147649</v>
      </c>
      <c r="U70" s="1559">
        <v>162</v>
      </c>
      <c r="V70" s="1560">
        <v>470</v>
      </c>
      <c r="W70" s="1568">
        <f t="shared" si="52"/>
        <v>0.34468085106382979</v>
      </c>
      <c r="X70" s="1559">
        <v>194</v>
      </c>
      <c r="Y70" s="1560">
        <v>559</v>
      </c>
      <c r="Z70" s="1568">
        <f t="shared" si="53"/>
        <v>0.34704830053667263</v>
      </c>
      <c r="AA70" s="1559">
        <v>201</v>
      </c>
      <c r="AB70" s="1560">
        <v>537</v>
      </c>
      <c r="AC70" s="1568">
        <f t="shared" si="54"/>
        <v>0.37430167597765363</v>
      </c>
    </row>
    <row r="71" spans="1:29" ht="18.75">
      <c r="A71" s="4242"/>
      <c r="B71" s="1545" t="s">
        <v>1198</v>
      </c>
      <c r="C71" s="1548">
        <v>5</v>
      </c>
      <c r="D71" s="1543">
        <v>245</v>
      </c>
      <c r="E71" s="1569">
        <f t="shared" si="55"/>
        <v>2.0408163265306121E-2</v>
      </c>
      <c r="F71" s="1548"/>
      <c r="G71" s="1543">
        <v>210</v>
      </c>
      <c r="H71" s="1569">
        <f t="shared" si="56"/>
        <v>0</v>
      </c>
      <c r="I71" s="1548">
        <v>3</v>
      </c>
      <c r="J71" s="1543">
        <v>303</v>
      </c>
      <c r="K71" s="1569">
        <f t="shared" si="57"/>
        <v>9.9009900990099011E-3</v>
      </c>
      <c r="L71" s="1548">
        <v>1</v>
      </c>
      <c r="M71" s="1543">
        <v>219</v>
      </c>
      <c r="N71" s="1569">
        <f t="shared" si="58"/>
        <v>4.5662100456621002E-3</v>
      </c>
      <c r="O71" s="1548">
        <v>4</v>
      </c>
      <c r="P71" s="1543">
        <v>233</v>
      </c>
      <c r="Q71" s="1569">
        <f t="shared" si="59"/>
        <v>1.7167381974248927E-2</v>
      </c>
      <c r="R71" s="1548"/>
      <c r="S71" s="1543">
        <v>221</v>
      </c>
      <c r="T71" s="1569">
        <f t="shared" si="51"/>
        <v>0</v>
      </c>
      <c r="U71" s="1548">
        <v>3</v>
      </c>
      <c r="V71" s="1543">
        <v>210</v>
      </c>
      <c r="W71" s="1569">
        <f t="shared" si="52"/>
        <v>1.4285714285714285E-2</v>
      </c>
      <c r="X71" s="1548"/>
      <c r="Y71" s="1543">
        <v>159</v>
      </c>
      <c r="Z71" s="1569">
        <f t="shared" si="53"/>
        <v>0</v>
      </c>
      <c r="AA71" s="1548">
        <v>5</v>
      </c>
      <c r="AB71" s="1543">
        <v>142</v>
      </c>
      <c r="AC71" s="1569">
        <f t="shared" si="54"/>
        <v>3.5211267605633804E-2</v>
      </c>
    </row>
    <row r="72" spans="1:29" ht="18.75">
      <c r="A72" s="4242"/>
      <c r="B72" s="1545" t="s">
        <v>1199</v>
      </c>
      <c r="C72" s="1548"/>
      <c r="D72" s="1543">
        <v>151</v>
      </c>
      <c r="E72" s="1569">
        <f t="shared" si="55"/>
        <v>0</v>
      </c>
      <c r="F72" s="1548"/>
      <c r="G72" s="1543">
        <v>162</v>
      </c>
      <c r="H72" s="1569">
        <f t="shared" si="56"/>
        <v>0</v>
      </c>
      <c r="I72" s="1548">
        <v>1</v>
      </c>
      <c r="J72" s="1543">
        <v>229</v>
      </c>
      <c r="K72" s="1569">
        <f t="shared" si="57"/>
        <v>4.3668122270742356E-3</v>
      </c>
      <c r="L72" s="1548"/>
      <c r="M72" s="1543">
        <v>174</v>
      </c>
      <c r="N72" s="1569">
        <f t="shared" si="58"/>
        <v>0</v>
      </c>
      <c r="O72" s="1548">
        <v>4</v>
      </c>
      <c r="P72" s="1543">
        <v>220</v>
      </c>
      <c r="Q72" s="1569">
        <f t="shared" si="59"/>
        <v>1.8181818181818181E-2</v>
      </c>
      <c r="R72" s="1548">
        <v>1</v>
      </c>
      <c r="S72" s="1543">
        <v>170</v>
      </c>
      <c r="T72" s="1569">
        <f t="shared" si="51"/>
        <v>5.8823529411764705E-3</v>
      </c>
      <c r="U72" s="1548"/>
      <c r="V72" s="1543">
        <v>139</v>
      </c>
      <c r="W72" s="1569">
        <f t="shared" si="52"/>
        <v>0</v>
      </c>
      <c r="X72" s="1548">
        <v>1</v>
      </c>
      <c r="Y72" s="1543">
        <v>142</v>
      </c>
      <c r="Z72" s="1569">
        <f t="shared" si="53"/>
        <v>7.0422535211267607E-3</v>
      </c>
      <c r="AA72" s="1548">
        <v>2</v>
      </c>
      <c r="AB72" s="1543">
        <v>207</v>
      </c>
      <c r="AC72" s="1569">
        <f t="shared" si="54"/>
        <v>9.6618357487922701E-3</v>
      </c>
    </row>
    <row r="73" spans="1:29" ht="18.75">
      <c r="A73" s="4242"/>
      <c r="B73" s="1545" t="s">
        <v>1200</v>
      </c>
      <c r="C73" s="1548">
        <v>1</v>
      </c>
      <c r="D73" s="1543">
        <v>160</v>
      </c>
      <c r="E73" s="1569">
        <f t="shared" si="55"/>
        <v>6.2500000000000003E-3</v>
      </c>
      <c r="F73" s="1548">
        <v>4</v>
      </c>
      <c r="G73" s="1543">
        <v>153</v>
      </c>
      <c r="H73" s="1569">
        <f t="shared" si="56"/>
        <v>2.6143790849673203E-2</v>
      </c>
      <c r="I73" s="1548">
        <v>41</v>
      </c>
      <c r="J73" s="1543">
        <v>286</v>
      </c>
      <c r="K73" s="1569">
        <f t="shared" si="57"/>
        <v>0.14335664335664336</v>
      </c>
      <c r="L73" s="1548">
        <v>20</v>
      </c>
      <c r="M73" s="1543">
        <v>122</v>
      </c>
      <c r="N73" s="1569">
        <f t="shared" si="58"/>
        <v>0.16393442622950818</v>
      </c>
      <c r="O73" s="1548">
        <v>1</v>
      </c>
      <c r="P73" s="1543">
        <v>143</v>
      </c>
      <c r="Q73" s="1569">
        <f t="shared" si="59"/>
        <v>6.993006993006993E-3</v>
      </c>
      <c r="R73" s="1548">
        <v>1</v>
      </c>
      <c r="S73" s="1543">
        <v>153</v>
      </c>
      <c r="T73" s="1569">
        <f t="shared" si="51"/>
        <v>6.5359477124183009E-3</v>
      </c>
      <c r="U73" s="1548">
        <v>2</v>
      </c>
      <c r="V73" s="1543">
        <v>119</v>
      </c>
      <c r="W73" s="1569">
        <f t="shared" si="52"/>
        <v>1.680672268907563E-2</v>
      </c>
      <c r="X73" s="1548">
        <v>5</v>
      </c>
      <c r="Y73" s="1543">
        <v>159</v>
      </c>
      <c r="Z73" s="1569">
        <f t="shared" si="53"/>
        <v>3.1446540880503145E-2</v>
      </c>
      <c r="AA73" s="1548">
        <v>3</v>
      </c>
      <c r="AB73" s="1543">
        <v>161</v>
      </c>
      <c r="AC73" s="1569">
        <f t="shared" si="54"/>
        <v>1.8633540372670808E-2</v>
      </c>
    </row>
    <row r="74" spans="1:29" ht="18.75">
      <c r="A74" s="4242"/>
      <c r="B74" s="1545" t="s">
        <v>1201</v>
      </c>
      <c r="C74" s="1548"/>
      <c r="D74" s="1543">
        <v>94</v>
      </c>
      <c r="E74" s="1569">
        <f t="shared" si="55"/>
        <v>0</v>
      </c>
      <c r="F74" s="1548">
        <v>1</v>
      </c>
      <c r="G74" s="1543">
        <v>105</v>
      </c>
      <c r="H74" s="1569">
        <f t="shared" si="56"/>
        <v>9.5238095238095247E-3</v>
      </c>
      <c r="I74" s="1548">
        <v>1</v>
      </c>
      <c r="J74" s="1543">
        <v>84</v>
      </c>
      <c r="K74" s="1569">
        <f t="shared" si="57"/>
        <v>1.1904761904761904E-2</v>
      </c>
      <c r="L74" s="1548">
        <v>1</v>
      </c>
      <c r="M74" s="1543">
        <v>97</v>
      </c>
      <c r="N74" s="1569">
        <f t="shared" si="58"/>
        <v>1.0309278350515464E-2</v>
      </c>
      <c r="O74" s="1548">
        <v>0</v>
      </c>
      <c r="P74" s="1543">
        <v>117</v>
      </c>
      <c r="Q74" s="1569">
        <f t="shared" si="59"/>
        <v>0</v>
      </c>
      <c r="R74" s="1548">
        <v>2</v>
      </c>
      <c r="S74" s="1543">
        <v>71</v>
      </c>
      <c r="T74" s="1569">
        <f t="shared" si="51"/>
        <v>2.8169014084507043E-2</v>
      </c>
      <c r="U74" s="1548">
        <v>1</v>
      </c>
      <c r="V74" s="1543">
        <v>62</v>
      </c>
      <c r="W74" s="1569">
        <f t="shared" si="52"/>
        <v>1.6129032258064516E-2</v>
      </c>
      <c r="X74" s="1548">
        <v>1</v>
      </c>
      <c r="Y74" s="1543">
        <v>52</v>
      </c>
      <c r="Z74" s="1569">
        <f t="shared" si="53"/>
        <v>1.9230769230769232E-2</v>
      </c>
      <c r="AA74" s="1548">
        <v>1</v>
      </c>
      <c r="AB74" s="1543">
        <v>97</v>
      </c>
      <c r="AC74" s="1569">
        <f t="shared" si="54"/>
        <v>1.0309278350515464E-2</v>
      </c>
    </row>
    <row r="75" spans="1:29" ht="15" customHeight="1">
      <c r="A75" s="4242"/>
      <c r="B75" s="4179" t="s">
        <v>16</v>
      </c>
      <c r="C75" s="1559">
        <f t="shared" ref="C75" si="63">SUM(C71:C74)</f>
        <v>6</v>
      </c>
      <c r="D75" s="1560">
        <v>650</v>
      </c>
      <c r="E75" s="1568">
        <f t="shared" si="55"/>
        <v>9.2307692307692316E-3</v>
      </c>
      <c r="F75" s="1559">
        <v>5</v>
      </c>
      <c r="G75" s="1560">
        <v>630</v>
      </c>
      <c r="H75" s="1568">
        <f t="shared" si="56"/>
        <v>7.9365079365079361E-3</v>
      </c>
      <c r="I75" s="1559">
        <v>46</v>
      </c>
      <c r="J75" s="1560">
        <v>902</v>
      </c>
      <c r="K75" s="1568">
        <f t="shared" si="57"/>
        <v>5.0997782705099776E-2</v>
      </c>
      <c r="L75" s="1559">
        <v>22</v>
      </c>
      <c r="M75" s="1560">
        <f>SUM(M71:M74)</f>
        <v>612</v>
      </c>
      <c r="N75" s="1568">
        <f t="shared" si="58"/>
        <v>3.5947712418300651E-2</v>
      </c>
      <c r="O75" s="1559">
        <f>SUM(O71:O74)</f>
        <v>9</v>
      </c>
      <c r="P75" s="1560">
        <f>SUM(P71:P74)</f>
        <v>713</v>
      </c>
      <c r="Q75" s="1568">
        <f t="shared" si="59"/>
        <v>1.2622720897615708E-2</v>
      </c>
      <c r="R75" s="1559">
        <v>4</v>
      </c>
      <c r="S75" s="1560">
        <v>615</v>
      </c>
      <c r="T75" s="1568">
        <f t="shared" si="51"/>
        <v>6.5040650406504065E-3</v>
      </c>
      <c r="U75" s="1559">
        <v>6</v>
      </c>
      <c r="V75" s="1560">
        <v>530</v>
      </c>
      <c r="W75" s="1568">
        <f t="shared" si="52"/>
        <v>1.1320754716981131E-2</v>
      </c>
      <c r="X75" s="1559">
        <v>7</v>
      </c>
      <c r="Y75" s="1560">
        <v>512</v>
      </c>
      <c r="Z75" s="1568">
        <f t="shared" si="53"/>
        <v>1.3671875E-2</v>
      </c>
      <c r="AA75" s="1559">
        <v>11</v>
      </c>
      <c r="AB75" s="1560">
        <v>607</v>
      </c>
      <c r="AC75" s="1568">
        <f t="shared" si="54"/>
        <v>1.8121911037891267E-2</v>
      </c>
    </row>
    <row r="76" spans="1:29" ht="18.75">
      <c r="A76" s="4242"/>
      <c r="B76" s="1545" t="s">
        <v>1202</v>
      </c>
      <c r="C76" s="1548">
        <v>2</v>
      </c>
      <c r="D76" s="1543">
        <v>24</v>
      </c>
      <c r="E76" s="1569">
        <f t="shared" si="55"/>
        <v>8.3333333333333329E-2</v>
      </c>
      <c r="F76" s="1548">
        <v>2</v>
      </c>
      <c r="G76" s="1543">
        <v>37</v>
      </c>
      <c r="H76" s="1569">
        <f t="shared" si="56"/>
        <v>5.4054054054054057E-2</v>
      </c>
      <c r="I76" s="1548">
        <v>3</v>
      </c>
      <c r="J76" s="1543">
        <v>29</v>
      </c>
      <c r="K76" s="1569">
        <f t="shared" si="57"/>
        <v>0.10344827586206896</v>
      </c>
      <c r="L76" s="1548"/>
      <c r="M76" s="1543">
        <v>14</v>
      </c>
      <c r="N76" s="1569">
        <f t="shared" si="58"/>
        <v>0</v>
      </c>
      <c r="O76" s="1548">
        <v>5</v>
      </c>
      <c r="P76" s="1543">
        <v>42</v>
      </c>
      <c r="Q76" s="1569">
        <f t="shared" si="59"/>
        <v>0.11904761904761904</v>
      </c>
      <c r="R76" s="1548"/>
      <c r="S76" s="1543">
        <v>34</v>
      </c>
      <c r="T76" s="1569">
        <f t="shared" si="51"/>
        <v>0</v>
      </c>
      <c r="U76" s="1548"/>
      <c r="V76" s="1543">
        <v>21</v>
      </c>
      <c r="W76" s="1569">
        <f t="shared" si="52"/>
        <v>0</v>
      </c>
      <c r="X76" s="1548"/>
      <c r="Y76" s="1543">
        <v>32</v>
      </c>
      <c r="Z76" s="1569">
        <f t="shared" si="53"/>
        <v>0</v>
      </c>
      <c r="AA76" s="1548">
        <v>1</v>
      </c>
      <c r="AB76" s="1543">
        <v>12</v>
      </c>
      <c r="AC76" s="1569">
        <f t="shared" si="54"/>
        <v>8.3333333333333329E-2</v>
      </c>
    </row>
    <row r="77" spans="1:29" ht="18.75">
      <c r="A77" s="4242"/>
      <c r="B77" s="1545" t="s">
        <v>1203</v>
      </c>
      <c r="C77" s="1548"/>
      <c r="D77" s="1543">
        <v>34</v>
      </c>
      <c r="E77" s="1569">
        <f t="shared" si="55"/>
        <v>0</v>
      </c>
      <c r="F77" s="1548"/>
      <c r="G77" s="1543">
        <v>35</v>
      </c>
      <c r="H77" s="1569">
        <f t="shared" si="56"/>
        <v>0</v>
      </c>
      <c r="I77" s="1548"/>
      <c r="J77" s="1543">
        <v>50</v>
      </c>
      <c r="K77" s="1569">
        <f t="shared" si="57"/>
        <v>0</v>
      </c>
      <c r="L77" s="1548">
        <v>3</v>
      </c>
      <c r="M77" s="1543">
        <v>25</v>
      </c>
      <c r="N77" s="1569">
        <f t="shared" si="58"/>
        <v>0.12</v>
      </c>
      <c r="O77" s="1548">
        <v>9</v>
      </c>
      <c r="P77" s="1543">
        <v>45</v>
      </c>
      <c r="Q77" s="1569">
        <f t="shared" si="59"/>
        <v>0.2</v>
      </c>
      <c r="R77" s="1548">
        <v>3</v>
      </c>
      <c r="S77" s="1543">
        <v>37</v>
      </c>
      <c r="T77" s="1569">
        <f t="shared" si="51"/>
        <v>8.1081081081081086E-2</v>
      </c>
      <c r="U77" s="1548">
        <v>3</v>
      </c>
      <c r="V77" s="1543">
        <v>43</v>
      </c>
      <c r="W77" s="1569">
        <f t="shared" si="52"/>
        <v>6.9767441860465115E-2</v>
      </c>
      <c r="X77" s="1548">
        <v>4</v>
      </c>
      <c r="Y77" s="1543">
        <v>42</v>
      </c>
      <c r="Z77" s="1569">
        <f t="shared" si="53"/>
        <v>9.5238095238095233E-2</v>
      </c>
      <c r="AA77" s="1548">
        <v>5</v>
      </c>
      <c r="AB77" s="1543">
        <v>33</v>
      </c>
      <c r="AC77" s="1569">
        <f t="shared" si="54"/>
        <v>0.15151515151515152</v>
      </c>
    </row>
    <row r="78" spans="1:29" ht="18.75">
      <c r="A78" s="4242"/>
      <c r="B78" s="1545" t="s">
        <v>1204</v>
      </c>
      <c r="C78" s="1548"/>
      <c r="D78" s="1543">
        <v>10</v>
      </c>
      <c r="E78" s="1569">
        <f t="shared" si="55"/>
        <v>0</v>
      </c>
      <c r="F78" s="1548">
        <v>3</v>
      </c>
      <c r="G78" s="1543">
        <v>29</v>
      </c>
      <c r="H78" s="1569">
        <f t="shared" si="56"/>
        <v>0.10344827586206896</v>
      </c>
      <c r="I78" s="1548">
        <v>3</v>
      </c>
      <c r="J78" s="1543">
        <v>28</v>
      </c>
      <c r="K78" s="1569">
        <f t="shared" si="57"/>
        <v>0.10714285714285714</v>
      </c>
      <c r="L78" s="1548">
        <v>2</v>
      </c>
      <c r="M78" s="1543">
        <v>12</v>
      </c>
      <c r="N78" s="1569">
        <f t="shared" si="58"/>
        <v>0.16666666666666666</v>
      </c>
      <c r="O78" s="1548">
        <v>4</v>
      </c>
      <c r="P78" s="1543">
        <v>19</v>
      </c>
      <c r="Q78" s="1569">
        <f t="shared" si="59"/>
        <v>0.21052631578947367</v>
      </c>
      <c r="R78" s="1548"/>
      <c r="S78" s="1543">
        <v>33</v>
      </c>
      <c r="T78" s="1569">
        <f t="shared" si="51"/>
        <v>0</v>
      </c>
      <c r="U78" s="1548">
        <v>2</v>
      </c>
      <c r="V78" s="1543">
        <v>16</v>
      </c>
      <c r="W78" s="1569">
        <f t="shared" si="52"/>
        <v>0.125</v>
      </c>
      <c r="X78" s="1548"/>
      <c r="Y78" s="1543">
        <v>15</v>
      </c>
      <c r="Z78" s="1569">
        <f t="shared" si="53"/>
        <v>0</v>
      </c>
      <c r="AA78" s="1548">
        <v>1</v>
      </c>
      <c r="AB78" s="1543">
        <v>19</v>
      </c>
      <c r="AC78" s="1569">
        <f t="shared" si="54"/>
        <v>5.2631578947368418E-2</v>
      </c>
    </row>
    <row r="79" spans="1:29" ht="18.75">
      <c r="A79" s="4242"/>
      <c r="B79" s="1545" t="s">
        <v>1205</v>
      </c>
      <c r="C79" s="1548">
        <v>10</v>
      </c>
      <c r="D79" s="1543">
        <v>47</v>
      </c>
      <c r="E79" s="1569">
        <f t="shared" si="55"/>
        <v>0.21276595744680851</v>
      </c>
      <c r="F79" s="1548">
        <v>5</v>
      </c>
      <c r="G79" s="1543">
        <v>53</v>
      </c>
      <c r="H79" s="1569">
        <f t="shared" si="56"/>
        <v>9.4339622641509441E-2</v>
      </c>
      <c r="I79" s="1548">
        <v>16</v>
      </c>
      <c r="J79" s="1543">
        <v>67</v>
      </c>
      <c r="K79" s="1569">
        <f t="shared" si="57"/>
        <v>0.23880597014925373</v>
      </c>
      <c r="L79" s="1548"/>
      <c r="M79" s="1543">
        <v>34</v>
      </c>
      <c r="N79" s="1569">
        <f t="shared" si="58"/>
        <v>0</v>
      </c>
      <c r="O79" s="1548">
        <v>2</v>
      </c>
      <c r="P79" s="1543">
        <v>47</v>
      </c>
      <c r="Q79" s="1569">
        <f t="shared" si="59"/>
        <v>4.2553191489361701E-2</v>
      </c>
      <c r="R79" s="1548">
        <v>5</v>
      </c>
      <c r="S79" s="1543">
        <v>37</v>
      </c>
      <c r="T79" s="1569">
        <f t="shared" si="51"/>
        <v>0.13513513513513514</v>
      </c>
      <c r="U79" s="1548">
        <v>2</v>
      </c>
      <c r="V79" s="1543">
        <v>39</v>
      </c>
      <c r="W79" s="1569">
        <f t="shared" si="52"/>
        <v>5.128205128205128E-2</v>
      </c>
      <c r="X79" s="1548"/>
      <c r="Y79" s="1543">
        <v>29</v>
      </c>
      <c r="Z79" s="1569">
        <f t="shared" si="53"/>
        <v>0</v>
      </c>
      <c r="AA79" s="1548">
        <v>5</v>
      </c>
      <c r="AB79" s="1543">
        <v>27</v>
      </c>
      <c r="AC79" s="1569">
        <f t="shared" si="54"/>
        <v>0.18518518518518517</v>
      </c>
    </row>
    <row r="80" spans="1:29" ht="15" customHeight="1">
      <c r="A80" s="4242"/>
      <c r="B80" s="4243" t="s">
        <v>21</v>
      </c>
      <c r="C80" s="4244">
        <f t="shared" ref="C80" si="64">SUM(C76:C79)</f>
        <v>12</v>
      </c>
      <c r="D80" s="4245">
        <v>115</v>
      </c>
      <c r="E80" s="4246">
        <f t="shared" si="55"/>
        <v>0.10434782608695652</v>
      </c>
      <c r="F80" s="4244">
        <v>10</v>
      </c>
      <c r="G80" s="4245">
        <v>154</v>
      </c>
      <c r="H80" s="4246">
        <f t="shared" si="56"/>
        <v>6.4935064935064929E-2</v>
      </c>
      <c r="I80" s="4244">
        <v>22</v>
      </c>
      <c r="J80" s="4245">
        <v>174</v>
      </c>
      <c r="K80" s="4246">
        <f t="shared" si="57"/>
        <v>0.12643678160919541</v>
      </c>
      <c r="L80" s="4244">
        <v>5</v>
      </c>
      <c r="M80" s="4245">
        <f>SUM(M76:M79)</f>
        <v>85</v>
      </c>
      <c r="N80" s="4246">
        <f t="shared" si="58"/>
        <v>5.8823529411764705E-2</v>
      </c>
      <c r="O80" s="4244">
        <f>SUM(O76:O79)</f>
        <v>20</v>
      </c>
      <c r="P80" s="4245">
        <f>SUM(P76:P79)</f>
        <v>153</v>
      </c>
      <c r="Q80" s="4246">
        <f t="shared" si="59"/>
        <v>0.13071895424836602</v>
      </c>
      <c r="R80" s="4244">
        <v>8</v>
      </c>
      <c r="S80" s="4245">
        <f>SUM(S76:S79)</f>
        <v>141</v>
      </c>
      <c r="T80" s="4246">
        <f t="shared" si="51"/>
        <v>5.6737588652482268E-2</v>
      </c>
      <c r="U80" s="4244">
        <v>7</v>
      </c>
      <c r="V80" s="4245">
        <v>119</v>
      </c>
      <c r="W80" s="4246">
        <f t="shared" si="52"/>
        <v>5.8823529411764705E-2</v>
      </c>
      <c r="X80" s="4244">
        <v>4</v>
      </c>
      <c r="Y80" s="4245">
        <v>118</v>
      </c>
      <c r="Z80" s="4246">
        <f t="shared" si="53"/>
        <v>3.3898305084745763E-2</v>
      </c>
      <c r="AA80" s="4244">
        <v>12</v>
      </c>
      <c r="AB80" s="4245">
        <v>91</v>
      </c>
      <c r="AC80" s="4246">
        <f t="shared" si="54"/>
        <v>0.13186813186813187</v>
      </c>
    </row>
    <row r="81" spans="1:29" ht="15" customHeight="1">
      <c r="A81" s="4242"/>
      <c r="B81" s="4263" t="s">
        <v>360</v>
      </c>
      <c r="C81" s="4264">
        <f t="shared" ref="C81" si="65">SUM(C80,C75,C70)</f>
        <v>216</v>
      </c>
      <c r="D81" s="4265">
        <v>1289</v>
      </c>
      <c r="E81" s="4266">
        <f t="shared" si="55"/>
        <v>0.16757176105508145</v>
      </c>
      <c r="F81" s="4264">
        <v>180</v>
      </c>
      <c r="G81" s="4265">
        <v>1271</v>
      </c>
      <c r="H81" s="4266">
        <f t="shared" si="56"/>
        <v>0.14162077104642015</v>
      </c>
      <c r="I81" s="4264">
        <v>269</v>
      </c>
      <c r="J81" s="4265">
        <v>1673</v>
      </c>
      <c r="K81" s="4266">
        <f t="shared" si="57"/>
        <v>0.16078900179318589</v>
      </c>
      <c r="L81" s="4264">
        <v>257</v>
      </c>
      <c r="M81" s="4265">
        <f t="shared" ref="M81" si="66">SUM(M80,M75,M70)</f>
        <v>1231</v>
      </c>
      <c r="N81" s="4266">
        <f t="shared" si="58"/>
        <v>0.20877335499593827</v>
      </c>
      <c r="O81" s="4264">
        <f>SUM(O70,O75,O80)</f>
        <v>294</v>
      </c>
      <c r="P81" s="4265">
        <f t="shared" ref="P81" si="67">SUM(P80,P75,P70)</f>
        <v>1527</v>
      </c>
      <c r="Q81" s="4266">
        <f t="shared" si="59"/>
        <v>0.1925343811394892</v>
      </c>
      <c r="R81" s="4264">
        <v>239</v>
      </c>
      <c r="S81" s="4265">
        <f t="shared" ref="S81" si="68">SUM(S80,S75,S70)</f>
        <v>1352</v>
      </c>
      <c r="T81" s="4266">
        <f t="shared" si="51"/>
        <v>0.17677514792899407</v>
      </c>
      <c r="U81" s="4264">
        <v>175</v>
      </c>
      <c r="V81" s="4265">
        <v>1119</v>
      </c>
      <c r="W81" s="4266">
        <f t="shared" si="52"/>
        <v>0.15638963360142985</v>
      </c>
      <c r="X81" s="4264">
        <v>205</v>
      </c>
      <c r="Y81" s="4265">
        <v>1189</v>
      </c>
      <c r="Z81" s="4266">
        <f t="shared" si="53"/>
        <v>0.17241379310344829</v>
      </c>
      <c r="AA81" s="4264">
        <v>224</v>
      </c>
      <c r="AB81" s="4265">
        <v>1235</v>
      </c>
      <c r="AC81" s="4266">
        <f t="shared" si="54"/>
        <v>0.18137651821862349</v>
      </c>
    </row>
    <row r="82" spans="1:29" ht="20.100000000000001" customHeight="1">
      <c r="A82" s="4242"/>
      <c r="B82" s="4180" t="s">
        <v>67</v>
      </c>
      <c r="C82" s="1562">
        <f>SUM(C21,C34,C52,C65,C81)</f>
        <v>853</v>
      </c>
      <c r="D82" s="1563">
        <f>SUM(D21,D34,D52,D65,D81)</f>
        <v>4004</v>
      </c>
      <c r="E82" s="1572">
        <f t="shared" si="55"/>
        <v>0.21303696303696304</v>
      </c>
      <c r="F82" s="1562">
        <f>SUM(F21,F34,F52,F65,F81)</f>
        <v>831</v>
      </c>
      <c r="G82" s="1563">
        <f>SUM(G21,G34,G52,G65,G81)</f>
        <v>4143</v>
      </c>
      <c r="H82" s="1572">
        <f t="shared" si="56"/>
        <v>0.20057929036929761</v>
      </c>
      <c r="I82" s="1563">
        <f>SUM(I21,I34,I52,I65,I81)</f>
        <v>982</v>
      </c>
      <c r="J82" s="1563">
        <f>SUM(J21,J34,J52,J65,J81)</f>
        <v>4328</v>
      </c>
      <c r="K82" s="1572">
        <f t="shared" si="57"/>
        <v>0.22689463955637709</v>
      </c>
      <c r="L82" s="1563">
        <f>SUM(L21,L34,L52,L65,L81)</f>
        <v>1087</v>
      </c>
      <c r="M82" s="1563">
        <f>SUM(M21,M34,M52,M65,M81)</f>
        <v>4346</v>
      </c>
      <c r="N82" s="1572">
        <f t="shared" si="58"/>
        <v>0.25011504832029452</v>
      </c>
      <c r="O82" s="1563">
        <f>SUM(O21,O34,O52,O65,O81)</f>
        <v>1145</v>
      </c>
      <c r="P82" s="1563">
        <f>SUM(P21,P34,P52,P65,P81)</f>
        <v>4334</v>
      </c>
      <c r="Q82" s="1572">
        <f t="shared" si="59"/>
        <v>0.26419012459621599</v>
      </c>
      <c r="R82" s="1563">
        <v>1121</v>
      </c>
      <c r="S82" s="1563">
        <f>SUM(S21,S34,S52,S65,S81)</f>
        <v>4634</v>
      </c>
      <c r="T82" s="1572">
        <f t="shared" si="51"/>
        <v>0.24190763918860594</v>
      </c>
      <c r="U82" s="1563">
        <v>996</v>
      </c>
      <c r="V82" s="1563">
        <v>4112</v>
      </c>
      <c r="W82" s="1572">
        <f t="shared" si="52"/>
        <v>0.24221789883268482</v>
      </c>
      <c r="X82" s="1563">
        <f>SUM(X21,X34,X52,X65,X81)</f>
        <v>1151</v>
      </c>
      <c r="Y82" s="1563">
        <f>SUM(Y21,Y34,Y52,Y65,Y81)</f>
        <v>4311</v>
      </c>
      <c r="Z82" s="1572">
        <f t="shared" si="53"/>
        <v>0.26699141730456971</v>
      </c>
      <c r="AA82" s="1563">
        <f>SUM(AA21,AA34,AA52,AA65,AA81)</f>
        <v>1228</v>
      </c>
      <c r="AB82" s="1563">
        <f>SUM(AB21,AB34,AB52,AB65,AB81)</f>
        <v>4667</v>
      </c>
      <c r="AC82" s="1934">
        <f t="shared" si="54"/>
        <v>0.26312406256695953</v>
      </c>
    </row>
    <row r="83" spans="1:29" ht="11.25" customHeight="1">
      <c r="A83" s="4242"/>
      <c r="O83" s="473"/>
    </row>
    <row r="84" spans="1:29" ht="15" customHeight="1">
      <c r="A84" s="4242"/>
      <c r="B84" s="4241" t="s">
        <v>1148</v>
      </c>
    </row>
    <row r="85" spans="1:29" ht="18.75">
      <c r="A85" s="4242"/>
      <c r="B85" s="4241" t="s">
        <v>224</v>
      </c>
    </row>
    <row r="86" spans="1:29" ht="18.75">
      <c r="A86" s="4242"/>
    </row>
    <row r="87" spans="1:29" ht="21.75" customHeight="1">
      <c r="A87" s="4242"/>
    </row>
    <row r="88" spans="1:29" ht="18.75">
      <c r="A88" s="4242"/>
    </row>
  </sheetData>
  <mergeCells count="9">
    <mergeCell ref="AA2:AC2"/>
    <mergeCell ref="C2:E2"/>
    <mergeCell ref="F2:H2"/>
    <mergeCell ref="I2:K2"/>
    <mergeCell ref="L2:N2"/>
    <mergeCell ref="R2:T2"/>
    <mergeCell ref="O2:Q2"/>
    <mergeCell ref="X2:Z2"/>
    <mergeCell ref="U2:W2"/>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N70:S79 N81:S82 N80:R80 E82 Z82" formula="1"/>
    <ignoredError sqref="S80" formula="1" formulaRange="1"/>
  </ignoredErrors>
  <drawing r:id="rId2"/>
</worksheet>
</file>

<file path=xl/worksheets/sheet38.xml><?xml version="1.0" encoding="utf-8"?>
<worksheet xmlns="http://schemas.openxmlformats.org/spreadsheetml/2006/main" xmlns:r="http://schemas.openxmlformats.org/officeDocument/2006/relationships">
  <sheetPr>
    <tabColor theme="4" tint="-0.499984740745262"/>
  </sheetPr>
  <dimension ref="A2:Z90"/>
  <sheetViews>
    <sheetView zoomScale="110" zoomScaleNormal="110" workbookViewId="0">
      <pane xSplit="2" ySplit="5" topLeftCell="R6" activePane="bottomRight" state="frozen"/>
      <selection pane="topRight"/>
      <selection pane="bottomLeft"/>
      <selection pane="bottomRight" activeCell="R82" sqref="R82"/>
    </sheetView>
  </sheetViews>
  <sheetFormatPr baseColWidth="10" defaultRowHeight="15"/>
  <cols>
    <col min="1" max="1" width="2.7109375" style="237" customWidth="1"/>
    <col min="2" max="2" width="37.5703125" bestFit="1" customWidth="1"/>
    <col min="3" max="3" width="9.42578125" bestFit="1" customWidth="1"/>
    <col min="4" max="5" width="12.7109375" customWidth="1"/>
    <col min="6" max="6" width="9.42578125" bestFit="1" customWidth="1"/>
    <col min="7" max="8" width="12.7109375" customWidth="1"/>
    <col min="9" max="9" width="9.42578125" bestFit="1" customWidth="1"/>
    <col min="10" max="11" width="12.7109375" customWidth="1"/>
    <col min="12" max="12" width="9.42578125" bestFit="1" customWidth="1"/>
    <col min="13" max="14" width="12.7109375" customWidth="1"/>
    <col min="15" max="15" width="9.42578125" bestFit="1" customWidth="1"/>
    <col min="18" max="18" width="9.42578125" bestFit="1" customWidth="1"/>
    <col min="21" max="21" width="9.42578125" bestFit="1" customWidth="1"/>
    <col min="22" max="23" width="11.42578125" customWidth="1"/>
    <col min="24" max="24" width="9.42578125" bestFit="1" customWidth="1"/>
  </cols>
  <sheetData>
    <row r="2" spans="2:26" ht="18.75">
      <c r="B2" s="369" t="s">
        <v>2869</v>
      </c>
      <c r="C2" s="471"/>
      <c r="D2" s="118"/>
    </row>
    <row r="3" spans="2:26" ht="15.75">
      <c r="C3" s="471"/>
      <c r="D3" s="118"/>
    </row>
    <row r="4" spans="2:26">
      <c r="B4" s="5271" t="s">
        <v>2868</v>
      </c>
      <c r="C4" s="5270">
        <v>2011</v>
      </c>
      <c r="D4" s="5270"/>
      <c r="E4" s="5270"/>
      <c r="F4" s="5270">
        <v>2012</v>
      </c>
      <c r="G4" s="5270"/>
      <c r="H4" s="5270"/>
      <c r="I4" s="5270">
        <v>2013</v>
      </c>
      <c r="J4" s="5270"/>
      <c r="K4" s="5270"/>
      <c r="L4" s="5270">
        <v>2014</v>
      </c>
      <c r="M4" s="5270"/>
      <c r="N4" s="5270"/>
      <c r="O4" s="5270">
        <v>2015</v>
      </c>
      <c r="P4" s="5270"/>
      <c r="Q4" s="5270"/>
      <c r="R4" s="5270">
        <v>2016</v>
      </c>
      <c r="S4" s="5270"/>
      <c r="T4" s="5270"/>
      <c r="U4" s="5270">
        <v>2017</v>
      </c>
      <c r="V4" s="5270"/>
      <c r="W4" s="5270"/>
      <c r="X4" s="5270">
        <v>2018</v>
      </c>
      <c r="Y4" s="5270"/>
      <c r="Z4" s="5270"/>
    </row>
    <row r="5" spans="2:26" ht="15.75" thickBot="1">
      <c r="B5" s="5272"/>
      <c r="C5" s="4238" t="s">
        <v>1206</v>
      </c>
      <c r="D5" s="4237" t="s">
        <v>1207</v>
      </c>
      <c r="E5" s="4239" t="s">
        <v>1208</v>
      </c>
      <c r="F5" s="4234" t="s">
        <v>1206</v>
      </c>
      <c r="G5" s="4235" t="s">
        <v>1207</v>
      </c>
      <c r="H5" s="4236" t="s">
        <v>1208</v>
      </c>
      <c r="I5" s="4237" t="s">
        <v>1206</v>
      </c>
      <c r="J5" s="4237" t="s">
        <v>1207</v>
      </c>
      <c r="K5" s="4237" t="s">
        <v>1208</v>
      </c>
      <c r="L5" s="4234" t="s">
        <v>1206</v>
      </c>
      <c r="M5" s="4235" t="s">
        <v>1207</v>
      </c>
      <c r="N5" s="4236" t="s">
        <v>1208</v>
      </c>
      <c r="O5" s="4237" t="s">
        <v>1206</v>
      </c>
      <c r="P5" s="4237" t="s">
        <v>1207</v>
      </c>
      <c r="Q5" s="4237" t="s">
        <v>1208</v>
      </c>
      <c r="R5" s="4234" t="s">
        <v>1206</v>
      </c>
      <c r="S5" s="4235" t="s">
        <v>1207</v>
      </c>
      <c r="T5" s="4236" t="s">
        <v>1208</v>
      </c>
      <c r="U5" s="4237" t="s">
        <v>1206</v>
      </c>
      <c r="V5" s="4237" t="s">
        <v>1207</v>
      </c>
      <c r="W5" s="4237" t="s">
        <v>1208</v>
      </c>
      <c r="X5" s="4234" t="s">
        <v>1206</v>
      </c>
      <c r="Y5" s="4235" t="s">
        <v>1207</v>
      </c>
      <c r="Z5" s="4236" t="s">
        <v>1208</v>
      </c>
    </row>
    <row r="6" spans="2:26">
      <c r="B6" s="3383" t="s">
        <v>1150</v>
      </c>
      <c r="C6" s="3384">
        <v>142</v>
      </c>
      <c r="D6" s="3385">
        <v>14247494.111421233</v>
      </c>
      <c r="E6" s="3386">
        <v>100334.46557338897</v>
      </c>
      <c r="F6" s="3384">
        <v>144</v>
      </c>
      <c r="G6" s="3385">
        <v>15181948.111421233</v>
      </c>
      <c r="H6" s="3386">
        <v>105430.19521820301</v>
      </c>
      <c r="I6" s="3384">
        <v>145</v>
      </c>
      <c r="J6" s="3385">
        <v>16356799.711421233</v>
      </c>
      <c r="K6" s="3386">
        <v>112805.51525118091</v>
      </c>
      <c r="L6" s="3387">
        <v>146</v>
      </c>
      <c r="M6" s="3388">
        <v>17494167.31142123</v>
      </c>
      <c r="N6" s="3389">
        <v>119823.06377685774</v>
      </c>
      <c r="O6" s="3387">
        <v>140</v>
      </c>
      <c r="P6" s="3388">
        <v>18059619.913476028</v>
      </c>
      <c r="Q6" s="3389">
        <v>128997.28509625734</v>
      </c>
      <c r="R6" s="3387">
        <v>138</v>
      </c>
      <c r="S6" s="3388">
        <v>18831011.611421242</v>
      </c>
      <c r="T6" s="3389">
        <v>136456.60587986407</v>
      </c>
      <c r="U6" s="3387">
        <v>138</v>
      </c>
      <c r="V6" s="3388">
        <v>19600430.513476044</v>
      </c>
      <c r="W6" s="3389">
        <v>142032.10517011627</v>
      </c>
      <c r="X6" s="3387">
        <v>133</v>
      </c>
      <c r="Y6" s="3388">
        <v>20362870.706626717</v>
      </c>
      <c r="Z6" s="3389">
        <v>153104.29102726854</v>
      </c>
    </row>
    <row r="7" spans="2:26">
      <c r="B7" s="3383" t="s">
        <v>1151</v>
      </c>
      <c r="C7" s="3384">
        <v>52</v>
      </c>
      <c r="D7" s="3385">
        <v>3415614.17</v>
      </c>
      <c r="E7" s="3386">
        <v>65684.887884615382</v>
      </c>
      <c r="F7" s="3384">
        <v>52</v>
      </c>
      <c r="G7" s="3385">
        <v>3491777.5699999989</v>
      </c>
      <c r="H7" s="3386">
        <v>67149.56865384613</v>
      </c>
      <c r="I7" s="3384">
        <v>52</v>
      </c>
      <c r="J7" s="3385">
        <v>3738814.7699999986</v>
      </c>
      <c r="K7" s="3386">
        <v>71900.284038461512</v>
      </c>
      <c r="L7" s="3387">
        <v>52</v>
      </c>
      <c r="M7" s="3388">
        <v>3908506.3699999996</v>
      </c>
      <c r="N7" s="3389">
        <v>75163.584038461529</v>
      </c>
      <c r="O7" s="3387">
        <v>54</v>
      </c>
      <c r="P7" s="3388">
        <v>4295795.7699999996</v>
      </c>
      <c r="Q7" s="3389">
        <v>79551.773518518516</v>
      </c>
      <c r="R7" s="3387">
        <v>53</v>
      </c>
      <c r="S7" s="3388">
        <v>4290980.37</v>
      </c>
      <c r="T7" s="3389">
        <v>80961.893773584903</v>
      </c>
      <c r="U7" s="3387">
        <v>54</v>
      </c>
      <c r="V7" s="3388">
        <v>4630274.7699999996</v>
      </c>
      <c r="W7" s="3389">
        <v>85745.829074074063</v>
      </c>
      <c r="X7" s="3387">
        <v>51</v>
      </c>
      <c r="Y7" s="3388">
        <v>4742545.5699999984</v>
      </c>
      <c r="Z7" s="3389">
        <v>92991.089607843111</v>
      </c>
    </row>
    <row r="8" spans="2:26">
      <c r="B8" s="3383" t="s">
        <v>1152</v>
      </c>
      <c r="C8" s="3384">
        <v>59</v>
      </c>
      <c r="D8" s="3385">
        <v>6273035.9300000006</v>
      </c>
      <c r="E8" s="3386">
        <v>106322.64288135595</v>
      </c>
      <c r="F8" s="3384">
        <v>60</v>
      </c>
      <c r="G8" s="3385">
        <v>6766543.2299999986</v>
      </c>
      <c r="H8" s="3386">
        <v>112775.72049999998</v>
      </c>
      <c r="I8" s="3384">
        <v>60</v>
      </c>
      <c r="J8" s="3385">
        <v>7090054.9299999969</v>
      </c>
      <c r="K8" s="3386">
        <v>118167.58216666662</v>
      </c>
      <c r="L8" s="3387">
        <v>62</v>
      </c>
      <c r="M8" s="3388">
        <v>7648683.3299999982</v>
      </c>
      <c r="N8" s="3389">
        <v>123365.8601612903</v>
      </c>
      <c r="O8" s="3387">
        <v>60</v>
      </c>
      <c r="P8" s="3388">
        <v>7994132.6299999999</v>
      </c>
      <c r="Q8" s="3389">
        <v>133235.54383333333</v>
      </c>
      <c r="R8" s="3387">
        <v>59</v>
      </c>
      <c r="S8" s="3388">
        <v>8681998.3796575367</v>
      </c>
      <c r="T8" s="3389">
        <v>147152.51490944976</v>
      </c>
      <c r="U8" s="3387">
        <v>58</v>
      </c>
      <c r="V8" s="3388">
        <v>9225403.1796575375</v>
      </c>
      <c r="W8" s="3389">
        <v>159058.67551133686</v>
      </c>
      <c r="X8" s="3387">
        <v>58</v>
      </c>
      <c r="Y8" s="3388">
        <v>9819958.7796575371</v>
      </c>
      <c r="Z8" s="3389">
        <v>169309.63413202649</v>
      </c>
    </row>
    <row r="9" spans="2:26">
      <c r="B9" s="3383" t="s">
        <v>1153</v>
      </c>
      <c r="C9" s="3384">
        <v>45</v>
      </c>
      <c r="D9" s="3385">
        <v>4802476.5299999993</v>
      </c>
      <c r="E9" s="3386">
        <v>106721.70066666664</v>
      </c>
      <c r="F9" s="3384">
        <v>45</v>
      </c>
      <c r="G9" s="3385">
        <v>4997866.83</v>
      </c>
      <c r="H9" s="3386">
        <v>111063.70733333334</v>
      </c>
      <c r="I9" s="3384">
        <v>47</v>
      </c>
      <c r="J9" s="3385">
        <v>5288444.2300000014</v>
      </c>
      <c r="K9" s="3386">
        <v>112520.09000000003</v>
      </c>
      <c r="L9" s="3387">
        <v>47</v>
      </c>
      <c r="M9" s="3388">
        <v>5632340.0299999993</v>
      </c>
      <c r="N9" s="3389">
        <v>119837.0219148936</v>
      </c>
      <c r="O9" s="3387">
        <v>49</v>
      </c>
      <c r="P9" s="3388">
        <v>6249443.2300000023</v>
      </c>
      <c r="Q9" s="3389">
        <v>127539.65775510209</v>
      </c>
      <c r="R9" s="3387">
        <v>46</v>
      </c>
      <c r="S9" s="3388">
        <v>6482990.7300000014</v>
      </c>
      <c r="T9" s="3389">
        <v>140934.58108695655</v>
      </c>
      <c r="U9" s="3387">
        <v>46</v>
      </c>
      <c r="V9" s="3388">
        <v>6879105.1300000018</v>
      </c>
      <c r="W9" s="3389">
        <v>149545.76369565222</v>
      </c>
      <c r="X9" s="3387">
        <v>45</v>
      </c>
      <c r="Y9" s="3388">
        <v>7237145.8300000019</v>
      </c>
      <c r="Z9" s="3389">
        <v>160825.46288888893</v>
      </c>
    </row>
    <row r="10" spans="2:26">
      <c r="B10" s="3383" t="s">
        <v>1154</v>
      </c>
      <c r="C10" s="3384">
        <v>40</v>
      </c>
      <c r="D10" s="3385">
        <v>3211010.8496575332</v>
      </c>
      <c r="E10" s="3386">
        <v>80275.271241438328</v>
      </c>
      <c r="F10" s="3384">
        <v>41</v>
      </c>
      <c r="G10" s="3385">
        <v>3435580.1496575344</v>
      </c>
      <c r="H10" s="3386">
        <v>83794.637796525232</v>
      </c>
      <c r="I10" s="3384">
        <v>41</v>
      </c>
      <c r="J10" s="3385">
        <v>3575720.4496575338</v>
      </c>
      <c r="K10" s="3386">
        <v>87212.693894086187</v>
      </c>
      <c r="L10" s="3387">
        <v>41</v>
      </c>
      <c r="M10" s="3388">
        <v>3683897.2496575355</v>
      </c>
      <c r="N10" s="3389">
        <v>89851.152430671602</v>
      </c>
      <c r="O10" s="3387">
        <v>42</v>
      </c>
      <c r="P10" s="3388">
        <v>3948730.8496575342</v>
      </c>
      <c r="Q10" s="3389">
        <v>94017.401182322239</v>
      </c>
      <c r="R10" s="3387">
        <v>40</v>
      </c>
      <c r="S10" s="3388">
        <v>4045595.5496575339</v>
      </c>
      <c r="T10" s="3389">
        <v>101139.88874143835</v>
      </c>
      <c r="U10" s="3387">
        <v>39</v>
      </c>
      <c r="V10" s="3388">
        <v>4199299.5496575339</v>
      </c>
      <c r="W10" s="3389">
        <v>107674.34742711626</v>
      </c>
      <c r="X10" s="3387">
        <v>36</v>
      </c>
      <c r="Y10" s="3388">
        <v>4151253.1496575335</v>
      </c>
      <c r="Z10" s="3389">
        <v>115312.58749048704</v>
      </c>
    </row>
    <row r="11" spans="2:26">
      <c r="B11" s="3390" t="s">
        <v>572</v>
      </c>
      <c r="C11" s="3391">
        <f>SUM(C6:C10)</f>
        <v>338</v>
      </c>
      <c r="D11" s="3392">
        <f>SUM(D6:D10)</f>
        <v>31949631.591078762</v>
      </c>
      <c r="E11" s="3393">
        <f>+D11/C11</f>
        <v>94525.537251712318</v>
      </c>
      <c r="F11" s="3391">
        <f>SUM(F6:F10)</f>
        <v>342</v>
      </c>
      <c r="G11" s="3392">
        <f>SUM(G6:G10)</f>
        <v>33873715.891078763</v>
      </c>
      <c r="H11" s="3393">
        <f>+G11/F11</f>
        <v>99045.952897891126</v>
      </c>
      <c r="I11" s="3391">
        <f>SUM(I6:I10)</f>
        <v>345</v>
      </c>
      <c r="J11" s="3392">
        <f>SUM(J6:J10)</f>
        <v>36049834.091078766</v>
      </c>
      <c r="K11" s="3393">
        <f>+J11/I11</f>
        <v>104492.27272776453</v>
      </c>
      <c r="L11" s="3391">
        <f t="shared" ref="L11:M11" si="0">SUM(L6:L10)</f>
        <v>348</v>
      </c>
      <c r="M11" s="3392">
        <f t="shared" si="0"/>
        <v>38367594.291078761</v>
      </c>
      <c r="N11" s="3393">
        <f>+M11/L11</f>
        <v>110251.70773298494</v>
      </c>
      <c r="O11" s="3391">
        <f t="shared" ref="O11:P11" si="1">SUM(O6:O10)</f>
        <v>345</v>
      </c>
      <c r="P11" s="3392">
        <f t="shared" si="1"/>
        <v>40547722.393133566</v>
      </c>
      <c r="Q11" s="3393">
        <f>+P11/O11</f>
        <v>117529.63012502482</v>
      </c>
      <c r="R11" s="3391">
        <v>336</v>
      </c>
      <c r="S11" s="3392">
        <v>42332576.640736312</v>
      </c>
      <c r="T11" s="3393">
        <v>125989.81143076283</v>
      </c>
      <c r="U11" s="3391">
        <v>335</v>
      </c>
      <c r="V11" s="3392">
        <v>44534513.142791115</v>
      </c>
      <c r="W11" s="3393">
        <v>132938.84520236152</v>
      </c>
      <c r="X11" s="3391">
        <v>323</v>
      </c>
      <c r="Y11" s="3392">
        <v>46313774.03594178</v>
      </c>
      <c r="Z11" s="3393">
        <v>143386.29732489714</v>
      </c>
    </row>
    <row r="12" spans="2:26">
      <c r="B12" s="3383" t="s">
        <v>1155</v>
      </c>
      <c r="C12" s="3384">
        <v>43</v>
      </c>
      <c r="D12" s="3385">
        <v>4789945.1450000005</v>
      </c>
      <c r="E12" s="3386">
        <v>111394.07313953488</v>
      </c>
      <c r="F12" s="3384">
        <v>45</v>
      </c>
      <c r="G12" s="3385">
        <v>5126329.3450000016</v>
      </c>
      <c r="H12" s="3386">
        <v>113918.42988888892</v>
      </c>
      <c r="I12" s="3384">
        <v>46</v>
      </c>
      <c r="J12" s="3385">
        <v>5462126.9449999994</v>
      </c>
      <c r="K12" s="3386">
        <v>118741.89010869565</v>
      </c>
      <c r="L12" s="3394">
        <v>47</v>
      </c>
      <c r="M12" s="3385">
        <v>5767336.8450000007</v>
      </c>
      <c r="N12" s="3386">
        <v>122709.29457446811</v>
      </c>
      <c r="O12" s="3394">
        <v>46</v>
      </c>
      <c r="P12" s="3385">
        <v>5653287.5450000009</v>
      </c>
      <c r="Q12" s="3386">
        <v>122897.55532608698</v>
      </c>
      <c r="R12" s="3394">
        <v>46</v>
      </c>
      <c r="S12" s="3385">
        <v>5870398.1450000023</v>
      </c>
      <c r="T12" s="3386">
        <v>127617.35097826092</v>
      </c>
      <c r="U12" s="3394">
        <v>45</v>
      </c>
      <c r="V12" s="3385">
        <v>5945569.5950000025</v>
      </c>
      <c r="W12" s="3386">
        <v>132123.76877777785</v>
      </c>
      <c r="X12" s="3394">
        <v>45</v>
      </c>
      <c r="Y12" s="3385">
        <v>6379822.0700000003</v>
      </c>
      <c r="Z12" s="3386">
        <v>141773.82377777778</v>
      </c>
    </row>
    <row r="13" spans="2:26">
      <c r="B13" s="3383" t="s">
        <v>1156</v>
      </c>
      <c r="C13" s="3384">
        <v>75</v>
      </c>
      <c r="D13" s="3385">
        <v>7723520.0157534229</v>
      </c>
      <c r="E13" s="3386">
        <v>102980.26687671231</v>
      </c>
      <c r="F13" s="3384">
        <v>75</v>
      </c>
      <c r="G13" s="3385">
        <v>8087839.7482876685</v>
      </c>
      <c r="H13" s="3386">
        <v>107837.86331050225</v>
      </c>
      <c r="I13" s="3384">
        <v>76</v>
      </c>
      <c r="J13" s="3385">
        <v>8506525.3921232894</v>
      </c>
      <c r="K13" s="3386">
        <v>111927.96568583275</v>
      </c>
      <c r="L13" s="3394">
        <v>78</v>
      </c>
      <c r="M13" s="3385">
        <v>8804409.5921232868</v>
      </c>
      <c r="N13" s="3386">
        <v>112877.04605286264</v>
      </c>
      <c r="O13" s="3394">
        <v>78</v>
      </c>
      <c r="P13" s="3385">
        <v>8825957.5921232887</v>
      </c>
      <c r="Q13" s="3386">
        <v>113153.30246311908</v>
      </c>
      <c r="R13" s="3394">
        <v>76</v>
      </c>
      <c r="S13" s="3385">
        <v>9184236.5921232887</v>
      </c>
      <c r="T13" s="3386">
        <v>120845.21831741169</v>
      </c>
      <c r="U13" s="3394">
        <v>77</v>
      </c>
      <c r="V13" s="3385">
        <v>9551246.3436301369</v>
      </c>
      <c r="W13" s="3386">
        <v>124042.16030688489</v>
      </c>
      <c r="X13" s="3394">
        <v>75</v>
      </c>
      <c r="Y13" s="3385">
        <v>9774056.6686301362</v>
      </c>
      <c r="Z13" s="3386">
        <v>130320.75558173515</v>
      </c>
    </row>
    <row r="14" spans="2:26">
      <c r="B14" s="3383" t="s">
        <v>1157</v>
      </c>
      <c r="C14" s="3384">
        <v>68</v>
      </c>
      <c r="D14" s="3385">
        <v>8878128.5737500004</v>
      </c>
      <c r="E14" s="3386">
        <v>130560.71431985295</v>
      </c>
      <c r="F14" s="3384">
        <v>70</v>
      </c>
      <c r="G14" s="3385">
        <v>9359077.6737500001</v>
      </c>
      <c r="H14" s="3386">
        <v>133701.10962500001</v>
      </c>
      <c r="I14" s="3384">
        <v>72</v>
      </c>
      <c r="J14" s="3385">
        <v>9812803.7737499997</v>
      </c>
      <c r="K14" s="3386">
        <v>136288.94130208332</v>
      </c>
      <c r="L14" s="3394">
        <v>73</v>
      </c>
      <c r="M14" s="3385">
        <v>10217201.873750001</v>
      </c>
      <c r="N14" s="3386">
        <v>139961.66950342467</v>
      </c>
      <c r="O14" s="3394">
        <v>72</v>
      </c>
      <c r="P14" s="3385">
        <v>10440132.373749999</v>
      </c>
      <c r="Q14" s="3386">
        <v>145001.83852430555</v>
      </c>
      <c r="R14" s="3394">
        <v>71</v>
      </c>
      <c r="S14" s="3385">
        <v>10836190.373749997</v>
      </c>
      <c r="T14" s="3386">
        <v>152622.39963028167</v>
      </c>
      <c r="U14" s="3394">
        <v>71</v>
      </c>
      <c r="V14" s="3385">
        <v>11243882.573750002</v>
      </c>
      <c r="W14" s="3386">
        <v>158364.54329225354</v>
      </c>
      <c r="X14" s="3394">
        <v>67</v>
      </c>
      <c r="Y14" s="3385">
        <v>11315346.473750003</v>
      </c>
      <c r="Z14" s="3386">
        <v>168885.76826492543</v>
      </c>
    </row>
    <row r="15" spans="2:26">
      <c r="B15" s="3383" t="s">
        <v>854</v>
      </c>
      <c r="C15" s="3384">
        <v>57</v>
      </c>
      <c r="D15" s="3385">
        <v>9293285.5020547919</v>
      </c>
      <c r="E15" s="3386">
        <v>163040.09652727706</v>
      </c>
      <c r="F15" s="3384">
        <v>57</v>
      </c>
      <c r="G15" s="3385">
        <v>9766865.5020547975</v>
      </c>
      <c r="H15" s="3386">
        <v>171348.51757990872</v>
      </c>
      <c r="I15" s="3384">
        <v>58</v>
      </c>
      <c r="J15" s="3385">
        <v>10149941.1</v>
      </c>
      <c r="K15" s="3386">
        <v>174998.98448275862</v>
      </c>
      <c r="L15" s="3394">
        <v>59</v>
      </c>
      <c r="M15" s="3385">
        <v>10540251.5</v>
      </c>
      <c r="N15" s="3386">
        <v>178648.33050847458</v>
      </c>
      <c r="O15" s="3394">
        <v>57</v>
      </c>
      <c r="P15" s="3385">
        <v>10854115.399999997</v>
      </c>
      <c r="Q15" s="3386">
        <v>190423.0771929824</v>
      </c>
      <c r="R15" s="3394">
        <v>59</v>
      </c>
      <c r="S15" s="3385">
        <v>11238468.599999994</v>
      </c>
      <c r="T15" s="3386">
        <v>190482.51864406769</v>
      </c>
      <c r="U15" s="3394">
        <v>60</v>
      </c>
      <c r="V15" s="3385">
        <v>11244568.599999998</v>
      </c>
      <c r="W15" s="3386">
        <v>187409.47666666663</v>
      </c>
      <c r="X15" s="3394">
        <v>60</v>
      </c>
      <c r="Y15" s="3385">
        <v>11568369.799999997</v>
      </c>
      <c r="Z15" s="3386">
        <v>192806.16333333327</v>
      </c>
    </row>
    <row r="16" spans="2:26">
      <c r="B16" s="3383" t="s">
        <v>1158</v>
      </c>
      <c r="C16" s="3384">
        <v>69</v>
      </c>
      <c r="D16" s="3385">
        <v>7929565.5349999964</v>
      </c>
      <c r="E16" s="3386">
        <v>114921.23963768111</v>
      </c>
      <c r="F16" s="3384">
        <v>70</v>
      </c>
      <c r="G16" s="3385">
        <v>8358472.1399999978</v>
      </c>
      <c r="H16" s="3386">
        <v>119406.74485714282</v>
      </c>
      <c r="I16" s="3384">
        <v>71</v>
      </c>
      <c r="J16" s="3385">
        <v>8887471.9399999995</v>
      </c>
      <c r="K16" s="3386">
        <v>125175.66112676056</v>
      </c>
      <c r="L16" s="3394">
        <v>72</v>
      </c>
      <c r="M16" s="3385">
        <v>9259929.9399999995</v>
      </c>
      <c r="N16" s="3386">
        <v>128610.13805555554</v>
      </c>
      <c r="O16" s="3394">
        <v>72</v>
      </c>
      <c r="P16" s="3385">
        <v>9642433.5399999972</v>
      </c>
      <c r="Q16" s="3386">
        <v>133922.68805555551</v>
      </c>
      <c r="R16" s="3394">
        <v>70</v>
      </c>
      <c r="S16" s="3385">
        <v>9569236.839999998</v>
      </c>
      <c r="T16" s="3386">
        <v>136703.3834285714</v>
      </c>
      <c r="U16" s="3394">
        <v>69</v>
      </c>
      <c r="V16" s="3385">
        <v>9898665.6399999969</v>
      </c>
      <c r="W16" s="3386">
        <v>143458.92231884054</v>
      </c>
      <c r="X16" s="3394">
        <v>66</v>
      </c>
      <c r="Y16" s="3385">
        <v>9936155.1399999969</v>
      </c>
      <c r="Z16" s="3386">
        <v>150547.80515151512</v>
      </c>
    </row>
    <row r="17" spans="2:26">
      <c r="B17" s="3390" t="s">
        <v>573</v>
      </c>
      <c r="C17" s="3391">
        <f>SUM(C12:C16)</f>
        <v>312</v>
      </c>
      <c r="D17" s="3392">
        <f>SUM(D12:D16)</f>
        <v>38614444.77155821</v>
      </c>
      <c r="E17" s="3393">
        <f>+D17/C17</f>
        <v>123764.24606268656</v>
      </c>
      <c r="F17" s="3391">
        <f>SUM(F12:F16)</f>
        <v>317</v>
      </c>
      <c r="G17" s="3392">
        <f>SUM(G12:G16)</f>
        <v>40698584.409092464</v>
      </c>
      <c r="H17" s="3393">
        <f>+G17/F17</f>
        <v>128386.70160596992</v>
      </c>
      <c r="I17" s="3391">
        <f>SUM(I12:I16)</f>
        <v>323</v>
      </c>
      <c r="J17" s="3392">
        <f>SUM(J12:J16)</f>
        <v>42818869.150873289</v>
      </c>
      <c r="K17" s="3393">
        <f>+J17/I17</f>
        <v>132566.1583618368</v>
      </c>
      <c r="L17" s="3391">
        <f>SUM(L12:L16)</f>
        <v>329</v>
      </c>
      <c r="M17" s="3392">
        <f>SUM(M12:M16)</f>
        <v>44589129.750873283</v>
      </c>
      <c r="N17" s="3393">
        <f>+M17/L17</f>
        <v>135529.26975949327</v>
      </c>
      <c r="O17" s="3391">
        <f>SUM(O12:O16)</f>
        <v>325</v>
      </c>
      <c r="P17" s="3392">
        <f>SUM(P12:P16)</f>
        <v>45415926.450873286</v>
      </c>
      <c r="Q17" s="3393">
        <f>+P17/O17</f>
        <v>139741.31215653318</v>
      </c>
      <c r="R17" s="3391">
        <v>322</v>
      </c>
      <c r="S17" s="3392">
        <v>46698530.55087328</v>
      </c>
      <c r="T17" s="3393">
        <v>145026.49239401639</v>
      </c>
      <c r="U17" s="3391">
        <v>322</v>
      </c>
      <c r="V17" s="3392">
        <v>47883932.752380133</v>
      </c>
      <c r="W17" s="3393">
        <v>148707.86569062152</v>
      </c>
      <c r="X17" s="3391">
        <v>313</v>
      </c>
      <c r="Y17" s="3392">
        <v>48973750.152380139</v>
      </c>
      <c r="Z17" s="3393">
        <v>156465.65543891417</v>
      </c>
    </row>
    <row r="18" spans="2:26">
      <c r="B18" s="3383" t="s">
        <v>1209</v>
      </c>
      <c r="C18" s="3384">
        <v>2</v>
      </c>
      <c r="D18" s="3385">
        <v>67173.8</v>
      </c>
      <c r="E18" s="3386">
        <v>33586.9</v>
      </c>
      <c r="F18" s="3384">
        <v>2</v>
      </c>
      <c r="G18" s="3385">
        <v>67173.8</v>
      </c>
      <c r="H18" s="3386">
        <v>33586.9</v>
      </c>
      <c r="I18" s="3384">
        <v>2</v>
      </c>
      <c r="J18" s="3385">
        <v>67173.8</v>
      </c>
      <c r="K18" s="3386">
        <v>33586.9</v>
      </c>
      <c r="L18" s="3394">
        <v>2</v>
      </c>
      <c r="M18" s="3385">
        <v>67173.8</v>
      </c>
      <c r="N18" s="3386">
        <v>33586.9</v>
      </c>
      <c r="O18" s="3394">
        <v>2</v>
      </c>
      <c r="P18" s="3385">
        <v>67173.8</v>
      </c>
      <c r="Q18" s="3386">
        <v>33586.9</v>
      </c>
      <c r="R18" s="3394">
        <v>1</v>
      </c>
      <c r="S18" s="3385">
        <v>15257</v>
      </c>
      <c r="T18" s="3386">
        <v>15257</v>
      </c>
      <c r="U18" s="3394">
        <v>1</v>
      </c>
      <c r="V18" s="3385">
        <v>15257</v>
      </c>
      <c r="W18" s="3386">
        <v>15257</v>
      </c>
      <c r="X18" s="3394">
        <v>1</v>
      </c>
      <c r="Y18" s="3385">
        <v>35240.800000000003</v>
      </c>
      <c r="Z18" s="3386">
        <v>35240.800000000003</v>
      </c>
    </row>
    <row r="19" spans="2:26">
      <c r="B19" s="3383" t="s">
        <v>1160</v>
      </c>
      <c r="C19" s="3384">
        <v>60</v>
      </c>
      <c r="D19" s="3385">
        <v>7121847.0025000013</v>
      </c>
      <c r="E19" s="3386">
        <v>118697.45004166669</v>
      </c>
      <c r="F19" s="3384">
        <v>62</v>
      </c>
      <c r="G19" s="3385">
        <v>7589209.4024999999</v>
      </c>
      <c r="H19" s="3386">
        <v>122406.60326612904</v>
      </c>
      <c r="I19" s="3384">
        <v>62</v>
      </c>
      <c r="J19" s="3385">
        <v>7980358.7024999997</v>
      </c>
      <c r="K19" s="3386">
        <v>128715.46294354838</v>
      </c>
      <c r="L19" s="3394">
        <v>63</v>
      </c>
      <c r="M19" s="3385">
        <v>8688301.8024999965</v>
      </c>
      <c r="N19" s="3386">
        <v>137909.55242063486</v>
      </c>
      <c r="O19" s="3394">
        <v>65</v>
      </c>
      <c r="P19" s="3385">
        <v>9250343.7025000006</v>
      </c>
      <c r="Q19" s="3386">
        <v>142312.98003846154</v>
      </c>
      <c r="R19" s="3394">
        <v>65</v>
      </c>
      <c r="S19" s="3385">
        <v>9672470.4025000017</v>
      </c>
      <c r="T19" s="3386">
        <v>148807.2369615385</v>
      </c>
      <c r="U19" s="3394">
        <v>63</v>
      </c>
      <c r="V19" s="3385">
        <v>9112837.2024999987</v>
      </c>
      <c r="W19" s="3386">
        <v>144648.20956349204</v>
      </c>
      <c r="X19" s="3394">
        <v>62</v>
      </c>
      <c r="Y19" s="3385">
        <v>9734341.5025000013</v>
      </c>
      <c r="Z19" s="3386">
        <v>157005.50810483872</v>
      </c>
    </row>
    <row r="20" spans="2:26">
      <c r="B20" s="3383" t="s">
        <v>1161</v>
      </c>
      <c r="C20" s="3384">
        <v>42</v>
      </c>
      <c r="D20" s="3385">
        <v>4249708.55</v>
      </c>
      <c r="E20" s="3386">
        <v>101183.5369047619</v>
      </c>
      <c r="F20" s="3384">
        <v>42</v>
      </c>
      <c r="G20" s="3385">
        <v>4658432.450000002</v>
      </c>
      <c r="H20" s="3386">
        <v>110915.05833333338</v>
      </c>
      <c r="I20" s="3384">
        <v>43</v>
      </c>
      <c r="J20" s="3385">
        <v>4958230.6500000013</v>
      </c>
      <c r="K20" s="3386">
        <v>115307.68953488374</v>
      </c>
      <c r="L20" s="3394">
        <v>44</v>
      </c>
      <c r="M20" s="3385">
        <v>5406654.6500000032</v>
      </c>
      <c r="N20" s="3386">
        <v>122878.51477272734</v>
      </c>
      <c r="O20" s="3394">
        <v>43</v>
      </c>
      <c r="P20" s="3385">
        <v>5563799.8499999987</v>
      </c>
      <c r="Q20" s="3386">
        <v>129390.69418604649</v>
      </c>
      <c r="R20" s="3394">
        <v>40</v>
      </c>
      <c r="S20" s="3385">
        <v>5769628.3500000006</v>
      </c>
      <c r="T20" s="3386">
        <v>144240.70875000002</v>
      </c>
      <c r="U20" s="3394">
        <v>37</v>
      </c>
      <c r="V20" s="3385">
        <v>5660735.0500000007</v>
      </c>
      <c r="W20" s="3386">
        <v>152992.8391891892</v>
      </c>
      <c r="X20" s="3394">
        <v>36</v>
      </c>
      <c r="Y20" s="3385">
        <v>5768336.25</v>
      </c>
      <c r="Z20" s="3386">
        <v>160231.5625</v>
      </c>
    </row>
    <row r="21" spans="2:26">
      <c r="B21" s="3383" t="s">
        <v>1162</v>
      </c>
      <c r="C21" s="3384">
        <v>36</v>
      </c>
      <c r="D21" s="3385">
        <v>4415410.1100000013</v>
      </c>
      <c r="E21" s="3386">
        <v>122650.28083333337</v>
      </c>
      <c r="F21" s="3384">
        <v>37</v>
      </c>
      <c r="G21" s="3385">
        <v>4662735.3099999977</v>
      </c>
      <c r="H21" s="3386">
        <v>126019.87324324319</v>
      </c>
      <c r="I21" s="3384">
        <v>38</v>
      </c>
      <c r="J21" s="3385">
        <v>5059262.7100000009</v>
      </c>
      <c r="K21" s="3386">
        <v>133138.49236842108</v>
      </c>
      <c r="L21" s="3394">
        <v>39</v>
      </c>
      <c r="M21" s="3385">
        <v>5353192.9100000011</v>
      </c>
      <c r="N21" s="3386">
        <v>137261.35666666669</v>
      </c>
      <c r="O21" s="3394">
        <v>39</v>
      </c>
      <c r="P21" s="3385">
        <v>5567814.209999999</v>
      </c>
      <c r="Q21" s="3386">
        <v>142764.46692307689</v>
      </c>
      <c r="R21" s="3394">
        <v>39</v>
      </c>
      <c r="S21" s="3385">
        <v>5893959.9100000001</v>
      </c>
      <c r="T21" s="3386">
        <v>151127.17717948719</v>
      </c>
      <c r="U21" s="3394">
        <v>38</v>
      </c>
      <c r="V21" s="3385">
        <v>5984858.5099999998</v>
      </c>
      <c r="W21" s="3386">
        <v>157496.27657894735</v>
      </c>
      <c r="X21" s="3394">
        <v>39</v>
      </c>
      <c r="Y21" s="3385">
        <v>6513074.5100000007</v>
      </c>
      <c r="Z21" s="3386">
        <v>167001.91051282053</v>
      </c>
    </row>
    <row r="22" spans="2:26">
      <c r="B22" s="3383" t="s">
        <v>1163</v>
      </c>
      <c r="C22" s="3384">
        <v>76</v>
      </c>
      <c r="D22" s="3385">
        <v>8484226.7750000022</v>
      </c>
      <c r="E22" s="3386">
        <v>111634.5628289474</v>
      </c>
      <c r="F22" s="3384">
        <v>76</v>
      </c>
      <c r="G22" s="3385">
        <v>8966179.2750000022</v>
      </c>
      <c r="H22" s="3386">
        <v>117976.04309210529</v>
      </c>
      <c r="I22" s="3384">
        <v>77</v>
      </c>
      <c r="J22" s="3385">
        <v>9411854.875</v>
      </c>
      <c r="K22" s="3386">
        <v>122231.8814935065</v>
      </c>
      <c r="L22" s="3394">
        <v>78</v>
      </c>
      <c r="M22" s="3385">
        <v>10008102.574999997</v>
      </c>
      <c r="N22" s="3386">
        <v>128309.00737179484</v>
      </c>
      <c r="O22" s="3394">
        <v>75</v>
      </c>
      <c r="P22" s="3385">
        <v>10276926.475</v>
      </c>
      <c r="Q22" s="3386">
        <v>137025.68633333332</v>
      </c>
      <c r="R22" s="3394">
        <v>73</v>
      </c>
      <c r="S22" s="3385">
        <v>10486977.425000004</v>
      </c>
      <c r="T22" s="3386">
        <v>143657.22500000006</v>
      </c>
      <c r="U22" s="3394">
        <v>72</v>
      </c>
      <c r="V22" s="3385">
        <v>10809551.725000005</v>
      </c>
      <c r="W22" s="3386">
        <v>150132.66284722229</v>
      </c>
      <c r="X22" s="3394">
        <v>71</v>
      </c>
      <c r="Y22" s="3385">
        <v>11262304.425000001</v>
      </c>
      <c r="Z22" s="3386">
        <v>158624.00598591552</v>
      </c>
    </row>
    <row r="23" spans="2:26">
      <c r="B23" s="3390" t="s">
        <v>574</v>
      </c>
      <c r="C23" s="3391">
        <f>SUM(C18:C22)</f>
        <v>216</v>
      </c>
      <c r="D23" s="3392">
        <f>SUM(D18:D22)</f>
        <v>24338366.237500004</v>
      </c>
      <c r="E23" s="3393">
        <f>+D23/C23</f>
        <v>112677.62146990743</v>
      </c>
      <c r="F23" s="3391">
        <f>SUM(F18:F22)</f>
        <v>219</v>
      </c>
      <c r="G23" s="3392">
        <f>SUM(G18:G22)</f>
        <v>25943730.237500001</v>
      </c>
      <c r="H23" s="3393">
        <f>+G23/F23</f>
        <v>118464.52163242009</v>
      </c>
      <c r="I23" s="3391">
        <f>SUM(I18:I22)</f>
        <v>222</v>
      </c>
      <c r="J23" s="3392">
        <f>SUM(J18:J22)</f>
        <v>27476880.737500001</v>
      </c>
      <c r="K23" s="3393">
        <f>+J23/I23</f>
        <v>123769.7330518018</v>
      </c>
      <c r="L23" s="3391">
        <f>SUM(L18:L22)</f>
        <v>226</v>
      </c>
      <c r="M23" s="3392">
        <f>SUM(M18:M22)</f>
        <v>29523425.737499997</v>
      </c>
      <c r="N23" s="3393">
        <f>+M23/L23</f>
        <v>130634.62715707964</v>
      </c>
      <c r="O23" s="3391">
        <f>SUM(O18:O22)</f>
        <v>224</v>
      </c>
      <c r="P23" s="3392">
        <f>SUM(P18:P22)</f>
        <v>30726058.037500001</v>
      </c>
      <c r="Q23" s="3393">
        <f>+P23/O23</f>
        <v>137169.90195312499</v>
      </c>
      <c r="R23" s="3391">
        <v>218</v>
      </c>
      <c r="S23" s="3392">
        <v>31838293.087500006</v>
      </c>
      <c r="T23" s="3393">
        <v>146047.21599770646</v>
      </c>
      <c r="U23" s="3391">
        <v>211</v>
      </c>
      <c r="V23" s="3392">
        <v>31583239.487500004</v>
      </c>
      <c r="W23" s="3393">
        <v>149683.59946682467</v>
      </c>
      <c r="X23" s="3391">
        <v>209</v>
      </c>
      <c r="Y23" s="3392">
        <v>33313297.487500004</v>
      </c>
      <c r="Z23" s="3393">
        <v>159393.76788277514</v>
      </c>
    </row>
    <row r="24" spans="2:26">
      <c r="B24" s="4225" t="s">
        <v>107</v>
      </c>
      <c r="C24" s="4226">
        <f>SUM(C23,C17,C11)</f>
        <v>866</v>
      </c>
      <c r="D24" s="4227">
        <f>SUM(D23,D17,D11)</f>
        <v>94902442.60013698</v>
      </c>
      <c r="E24" s="4228">
        <f>+D24/C24</f>
        <v>109587.11616643993</v>
      </c>
      <c r="F24" s="4226">
        <f t="shared" ref="F24:G24" si="2">SUM(F23,F17,F11)</f>
        <v>878</v>
      </c>
      <c r="G24" s="4227">
        <f t="shared" si="2"/>
        <v>100516030.53767124</v>
      </c>
      <c r="H24" s="4228">
        <f>+G24/F24</f>
        <v>114482.95049848661</v>
      </c>
      <c r="I24" s="4226">
        <f t="shared" ref="I24:J24" si="3">SUM(I23,I17,I11)</f>
        <v>890</v>
      </c>
      <c r="J24" s="4227">
        <f t="shared" si="3"/>
        <v>106345583.97945204</v>
      </c>
      <c r="K24" s="4228">
        <f>+J24/I24</f>
        <v>119489.42020163151</v>
      </c>
      <c r="L24" s="4226">
        <f t="shared" ref="L24:M24" si="4">SUM(L23,L17,L11)</f>
        <v>903</v>
      </c>
      <c r="M24" s="4227">
        <f t="shared" si="4"/>
        <v>112480149.77945204</v>
      </c>
      <c r="N24" s="4228">
        <f>+M24/L24</f>
        <v>124562.73508244965</v>
      </c>
      <c r="O24" s="4229">
        <f t="shared" ref="O24:P24" si="5">SUM(O23,O17,O11)</f>
        <v>894</v>
      </c>
      <c r="P24" s="4227">
        <f t="shared" si="5"/>
        <v>116689706.88150685</v>
      </c>
      <c r="Q24" s="4228">
        <f>+P24/O24</f>
        <v>130525.39919631639</v>
      </c>
      <c r="R24" s="4229">
        <v>876</v>
      </c>
      <c r="S24" s="4227">
        <v>120869400.2791096</v>
      </c>
      <c r="T24" s="4228">
        <v>137978.76744190592</v>
      </c>
      <c r="U24" s="4229">
        <v>868</v>
      </c>
      <c r="V24" s="4227">
        <v>124001685.38267127</v>
      </c>
      <c r="W24" s="4228">
        <v>142859.08454224799</v>
      </c>
      <c r="X24" s="4229">
        <v>845</v>
      </c>
      <c r="Y24" s="4227">
        <v>128600821.67582193</v>
      </c>
      <c r="Z24" s="4228">
        <v>152190.32150984844</v>
      </c>
    </row>
    <row r="25" spans="2:26">
      <c r="B25" s="3383" t="s">
        <v>1165</v>
      </c>
      <c r="C25" s="3384">
        <v>15</v>
      </c>
      <c r="D25" s="3385">
        <v>1105961.49</v>
      </c>
      <c r="E25" s="3386">
        <v>73730.766000000003</v>
      </c>
      <c r="F25" s="3384">
        <v>20</v>
      </c>
      <c r="G25" s="3385">
        <v>1470966.99</v>
      </c>
      <c r="H25" s="3386">
        <v>73548.349499999997</v>
      </c>
      <c r="I25" s="3387">
        <v>21</v>
      </c>
      <c r="J25" s="3388">
        <v>1810778.6900000002</v>
      </c>
      <c r="K25" s="3389">
        <v>86227.556666666671</v>
      </c>
      <c r="L25" s="3387">
        <v>21</v>
      </c>
      <c r="M25" s="3388">
        <v>1971440.4900000005</v>
      </c>
      <c r="N25" s="3389">
        <v>93878.118571428597</v>
      </c>
      <c r="O25" s="3387">
        <v>21</v>
      </c>
      <c r="P25" s="3388">
        <v>2106186.69</v>
      </c>
      <c r="Q25" s="3389">
        <v>100294.60428571429</v>
      </c>
      <c r="R25" s="3387">
        <v>22</v>
      </c>
      <c r="S25" s="3388">
        <v>2291744.39</v>
      </c>
      <c r="T25" s="3389">
        <v>104170.19954545455</v>
      </c>
      <c r="U25" s="3387">
        <v>22</v>
      </c>
      <c r="V25" s="3388">
        <v>2518623.5900000003</v>
      </c>
      <c r="W25" s="3389">
        <v>114482.89045454547</v>
      </c>
      <c r="X25" s="3387">
        <v>22</v>
      </c>
      <c r="Y25" s="3388">
        <v>2663278.09</v>
      </c>
      <c r="Z25" s="3389">
        <v>121058.09499999999</v>
      </c>
    </row>
    <row r="26" spans="2:26">
      <c r="B26" s="3383" t="s">
        <v>1166</v>
      </c>
      <c r="C26" s="3384">
        <v>5</v>
      </c>
      <c r="D26" s="3385">
        <v>297268.30000000005</v>
      </c>
      <c r="E26" s="3386">
        <v>59453.66</v>
      </c>
      <c r="F26" s="3384">
        <v>8</v>
      </c>
      <c r="G26" s="3385">
        <v>490724.2</v>
      </c>
      <c r="H26" s="3386">
        <v>61340.525000000001</v>
      </c>
      <c r="I26" s="3387">
        <v>9.9999999999999982</v>
      </c>
      <c r="J26" s="3388">
        <v>602984.69999999995</v>
      </c>
      <c r="K26" s="3389">
        <v>60298.47</v>
      </c>
      <c r="L26" s="3387">
        <v>10</v>
      </c>
      <c r="M26" s="3388">
        <v>650621.1</v>
      </c>
      <c r="N26" s="3389">
        <v>65062.11</v>
      </c>
      <c r="O26" s="3387">
        <v>11</v>
      </c>
      <c r="P26" s="3388">
        <v>749404.2</v>
      </c>
      <c r="Q26" s="3389">
        <v>68127.654545454541</v>
      </c>
      <c r="R26" s="3387">
        <v>12</v>
      </c>
      <c r="S26" s="3388">
        <v>917595.09999999986</v>
      </c>
      <c r="T26" s="3389">
        <v>76466.258333333317</v>
      </c>
      <c r="U26" s="3387">
        <v>13</v>
      </c>
      <c r="V26" s="3388">
        <v>1191625.4000000001</v>
      </c>
      <c r="W26" s="3389">
        <v>91663.492307692315</v>
      </c>
      <c r="X26" s="3387">
        <v>14</v>
      </c>
      <c r="Y26" s="3388">
        <v>1388237.4</v>
      </c>
      <c r="Z26" s="3389">
        <v>99159.814285714281</v>
      </c>
    </row>
    <row r="27" spans="2:26">
      <c r="B27" s="3383" t="s">
        <v>1167</v>
      </c>
      <c r="C27" s="3384">
        <v>13</v>
      </c>
      <c r="D27" s="3385">
        <v>1516940.3</v>
      </c>
      <c r="E27" s="3386">
        <v>116687.71538461538</v>
      </c>
      <c r="F27" s="3384">
        <v>15</v>
      </c>
      <c r="G27" s="3385">
        <v>1739194.9</v>
      </c>
      <c r="H27" s="3386">
        <v>115946.32666666666</v>
      </c>
      <c r="I27" s="3387">
        <v>18</v>
      </c>
      <c r="J27" s="3388">
        <v>2032280</v>
      </c>
      <c r="K27" s="3389">
        <v>112904.44444444444</v>
      </c>
      <c r="L27" s="3387">
        <v>18</v>
      </c>
      <c r="M27" s="3388">
        <v>2160433.9999999995</v>
      </c>
      <c r="N27" s="3389">
        <v>120024.11111111109</v>
      </c>
      <c r="O27" s="3387">
        <v>18</v>
      </c>
      <c r="P27" s="3388">
        <v>2463953.9999999995</v>
      </c>
      <c r="Q27" s="3389">
        <v>136886.33333333331</v>
      </c>
      <c r="R27" s="3387">
        <v>19</v>
      </c>
      <c r="S27" s="3388">
        <v>2787399.9</v>
      </c>
      <c r="T27" s="3389">
        <v>146705.25789473683</v>
      </c>
      <c r="U27" s="3387">
        <v>18</v>
      </c>
      <c r="V27" s="3388">
        <v>2886410.5</v>
      </c>
      <c r="W27" s="3389">
        <v>160356.13888888888</v>
      </c>
      <c r="X27" s="3387">
        <v>19</v>
      </c>
      <c r="Y27" s="3388">
        <v>3150837.4000000004</v>
      </c>
      <c r="Z27" s="3389">
        <v>165833.54736842107</v>
      </c>
    </row>
    <row r="28" spans="2:26">
      <c r="B28" s="3390" t="s">
        <v>576</v>
      </c>
      <c r="C28" s="3391">
        <f>SUM(C25:C27)</f>
        <v>33</v>
      </c>
      <c r="D28" s="3392">
        <f>SUM(D25:D27)</f>
        <v>2920170.09</v>
      </c>
      <c r="E28" s="3393">
        <f>+D28/C28</f>
        <v>88490.002727272717</v>
      </c>
      <c r="F28" s="3391">
        <f>SUM(F25:F27)</f>
        <v>43</v>
      </c>
      <c r="G28" s="3392">
        <f>SUM(G25:G27)</f>
        <v>3700886.09</v>
      </c>
      <c r="H28" s="3393">
        <f>+G28/F28</f>
        <v>86067.118372093013</v>
      </c>
      <c r="I28" s="3391">
        <f t="shared" ref="I28:J28" si="6">SUM(I25:I27)</f>
        <v>49</v>
      </c>
      <c r="J28" s="3392">
        <f t="shared" si="6"/>
        <v>4446043.3900000006</v>
      </c>
      <c r="K28" s="3393">
        <f>+J28/I28</f>
        <v>90735.579387755119</v>
      </c>
      <c r="L28" s="3391">
        <f t="shared" ref="L28:M28" si="7">SUM(L25:L27)</f>
        <v>49</v>
      </c>
      <c r="M28" s="3392">
        <f t="shared" si="7"/>
        <v>4782495.59</v>
      </c>
      <c r="N28" s="3393">
        <f>+M28/L28</f>
        <v>97601.950816326527</v>
      </c>
      <c r="O28" s="3391">
        <f t="shared" ref="O28:P28" si="8">SUM(O25:O27)</f>
        <v>50</v>
      </c>
      <c r="P28" s="3392">
        <f t="shared" si="8"/>
        <v>5319544.8899999987</v>
      </c>
      <c r="Q28" s="3393">
        <f>+P28/O28</f>
        <v>106390.89779999998</v>
      </c>
      <c r="R28" s="3391">
        <v>53</v>
      </c>
      <c r="S28" s="3392">
        <v>5996739.3900000006</v>
      </c>
      <c r="T28" s="3393">
        <v>113146.02622641511</v>
      </c>
      <c r="U28" s="3391">
        <v>53</v>
      </c>
      <c r="V28" s="3392">
        <v>6596659.4900000002</v>
      </c>
      <c r="W28" s="3393">
        <v>124465.27339622642</v>
      </c>
      <c r="X28" s="3391">
        <v>55</v>
      </c>
      <c r="Y28" s="3392">
        <v>7202352.8900000006</v>
      </c>
      <c r="Z28" s="3393">
        <v>130951.87072727273</v>
      </c>
    </row>
    <row r="29" spans="2:26">
      <c r="B29" s="3383" t="s">
        <v>1168</v>
      </c>
      <c r="C29" s="3384">
        <v>3</v>
      </c>
      <c r="D29" s="3385">
        <v>551933.65164383606</v>
      </c>
      <c r="E29" s="3386">
        <v>183977.88388127869</v>
      </c>
      <c r="F29" s="3384">
        <v>7</v>
      </c>
      <c r="G29" s="3385">
        <v>775621.42164383607</v>
      </c>
      <c r="H29" s="3386">
        <v>110803.06023483373</v>
      </c>
      <c r="I29" s="3384">
        <v>8</v>
      </c>
      <c r="J29" s="3385">
        <v>867109.92164383596</v>
      </c>
      <c r="K29" s="3386">
        <v>108388.74020547949</v>
      </c>
      <c r="L29" s="3394">
        <v>8</v>
      </c>
      <c r="M29" s="3385">
        <v>961743.92164383607</v>
      </c>
      <c r="N29" s="3386">
        <v>120217.99020547951</v>
      </c>
      <c r="O29" s="3394">
        <v>9</v>
      </c>
      <c r="P29" s="3385">
        <v>1152062.921643836</v>
      </c>
      <c r="Q29" s="3386">
        <v>128006.99129375955</v>
      </c>
      <c r="R29" s="3394">
        <v>9</v>
      </c>
      <c r="S29" s="3385">
        <v>1228634.0216438361</v>
      </c>
      <c r="T29" s="3386">
        <v>136514.89129375957</v>
      </c>
      <c r="U29" s="3394">
        <v>9</v>
      </c>
      <c r="V29" s="3385">
        <v>1381688.921643836</v>
      </c>
      <c r="W29" s="3386">
        <v>153520.99129375955</v>
      </c>
      <c r="X29" s="3394">
        <v>10</v>
      </c>
      <c r="Y29" s="3385">
        <v>1387404.46</v>
      </c>
      <c r="Z29" s="3386">
        <v>138740.446</v>
      </c>
    </row>
    <row r="30" spans="2:26">
      <c r="B30" s="3383" t="s">
        <v>1169</v>
      </c>
      <c r="C30" s="3384">
        <v>5</v>
      </c>
      <c r="D30" s="3385">
        <v>242943.40000000002</v>
      </c>
      <c r="E30" s="3386">
        <v>48588.680000000008</v>
      </c>
      <c r="F30" s="3384">
        <v>8</v>
      </c>
      <c r="G30" s="3385">
        <v>428015.30000000005</v>
      </c>
      <c r="H30" s="3386">
        <v>53501.912500000006</v>
      </c>
      <c r="I30" s="3384">
        <v>8</v>
      </c>
      <c r="J30" s="3385">
        <v>475083.09999999992</v>
      </c>
      <c r="K30" s="3386">
        <v>59385.38749999999</v>
      </c>
      <c r="L30" s="3394">
        <v>8</v>
      </c>
      <c r="M30" s="3385">
        <v>642166.19999999995</v>
      </c>
      <c r="N30" s="3386">
        <v>80270.774999999994</v>
      </c>
      <c r="O30" s="3394">
        <v>9</v>
      </c>
      <c r="P30" s="3385">
        <v>857304.1</v>
      </c>
      <c r="Q30" s="3386">
        <v>95256.011111111104</v>
      </c>
      <c r="R30" s="3394">
        <v>9</v>
      </c>
      <c r="S30" s="3385">
        <v>931025.2</v>
      </c>
      <c r="T30" s="3386">
        <v>103447.24444444444</v>
      </c>
      <c r="U30" s="3394">
        <v>11</v>
      </c>
      <c r="V30" s="3385">
        <v>1196265.5999999999</v>
      </c>
      <c r="W30" s="3386">
        <v>108751.41818181817</v>
      </c>
      <c r="X30" s="3394">
        <v>12</v>
      </c>
      <c r="Y30" s="3385">
        <v>1362918.9999999998</v>
      </c>
      <c r="Z30" s="3386">
        <v>113576.58333333331</v>
      </c>
    </row>
    <row r="31" spans="2:26">
      <c r="B31" s="3383" t="s">
        <v>1170</v>
      </c>
      <c r="C31" s="3384">
        <v>14</v>
      </c>
      <c r="D31" s="3385">
        <v>1981952.145890411</v>
      </c>
      <c r="E31" s="3386">
        <v>141568.01042074364</v>
      </c>
      <c r="F31" s="3384">
        <v>14</v>
      </c>
      <c r="G31" s="3385">
        <v>2082955.3458904107</v>
      </c>
      <c r="H31" s="3386">
        <v>148782.52470645792</v>
      </c>
      <c r="I31" s="3384">
        <v>14</v>
      </c>
      <c r="J31" s="3385">
        <v>2269658.4458904113</v>
      </c>
      <c r="K31" s="3386">
        <v>162118.46042074365</v>
      </c>
      <c r="L31" s="3394">
        <v>15</v>
      </c>
      <c r="M31" s="3385">
        <v>2411990.5458904114</v>
      </c>
      <c r="N31" s="3386">
        <v>160799.36972602742</v>
      </c>
      <c r="O31" s="3394">
        <v>16</v>
      </c>
      <c r="P31" s="3385">
        <v>2517200.3458904107</v>
      </c>
      <c r="Q31" s="3386">
        <v>157325.02161815067</v>
      </c>
      <c r="R31" s="3394">
        <v>16</v>
      </c>
      <c r="S31" s="3385">
        <v>2728818.9458904108</v>
      </c>
      <c r="T31" s="3386">
        <v>170551.18411815068</v>
      </c>
      <c r="U31" s="3394">
        <v>17</v>
      </c>
      <c r="V31" s="3385">
        <v>3026368.5458904114</v>
      </c>
      <c r="W31" s="3386">
        <v>178021.6791700242</v>
      </c>
      <c r="X31" s="3394">
        <v>18</v>
      </c>
      <c r="Y31" s="3385">
        <v>3251459.8458904116</v>
      </c>
      <c r="Z31" s="3386">
        <v>180636.65810502286</v>
      </c>
    </row>
    <row r="32" spans="2:26">
      <c r="B32" s="3390" t="s">
        <v>577</v>
      </c>
      <c r="C32" s="3391">
        <f>SUM(C29:C31)</f>
        <v>22</v>
      </c>
      <c r="D32" s="3392">
        <f>SUM(D29:D31)</f>
        <v>2776829.1975342473</v>
      </c>
      <c r="E32" s="3393">
        <f>+D32/C32</f>
        <v>126219.50897882943</v>
      </c>
      <c r="F32" s="3391">
        <f>SUM(F29:F31)</f>
        <v>29</v>
      </c>
      <c r="G32" s="3392">
        <f>SUM(G29:G31)</f>
        <v>3286592.0675342469</v>
      </c>
      <c r="H32" s="3393">
        <f>+G32/F32</f>
        <v>113330.76094945679</v>
      </c>
      <c r="I32" s="3391">
        <f>SUM(I29:I31)</f>
        <v>30</v>
      </c>
      <c r="J32" s="3392">
        <f>SUM(J29:J31)</f>
        <v>3611851.4675342469</v>
      </c>
      <c r="K32" s="3393">
        <f>+J32/I32</f>
        <v>120395.04891780824</v>
      </c>
      <c r="L32" s="3391">
        <f>SUM(L29:L31)</f>
        <v>31</v>
      </c>
      <c r="M32" s="3392">
        <f>SUM(M29:M31)</f>
        <v>4015900.6675342475</v>
      </c>
      <c r="N32" s="3393">
        <f>+M32/L32</f>
        <v>129545.18282368541</v>
      </c>
      <c r="O32" s="3391">
        <f>SUM(O29:O31)</f>
        <v>34</v>
      </c>
      <c r="P32" s="3392">
        <f>SUM(P29:P31)</f>
        <v>4526567.3675342463</v>
      </c>
      <c r="Q32" s="3393">
        <f>+P32/O32</f>
        <v>133134.33433924254</v>
      </c>
      <c r="R32" s="3391">
        <v>34</v>
      </c>
      <c r="S32" s="3392">
        <v>4888478.167534247</v>
      </c>
      <c r="T32" s="3393">
        <v>143778.76963336021</v>
      </c>
      <c r="U32" s="3391">
        <v>37</v>
      </c>
      <c r="V32" s="3392">
        <v>5604323.0675342474</v>
      </c>
      <c r="W32" s="3393">
        <v>151468.19101443913</v>
      </c>
      <c r="X32" s="3391">
        <v>40</v>
      </c>
      <c r="Y32" s="3392">
        <v>6001783.3058904111</v>
      </c>
      <c r="Z32" s="3393">
        <v>150044.58264726028</v>
      </c>
    </row>
    <row r="33" spans="2:26">
      <c r="B33" s="3383" t="s">
        <v>1171</v>
      </c>
      <c r="C33" s="3384">
        <v>13</v>
      </c>
      <c r="D33" s="3385">
        <v>1310215.0000000002</v>
      </c>
      <c r="E33" s="3386">
        <v>100785.76923076925</v>
      </c>
      <c r="F33" s="3384">
        <v>13</v>
      </c>
      <c r="G33" s="3385">
        <v>1433263.5</v>
      </c>
      <c r="H33" s="3386">
        <v>110251.03846153847</v>
      </c>
      <c r="I33" s="3384">
        <v>15</v>
      </c>
      <c r="J33" s="3385">
        <v>1633282.5000000002</v>
      </c>
      <c r="K33" s="3386">
        <v>108885.50000000001</v>
      </c>
      <c r="L33" s="3394">
        <v>15</v>
      </c>
      <c r="M33" s="3385">
        <v>1717838.3</v>
      </c>
      <c r="N33" s="3386">
        <v>114522.55333333333</v>
      </c>
      <c r="O33" s="3394">
        <v>15</v>
      </c>
      <c r="P33" s="3385">
        <v>1822768.0000000002</v>
      </c>
      <c r="Q33" s="3386">
        <v>121517.86666666668</v>
      </c>
      <c r="R33" s="3394">
        <v>15</v>
      </c>
      <c r="S33" s="3385">
        <v>1920089.5000000002</v>
      </c>
      <c r="T33" s="3386">
        <v>128005.96666666669</v>
      </c>
      <c r="U33" s="3394">
        <v>16</v>
      </c>
      <c r="V33" s="3385">
        <v>1839926.8</v>
      </c>
      <c r="W33" s="3386">
        <v>114995.425</v>
      </c>
      <c r="X33" s="3394">
        <v>19</v>
      </c>
      <c r="Y33" s="3385">
        <v>2173920.1999999993</v>
      </c>
      <c r="Z33" s="3386">
        <v>114416.85263157891</v>
      </c>
    </row>
    <row r="34" spans="2:26">
      <c r="B34" s="3383" t="s">
        <v>1172</v>
      </c>
      <c r="C34" s="3384">
        <v>9</v>
      </c>
      <c r="D34" s="3385">
        <v>641392.6</v>
      </c>
      <c r="E34" s="3386">
        <v>71265.844444444447</v>
      </c>
      <c r="F34" s="3384">
        <v>11</v>
      </c>
      <c r="G34" s="3385">
        <v>851653.05</v>
      </c>
      <c r="H34" s="3386">
        <v>77423.004545454547</v>
      </c>
      <c r="I34" s="3384">
        <v>12</v>
      </c>
      <c r="J34" s="3385">
        <v>1036590.65</v>
      </c>
      <c r="K34" s="3386">
        <v>86382.554166666669</v>
      </c>
      <c r="L34" s="3394">
        <v>12</v>
      </c>
      <c r="M34" s="3385">
        <v>1145128.6499999999</v>
      </c>
      <c r="N34" s="3386">
        <v>95427.387499999997</v>
      </c>
      <c r="O34" s="3394">
        <v>14</v>
      </c>
      <c r="P34" s="3385">
        <v>1272191.7500000002</v>
      </c>
      <c r="Q34" s="3386">
        <v>90870.839285714304</v>
      </c>
      <c r="R34" s="3394">
        <v>16</v>
      </c>
      <c r="S34" s="3385">
        <v>1602834.8499999996</v>
      </c>
      <c r="T34" s="3386">
        <v>100177.17812499998</v>
      </c>
      <c r="U34" s="3394">
        <v>19</v>
      </c>
      <c r="V34" s="3385">
        <v>2044080.75</v>
      </c>
      <c r="W34" s="3386">
        <v>107583.19736842105</v>
      </c>
      <c r="X34" s="3394">
        <v>20</v>
      </c>
      <c r="Y34" s="3385">
        <v>2274326.6499999994</v>
      </c>
      <c r="Z34" s="3386">
        <v>113716.33249999997</v>
      </c>
    </row>
    <row r="35" spans="2:26">
      <c r="B35" s="3383" t="s">
        <v>854</v>
      </c>
      <c r="C35" s="3384">
        <v>15</v>
      </c>
      <c r="D35" s="3385">
        <v>1579596.2299999997</v>
      </c>
      <c r="E35" s="3386">
        <v>105306.41533333332</v>
      </c>
      <c r="F35" s="3384">
        <v>16</v>
      </c>
      <c r="G35" s="3385">
        <v>1797482.8299999998</v>
      </c>
      <c r="H35" s="3386">
        <v>112342.67687499999</v>
      </c>
      <c r="I35" s="3384">
        <v>17</v>
      </c>
      <c r="J35" s="3385">
        <v>2021735.0300000003</v>
      </c>
      <c r="K35" s="3386">
        <v>118925.59000000001</v>
      </c>
      <c r="L35" s="3394">
        <v>18</v>
      </c>
      <c r="M35" s="3385">
        <v>2152240.8299999996</v>
      </c>
      <c r="N35" s="3386">
        <v>119568.93499999998</v>
      </c>
      <c r="O35" s="3394">
        <v>19</v>
      </c>
      <c r="P35" s="3385">
        <v>2439796.9299999997</v>
      </c>
      <c r="Q35" s="3386">
        <v>128410.36473684209</v>
      </c>
      <c r="R35" s="3394">
        <v>19</v>
      </c>
      <c r="S35" s="3385">
        <v>2583899.1300000004</v>
      </c>
      <c r="T35" s="3386">
        <v>135994.69105263159</v>
      </c>
      <c r="U35" s="3394">
        <v>22</v>
      </c>
      <c r="V35" s="3385">
        <v>3184277.45</v>
      </c>
      <c r="W35" s="3386">
        <v>144739.88409090909</v>
      </c>
      <c r="X35" s="3394">
        <v>22</v>
      </c>
      <c r="Y35" s="3385">
        <v>3351345.1500000004</v>
      </c>
      <c r="Z35" s="3386">
        <v>152333.87045454548</v>
      </c>
    </row>
    <row r="36" spans="2:26">
      <c r="B36" s="3390" t="s">
        <v>573</v>
      </c>
      <c r="C36" s="3391">
        <f>SUM(C33:C35)</f>
        <v>37</v>
      </c>
      <c r="D36" s="3392">
        <f>SUM(D33:D35)</f>
        <v>3531203.83</v>
      </c>
      <c r="E36" s="3393">
        <f t="shared" ref="E36:E37" si="9">+D36/C36</f>
        <v>95437.941351351357</v>
      </c>
      <c r="F36" s="3391">
        <f>SUM(F33:F35)</f>
        <v>40</v>
      </c>
      <c r="G36" s="3392">
        <f>SUM(G33:G35)</f>
        <v>4082399.38</v>
      </c>
      <c r="H36" s="3393">
        <f t="shared" ref="H36:H37" si="10">+G36/F36</f>
        <v>102059.98449999999</v>
      </c>
      <c r="I36" s="3391">
        <f>SUM(I33:I35)</f>
        <v>44</v>
      </c>
      <c r="J36" s="3392">
        <f>SUM(J33:J35)</f>
        <v>4691608.1800000006</v>
      </c>
      <c r="K36" s="3393">
        <f t="shared" ref="K36:K37" si="11">+J36/I36</f>
        <v>106627.45863636365</v>
      </c>
      <c r="L36" s="3391">
        <f>SUM(L33:L35)</f>
        <v>45</v>
      </c>
      <c r="M36" s="3392">
        <f>SUM(M33:M35)</f>
        <v>5015207.7799999993</v>
      </c>
      <c r="N36" s="3393">
        <f t="shared" ref="N36:N37" si="12">+M36/L36</f>
        <v>111449.06177777777</v>
      </c>
      <c r="O36" s="3391">
        <f>SUM(O33:O35)</f>
        <v>48</v>
      </c>
      <c r="P36" s="3392">
        <f>SUM(P33:P35)</f>
        <v>5534756.6799999997</v>
      </c>
      <c r="Q36" s="3393">
        <f t="shared" ref="Q36:Q37" si="13">+P36/O36</f>
        <v>115307.43083333333</v>
      </c>
      <c r="R36" s="3391">
        <v>50</v>
      </c>
      <c r="S36" s="3392">
        <v>6106823.4800000004</v>
      </c>
      <c r="T36" s="3393">
        <v>122136.46960000001</v>
      </c>
      <c r="U36" s="3391">
        <v>57</v>
      </c>
      <c r="V36" s="3392">
        <v>7068285</v>
      </c>
      <c r="W36" s="3393">
        <v>124005</v>
      </c>
      <c r="X36" s="3391">
        <v>61</v>
      </c>
      <c r="Y36" s="3392">
        <v>7799591.9999999991</v>
      </c>
      <c r="Z36" s="3393">
        <v>127862.16393442621</v>
      </c>
    </row>
    <row r="37" spans="2:26">
      <c r="B37" s="4220" t="s">
        <v>265</v>
      </c>
      <c r="C37" s="4221">
        <f>SUM(C36,C32,C28)</f>
        <v>92</v>
      </c>
      <c r="D37" s="4222">
        <f>SUM(D36,D32,D28)</f>
        <v>9228203.1175342463</v>
      </c>
      <c r="E37" s="4223">
        <f t="shared" si="9"/>
        <v>100306.55562537225</v>
      </c>
      <c r="F37" s="4221">
        <f t="shared" ref="F37:G37" si="14">SUM(F36,F32,F28)</f>
        <v>112</v>
      </c>
      <c r="G37" s="4222">
        <f t="shared" si="14"/>
        <v>11069877.537534246</v>
      </c>
      <c r="H37" s="4223">
        <f t="shared" si="10"/>
        <v>98838.192299412913</v>
      </c>
      <c r="I37" s="4221">
        <f t="shared" ref="I37:J37" si="15">SUM(I36,I32,I28)</f>
        <v>123</v>
      </c>
      <c r="J37" s="4222">
        <f t="shared" si="15"/>
        <v>12749503.037534248</v>
      </c>
      <c r="K37" s="4223">
        <f t="shared" si="11"/>
        <v>103654.49624011584</v>
      </c>
      <c r="L37" s="4221">
        <f t="shared" ref="L37:M37" si="16">SUM(L36,L32,L28)</f>
        <v>125</v>
      </c>
      <c r="M37" s="4222">
        <f t="shared" si="16"/>
        <v>13813604.037534246</v>
      </c>
      <c r="N37" s="4223">
        <f t="shared" si="12"/>
        <v>110508.83230027396</v>
      </c>
      <c r="O37" s="4224">
        <f t="shared" ref="O37:P37" si="17">SUM(O36,O32,O28)</f>
        <v>132</v>
      </c>
      <c r="P37" s="4222">
        <f t="shared" si="17"/>
        <v>15380868.937534245</v>
      </c>
      <c r="Q37" s="4223">
        <f t="shared" si="13"/>
        <v>116521.73437525943</v>
      </c>
      <c r="R37" s="4224">
        <v>137</v>
      </c>
      <c r="S37" s="4222">
        <v>16992041.037534248</v>
      </c>
      <c r="T37" s="4223">
        <v>124029.49662433758</v>
      </c>
      <c r="U37" s="4224">
        <v>147</v>
      </c>
      <c r="V37" s="4222">
        <v>19269267.557534248</v>
      </c>
      <c r="W37" s="4223">
        <v>131083.45277234181</v>
      </c>
      <c r="X37" s="4224">
        <v>156</v>
      </c>
      <c r="Y37" s="4222">
        <v>21003728.195890412</v>
      </c>
      <c r="Z37" s="4223">
        <v>134639.28330698982</v>
      </c>
    </row>
    <row r="38" spans="2:26">
      <c r="B38" s="3383" t="s">
        <v>1173</v>
      </c>
      <c r="C38" s="3387">
        <v>53</v>
      </c>
      <c r="D38" s="3388">
        <v>10239646.082191782</v>
      </c>
      <c r="E38" s="3389">
        <v>193200.86947531663</v>
      </c>
      <c r="F38" s="3387">
        <v>53</v>
      </c>
      <c r="G38" s="3388">
        <v>10803795.582191782</v>
      </c>
      <c r="H38" s="3389">
        <v>203845.19966399588</v>
      </c>
      <c r="I38" s="3387">
        <v>53.000000000000007</v>
      </c>
      <c r="J38" s="3388">
        <v>11236289.68219178</v>
      </c>
      <c r="K38" s="3389">
        <v>212005.46570173168</v>
      </c>
      <c r="L38" s="3394">
        <v>54</v>
      </c>
      <c r="M38" s="3388">
        <v>11743254.58219178</v>
      </c>
      <c r="N38" s="3389">
        <v>217467.67744799593</v>
      </c>
      <c r="O38" s="3394">
        <v>55</v>
      </c>
      <c r="P38" s="3388">
        <v>12256895.882191783</v>
      </c>
      <c r="Q38" s="3389">
        <v>222852.65240348695</v>
      </c>
      <c r="R38" s="3394">
        <v>56</v>
      </c>
      <c r="S38" s="3388">
        <v>12628986.08219178</v>
      </c>
      <c r="T38" s="3389">
        <v>229617.92876712329</v>
      </c>
      <c r="U38" s="3394">
        <v>56</v>
      </c>
      <c r="V38" s="3388">
        <v>13000086.08219178</v>
      </c>
      <c r="W38" s="3389">
        <v>232144.39432485323</v>
      </c>
      <c r="X38" s="3394">
        <v>50</v>
      </c>
      <c r="Y38" s="3388">
        <v>12463519.982191781</v>
      </c>
      <c r="Z38" s="3389">
        <v>249270.39964383561</v>
      </c>
    </row>
    <row r="39" spans="2:26">
      <c r="B39" s="3383" t="s">
        <v>1174</v>
      </c>
      <c r="C39" s="3387">
        <v>41</v>
      </c>
      <c r="D39" s="3388">
        <v>8806692.5999999996</v>
      </c>
      <c r="E39" s="3389">
        <v>214797.38048780488</v>
      </c>
      <c r="F39" s="3387">
        <v>42.000000000000007</v>
      </c>
      <c r="G39" s="3388">
        <v>9345817.3000000007</v>
      </c>
      <c r="H39" s="3389">
        <v>222519.45952380952</v>
      </c>
      <c r="I39" s="3387">
        <v>42.000000000000007</v>
      </c>
      <c r="J39" s="3388">
        <v>9798547.1000000015</v>
      </c>
      <c r="K39" s="3389">
        <v>233298.74047619049</v>
      </c>
      <c r="L39" s="3394">
        <v>44</v>
      </c>
      <c r="M39" s="3388">
        <v>10431587.300000001</v>
      </c>
      <c r="N39" s="3389">
        <v>237081.52954545451</v>
      </c>
      <c r="O39" s="3394">
        <v>45</v>
      </c>
      <c r="P39" s="3388">
        <v>11013411.900000002</v>
      </c>
      <c r="Q39" s="3389">
        <v>244742.48666666672</v>
      </c>
      <c r="R39" s="3394">
        <v>43</v>
      </c>
      <c r="S39" s="3388">
        <v>11453091.9</v>
      </c>
      <c r="T39" s="3389">
        <v>266350.97441860469</v>
      </c>
      <c r="U39" s="3394">
        <v>41</v>
      </c>
      <c r="V39" s="3388">
        <v>11942037.6</v>
      </c>
      <c r="W39" s="3389">
        <v>291269.20975609752</v>
      </c>
      <c r="X39" s="3394">
        <v>42</v>
      </c>
      <c r="Y39" s="3388">
        <v>12509361.100000003</v>
      </c>
      <c r="Z39" s="3389">
        <v>297841.93095238105</v>
      </c>
    </row>
    <row r="40" spans="2:26">
      <c r="B40" s="3383" t="s">
        <v>1175</v>
      </c>
      <c r="C40" s="3387">
        <v>61</v>
      </c>
      <c r="D40" s="3388">
        <v>6474026.4723561639</v>
      </c>
      <c r="E40" s="3389">
        <v>106131.58151403547</v>
      </c>
      <c r="F40" s="3387">
        <v>61.000000000000007</v>
      </c>
      <c r="G40" s="3388">
        <v>6795048.8723561652</v>
      </c>
      <c r="H40" s="3389">
        <v>111394.24380911746</v>
      </c>
      <c r="I40" s="3387">
        <v>60.999999999999993</v>
      </c>
      <c r="J40" s="3388">
        <v>7403774.5723561626</v>
      </c>
      <c r="K40" s="3389">
        <v>121373.353645183</v>
      </c>
      <c r="L40" s="3394">
        <v>61</v>
      </c>
      <c r="M40" s="3388">
        <v>7888181.4683561642</v>
      </c>
      <c r="N40" s="3389">
        <v>129314.45030092073</v>
      </c>
      <c r="O40" s="3394">
        <v>61</v>
      </c>
      <c r="P40" s="3388">
        <v>8192857.5683561629</v>
      </c>
      <c r="Q40" s="3389">
        <v>134309.14046485513</v>
      </c>
      <c r="R40" s="3394">
        <v>60</v>
      </c>
      <c r="S40" s="3388">
        <v>8594495.1703561656</v>
      </c>
      <c r="T40" s="3389">
        <v>143241.58617260275</v>
      </c>
      <c r="U40" s="3394">
        <v>59</v>
      </c>
      <c r="V40" s="3388">
        <v>8989599.9703561664</v>
      </c>
      <c r="W40" s="3389">
        <v>152366.10119247739</v>
      </c>
      <c r="X40" s="3394">
        <v>57</v>
      </c>
      <c r="Y40" s="3388">
        <v>9207256.9703561664</v>
      </c>
      <c r="Z40" s="3389">
        <v>161530.82404133625</v>
      </c>
    </row>
    <row r="41" spans="2:26">
      <c r="B41" s="3383" t="s">
        <v>1176</v>
      </c>
      <c r="C41" s="3387">
        <v>57</v>
      </c>
      <c r="D41" s="3388">
        <v>8243204.129999998</v>
      </c>
      <c r="E41" s="3389">
        <v>144617.61631578943</v>
      </c>
      <c r="F41" s="3387">
        <v>57</v>
      </c>
      <c r="G41" s="3388">
        <v>8553891.9299999997</v>
      </c>
      <c r="H41" s="3389">
        <v>150068.2794736842</v>
      </c>
      <c r="I41" s="3387">
        <v>57</v>
      </c>
      <c r="J41" s="3388">
        <v>9106629.6299999971</v>
      </c>
      <c r="K41" s="3389">
        <v>159765.43210526311</v>
      </c>
      <c r="L41" s="3394">
        <v>57</v>
      </c>
      <c r="M41" s="3388">
        <v>9440570.7300000004</v>
      </c>
      <c r="N41" s="3389">
        <v>165624.04789473684</v>
      </c>
      <c r="O41" s="3394">
        <v>56</v>
      </c>
      <c r="P41" s="3388">
        <v>9589245.1300000027</v>
      </c>
      <c r="Q41" s="3389">
        <v>171236.52017857149</v>
      </c>
      <c r="R41" s="3394">
        <v>55</v>
      </c>
      <c r="S41" s="3388">
        <v>9884776.0299999993</v>
      </c>
      <c r="T41" s="3389">
        <v>179723.20054545454</v>
      </c>
      <c r="U41" s="3394">
        <v>55</v>
      </c>
      <c r="V41" s="3388">
        <v>10341666.730000002</v>
      </c>
      <c r="W41" s="3389">
        <v>188030.30418181821</v>
      </c>
      <c r="X41" s="3394">
        <v>53</v>
      </c>
      <c r="Y41" s="3388">
        <v>10348906.030000003</v>
      </c>
      <c r="Z41" s="3389">
        <v>195262.37792452835</v>
      </c>
    </row>
    <row r="42" spans="2:26">
      <c r="B42" s="3383" t="s">
        <v>1177</v>
      </c>
      <c r="C42" s="3387">
        <v>55</v>
      </c>
      <c r="D42" s="3388">
        <v>11285438.47349315</v>
      </c>
      <c r="E42" s="3389">
        <v>205189.79042714817</v>
      </c>
      <c r="F42" s="3387">
        <v>56</v>
      </c>
      <c r="G42" s="3388">
        <v>12045455.673493154</v>
      </c>
      <c r="H42" s="3389">
        <v>215097.42274094917</v>
      </c>
      <c r="I42" s="3387">
        <v>56</v>
      </c>
      <c r="J42" s="3388">
        <v>12810061.973493151</v>
      </c>
      <c r="K42" s="3389">
        <v>228751.10666952055</v>
      </c>
      <c r="L42" s="3394">
        <v>56</v>
      </c>
      <c r="M42" s="3388">
        <v>13319734.97349315</v>
      </c>
      <c r="N42" s="3389">
        <v>237852.4102409491</v>
      </c>
      <c r="O42" s="3394">
        <v>56</v>
      </c>
      <c r="P42" s="3388">
        <v>13970427.699999997</v>
      </c>
      <c r="Q42" s="3389">
        <v>249471.92321428566</v>
      </c>
      <c r="R42" s="3394">
        <v>55</v>
      </c>
      <c r="S42" s="3388">
        <v>14237495.000000002</v>
      </c>
      <c r="T42" s="3389">
        <v>258863.5454545455</v>
      </c>
      <c r="U42" s="3394">
        <v>55</v>
      </c>
      <c r="V42" s="3388">
        <v>14794698.100000001</v>
      </c>
      <c r="W42" s="3389">
        <v>268994.51090909092</v>
      </c>
      <c r="X42" s="3394">
        <v>53</v>
      </c>
      <c r="Y42" s="3388">
        <v>15085246.100000005</v>
      </c>
      <c r="Z42" s="3389">
        <v>284627.28490566049</v>
      </c>
    </row>
    <row r="43" spans="2:26">
      <c r="B43" s="3390" t="s">
        <v>572</v>
      </c>
      <c r="C43" s="3391">
        <f>SUM(C38:C42)</f>
        <v>267</v>
      </c>
      <c r="D43" s="3392">
        <f>SUM(D38:D42)</f>
        <v>45049007.758041091</v>
      </c>
      <c r="E43" s="3393">
        <f t="shared" ref="E43" si="18">+D43/C43</f>
        <v>168722.87549828124</v>
      </c>
      <c r="F43" s="3391">
        <f t="shared" ref="F43:G43" si="19">SUM(F38:F42)</f>
        <v>269</v>
      </c>
      <c r="G43" s="3392">
        <f t="shared" si="19"/>
        <v>47544009.3580411</v>
      </c>
      <c r="H43" s="3393">
        <f t="shared" ref="H43" si="20">+G43/F43</f>
        <v>176743.52921204871</v>
      </c>
      <c r="I43" s="3391">
        <f t="shared" ref="I43:J43" si="21">SUM(I38:I42)</f>
        <v>269</v>
      </c>
      <c r="J43" s="3392">
        <f t="shared" si="21"/>
        <v>50355302.958041094</v>
      </c>
      <c r="K43" s="3393">
        <f t="shared" ref="K43" si="22">+J43/I43</f>
        <v>187194.43478825685</v>
      </c>
      <c r="L43" s="3391">
        <f>SUM(L38:L42)</f>
        <v>272</v>
      </c>
      <c r="M43" s="3392">
        <f>SUM(M38:M42)</f>
        <v>52823329.054041095</v>
      </c>
      <c r="N43" s="3393">
        <f t="shared" ref="N43" si="23">+M43/L43</f>
        <v>194203.41563985698</v>
      </c>
      <c r="O43" s="3391">
        <f>SUM(O38:O42)</f>
        <v>273</v>
      </c>
      <c r="P43" s="3392">
        <f>SUM(P38:P42)</f>
        <v>55022838.180547945</v>
      </c>
      <c r="Q43" s="3393">
        <f t="shared" ref="Q43" si="24">+P43/O43</f>
        <v>201548.85780420492</v>
      </c>
      <c r="R43" s="3391">
        <v>269</v>
      </c>
      <c r="S43" s="3392">
        <v>56798844.182547942</v>
      </c>
      <c r="T43" s="3393">
        <v>211148.11963772468</v>
      </c>
      <c r="U43" s="3391">
        <v>266</v>
      </c>
      <c r="V43" s="3392">
        <v>59068088.482547954</v>
      </c>
      <c r="W43" s="3393">
        <v>222060.48301709758</v>
      </c>
      <c r="X43" s="3391">
        <v>255</v>
      </c>
      <c r="Y43" s="3392">
        <v>59614290.182547957</v>
      </c>
      <c r="Z43" s="3393">
        <v>233781.53012763904</v>
      </c>
    </row>
    <row r="44" spans="2:26">
      <c r="B44" s="3383" t="s">
        <v>1178</v>
      </c>
      <c r="C44" s="3384">
        <v>41</v>
      </c>
      <c r="D44" s="3388">
        <v>7118820.825000003</v>
      </c>
      <c r="E44" s="3389">
        <v>173629.77621951228</v>
      </c>
      <c r="F44" s="3384">
        <v>43</v>
      </c>
      <c r="G44" s="3388">
        <v>7682166.8249999993</v>
      </c>
      <c r="H44" s="3389">
        <v>178655.04244186045</v>
      </c>
      <c r="I44" s="3384">
        <v>44</v>
      </c>
      <c r="J44" s="3388">
        <v>8175467.7249999996</v>
      </c>
      <c r="K44" s="3389">
        <v>185806.08465909091</v>
      </c>
      <c r="L44" s="3394">
        <v>46</v>
      </c>
      <c r="M44" s="3388">
        <v>8640850.9249999989</v>
      </c>
      <c r="N44" s="3389">
        <v>187844.58532608693</v>
      </c>
      <c r="O44" s="3394">
        <v>49</v>
      </c>
      <c r="P44" s="3388">
        <v>9391869.3250000011</v>
      </c>
      <c r="Q44" s="3389">
        <v>191670.80255102043</v>
      </c>
      <c r="R44" s="3394">
        <v>49</v>
      </c>
      <c r="S44" s="3388">
        <v>9626959.0299999993</v>
      </c>
      <c r="T44" s="3389">
        <v>200561.64645833333</v>
      </c>
      <c r="U44" s="3394">
        <v>49</v>
      </c>
      <c r="V44" s="3388">
        <v>10137434.83</v>
      </c>
      <c r="W44" s="3389">
        <v>206886.42510204081</v>
      </c>
      <c r="X44" s="3394">
        <v>47</v>
      </c>
      <c r="Y44" s="3388">
        <v>10339655.730000004</v>
      </c>
      <c r="Z44" s="3389">
        <v>219992.67510638307</v>
      </c>
    </row>
    <row r="45" spans="2:26">
      <c r="B45" s="3383" t="s">
        <v>1210</v>
      </c>
      <c r="C45" s="3384">
        <v>30</v>
      </c>
      <c r="D45" s="3388">
        <v>4810637.0999999996</v>
      </c>
      <c r="E45" s="3389">
        <v>160354.56999999998</v>
      </c>
      <c r="F45" s="3384">
        <v>31</v>
      </c>
      <c r="G45" s="3388">
        <v>5163014.0000000009</v>
      </c>
      <c r="H45" s="3389">
        <v>166548.83870967745</v>
      </c>
      <c r="I45" s="3384">
        <v>32</v>
      </c>
      <c r="J45" s="3388">
        <v>5529614.8000000007</v>
      </c>
      <c r="K45" s="3389">
        <v>172800.46250000002</v>
      </c>
      <c r="L45" s="3394">
        <v>33</v>
      </c>
      <c r="M45" s="3388">
        <v>5801306.9999999991</v>
      </c>
      <c r="N45" s="3389">
        <v>175797.18181818179</v>
      </c>
      <c r="O45" s="3394">
        <v>37</v>
      </c>
      <c r="P45" s="3388">
        <v>6424790.7999999998</v>
      </c>
      <c r="Q45" s="3389">
        <v>173642.99459459458</v>
      </c>
      <c r="R45" s="3394">
        <v>37</v>
      </c>
      <c r="S45" s="3388">
        <v>6575882.4999999991</v>
      </c>
      <c r="T45" s="3389">
        <v>177726.55405405402</v>
      </c>
      <c r="U45" s="3394">
        <v>37</v>
      </c>
      <c r="V45" s="3388">
        <v>6962674.8999999994</v>
      </c>
      <c r="W45" s="3389">
        <v>188180.40270270268</v>
      </c>
      <c r="X45" s="3394">
        <v>38</v>
      </c>
      <c r="Y45" s="3388">
        <v>7346726.9999999981</v>
      </c>
      <c r="Z45" s="3389">
        <v>193334.92105263154</v>
      </c>
    </row>
    <row r="46" spans="2:26">
      <c r="B46" s="3383" t="s">
        <v>1180</v>
      </c>
      <c r="C46" s="3384">
        <v>55</v>
      </c>
      <c r="D46" s="3388">
        <v>10762752.594999999</v>
      </c>
      <c r="E46" s="3389">
        <v>195686.41081818179</v>
      </c>
      <c r="F46" s="3384">
        <v>56</v>
      </c>
      <c r="G46" s="3388">
        <v>11603741.294999998</v>
      </c>
      <c r="H46" s="3389">
        <v>207209.66598214282</v>
      </c>
      <c r="I46" s="3384">
        <v>56</v>
      </c>
      <c r="J46" s="3388">
        <v>12242142.094999999</v>
      </c>
      <c r="K46" s="3389">
        <v>218609.68026785713</v>
      </c>
      <c r="L46" s="3394">
        <v>57</v>
      </c>
      <c r="M46" s="3388">
        <v>12924074.894999998</v>
      </c>
      <c r="N46" s="3389">
        <v>226738.15605263153</v>
      </c>
      <c r="O46" s="3394">
        <v>57</v>
      </c>
      <c r="P46" s="3388">
        <v>13626042.399999997</v>
      </c>
      <c r="Q46" s="3389">
        <v>239053.37543859644</v>
      </c>
      <c r="R46" s="3394">
        <v>56</v>
      </c>
      <c r="S46" s="3388">
        <v>14152159.299999999</v>
      </c>
      <c r="T46" s="3389">
        <v>252717.13035714283</v>
      </c>
      <c r="U46" s="3394">
        <v>55</v>
      </c>
      <c r="V46" s="3388">
        <v>14574426.899999999</v>
      </c>
      <c r="W46" s="3389">
        <v>264989.57999999996</v>
      </c>
      <c r="X46" s="3394">
        <v>55</v>
      </c>
      <c r="Y46" s="3388">
        <v>14931284.399999997</v>
      </c>
      <c r="Z46" s="3389">
        <v>271477.89818181813</v>
      </c>
    </row>
    <row r="47" spans="2:26">
      <c r="B47" s="3383" t="s">
        <v>1181</v>
      </c>
      <c r="C47" s="3384">
        <v>48</v>
      </c>
      <c r="D47" s="3388">
        <v>8384543.2300000004</v>
      </c>
      <c r="E47" s="3389">
        <v>174677.98395833335</v>
      </c>
      <c r="F47" s="3384">
        <v>49</v>
      </c>
      <c r="G47" s="3388">
        <v>8895927.4300000034</v>
      </c>
      <c r="H47" s="3389">
        <v>181549.53938775515</v>
      </c>
      <c r="I47" s="3384">
        <v>49</v>
      </c>
      <c r="J47" s="3388">
        <v>9513266.6300000008</v>
      </c>
      <c r="K47" s="3389">
        <v>194148.2985714286</v>
      </c>
      <c r="L47" s="3394">
        <v>51</v>
      </c>
      <c r="M47" s="3388">
        <v>10180227.029999999</v>
      </c>
      <c r="N47" s="3389">
        <v>199612.29470588235</v>
      </c>
      <c r="O47" s="3394">
        <v>55</v>
      </c>
      <c r="P47" s="3388">
        <v>10871901.329999998</v>
      </c>
      <c r="Q47" s="3389">
        <v>197670.93327272724</v>
      </c>
      <c r="R47" s="3394">
        <v>57</v>
      </c>
      <c r="S47" s="3388">
        <v>11648381.629999999</v>
      </c>
      <c r="T47" s="3389">
        <v>204357.57245614033</v>
      </c>
      <c r="U47" s="3394">
        <v>57</v>
      </c>
      <c r="V47" s="3388">
        <v>12368244.23</v>
      </c>
      <c r="W47" s="3389">
        <v>216986.74087719299</v>
      </c>
      <c r="X47" s="3394">
        <v>55</v>
      </c>
      <c r="Y47" s="3388">
        <v>12762350.93</v>
      </c>
      <c r="Z47" s="3389">
        <v>232042.74418181818</v>
      </c>
    </row>
    <row r="48" spans="2:26">
      <c r="B48" s="3383" t="s">
        <v>1182</v>
      </c>
      <c r="C48" s="3384">
        <v>35</v>
      </c>
      <c r="D48" s="3388">
        <v>4159472.8250000007</v>
      </c>
      <c r="E48" s="3389">
        <v>118842.08071428574</v>
      </c>
      <c r="F48" s="3384">
        <v>35</v>
      </c>
      <c r="G48" s="3388">
        <v>4376083.9249999998</v>
      </c>
      <c r="H48" s="3389">
        <v>125030.96928571428</v>
      </c>
      <c r="I48" s="3384">
        <v>37</v>
      </c>
      <c r="J48" s="3388">
        <v>4828696.9299999978</v>
      </c>
      <c r="K48" s="3389">
        <v>130505.32243243237</v>
      </c>
      <c r="L48" s="3394">
        <v>38</v>
      </c>
      <c r="M48" s="3388">
        <v>5295742.3249999993</v>
      </c>
      <c r="N48" s="3389">
        <v>139361.64013157893</v>
      </c>
      <c r="O48" s="3394">
        <v>39</v>
      </c>
      <c r="P48" s="3388">
        <v>5725140.4250000007</v>
      </c>
      <c r="Q48" s="3389">
        <v>146798.47243589745</v>
      </c>
      <c r="R48" s="3394">
        <v>38</v>
      </c>
      <c r="S48" s="3388">
        <v>6095312.8250000002</v>
      </c>
      <c r="T48" s="3389">
        <v>160402.96907894738</v>
      </c>
      <c r="U48" s="3394">
        <v>37</v>
      </c>
      <c r="V48" s="3388">
        <v>6400524.9250000007</v>
      </c>
      <c r="W48" s="3389">
        <v>172987.16013513514</v>
      </c>
      <c r="X48" s="3394">
        <v>35</v>
      </c>
      <c r="Y48" s="3388">
        <v>6428166.7249999987</v>
      </c>
      <c r="Z48" s="3389">
        <v>183661.90642857138</v>
      </c>
    </row>
    <row r="49" spans="2:26">
      <c r="B49" s="3390" t="s">
        <v>575</v>
      </c>
      <c r="C49" s="3391">
        <f>SUM(C44:C48)</f>
        <v>209</v>
      </c>
      <c r="D49" s="3392">
        <f>SUM(D44:D48)</f>
        <v>35236226.575000003</v>
      </c>
      <c r="E49" s="3393">
        <f t="shared" ref="E49" si="25">+D49/C49</f>
        <v>168594.3855263158</v>
      </c>
      <c r="F49" s="3391">
        <f>SUM(F44:F48)</f>
        <v>214</v>
      </c>
      <c r="G49" s="3392">
        <f>SUM(G44:G48)</f>
        <v>37720933.475000001</v>
      </c>
      <c r="H49" s="3393">
        <f t="shared" ref="H49" si="26">+G49/F49</f>
        <v>176266.04427570093</v>
      </c>
      <c r="I49" s="3391">
        <f>SUM(I44:I48)</f>
        <v>218</v>
      </c>
      <c r="J49" s="3392">
        <f>SUM(J44:J48)</f>
        <v>40289188.18</v>
      </c>
      <c r="K49" s="3393">
        <f t="shared" ref="K49" si="27">+J49/I49</f>
        <v>184812.78981651377</v>
      </c>
      <c r="L49" s="3391">
        <f>SUM(L44:L48)</f>
        <v>225</v>
      </c>
      <c r="M49" s="3392">
        <f>SUM(M44:M48)</f>
        <v>42842202.174999997</v>
      </c>
      <c r="N49" s="3393">
        <f t="shared" ref="N49" si="28">+M49/L49</f>
        <v>190409.78744444443</v>
      </c>
      <c r="O49" s="3391">
        <f>SUM(O44:O48)</f>
        <v>237</v>
      </c>
      <c r="P49" s="3392">
        <f>SUM(P44:P48)</f>
        <v>46039744.280000001</v>
      </c>
      <c r="Q49" s="3393">
        <f t="shared" ref="Q49" si="29">+P49/O49</f>
        <v>194260.52438818567</v>
      </c>
      <c r="R49" s="3391">
        <v>237</v>
      </c>
      <c r="S49" s="3392">
        <v>48098695.284999996</v>
      </c>
      <c r="T49" s="3393">
        <v>202948.08137130801</v>
      </c>
      <c r="U49" s="3391">
        <v>235</v>
      </c>
      <c r="V49" s="3392">
        <v>50443305.784999996</v>
      </c>
      <c r="W49" s="3393">
        <v>214652.36504255317</v>
      </c>
      <c r="X49" s="3391">
        <v>230</v>
      </c>
      <c r="Y49" s="3392">
        <v>51808184.785000004</v>
      </c>
      <c r="Z49" s="3393">
        <v>225252.97732608698</v>
      </c>
    </row>
    <row r="50" spans="2:26">
      <c r="B50" s="3383" t="s">
        <v>1183</v>
      </c>
      <c r="C50" s="3384">
        <v>25</v>
      </c>
      <c r="D50" s="3388">
        <v>4513713.4249999998</v>
      </c>
      <c r="E50" s="3389">
        <v>180548.53699999998</v>
      </c>
      <c r="F50" s="3384">
        <v>25</v>
      </c>
      <c r="G50" s="3388">
        <v>4640848.9249999989</v>
      </c>
      <c r="H50" s="3389">
        <v>185633.95699999997</v>
      </c>
      <c r="I50" s="3384">
        <v>25</v>
      </c>
      <c r="J50" s="3385">
        <v>4924007.8</v>
      </c>
      <c r="K50" s="3386">
        <v>196960.31199999998</v>
      </c>
      <c r="L50" s="3387">
        <v>25</v>
      </c>
      <c r="M50" s="3388">
        <v>5066492.7</v>
      </c>
      <c r="N50" s="3389">
        <v>202659.70800000001</v>
      </c>
      <c r="O50" s="3387">
        <v>25</v>
      </c>
      <c r="P50" s="3388">
        <v>5302364.5999999996</v>
      </c>
      <c r="Q50" s="3389">
        <v>212094.58399999997</v>
      </c>
      <c r="R50" s="3387">
        <v>25</v>
      </c>
      <c r="S50" s="3388">
        <v>5402363</v>
      </c>
      <c r="T50" s="3389">
        <v>216094.52</v>
      </c>
      <c r="U50" s="3387">
        <v>25</v>
      </c>
      <c r="V50" s="3388">
        <v>5577782.5</v>
      </c>
      <c r="W50" s="3389">
        <v>223111.3</v>
      </c>
      <c r="X50" s="3387">
        <v>24</v>
      </c>
      <c r="Y50" s="3388">
        <v>5589381.0000000009</v>
      </c>
      <c r="Z50" s="3389">
        <v>232890.87500000003</v>
      </c>
    </row>
    <row r="51" spans="2:26">
      <c r="B51" s="3383" t="s">
        <v>1157</v>
      </c>
      <c r="C51" s="3384">
        <v>91</v>
      </c>
      <c r="D51" s="3388">
        <v>13535693.456027398</v>
      </c>
      <c r="E51" s="3389">
        <v>148743.88413216922</v>
      </c>
      <c r="F51" s="3384">
        <v>91</v>
      </c>
      <c r="G51" s="3388">
        <v>14219164.060000002</v>
      </c>
      <c r="H51" s="3389">
        <v>156254.55010989014</v>
      </c>
      <c r="I51" s="3384">
        <v>92</v>
      </c>
      <c r="J51" s="3385">
        <v>14994289.760000009</v>
      </c>
      <c r="K51" s="3386">
        <v>162981.41043478271</v>
      </c>
      <c r="L51" s="3387">
        <v>93</v>
      </c>
      <c r="M51" s="3388">
        <v>15494463.359999999</v>
      </c>
      <c r="N51" s="3389">
        <v>166607.13290322581</v>
      </c>
      <c r="O51" s="3387">
        <v>92</v>
      </c>
      <c r="P51" s="3388">
        <v>15869539.960000001</v>
      </c>
      <c r="Q51" s="3389">
        <v>172494.99956521741</v>
      </c>
      <c r="R51" s="3387">
        <v>88</v>
      </c>
      <c r="S51" s="3388">
        <v>15858752.937054792</v>
      </c>
      <c r="T51" s="3389">
        <v>180213.10155744082</v>
      </c>
      <c r="U51" s="3387">
        <v>91</v>
      </c>
      <c r="V51" s="3388">
        <v>16747038.037054792</v>
      </c>
      <c r="W51" s="3389">
        <v>184033.38502258013</v>
      </c>
      <c r="X51" s="3387">
        <v>91</v>
      </c>
      <c r="Y51" s="3388">
        <v>17246582.237054795</v>
      </c>
      <c r="Z51" s="3389">
        <v>189522.88172587685</v>
      </c>
    </row>
    <row r="52" spans="2:26">
      <c r="B52" s="3383" t="s">
        <v>1184</v>
      </c>
      <c r="C52" s="3384">
        <v>122</v>
      </c>
      <c r="D52" s="3388">
        <v>18525811.463424653</v>
      </c>
      <c r="E52" s="3389">
        <v>151850.91363462829</v>
      </c>
      <c r="F52" s="3384">
        <v>122</v>
      </c>
      <c r="G52" s="3388">
        <v>19481275.963424664</v>
      </c>
      <c r="H52" s="3389">
        <v>159682.58986413659</v>
      </c>
      <c r="I52" s="3384">
        <v>123</v>
      </c>
      <c r="J52" s="3385">
        <v>20470545.962739725</v>
      </c>
      <c r="K52" s="3386">
        <v>166427.20294910346</v>
      </c>
      <c r="L52" s="3387">
        <v>125.99999999999999</v>
      </c>
      <c r="M52" s="3388">
        <v>21297457.662739728</v>
      </c>
      <c r="N52" s="3389">
        <v>169027.44176777563</v>
      </c>
      <c r="O52" s="3387">
        <v>126</v>
      </c>
      <c r="P52" s="3388">
        <v>21915382.162739724</v>
      </c>
      <c r="Q52" s="3389">
        <v>173931.60446618829</v>
      </c>
      <c r="R52" s="3387">
        <v>126</v>
      </c>
      <c r="S52" s="3388">
        <v>22266915.362739723</v>
      </c>
      <c r="T52" s="3389">
        <v>176721.55049793431</v>
      </c>
      <c r="U52" s="3387">
        <v>121</v>
      </c>
      <c r="V52" s="3388">
        <v>22488524.974246569</v>
      </c>
      <c r="W52" s="3389">
        <v>185855.57829955843</v>
      </c>
      <c r="X52" s="3387">
        <v>113</v>
      </c>
      <c r="Y52" s="3388">
        <v>22373066.093835622</v>
      </c>
      <c r="Z52" s="3389">
        <v>197991.73534367807</v>
      </c>
    </row>
    <row r="53" spans="2:26">
      <c r="B53" s="3383" t="s">
        <v>1158</v>
      </c>
      <c r="C53" s="3384">
        <v>85</v>
      </c>
      <c r="D53" s="3388">
        <v>10728337.579434931</v>
      </c>
      <c r="E53" s="3389">
        <v>126215.73622864626</v>
      </c>
      <c r="F53" s="3384">
        <v>88</v>
      </c>
      <c r="G53" s="3388">
        <v>11326066.179434936</v>
      </c>
      <c r="H53" s="3389">
        <v>128705.29749357882</v>
      </c>
      <c r="I53" s="3384">
        <v>89</v>
      </c>
      <c r="J53" s="3385">
        <v>11963958.984434931</v>
      </c>
      <c r="K53" s="3386">
        <v>134426.50544308912</v>
      </c>
      <c r="L53" s="3387">
        <v>91</v>
      </c>
      <c r="M53" s="3388">
        <v>12572124.084434925</v>
      </c>
      <c r="N53" s="3389">
        <v>138155.20971906511</v>
      </c>
      <c r="O53" s="3387">
        <v>92</v>
      </c>
      <c r="P53" s="3388">
        <v>13135864.784434935</v>
      </c>
      <c r="Q53" s="3389">
        <v>142781.13896124929</v>
      </c>
      <c r="R53" s="3387">
        <v>95</v>
      </c>
      <c r="S53" s="3388">
        <v>13722660.084434932</v>
      </c>
      <c r="T53" s="3389">
        <v>144449.05352036771</v>
      </c>
      <c r="U53" s="3387">
        <v>94</v>
      </c>
      <c r="V53" s="3388">
        <v>14211851.984434934</v>
      </c>
      <c r="W53" s="3389">
        <v>151189.9147280312</v>
      </c>
      <c r="X53" s="3387">
        <v>90</v>
      </c>
      <c r="Y53" s="3388">
        <v>14436494.704434935</v>
      </c>
      <c r="Z53" s="3389">
        <v>160405.49671594374</v>
      </c>
    </row>
    <row r="54" spans="2:26">
      <c r="B54" s="3390" t="s">
        <v>573</v>
      </c>
      <c r="C54" s="3391">
        <f>SUM(C50:C53)</f>
        <v>323</v>
      </c>
      <c r="D54" s="3392">
        <f>SUM(D50:D53)</f>
        <v>47303555.923886985</v>
      </c>
      <c r="E54" s="3393">
        <f t="shared" ref="E54:E59" si="30">+D54/C54</f>
        <v>146450.63753525383</v>
      </c>
      <c r="F54" s="3391">
        <f>SUM(F50:F53)</f>
        <v>326</v>
      </c>
      <c r="G54" s="3392">
        <f>SUM(G50:G53)</f>
        <v>49667355.127859607</v>
      </c>
      <c r="H54" s="3393">
        <f t="shared" ref="H54:H55" si="31">+G54/F54</f>
        <v>152353.85008545892</v>
      </c>
      <c r="I54" s="3391">
        <f>SUM(I50:I53)</f>
        <v>329</v>
      </c>
      <c r="J54" s="3392">
        <f>SUM(J50:J53)</f>
        <v>52352802.507174671</v>
      </c>
      <c r="K54" s="3393">
        <f t="shared" ref="K54:K55" si="32">+J54/I54</f>
        <v>159127.05929232424</v>
      </c>
      <c r="L54" s="3391">
        <f t="shared" ref="L54:M54" si="33">SUM(L50:L53)</f>
        <v>335</v>
      </c>
      <c r="M54" s="3392">
        <f t="shared" si="33"/>
        <v>54430537.807174653</v>
      </c>
      <c r="N54" s="3393">
        <f t="shared" ref="N54:N55" si="34">+M54/L54</f>
        <v>162479.2173348497</v>
      </c>
      <c r="O54" s="3391">
        <f t="shared" ref="O54:P54" si="35">SUM(O50:O53)</f>
        <v>335</v>
      </c>
      <c r="P54" s="3392">
        <f t="shared" si="35"/>
        <v>56223151.507174663</v>
      </c>
      <c r="Q54" s="3393">
        <f t="shared" ref="Q54:Q55" si="36">+P54/O54</f>
        <v>167830.30300649154</v>
      </c>
      <c r="R54" s="3391">
        <v>334</v>
      </c>
      <c r="S54" s="3392">
        <v>57250691.384229444</v>
      </c>
      <c r="T54" s="3393">
        <v>171409.25564140553</v>
      </c>
      <c r="U54" s="3391">
        <v>331</v>
      </c>
      <c r="V54" s="3392">
        <v>59025197.495736293</v>
      </c>
      <c r="W54" s="3393">
        <v>178323.85950373503</v>
      </c>
      <c r="X54" s="3391">
        <v>318</v>
      </c>
      <c r="Y54" s="3392">
        <v>59645524.035325348</v>
      </c>
      <c r="Z54" s="3393">
        <v>187564.54099158914</v>
      </c>
    </row>
    <row r="55" spans="2:26">
      <c r="B55" s="4215" t="s">
        <v>111</v>
      </c>
      <c r="C55" s="4216">
        <f>SUM(C54,C49,C43)</f>
        <v>799</v>
      </c>
      <c r="D55" s="4217">
        <f>SUM(D54,D49,D43)</f>
        <v>127588790.25692809</v>
      </c>
      <c r="E55" s="4218">
        <f t="shared" si="30"/>
        <v>159685.59481467845</v>
      </c>
      <c r="F55" s="4216">
        <f t="shared" ref="F55:G55" si="37">SUM(F54,F49,F43)</f>
        <v>809</v>
      </c>
      <c r="G55" s="4217">
        <f t="shared" si="37"/>
        <v>134932297.96090072</v>
      </c>
      <c r="H55" s="4218">
        <f t="shared" si="31"/>
        <v>166788.99624338778</v>
      </c>
      <c r="I55" s="4216">
        <f t="shared" ref="I55:J55" si="38">SUM(I54,I49,I43)</f>
        <v>816</v>
      </c>
      <c r="J55" s="4217">
        <f t="shared" si="38"/>
        <v>142997293.64521578</v>
      </c>
      <c r="K55" s="4218">
        <f t="shared" si="32"/>
        <v>175241.78142796052</v>
      </c>
      <c r="L55" s="4216">
        <f t="shared" ref="L55:M55" si="39">SUM(L54,L49,L43)</f>
        <v>832</v>
      </c>
      <c r="M55" s="4217">
        <f t="shared" si="39"/>
        <v>150096069.03621575</v>
      </c>
      <c r="N55" s="4218">
        <f t="shared" si="34"/>
        <v>180403.929130067</v>
      </c>
      <c r="O55" s="4219">
        <f t="shared" ref="O55:P55" si="40">SUM(O54,O49,O43)</f>
        <v>845</v>
      </c>
      <c r="P55" s="4217">
        <f t="shared" si="40"/>
        <v>157285733.96772262</v>
      </c>
      <c r="Q55" s="4218">
        <f t="shared" si="36"/>
        <v>186136.9632754114</v>
      </c>
      <c r="R55" s="4219">
        <v>840</v>
      </c>
      <c r="S55" s="4217">
        <v>162148230.85177737</v>
      </c>
      <c r="T55" s="4218">
        <v>193033.60815687783</v>
      </c>
      <c r="U55" s="4219">
        <v>832</v>
      </c>
      <c r="V55" s="4217">
        <v>168536591.76328427</v>
      </c>
      <c r="W55" s="4218">
        <v>202568.01894625512</v>
      </c>
      <c r="X55" s="4219">
        <v>803</v>
      </c>
      <c r="Y55" s="4217">
        <v>171067999.0028733</v>
      </c>
      <c r="Z55" s="4218">
        <v>213036.11332860935</v>
      </c>
    </row>
    <row r="56" spans="2:26">
      <c r="B56" s="3395" t="s">
        <v>1186</v>
      </c>
      <c r="C56" s="3391"/>
      <c r="D56" s="3392"/>
      <c r="E56" s="3393"/>
      <c r="F56" s="3391"/>
      <c r="G56" s="3392"/>
      <c r="H56" s="3393"/>
      <c r="I56" s="3391"/>
      <c r="J56" s="3392"/>
      <c r="K56" s="3393"/>
      <c r="L56" s="3391"/>
      <c r="M56" s="3392"/>
      <c r="N56" s="3393"/>
      <c r="O56" s="3387">
        <v>1</v>
      </c>
      <c r="P56" s="3388">
        <v>115089.1</v>
      </c>
      <c r="Q56" s="3389">
        <v>115089.1</v>
      </c>
      <c r="R56" s="3387">
        <v>3</v>
      </c>
      <c r="S56" s="3388">
        <v>319930.60000000003</v>
      </c>
      <c r="T56" s="3389">
        <v>106643.53333333334</v>
      </c>
      <c r="U56" s="3387">
        <v>3</v>
      </c>
      <c r="V56" s="3388">
        <v>319930.60000000003</v>
      </c>
      <c r="W56" s="3389">
        <v>106643.53333333334</v>
      </c>
      <c r="X56" s="3387">
        <v>3</v>
      </c>
      <c r="Y56" s="3388">
        <v>319930.60000000003</v>
      </c>
      <c r="Z56" s="3389">
        <v>106643.53333333334</v>
      </c>
    </row>
    <row r="57" spans="2:26">
      <c r="B57" s="3383" t="s">
        <v>1187</v>
      </c>
      <c r="C57" s="3387">
        <v>2</v>
      </c>
      <c r="D57" s="3388">
        <v>127471.6</v>
      </c>
      <c r="E57" s="3389">
        <v>63735.8</v>
      </c>
      <c r="F57" s="3387">
        <v>2</v>
      </c>
      <c r="G57" s="3388">
        <v>139067.9</v>
      </c>
      <c r="H57" s="3389">
        <v>69533.95</v>
      </c>
      <c r="I57" s="3387">
        <v>2</v>
      </c>
      <c r="J57" s="3388">
        <v>154357.5</v>
      </c>
      <c r="K57" s="3389">
        <v>77178.75</v>
      </c>
      <c r="L57" s="3387">
        <v>3</v>
      </c>
      <c r="M57" s="3388">
        <v>209687.5</v>
      </c>
      <c r="N57" s="3389">
        <v>69895.833333333328</v>
      </c>
      <c r="O57" s="3387">
        <v>4</v>
      </c>
      <c r="P57" s="3388">
        <v>419140.10000000003</v>
      </c>
      <c r="Q57" s="3389">
        <v>104785.02500000001</v>
      </c>
      <c r="R57" s="3387">
        <v>4</v>
      </c>
      <c r="S57" s="3388">
        <v>456336.10000000003</v>
      </c>
      <c r="T57" s="3389">
        <v>114084.02500000001</v>
      </c>
      <c r="U57" s="3387">
        <v>5</v>
      </c>
      <c r="V57" s="3388">
        <v>544990</v>
      </c>
      <c r="W57" s="3389">
        <v>108998</v>
      </c>
      <c r="X57" s="3387">
        <v>6</v>
      </c>
      <c r="Y57" s="3388">
        <v>634626.20000000007</v>
      </c>
      <c r="Z57" s="3389">
        <v>105771.03333333334</v>
      </c>
    </row>
    <row r="58" spans="2:26" ht="30">
      <c r="B58" s="3396" t="s">
        <v>2176</v>
      </c>
      <c r="C58" s="3387"/>
      <c r="D58" s="3388"/>
      <c r="E58" s="3389"/>
      <c r="F58" s="3387"/>
      <c r="G58" s="3388"/>
      <c r="H58" s="3389"/>
      <c r="I58" s="3387"/>
      <c r="J58" s="3388"/>
      <c r="K58" s="3389"/>
      <c r="L58" s="3387"/>
      <c r="M58" s="3388"/>
      <c r="N58" s="3389"/>
      <c r="O58" s="3387"/>
      <c r="P58" s="3388"/>
      <c r="Q58" s="3389"/>
      <c r="R58" s="3387">
        <v>1</v>
      </c>
      <c r="S58" s="3388">
        <v>40012</v>
      </c>
      <c r="T58" s="3389">
        <v>40012</v>
      </c>
      <c r="U58" s="3387">
        <v>2</v>
      </c>
      <c r="V58" s="3388">
        <v>120545.7</v>
      </c>
      <c r="W58" s="3389">
        <v>60272.85</v>
      </c>
      <c r="X58" s="3387">
        <v>3</v>
      </c>
      <c r="Y58" s="3388">
        <v>214278.7</v>
      </c>
      <c r="Z58" s="3389">
        <v>71426.233333333337</v>
      </c>
    </row>
    <row r="59" spans="2:26">
      <c r="B59" s="3390" t="s">
        <v>572</v>
      </c>
      <c r="C59" s="3391">
        <f>SUM(C57)</f>
        <v>2</v>
      </c>
      <c r="D59" s="3392">
        <f>SUM(D57)</f>
        <v>127471.6</v>
      </c>
      <c r="E59" s="3393">
        <f t="shared" si="30"/>
        <v>63735.8</v>
      </c>
      <c r="F59" s="3391">
        <f>SUM(F57)</f>
        <v>2</v>
      </c>
      <c r="G59" s="3392">
        <f>SUM(G57)</f>
        <v>139067.9</v>
      </c>
      <c r="H59" s="3393">
        <f t="shared" ref="H59" si="41">+G59/F59</f>
        <v>69533.95</v>
      </c>
      <c r="I59" s="3391">
        <f>SUM(I57)</f>
        <v>2</v>
      </c>
      <c r="J59" s="3392">
        <f>SUM(J57)</f>
        <v>154357.5</v>
      </c>
      <c r="K59" s="3393">
        <f t="shared" ref="K59" si="42">+J59/I59</f>
        <v>77178.75</v>
      </c>
      <c r="L59" s="3391">
        <f>SUM(L57)</f>
        <v>3</v>
      </c>
      <c r="M59" s="3392">
        <f>SUM(M57)</f>
        <v>209687.5</v>
      </c>
      <c r="N59" s="3393">
        <f t="shared" ref="N59" si="43">+M59/L59</f>
        <v>69895.833333333328</v>
      </c>
      <c r="O59" s="3391">
        <v>5</v>
      </c>
      <c r="P59" s="3392">
        <v>534229.20000000007</v>
      </c>
      <c r="Q59" s="3397">
        <v>106845.84000000001</v>
      </c>
      <c r="R59" s="3391">
        <v>8</v>
      </c>
      <c r="S59" s="3392">
        <v>816278.70000000007</v>
      </c>
      <c r="T59" s="3393">
        <v>102034.83750000001</v>
      </c>
      <c r="U59" s="3391">
        <v>10</v>
      </c>
      <c r="V59" s="3392">
        <v>985466.3</v>
      </c>
      <c r="W59" s="3393">
        <v>98546.63</v>
      </c>
      <c r="X59" s="3391">
        <v>12</v>
      </c>
      <c r="Y59" s="3392">
        <v>1168835.5</v>
      </c>
      <c r="Z59" s="3393">
        <v>97402.958333333328</v>
      </c>
    </row>
    <row r="60" spans="2:26">
      <c r="B60" s="3383" t="s">
        <v>1189</v>
      </c>
      <c r="C60" s="3387">
        <v>2</v>
      </c>
      <c r="D60" s="3388">
        <v>449666.35</v>
      </c>
      <c r="E60" s="3389">
        <v>224833.17499999999</v>
      </c>
      <c r="F60" s="3387">
        <v>2</v>
      </c>
      <c r="G60" s="3388">
        <v>449666.35</v>
      </c>
      <c r="H60" s="3389">
        <v>224833.17499999999</v>
      </c>
      <c r="I60" s="3387">
        <v>2</v>
      </c>
      <c r="J60" s="3388">
        <v>449666.35</v>
      </c>
      <c r="K60" s="3389">
        <v>224833.17499999999</v>
      </c>
      <c r="L60" s="3387">
        <v>5</v>
      </c>
      <c r="M60" s="3388">
        <v>606671.65</v>
      </c>
      <c r="N60" s="3389">
        <v>121334.33</v>
      </c>
      <c r="O60" s="3387">
        <v>4</v>
      </c>
      <c r="P60" s="3388">
        <v>499267.65</v>
      </c>
      <c r="Q60" s="3389">
        <v>124816.91250000001</v>
      </c>
      <c r="R60" s="3387">
        <v>4</v>
      </c>
      <c r="S60" s="3388">
        <v>522547.35</v>
      </c>
      <c r="T60" s="3389">
        <v>130636.83749999999</v>
      </c>
      <c r="U60" s="3387">
        <v>6</v>
      </c>
      <c r="V60" s="3388">
        <v>793801.75000000012</v>
      </c>
      <c r="W60" s="3389">
        <v>132300.29166666669</v>
      </c>
      <c r="X60" s="3387">
        <v>9</v>
      </c>
      <c r="Y60" s="3388">
        <v>1100936.45</v>
      </c>
      <c r="Z60" s="3389">
        <v>122326.27222222222</v>
      </c>
    </row>
    <row r="61" spans="2:26">
      <c r="B61" s="3383" t="s">
        <v>1190</v>
      </c>
      <c r="C61" s="3387">
        <v>1</v>
      </c>
      <c r="D61" s="3388">
        <v>103378.25</v>
      </c>
      <c r="E61" s="3389">
        <v>103378.25</v>
      </c>
      <c r="F61" s="3387">
        <v>1</v>
      </c>
      <c r="G61" s="3388">
        <v>114910.75</v>
      </c>
      <c r="H61" s="3389">
        <v>114910.75</v>
      </c>
      <c r="I61" s="3387">
        <v>1</v>
      </c>
      <c r="J61" s="3388">
        <v>114910.75</v>
      </c>
      <c r="K61" s="3389">
        <v>114910.75</v>
      </c>
      <c r="L61" s="3387">
        <v>1</v>
      </c>
      <c r="M61" s="3388">
        <v>138253.15</v>
      </c>
      <c r="N61" s="3389">
        <v>138253.15</v>
      </c>
      <c r="O61" s="3387">
        <v>1</v>
      </c>
      <c r="P61" s="3388">
        <v>138253.15</v>
      </c>
      <c r="Q61" s="3389">
        <v>138253.15</v>
      </c>
      <c r="R61" s="3387">
        <v>1</v>
      </c>
      <c r="S61" s="3388">
        <v>146460.65</v>
      </c>
      <c r="T61" s="3389">
        <v>146460.65</v>
      </c>
      <c r="U61" s="3387">
        <v>2</v>
      </c>
      <c r="V61" s="3388">
        <v>252306.15</v>
      </c>
      <c r="W61" s="3389">
        <v>126153.075</v>
      </c>
      <c r="X61" s="3387">
        <v>4</v>
      </c>
      <c r="Y61" s="3388">
        <v>508961.45</v>
      </c>
      <c r="Z61" s="3389">
        <v>127240.3625</v>
      </c>
    </row>
    <row r="62" spans="2:26">
      <c r="B62" s="3383" t="s">
        <v>1181</v>
      </c>
      <c r="C62" s="3387"/>
      <c r="D62" s="3388"/>
      <c r="E62" s="3389"/>
      <c r="F62" s="3387"/>
      <c r="G62" s="3388"/>
      <c r="H62" s="3389"/>
      <c r="I62" s="3387"/>
      <c r="J62" s="3388"/>
      <c r="K62" s="3389"/>
      <c r="L62" s="3387"/>
      <c r="M62" s="3388"/>
      <c r="N62" s="3389"/>
      <c r="O62" s="3387">
        <v>1</v>
      </c>
      <c r="P62" s="3388">
        <v>56272.1</v>
      </c>
      <c r="Q62" s="3389">
        <v>56272.1</v>
      </c>
      <c r="R62" s="3387">
        <v>1</v>
      </c>
      <c r="S62" s="3388">
        <v>56272.1</v>
      </c>
      <c r="T62" s="3389">
        <v>56272.1</v>
      </c>
      <c r="U62" s="3387">
        <v>3</v>
      </c>
      <c r="V62" s="3388">
        <v>265677.3</v>
      </c>
      <c r="W62" s="3389">
        <v>88559.099999999991</v>
      </c>
      <c r="X62" s="3387">
        <v>3</v>
      </c>
      <c r="Y62" s="3388">
        <v>289077.5</v>
      </c>
      <c r="Z62" s="3389">
        <v>96359.166666666672</v>
      </c>
    </row>
    <row r="63" spans="2:26">
      <c r="B63" s="3390" t="s">
        <v>575</v>
      </c>
      <c r="C63" s="3391">
        <f>SUM(C60:C61)</f>
        <v>3</v>
      </c>
      <c r="D63" s="3392">
        <f>SUM(D60:D61)</f>
        <v>553044.6</v>
      </c>
      <c r="E63" s="3393">
        <f t="shared" ref="E63" si="44">+D63/C63</f>
        <v>184348.19999999998</v>
      </c>
      <c r="F63" s="3391">
        <f t="shared" ref="F63:G63" si="45">SUM(F60:F61)</f>
        <v>3</v>
      </c>
      <c r="G63" s="3392">
        <f t="shared" si="45"/>
        <v>564577.1</v>
      </c>
      <c r="H63" s="3393">
        <f t="shared" ref="H63" si="46">+G63/F63</f>
        <v>188192.36666666667</v>
      </c>
      <c r="I63" s="3391">
        <f t="shared" ref="I63:J63" si="47">SUM(I60:I61)</f>
        <v>3</v>
      </c>
      <c r="J63" s="3392">
        <f t="shared" si="47"/>
        <v>564577.1</v>
      </c>
      <c r="K63" s="3393">
        <f t="shared" ref="K63" si="48">+J63/I63</f>
        <v>188192.36666666667</v>
      </c>
      <c r="L63" s="3391">
        <f t="shared" ref="L63:M63" si="49">SUM(L60:L61)</f>
        <v>6</v>
      </c>
      <c r="M63" s="3392">
        <f t="shared" si="49"/>
        <v>744924.8</v>
      </c>
      <c r="N63" s="3393">
        <f t="shared" ref="N63" si="50">+M63/L63</f>
        <v>124154.13333333335</v>
      </c>
      <c r="O63" s="3391">
        <v>6</v>
      </c>
      <c r="P63" s="3392">
        <v>693792.9</v>
      </c>
      <c r="Q63" s="3397">
        <v>115632.15000000001</v>
      </c>
      <c r="R63" s="3391">
        <v>6</v>
      </c>
      <c r="S63" s="3392">
        <v>725280.1</v>
      </c>
      <c r="T63" s="3393">
        <v>120880.01666666666</v>
      </c>
      <c r="U63" s="3391">
        <v>11</v>
      </c>
      <c r="V63" s="3392">
        <v>1311785.2000000002</v>
      </c>
      <c r="W63" s="3393">
        <v>119253.20000000001</v>
      </c>
      <c r="X63" s="3391">
        <v>16</v>
      </c>
      <c r="Y63" s="3392">
        <v>1898975.4</v>
      </c>
      <c r="Z63" s="3393">
        <v>118685.96249999999</v>
      </c>
    </row>
    <row r="64" spans="2:26">
      <c r="B64" s="155" t="s">
        <v>1191</v>
      </c>
      <c r="C64" s="155"/>
      <c r="D64" s="155"/>
      <c r="E64" s="155"/>
      <c r="F64" s="3381"/>
      <c r="G64" s="155"/>
      <c r="H64" s="3382"/>
      <c r="I64" s="155"/>
      <c r="J64" s="155"/>
      <c r="K64" s="155"/>
      <c r="L64" s="3381"/>
      <c r="M64" s="155"/>
      <c r="N64" s="3382"/>
      <c r="O64" s="155"/>
      <c r="P64" s="155"/>
      <c r="Q64" s="155"/>
      <c r="R64" s="3394">
        <v>3</v>
      </c>
      <c r="S64" s="3398">
        <v>201046.59999999998</v>
      </c>
      <c r="T64" s="3399">
        <v>67015.533333333326</v>
      </c>
      <c r="U64" s="3394">
        <v>5</v>
      </c>
      <c r="V64" s="3398">
        <v>370079.69999999995</v>
      </c>
      <c r="W64" s="3399">
        <v>74015.939999999988</v>
      </c>
      <c r="X64" s="3394">
        <v>5</v>
      </c>
      <c r="Y64" s="3398">
        <v>402054.5</v>
      </c>
      <c r="Z64" s="3399">
        <v>80410.899999999994</v>
      </c>
    </row>
    <row r="65" spans="2:26">
      <c r="B65" s="155" t="s">
        <v>1192</v>
      </c>
      <c r="C65" s="155"/>
      <c r="D65" s="155"/>
      <c r="E65" s="155"/>
      <c r="F65" s="3381"/>
      <c r="G65" s="155"/>
      <c r="H65" s="3382"/>
      <c r="I65" s="155"/>
      <c r="J65" s="155"/>
      <c r="K65" s="155"/>
      <c r="L65" s="3381"/>
      <c r="M65" s="155"/>
      <c r="N65" s="3382"/>
      <c r="O65" s="155"/>
      <c r="P65" s="155"/>
      <c r="Q65" s="155"/>
      <c r="R65" s="3394"/>
      <c r="S65" s="3398"/>
      <c r="T65" s="3399"/>
      <c r="U65" s="3394"/>
      <c r="V65" s="3398"/>
      <c r="W65" s="3399"/>
      <c r="X65" s="3394">
        <v>2</v>
      </c>
      <c r="Y65" s="3398">
        <v>144584.4</v>
      </c>
      <c r="Z65" s="3399">
        <v>72292.2</v>
      </c>
    </row>
    <row r="66" spans="2:26">
      <c r="B66" s="3383" t="s">
        <v>1193</v>
      </c>
      <c r="C66" s="3387">
        <v>1</v>
      </c>
      <c r="D66" s="3388">
        <v>256056.9</v>
      </c>
      <c r="E66" s="3389">
        <v>256056.9</v>
      </c>
      <c r="F66" s="3387">
        <v>1</v>
      </c>
      <c r="G66" s="3388">
        <v>280030.40000000002</v>
      </c>
      <c r="H66" s="3389">
        <v>280030.40000000002</v>
      </c>
      <c r="I66" s="3387">
        <v>1</v>
      </c>
      <c r="J66" s="3388">
        <v>300526.90000000002</v>
      </c>
      <c r="K66" s="3389">
        <v>300526.90000000002</v>
      </c>
      <c r="L66" s="3394">
        <v>1</v>
      </c>
      <c r="M66" s="3398">
        <v>318797.40000000002</v>
      </c>
      <c r="N66" s="3399">
        <v>318797.40000000002</v>
      </c>
      <c r="O66" s="3394">
        <v>3</v>
      </c>
      <c r="P66" s="3398">
        <v>401010.9</v>
      </c>
      <c r="Q66" s="3399">
        <v>133670.30000000002</v>
      </c>
      <c r="R66" s="3394">
        <v>5</v>
      </c>
      <c r="S66" s="3398">
        <v>500027.6</v>
      </c>
      <c r="T66" s="3399">
        <v>100005.51999999999</v>
      </c>
      <c r="U66" s="3394">
        <v>10</v>
      </c>
      <c r="V66" s="3398">
        <v>888657.10000000009</v>
      </c>
      <c r="W66" s="3399">
        <v>88865.71</v>
      </c>
      <c r="X66" s="3394">
        <v>11</v>
      </c>
      <c r="Y66" s="3398">
        <v>1039987.1000000001</v>
      </c>
      <c r="Z66" s="3399">
        <v>94544.281818181829</v>
      </c>
    </row>
    <row r="67" spans="2:26">
      <c r="B67" s="3390" t="s">
        <v>573</v>
      </c>
      <c r="C67" s="3391">
        <f>SUM(C66)</f>
        <v>1</v>
      </c>
      <c r="D67" s="3392">
        <f>SUM(D66)</f>
        <v>256056.9</v>
      </c>
      <c r="E67" s="3393">
        <f t="shared" ref="E67:E68" si="51">+D67/C67</f>
        <v>256056.9</v>
      </c>
      <c r="F67" s="3391">
        <f>SUM(F66)</f>
        <v>1</v>
      </c>
      <c r="G67" s="3392">
        <f>SUM(G66)</f>
        <v>280030.40000000002</v>
      </c>
      <c r="H67" s="3393">
        <f t="shared" ref="H67:H68" si="52">+G67/F67</f>
        <v>280030.40000000002</v>
      </c>
      <c r="I67" s="3391">
        <f>SUM(I66)</f>
        <v>1</v>
      </c>
      <c r="J67" s="3392">
        <f>SUM(J66)</f>
        <v>300526.90000000002</v>
      </c>
      <c r="K67" s="3393">
        <f t="shared" ref="K67:K68" si="53">+J67/I67</f>
        <v>300526.90000000002</v>
      </c>
      <c r="L67" s="3391">
        <f>SUM(L66)</f>
        <v>1</v>
      </c>
      <c r="M67" s="3392">
        <f>SUM(M66)</f>
        <v>318797.40000000002</v>
      </c>
      <c r="N67" s="3393">
        <f t="shared" ref="N67:N68" si="54">+M67/L67</f>
        <v>318797.40000000002</v>
      </c>
      <c r="O67" s="3391">
        <v>3</v>
      </c>
      <c r="P67" s="3392">
        <v>401010.9</v>
      </c>
      <c r="Q67" s="3393">
        <v>133670.30000000002</v>
      </c>
      <c r="R67" s="3391">
        <v>8</v>
      </c>
      <c r="S67" s="3392">
        <v>701074.2</v>
      </c>
      <c r="T67" s="3393">
        <v>87634.274999999994</v>
      </c>
      <c r="U67" s="3391">
        <v>15</v>
      </c>
      <c r="V67" s="3392">
        <v>1258736.8</v>
      </c>
      <c r="W67" s="3393">
        <v>83915.786666666667</v>
      </c>
      <c r="X67" s="3391">
        <v>18</v>
      </c>
      <c r="Y67" s="3392">
        <v>1586626</v>
      </c>
      <c r="Z67" s="3393">
        <v>88145.888888888891</v>
      </c>
    </row>
    <row r="68" spans="2:26">
      <c r="B68" s="4210" t="s">
        <v>1211</v>
      </c>
      <c r="C68" s="4211">
        <f>SUM(C67,C63,C59)</f>
        <v>6</v>
      </c>
      <c r="D68" s="4212">
        <f>SUM(D67,D63,D59)</f>
        <v>936573.1</v>
      </c>
      <c r="E68" s="4213">
        <f t="shared" si="51"/>
        <v>156095.51666666666</v>
      </c>
      <c r="F68" s="4211">
        <f t="shared" ref="F68:G68" si="55">SUM(F67,F63,F59)</f>
        <v>6</v>
      </c>
      <c r="G68" s="4212">
        <f t="shared" si="55"/>
        <v>983675.4</v>
      </c>
      <c r="H68" s="4213">
        <f t="shared" si="52"/>
        <v>163945.9</v>
      </c>
      <c r="I68" s="4211">
        <f t="shared" ref="I68:J68" si="56">SUM(I67,I63,I59)</f>
        <v>6</v>
      </c>
      <c r="J68" s="4212">
        <f t="shared" si="56"/>
        <v>1019461.5</v>
      </c>
      <c r="K68" s="4213">
        <f t="shared" si="53"/>
        <v>169910.25</v>
      </c>
      <c r="L68" s="4211">
        <f t="shared" ref="L68:M68" si="57">SUM(L67,L63,L59)</f>
        <v>10</v>
      </c>
      <c r="M68" s="4212">
        <f t="shared" si="57"/>
        <v>1273409.7000000002</v>
      </c>
      <c r="N68" s="4213">
        <f t="shared" si="54"/>
        <v>127340.97000000002</v>
      </c>
      <c r="O68" s="4214">
        <v>14</v>
      </c>
      <c r="P68" s="4212">
        <v>1629033</v>
      </c>
      <c r="Q68" s="4213">
        <v>116359.5</v>
      </c>
      <c r="R68" s="4214">
        <v>22</v>
      </c>
      <c r="S68" s="4212">
        <v>2242633</v>
      </c>
      <c r="T68" s="4213">
        <v>101937.86363636363</v>
      </c>
      <c r="U68" s="4214">
        <v>36</v>
      </c>
      <c r="V68" s="4212">
        <v>3555988.3</v>
      </c>
      <c r="W68" s="4213">
        <v>98777.452777777769</v>
      </c>
      <c r="X68" s="4214">
        <v>46</v>
      </c>
      <c r="Y68" s="4212">
        <v>4654436.9000000004</v>
      </c>
      <c r="Z68" s="4213">
        <v>101183.41086956522</v>
      </c>
    </row>
    <row r="69" spans="2:26">
      <c r="B69" s="3383" t="s">
        <v>1194</v>
      </c>
      <c r="C69" s="3384">
        <v>141</v>
      </c>
      <c r="D69" s="3388">
        <v>17705311.57643836</v>
      </c>
      <c r="E69" s="3389">
        <v>125569.58564849901</v>
      </c>
      <c r="F69" s="3384">
        <v>142</v>
      </c>
      <c r="G69" s="3388">
        <v>18700150.281438343</v>
      </c>
      <c r="H69" s="3389">
        <v>131691.19916505876</v>
      </c>
      <c r="I69" s="3384">
        <v>142</v>
      </c>
      <c r="J69" s="3388">
        <v>19489107.283356167</v>
      </c>
      <c r="K69" s="3389">
        <v>137247.23438983216</v>
      </c>
      <c r="L69" s="3394">
        <v>145</v>
      </c>
      <c r="M69" s="3388">
        <v>20661935.846506845</v>
      </c>
      <c r="N69" s="3389">
        <v>142496.1092862541</v>
      </c>
      <c r="O69" s="3394">
        <v>145</v>
      </c>
      <c r="P69" s="3388">
        <v>21730972.44650685</v>
      </c>
      <c r="Q69" s="3389">
        <v>149868.77549315069</v>
      </c>
      <c r="R69" s="3394">
        <v>138</v>
      </c>
      <c r="S69" s="3388">
        <v>21957098.771339726</v>
      </c>
      <c r="T69" s="3389">
        <v>160270.79395138487</v>
      </c>
      <c r="U69" s="3394">
        <v>137</v>
      </c>
      <c r="V69" s="3388">
        <v>22516031.771339733</v>
      </c>
      <c r="W69" s="3389">
        <v>164350.59687109294</v>
      </c>
      <c r="X69" s="3394">
        <v>133</v>
      </c>
      <c r="Y69" s="3388">
        <v>23218916.971339729</v>
      </c>
      <c r="Z69" s="3389">
        <v>174578.3230927799</v>
      </c>
    </row>
    <row r="70" spans="2:26">
      <c r="B70" s="3383" t="s">
        <v>1195</v>
      </c>
      <c r="C70" s="3384">
        <v>46</v>
      </c>
      <c r="D70" s="3388">
        <v>5119595.7149999999</v>
      </c>
      <c r="E70" s="3389">
        <v>111295.55902173913</v>
      </c>
      <c r="F70" s="3384">
        <v>47</v>
      </c>
      <c r="G70" s="3388">
        <v>5464873.8149999995</v>
      </c>
      <c r="H70" s="3389">
        <v>116273.9109574468</v>
      </c>
      <c r="I70" s="3384">
        <v>47</v>
      </c>
      <c r="J70" s="3388">
        <v>5784046.6149999984</v>
      </c>
      <c r="K70" s="3389">
        <v>123064.82159574465</v>
      </c>
      <c r="L70" s="3394">
        <v>49</v>
      </c>
      <c r="M70" s="3388">
        <v>6187249.0150000015</v>
      </c>
      <c r="N70" s="3389">
        <v>126270.38806122453</v>
      </c>
      <c r="O70" s="3394">
        <v>49</v>
      </c>
      <c r="P70" s="3388">
        <v>6448820.9150000019</v>
      </c>
      <c r="Q70" s="3389">
        <v>131608.59010204085</v>
      </c>
      <c r="R70" s="3394">
        <v>49</v>
      </c>
      <c r="S70" s="3388">
        <v>6953648.1149999993</v>
      </c>
      <c r="T70" s="3389">
        <v>141911.18602040815</v>
      </c>
      <c r="U70" s="3394">
        <v>48</v>
      </c>
      <c r="V70" s="3388">
        <v>7171722.9650000017</v>
      </c>
      <c r="W70" s="3389">
        <v>149410.8951041667</v>
      </c>
      <c r="X70" s="3394">
        <v>49</v>
      </c>
      <c r="Y70" s="3388">
        <v>7529284.4649999999</v>
      </c>
      <c r="Z70" s="3389">
        <v>153658.86663265305</v>
      </c>
    </row>
    <row r="71" spans="2:26">
      <c r="B71" s="3383" t="s">
        <v>1196</v>
      </c>
      <c r="C71" s="3384">
        <v>81</v>
      </c>
      <c r="D71" s="3388">
        <v>11904433.805000003</v>
      </c>
      <c r="E71" s="3389">
        <v>146968.31858024697</v>
      </c>
      <c r="F71" s="3384">
        <v>82</v>
      </c>
      <c r="G71" s="3388">
        <v>12621762.880000003</v>
      </c>
      <c r="H71" s="3389">
        <v>153923.93756097564</v>
      </c>
      <c r="I71" s="3384">
        <v>85</v>
      </c>
      <c r="J71" s="3388">
        <v>13520323.580000004</v>
      </c>
      <c r="K71" s="3389">
        <v>159062.63035294123</v>
      </c>
      <c r="L71" s="3394">
        <v>86</v>
      </c>
      <c r="M71" s="3388">
        <v>14338137.380000001</v>
      </c>
      <c r="N71" s="3389">
        <v>166722.52767441861</v>
      </c>
      <c r="O71" s="3394">
        <v>88</v>
      </c>
      <c r="P71" s="3388">
        <v>15288830.48</v>
      </c>
      <c r="Q71" s="3389">
        <v>173736.71</v>
      </c>
      <c r="R71" s="3394">
        <v>91</v>
      </c>
      <c r="S71" s="3388">
        <v>16013987.279999999</v>
      </c>
      <c r="T71" s="3389">
        <v>175977.88219780219</v>
      </c>
      <c r="U71" s="3394">
        <v>89</v>
      </c>
      <c r="V71" s="3388">
        <v>16321457.079999994</v>
      </c>
      <c r="W71" s="3389">
        <v>183387.15820224714</v>
      </c>
      <c r="X71" s="3394">
        <v>89</v>
      </c>
      <c r="Y71" s="3388">
        <v>16743771.379999993</v>
      </c>
      <c r="Z71" s="3389">
        <v>188132.26269662913</v>
      </c>
    </row>
    <row r="72" spans="2:26">
      <c r="B72" s="3383" t="s">
        <v>1197</v>
      </c>
      <c r="C72" s="3384">
        <v>68</v>
      </c>
      <c r="D72" s="3388">
        <v>9853319.5600000024</v>
      </c>
      <c r="E72" s="3389">
        <v>144901.75823529414</v>
      </c>
      <c r="F72" s="3384">
        <v>70</v>
      </c>
      <c r="G72" s="3388">
        <v>10480712.02</v>
      </c>
      <c r="H72" s="3389">
        <v>149724.45742857142</v>
      </c>
      <c r="I72" s="3384">
        <v>71</v>
      </c>
      <c r="J72" s="3388">
        <v>11091493.620000003</v>
      </c>
      <c r="K72" s="3389">
        <v>156218.22000000003</v>
      </c>
      <c r="L72" s="3394">
        <v>75</v>
      </c>
      <c r="M72" s="3388">
        <v>11938856.020000001</v>
      </c>
      <c r="N72" s="3389">
        <v>159184.74693333334</v>
      </c>
      <c r="O72" s="3394">
        <v>72</v>
      </c>
      <c r="P72" s="3388">
        <v>11915624.120000003</v>
      </c>
      <c r="Q72" s="3389">
        <v>165494.77944444449</v>
      </c>
      <c r="R72" s="3394">
        <v>73</v>
      </c>
      <c r="S72" s="3388">
        <v>12445513.970000001</v>
      </c>
      <c r="T72" s="3389">
        <v>170486.49273972603</v>
      </c>
      <c r="U72" s="3394">
        <v>69</v>
      </c>
      <c r="V72" s="3388">
        <v>12375825.620000003</v>
      </c>
      <c r="W72" s="3389">
        <v>179359.79159420295</v>
      </c>
      <c r="X72" s="3394">
        <v>67</v>
      </c>
      <c r="Y72" s="3388">
        <v>12502507.320000008</v>
      </c>
      <c r="Z72" s="3389">
        <v>186604.58686567176</v>
      </c>
    </row>
    <row r="73" spans="2:26">
      <c r="B73" s="3390" t="s">
        <v>575</v>
      </c>
      <c r="C73" s="3391">
        <f>SUM(C69:C72)</f>
        <v>336</v>
      </c>
      <c r="D73" s="3392">
        <f>SUM(D69:D72)</f>
        <v>44582660.656438366</v>
      </c>
      <c r="E73" s="3393">
        <f t="shared" ref="E73" si="58">+D73/C73</f>
        <v>132686.4900489237</v>
      </c>
      <c r="F73" s="3391">
        <f>SUM(F69:F72)</f>
        <v>341</v>
      </c>
      <c r="G73" s="3392">
        <f>SUM(G69:G72)</f>
        <v>47267498.996438339</v>
      </c>
      <c r="H73" s="3393">
        <f t="shared" ref="H73" si="59">+G73/F73</f>
        <v>138614.36655847021</v>
      </c>
      <c r="I73" s="3391">
        <f>SUM(I69:I72)</f>
        <v>345</v>
      </c>
      <c r="J73" s="3392">
        <f>SUM(J69:J72)</f>
        <v>49884971.098356172</v>
      </c>
      <c r="K73" s="3393">
        <f t="shared" ref="K73" si="60">+J73/I73</f>
        <v>144594.11912567005</v>
      </c>
      <c r="L73" s="3391">
        <f>SUM(L69:L72)</f>
        <v>355</v>
      </c>
      <c r="M73" s="3392">
        <f>SUM(M69:M72)</f>
        <v>53126178.261506848</v>
      </c>
      <c r="N73" s="3393">
        <f t="shared" ref="N73" si="61">+M73/L73</f>
        <v>149651.20637044183</v>
      </c>
      <c r="O73" s="3391">
        <f>SUM(O69:O72)</f>
        <v>354</v>
      </c>
      <c r="P73" s="3392">
        <f>SUM(P69:P72)</f>
        <v>55384247.961506858</v>
      </c>
      <c r="Q73" s="3393">
        <f t="shared" ref="Q73" si="62">+P73/O73</f>
        <v>156452.677857364</v>
      </c>
      <c r="R73" s="3391">
        <v>351</v>
      </c>
      <c r="S73" s="3392">
        <v>57370248.136339724</v>
      </c>
      <c r="T73" s="3393">
        <v>163448.00038843227</v>
      </c>
      <c r="U73" s="3391">
        <v>343</v>
      </c>
      <c r="V73" s="3392">
        <v>58385037.436339736</v>
      </c>
      <c r="W73" s="3393">
        <v>170218.7680359759</v>
      </c>
      <c r="X73" s="3391">
        <v>338</v>
      </c>
      <c r="Y73" s="3392">
        <v>59994480.136339732</v>
      </c>
      <c r="Z73" s="3393">
        <v>177498.46194183352</v>
      </c>
    </row>
    <row r="74" spans="2:26">
      <c r="B74" s="3383" t="s">
        <v>1198</v>
      </c>
      <c r="C74" s="3384">
        <v>137</v>
      </c>
      <c r="D74" s="3388">
        <v>19722460.058818497</v>
      </c>
      <c r="E74" s="3389">
        <v>143959.56247312771</v>
      </c>
      <c r="F74" s="3384">
        <v>140</v>
      </c>
      <c r="G74" s="3388">
        <v>20946604.161695205</v>
      </c>
      <c r="H74" s="3389">
        <v>149618.60115496576</v>
      </c>
      <c r="I74" s="3387">
        <v>143</v>
      </c>
      <c r="J74" s="3388">
        <v>22186027.663476035</v>
      </c>
      <c r="K74" s="3389">
        <v>155147.0465977345</v>
      </c>
      <c r="L74" s="3387">
        <v>145</v>
      </c>
      <c r="M74" s="3388">
        <v>23398286.763476018</v>
      </c>
      <c r="N74" s="3389">
        <v>161367.49492052427</v>
      </c>
      <c r="O74" s="3387">
        <v>144</v>
      </c>
      <c r="P74" s="3388">
        <v>24197367.463476039</v>
      </c>
      <c r="Q74" s="3389">
        <v>168037.27405191693</v>
      </c>
      <c r="R74" s="3387">
        <v>143</v>
      </c>
      <c r="S74" s="3388">
        <v>24720364.363476049</v>
      </c>
      <c r="T74" s="3389">
        <v>172869.68086346888</v>
      </c>
      <c r="U74" s="3387">
        <v>136</v>
      </c>
      <c r="V74" s="3388">
        <v>24285781.560976043</v>
      </c>
      <c r="W74" s="3389">
        <v>178571.92324247092</v>
      </c>
      <c r="X74" s="3387">
        <v>136</v>
      </c>
      <c r="Y74" s="3388">
        <v>25109645.746866453</v>
      </c>
      <c r="Z74" s="3389">
        <v>184629.74813872392</v>
      </c>
    </row>
    <row r="75" spans="2:26">
      <c r="B75" s="3383" t="s">
        <v>1199</v>
      </c>
      <c r="C75" s="3384">
        <v>87</v>
      </c>
      <c r="D75" s="3388">
        <v>11270000.125000002</v>
      </c>
      <c r="E75" s="3389">
        <v>129540.23132183909</v>
      </c>
      <c r="F75" s="3384">
        <v>91</v>
      </c>
      <c r="G75" s="3388">
        <v>12070575.725000001</v>
      </c>
      <c r="H75" s="3389">
        <v>132643.6892857143</v>
      </c>
      <c r="I75" s="3387">
        <v>95</v>
      </c>
      <c r="J75" s="3388">
        <v>12860091.520000001</v>
      </c>
      <c r="K75" s="3389">
        <v>135369.38442105264</v>
      </c>
      <c r="L75" s="3387">
        <v>95</v>
      </c>
      <c r="M75" s="3388">
        <v>13721708.220000001</v>
      </c>
      <c r="N75" s="3389">
        <v>144439.03389473684</v>
      </c>
      <c r="O75" s="3387">
        <v>96</v>
      </c>
      <c r="P75" s="3388">
        <v>14438349.420000009</v>
      </c>
      <c r="Q75" s="3389">
        <v>150399.47312500011</v>
      </c>
      <c r="R75" s="3387">
        <v>95</v>
      </c>
      <c r="S75" s="3388">
        <v>15047555.320000008</v>
      </c>
      <c r="T75" s="3389">
        <v>158395.31915789482</v>
      </c>
      <c r="U75" s="3387">
        <v>93</v>
      </c>
      <c r="V75" s="3388">
        <v>15524865.020000007</v>
      </c>
      <c r="W75" s="3389">
        <v>166934.03247311836</v>
      </c>
      <c r="X75" s="3387">
        <v>94</v>
      </c>
      <c r="Y75" s="3388">
        <v>16173882.719999999</v>
      </c>
      <c r="Z75" s="3389">
        <v>172062.58212765955</v>
      </c>
    </row>
    <row r="76" spans="2:26">
      <c r="B76" s="3383" t="s">
        <v>1200</v>
      </c>
      <c r="C76" s="3384">
        <v>68</v>
      </c>
      <c r="D76" s="3388">
        <v>11343433.489999993</v>
      </c>
      <c r="E76" s="3389">
        <v>166815.19838235283</v>
      </c>
      <c r="F76" s="3384">
        <v>70</v>
      </c>
      <c r="G76" s="3388">
        <v>12136492.690000003</v>
      </c>
      <c r="H76" s="3389">
        <v>173378.46700000003</v>
      </c>
      <c r="I76" s="3387">
        <v>73</v>
      </c>
      <c r="J76" s="3388">
        <v>12794947.790000003</v>
      </c>
      <c r="K76" s="3389">
        <v>175273.25739726031</v>
      </c>
      <c r="L76" s="3387">
        <v>75</v>
      </c>
      <c r="M76" s="3388">
        <v>13308154.189999998</v>
      </c>
      <c r="N76" s="3389">
        <v>177442.05586666663</v>
      </c>
      <c r="O76" s="3387">
        <v>72</v>
      </c>
      <c r="P76" s="3388">
        <v>13398522.189999992</v>
      </c>
      <c r="Q76" s="3389">
        <v>186090.58597222212</v>
      </c>
      <c r="R76" s="3387">
        <v>75</v>
      </c>
      <c r="S76" s="3388">
        <v>14251394.99</v>
      </c>
      <c r="T76" s="3389">
        <v>190018.59986666666</v>
      </c>
      <c r="U76" s="3387">
        <v>75</v>
      </c>
      <c r="V76" s="3388">
        <v>14878919.290000001</v>
      </c>
      <c r="W76" s="3389">
        <v>198385.59053333334</v>
      </c>
      <c r="X76" s="3387">
        <v>73</v>
      </c>
      <c r="Y76" s="3388">
        <v>14599798.989999993</v>
      </c>
      <c r="Z76" s="3389">
        <v>199997.24643835606</v>
      </c>
    </row>
    <row r="77" spans="2:26">
      <c r="B77" s="3383" t="s">
        <v>1201</v>
      </c>
      <c r="C77" s="3384">
        <v>59</v>
      </c>
      <c r="D77" s="3388">
        <v>7004724.8400000008</v>
      </c>
      <c r="E77" s="3389">
        <v>118724.14983050848</v>
      </c>
      <c r="F77" s="3384">
        <v>59</v>
      </c>
      <c r="G77" s="3388">
        <v>7315226.665000001</v>
      </c>
      <c r="H77" s="3389">
        <v>123986.89262711866</v>
      </c>
      <c r="I77" s="3387">
        <v>60</v>
      </c>
      <c r="J77" s="3388">
        <v>7760827.8650000002</v>
      </c>
      <c r="K77" s="3389">
        <v>129347.13108333334</v>
      </c>
      <c r="L77" s="3387">
        <v>60</v>
      </c>
      <c r="M77" s="3388">
        <v>8201240.5649999958</v>
      </c>
      <c r="N77" s="3389">
        <v>136687.34274999992</v>
      </c>
      <c r="O77" s="3387">
        <v>59</v>
      </c>
      <c r="P77" s="3388">
        <v>8355082.4649999999</v>
      </c>
      <c r="Q77" s="3389">
        <v>141611.56720338983</v>
      </c>
      <c r="R77" s="3387">
        <v>55</v>
      </c>
      <c r="S77" s="3388">
        <v>8192375.4622602724</v>
      </c>
      <c r="T77" s="3389">
        <v>148952.28113200495</v>
      </c>
      <c r="U77" s="3387">
        <v>56</v>
      </c>
      <c r="V77" s="3388">
        <v>8761807.262260275</v>
      </c>
      <c r="W77" s="3389">
        <v>156460.84396893348</v>
      </c>
      <c r="X77" s="3387">
        <v>55</v>
      </c>
      <c r="Y77" s="3388">
        <v>9083422.3622602727</v>
      </c>
      <c r="Z77" s="3389">
        <v>165153.13385927767</v>
      </c>
    </row>
    <row r="78" spans="2:26">
      <c r="B78" s="3390" t="s">
        <v>573</v>
      </c>
      <c r="C78" s="3391">
        <f>SUM(C74:C77)</f>
        <v>351</v>
      </c>
      <c r="D78" s="3392">
        <f>SUM(D74:D77)</f>
        <v>49340618.513818495</v>
      </c>
      <c r="E78" s="3393">
        <f t="shared" ref="E78" si="63">+D78/C78</f>
        <v>140571.5627174316</v>
      </c>
      <c r="F78" s="3391">
        <f>SUM(F74:F77)</f>
        <v>360</v>
      </c>
      <c r="G78" s="3392">
        <f>SUM(G74:G77)</f>
        <v>52468899.24169521</v>
      </c>
      <c r="H78" s="3393">
        <f t="shared" ref="H78" si="64">+G78/F78</f>
        <v>145746.94233804225</v>
      </c>
      <c r="I78" s="3391">
        <f t="shared" ref="I78:J78" si="65">SUM(I74:I77)</f>
        <v>371</v>
      </c>
      <c r="J78" s="3392">
        <f t="shared" si="65"/>
        <v>55601894.838476039</v>
      </c>
      <c r="K78" s="3393">
        <f t="shared" ref="K78" si="66">+J78/I78</f>
        <v>149870.33649184916</v>
      </c>
      <c r="L78" s="3391">
        <f t="shared" ref="L78:M78" si="67">SUM(L74:L77)</f>
        <v>375</v>
      </c>
      <c r="M78" s="3392">
        <f t="shared" si="67"/>
        <v>58629389.738476016</v>
      </c>
      <c r="N78" s="3393">
        <f t="shared" ref="N78" si="68">+M78/L78</f>
        <v>156345.0393026027</v>
      </c>
      <c r="O78" s="3391">
        <f t="shared" ref="O78:P78" si="69">SUM(O74:O77)</f>
        <v>371</v>
      </c>
      <c r="P78" s="3392">
        <f t="shared" si="69"/>
        <v>60389321.538476035</v>
      </c>
      <c r="Q78" s="3393">
        <f t="shared" ref="Q78" si="70">+P78/O78</f>
        <v>162774.45158618878</v>
      </c>
      <c r="R78" s="3391">
        <v>368</v>
      </c>
      <c r="S78" s="3392">
        <v>62211690.135736331</v>
      </c>
      <c r="T78" s="3393">
        <v>169053.50580363133</v>
      </c>
      <c r="U78" s="3391">
        <v>360</v>
      </c>
      <c r="V78" s="3392">
        <v>63451373.133236326</v>
      </c>
      <c r="W78" s="3393">
        <v>176253.81425898979</v>
      </c>
      <c r="X78" s="3391">
        <v>358</v>
      </c>
      <c r="Y78" s="3392">
        <v>64966749.819126718</v>
      </c>
      <c r="Z78" s="3393">
        <v>181471.36820985118</v>
      </c>
    </row>
    <row r="79" spans="2:26">
      <c r="B79" s="3383" t="s">
        <v>1202</v>
      </c>
      <c r="C79" s="3384">
        <v>32</v>
      </c>
      <c r="D79" s="3385">
        <v>5102996.7431506841</v>
      </c>
      <c r="E79" s="3386">
        <v>159468.64822345888</v>
      </c>
      <c r="F79" s="3387">
        <v>32</v>
      </c>
      <c r="G79" s="3388">
        <v>5381605.8431506855</v>
      </c>
      <c r="H79" s="3389">
        <v>168175.18259845892</v>
      </c>
      <c r="I79" s="3387">
        <v>32</v>
      </c>
      <c r="J79" s="3388">
        <v>5610612.1499999994</v>
      </c>
      <c r="K79" s="3389">
        <v>175331.62968749998</v>
      </c>
      <c r="L79" s="3394">
        <v>32</v>
      </c>
      <c r="M79" s="3398">
        <v>5905182.75</v>
      </c>
      <c r="N79" s="3399">
        <v>184536.9609375</v>
      </c>
      <c r="O79" s="3394">
        <v>32</v>
      </c>
      <c r="P79" s="3398">
        <v>6633867.6000000015</v>
      </c>
      <c r="Q79" s="3399">
        <v>207308.36250000005</v>
      </c>
      <c r="R79" s="3394">
        <v>31</v>
      </c>
      <c r="S79" s="3398">
        <v>6586272.8000000007</v>
      </c>
      <c r="T79" s="3399">
        <v>212460.41290322584</v>
      </c>
      <c r="U79" s="3394">
        <v>31</v>
      </c>
      <c r="V79" s="3398">
        <v>6311810.6699999999</v>
      </c>
      <c r="W79" s="3399">
        <v>203606.79580645161</v>
      </c>
      <c r="X79" s="3394">
        <v>31</v>
      </c>
      <c r="Y79" s="3398">
        <v>6537723.2699999996</v>
      </c>
      <c r="Z79" s="3399">
        <v>210894.29903225804</v>
      </c>
    </row>
    <row r="80" spans="2:26">
      <c r="B80" s="3383" t="s">
        <v>1203</v>
      </c>
      <c r="C80" s="3384">
        <v>40</v>
      </c>
      <c r="D80" s="3385">
        <v>6050772.1799999997</v>
      </c>
      <c r="E80" s="3386">
        <v>151269.3045</v>
      </c>
      <c r="F80" s="3387">
        <v>40</v>
      </c>
      <c r="G80" s="3388">
        <v>6272357.5799999991</v>
      </c>
      <c r="H80" s="3389">
        <v>156808.93949999998</v>
      </c>
      <c r="I80" s="3387">
        <v>41</v>
      </c>
      <c r="J80" s="3388">
        <v>6536919.6799999997</v>
      </c>
      <c r="K80" s="3389">
        <v>159437.06536585366</v>
      </c>
      <c r="L80" s="3394">
        <v>41</v>
      </c>
      <c r="M80" s="3398">
        <v>6803959.6799999978</v>
      </c>
      <c r="N80" s="3399">
        <v>165950.23609756093</v>
      </c>
      <c r="O80" s="3394">
        <v>42</v>
      </c>
      <c r="P80" s="3398">
        <v>6609664.3300000001</v>
      </c>
      <c r="Q80" s="3399">
        <v>157372.96023809523</v>
      </c>
      <c r="R80" s="3394">
        <v>40</v>
      </c>
      <c r="S80" s="3398">
        <v>6759661.5299999993</v>
      </c>
      <c r="T80" s="3399">
        <v>168991.53824999998</v>
      </c>
      <c r="U80" s="3394">
        <v>37</v>
      </c>
      <c r="V80" s="3398">
        <v>6644656.8300000001</v>
      </c>
      <c r="W80" s="3399">
        <v>179585.31972972973</v>
      </c>
      <c r="X80" s="3394">
        <v>37</v>
      </c>
      <c r="Y80" s="3398">
        <v>6864462.5300000003</v>
      </c>
      <c r="Z80" s="3399">
        <v>185526.01432432432</v>
      </c>
    </row>
    <row r="81" spans="2:26">
      <c r="B81" s="3383" t="s">
        <v>1204</v>
      </c>
      <c r="C81" s="3384">
        <v>38</v>
      </c>
      <c r="D81" s="3385">
        <v>3518174.09</v>
      </c>
      <c r="E81" s="3386">
        <v>92583.528684210527</v>
      </c>
      <c r="F81" s="3387">
        <v>39</v>
      </c>
      <c r="G81" s="3388">
        <v>3765969.9900000012</v>
      </c>
      <c r="H81" s="3389">
        <v>96563.333076923111</v>
      </c>
      <c r="I81" s="3387">
        <v>40</v>
      </c>
      <c r="J81" s="3388">
        <v>4014913.09</v>
      </c>
      <c r="K81" s="3389">
        <v>100372.82725</v>
      </c>
      <c r="L81" s="3394">
        <v>40</v>
      </c>
      <c r="M81" s="3398">
        <v>4115205.1900000004</v>
      </c>
      <c r="N81" s="3399">
        <v>102880.12975000001</v>
      </c>
      <c r="O81" s="3394">
        <v>39</v>
      </c>
      <c r="P81" s="3398">
        <v>4286988.1899999995</v>
      </c>
      <c r="Q81" s="3399">
        <v>109922.77410256409</v>
      </c>
      <c r="R81" s="3394">
        <v>40</v>
      </c>
      <c r="S81" s="3398">
        <v>4239396.59</v>
      </c>
      <c r="T81" s="3399">
        <v>105984.91475</v>
      </c>
      <c r="U81" s="3394">
        <v>33</v>
      </c>
      <c r="V81" s="3398">
        <v>3674195.2899999996</v>
      </c>
      <c r="W81" s="3399">
        <v>111339.25121212121</v>
      </c>
      <c r="X81" s="3394">
        <v>34</v>
      </c>
      <c r="Y81" s="3398">
        <v>3938789.79</v>
      </c>
      <c r="Z81" s="3399">
        <v>115846.75852941176</v>
      </c>
    </row>
    <row r="82" spans="2:26">
      <c r="B82" s="3383" t="s">
        <v>1205</v>
      </c>
      <c r="C82" s="3384">
        <v>44</v>
      </c>
      <c r="D82" s="3385">
        <v>7428954.091575346</v>
      </c>
      <c r="E82" s="3386">
        <v>168839.86571762149</v>
      </c>
      <c r="F82" s="3387">
        <v>46</v>
      </c>
      <c r="G82" s="3388">
        <v>7897182.1415753439</v>
      </c>
      <c r="H82" s="3389">
        <v>171677.87264294227</v>
      </c>
      <c r="I82" s="3387">
        <v>46</v>
      </c>
      <c r="J82" s="3388">
        <v>8240953.636575344</v>
      </c>
      <c r="K82" s="3389">
        <v>179151.16601250748</v>
      </c>
      <c r="L82" s="3394">
        <v>46</v>
      </c>
      <c r="M82" s="3398">
        <v>8663139.0365753397</v>
      </c>
      <c r="N82" s="3399">
        <v>188329.10949076826</v>
      </c>
      <c r="O82" s="3394">
        <v>46</v>
      </c>
      <c r="P82" s="3398">
        <v>9089484.9365753401</v>
      </c>
      <c r="Q82" s="3399">
        <v>197597.49862120303</v>
      </c>
      <c r="R82" s="3394">
        <v>47</v>
      </c>
      <c r="S82" s="3398">
        <v>9113602.436575342</v>
      </c>
      <c r="T82" s="3399">
        <v>193906.43482075195</v>
      </c>
      <c r="U82" s="3394">
        <v>44</v>
      </c>
      <c r="V82" s="3398">
        <v>8812643.5365753435</v>
      </c>
      <c r="W82" s="3399">
        <v>200287.35310398508</v>
      </c>
      <c r="X82" s="3394">
        <v>39</v>
      </c>
      <c r="Y82" s="3398">
        <v>8545480.6365753431</v>
      </c>
      <c r="Z82" s="3399">
        <v>219114.8881173165</v>
      </c>
    </row>
    <row r="83" spans="2:26">
      <c r="B83" s="3400" t="s">
        <v>574</v>
      </c>
      <c r="C83" s="3391">
        <f>SUM(C79:C82)</f>
        <v>154</v>
      </c>
      <c r="D83" s="3392">
        <f>SUM(D79:D82)</f>
        <v>22100897.104726031</v>
      </c>
      <c r="E83" s="3393">
        <f t="shared" ref="E83:E86" si="71">+D83/C83</f>
        <v>143512.31886185735</v>
      </c>
      <c r="F83" s="3391">
        <f t="shared" ref="F83:G83" si="72">SUM(F79:F82)</f>
        <v>157</v>
      </c>
      <c r="G83" s="3392">
        <f t="shared" si="72"/>
        <v>23317115.554726031</v>
      </c>
      <c r="H83" s="3393">
        <f t="shared" ref="H83:H86" si="73">+G83/F83</f>
        <v>148516.65958424224</v>
      </c>
      <c r="I83" s="3391">
        <f t="shared" ref="I83:J83" si="74">SUM(I79:I82)</f>
        <v>159</v>
      </c>
      <c r="J83" s="3392">
        <f t="shared" si="74"/>
        <v>24403398.556575343</v>
      </c>
      <c r="K83" s="3393">
        <f t="shared" ref="K83:K86" si="75">+J83/I83</f>
        <v>153480.4940665116</v>
      </c>
      <c r="L83" s="3391">
        <f>SUM(L79:L82)</f>
        <v>159</v>
      </c>
      <c r="M83" s="3392">
        <f>SUM(M79:M82)</f>
        <v>25487486.656575337</v>
      </c>
      <c r="N83" s="3393">
        <f t="shared" ref="N83:N86" si="76">+M83/L83</f>
        <v>160298.65821745494</v>
      </c>
      <c r="O83" s="3391">
        <f>SUM(O79:O82)</f>
        <v>159</v>
      </c>
      <c r="P83" s="3392">
        <f>SUM(P79:P82)</f>
        <v>26620005.056575343</v>
      </c>
      <c r="Q83" s="3393">
        <f t="shared" ref="Q83:Q86" si="77">+P83/O83</f>
        <v>167421.4154501594</v>
      </c>
      <c r="R83" s="3391">
        <v>158</v>
      </c>
      <c r="S83" s="3392">
        <v>26698933.356575344</v>
      </c>
      <c r="T83" s="3393">
        <v>168980.5908644009</v>
      </c>
      <c r="U83" s="3391">
        <v>145</v>
      </c>
      <c r="V83" s="3392">
        <v>25443306.326575343</v>
      </c>
      <c r="W83" s="3393">
        <v>175471.0781143127</v>
      </c>
      <c r="X83" s="3391">
        <v>141</v>
      </c>
      <c r="Y83" s="3392">
        <v>25886456.226575345</v>
      </c>
      <c r="Z83" s="3393">
        <v>183591.88813174004</v>
      </c>
    </row>
    <row r="84" spans="2:26">
      <c r="B84" s="4230" t="s">
        <v>461</v>
      </c>
      <c r="C84" s="4231">
        <f>SUM(C83,C78,C73)</f>
        <v>841</v>
      </c>
      <c r="D84" s="4232">
        <f>SUM(D83,D78,D73)</f>
        <v>116024176.27498288</v>
      </c>
      <c r="E84" s="4233">
        <f t="shared" si="71"/>
        <v>137959.78153981318</v>
      </c>
      <c r="F84" s="4231">
        <f t="shared" ref="F84:G84" si="78">SUM(F83,F78,F73)</f>
        <v>858</v>
      </c>
      <c r="G84" s="4232">
        <f t="shared" si="78"/>
        <v>123053513.79285958</v>
      </c>
      <c r="H84" s="4233">
        <f t="shared" si="73"/>
        <v>143419.01374459159</v>
      </c>
      <c r="I84" s="4231">
        <f t="shared" ref="I84:J84" si="79">SUM(I83,I78,I73)</f>
        <v>875</v>
      </c>
      <c r="J84" s="4232">
        <f t="shared" si="79"/>
        <v>129890264.49340756</v>
      </c>
      <c r="K84" s="4233">
        <f t="shared" si="75"/>
        <v>148446.01656389434</v>
      </c>
      <c r="L84" s="4231">
        <f t="shared" ref="L84:M84" si="80">SUM(L83,L78,L73)</f>
        <v>889</v>
      </c>
      <c r="M84" s="4232">
        <f t="shared" si="80"/>
        <v>137243054.65655822</v>
      </c>
      <c r="N84" s="4233">
        <f t="shared" si="76"/>
        <v>154379.13909624095</v>
      </c>
      <c r="O84" s="4231">
        <f t="shared" ref="O84:P84" si="81">SUM(O83,O78,O73)</f>
        <v>884</v>
      </c>
      <c r="P84" s="4232">
        <f t="shared" si="81"/>
        <v>142393574.55655825</v>
      </c>
      <c r="Q84" s="4233">
        <f t="shared" si="77"/>
        <v>161078.7042495003</v>
      </c>
      <c r="R84" s="4231">
        <v>877</v>
      </c>
      <c r="S84" s="4232">
        <v>146280871.62865138</v>
      </c>
      <c r="T84" s="4233">
        <v>166796.88897223645</v>
      </c>
      <c r="U84" s="4231">
        <v>848</v>
      </c>
      <c r="V84" s="4232">
        <v>147279716.89615142</v>
      </c>
      <c r="W84" s="4233">
        <v>173678.91143414084</v>
      </c>
      <c r="X84" s="4231">
        <v>837</v>
      </c>
      <c r="Y84" s="4232">
        <v>150847686.18204179</v>
      </c>
      <c r="Z84" s="4233">
        <v>180224.23677663296</v>
      </c>
    </row>
    <row r="85" spans="2:26">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2:26" ht="15.75" thickBot="1">
      <c r="B86" s="3380" t="s">
        <v>114</v>
      </c>
      <c r="C86" s="4240">
        <f>SUM(C84,C68,C55,C37,C24)</f>
        <v>2604</v>
      </c>
      <c r="D86" s="3401">
        <f>SUM(D84,D68,D55,D37,D24)</f>
        <v>348680185.3495822</v>
      </c>
      <c r="E86" s="3402">
        <f t="shared" si="71"/>
        <v>133901.76088693633</v>
      </c>
      <c r="F86" s="4240">
        <f>SUM(F84,F68,F55,F37,F24)</f>
        <v>2663</v>
      </c>
      <c r="G86" s="3401">
        <f>SUM(G84,G68,G55,G37,G24)</f>
        <v>370555395.22896576</v>
      </c>
      <c r="H86" s="3402">
        <f t="shared" si="73"/>
        <v>139149.603916247</v>
      </c>
      <c r="I86" s="4240">
        <f>SUM(I84,I68,I55,I37,I24)</f>
        <v>2710</v>
      </c>
      <c r="J86" s="3401">
        <f>SUM(J84,J68,J55,J37,J24)</f>
        <v>393002106.65560961</v>
      </c>
      <c r="K86" s="3402">
        <f t="shared" si="75"/>
        <v>145019.22754819543</v>
      </c>
      <c r="L86" s="4240">
        <f>SUM(L84,L68,L55,L37,L24)</f>
        <v>2759</v>
      </c>
      <c r="M86" s="3401">
        <f>SUM(M84,M68,M55,M37,M24)</f>
        <v>414906287.20976025</v>
      </c>
      <c r="N86" s="3402">
        <f t="shared" si="76"/>
        <v>150382.85147146077</v>
      </c>
      <c r="O86" s="4240">
        <f t="shared" ref="O86:P86" si="82">SUM(O84,O68,O55,O37,O24)</f>
        <v>2769</v>
      </c>
      <c r="P86" s="3401">
        <f t="shared" si="82"/>
        <v>433378917.34332204</v>
      </c>
      <c r="Q86" s="3402">
        <f t="shared" si="77"/>
        <v>156510.98495605707</v>
      </c>
      <c r="R86" s="4240">
        <v>2752</v>
      </c>
      <c r="S86" s="3401">
        <v>448533176.79707259</v>
      </c>
      <c r="T86" s="3402">
        <v>162984.4392431223</v>
      </c>
      <c r="U86" s="4240">
        <v>2731</v>
      </c>
      <c r="V86" s="3401">
        <v>462643249.89964116</v>
      </c>
      <c r="W86" s="3401">
        <v>169404.33903318972</v>
      </c>
      <c r="X86" s="4240">
        <v>2687</v>
      </c>
      <c r="Y86" s="3401">
        <v>476174671.95662749</v>
      </c>
      <c r="Z86" s="3401">
        <v>177214.24337797821</v>
      </c>
    </row>
    <row r="87" spans="2:26">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2:26">
      <c r="B88" s="3379" t="s">
        <v>1212</v>
      </c>
      <c r="C88" s="155"/>
      <c r="D88" s="155"/>
      <c r="E88" s="155"/>
      <c r="F88" s="155"/>
      <c r="G88" s="155"/>
      <c r="H88" s="3403">
        <f>H86/E86-1</f>
        <v>3.919174023216776E-2</v>
      </c>
      <c r="I88" s="155"/>
      <c r="J88" s="155"/>
      <c r="K88" s="3403">
        <f>K86/H86-1</f>
        <v>4.218210808189804E-2</v>
      </c>
      <c r="L88" s="155"/>
      <c r="M88" s="155"/>
      <c r="N88" s="3403">
        <f>N86/K86-1</f>
        <v>3.6985605384519227E-2</v>
      </c>
      <c r="O88" s="155"/>
      <c r="P88" s="155"/>
      <c r="Q88" s="3403">
        <f>Q86/N86-1</f>
        <v>4.0750214699574849E-2</v>
      </c>
      <c r="R88" s="155"/>
      <c r="S88" s="155"/>
      <c r="T88" s="3403">
        <f>T86/Q86-1</f>
        <v>4.1361021968411738E-2</v>
      </c>
      <c r="U88" s="155"/>
      <c r="V88" s="155"/>
      <c r="W88" s="3403">
        <f>W86/T86-1</f>
        <v>3.9389648606213967E-2</v>
      </c>
      <c r="X88" s="155"/>
      <c r="Y88" s="155"/>
      <c r="Z88" s="3404">
        <v>4.6102150566865729E-2</v>
      </c>
    </row>
    <row r="90" spans="2:26">
      <c r="Q90" s="41"/>
      <c r="T90" s="41"/>
      <c r="W90" s="41"/>
    </row>
  </sheetData>
  <mergeCells count="9">
    <mergeCell ref="X4:Z4"/>
    <mergeCell ref="U4:W4"/>
    <mergeCell ref="R4:T4"/>
    <mergeCell ref="B4:B5"/>
    <mergeCell ref="O4:Q4"/>
    <mergeCell ref="C4:E4"/>
    <mergeCell ref="F4:H4"/>
    <mergeCell ref="I4:K4"/>
    <mergeCell ref="L4:N4"/>
  </mergeCells>
  <pageMargins left="0.7" right="0.7" top="0.75" bottom="0.75" header="0.3" footer="0.3"/>
  <pageSetup orientation="portrait" r:id="rId1"/>
  <ignoredErrors>
    <ignoredError sqref="E11:N55 E86:N88 E57:N57 E59:N61 E63:N63 E67:N84" formula="1"/>
    <ignoredError sqref="O73:P73" formulaRange="1"/>
  </ignoredErrors>
  <drawing r:id="rId2"/>
</worksheet>
</file>

<file path=xl/worksheets/sheet39.xml><?xml version="1.0" encoding="utf-8"?>
<worksheet xmlns="http://schemas.openxmlformats.org/spreadsheetml/2006/main" xmlns:r="http://schemas.openxmlformats.org/officeDocument/2006/relationships">
  <sheetPr>
    <tabColor theme="4" tint="-0.499984740745262"/>
  </sheetPr>
  <dimension ref="A1:BC125"/>
  <sheetViews>
    <sheetView showGridLines="0" zoomScaleNormal="100" workbookViewId="0">
      <pane xSplit="2" ySplit="4" topLeftCell="AG5" activePane="bottomRight" state="frozen"/>
      <selection pane="topRight" activeCell="C1" sqref="C1"/>
      <selection pane="bottomLeft" activeCell="A5" sqref="A5"/>
      <selection pane="bottomRight" activeCell="AK37" sqref="AK37"/>
    </sheetView>
  </sheetViews>
  <sheetFormatPr baseColWidth="10" defaultRowHeight="15"/>
  <cols>
    <col min="1" max="1" width="16.42578125" style="479" customWidth="1"/>
    <col min="2" max="2" width="1.7109375" style="479" customWidth="1"/>
    <col min="3" max="3" width="6.85546875" style="477" customWidth="1"/>
    <col min="4" max="4" width="6.7109375" style="477" customWidth="1"/>
    <col min="5" max="5" width="7.5703125" style="477" customWidth="1"/>
    <col min="6" max="7" width="7.85546875" style="477" customWidth="1"/>
    <col min="8" max="8" width="1.7109375" style="477" customWidth="1"/>
    <col min="9" max="11" width="6.7109375" style="477" customWidth="1"/>
    <col min="12" max="13" width="7.85546875" style="477" customWidth="1"/>
    <col min="14" max="14" width="1.7109375" style="477" customWidth="1"/>
    <col min="15" max="17" width="6.7109375" style="477" customWidth="1"/>
    <col min="18" max="19" width="8" style="477" customWidth="1"/>
    <col min="20" max="20" width="1.7109375" style="477" customWidth="1"/>
    <col min="21" max="23" width="6.7109375" style="477" customWidth="1"/>
    <col min="24" max="24" width="8.140625" style="477" bestFit="1" customWidth="1"/>
    <col min="25" max="25" width="8.140625" style="477" customWidth="1"/>
    <col min="26" max="26" width="1.7109375" style="477" customWidth="1"/>
    <col min="27" max="30" width="6.7109375" style="477" customWidth="1"/>
    <col min="31" max="31" width="7.85546875" style="477" customWidth="1"/>
    <col min="32" max="32" width="1.7109375" style="477" customWidth="1"/>
    <col min="33" max="36" width="6.7109375" style="477" customWidth="1"/>
    <col min="37" max="37" width="7.85546875" style="477" customWidth="1"/>
    <col min="38" max="38" width="1.7109375" style="477" customWidth="1"/>
    <col min="39" max="43" width="6.7109375" style="477" customWidth="1"/>
    <col min="44" max="44" width="1.7109375" style="477" customWidth="1"/>
    <col min="45" max="49" width="6.7109375" style="477" customWidth="1"/>
    <col min="50" max="50" width="1.7109375" style="477" customWidth="1"/>
    <col min="51" max="55" width="6.7109375" style="477" customWidth="1"/>
    <col min="56" max="235" width="11.42578125" style="477"/>
    <col min="236" max="236" width="15.28515625" style="477" customWidth="1"/>
    <col min="237" max="237" width="13" style="477" bestFit="1" customWidth="1"/>
    <col min="238" max="238" width="6.28515625" style="477" customWidth="1"/>
    <col min="239" max="239" width="7.5703125" style="477" customWidth="1"/>
    <col min="240" max="240" width="8" style="477" customWidth="1"/>
    <col min="241" max="241" width="10.7109375" style="477" customWidth="1"/>
    <col min="242" max="242" width="6.28515625" style="477" customWidth="1"/>
    <col min="243" max="243" width="7.5703125" style="477" customWidth="1"/>
    <col min="244" max="244" width="8.140625" style="477" customWidth="1"/>
    <col min="245" max="245" width="10.7109375" style="477" customWidth="1"/>
    <col min="246" max="246" width="6.28515625" style="477" customWidth="1"/>
    <col min="247" max="247" width="7.5703125" style="477" customWidth="1"/>
    <col min="248" max="248" width="8.140625" style="477" customWidth="1"/>
    <col min="249" max="249" width="10.7109375" style="477" customWidth="1"/>
    <col min="250" max="250" width="6.7109375" style="477" customWidth="1"/>
    <col min="251" max="251" width="7.5703125" style="477" customWidth="1"/>
    <col min="252" max="252" width="8.140625" style="477" customWidth="1"/>
    <col min="253" max="253" width="10.7109375" style="477" customWidth="1"/>
    <col min="254" max="254" width="6.7109375" style="477" customWidth="1"/>
    <col min="255" max="255" width="7.5703125" style="477" customWidth="1"/>
    <col min="256" max="256" width="8.140625" style="477" customWidth="1"/>
    <col min="257" max="257" width="10.7109375" style="477" customWidth="1"/>
    <col min="258" max="260" width="6.7109375" style="477" customWidth="1"/>
    <col min="261" max="261" width="11.42578125" style="477" customWidth="1"/>
    <col min="262" max="264" width="6.7109375" style="477" customWidth="1"/>
    <col min="265" max="265" width="11.42578125" style="477"/>
    <col min="266" max="266" width="1.5703125" style="477" customWidth="1"/>
    <col min="267" max="491" width="11.42578125" style="477"/>
    <col min="492" max="492" width="15.28515625" style="477" customWidth="1"/>
    <col min="493" max="493" width="13" style="477" bestFit="1" customWidth="1"/>
    <col min="494" max="494" width="6.28515625" style="477" customWidth="1"/>
    <col min="495" max="495" width="7.5703125" style="477" customWidth="1"/>
    <col min="496" max="496" width="8" style="477" customWidth="1"/>
    <col min="497" max="497" width="10.7109375" style="477" customWidth="1"/>
    <col min="498" max="498" width="6.28515625" style="477" customWidth="1"/>
    <col min="499" max="499" width="7.5703125" style="477" customWidth="1"/>
    <col min="500" max="500" width="8.140625" style="477" customWidth="1"/>
    <col min="501" max="501" width="10.7109375" style="477" customWidth="1"/>
    <col min="502" max="502" width="6.28515625" style="477" customWidth="1"/>
    <col min="503" max="503" width="7.5703125" style="477" customWidth="1"/>
    <col min="504" max="504" width="8.140625" style="477" customWidth="1"/>
    <col min="505" max="505" width="10.7109375" style="477" customWidth="1"/>
    <col min="506" max="506" width="6.7109375" style="477" customWidth="1"/>
    <col min="507" max="507" width="7.5703125" style="477" customWidth="1"/>
    <col min="508" max="508" width="8.140625" style="477" customWidth="1"/>
    <col min="509" max="509" width="10.7109375" style="477" customWidth="1"/>
    <col min="510" max="510" width="6.7109375" style="477" customWidth="1"/>
    <col min="511" max="511" width="7.5703125" style="477" customWidth="1"/>
    <col min="512" max="512" width="8.140625" style="477" customWidth="1"/>
    <col min="513" max="513" width="10.7109375" style="477" customWidth="1"/>
    <col min="514" max="516" width="6.7109375" style="477" customWidth="1"/>
    <col min="517" max="517" width="11.42578125" style="477" customWidth="1"/>
    <col min="518" max="520" width="6.7109375" style="477" customWidth="1"/>
    <col min="521" max="521" width="11.42578125" style="477"/>
    <col min="522" max="522" width="1.5703125" style="477" customWidth="1"/>
    <col min="523" max="747" width="11.42578125" style="477"/>
    <col min="748" max="748" width="15.28515625" style="477" customWidth="1"/>
    <col min="749" max="749" width="13" style="477" bestFit="1" customWidth="1"/>
    <col min="750" max="750" width="6.28515625" style="477" customWidth="1"/>
    <col min="751" max="751" width="7.5703125" style="477" customWidth="1"/>
    <col min="752" max="752" width="8" style="477" customWidth="1"/>
    <col min="753" max="753" width="10.7109375" style="477" customWidth="1"/>
    <col min="754" max="754" width="6.28515625" style="477" customWidth="1"/>
    <col min="755" max="755" width="7.5703125" style="477" customWidth="1"/>
    <col min="756" max="756" width="8.140625" style="477" customWidth="1"/>
    <col min="757" max="757" width="10.7109375" style="477" customWidth="1"/>
    <col min="758" max="758" width="6.28515625" style="477" customWidth="1"/>
    <col min="759" max="759" width="7.5703125" style="477" customWidth="1"/>
    <col min="760" max="760" width="8.140625" style="477" customWidth="1"/>
    <col min="761" max="761" width="10.7109375" style="477" customWidth="1"/>
    <col min="762" max="762" width="6.7109375" style="477" customWidth="1"/>
    <col min="763" max="763" width="7.5703125" style="477" customWidth="1"/>
    <col min="764" max="764" width="8.140625" style="477" customWidth="1"/>
    <col min="765" max="765" width="10.7109375" style="477" customWidth="1"/>
    <col min="766" max="766" width="6.7109375" style="477" customWidth="1"/>
    <col min="767" max="767" width="7.5703125" style="477" customWidth="1"/>
    <col min="768" max="768" width="8.140625" style="477" customWidth="1"/>
    <col min="769" max="769" width="10.7109375" style="477" customWidth="1"/>
    <col min="770" max="772" width="6.7109375" style="477" customWidth="1"/>
    <col min="773" max="773" width="11.42578125" style="477" customWidth="1"/>
    <col min="774" max="776" width="6.7109375" style="477" customWidth="1"/>
    <col min="777" max="777" width="11.42578125" style="477"/>
    <col min="778" max="778" width="1.5703125" style="477" customWidth="1"/>
    <col min="779" max="1003" width="11.42578125" style="477"/>
    <col min="1004" max="1004" width="15.28515625" style="477" customWidth="1"/>
    <col min="1005" max="1005" width="13" style="477" bestFit="1" customWidth="1"/>
    <col min="1006" max="1006" width="6.28515625" style="477" customWidth="1"/>
    <col min="1007" max="1007" width="7.5703125" style="477" customWidth="1"/>
    <col min="1008" max="1008" width="8" style="477" customWidth="1"/>
    <col min="1009" max="1009" width="10.7109375" style="477" customWidth="1"/>
    <col min="1010" max="1010" width="6.28515625" style="477" customWidth="1"/>
    <col min="1011" max="1011" width="7.5703125" style="477" customWidth="1"/>
    <col min="1012" max="1012" width="8.140625" style="477" customWidth="1"/>
    <col min="1013" max="1013" width="10.7109375" style="477" customWidth="1"/>
    <col min="1014" max="1014" width="6.28515625" style="477" customWidth="1"/>
    <col min="1015" max="1015" width="7.5703125" style="477" customWidth="1"/>
    <col min="1016" max="1016" width="8.140625" style="477" customWidth="1"/>
    <col min="1017" max="1017" width="10.7109375" style="477" customWidth="1"/>
    <col min="1018" max="1018" width="6.7109375" style="477" customWidth="1"/>
    <col min="1019" max="1019" width="7.5703125" style="477" customWidth="1"/>
    <col min="1020" max="1020" width="8.140625" style="477" customWidth="1"/>
    <col min="1021" max="1021" width="10.7109375" style="477" customWidth="1"/>
    <col min="1022" max="1022" width="6.7109375" style="477" customWidth="1"/>
    <col min="1023" max="1023" width="7.5703125" style="477" customWidth="1"/>
    <col min="1024" max="1024" width="8.140625" style="477" customWidth="1"/>
    <col min="1025" max="1025" width="10.7109375" style="477" customWidth="1"/>
    <col min="1026" max="1028" width="6.7109375" style="477" customWidth="1"/>
    <col min="1029" max="1029" width="11.42578125" style="477" customWidth="1"/>
    <col min="1030" max="1032" width="6.7109375" style="477" customWidth="1"/>
    <col min="1033" max="1033" width="11.42578125" style="477"/>
    <col min="1034" max="1034" width="1.5703125" style="477" customWidth="1"/>
    <col min="1035" max="1259" width="11.42578125" style="477"/>
    <col min="1260" max="1260" width="15.28515625" style="477" customWidth="1"/>
    <col min="1261" max="1261" width="13" style="477" bestFit="1" customWidth="1"/>
    <col min="1262" max="1262" width="6.28515625" style="477" customWidth="1"/>
    <col min="1263" max="1263" width="7.5703125" style="477" customWidth="1"/>
    <col min="1264" max="1264" width="8" style="477" customWidth="1"/>
    <col min="1265" max="1265" width="10.7109375" style="477" customWidth="1"/>
    <col min="1266" max="1266" width="6.28515625" style="477" customWidth="1"/>
    <col min="1267" max="1267" width="7.5703125" style="477" customWidth="1"/>
    <col min="1268" max="1268" width="8.140625" style="477" customWidth="1"/>
    <col min="1269" max="1269" width="10.7109375" style="477" customWidth="1"/>
    <col min="1270" max="1270" width="6.28515625" style="477" customWidth="1"/>
    <col min="1271" max="1271" width="7.5703125" style="477" customWidth="1"/>
    <col min="1272" max="1272" width="8.140625" style="477" customWidth="1"/>
    <col min="1273" max="1273" width="10.7109375" style="477" customWidth="1"/>
    <col min="1274" max="1274" width="6.7109375" style="477" customWidth="1"/>
    <col min="1275" max="1275" width="7.5703125" style="477" customWidth="1"/>
    <col min="1276" max="1276" width="8.140625" style="477" customWidth="1"/>
    <col min="1277" max="1277" width="10.7109375" style="477" customWidth="1"/>
    <col min="1278" max="1278" width="6.7109375" style="477" customWidth="1"/>
    <col min="1279" max="1279" width="7.5703125" style="477" customWidth="1"/>
    <col min="1280" max="1280" width="8.140625" style="477" customWidth="1"/>
    <col min="1281" max="1281" width="10.7109375" style="477" customWidth="1"/>
    <col min="1282" max="1284" width="6.7109375" style="477" customWidth="1"/>
    <col min="1285" max="1285" width="11.42578125" style="477" customWidth="1"/>
    <col min="1286" max="1288" width="6.7109375" style="477" customWidth="1"/>
    <col min="1289" max="1289" width="11.42578125" style="477"/>
    <col min="1290" max="1290" width="1.5703125" style="477" customWidth="1"/>
    <col min="1291" max="1515" width="11.42578125" style="477"/>
    <col min="1516" max="1516" width="15.28515625" style="477" customWidth="1"/>
    <col min="1517" max="1517" width="13" style="477" bestFit="1" customWidth="1"/>
    <col min="1518" max="1518" width="6.28515625" style="477" customWidth="1"/>
    <col min="1519" max="1519" width="7.5703125" style="477" customWidth="1"/>
    <col min="1520" max="1520" width="8" style="477" customWidth="1"/>
    <col min="1521" max="1521" width="10.7109375" style="477" customWidth="1"/>
    <col min="1522" max="1522" width="6.28515625" style="477" customWidth="1"/>
    <col min="1523" max="1523" width="7.5703125" style="477" customWidth="1"/>
    <col min="1524" max="1524" width="8.140625" style="477" customWidth="1"/>
    <col min="1525" max="1525" width="10.7109375" style="477" customWidth="1"/>
    <col min="1526" max="1526" width="6.28515625" style="477" customWidth="1"/>
    <col min="1527" max="1527" width="7.5703125" style="477" customWidth="1"/>
    <col min="1528" max="1528" width="8.140625" style="477" customWidth="1"/>
    <col min="1529" max="1529" width="10.7109375" style="477" customWidth="1"/>
    <col min="1530" max="1530" width="6.7109375" style="477" customWidth="1"/>
    <col min="1531" max="1531" width="7.5703125" style="477" customWidth="1"/>
    <col min="1532" max="1532" width="8.140625" style="477" customWidth="1"/>
    <col min="1533" max="1533" width="10.7109375" style="477" customWidth="1"/>
    <col min="1534" max="1534" width="6.7109375" style="477" customWidth="1"/>
    <col min="1535" max="1535" width="7.5703125" style="477" customWidth="1"/>
    <col min="1536" max="1536" width="8.140625" style="477" customWidth="1"/>
    <col min="1537" max="1537" width="10.7109375" style="477" customWidth="1"/>
    <col min="1538" max="1540" width="6.7109375" style="477" customWidth="1"/>
    <col min="1541" max="1541" width="11.42578125" style="477" customWidth="1"/>
    <col min="1542" max="1544" width="6.7109375" style="477" customWidth="1"/>
    <col min="1545" max="1545" width="11.42578125" style="477"/>
    <col min="1546" max="1546" width="1.5703125" style="477" customWidth="1"/>
    <col min="1547" max="1771" width="11.42578125" style="477"/>
    <col min="1772" max="1772" width="15.28515625" style="477" customWidth="1"/>
    <col min="1773" max="1773" width="13" style="477" bestFit="1" customWidth="1"/>
    <col min="1774" max="1774" width="6.28515625" style="477" customWidth="1"/>
    <col min="1775" max="1775" width="7.5703125" style="477" customWidth="1"/>
    <col min="1776" max="1776" width="8" style="477" customWidth="1"/>
    <col min="1777" max="1777" width="10.7109375" style="477" customWidth="1"/>
    <col min="1778" max="1778" width="6.28515625" style="477" customWidth="1"/>
    <col min="1779" max="1779" width="7.5703125" style="477" customWidth="1"/>
    <col min="1780" max="1780" width="8.140625" style="477" customWidth="1"/>
    <col min="1781" max="1781" width="10.7109375" style="477" customWidth="1"/>
    <col min="1782" max="1782" width="6.28515625" style="477" customWidth="1"/>
    <col min="1783" max="1783" width="7.5703125" style="477" customWidth="1"/>
    <col min="1784" max="1784" width="8.140625" style="477" customWidth="1"/>
    <col min="1785" max="1785" width="10.7109375" style="477" customWidth="1"/>
    <col min="1786" max="1786" width="6.7109375" style="477" customWidth="1"/>
    <col min="1787" max="1787" width="7.5703125" style="477" customWidth="1"/>
    <col min="1788" max="1788" width="8.140625" style="477" customWidth="1"/>
    <col min="1789" max="1789" width="10.7109375" style="477" customWidth="1"/>
    <col min="1790" max="1790" width="6.7109375" style="477" customWidth="1"/>
    <col min="1791" max="1791" width="7.5703125" style="477" customWidth="1"/>
    <col min="1792" max="1792" width="8.140625" style="477" customWidth="1"/>
    <col min="1793" max="1793" width="10.7109375" style="477" customWidth="1"/>
    <col min="1794" max="1796" width="6.7109375" style="477" customWidth="1"/>
    <col min="1797" max="1797" width="11.42578125" style="477" customWidth="1"/>
    <col min="1798" max="1800" width="6.7109375" style="477" customWidth="1"/>
    <col min="1801" max="1801" width="11.42578125" style="477"/>
    <col min="1802" max="1802" width="1.5703125" style="477" customWidth="1"/>
    <col min="1803" max="2027" width="11.42578125" style="477"/>
    <col min="2028" max="2028" width="15.28515625" style="477" customWidth="1"/>
    <col min="2029" max="2029" width="13" style="477" bestFit="1" customWidth="1"/>
    <col min="2030" max="2030" width="6.28515625" style="477" customWidth="1"/>
    <col min="2031" max="2031" width="7.5703125" style="477" customWidth="1"/>
    <col min="2032" max="2032" width="8" style="477" customWidth="1"/>
    <col min="2033" max="2033" width="10.7109375" style="477" customWidth="1"/>
    <col min="2034" max="2034" width="6.28515625" style="477" customWidth="1"/>
    <col min="2035" max="2035" width="7.5703125" style="477" customWidth="1"/>
    <col min="2036" max="2036" width="8.140625" style="477" customWidth="1"/>
    <col min="2037" max="2037" width="10.7109375" style="477" customWidth="1"/>
    <col min="2038" max="2038" width="6.28515625" style="477" customWidth="1"/>
    <col min="2039" max="2039" width="7.5703125" style="477" customWidth="1"/>
    <col min="2040" max="2040" width="8.140625" style="477" customWidth="1"/>
    <col min="2041" max="2041" width="10.7109375" style="477" customWidth="1"/>
    <col min="2042" max="2042" width="6.7109375" style="477" customWidth="1"/>
    <col min="2043" max="2043" width="7.5703125" style="477" customWidth="1"/>
    <col min="2044" max="2044" width="8.140625" style="477" customWidth="1"/>
    <col min="2045" max="2045" width="10.7109375" style="477" customWidth="1"/>
    <col min="2046" max="2046" width="6.7109375" style="477" customWidth="1"/>
    <col min="2047" max="2047" width="7.5703125" style="477" customWidth="1"/>
    <col min="2048" max="2048" width="8.140625" style="477" customWidth="1"/>
    <col min="2049" max="2049" width="10.7109375" style="477" customWidth="1"/>
    <col min="2050" max="2052" width="6.7109375" style="477" customWidth="1"/>
    <col min="2053" max="2053" width="11.42578125" style="477" customWidth="1"/>
    <col min="2054" max="2056" width="6.7109375" style="477" customWidth="1"/>
    <col min="2057" max="2057" width="11.42578125" style="477"/>
    <col min="2058" max="2058" width="1.5703125" style="477" customWidth="1"/>
    <col min="2059" max="2283" width="11.42578125" style="477"/>
    <col min="2284" max="2284" width="15.28515625" style="477" customWidth="1"/>
    <col min="2285" max="2285" width="13" style="477" bestFit="1" customWidth="1"/>
    <col min="2286" max="2286" width="6.28515625" style="477" customWidth="1"/>
    <col min="2287" max="2287" width="7.5703125" style="477" customWidth="1"/>
    <col min="2288" max="2288" width="8" style="477" customWidth="1"/>
    <col min="2289" max="2289" width="10.7109375" style="477" customWidth="1"/>
    <col min="2290" max="2290" width="6.28515625" style="477" customWidth="1"/>
    <col min="2291" max="2291" width="7.5703125" style="477" customWidth="1"/>
    <col min="2292" max="2292" width="8.140625" style="477" customWidth="1"/>
    <col min="2293" max="2293" width="10.7109375" style="477" customWidth="1"/>
    <col min="2294" max="2294" width="6.28515625" style="477" customWidth="1"/>
    <col min="2295" max="2295" width="7.5703125" style="477" customWidth="1"/>
    <col min="2296" max="2296" width="8.140625" style="477" customWidth="1"/>
    <col min="2297" max="2297" width="10.7109375" style="477" customWidth="1"/>
    <col min="2298" max="2298" width="6.7109375" style="477" customWidth="1"/>
    <col min="2299" max="2299" width="7.5703125" style="477" customWidth="1"/>
    <col min="2300" max="2300" width="8.140625" style="477" customWidth="1"/>
    <col min="2301" max="2301" width="10.7109375" style="477" customWidth="1"/>
    <col min="2302" max="2302" width="6.7109375" style="477" customWidth="1"/>
    <col min="2303" max="2303" width="7.5703125" style="477" customWidth="1"/>
    <col min="2304" max="2304" width="8.140625" style="477" customWidth="1"/>
    <col min="2305" max="2305" width="10.7109375" style="477" customWidth="1"/>
    <col min="2306" max="2308" width="6.7109375" style="477" customWidth="1"/>
    <col min="2309" max="2309" width="11.42578125" style="477" customWidth="1"/>
    <col min="2310" max="2312" width="6.7109375" style="477" customWidth="1"/>
    <col min="2313" max="2313" width="11.42578125" style="477"/>
    <col min="2314" max="2314" width="1.5703125" style="477" customWidth="1"/>
    <col min="2315" max="2539" width="11.42578125" style="477"/>
    <col min="2540" max="2540" width="15.28515625" style="477" customWidth="1"/>
    <col min="2541" max="2541" width="13" style="477" bestFit="1" customWidth="1"/>
    <col min="2542" max="2542" width="6.28515625" style="477" customWidth="1"/>
    <col min="2543" max="2543" width="7.5703125" style="477" customWidth="1"/>
    <col min="2544" max="2544" width="8" style="477" customWidth="1"/>
    <col min="2545" max="2545" width="10.7109375" style="477" customWidth="1"/>
    <col min="2546" max="2546" width="6.28515625" style="477" customWidth="1"/>
    <col min="2547" max="2547" width="7.5703125" style="477" customWidth="1"/>
    <col min="2548" max="2548" width="8.140625" style="477" customWidth="1"/>
    <col min="2549" max="2549" width="10.7109375" style="477" customWidth="1"/>
    <col min="2550" max="2550" width="6.28515625" style="477" customWidth="1"/>
    <col min="2551" max="2551" width="7.5703125" style="477" customWidth="1"/>
    <col min="2552" max="2552" width="8.140625" style="477" customWidth="1"/>
    <col min="2553" max="2553" width="10.7109375" style="477" customWidth="1"/>
    <col min="2554" max="2554" width="6.7109375" style="477" customWidth="1"/>
    <col min="2555" max="2555" width="7.5703125" style="477" customWidth="1"/>
    <col min="2556" max="2556" width="8.140625" style="477" customWidth="1"/>
    <col min="2557" max="2557" width="10.7109375" style="477" customWidth="1"/>
    <col min="2558" max="2558" width="6.7109375" style="477" customWidth="1"/>
    <col min="2559" max="2559" width="7.5703125" style="477" customWidth="1"/>
    <col min="2560" max="2560" width="8.140625" style="477" customWidth="1"/>
    <col min="2561" max="2561" width="10.7109375" style="477" customWidth="1"/>
    <col min="2562" max="2564" width="6.7109375" style="477" customWidth="1"/>
    <col min="2565" max="2565" width="11.42578125" style="477" customWidth="1"/>
    <col min="2566" max="2568" width="6.7109375" style="477" customWidth="1"/>
    <col min="2569" max="2569" width="11.42578125" style="477"/>
    <col min="2570" max="2570" width="1.5703125" style="477" customWidth="1"/>
    <col min="2571" max="2795" width="11.42578125" style="477"/>
    <col min="2796" max="2796" width="15.28515625" style="477" customWidth="1"/>
    <col min="2797" max="2797" width="13" style="477" bestFit="1" customWidth="1"/>
    <col min="2798" max="2798" width="6.28515625" style="477" customWidth="1"/>
    <col min="2799" max="2799" width="7.5703125" style="477" customWidth="1"/>
    <col min="2800" max="2800" width="8" style="477" customWidth="1"/>
    <col min="2801" max="2801" width="10.7109375" style="477" customWidth="1"/>
    <col min="2802" max="2802" width="6.28515625" style="477" customWidth="1"/>
    <col min="2803" max="2803" width="7.5703125" style="477" customWidth="1"/>
    <col min="2804" max="2804" width="8.140625" style="477" customWidth="1"/>
    <col min="2805" max="2805" width="10.7109375" style="477" customWidth="1"/>
    <col min="2806" max="2806" width="6.28515625" style="477" customWidth="1"/>
    <col min="2807" max="2807" width="7.5703125" style="477" customWidth="1"/>
    <col min="2808" max="2808" width="8.140625" style="477" customWidth="1"/>
    <col min="2809" max="2809" width="10.7109375" style="477" customWidth="1"/>
    <col min="2810" max="2810" width="6.7109375" style="477" customWidth="1"/>
    <col min="2811" max="2811" width="7.5703125" style="477" customWidth="1"/>
    <col min="2812" max="2812" width="8.140625" style="477" customWidth="1"/>
    <col min="2813" max="2813" width="10.7109375" style="477" customWidth="1"/>
    <col min="2814" max="2814" width="6.7109375" style="477" customWidth="1"/>
    <col min="2815" max="2815" width="7.5703125" style="477" customWidth="1"/>
    <col min="2816" max="2816" width="8.140625" style="477" customWidth="1"/>
    <col min="2817" max="2817" width="10.7109375" style="477" customWidth="1"/>
    <col min="2818" max="2820" width="6.7109375" style="477" customWidth="1"/>
    <col min="2821" max="2821" width="11.42578125" style="477" customWidth="1"/>
    <col min="2822" max="2824" width="6.7109375" style="477" customWidth="1"/>
    <col min="2825" max="2825" width="11.42578125" style="477"/>
    <col min="2826" max="2826" width="1.5703125" style="477" customWidth="1"/>
    <col min="2827" max="3051" width="11.42578125" style="477"/>
    <col min="3052" max="3052" width="15.28515625" style="477" customWidth="1"/>
    <col min="3053" max="3053" width="13" style="477" bestFit="1" customWidth="1"/>
    <col min="3054" max="3054" width="6.28515625" style="477" customWidth="1"/>
    <col min="3055" max="3055" width="7.5703125" style="477" customWidth="1"/>
    <col min="3056" max="3056" width="8" style="477" customWidth="1"/>
    <col min="3057" max="3057" width="10.7109375" style="477" customWidth="1"/>
    <col min="3058" max="3058" width="6.28515625" style="477" customWidth="1"/>
    <col min="3059" max="3059" width="7.5703125" style="477" customWidth="1"/>
    <col min="3060" max="3060" width="8.140625" style="477" customWidth="1"/>
    <col min="3061" max="3061" width="10.7109375" style="477" customWidth="1"/>
    <col min="3062" max="3062" width="6.28515625" style="477" customWidth="1"/>
    <col min="3063" max="3063" width="7.5703125" style="477" customWidth="1"/>
    <col min="3064" max="3064" width="8.140625" style="477" customWidth="1"/>
    <col min="3065" max="3065" width="10.7109375" style="477" customWidth="1"/>
    <col min="3066" max="3066" width="6.7109375" style="477" customWidth="1"/>
    <col min="3067" max="3067" width="7.5703125" style="477" customWidth="1"/>
    <col min="3068" max="3068" width="8.140625" style="477" customWidth="1"/>
    <col min="3069" max="3069" width="10.7109375" style="477" customWidth="1"/>
    <col min="3070" max="3070" width="6.7109375" style="477" customWidth="1"/>
    <col min="3071" max="3071" width="7.5703125" style="477" customWidth="1"/>
    <col min="3072" max="3072" width="8.140625" style="477" customWidth="1"/>
    <col min="3073" max="3073" width="10.7109375" style="477" customWidth="1"/>
    <col min="3074" max="3076" width="6.7109375" style="477" customWidth="1"/>
    <col min="3077" max="3077" width="11.42578125" style="477" customWidth="1"/>
    <col min="3078" max="3080" width="6.7109375" style="477" customWidth="1"/>
    <col min="3081" max="3081" width="11.42578125" style="477"/>
    <col min="3082" max="3082" width="1.5703125" style="477" customWidth="1"/>
    <col min="3083" max="3307" width="11.42578125" style="477"/>
    <col min="3308" max="3308" width="15.28515625" style="477" customWidth="1"/>
    <col min="3309" max="3309" width="13" style="477" bestFit="1" customWidth="1"/>
    <col min="3310" max="3310" width="6.28515625" style="477" customWidth="1"/>
    <col min="3311" max="3311" width="7.5703125" style="477" customWidth="1"/>
    <col min="3312" max="3312" width="8" style="477" customWidth="1"/>
    <col min="3313" max="3313" width="10.7109375" style="477" customWidth="1"/>
    <col min="3314" max="3314" width="6.28515625" style="477" customWidth="1"/>
    <col min="3315" max="3315" width="7.5703125" style="477" customWidth="1"/>
    <col min="3316" max="3316" width="8.140625" style="477" customWidth="1"/>
    <col min="3317" max="3317" width="10.7109375" style="477" customWidth="1"/>
    <col min="3318" max="3318" width="6.28515625" style="477" customWidth="1"/>
    <col min="3319" max="3319" width="7.5703125" style="477" customWidth="1"/>
    <col min="3320" max="3320" width="8.140625" style="477" customWidth="1"/>
    <col min="3321" max="3321" width="10.7109375" style="477" customWidth="1"/>
    <col min="3322" max="3322" width="6.7109375" style="477" customWidth="1"/>
    <col min="3323" max="3323" width="7.5703125" style="477" customWidth="1"/>
    <col min="3324" max="3324" width="8.140625" style="477" customWidth="1"/>
    <col min="3325" max="3325" width="10.7109375" style="477" customWidth="1"/>
    <col min="3326" max="3326" width="6.7109375" style="477" customWidth="1"/>
    <col min="3327" max="3327" width="7.5703125" style="477" customWidth="1"/>
    <col min="3328" max="3328" width="8.140625" style="477" customWidth="1"/>
    <col min="3329" max="3329" width="10.7109375" style="477" customWidth="1"/>
    <col min="3330" max="3332" width="6.7109375" style="477" customWidth="1"/>
    <col min="3333" max="3333" width="11.42578125" style="477" customWidth="1"/>
    <col min="3334" max="3336" width="6.7109375" style="477" customWidth="1"/>
    <col min="3337" max="3337" width="11.42578125" style="477"/>
    <col min="3338" max="3338" width="1.5703125" style="477" customWidth="1"/>
    <col min="3339" max="3563" width="11.42578125" style="477"/>
    <col min="3564" max="3564" width="15.28515625" style="477" customWidth="1"/>
    <col min="3565" max="3565" width="13" style="477" bestFit="1" customWidth="1"/>
    <col min="3566" max="3566" width="6.28515625" style="477" customWidth="1"/>
    <col min="3567" max="3567" width="7.5703125" style="477" customWidth="1"/>
    <col min="3568" max="3568" width="8" style="477" customWidth="1"/>
    <col min="3569" max="3569" width="10.7109375" style="477" customWidth="1"/>
    <col min="3570" max="3570" width="6.28515625" style="477" customWidth="1"/>
    <col min="3571" max="3571" width="7.5703125" style="477" customWidth="1"/>
    <col min="3572" max="3572" width="8.140625" style="477" customWidth="1"/>
    <col min="3573" max="3573" width="10.7109375" style="477" customWidth="1"/>
    <col min="3574" max="3574" width="6.28515625" style="477" customWidth="1"/>
    <col min="3575" max="3575" width="7.5703125" style="477" customWidth="1"/>
    <col min="3576" max="3576" width="8.140625" style="477" customWidth="1"/>
    <col min="3577" max="3577" width="10.7109375" style="477" customWidth="1"/>
    <col min="3578" max="3578" width="6.7109375" style="477" customWidth="1"/>
    <col min="3579" max="3579" width="7.5703125" style="477" customWidth="1"/>
    <col min="3580" max="3580" width="8.140625" style="477" customWidth="1"/>
    <col min="3581" max="3581" width="10.7109375" style="477" customWidth="1"/>
    <col min="3582" max="3582" width="6.7109375" style="477" customWidth="1"/>
    <col min="3583" max="3583" width="7.5703125" style="477" customWidth="1"/>
    <col min="3584" max="3584" width="8.140625" style="477" customWidth="1"/>
    <col min="3585" max="3585" width="10.7109375" style="477" customWidth="1"/>
    <col min="3586" max="3588" width="6.7109375" style="477" customWidth="1"/>
    <col min="3589" max="3589" width="11.42578125" style="477" customWidth="1"/>
    <col min="3590" max="3592" width="6.7109375" style="477" customWidth="1"/>
    <col min="3593" max="3593" width="11.42578125" style="477"/>
    <col min="3594" max="3594" width="1.5703125" style="477" customWidth="1"/>
    <col min="3595" max="3819" width="11.42578125" style="477"/>
    <col min="3820" max="3820" width="15.28515625" style="477" customWidth="1"/>
    <col min="3821" max="3821" width="13" style="477" bestFit="1" customWidth="1"/>
    <col min="3822" max="3822" width="6.28515625" style="477" customWidth="1"/>
    <col min="3823" max="3823" width="7.5703125" style="477" customWidth="1"/>
    <col min="3824" max="3824" width="8" style="477" customWidth="1"/>
    <col min="3825" max="3825" width="10.7109375" style="477" customWidth="1"/>
    <col min="3826" max="3826" width="6.28515625" style="477" customWidth="1"/>
    <col min="3827" max="3827" width="7.5703125" style="477" customWidth="1"/>
    <col min="3828" max="3828" width="8.140625" style="477" customWidth="1"/>
    <col min="3829" max="3829" width="10.7109375" style="477" customWidth="1"/>
    <col min="3830" max="3830" width="6.28515625" style="477" customWidth="1"/>
    <col min="3831" max="3831" width="7.5703125" style="477" customWidth="1"/>
    <col min="3832" max="3832" width="8.140625" style="477" customWidth="1"/>
    <col min="3833" max="3833" width="10.7109375" style="477" customWidth="1"/>
    <col min="3834" max="3834" width="6.7109375" style="477" customWidth="1"/>
    <col min="3835" max="3835" width="7.5703125" style="477" customWidth="1"/>
    <col min="3836" max="3836" width="8.140625" style="477" customWidth="1"/>
    <col min="3837" max="3837" width="10.7109375" style="477" customWidth="1"/>
    <col min="3838" max="3838" width="6.7109375" style="477" customWidth="1"/>
    <col min="3839" max="3839" width="7.5703125" style="477" customWidth="1"/>
    <col min="3840" max="3840" width="8.140625" style="477" customWidth="1"/>
    <col min="3841" max="3841" width="10.7109375" style="477" customWidth="1"/>
    <col min="3842" max="3844" width="6.7109375" style="477" customWidth="1"/>
    <col min="3845" max="3845" width="11.42578125" style="477" customWidth="1"/>
    <col min="3846" max="3848" width="6.7109375" style="477" customWidth="1"/>
    <col min="3849" max="3849" width="11.42578125" style="477"/>
    <col min="3850" max="3850" width="1.5703125" style="477" customWidth="1"/>
    <col min="3851" max="4075" width="11.42578125" style="477"/>
    <col min="4076" max="4076" width="15.28515625" style="477" customWidth="1"/>
    <col min="4077" max="4077" width="13" style="477" bestFit="1" customWidth="1"/>
    <col min="4078" max="4078" width="6.28515625" style="477" customWidth="1"/>
    <col min="4079" max="4079" width="7.5703125" style="477" customWidth="1"/>
    <col min="4080" max="4080" width="8" style="477" customWidth="1"/>
    <col min="4081" max="4081" width="10.7109375" style="477" customWidth="1"/>
    <col min="4082" max="4082" width="6.28515625" style="477" customWidth="1"/>
    <col min="4083" max="4083" width="7.5703125" style="477" customWidth="1"/>
    <col min="4084" max="4084" width="8.140625" style="477" customWidth="1"/>
    <col min="4085" max="4085" width="10.7109375" style="477" customWidth="1"/>
    <col min="4086" max="4086" width="6.28515625" style="477" customWidth="1"/>
    <col min="4087" max="4087" width="7.5703125" style="477" customWidth="1"/>
    <col min="4088" max="4088" width="8.140625" style="477" customWidth="1"/>
    <col min="4089" max="4089" width="10.7109375" style="477" customWidth="1"/>
    <col min="4090" max="4090" width="6.7109375" style="477" customWidth="1"/>
    <col min="4091" max="4091" width="7.5703125" style="477" customWidth="1"/>
    <col min="4092" max="4092" width="8.140625" style="477" customWidth="1"/>
    <col min="4093" max="4093" width="10.7109375" style="477" customWidth="1"/>
    <col min="4094" max="4094" width="6.7109375" style="477" customWidth="1"/>
    <col min="4095" max="4095" width="7.5703125" style="477" customWidth="1"/>
    <col min="4096" max="4096" width="8.140625" style="477" customWidth="1"/>
    <col min="4097" max="4097" width="10.7109375" style="477" customWidth="1"/>
    <col min="4098" max="4100" width="6.7109375" style="477" customWidth="1"/>
    <col min="4101" max="4101" width="11.42578125" style="477" customWidth="1"/>
    <col min="4102" max="4104" width="6.7109375" style="477" customWidth="1"/>
    <col min="4105" max="4105" width="11.42578125" style="477"/>
    <col min="4106" max="4106" width="1.5703125" style="477" customWidth="1"/>
    <col min="4107" max="4331" width="11.42578125" style="477"/>
    <col min="4332" max="4332" width="15.28515625" style="477" customWidth="1"/>
    <col min="4333" max="4333" width="13" style="477" bestFit="1" customWidth="1"/>
    <col min="4334" max="4334" width="6.28515625" style="477" customWidth="1"/>
    <col min="4335" max="4335" width="7.5703125" style="477" customWidth="1"/>
    <col min="4336" max="4336" width="8" style="477" customWidth="1"/>
    <col min="4337" max="4337" width="10.7109375" style="477" customWidth="1"/>
    <col min="4338" max="4338" width="6.28515625" style="477" customWidth="1"/>
    <col min="4339" max="4339" width="7.5703125" style="477" customWidth="1"/>
    <col min="4340" max="4340" width="8.140625" style="477" customWidth="1"/>
    <col min="4341" max="4341" width="10.7109375" style="477" customWidth="1"/>
    <col min="4342" max="4342" width="6.28515625" style="477" customWidth="1"/>
    <col min="4343" max="4343" width="7.5703125" style="477" customWidth="1"/>
    <col min="4344" max="4344" width="8.140625" style="477" customWidth="1"/>
    <col min="4345" max="4345" width="10.7109375" style="477" customWidth="1"/>
    <col min="4346" max="4346" width="6.7109375" style="477" customWidth="1"/>
    <col min="4347" max="4347" width="7.5703125" style="477" customWidth="1"/>
    <col min="4348" max="4348" width="8.140625" style="477" customWidth="1"/>
    <col min="4349" max="4349" width="10.7109375" style="477" customWidth="1"/>
    <col min="4350" max="4350" width="6.7109375" style="477" customWidth="1"/>
    <col min="4351" max="4351" width="7.5703125" style="477" customWidth="1"/>
    <col min="4352" max="4352" width="8.140625" style="477" customWidth="1"/>
    <col min="4353" max="4353" width="10.7109375" style="477" customWidth="1"/>
    <col min="4354" max="4356" width="6.7109375" style="477" customWidth="1"/>
    <col min="4357" max="4357" width="11.42578125" style="477" customWidth="1"/>
    <col min="4358" max="4360" width="6.7109375" style="477" customWidth="1"/>
    <col min="4361" max="4361" width="11.42578125" style="477"/>
    <col min="4362" max="4362" width="1.5703125" style="477" customWidth="1"/>
    <col min="4363" max="4587" width="11.42578125" style="477"/>
    <col min="4588" max="4588" width="15.28515625" style="477" customWidth="1"/>
    <col min="4589" max="4589" width="13" style="477" bestFit="1" customWidth="1"/>
    <col min="4590" max="4590" width="6.28515625" style="477" customWidth="1"/>
    <col min="4591" max="4591" width="7.5703125" style="477" customWidth="1"/>
    <col min="4592" max="4592" width="8" style="477" customWidth="1"/>
    <col min="4593" max="4593" width="10.7109375" style="477" customWidth="1"/>
    <col min="4594" max="4594" width="6.28515625" style="477" customWidth="1"/>
    <col min="4595" max="4595" width="7.5703125" style="477" customWidth="1"/>
    <col min="4596" max="4596" width="8.140625" style="477" customWidth="1"/>
    <col min="4597" max="4597" width="10.7109375" style="477" customWidth="1"/>
    <col min="4598" max="4598" width="6.28515625" style="477" customWidth="1"/>
    <col min="4599" max="4599" width="7.5703125" style="477" customWidth="1"/>
    <col min="4600" max="4600" width="8.140625" style="477" customWidth="1"/>
    <col min="4601" max="4601" width="10.7109375" style="477" customWidth="1"/>
    <col min="4602" max="4602" width="6.7109375" style="477" customWidth="1"/>
    <col min="4603" max="4603" width="7.5703125" style="477" customWidth="1"/>
    <col min="4604" max="4604" width="8.140625" style="477" customWidth="1"/>
    <col min="4605" max="4605" width="10.7109375" style="477" customWidth="1"/>
    <col min="4606" max="4606" width="6.7109375" style="477" customWidth="1"/>
    <col min="4607" max="4607" width="7.5703125" style="477" customWidth="1"/>
    <col min="4608" max="4608" width="8.140625" style="477" customWidth="1"/>
    <col min="4609" max="4609" width="10.7109375" style="477" customWidth="1"/>
    <col min="4610" max="4612" width="6.7109375" style="477" customWidth="1"/>
    <col min="4613" max="4613" width="11.42578125" style="477" customWidth="1"/>
    <col min="4614" max="4616" width="6.7109375" style="477" customWidth="1"/>
    <col min="4617" max="4617" width="11.42578125" style="477"/>
    <col min="4618" max="4618" width="1.5703125" style="477" customWidth="1"/>
    <col min="4619" max="4843" width="11.42578125" style="477"/>
    <col min="4844" max="4844" width="15.28515625" style="477" customWidth="1"/>
    <col min="4845" max="4845" width="13" style="477" bestFit="1" customWidth="1"/>
    <col min="4846" max="4846" width="6.28515625" style="477" customWidth="1"/>
    <col min="4847" max="4847" width="7.5703125" style="477" customWidth="1"/>
    <col min="4848" max="4848" width="8" style="477" customWidth="1"/>
    <col min="4849" max="4849" width="10.7109375" style="477" customWidth="1"/>
    <col min="4850" max="4850" width="6.28515625" style="477" customWidth="1"/>
    <col min="4851" max="4851" width="7.5703125" style="477" customWidth="1"/>
    <col min="4852" max="4852" width="8.140625" style="477" customWidth="1"/>
    <col min="4853" max="4853" width="10.7109375" style="477" customWidth="1"/>
    <col min="4854" max="4854" width="6.28515625" style="477" customWidth="1"/>
    <col min="4855" max="4855" width="7.5703125" style="477" customWidth="1"/>
    <col min="4856" max="4856" width="8.140625" style="477" customWidth="1"/>
    <col min="4857" max="4857" width="10.7109375" style="477" customWidth="1"/>
    <col min="4858" max="4858" width="6.7109375" style="477" customWidth="1"/>
    <col min="4859" max="4859" width="7.5703125" style="477" customWidth="1"/>
    <col min="4860" max="4860" width="8.140625" style="477" customWidth="1"/>
    <col min="4861" max="4861" width="10.7109375" style="477" customWidth="1"/>
    <col min="4862" max="4862" width="6.7109375" style="477" customWidth="1"/>
    <col min="4863" max="4863" width="7.5703125" style="477" customWidth="1"/>
    <col min="4864" max="4864" width="8.140625" style="477" customWidth="1"/>
    <col min="4865" max="4865" width="10.7109375" style="477" customWidth="1"/>
    <col min="4866" max="4868" width="6.7109375" style="477" customWidth="1"/>
    <col min="4869" max="4869" width="11.42578125" style="477" customWidth="1"/>
    <col min="4870" max="4872" width="6.7109375" style="477" customWidth="1"/>
    <col min="4873" max="4873" width="11.42578125" style="477"/>
    <col min="4874" max="4874" width="1.5703125" style="477" customWidth="1"/>
    <col min="4875" max="5099" width="11.42578125" style="477"/>
    <col min="5100" max="5100" width="15.28515625" style="477" customWidth="1"/>
    <col min="5101" max="5101" width="13" style="477" bestFit="1" customWidth="1"/>
    <col min="5102" max="5102" width="6.28515625" style="477" customWidth="1"/>
    <col min="5103" max="5103" width="7.5703125" style="477" customWidth="1"/>
    <col min="5104" max="5104" width="8" style="477" customWidth="1"/>
    <col min="5105" max="5105" width="10.7109375" style="477" customWidth="1"/>
    <col min="5106" max="5106" width="6.28515625" style="477" customWidth="1"/>
    <col min="5107" max="5107" width="7.5703125" style="477" customWidth="1"/>
    <col min="5108" max="5108" width="8.140625" style="477" customWidth="1"/>
    <col min="5109" max="5109" width="10.7109375" style="477" customWidth="1"/>
    <col min="5110" max="5110" width="6.28515625" style="477" customWidth="1"/>
    <col min="5111" max="5111" width="7.5703125" style="477" customWidth="1"/>
    <col min="5112" max="5112" width="8.140625" style="477" customWidth="1"/>
    <col min="5113" max="5113" width="10.7109375" style="477" customWidth="1"/>
    <col min="5114" max="5114" width="6.7109375" style="477" customWidth="1"/>
    <col min="5115" max="5115" width="7.5703125" style="477" customWidth="1"/>
    <col min="5116" max="5116" width="8.140625" style="477" customWidth="1"/>
    <col min="5117" max="5117" width="10.7109375" style="477" customWidth="1"/>
    <col min="5118" max="5118" width="6.7109375" style="477" customWidth="1"/>
    <col min="5119" max="5119" width="7.5703125" style="477" customWidth="1"/>
    <col min="5120" max="5120" width="8.140625" style="477" customWidth="1"/>
    <col min="5121" max="5121" width="10.7109375" style="477" customWidth="1"/>
    <col min="5122" max="5124" width="6.7109375" style="477" customWidth="1"/>
    <col min="5125" max="5125" width="11.42578125" style="477" customWidth="1"/>
    <col min="5126" max="5128" width="6.7109375" style="477" customWidth="1"/>
    <col min="5129" max="5129" width="11.42578125" style="477"/>
    <col min="5130" max="5130" width="1.5703125" style="477" customWidth="1"/>
    <col min="5131" max="5355" width="11.42578125" style="477"/>
    <col min="5356" max="5356" width="15.28515625" style="477" customWidth="1"/>
    <col min="5357" max="5357" width="13" style="477" bestFit="1" customWidth="1"/>
    <col min="5358" max="5358" width="6.28515625" style="477" customWidth="1"/>
    <col min="5359" max="5359" width="7.5703125" style="477" customWidth="1"/>
    <col min="5360" max="5360" width="8" style="477" customWidth="1"/>
    <col min="5361" max="5361" width="10.7109375" style="477" customWidth="1"/>
    <col min="5362" max="5362" width="6.28515625" style="477" customWidth="1"/>
    <col min="5363" max="5363" width="7.5703125" style="477" customWidth="1"/>
    <col min="5364" max="5364" width="8.140625" style="477" customWidth="1"/>
    <col min="5365" max="5365" width="10.7109375" style="477" customWidth="1"/>
    <col min="5366" max="5366" width="6.28515625" style="477" customWidth="1"/>
    <col min="5367" max="5367" width="7.5703125" style="477" customWidth="1"/>
    <col min="5368" max="5368" width="8.140625" style="477" customWidth="1"/>
    <col min="5369" max="5369" width="10.7109375" style="477" customWidth="1"/>
    <col min="5370" max="5370" width="6.7109375" style="477" customWidth="1"/>
    <col min="5371" max="5371" width="7.5703125" style="477" customWidth="1"/>
    <col min="5372" max="5372" width="8.140625" style="477" customWidth="1"/>
    <col min="5373" max="5373" width="10.7109375" style="477" customWidth="1"/>
    <col min="5374" max="5374" width="6.7109375" style="477" customWidth="1"/>
    <col min="5375" max="5375" width="7.5703125" style="477" customWidth="1"/>
    <col min="5376" max="5376" width="8.140625" style="477" customWidth="1"/>
    <col min="5377" max="5377" width="10.7109375" style="477" customWidth="1"/>
    <col min="5378" max="5380" width="6.7109375" style="477" customWidth="1"/>
    <col min="5381" max="5381" width="11.42578125" style="477" customWidth="1"/>
    <col min="5382" max="5384" width="6.7109375" style="477" customWidth="1"/>
    <col min="5385" max="5385" width="11.42578125" style="477"/>
    <col min="5386" max="5386" width="1.5703125" style="477" customWidth="1"/>
    <col min="5387" max="5611" width="11.42578125" style="477"/>
    <col min="5612" max="5612" width="15.28515625" style="477" customWidth="1"/>
    <col min="5613" max="5613" width="13" style="477" bestFit="1" customWidth="1"/>
    <col min="5614" max="5614" width="6.28515625" style="477" customWidth="1"/>
    <col min="5615" max="5615" width="7.5703125" style="477" customWidth="1"/>
    <col min="5616" max="5616" width="8" style="477" customWidth="1"/>
    <col min="5617" max="5617" width="10.7109375" style="477" customWidth="1"/>
    <col min="5618" max="5618" width="6.28515625" style="477" customWidth="1"/>
    <col min="5619" max="5619" width="7.5703125" style="477" customWidth="1"/>
    <col min="5620" max="5620" width="8.140625" style="477" customWidth="1"/>
    <col min="5621" max="5621" width="10.7109375" style="477" customWidth="1"/>
    <col min="5622" max="5622" width="6.28515625" style="477" customWidth="1"/>
    <col min="5623" max="5623" width="7.5703125" style="477" customWidth="1"/>
    <col min="5624" max="5624" width="8.140625" style="477" customWidth="1"/>
    <col min="5625" max="5625" width="10.7109375" style="477" customWidth="1"/>
    <col min="5626" max="5626" width="6.7109375" style="477" customWidth="1"/>
    <col min="5627" max="5627" width="7.5703125" style="477" customWidth="1"/>
    <col min="5628" max="5628" width="8.140625" style="477" customWidth="1"/>
    <col min="5629" max="5629" width="10.7109375" style="477" customWidth="1"/>
    <col min="5630" max="5630" width="6.7109375" style="477" customWidth="1"/>
    <col min="5631" max="5631" width="7.5703125" style="477" customWidth="1"/>
    <col min="5632" max="5632" width="8.140625" style="477" customWidth="1"/>
    <col min="5633" max="5633" width="10.7109375" style="477" customWidth="1"/>
    <col min="5634" max="5636" width="6.7109375" style="477" customWidth="1"/>
    <col min="5637" max="5637" width="11.42578125" style="477" customWidth="1"/>
    <col min="5638" max="5640" width="6.7109375" style="477" customWidth="1"/>
    <col min="5641" max="5641" width="11.42578125" style="477"/>
    <col min="5642" max="5642" width="1.5703125" style="477" customWidth="1"/>
    <col min="5643" max="5867" width="11.42578125" style="477"/>
    <col min="5868" max="5868" width="15.28515625" style="477" customWidth="1"/>
    <col min="5869" max="5869" width="13" style="477" bestFit="1" customWidth="1"/>
    <col min="5870" max="5870" width="6.28515625" style="477" customWidth="1"/>
    <col min="5871" max="5871" width="7.5703125" style="477" customWidth="1"/>
    <col min="5872" max="5872" width="8" style="477" customWidth="1"/>
    <col min="5873" max="5873" width="10.7109375" style="477" customWidth="1"/>
    <col min="5874" max="5874" width="6.28515625" style="477" customWidth="1"/>
    <col min="5875" max="5875" width="7.5703125" style="477" customWidth="1"/>
    <col min="5876" max="5876" width="8.140625" style="477" customWidth="1"/>
    <col min="5877" max="5877" width="10.7109375" style="477" customWidth="1"/>
    <col min="5878" max="5878" width="6.28515625" style="477" customWidth="1"/>
    <col min="5879" max="5879" width="7.5703125" style="477" customWidth="1"/>
    <col min="5880" max="5880" width="8.140625" style="477" customWidth="1"/>
    <col min="5881" max="5881" width="10.7109375" style="477" customWidth="1"/>
    <col min="5882" max="5882" width="6.7109375" style="477" customWidth="1"/>
    <col min="5883" max="5883" width="7.5703125" style="477" customWidth="1"/>
    <col min="5884" max="5884" width="8.140625" style="477" customWidth="1"/>
    <col min="5885" max="5885" width="10.7109375" style="477" customWidth="1"/>
    <col min="5886" max="5886" width="6.7109375" style="477" customWidth="1"/>
    <col min="5887" max="5887" width="7.5703125" style="477" customWidth="1"/>
    <col min="5888" max="5888" width="8.140625" style="477" customWidth="1"/>
    <col min="5889" max="5889" width="10.7109375" style="477" customWidth="1"/>
    <col min="5890" max="5892" width="6.7109375" style="477" customWidth="1"/>
    <col min="5893" max="5893" width="11.42578125" style="477" customWidth="1"/>
    <col min="5894" max="5896" width="6.7109375" style="477" customWidth="1"/>
    <col min="5897" max="5897" width="11.42578125" style="477"/>
    <col min="5898" max="5898" width="1.5703125" style="477" customWidth="1"/>
    <col min="5899" max="6123" width="11.42578125" style="477"/>
    <col min="6124" max="6124" width="15.28515625" style="477" customWidth="1"/>
    <col min="6125" max="6125" width="13" style="477" bestFit="1" customWidth="1"/>
    <col min="6126" max="6126" width="6.28515625" style="477" customWidth="1"/>
    <col min="6127" max="6127" width="7.5703125" style="477" customWidth="1"/>
    <col min="6128" max="6128" width="8" style="477" customWidth="1"/>
    <col min="6129" max="6129" width="10.7109375" style="477" customWidth="1"/>
    <col min="6130" max="6130" width="6.28515625" style="477" customWidth="1"/>
    <col min="6131" max="6131" width="7.5703125" style="477" customWidth="1"/>
    <col min="6132" max="6132" width="8.140625" style="477" customWidth="1"/>
    <col min="6133" max="6133" width="10.7109375" style="477" customWidth="1"/>
    <col min="6134" max="6134" width="6.28515625" style="477" customWidth="1"/>
    <col min="6135" max="6135" width="7.5703125" style="477" customWidth="1"/>
    <col min="6136" max="6136" width="8.140625" style="477" customWidth="1"/>
    <col min="6137" max="6137" width="10.7109375" style="477" customWidth="1"/>
    <col min="6138" max="6138" width="6.7109375" style="477" customWidth="1"/>
    <col min="6139" max="6139" width="7.5703125" style="477" customWidth="1"/>
    <col min="6140" max="6140" width="8.140625" style="477" customWidth="1"/>
    <col min="6141" max="6141" width="10.7109375" style="477" customWidth="1"/>
    <col min="6142" max="6142" width="6.7109375" style="477" customWidth="1"/>
    <col min="6143" max="6143" width="7.5703125" style="477" customWidth="1"/>
    <col min="6144" max="6144" width="8.140625" style="477" customWidth="1"/>
    <col min="6145" max="6145" width="10.7109375" style="477" customWidth="1"/>
    <col min="6146" max="6148" width="6.7109375" style="477" customWidth="1"/>
    <col min="6149" max="6149" width="11.42578125" style="477" customWidth="1"/>
    <col min="6150" max="6152" width="6.7109375" style="477" customWidth="1"/>
    <col min="6153" max="6153" width="11.42578125" style="477"/>
    <col min="6154" max="6154" width="1.5703125" style="477" customWidth="1"/>
    <col min="6155" max="6379" width="11.42578125" style="477"/>
    <col min="6380" max="6380" width="15.28515625" style="477" customWidth="1"/>
    <col min="6381" max="6381" width="13" style="477" bestFit="1" customWidth="1"/>
    <col min="6382" max="6382" width="6.28515625" style="477" customWidth="1"/>
    <col min="6383" max="6383" width="7.5703125" style="477" customWidth="1"/>
    <col min="6384" max="6384" width="8" style="477" customWidth="1"/>
    <col min="6385" max="6385" width="10.7109375" style="477" customWidth="1"/>
    <col min="6386" max="6386" width="6.28515625" style="477" customWidth="1"/>
    <col min="6387" max="6387" width="7.5703125" style="477" customWidth="1"/>
    <col min="6388" max="6388" width="8.140625" style="477" customWidth="1"/>
    <col min="6389" max="6389" width="10.7109375" style="477" customWidth="1"/>
    <col min="6390" max="6390" width="6.28515625" style="477" customWidth="1"/>
    <col min="6391" max="6391" width="7.5703125" style="477" customWidth="1"/>
    <col min="6392" max="6392" width="8.140625" style="477" customWidth="1"/>
    <col min="6393" max="6393" width="10.7109375" style="477" customWidth="1"/>
    <col min="6394" max="6394" width="6.7109375" style="477" customWidth="1"/>
    <col min="6395" max="6395" width="7.5703125" style="477" customWidth="1"/>
    <col min="6396" max="6396" width="8.140625" style="477" customWidth="1"/>
    <col min="6397" max="6397" width="10.7109375" style="477" customWidth="1"/>
    <col min="6398" max="6398" width="6.7109375" style="477" customWidth="1"/>
    <col min="6399" max="6399" width="7.5703125" style="477" customWidth="1"/>
    <col min="6400" max="6400" width="8.140625" style="477" customWidth="1"/>
    <col min="6401" max="6401" width="10.7109375" style="477" customWidth="1"/>
    <col min="6402" max="6404" width="6.7109375" style="477" customWidth="1"/>
    <col min="6405" max="6405" width="11.42578125" style="477" customWidth="1"/>
    <col min="6406" max="6408" width="6.7109375" style="477" customWidth="1"/>
    <col min="6409" max="6409" width="11.42578125" style="477"/>
    <col min="6410" max="6410" width="1.5703125" style="477" customWidth="1"/>
    <col min="6411" max="6635" width="11.42578125" style="477"/>
    <col min="6636" max="6636" width="15.28515625" style="477" customWidth="1"/>
    <col min="6637" max="6637" width="13" style="477" bestFit="1" customWidth="1"/>
    <col min="6638" max="6638" width="6.28515625" style="477" customWidth="1"/>
    <col min="6639" max="6639" width="7.5703125" style="477" customWidth="1"/>
    <col min="6640" max="6640" width="8" style="477" customWidth="1"/>
    <col min="6641" max="6641" width="10.7109375" style="477" customWidth="1"/>
    <col min="6642" max="6642" width="6.28515625" style="477" customWidth="1"/>
    <col min="6643" max="6643" width="7.5703125" style="477" customWidth="1"/>
    <col min="6644" max="6644" width="8.140625" style="477" customWidth="1"/>
    <col min="6645" max="6645" width="10.7109375" style="477" customWidth="1"/>
    <col min="6646" max="6646" width="6.28515625" style="477" customWidth="1"/>
    <col min="6647" max="6647" width="7.5703125" style="477" customWidth="1"/>
    <col min="6648" max="6648" width="8.140625" style="477" customWidth="1"/>
    <col min="6649" max="6649" width="10.7109375" style="477" customWidth="1"/>
    <col min="6650" max="6650" width="6.7109375" style="477" customWidth="1"/>
    <col min="6651" max="6651" width="7.5703125" style="477" customWidth="1"/>
    <col min="6652" max="6652" width="8.140625" style="477" customWidth="1"/>
    <col min="6653" max="6653" width="10.7109375" style="477" customWidth="1"/>
    <col min="6654" max="6654" width="6.7109375" style="477" customWidth="1"/>
    <col min="6655" max="6655" width="7.5703125" style="477" customWidth="1"/>
    <col min="6656" max="6656" width="8.140625" style="477" customWidth="1"/>
    <col min="6657" max="6657" width="10.7109375" style="477" customWidth="1"/>
    <col min="6658" max="6660" width="6.7109375" style="477" customWidth="1"/>
    <col min="6661" max="6661" width="11.42578125" style="477" customWidth="1"/>
    <col min="6662" max="6664" width="6.7109375" style="477" customWidth="1"/>
    <col min="6665" max="6665" width="11.42578125" style="477"/>
    <col min="6666" max="6666" width="1.5703125" style="477" customWidth="1"/>
    <col min="6667" max="6891" width="11.42578125" style="477"/>
    <col min="6892" max="6892" width="15.28515625" style="477" customWidth="1"/>
    <col min="6893" max="6893" width="13" style="477" bestFit="1" customWidth="1"/>
    <col min="6894" max="6894" width="6.28515625" style="477" customWidth="1"/>
    <col min="6895" max="6895" width="7.5703125" style="477" customWidth="1"/>
    <col min="6896" max="6896" width="8" style="477" customWidth="1"/>
    <col min="6897" max="6897" width="10.7109375" style="477" customWidth="1"/>
    <col min="6898" max="6898" width="6.28515625" style="477" customWidth="1"/>
    <col min="6899" max="6899" width="7.5703125" style="477" customWidth="1"/>
    <col min="6900" max="6900" width="8.140625" style="477" customWidth="1"/>
    <col min="6901" max="6901" width="10.7109375" style="477" customWidth="1"/>
    <col min="6902" max="6902" width="6.28515625" style="477" customWidth="1"/>
    <col min="6903" max="6903" width="7.5703125" style="477" customWidth="1"/>
    <col min="6904" max="6904" width="8.140625" style="477" customWidth="1"/>
    <col min="6905" max="6905" width="10.7109375" style="477" customWidth="1"/>
    <col min="6906" max="6906" width="6.7109375" style="477" customWidth="1"/>
    <col min="6907" max="6907" width="7.5703125" style="477" customWidth="1"/>
    <col min="6908" max="6908" width="8.140625" style="477" customWidth="1"/>
    <col min="6909" max="6909" width="10.7109375" style="477" customWidth="1"/>
    <col min="6910" max="6910" width="6.7109375" style="477" customWidth="1"/>
    <col min="6911" max="6911" width="7.5703125" style="477" customWidth="1"/>
    <col min="6912" max="6912" width="8.140625" style="477" customWidth="1"/>
    <col min="6913" max="6913" width="10.7109375" style="477" customWidth="1"/>
    <col min="6914" max="6916" width="6.7109375" style="477" customWidth="1"/>
    <col min="6917" max="6917" width="11.42578125" style="477" customWidth="1"/>
    <col min="6918" max="6920" width="6.7109375" style="477" customWidth="1"/>
    <col min="6921" max="6921" width="11.42578125" style="477"/>
    <col min="6922" max="6922" width="1.5703125" style="477" customWidth="1"/>
    <col min="6923" max="7147" width="11.42578125" style="477"/>
    <col min="7148" max="7148" width="15.28515625" style="477" customWidth="1"/>
    <col min="7149" max="7149" width="13" style="477" bestFit="1" customWidth="1"/>
    <col min="7150" max="7150" width="6.28515625" style="477" customWidth="1"/>
    <col min="7151" max="7151" width="7.5703125" style="477" customWidth="1"/>
    <col min="7152" max="7152" width="8" style="477" customWidth="1"/>
    <col min="7153" max="7153" width="10.7109375" style="477" customWidth="1"/>
    <col min="7154" max="7154" width="6.28515625" style="477" customWidth="1"/>
    <col min="7155" max="7155" width="7.5703125" style="477" customWidth="1"/>
    <col min="7156" max="7156" width="8.140625" style="477" customWidth="1"/>
    <col min="7157" max="7157" width="10.7109375" style="477" customWidth="1"/>
    <col min="7158" max="7158" width="6.28515625" style="477" customWidth="1"/>
    <col min="7159" max="7159" width="7.5703125" style="477" customWidth="1"/>
    <col min="7160" max="7160" width="8.140625" style="477" customWidth="1"/>
    <col min="7161" max="7161" width="10.7109375" style="477" customWidth="1"/>
    <col min="7162" max="7162" width="6.7109375" style="477" customWidth="1"/>
    <col min="7163" max="7163" width="7.5703125" style="477" customWidth="1"/>
    <col min="7164" max="7164" width="8.140625" style="477" customWidth="1"/>
    <col min="7165" max="7165" width="10.7109375" style="477" customWidth="1"/>
    <col min="7166" max="7166" width="6.7109375" style="477" customWidth="1"/>
    <col min="7167" max="7167" width="7.5703125" style="477" customWidth="1"/>
    <col min="7168" max="7168" width="8.140625" style="477" customWidth="1"/>
    <col min="7169" max="7169" width="10.7109375" style="477" customWidth="1"/>
    <col min="7170" max="7172" width="6.7109375" style="477" customWidth="1"/>
    <col min="7173" max="7173" width="11.42578125" style="477" customWidth="1"/>
    <col min="7174" max="7176" width="6.7109375" style="477" customWidth="1"/>
    <col min="7177" max="7177" width="11.42578125" style="477"/>
    <col min="7178" max="7178" width="1.5703125" style="477" customWidth="1"/>
    <col min="7179" max="7403" width="11.42578125" style="477"/>
    <col min="7404" max="7404" width="15.28515625" style="477" customWidth="1"/>
    <col min="7405" max="7405" width="13" style="477" bestFit="1" customWidth="1"/>
    <col min="7406" max="7406" width="6.28515625" style="477" customWidth="1"/>
    <col min="7407" max="7407" width="7.5703125" style="477" customWidth="1"/>
    <col min="7408" max="7408" width="8" style="477" customWidth="1"/>
    <col min="7409" max="7409" width="10.7109375" style="477" customWidth="1"/>
    <col min="7410" max="7410" width="6.28515625" style="477" customWidth="1"/>
    <col min="7411" max="7411" width="7.5703125" style="477" customWidth="1"/>
    <col min="7412" max="7412" width="8.140625" style="477" customWidth="1"/>
    <col min="7413" max="7413" width="10.7109375" style="477" customWidth="1"/>
    <col min="7414" max="7414" width="6.28515625" style="477" customWidth="1"/>
    <col min="7415" max="7415" width="7.5703125" style="477" customWidth="1"/>
    <col min="7416" max="7416" width="8.140625" style="477" customWidth="1"/>
    <col min="7417" max="7417" width="10.7109375" style="477" customWidth="1"/>
    <col min="7418" max="7418" width="6.7109375" style="477" customWidth="1"/>
    <col min="7419" max="7419" width="7.5703125" style="477" customWidth="1"/>
    <col min="7420" max="7420" width="8.140625" style="477" customWidth="1"/>
    <col min="7421" max="7421" width="10.7109375" style="477" customWidth="1"/>
    <col min="7422" max="7422" width="6.7109375" style="477" customWidth="1"/>
    <col min="7423" max="7423" width="7.5703125" style="477" customWidth="1"/>
    <col min="7424" max="7424" width="8.140625" style="477" customWidth="1"/>
    <col min="7425" max="7425" width="10.7109375" style="477" customWidth="1"/>
    <col min="7426" max="7428" width="6.7109375" style="477" customWidth="1"/>
    <col min="7429" max="7429" width="11.42578125" style="477" customWidth="1"/>
    <col min="7430" max="7432" width="6.7109375" style="477" customWidth="1"/>
    <col min="7433" max="7433" width="11.42578125" style="477"/>
    <col min="7434" max="7434" width="1.5703125" style="477" customWidth="1"/>
    <col min="7435" max="7659" width="11.42578125" style="477"/>
    <col min="7660" max="7660" width="15.28515625" style="477" customWidth="1"/>
    <col min="7661" max="7661" width="13" style="477" bestFit="1" customWidth="1"/>
    <col min="7662" max="7662" width="6.28515625" style="477" customWidth="1"/>
    <col min="7663" max="7663" width="7.5703125" style="477" customWidth="1"/>
    <col min="7664" max="7664" width="8" style="477" customWidth="1"/>
    <col min="7665" max="7665" width="10.7109375" style="477" customWidth="1"/>
    <col min="7666" max="7666" width="6.28515625" style="477" customWidth="1"/>
    <col min="7667" max="7667" width="7.5703125" style="477" customWidth="1"/>
    <col min="7668" max="7668" width="8.140625" style="477" customWidth="1"/>
    <col min="7669" max="7669" width="10.7109375" style="477" customWidth="1"/>
    <col min="7670" max="7670" width="6.28515625" style="477" customWidth="1"/>
    <col min="7671" max="7671" width="7.5703125" style="477" customWidth="1"/>
    <col min="7672" max="7672" width="8.140625" style="477" customWidth="1"/>
    <col min="7673" max="7673" width="10.7109375" style="477" customWidth="1"/>
    <col min="7674" max="7674" width="6.7109375" style="477" customWidth="1"/>
    <col min="7675" max="7675" width="7.5703125" style="477" customWidth="1"/>
    <col min="7676" max="7676" width="8.140625" style="477" customWidth="1"/>
    <col min="7677" max="7677" width="10.7109375" style="477" customWidth="1"/>
    <col min="7678" max="7678" width="6.7109375" style="477" customWidth="1"/>
    <col min="7679" max="7679" width="7.5703125" style="477" customWidth="1"/>
    <col min="7680" max="7680" width="8.140625" style="477" customWidth="1"/>
    <col min="7681" max="7681" width="10.7109375" style="477" customWidth="1"/>
    <col min="7682" max="7684" width="6.7109375" style="477" customWidth="1"/>
    <col min="7685" max="7685" width="11.42578125" style="477" customWidth="1"/>
    <col min="7686" max="7688" width="6.7109375" style="477" customWidth="1"/>
    <col min="7689" max="7689" width="11.42578125" style="477"/>
    <col min="7690" max="7690" width="1.5703125" style="477" customWidth="1"/>
    <col min="7691" max="7915" width="11.42578125" style="477"/>
    <col min="7916" max="7916" width="15.28515625" style="477" customWidth="1"/>
    <col min="7917" max="7917" width="13" style="477" bestFit="1" customWidth="1"/>
    <col min="7918" max="7918" width="6.28515625" style="477" customWidth="1"/>
    <col min="7919" max="7919" width="7.5703125" style="477" customWidth="1"/>
    <col min="7920" max="7920" width="8" style="477" customWidth="1"/>
    <col min="7921" max="7921" width="10.7109375" style="477" customWidth="1"/>
    <col min="7922" max="7922" width="6.28515625" style="477" customWidth="1"/>
    <col min="7923" max="7923" width="7.5703125" style="477" customWidth="1"/>
    <col min="7924" max="7924" width="8.140625" style="477" customWidth="1"/>
    <col min="7925" max="7925" width="10.7109375" style="477" customWidth="1"/>
    <col min="7926" max="7926" width="6.28515625" style="477" customWidth="1"/>
    <col min="7927" max="7927" width="7.5703125" style="477" customWidth="1"/>
    <col min="7928" max="7928" width="8.140625" style="477" customWidth="1"/>
    <col min="7929" max="7929" width="10.7109375" style="477" customWidth="1"/>
    <col min="7930" max="7930" width="6.7109375" style="477" customWidth="1"/>
    <col min="7931" max="7931" width="7.5703125" style="477" customWidth="1"/>
    <col min="7932" max="7932" width="8.140625" style="477" customWidth="1"/>
    <col min="7933" max="7933" width="10.7109375" style="477" customWidth="1"/>
    <col min="7934" max="7934" width="6.7109375" style="477" customWidth="1"/>
    <col min="7935" max="7935" width="7.5703125" style="477" customWidth="1"/>
    <col min="7936" max="7936" width="8.140625" style="477" customWidth="1"/>
    <col min="7937" max="7937" width="10.7109375" style="477" customWidth="1"/>
    <col min="7938" max="7940" width="6.7109375" style="477" customWidth="1"/>
    <col min="7941" max="7941" width="11.42578125" style="477" customWidth="1"/>
    <col min="7942" max="7944" width="6.7109375" style="477" customWidth="1"/>
    <col min="7945" max="7945" width="11.42578125" style="477"/>
    <col min="7946" max="7946" width="1.5703125" style="477" customWidth="1"/>
    <col min="7947" max="8171" width="11.42578125" style="477"/>
    <col min="8172" max="8172" width="15.28515625" style="477" customWidth="1"/>
    <col min="8173" max="8173" width="13" style="477" bestFit="1" customWidth="1"/>
    <col min="8174" max="8174" width="6.28515625" style="477" customWidth="1"/>
    <col min="8175" max="8175" width="7.5703125" style="477" customWidth="1"/>
    <col min="8176" max="8176" width="8" style="477" customWidth="1"/>
    <col min="8177" max="8177" width="10.7109375" style="477" customWidth="1"/>
    <col min="8178" max="8178" width="6.28515625" style="477" customWidth="1"/>
    <col min="8179" max="8179" width="7.5703125" style="477" customWidth="1"/>
    <col min="8180" max="8180" width="8.140625" style="477" customWidth="1"/>
    <col min="8181" max="8181" width="10.7109375" style="477" customWidth="1"/>
    <col min="8182" max="8182" width="6.28515625" style="477" customWidth="1"/>
    <col min="8183" max="8183" width="7.5703125" style="477" customWidth="1"/>
    <col min="8184" max="8184" width="8.140625" style="477" customWidth="1"/>
    <col min="8185" max="8185" width="10.7109375" style="477" customWidth="1"/>
    <col min="8186" max="8186" width="6.7109375" style="477" customWidth="1"/>
    <col min="8187" max="8187" width="7.5703125" style="477" customWidth="1"/>
    <col min="8188" max="8188" width="8.140625" style="477" customWidth="1"/>
    <col min="8189" max="8189" width="10.7109375" style="477" customWidth="1"/>
    <col min="8190" max="8190" width="6.7109375" style="477" customWidth="1"/>
    <col min="8191" max="8191" width="7.5703125" style="477" customWidth="1"/>
    <col min="8192" max="8192" width="8.140625" style="477" customWidth="1"/>
    <col min="8193" max="8193" width="10.7109375" style="477" customWidth="1"/>
    <col min="8194" max="8196" width="6.7109375" style="477" customWidth="1"/>
    <col min="8197" max="8197" width="11.42578125" style="477" customWidth="1"/>
    <col min="8198" max="8200" width="6.7109375" style="477" customWidth="1"/>
    <col min="8201" max="8201" width="11.42578125" style="477"/>
    <col min="8202" max="8202" width="1.5703125" style="477" customWidth="1"/>
    <col min="8203" max="8427" width="11.42578125" style="477"/>
    <col min="8428" max="8428" width="15.28515625" style="477" customWidth="1"/>
    <col min="8429" max="8429" width="13" style="477" bestFit="1" customWidth="1"/>
    <col min="8430" max="8430" width="6.28515625" style="477" customWidth="1"/>
    <col min="8431" max="8431" width="7.5703125" style="477" customWidth="1"/>
    <col min="8432" max="8432" width="8" style="477" customWidth="1"/>
    <col min="8433" max="8433" width="10.7109375" style="477" customWidth="1"/>
    <col min="8434" max="8434" width="6.28515625" style="477" customWidth="1"/>
    <col min="8435" max="8435" width="7.5703125" style="477" customWidth="1"/>
    <col min="8436" max="8436" width="8.140625" style="477" customWidth="1"/>
    <col min="8437" max="8437" width="10.7109375" style="477" customWidth="1"/>
    <col min="8438" max="8438" width="6.28515625" style="477" customWidth="1"/>
    <col min="8439" max="8439" width="7.5703125" style="477" customWidth="1"/>
    <col min="8440" max="8440" width="8.140625" style="477" customWidth="1"/>
    <col min="8441" max="8441" width="10.7109375" style="477" customWidth="1"/>
    <col min="8442" max="8442" width="6.7109375" style="477" customWidth="1"/>
    <col min="8443" max="8443" width="7.5703125" style="477" customWidth="1"/>
    <col min="8444" max="8444" width="8.140625" style="477" customWidth="1"/>
    <col min="8445" max="8445" width="10.7109375" style="477" customWidth="1"/>
    <col min="8446" max="8446" width="6.7109375" style="477" customWidth="1"/>
    <col min="8447" max="8447" width="7.5703125" style="477" customWidth="1"/>
    <col min="8448" max="8448" width="8.140625" style="477" customWidth="1"/>
    <col min="8449" max="8449" width="10.7109375" style="477" customWidth="1"/>
    <col min="8450" max="8452" width="6.7109375" style="477" customWidth="1"/>
    <col min="8453" max="8453" width="11.42578125" style="477" customWidth="1"/>
    <col min="8454" max="8456" width="6.7109375" style="477" customWidth="1"/>
    <col min="8457" max="8457" width="11.42578125" style="477"/>
    <col min="8458" max="8458" width="1.5703125" style="477" customWidth="1"/>
    <col min="8459" max="8683" width="11.42578125" style="477"/>
    <col min="8684" max="8684" width="15.28515625" style="477" customWidth="1"/>
    <col min="8685" max="8685" width="13" style="477" bestFit="1" customWidth="1"/>
    <col min="8686" max="8686" width="6.28515625" style="477" customWidth="1"/>
    <col min="8687" max="8687" width="7.5703125" style="477" customWidth="1"/>
    <col min="8688" max="8688" width="8" style="477" customWidth="1"/>
    <col min="8689" max="8689" width="10.7109375" style="477" customWidth="1"/>
    <col min="8690" max="8690" width="6.28515625" style="477" customWidth="1"/>
    <col min="8691" max="8691" width="7.5703125" style="477" customWidth="1"/>
    <col min="8692" max="8692" width="8.140625" style="477" customWidth="1"/>
    <col min="8693" max="8693" width="10.7109375" style="477" customWidth="1"/>
    <col min="8694" max="8694" width="6.28515625" style="477" customWidth="1"/>
    <col min="8695" max="8695" width="7.5703125" style="477" customWidth="1"/>
    <col min="8696" max="8696" width="8.140625" style="477" customWidth="1"/>
    <col min="8697" max="8697" width="10.7109375" style="477" customWidth="1"/>
    <col min="8698" max="8698" width="6.7109375" style="477" customWidth="1"/>
    <col min="8699" max="8699" width="7.5703125" style="477" customWidth="1"/>
    <col min="8700" max="8700" width="8.140625" style="477" customWidth="1"/>
    <col min="8701" max="8701" width="10.7109375" style="477" customWidth="1"/>
    <col min="8702" max="8702" width="6.7109375" style="477" customWidth="1"/>
    <col min="8703" max="8703" width="7.5703125" style="477" customWidth="1"/>
    <col min="8704" max="8704" width="8.140625" style="477" customWidth="1"/>
    <col min="8705" max="8705" width="10.7109375" style="477" customWidth="1"/>
    <col min="8706" max="8708" width="6.7109375" style="477" customWidth="1"/>
    <col min="8709" max="8709" width="11.42578125" style="477" customWidth="1"/>
    <col min="8710" max="8712" width="6.7109375" style="477" customWidth="1"/>
    <col min="8713" max="8713" width="11.42578125" style="477"/>
    <col min="8714" max="8714" width="1.5703125" style="477" customWidth="1"/>
    <col min="8715" max="8939" width="11.42578125" style="477"/>
    <col min="8940" max="8940" width="15.28515625" style="477" customWidth="1"/>
    <col min="8941" max="8941" width="13" style="477" bestFit="1" customWidth="1"/>
    <col min="8942" max="8942" width="6.28515625" style="477" customWidth="1"/>
    <col min="8943" max="8943" width="7.5703125" style="477" customWidth="1"/>
    <col min="8944" max="8944" width="8" style="477" customWidth="1"/>
    <col min="8945" max="8945" width="10.7109375" style="477" customWidth="1"/>
    <col min="8946" max="8946" width="6.28515625" style="477" customWidth="1"/>
    <col min="8947" max="8947" width="7.5703125" style="477" customWidth="1"/>
    <col min="8948" max="8948" width="8.140625" style="477" customWidth="1"/>
    <col min="8949" max="8949" width="10.7109375" style="477" customWidth="1"/>
    <col min="8950" max="8950" width="6.28515625" style="477" customWidth="1"/>
    <col min="8951" max="8951" width="7.5703125" style="477" customWidth="1"/>
    <col min="8952" max="8952" width="8.140625" style="477" customWidth="1"/>
    <col min="8953" max="8953" width="10.7109375" style="477" customWidth="1"/>
    <col min="8954" max="8954" width="6.7109375" style="477" customWidth="1"/>
    <col min="8955" max="8955" width="7.5703125" style="477" customWidth="1"/>
    <col min="8956" max="8956" width="8.140625" style="477" customWidth="1"/>
    <col min="8957" max="8957" width="10.7109375" style="477" customWidth="1"/>
    <col min="8958" max="8958" width="6.7109375" style="477" customWidth="1"/>
    <col min="8959" max="8959" width="7.5703125" style="477" customWidth="1"/>
    <col min="8960" max="8960" width="8.140625" style="477" customWidth="1"/>
    <col min="8961" max="8961" width="10.7109375" style="477" customWidth="1"/>
    <col min="8962" max="8964" width="6.7109375" style="477" customWidth="1"/>
    <col min="8965" max="8965" width="11.42578125" style="477" customWidth="1"/>
    <col min="8966" max="8968" width="6.7109375" style="477" customWidth="1"/>
    <col min="8969" max="8969" width="11.42578125" style="477"/>
    <col min="8970" max="8970" width="1.5703125" style="477" customWidth="1"/>
    <col min="8971" max="9195" width="11.42578125" style="477"/>
    <col min="9196" max="9196" width="15.28515625" style="477" customWidth="1"/>
    <col min="9197" max="9197" width="13" style="477" bestFit="1" customWidth="1"/>
    <col min="9198" max="9198" width="6.28515625" style="477" customWidth="1"/>
    <col min="9199" max="9199" width="7.5703125" style="477" customWidth="1"/>
    <col min="9200" max="9200" width="8" style="477" customWidth="1"/>
    <col min="9201" max="9201" width="10.7109375" style="477" customWidth="1"/>
    <col min="9202" max="9202" width="6.28515625" style="477" customWidth="1"/>
    <col min="9203" max="9203" width="7.5703125" style="477" customWidth="1"/>
    <col min="9204" max="9204" width="8.140625" style="477" customWidth="1"/>
    <col min="9205" max="9205" width="10.7109375" style="477" customWidth="1"/>
    <col min="9206" max="9206" width="6.28515625" style="477" customWidth="1"/>
    <col min="9207" max="9207" width="7.5703125" style="477" customWidth="1"/>
    <col min="9208" max="9208" width="8.140625" style="477" customWidth="1"/>
    <col min="9209" max="9209" width="10.7109375" style="477" customWidth="1"/>
    <col min="9210" max="9210" width="6.7109375" style="477" customWidth="1"/>
    <col min="9211" max="9211" width="7.5703125" style="477" customWidth="1"/>
    <col min="9212" max="9212" width="8.140625" style="477" customWidth="1"/>
    <col min="9213" max="9213" width="10.7109375" style="477" customWidth="1"/>
    <col min="9214" max="9214" width="6.7109375" style="477" customWidth="1"/>
    <col min="9215" max="9215" width="7.5703125" style="477" customWidth="1"/>
    <col min="9216" max="9216" width="8.140625" style="477" customWidth="1"/>
    <col min="9217" max="9217" width="10.7109375" style="477" customWidth="1"/>
    <col min="9218" max="9220" width="6.7109375" style="477" customWidth="1"/>
    <col min="9221" max="9221" width="11.42578125" style="477" customWidth="1"/>
    <col min="9222" max="9224" width="6.7109375" style="477" customWidth="1"/>
    <col min="9225" max="9225" width="11.42578125" style="477"/>
    <col min="9226" max="9226" width="1.5703125" style="477" customWidth="1"/>
    <col min="9227" max="9451" width="11.42578125" style="477"/>
    <col min="9452" max="9452" width="15.28515625" style="477" customWidth="1"/>
    <col min="9453" max="9453" width="13" style="477" bestFit="1" customWidth="1"/>
    <col min="9454" max="9454" width="6.28515625" style="477" customWidth="1"/>
    <col min="9455" max="9455" width="7.5703125" style="477" customWidth="1"/>
    <col min="9456" max="9456" width="8" style="477" customWidth="1"/>
    <col min="9457" max="9457" width="10.7109375" style="477" customWidth="1"/>
    <col min="9458" max="9458" width="6.28515625" style="477" customWidth="1"/>
    <col min="9459" max="9459" width="7.5703125" style="477" customWidth="1"/>
    <col min="9460" max="9460" width="8.140625" style="477" customWidth="1"/>
    <col min="9461" max="9461" width="10.7109375" style="477" customWidth="1"/>
    <col min="9462" max="9462" width="6.28515625" style="477" customWidth="1"/>
    <col min="9463" max="9463" width="7.5703125" style="477" customWidth="1"/>
    <col min="9464" max="9464" width="8.140625" style="477" customWidth="1"/>
    <col min="9465" max="9465" width="10.7109375" style="477" customWidth="1"/>
    <col min="9466" max="9466" width="6.7109375" style="477" customWidth="1"/>
    <col min="9467" max="9467" width="7.5703125" style="477" customWidth="1"/>
    <col min="9468" max="9468" width="8.140625" style="477" customWidth="1"/>
    <col min="9469" max="9469" width="10.7109375" style="477" customWidth="1"/>
    <col min="9470" max="9470" width="6.7109375" style="477" customWidth="1"/>
    <col min="9471" max="9471" width="7.5703125" style="477" customWidth="1"/>
    <col min="9472" max="9472" width="8.140625" style="477" customWidth="1"/>
    <col min="9473" max="9473" width="10.7109375" style="477" customWidth="1"/>
    <col min="9474" max="9476" width="6.7109375" style="477" customWidth="1"/>
    <col min="9477" max="9477" width="11.42578125" style="477" customWidth="1"/>
    <col min="9478" max="9480" width="6.7109375" style="477" customWidth="1"/>
    <col min="9481" max="9481" width="11.42578125" style="477"/>
    <col min="9482" max="9482" width="1.5703125" style="477" customWidth="1"/>
    <col min="9483" max="9707" width="11.42578125" style="477"/>
    <col min="9708" max="9708" width="15.28515625" style="477" customWidth="1"/>
    <col min="9709" max="9709" width="13" style="477" bestFit="1" customWidth="1"/>
    <col min="9710" max="9710" width="6.28515625" style="477" customWidth="1"/>
    <col min="9711" max="9711" width="7.5703125" style="477" customWidth="1"/>
    <col min="9712" max="9712" width="8" style="477" customWidth="1"/>
    <col min="9713" max="9713" width="10.7109375" style="477" customWidth="1"/>
    <col min="9714" max="9714" width="6.28515625" style="477" customWidth="1"/>
    <col min="9715" max="9715" width="7.5703125" style="477" customWidth="1"/>
    <col min="9716" max="9716" width="8.140625" style="477" customWidth="1"/>
    <col min="9717" max="9717" width="10.7109375" style="477" customWidth="1"/>
    <col min="9718" max="9718" width="6.28515625" style="477" customWidth="1"/>
    <col min="9719" max="9719" width="7.5703125" style="477" customWidth="1"/>
    <col min="9720" max="9720" width="8.140625" style="477" customWidth="1"/>
    <col min="9721" max="9721" width="10.7109375" style="477" customWidth="1"/>
    <col min="9722" max="9722" width="6.7109375" style="477" customWidth="1"/>
    <col min="9723" max="9723" width="7.5703125" style="477" customWidth="1"/>
    <col min="9724" max="9724" width="8.140625" style="477" customWidth="1"/>
    <col min="9725" max="9725" width="10.7109375" style="477" customWidth="1"/>
    <col min="9726" max="9726" width="6.7109375" style="477" customWidth="1"/>
    <col min="9727" max="9727" width="7.5703125" style="477" customWidth="1"/>
    <col min="9728" max="9728" width="8.140625" style="477" customWidth="1"/>
    <col min="9729" max="9729" width="10.7109375" style="477" customWidth="1"/>
    <col min="9730" max="9732" width="6.7109375" style="477" customWidth="1"/>
    <col min="9733" max="9733" width="11.42578125" style="477" customWidth="1"/>
    <col min="9734" max="9736" width="6.7109375" style="477" customWidth="1"/>
    <col min="9737" max="9737" width="11.42578125" style="477"/>
    <col min="9738" max="9738" width="1.5703125" style="477" customWidth="1"/>
    <col min="9739" max="9963" width="11.42578125" style="477"/>
    <col min="9964" max="9964" width="15.28515625" style="477" customWidth="1"/>
    <col min="9965" max="9965" width="13" style="477" bestFit="1" customWidth="1"/>
    <col min="9966" max="9966" width="6.28515625" style="477" customWidth="1"/>
    <col min="9967" max="9967" width="7.5703125" style="477" customWidth="1"/>
    <col min="9968" max="9968" width="8" style="477" customWidth="1"/>
    <col min="9969" max="9969" width="10.7109375" style="477" customWidth="1"/>
    <col min="9970" max="9970" width="6.28515625" style="477" customWidth="1"/>
    <col min="9971" max="9971" width="7.5703125" style="477" customWidth="1"/>
    <col min="9972" max="9972" width="8.140625" style="477" customWidth="1"/>
    <col min="9973" max="9973" width="10.7109375" style="477" customWidth="1"/>
    <col min="9974" max="9974" width="6.28515625" style="477" customWidth="1"/>
    <col min="9975" max="9975" width="7.5703125" style="477" customWidth="1"/>
    <col min="9976" max="9976" width="8.140625" style="477" customWidth="1"/>
    <col min="9977" max="9977" width="10.7109375" style="477" customWidth="1"/>
    <col min="9978" max="9978" width="6.7109375" style="477" customWidth="1"/>
    <col min="9979" max="9979" width="7.5703125" style="477" customWidth="1"/>
    <col min="9980" max="9980" width="8.140625" style="477" customWidth="1"/>
    <col min="9981" max="9981" width="10.7109375" style="477" customWidth="1"/>
    <col min="9982" max="9982" width="6.7109375" style="477" customWidth="1"/>
    <col min="9983" max="9983" width="7.5703125" style="477" customWidth="1"/>
    <col min="9984" max="9984" width="8.140625" style="477" customWidth="1"/>
    <col min="9985" max="9985" width="10.7109375" style="477" customWidth="1"/>
    <col min="9986" max="9988" width="6.7109375" style="477" customWidth="1"/>
    <col min="9989" max="9989" width="11.42578125" style="477" customWidth="1"/>
    <col min="9990" max="9992" width="6.7109375" style="477" customWidth="1"/>
    <col min="9993" max="9993" width="11.42578125" style="477"/>
    <col min="9994" max="9994" width="1.5703125" style="477" customWidth="1"/>
    <col min="9995" max="10219" width="11.42578125" style="477"/>
    <col min="10220" max="10220" width="15.28515625" style="477" customWidth="1"/>
    <col min="10221" max="10221" width="13" style="477" bestFit="1" customWidth="1"/>
    <col min="10222" max="10222" width="6.28515625" style="477" customWidth="1"/>
    <col min="10223" max="10223" width="7.5703125" style="477" customWidth="1"/>
    <col min="10224" max="10224" width="8" style="477" customWidth="1"/>
    <col min="10225" max="10225" width="10.7109375" style="477" customWidth="1"/>
    <col min="10226" max="10226" width="6.28515625" style="477" customWidth="1"/>
    <col min="10227" max="10227" width="7.5703125" style="477" customWidth="1"/>
    <col min="10228" max="10228" width="8.140625" style="477" customWidth="1"/>
    <col min="10229" max="10229" width="10.7109375" style="477" customWidth="1"/>
    <col min="10230" max="10230" width="6.28515625" style="477" customWidth="1"/>
    <col min="10231" max="10231" width="7.5703125" style="477" customWidth="1"/>
    <col min="10232" max="10232" width="8.140625" style="477" customWidth="1"/>
    <col min="10233" max="10233" width="10.7109375" style="477" customWidth="1"/>
    <col min="10234" max="10234" width="6.7109375" style="477" customWidth="1"/>
    <col min="10235" max="10235" width="7.5703125" style="477" customWidth="1"/>
    <col min="10236" max="10236" width="8.140625" style="477" customWidth="1"/>
    <col min="10237" max="10237" width="10.7109375" style="477" customWidth="1"/>
    <col min="10238" max="10238" width="6.7109375" style="477" customWidth="1"/>
    <col min="10239" max="10239" width="7.5703125" style="477" customWidth="1"/>
    <col min="10240" max="10240" width="8.140625" style="477" customWidth="1"/>
    <col min="10241" max="10241" width="10.7109375" style="477" customWidth="1"/>
    <col min="10242" max="10244" width="6.7109375" style="477" customWidth="1"/>
    <col min="10245" max="10245" width="11.42578125" style="477" customWidth="1"/>
    <col min="10246" max="10248" width="6.7109375" style="477" customWidth="1"/>
    <col min="10249" max="10249" width="11.42578125" style="477"/>
    <col min="10250" max="10250" width="1.5703125" style="477" customWidth="1"/>
    <col min="10251" max="10475" width="11.42578125" style="477"/>
    <col min="10476" max="10476" width="15.28515625" style="477" customWidth="1"/>
    <col min="10477" max="10477" width="13" style="477" bestFit="1" customWidth="1"/>
    <col min="10478" max="10478" width="6.28515625" style="477" customWidth="1"/>
    <col min="10479" max="10479" width="7.5703125" style="477" customWidth="1"/>
    <col min="10480" max="10480" width="8" style="477" customWidth="1"/>
    <col min="10481" max="10481" width="10.7109375" style="477" customWidth="1"/>
    <col min="10482" max="10482" width="6.28515625" style="477" customWidth="1"/>
    <col min="10483" max="10483" width="7.5703125" style="477" customWidth="1"/>
    <col min="10484" max="10484" width="8.140625" style="477" customWidth="1"/>
    <col min="10485" max="10485" width="10.7109375" style="477" customWidth="1"/>
    <col min="10486" max="10486" width="6.28515625" style="477" customWidth="1"/>
    <col min="10487" max="10487" width="7.5703125" style="477" customWidth="1"/>
    <col min="10488" max="10488" width="8.140625" style="477" customWidth="1"/>
    <col min="10489" max="10489" width="10.7109375" style="477" customWidth="1"/>
    <col min="10490" max="10490" width="6.7109375" style="477" customWidth="1"/>
    <col min="10491" max="10491" width="7.5703125" style="477" customWidth="1"/>
    <col min="10492" max="10492" width="8.140625" style="477" customWidth="1"/>
    <col min="10493" max="10493" width="10.7109375" style="477" customWidth="1"/>
    <col min="10494" max="10494" width="6.7109375" style="477" customWidth="1"/>
    <col min="10495" max="10495" width="7.5703125" style="477" customWidth="1"/>
    <col min="10496" max="10496" width="8.140625" style="477" customWidth="1"/>
    <col min="10497" max="10497" width="10.7109375" style="477" customWidth="1"/>
    <col min="10498" max="10500" width="6.7109375" style="477" customWidth="1"/>
    <col min="10501" max="10501" width="11.42578125" style="477" customWidth="1"/>
    <col min="10502" max="10504" width="6.7109375" style="477" customWidth="1"/>
    <col min="10505" max="10505" width="11.42578125" style="477"/>
    <col min="10506" max="10506" width="1.5703125" style="477" customWidth="1"/>
    <col min="10507" max="10731" width="11.42578125" style="477"/>
    <col min="10732" max="10732" width="15.28515625" style="477" customWidth="1"/>
    <col min="10733" max="10733" width="13" style="477" bestFit="1" customWidth="1"/>
    <col min="10734" max="10734" width="6.28515625" style="477" customWidth="1"/>
    <col min="10735" max="10735" width="7.5703125" style="477" customWidth="1"/>
    <col min="10736" max="10736" width="8" style="477" customWidth="1"/>
    <col min="10737" max="10737" width="10.7109375" style="477" customWidth="1"/>
    <col min="10738" max="10738" width="6.28515625" style="477" customWidth="1"/>
    <col min="10739" max="10739" width="7.5703125" style="477" customWidth="1"/>
    <col min="10740" max="10740" width="8.140625" style="477" customWidth="1"/>
    <col min="10741" max="10741" width="10.7109375" style="477" customWidth="1"/>
    <col min="10742" max="10742" width="6.28515625" style="477" customWidth="1"/>
    <col min="10743" max="10743" width="7.5703125" style="477" customWidth="1"/>
    <col min="10744" max="10744" width="8.140625" style="477" customWidth="1"/>
    <col min="10745" max="10745" width="10.7109375" style="477" customWidth="1"/>
    <col min="10746" max="10746" width="6.7109375" style="477" customWidth="1"/>
    <col min="10747" max="10747" width="7.5703125" style="477" customWidth="1"/>
    <col min="10748" max="10748" width="8.140625" style="477" customWidth="1"/>
    <col min="10749" max="10749" width="10.7109375" style="477" customWidth="1"/>
    <col min="10750" max="10750" width="6.7109375" style="477" customWidth="1"/>
    <col min="10751" max="10751" width="7.5703125" style="477" customWidth="1"/>
    <col min="10752" max="10752" width="8.140625" style="477" customWidth="1"/>
    <col min="10753" max="10753" width="10.7109375" style="477" customWidth="1"/>
    <col min="10754" max="10756" width="6.7109375" style="477" customWidth="1"/>
    <col min="10757" max="10757" width="11.42578125" style="477" customWidth="1"/>
    <col min="10758" max="10760" width="6.7109375" style="477" customWidth="1"/>
    <col min="10761" max="10761" width="11.42578125" style="477"/>
    <col min="10762" max="10762" width="1.5703125" style="477" customWidth="1"/>
    <col min="10763" max="10987" width="11.42578125" style="477"/>
    <col min="10988" max="10988" width="15.28515625" style="477" customWidth="1"/>
    <col min="10989" max="10989" width="13" style="477" bestFit="1" customWidth="1"/>
    <col min="10990" max="10990" width="6.28515625" style="477" customWidth="1"/>
    <col min="10991" max="10991" width="7.5703125" style="477" customWidth="1"/>
    <col min="10992" max="10992" width="8" style="477" customWidth="1"/>
    <col min="10993" max="10993" width="10.7109375" style="477" customWidth="1"/>
    <col min="10994" max="10994" width="6.28515625" style="477" customWidth="1"/>
    <col min="10995" max="10995" width="7.5703125" style="477" customWidth="1"/>
    <col min="10996" max="10996" width="8.140625" style="477" customWidth="1"/>
    <col min="10997" max="10997" width="10.7109375" style="477" customWidth="1"/>
    <col min="10998" max="10998" width="6.28515625" style="477" customWidth="1"/>
    <col min="10999" max="10999" width="7.5703125" style="477" customWidth="1"/>
    <col min="11000" max="11000" width="8.140625" style="477" customWidth="1"/>
    <col min="11001" max="11001" width="10.7109375" style="477" customWidth="1"/>
    <col min="11002" max="11002" width="6.7109375" style="477" customWidth="1"/>
    <col min="11003" max="11003" width="7.5703125" style="477" customWidth="1"/>
    <col min="11004" max="11004" width="8.140625" style="477" customWidth="1"/>
    <col min="11005" max="11005" width="10.7109375" style="477" customWidth="1"/>
    <col min="11006" max="11006" width="6.7109375" style="477" customWidth="1"/>
    <col min="11007" max="11007" width="7.5703125" style="477" customWidth="1"/>
    <col min="11008" max="11008" width="8.140625" style="477" customWidth="1"/>
    <col min="11009" max="11009" width="10.7109375" style="477" customWidth="1"/>
    <col min="11010" max="11012" width="6.7109375" style="477" customWidth="1"/>
    <col min="11013" max="11013" width="11.42578125" style="477" customWidth="1"/>
    <col min="11014" max="11016" width="6.7109375" style="477" customWidth="1"/>
    <col min="11017" max="11017" width="11.42578125" style="477"/>
    <col min="11018" max="11018" width="1.5703125" style="477" customWidth="1"/>
    <col min="11019" max="11243" width="11.42578125" style="477"/>
    <col min="11244" max="11244" width="15.28515625" style="477" customWidth="1"/>
    <col min="11245" max="11245" width="13" style="477" bestFit="1" customWidth="1"/>
    <col min="11246" max="11246" width="6.28515625" style="477" customWidth="1"/>
    <col min="11247" max="11247" width="7.5703125" style="477" customWidth="1"/>
    <col min="11248" max="11248" width="8" style="477" customWidth="1"/>
    <col min="11249" max="11249" width="10.7109375" style="477" customWidth="1"/>
    <col min="11250" max="11250" width="6.28515625" style="477" customWidth="1"/>
    <col min="11251" max="11251" width="7.5703125" style="477" customWidth="1"/>
    <col min="11252" max="11252" width="8.140625" style="477" customWidth="1"/>
    <col min="11253" max="11253" width="10.7109375" style="477" customWidth="1"/>
    <col min="11254" max="11254" width="6.28515625" style="477" customWidth="1"/>
    <col min="11255" max="11255" width="7.5703125" style="477" customWidth="1"/>
    <col min="11256" max="11256" width="8.140625" style="477" customWidth="1"/>
    <col min="11257" max="11257" width="10.7109375" style="477" customWidth="1"/>
    <col min="11258" max="11258" width="6.7109375" style="477" customWidth="1"/>
    <col min="11259" max="11259" width="7.5703125" style="477" customWidth="1"/>
    <col min="11260" max="11260" width="8.140625" style="477" customWidth="1"/>
    <col min="11261" max="11261" width="10.7109375" style="477" customWidth="1"/>
    <col min="11262" max="11262" width="6.7109375" style="477" customWidth="1"/>
    <col min="11263" max="11263" width="7.5703125" style="477" customWidth="1"/>
    <col min="11264" max="11264" width="8.140625" style="477" customWidth="1"/>
    <col min="11265" max="11265" width="10.7109375" style="477" customWidth="1"/>
    <col min="11266" max="11268" width="6.7109375" style="477" customWidth="1"/>
    <col min="11269" max="11269" width="11.42578125" style="477" customWidth="1"/>
    <col min="11270" max="11272" width="6.7109375" style="477" customWidth="1"/>
    <col min="11273" max="11273" width="11.42578125" style="477"/>
    <col min="11274" max="11274" width="1.5703125" style="477" customWidth="1"/>
    <col min="11275" max="11499" width="11.42578125" style="477"/>
    <col min="11500" max="11500" width="15.28515625" style="477" customWidth="1"/>
    <col min="11501" max="11501" width="13" style="477" bestFit="1" customWidth="1"/>
    <col min="11502" max="11502" width="6.28515625" style="477" customWidth="1"/>
    <col min="11503" max="11503" width="7.5703125" style="477" customWidth="1"/>
    <col min="11504" max="11504" width="8" style="477" customWidth="1"/>
    <col min="11505" max="11505" width="10.7109375" style="477" customWidth="1"/>
    <col min="11506" max="11506" width="6.28515625" style="477" customWidth="1"/>
    <col min="11507" max="11507" width="7.5703125" style="477" customWidth="1"/>
    <col min="11508" max="11508" width="8.140625" style="477" customWidth="1"/>
    <col min="11509" max="11509" width="10.7109375" style="477" customWidth="1"/>
    <col min="11510" max="11510" width="6.28515625" style="477" customWidth="1"/>
    <col min="11511" max="11511" width="7.5703125" style="477" customWidth="1"/>
    <col min="11512" max="11512" width="8.140625" style="477" customWidth="1"/>
    <col min="11513" max="11513" width="10.7109375" style="477" customWidth="1"/>
    <col min="11514" max="11514" width="6.7109375" style="477" customWidth="1"/>
    <col min="11515" max="11515" width="7.5703125" style="477" customWidth="1"/>
    <col min="11516" max="11516" width="8.140625" style="477" customWidth="1"/>
    <col min="11517" max="11517" width="10.7109375" style="477" customWidth="1"/>
    <col min="11518" max="11518" width="6.7109375" style="477" customWidth="1"/>
    <col min="11519" max="11519" width="7.5703125" style="477" customWidth="1"/>
    <col min="11520" max="11520" width="8.140625" style="477" customWidth="1"/>
    <col min="11521" max="11521" width="10.7109375" style="477" customWidth="1"/>
    <col min="11522" max="11524" width="6.7109375" style="477" customWidth="1"/>
    <col min="11525" max="11525" width="11.42578125" style="477" customWidth="1"/>
    <col min="11526" max="11528" width="6.7109375" style="477" customWidth="1"/>
    <col min="11529" max="11529" width="11.42578125" style="477"/>
    <col min="11530" max="11530" width="1.5703125" style="477" customWidth="1"/>
    <col min="11531" max="11755" width="11.42578125" style="477"/>
    <col min="11756" max="11756" width="15.28515625" style="477" customWidth="1"/>
    <col min="11757" max="11757" width="13" style="477" bestFit="1" customWidth="1"/>
    <col min="11758" max="11758" width="6.28515625" style="477" customWidth="1"/>
    <col min="11759" max="11759" width="7.5703125" style="477" customWidth="1"/>
    <col min="11760" max="11760" width="8" style="477" customWidth="1"/>
    <col min="11761" max="11761" width="10.7109375" style="477" customWidth="1"/>
    <col min="11762" max="11762" width="6.28515625" style="477" customWidth="1"/>
    <col min="11763" max="11763" width="7.5703125" style="477" customWidth="1"/>
    <col min="11764" max="11764" width="8.140625" style="477" customWidth="1"/>
    <col min="11765" max="11765" width="10.7109375" style="477" customWidth="1"/>
    <col min="11766" max="11766" width="6.28515625" style="477" customWidth="1"/>
    <col min="11767" max="11767" width="7.5703125" style="477" customWidth="1"/>
    <col min="11768" max="11768" width="8.140625" style="477" customWidth="1"/>
    <col min="11769" max="11769" width="10.7109375" style="477" customWidth="1"/>
    <col min="11770" max="11770" width="6.7109375" style="477" customWidth="1"/>
    <col min="11771" max="11771" width="7.5703125" style="477" customWidth="1"/>
    <col min="11772" max="11772" width="8.140625" style="477" customWidth="1"/>
    <col min="11773" max="11773" width="10.7109375" style="477" customWidth="1"/>
    <col min="11774" max="11774" width="6.7109375" style="477" customWidth="1"/>
    <col min="11775" max="11775" width="7.5703125" style="477" customWidth="1"/>
    <col min="11776" max="11776" width="8.140625" style="477" customWidth="1"/>
    <col min="11777" max="11777" width="10.7109375" style="477" customWidth="1"/>
    <col min="11778" max="11780" width="6.7109375" style="477" customWidth="1"/>
    <col min="11781" max="11781" width="11.42578125" style="477" customWidth="1"/>
    <col min="11782" max="11784" width="6.7109375" style="477" customWidth="1"/>
    <col min="11785" max="11785" width="11.42578125" style="477"/>
    <col min="11786" max="11786" width="1.5703125" style="477" customWidth="1"/>
    <col min="11787" max="12011" width="11.42578125" style="477"/>
    <col min="12012" max="12012" width="15.28515625" style="477" customWidth="1"/>
    <col min="12013" max="12013" width="13" style="477" bestFit="1" customWidth="1"/>
    <col min="12014" max="12014" width="6.28515625" style="477" customWidth="1"/>
    <col min="12015" max="12015" width="7.5703125" style="477" customWidth="1"/>
    <col min="12016" max="12016" width="8" style="477" customWidth="1"/>
    <col min="12017" max="12017" width="10.7109375" style="477" customWidth="1"/>
    <col min="12018" max="12018" width="6.28515625" style="477" customWidth="1"/>
    <col min="12019" max="12019" width="7.5703125" style="477" customWidth="1"/>
    <col min="12020" max="12020" width="8.140625" style="477" customWidth="1"/>
    <col min="12021" max="12021" width="10.7109375" style="477" customWidth="1"/>
    <col min="12022" max="12022" width="6.28515625" style="477" customWidth="1"/>
    <col min="12023" max="12023" width="7.5703125" style="477" customWidth="1"/>
    <col min="12024" max="12024" width="8.140625" style="477" customWidth="1"/>
    <col min="12025" max="12025" width="10.7109375" style="477" customWidth="1"/>
    <col min="12026" max="12026" width="6.7109375" style="477" customWidth="1"/>
    <col min="12027" max="12027" width="7.5703125" style="477" customWidth="1"/>
    <col min="12028" max="12028" width="8.140625" style="477" customWidth="1"/>
    <col min="12029" max="12029" width="10.7109375" style="477" customWidth="1"/>
    <col min="12030" max="12030" width="6.7109375" style="477" customWidth="1"/>
    <col min="12031" max="12031" width="7.5703125" style="477" customWidth="1"/>
    <col min="12032" max="12032" width="8.140625" style="477" customWidth="1"/>
    <col min="12033" max="12033" width="10.7109375" style="477" customWidth="1"/>
    <col min="12034" max="12036" width="6.7109375" style="477" customWidth="1"/>
    <col min="12037" max="12037" width="11.42578125" style="477" customWidth="1"/>
    <col min="12038" max="12040" width="6.7109375" style="477" customWidth="1"/>
    <col min="12041" max="12041" width="11.42578125" style="477"/>
    <col min="12042" max="12042" width="1.5703125" style="477" customWidth="1"/>
    <col min="12043" max="12267" width="11.42578125" style="477"/>
    <col min="12268" max="12268" width="15.28515625" style="477" customWidth="1"/>
    <col min="12269" max="12269" width="13" style="477" bestFit="1" customWidth="1"/>
    <col min="12270" max="12270" width="6.28515625" style="477" customWidth="1"/>
    <col min="12271" max="12271" width="7.5703125" style="477" customWidth="1"/>
    <col min="12272" max="12272" width="8" style="477" customWidth="1"/>
    <col min="12273" max="12273" width="10.7109375" style="477" customWidth="1"/>
    <col min="12274" max="12274" width="6.28515625" style="477" customWidth="1"/>
    <col min="12275" max="12275" width="7.5703125" style="477" customWidth="1"/>
    <col min="12276" max="12276" width="8.140625" style="477" customWidth="1"/>
    <col min="12277" max="12277" width="10.7109375" style="477" customWidth="1"/>
    <col min="12278" max="12278" width="6.28515625" style="477" customWidth="1"/>
    <col min="12279" max="12279" width="7.5703125" style="477" customWidth="1"/>
    <col min="12280" max="12280" width="8.140625" style="477" customWidth="1"/>
    <col min="12281" max="12281" width="10.7109375" style="477" customWidth="1"/>
    <col min="12282" max="12282" width="6.7109375" style="477" customWidth="1"/>
    <col min="12283" max="12283" width="7.5703125" style="477" customWidth="1"/>
    <col min="12284" max="12284" width="8.140625" style="477" customWidth="1"/>
    <col min="12285" max="12285" width="10.7109375" style="477" customWidth="1"/>
    <col min="12286" max="12286" width="6.7109375" style="477" customWidth="1"/>
    <col min="12287" max="12287" width="7.5703125" style="477" customWidth="1"/>
    <col min="12288" max="12288" width="8.140625" style="477" customWidth="1"/>
    <col min="12289" max="12289" width="10.7109375" style="477" customWidth="1"/>
    <col min="12290" max="12292" width="6.7109375" style="477" customWidth="1"/>
    <col min="12293" max="12293" width="11.42578125" style="477" customWidth="1"/>
    <col min="12294" max="12296" width="6.7109375" style="477" customWidth="1"/>
    <col min="12297" max="12297" width="11.42578125" style="477"/>
    <col min="12298" max="12298" width="1.5703125" style="477" customWidth="1"/>
    <col min="12299" max="12523" width="11.42578125" style="477"/>
    <col min="12524" max="12524" width="15.28515625" style="477" customWidth="1"/>
    <col min="12525" max="12525" width="13" style="477" bestFit="1" customWidth="1"/>
    <col min="12526" max="12526" width="6.28515625" style="477" customWidth="1"/>
    <col min="12527" max="12527" width="7.5703125" style="477" customWidth="1"/>
    <col min="12528" max="12528" width="8" style="477" customWidth="1"/>
    <col min="12529" max="12529" width="10.7109375" style="477" customWidth="1"/>
    <col min="12530" max="12530" width="6.28515625" style="477" customWidth="1"/>
    <col min="12531" max="12531" width="7.5703125" style="477" customWidth="1"/>
    <col min="12532" max="12532" width="8.140625" style="477" customWidth="1"/>
    <col min="12533" max="12533" width="10.7109375" style="477" customWidth="1"/>
    <col min="12534" max="12534" width="6.28515625" style="477" customWidth="1"/>
    <col min="12535" max="12535" width="7.5703125" style="477" customWidth="1"/>
    <col min="12536" max="12536" width="8.140625" style="477" customWidth="1"/>
    <col min="12537" max="12537" width="10.7109375" style="477" customWidth="1"/>
    <col min="12538" max="12538" width="6.7109375" style="477" customWidth="1"/>
    <col min="12539" max="12539" width="7.5703125" style="477" customWidth="1"/>
    <col min="12540" max="12540" width="8.140625" style="477" customWidth="1"/>
    <col min="12541" max="12541" width="10.7109375" style="477" customWidth="1"/>
    <col min="12542" max="12542" width="6.7109375" style="477" customWidth="1"/>
    <col min="12543" max="12543" width="7.5703125" style="477" customWidth="1"/>
    <col min="12544" max="12544" width="8.140625" style="477" customWidth="1"/>
    <col min="12545" max="12545" width="10.7109375" style="477" customWidth="1"/>
    <col min="12546" max="12548" width="6.7109375" style="477" customWidth="1"/>
    <col min="12549" max="12549" width="11.42578125" style="477" customWidth="1"/>
    <col min="12550" max="12552" width="6.7109375" style="477" customWidth="1"/>
    <col min="12553" max="12553" width="11.42578125" style="477"/>
    <col min="12554" max="12554" width="1.5703125" style="477" customWidth="1"/>
    <col min="12555" max="12779" width="11.42578125" style="477"/>
    <col min="12780" max="12780" width="15.28515625" style="477" customWidth="1"/>
    <col min="12781" max="12781" width="13" style="477" bestFit="1" customWidth="1"/>
    <col min="12782" max="12782" width="6.28515625" style="477" customWidth="1"/>
    <col min="12783" max="12783" width="7.5703125" style="477" customWidth="1"/>
    <col min="12784" max="12784" width="8" style="477" customWidth="1"/>
    <col min="12785" max="12785" width="10.7109375" style="477" customWidth="1"/>
    <col min="12786" max="12786" width="6.28515625" style="477" customWidth="1"/>
    <col min="12787" max="12787" width="7.5703125" style="477" customWidth="1"/>
    <col min="12788" max="12788" width="8.140625" style="477" customWidth="1"/>
    <col min="12789" max="12789" width="10.7109375" style="477" customWidth="1"/>
    <col min="12790" max="12790" width="6.28515625" style="477" customWidth="1"/>
    <col min="12791" max="12791" width="7.5703125" style="477" customWidth="1"/>
    <col min="12792" max="12792" width="8.140625" style="477" customWidth="1"/>
    <col min="12793" max="12793" width="10.7109375" style="477" customWidth="1"/>
    <col min="12794" max="12794" width="6.7109375" style="477" customWidth="1"/>
    <col min="12795" max="12795" width="7.5703125" style="477" customWidth="1"/>
    <col min="12796" max="12796" width="8.140625" style="477" customWidth="1"/>
    <col min="12797" max="12797" width="10.7109375" style="477" customWidth="1"/>
    <col min="12798" max="12798" width="6.7109375" style="477" customWidth="1"/>
    <col min="12799" max="12799" width="7.5703125" style="477" customWidth="1"/>
    <col min="12800" max="12800" width="8.140625" style="477" customWidth="1"/>
    <col min="12801" max="12801" width="10.7109375" style="477" customWidth="1"/>
    <col min="12802" max="12804" width="6.7109375" style="477" customWidth="1"/>
    <col min="12805" max="12805" width="11.42578125" style="477" customWidth="1"/>
    <col min="12806" max="12808" width="6.7109375" style="477" customWidth="1"/>
    <col min="12809" max="12809" width="11.42578125" style="477"/>
    <col min="12810" max="12810" width="1.5703125" style="477" customWidth="1"/>
    <col min="12811" max="13035" width="11.42578125" style="477"/>
    <col min="13036" max="13036" width="15.28515625" style="477" customWidth="1"/>
    <col min="13037" max="13037" width="13" style="477" bestFit="1" customWidth="1"/>
    <col min="13038" max="13038" width="6.28515625" style="477" customWidth="1"/>
    <col min="13039" max="13039" width="7.5703125" style="477" customWidth="1"/>
    <col min="13040" max="13040" width="8" style="477" customWidth="1"/>
    <col min="13041" max="13041" width="10.7109375" style="477" customWidth="1"/>
    <col min="13042" max="13042" width="6.28515625" style="477" customWidth="1"/>
    <col min="13043" max="13043" width="7.5703125" style="477" customWidth="1"/>
    <col min="13044" max="13044" width="8.140625" style="477" customWidth="1"/>
    <col min="13045" max="13045" width="10.7109375" style="477" customWidth="1"/>
    <col min="13046" max="13046" width="6.28515625" style="477" customWidth="1"/>
    <col min="13047" max="13047" width="7.5703125" style="477" customWidth="1"/>
    <col min="13048" max="13048" width="8.140625" style="477" customWidth="1"/>
    <col min="13049" max="13049" width="10.7109375" style="477" customWidth="1"/>
    <col min="13050" max="13050" width="6.7109375" style="477" customWidth="1"/>
    <col min="13051" max="13051" width="7.5703125" style="477" customWidth="1"/>
    <col min="13052" max="13052" width="8.140625" style="477" customWidth="1"/>
    <col min="13053" max="13053" width="10.7109375" style="477" customWidth="1"/>
    <col min="13054" max="13054" width="6.7109375" style="477" customWidth="1"/>
    <col min="13055" max="13055" width="7.5703125" style="477" customWidth="1"/>
    <col min="13056" max="13056" width="8.140625" style="477" customWidth="1"/>
    <col min="13057" max="13057" width="10.7109375" style="477" customWidth="1"/>
    <col min="13058" max="13060" width="6.7109375" style="477" customWidth="1"/>
    <col min="13061" max="13061" width="11.42578125" style="477" customWidth="1"/>
    <col min="13062" max="13064" width="6.7109375" style="477" customWidth="1"/>
    <col min="13065" max="13065" width="11.42578125" style="477"/>
    <col min="13066" max="13066" width="1.5703125" style="477" customWidth="1"/>
    <col min="13067" max="13291" width="11.42578125" style="477"/>
    <col min="13292" max="13292" width="15.28515625" style="477" customWidth="1"/>
    <col min="13293" max="13293" width="13" style="477" bestFit="1" customWidth="1"/>
    <col min="13294" max="13294" width="6.28515625" style="477" customWidth="1"/>
    <col min="13295" max="13295" width="7.5703125" style="477" customWidth="1"/>
    <col min="13296" max="13296" width="8" style="477" customWidth="1"/>
    <col min="13297" max="13297" width="10.7109375" style="477" customWidth="1"/>
    <col min="13298" max="13298" width="6.28515625" style="477" customWidth="1"/>
    <col min="13299" max="13299" width="7.5703125" style="477" customWidth="1"/>
    <col min="13300" max="13300" width="8.140625" style="477" customWidth="1"/>
    <col min="13301" max="13301" width="10.7109375" style="477" customWidth="1"/>
    <col min="13302" max="13302" width="6.28515625" style="477" customWidth="1"/>
    <col min="13303" max="13303" width="7.5703125" style="477" customWidth="1"/>
    <col min="13304" max="13304" width="8.140625" style="477" customWidth="1"/>
    <col min="13305" max="13305" width="10.7109375" style="477" customWidth="1"/>
    <col min="13306" max="13306" width="6.7109375" style="477" customWidth="1"/>
    <col min="13307" max="13307" width="7.5703125" style="477" customWidth="1"/>
    <col min="13308" max="13308" width="8.140625" style="477" customWidth="1"/>
    <col min="13309" max="13309" width="10.7109375" style="477" customWidth="1"/>
    <col min="13310" max="13310" width="6.7109375" style="477" customWidth="1"/>
    <col min="13311" max="13311" width="7.5703125" style="477" customWidth="1"/>
    <col min="13312" max="13312" width="8.140625" style="477" customWidth="1"/>
    <col min="13313" max="13313" width="10.7109375" style="477" customWidth="1"/>
    <col min="13314" max="13316" width="6.7109375" style="477" customWidth="1"/>
    <col min="13317" max="13317" width="11.42578125" style="477" customWidth="1"/>
    <col min="13318" max="13320" width="6.7109375" style="477" customWidth="1"/>
    <col min="13321" max="13321" width="11.42578125" style="477"/>
    <col min="13322" max="13322" width="1.5703125" style="477" customWidth="1"/>
    <col min="13323" max="13547" width="11.42578125" style="477"/>
    <col min="13548" max="13548" width="15.28515625" style="477" customWidth="1"/>
    <col min="13549" max="13549" width="13" style="477" bestFit="1" customWidth="1"/>
    <col min="13550" max="13550" width="6.28515625" style="477" customWidth="1"/>
    <col min="13551" max="13551" width="7.5703125" style="477" customWidth="1"/>
    <col min="13552" max="13552" width="8" style="477" customWidth="1"/>
    <col min="13553" max="13553" width="10.7109375" style="477" customWidth="1"/>
    <col min="13554" max="13554" width="6.28515625" style="477" customWidth="1"/>
    <col min="13555" max="13555" width="7.5703125" style="477" customWidth="1"/>
    <col min="13556" max="13556" width="8.140625" style="477" customWidth="1"/>
    <col min="13557" max="13557" width="10.7109375" style="477" customWidth="1"/>
    <col min="13558" max="13558" width="6.28515625" style="477" customWidth="1"/>
    <col min="13559" max="13559" width="7.5703125" style="477" customWidth="1"/>
    <col min="13560" max="13560" width="8.140625" style="477" customWidth="1"/>
    <col min="13561" max="13561" width="10.7109375" style="477" customWidth="1"/>
    <col min="13562" max="13562" width="6.7109375" style="477" customWidth="1"/>
    <col min="13563" max="13563" width="7.5703125" style="477" customWidth="1"/>
    <col min="13564" max="13564" width="8.140625" style="477" customWidth="1"/>
    <col min="13565" max="13565" width="10.7109375" style="477" customWidth="1"/>
    <col min="13566" max="13566" width="6.7109375" style="477" customWidth="1"/>
    <col min="13567" max="13567" width="7.5703125" style="477" customWidth="1"/>
    <col min="13568" max="13568" width="8.140625" style="477" customWidth="1"/>
    <col min="13569" max="13569" width="10.7109375" style="477" customWidth="1"/>
    <col min="13570" max="13572" width="6.7109375" style="477" customWidth="1"/>
    <col min="13573" max="13573" width="11.42578125" style="477" customWidth="1"/>
    <col min="13574" max="13576" width="6.7109375" style="477" customWidth="1"/>
    <col min="13577" max="13577" width="11.42578125" style="477"/>
    <col min="13578" max="13578" width="1.5703125" style="477" customWidth="1"/>
    <col min="13579" max="13803" width="11.42578125" style="477"/>
    <col min="13804" max="13804" width="15.28515625" style="477" customWidth="1"/>
    <col min="13805" max="13805" width="13" style="477" bestFit="1" customWidth="1"/>
    <col min="13806" max="13806" width="6.28515625" style="477" customWidth="1"/>
    <col min="13807" max="13807" width="7.5703125" style="477" customWidth="1"/>
    <col min="13808" max="13808" width="8" style="477" customWidth="1"/>
    <col min="13809" max="13809" width="10.7109375" style="477" customWidth="1"/>
    <col min="13810" max="13810" width="6.28515625" style="477" customWidth="1"/>
    <col min="13811" max="13811" width="7.5703125" style="477" customWidth="1"/>
    <col min="13812" max="13812" width="8.140625" style="477" customWidth="1"/>
    <col min="13813" max="13813" width="10.7109375" style="477" customWidth="1"/>
    <col min="13814" max="13814" width="6.28515625" style="477" customWidth="1"/>
    <col min="13815" max="13815" width="7.5703125" style="477" customWidth="1"/>
    <col min="13816" max="13816" width="8.140625" style="477" customWidth="1"/>
    <col min="13817" max="13817" width="10.7109375" style="477" customWidth="1"/>
    <col min="13818" max="13818" width="6.7109375" style="477" customWidth="1"/>
    <col min="13819" max="13819" width="7.5703125" style="477" customWidth="1"/>
    <col min="13820" max="13820" width="8.140625" style="477" customWidth="1"/>
    <col min="13821" max="13821" width="10.7109375" style="477" customWidth="1"/>
    <col min="13822" max="13822" width="6.7109375" style="477" customWidth="1"/>
    <col min="13823" max="13823" width="7.5703125" style="477" customWidth="1"/>
    <col min="13824" max="13824" width="8.140625" style="477" customWidth="1"/>
    <col min="13825" max="13825" width="10.7109375" style="477" customWidth="1"/>
    <col min="13826" max="13828" width="6.7109375" style="477" customWidth="1"/>
    <col min="13829" max="13829" width="11.42578125" style="477" customWidth="1"/>
    <col min="13830" max="13832" width="6.7109375" style="477" customWidth="1"/>
    <col min="13833" max="13833" width="11.42578125" style="477"/>
    <col min="13834" max="13834" width="1.5703125" style="477" customWidth="1"/>
    <col min="13835" max="14059" width="11.42578125" style="477"/>
    <col min="14060" max="14060" width="15.28515625" style="477" customWidth="1"/>
    <col min="14061" max="14061" width="13" style="477" bestFit="1" customWidth="1"/>
    <col min="14062" max="14062" width="6.28515625" style="477" customWidth="1"/>
    <col min="14063" max="14063" width="7.5703125" style="477" customWidth="1"/>
    <col min="14064" max="14064" width="8" style="477" customWidth="1"/>
    <col min="14065" max="14065" width="10.7109375" style="477" customWidth="1"/>
    <col min="14066" max="14066" width="6.28515625" style="477" customWidth="1"/>
    <col min="14067" max="14067" width="7.5703125" style="477" customWidth="1"/>
    <col min="14068" max="14068" width="8.140625" style="477" customWidth="1"/>
    <col min="14069" max="14069" width="10.7109375" style="477" customWidth="1"/>
    <col min="14070" max="14070" width="6.28515625" style="477" customWidth="1"/>
    <col min="14071" max="14071" width="7.5703125" style="477" customWidth="1"/>
    <col min="14072" max="14072" width="8.140625" style="477" customWidth="1"/>
    <col min="14073" max="14073" width="10.7109375" style="477" customWidth="1"/>
    <col min="14074" max="14074" width="6.7109375" style="477" customWidth="1"/>
    <col min="14075" max="14075" width="7.5703125" style="477" customWidth="1"/>
    <col min="14076" max="14076" width="8.140625" style="477" customWidth="1"/>
    <col min="14077" max="14077" width="10.7109375" style="477" customWidth="1"/>
    <col min="14078" max="14078" width="6.7109375" style="477" customWidth="1"/>
    <col min="14079" max="14079" width="7.5703125" style="477" customWidth="1"/>
    <col min="14080" max="14080" width="8.140625" style="477" customWidth="1"/>
    <col min="14081" max="14081" width="10.7109375" style="477" customWidth="1"/>
    <col min="14082" max="14084" width="6.7109375" style="477" customWidth="1"/>
    <col min="14085" max="14085" width="11.42578125" style="477" customWidth="1"/>
    <col min="14086" max="14088" width="6.7109375" style="477" customWidth="1"/>
    <col min="14089" max="14089" width="11.42578125" style="477"/>
    <col min="14090" max="14090" width="1.5703125" style="477" customWidth="1"/>
    <col min="14091" max="14315" width="11.42578125" style="477"/>
    <col min="14316" max="14316" width="15.28515625" style="477" customWidth="1"/>
    <col min="14317" max="14317" width="13" style="477" bestFit="1" customWidth="1"/>
    <col min="14318" max="14318" width="6.28515625" style="477" customWidth="1"/>
    <col min="14319" max="14319" width="7.5703125" style="477" customWidth="1"/>
    <col min="14320" max="14320" width="8" style="477" customWidth="1"/>
    <col min="14321" max="14321" width="10.7109375" style="477" customWidth="1"/>
    <col min="14322" max="14322" width="6.28515625" style="477" customWidth="1"/>
    <col min="14323" max="14323" width="7.5703125" style="477" customWidth="1"/>
    <col min="14324" max="14324" width="8.140625" style="477" customWidth="1"/>
    <col min="14325" max="14325" width="10.7109375" style="477" customWidth="1"/>
    <col min="14326" max="14326" width="6.28515625" style="477" customWidth="1"/>
    <col min="14327" max="14327" width="7.5703125" style="477" customWidth="1"/>
    <col min="14328" max="14328" width="8.140625" style="477" customWidth="1"/>
    <col min="14329" max="14329" width="10.7109375" style="477" customWidth="1"/>
    <col min="14330" max="14330" width="6.7109375" style="477" customWidth="1"/>
    <col min="14331" max="14331" width="7.5703125" style="477" customWidth="1"/>
    <col min="14332" max="14332" width="8.140625" style="477" customWidth="1"/>
    <col min="14333" max="14333" width="10.7109375" style="477" customWidth="1"/>
    <col min="14334" max="14334" width="6.7109375" style="477" customWidth="1"/>
    <col min="14335" max="14335" width="7.5703125" style="477" customWidth="1"/>
    <col min="14336" max="14336" width="8.140625" style="477" customWidth="1"/>
    <col min="14337" max="14337" width="10.7109375" style="477" customWidth="1"/>
    <col min="14338" max="14340" width="6.7109375" style="477" customWidth="1"/>
    <col min="14341" max="14341" width="11.42578125" style="477" customWidth="1"/>
    <col min="14342" max="14344" width="6.7109375" style="477" customWidth="1"/>
    <col min="14345" max="14345" width="11.42578125" style="477"/>
    <col min="14346" max="14346" width="1.5703125" style="477" customWidth="1"/>
    <col min="14347" max="14571" width="11.42578125" style="477"/>
    <col min="14572" max="14572" width="15.28515625" style="477" customWidth="1"/>
    <col min="14573" max="14573" width="13" style="477" bestFit="1" customWidth="1"/>
    <col min="14574" max="14574" width="6.28515625" style="477" customWidth="1"/>
    <col min="14575" max="14575" width="7.5703125" style="477" customWidth="1"/>
    <col min="14576" max="14576" width="8" style="477" customWidth="1"/>
    <col min="14577" max="14577" width="10.7109375" style="477" customWidth="1"/>
    <col min="14578" max="14578" width="6.28515625" style="477" customWidth="1"/>
    <col min="14579" max="14579" width="7.5703125" style="477" customWidth="1"/>
    <col min="14580" max="14580" width="8.140625" style="477" customWidth="1"/>
    <col min="14581" max="14581" width="10.7109375" style="477" customWidth="1"/>
    <col min="14582" max="14582" width="6.28515625" style="477" customWidth="1"/>
    <col min="14583" max="14583" width="7.5703125" style="477" customWidth="1"/>
    <col min="14584" max="14584" width="8.140625" style="477" customWidth="1"/>
    <col min="14585" max="14585" width="10.7109375" style="477" customWidth="1"/>
    <col min="14586" max="14586" width="6.7109375" style="477" customWidth="1"/>
    <col min="14587" max="14587" width="7.5703125" style="477" customWidth="1"/>
    <col min="14588" max="14588" width="8.140625" style="477" customWidth="1"/>
    <col min="14589" max="14589" width="10.7109375" style="477" customWidth="1"/>
    <col min="14590" max="14590" width="6.7109375" style="477" customWidth="1"/>
    <col min="14591" max="14591" width="7.5703125" style="477" customWidth="1"/>
    <col min="14592" max="14592" width="8.140625" style="477" customWidth="1"/>
    <col min="14593" max="14593" width="10.7109375" style="477" customWidth="1"/>
    <col min="14594" max="14596" width="6.7109375" style="477" customWidth="1"/>
    <col min="14597" max="14597" width="11.42578125" style="477" customWidth="1"/>
    <col min="14598" max="14600" width="6.7109375" style="477" customWidth="1"/>
    <col min="14601" max="14601" width="11.42578125" style="477"/>
    <col min="14602" max="14602" width="1.5703125" style="477" customWidth="1"/>
    <col min="14603" max="14827" width="11.42578125" style="477"/>
    <col min="14828" max="14828" width="15.28515625" style="477" customWidth="1"/>
    <col min="14829" max="14829" width="13" style="477" bestFit="1" customWidth="1"/>
    <col min="14830" max="14830" width="6.28515625" style="477" customWidth="1"/>
    <col min="14831" max="14831" width="7.5703125" style="477" customWidth="1"/>
    <col min="14832" max="14832" width="8" style="477" customWidth="1"/>
    <col min="14833" max="14833" width="10.7109375" style="477" customWidth="1"/>
    <col min="14834" max="14834" width="6.28515625" style="477" customWidth="1"/>
    <col min="14835" max="14835" width="7.5703125" style="477" customWidth="1"/>
    <col min="14836" max="14836" width="8.140625" style="477" customWidth="1"/>
    <col min="14837" max="14837" width="10.7109375" style="477" customWidth="1"/>
    <col min="14838" max="14838" width="6.28515625" style="477" customWidth="1"/>
    <col min="14839" max="14839" width="7.5703125" style="477" customWidth="1"/>
    <col min="14840" max="14840" width="8.140625" style="477" customWidth="1"/>
    <col min="14841" max="14841" width="10.7109375" style="477" customWidth="1"/>
    <col min="14842" max="14842" width="6.7109375" style="477" customWidth="1"/>
    <col min="14843" max="14843" width="7.5703125" style="477" customWidth="1"/>
    <col min="14844" max="14844" width="8.140625" style="477" customWidth="1"/>
    <col min="14845" max="14845" width="10.7109375" style="477" customWidth="1"/>
    <col min="14846" max="14846" width="6.7109375" style="477" customWidth="1"/>
    <col min="14847" max="14847" width="7.5703125" style="477" customWidth="1"/>
    <col min="14848" max="14848" width="8.140625" style="477" customWidth="1"/>
    <col min="14849" max="14849" width="10.7109375" style="477" customWidth="1"/>
    <col min="14850" max="14852" width="6.7109375" style="477" customWidth="1"/>
    <col min="14853" max="14853" width="11.42578125" style="477" customWidth="1"/>
    <col min="14854" max="14856" width="6.7109375" style="477" customWidth="1"/>
    <col min="14857" max="14857" width="11.42578125" style="477"/>
    <col min="14858" max="14858" width="1.5703125" style="477" customWidth="1"/>
    <col min="14859" max="15083" width="11.42578125" style="477"/>
    <col min="15084" max="15084" width="15.28515625" style="477" customWidth="1"/>
    <col min="15085" max="15085" width="13" style="477" bestFit="1" customWidth="1"/>
    <col min="15086" max="15086" width="6.28515625" style="477" customWidth="1"/>
    <col min="15087" max="15087" width="7.5703125" style="477" customWidth="1"/>
    <col min="15088" max="15088" width="8" style="477" customWidth="1"/>
    <col min="15089" max="15089" width="10.7109375" style="477" customWidth="1"/>
    <col min="15090" max="15090" width="6.28515625" style="477" customWidth="1"/>
    <col min="15091" max="15091" width="7.5703125" style="477" customWidth="1"/>
    <col min="15092" max="15092" width="8.140625" style="477" customWidth="1"/>
    <col min="15093" max="15093" width="10.7109375" style="477" customWidth="1"/>
    <col min="15094" max="15094" width="6.28515625" style="477" customWidth="1"/>
    <col min="15095" max="15095" width="7.5703125" style="477" customWidth="1"/>
    <col min="15096" max="15096" width="8.140625" style="477" customWidth="1"/>
    <col min="15097" max="15097" width="10.7109375" style="477" customWidth="1"/>
    <col min="15098" max="15098" width="6.7109375" style="477" customWidth="1"/>
    <col min="15099" max="15099" width="7.5703125" style="477" customWidth="1"/>
    <col min="15100" max="15100" width="8.140625" style="477" customWidth="1"/>
    <col min="15101" max="15101" width="10.7109375" style="477" customWidth="1"/>
    <col min="15102" max="15102" width="6.7109375" style="477" customWidth="1"/>
    <col min="15103" max="15103" width="7.5703125" style="477" customWidth="1"/>
    <col min="15104" max="15104" width="8.140625" style="477" customWidth="1"/>
    <col min="15105" max="15105" width="10.7109375" style="477" customWidth="1"/>
    <col min="15106" max="15108" width="6.7109375" style="477" customWidth="1"/>
    <col min="15109" max="15109" width="11.42578125" style="477" customWidth="1"/>
    <col min="15110" max="15112" width="6.7109375" style="477" customWidth="1"/>
    <col min="15113" max="15113" width="11.42578125" style="477"/>
    <col min="15114" max="15114" width="1.5703125" style="477" customWidth="1"/>
    <col min="15115" max="15339" width="11.42578125" style="477"/>
    <col min="15340" max="15340" width="15.28515625" style="477" customWidth="1"/>
    <col min="15341" max="15341" width="13" style="477" bestFit="1" customWidth="1"/>
    <col min="15342" max="15342" width="6.28515625" style="477" customWidth="1"/>
    <col min="15343" max="15343" width="7.5703125" style="477" customWidth="1"/>
    <col min="15344" max="15344" width="8" style="477" customWidth="1"/>
    <col min="15345" max="15345" width="10.7109375" style="477" customWidth="1"/>
    <col min="15346" max="15346" width="6.28515625" style="477" customWidth="1"/>
    <col min="15347" max="15347" width="7.5703125" style="477" customWidth="1"/>
    <col min="15348" max="15348" width="8.140625" style="477" customWidth="1"/>
    <col min="15349" max="15349" width="10.7109375" style="477" customWidth="1"/>
    <col min="15350" max="15350" width="6.28515625" style="477" customWidth="1"/>
    <col min="15351" max="15351" width="7.5703125" style="477" customWidth="1"/>
    <col min="15352" max="15352" width="8.140625" style="477" customWidth="1"/>
    <col min="15353" max="15353" width="10.7109375" style="477" customWidth="1"/>
    <col min="15354" max="15354" width="6.7109375" style="477" customWidth="1"/>
    <col min="15355" max="15355" width="7.5703125" style="477" customWidth="1"/>
    <col min="15356" max="15356" width="8.140625" style="477" customWidth="1"/>
    <col min="15357" max="15357" width="10.7109375" style="477" customWidth="1"/>
    <col min="15358" max="15358" width="6.7109375" style="477" customWidth="1"/>
    <col min="15359" max="15359" width="7.5703125" style="477" customWidth="1"/>
    <col min="15360" max="15360" width="8.140625" style="477" customWidth="1"/>
    <col min="15361" max="15361" width="10.7109375" style="477" customWidth="1"/>
    <col min="15362" max="15364" width="6.7109375" style="477" customWidth="1"/>
    <col min="15365" max="15365" width="11.42578125" style="477" customWidth="1"/>
    <col min="15366" max="15368" width="6.7109375" style="477" customWidth="1"/>
    <col min="15369" max="15369" width="11.42578125" style="477"/>
    <col min="15370" max="15370" width="1.5703125" style="477" customWidth="1"/>
    <col min="15371" max="15595" width="11.42578125" style="477"/>
    <col min="15596" max="15596" width="15.28515625" style="477" customWidth="1"/>
    <col min="15597" max="15597" width="13" style="477" bestFit="1" customWidth="1"/>
    <col min="15598" max="15598" width="6.28515625" style="477" customWidth="1"/>
    <col min="15599" max="15599" width="7.5703125" style="477" customWidth="1"/>
    <col min="15600" max="15600" width="8" style="477" customWidth="1"/>
    <col min="15601" max="15601" width="10.7109375" style="477" customWidth="1"/>
    <col min="15602" max="15602" width="6.28515625" style="477" customWidth="1"/>
    <col min="15603" max="15603" width="7.5703125" style="477" customWidth="1"/>
    <col min="15604" max="15604" width="8.140625" style="477" customWidth="1"/>
    <col min="15605" max="15605" width="10.7109375" style="477" customWidth="1"/>
    <col min="15606" max="15606" width="6.28515625" style="477" customWidth="1"/>
    <col min="15607" max="15607" width="7.5703125" style="477" customWidth="1"/>
    <col min="15608" max="15608" width="8.140625" style="477" customWidth="1"/>
    <col min="15609" max="15609" width="10.7109375" style="477" customWidth="1"/>
    <col min="15610" max="15610" width="6.7109375" style="477" customWidth="1"/>
    <col min="15611" max="15611" width="7.5703125" style="477" customWidth="1"/>
    <col min="15612" max="15612" width="8.140625" style="477" customWidth="1"/>
    <col min="15613" max="15613" width="10.7109375" style="477" customWidth="1"/>
    <col min="15614" max="15614" width="6.7109375" style="477" customWidth="1"/>
    <col min="15615" max="15615" width="7.5703125" style="477" customWidth="1"/>
    <col min="15616" max="15616" width="8.140625" style="477" customWidth="1"/>
    <col min="15617" max="15617" width="10.7109375" style="477" customWidth="1"/>
    <col min="15618" max="15620" width="6.7109375" style="477" customWidth="1"/>
    <col min="15621" max="15621" width="11.42578125" style="477" customWidth="1"/>
    <col min="15622" max="15624" width="6.7109375" style="477" customWidth="1"/>
    <col min="15625" max="15625" width="11.42578125" style="477"/>
    <col min="15626" max="15626" width="1.5703125" style="477" customWidth="1"/>
    <col min="15627" max="15851" width="11.42578125" style="477"/>
    <col min="15852" max="15852" width="15.28515625" style="477" customWidth="1"/>
    <col min="15853" max="15853" width="13" style="477" bestFit="1" customWidth="1"/>
    <col min="15854" max="15854" width="6.28515625" style="477" customWidth="1"/>
    <col min="15855" max="15855" width="7.5703125" style="477" customWidth="1"/>
    <col min="15856" max="15856" width="8" style="477" customWidth="1"/>
    <col min="15857" max="15857" width="10.7109375" style="477" customWidth="1"/>
    <col min="15858" max="15858" width="6.28515625" style="477" customWidth="1"/>
    <col min="15859" max="15859" width="7.5703125" style="477" customWidth="1"/>
    <col min="15860" max="15860" width="8.140625" style="477" customWidth="1"/>
    <col min="15861" max="15861" width="10.7109375" style="477" customWidth="1"/>
    <col min="15862" max="15862" width="6.28515625" style="477" customWidth="1"/>
    <col min="15863" max="15863" width="7.5703125" style="477" customWidth="1"/>
    <col min="15864" max="15864" width="8.140625" style="477" customWidth="1"/>
    <col min="15865" max="15865" width="10.7109375" style="477" customWidth="1"/>
    <col min="15866" max="15866" width="6.7109375" style="477" customWidth="1"/>
    <col min="15867" max="15867" width="7.5703125" style="477" customWidth="1"/>
    <col min="15868" max="15868" width="8.140625" style="477" customWidth="1"/>
    <col min="15869" max="15869" width="10.7109375" style="477" customWidth="1"/>
    <col min="15870" max="15870" width="6.7109375" style="477" customWidth="1"/>
    <col min="15871" max="15871" width="7.5703125" style="477" customWidth="1"/>
    <col min="15872" max="15872" width="8.140625" style="477" customWidth="1"/>
    <col min="15873" max="15873" width="10.7109375" style="477" customWidth="1"/>
    <col min="15874" max="15876" width="6.7109375" style="477" customWidth="1"/>
    <col min="15877" max="15877" width="11.42578125" style="477" customWidth="1"/>
    <col min="15878" max="15880" width="6.7109375" style="477" customWidth="1"/>
    <col min="15881" max="15881" width="11.42578125" style="477"/>
    <col min="15882" max="15882" width="1.5703125" style="477" customWidth="1"/>
    <col min="15883" max="16107" width="11.42578125" style="477"/>
    <col min="16108" max="16108" width="15.28515625" style="477" customWidth="1"/>
    <col min="16109" max="16109" width="13" style="477" bestFit="1" customWidth="1"/>
    <col min="16110" max="16110" width="6.28515625" style="477" customWidth="1"/>
    <col min="16111" max="16111" width="7.5703125" style="477" customWidth="1"/>
    <col min="16112" max="16112" width="8" style="477" customWidth="1"/>
    <col min="16113" max="16113" width="10.7109375" style="477" customWidth="1"/>
    <col min="16114" max="16114" width="6.28515625" style="477" customWidth="1"/>
    <col min="16115" max="16115" width="7.5703125" style="477" customWidth="1"/>
    <col min="16116" max="16116" width="8.140625" style="477" customWidth="1"/>
    <col min="16117" max="16117" width="10.7109375" style="477" customWidth="1"/>
    <col min="16118" max="16118" width="6.28515625" style="477" customWidth="1"/>
    <col min="16119" max="16119" width="7.5703125" style="477" customWidth="1"/>
    <col min="16120" max="16120" width="8.140625" style="477" customWidth="1"/>
    <col min="16121" max="16121" width="10.7109375" style="477" customWidth="1"/>
    <col min="16122" max="16122" width="6.7109375" style="477" customWidth="1"/>
    <col min="16123" max="16123" width="7.5703125" style="477" customWidth="1"/>
    <col min="16124" max="16124" width="8.140625" style="477" customWidth="1"/>
    <col min="16125" max="16125" width="10.7109375" style="477" customWidth="1"/>
    <col min="16126" max="16126" width="6.7109375" style="477" customWidth="1"/>
    <col min="16127" max="16127" width="7.5703125" style="477" customWidth="1"/>
    <col min="16128" max="16128" width="8.140625" style="477" customWidth="1"/>
    <col min="16129" max="16129" width="10.7109375" style="477" customWidth="1"/>
    <col min="16130" max="16132" width="6.7109375" style="477" customWidth="1"/>
    <col min="16133" max="16133" width="11.42578125" style="477" customWidth="1"/>
    <col min="16134" max="16136" width="6.7109375" style="477" customWidth="1"/>
    <col min="16137" max="16137" width="11.42578125" style="477"/>
    <col min="16138" max="16138" width="1.5703125" style="477" customWidth="1"/>
    <col min="16139" max="16384" width="11.42578125" style="477"/>
  </cols>
  <sheetData>
    <row r="1" spans="1:55" ht="37.5">
      <c r="A1" s="2977" t="s">
        <v>2490</v>
      </c>
      <c r="B1" s="475"/>
      <c r="C1" s="476"/>
      <c r="AA1" s="471"/>
    </row>
    <row r="2" spans="1:55" ht="15" customHeight="1">
      <c r="A2" s="478"/>
      <c r="B2" s="475"/>
    </row>
    <row r="3" spans="1:55" ht="18">
      <c r="A3" s="5273" t="s">
        <v>1134</v>
      </c>
      <c r="B3" s="475"/>
      <c r="C3" s="5275">
        <v>2010</v>
      </c>
      <c r="D3" s="5276"/>
      <c r="E3" s="5276"/>
      <c r="F3" s="5277"/>
      <c r="G3" s="5278"/>
      <c r="I3" s="5275">
        <v>2011</v>
      </c>
      <c r="J3" s="5276"/>
      <c r="K3" s="5276"/>
      <c r="L3" s="5277"/>
      <c r="M3" s="5278"/>
      <c r="O3" s="5275">
        <v>2012</v>
      </c>
      <c r="P3" s="5276"/>
      <c r="Q3" s="5276"/>
      <c r="R3" s="5277"/>
      <c r="S3" s="5278"/>
      <c r="U3" s="5275">
        <v>2013</v>
      </c>
      <c r="V3" s="5276"/>
      <c r="W3" s="5276"/>
      <c r="X3" s="5277"/>
      <c r="Y3" s="5278"/>
      <c r="AA3" s="5275">
        <v>2014</v>
      </c>
      <c r="AB3" s="5276"/>
      <c r="AC3" s="5276"/>
      <c r="AD3" s="5277"/>
      <c r="AE3" s="5278"/>
      <c r="AG3" s="5275">
        <v>2015</v>
      </c>
      <c r="AH3" s="5276"/>
      <c r="AI3" s="5276"/>
      <c r="AJ3" s="5277"/>
      <c r="AK3" s="5278"/>
      <c r="AM3" s="5275">
        <v>2016</v>
      </c>
      <c r="AN3" s="5276"/>
      <c r="AO3" s="5276"/>
      <c r="AP3" s="5277"/>
      <c r="AQ3" s="5278"/>
      <c r="AS3" s="5275">
        <v>2017</v>
      </c>
      <c r="AT3" s="5276"/>
      <c r="AU3" s="5276"/>
      <c r="AV3" s="5277"/>
      <c r="AW3" s="5278"/>
      <c r="AY3" s="5275">
        <v>2018</v>
      </c>
      <c r="AZ3" s="5276"/>
      <c r="BA3" s="5276"/>
      <c r="BB3" s="5277"/>
      <c r="BC3" s="5278"/>
    </row>
    <row r="4" spans="1:55" ht="30">
      <c r="A4" s="5274"/>
      <c r="B4" s="475"/>
      <c r="C4" s="2091" t="s">
        <v>1213</v>
      </c>
      <c r="D4" s="2092" t="s">
        <v>1214</v>
      </c>
      <c r="E4" s="2093" t="s">
        <v>1215</v>
      </c>
      <c r="F4" s="2099" t="s">
        <v>15</v>
      </c>
      <c r="G4" s="2100" t="s">
        <v>1549</v>
      </c>
      <c r="I4" s="2091" t="s">
        <v>1213</v>
      </c>
      <c r="J4" s="2092" t="s">
        <v>1214</v>
      </c>
      <c r="K4" s="2093" t="s">
        <v>1215</v>
      </c>
      <c r="L4" s="2094" t="s">
        <v>15</v>
      </c>
      <c r="M4" s="2100" t="s">
        <v>1549</v>
      </c>
      <c r="O4" s="2091" t="s">
        <v>1213</v>
      </c>
      <c r="P4" s="2092" t="s">
        <v>1214</v>
      </c>
      <c r="Q4" s="2093" t="s">
        <v>1215</v>
      </c>
      <c r="R4" s="2094" t="s">
        <v>15</v>
      </c>
      <c r="S4" s="1535" t="s">
        <v>1549</v>
      </c>
      <c r="U4" s="2091" t="s">
        <v>1213</v>
      </c>
      <c r="V4" s="2092" t="s">
        <v>1214</v>
      </c>
      <c r="W4" s="2093" t="s">
        <v>1215</v>
      </c>
      <c r="X4" s="2094" t="s">
        <v>15</v>
      </c>
      <c r="Y4" s="1535" t="s">
        <v>1549</v>
      </c>
      <c r="AA4" s="2091" t="s">
        <v>1213</v>
      </c>
      <c r="AB4" s="2092" t="s">
        <v>1214</v>
      </c>
      <c r="AC4" s="2093" t="s">
        <v>1215</v>
      </c>
      <c r="AD4" s="2094" t="s">
        <v>15</v>
      </c>
      <c r="AE4" s="1535" t="s">
        <v>1549</v>
      </c>
      <c r="AG4" s="2091" t="s">
        <v>1213</v>
      </c>
      <c r="AH4" s="2092" t="s">
        <v>1214</v>
      </c>
      <c r="AI4" s="2093" t="s">
        <v>1215</v>
      </c>
      <c r="AJ4" s="2094" t="s">
        <v>15</v>
      </c>
      <c r="AK4" s="1535" t="s">
        <v>1549</v>
      </c>
      <c r="AM4" s="2091" t="s">
        <v>1213</v>
      </c>
      <c r="AN4" s="2092" t="s">
        <v>1214</v>
      </c>
      <c r="AO4" s="2093" t="s">
        <v>1215</v>
      </c>
      <c r="AP4" s="2094" t="s">
        <v>15</v>
      </c>
      <c r="AQ4" s="1535" t="s">
        <v>1549</v>
      </c>
      <c r="AS4" s="2091" t="s">
        <v>1213</v>
      </c>
      <c r="AT4" s="2092" t="s">
        <v>1214</v>
      </c>
      <c r="AU4" s="2093" t="s">
        <v>1215</v>
      </c>
      <c r="AV4" s="2094" t="s">
        <v>15</v>
      </c>
      <c r="AW4" s="1535" t="s">
        <v>1549</v>
      </c>
      <c r="AY4" s="2091" t="s">
        <v>1213</v>
      </c>
      <c r="AZ4" s="2092" t="s">
        <v>1214</v>
      </c>
      <c r="BA4" s="2093" t="s">
        <v>1215</v>
      </c>
      <c r="BB4" s="2094" t="s">
        <v>15</v>
      </c>
      <c r="BC4" s="1535" t="s">
        <v>1549</v>
      </c>
    </row>
    <row r="5" spans="1:55" ht="18">
      <c r="B5" s="475"/>
    </row>
    <row r="6" spans="1:55" ht="15" customHeight="1">
      <c r="A6" s="324" t="s">
        <v>4</v>
      </c>
      <c r="B6" s="475"/>
      <c r="C6" s="480">
        <v>6</v>
      </c>
      <c r="D6" s="481">
        <v>12</v>
      </c>
      <c r="E6" s="481">
        <v>12</v>
      </c>
      <c r="F6" s="2095">
        <f>SUM(C6:E6)</f>
        <v>30</v>
      </c>
      <c r="G6" s="2096">
        <f>C6/F6</f>
        <v>0.2</v>
      </c>
      <c r="I6" s="480">
        <v>8</v>
      </c>
      <c r="J6" s="481">
        <v>9</v>
      </c>
      <c r="K6" s="481">
        <v>10</v>
      </c>
      <c r="L6" s="2095">
        <f>SUM(I6:K6)</f>
        <v>27</v>
      </c>
      <c r="M6" s="2096">
        <f>I6/L6</f>
        <v>0.29629629629629628</v>
      </c>
      <c r="O6" s="480">
        <v>8</v>
      </c>
      <c r="P6" s="481">
        <v>11</v>
      </c>
      <c r="Q6" s="481">
        <v>9</v>
      </c>
      <c r="R6" s="2095">
        <f>SUM(O6:Q6)</f>
        <v>28</v>
      </c>
      <c r="S6" s="2096">
        <f>O6/R6</f>
        <v>0.2857142857142857</v>
      </c>
      <c r="U6" s="480">
        <v>8</v>
      </c>
      <c r="V6" s="481">
        <v>11</v>
      </c>
      <c r="W6" s="481">
        <v>9</v>
      </c>
      <c r="X6" s="2095">
        <f t="shared" ref="X6:X13" si="0">SUM(U6:W6)</f>
        <v>28</v>
      </c>
      <c r="Y6" s="2096">
        <f>U6/X6</f>
        <v>0.2857142857142857</v>
      </c>
      <c r="AA6" s="480">
        <v>8</v>
      </c>
      <c r="AB6" s="481">
        <v>10</v>
      </c>
      <c r="AC6" s="481">
        <v>8</v>
      </c>
      <c r="AD6" s="2095">
        <f>SUM(AA6:AC6)</f>
        <v>26</v>
      </c>
      <c r="AE6" s="2096">
        <f>AA6/AD6</f>
        <v>0.30769230769230771</v>
      </c>
      <c r="AG6" s="480">
        <v>11</v>
      </c>
      <c r="AH6" s="481">
        <v>4</v>
      </c>
      <c r="AI6" s="481">
        <v>12</v>
      </c>
      <c r="AJ6" s="2095">
        <f>SUM(AG6:AI6)</f>
        <v>27</v>
      </c>
      <c r="AK6" s="2096">
        <f>AG6/AJ6</f>
        <v>0.40740740740740738</v>
      </c>
      <c r="AM6" s="480">
        <v>11</v>
      </c>
      <c r="AN6" s="481">
        <v>3</v>
      </c>
      <c r="AO6" s="481">
        <v>13</v>
      </c>
      <c r="AP6" s="2095">
        <f>SUM(AM6:AO6)</f>
        <v>27</v>
      </c>
      <c r="AQ6" s="2096">
        <f>AM6/AP6</f>
        <v>0.40740740740740738</v>
      </c>
      <c r="AS6" s="4147">
        <v>10</v>
      </c>
      <c r="AT6" s="4148">
        <v>4</v>
      </c>
      <c r="AU6" s="4148">
        <v>14</v>
      </c>
      <c r="AV6" s="2095">
        <f>SUM(AS6:AU6)</f>
        <v>28</v>
      </c>
      <c r="AW6" s="2096">
        <f>AS6/AV6</f>
        <v>0.35714285714285715</v>
      </c>
      <c r="AY6" s="4147">
        <v>14</v>
      </c>
      <c r="AZ6" s="4148">
        <v>3</v>
      </c>
      <c r="BA6" s="4148">
        <v>13</v>
      </c>
      <c r="BB6" s="2095">
        <f>SUM(AY6:BA6)</f>
        <v>30</v>
      </c>
      <c r="BC6" s="2096">
        <f>AY6/BB6</f>
        <v>0.46666666666666667</v>
      </c>
    </row>
    <row r="7" spans="1:55" ht="15" customHeight="1">
      <c r="A7" s="49" t="s">
        <v>16</v>
      </c>
      <c r="B7" s="475"/>
      <c r="C7" s="482">
        <v>6</v>
      </c>
      <c r="D7" s="483">
        <v>16</v>
      </c>
      <c r="E7" s="483">
        <v>12</v>
      </c>
      <c r="F7" s="2097">
        <f>SUM(C7:E7)</f>
        <v>34</v>
      </c>
      <c r="G7" s="2098">
        <f t="shared" ref="G7:G37" si="1">C7/F7</f>
        <v>0.17647058823529413</v>
      </c>
      <c r="I7" s="482">
        <v>6</v>
      </c>
      <c r="J7" s="483">
        <v>17</v>
      </c>
      <c r="K7" s="483">
        <v>11</v>
      </c>
      <c r="L7" s="2097">
        <f>SUM(I7:K7)</f>
        <v>34</v>
      </c>
      <c r="M7" s="2098">
        <f t="shared" ref="M7:M37" si="2">I7/L7</f>
        <v>0.17647058823529413</v>
      </c>
      <c r="O7" s="482">
        <v>6</v>
      </c>
      <c r="P7" s="483">
        <v>15</v>
      </c>
      <c r="Q7" s="483">
        <v>9</v>
      </c>
      <c r="R7" s="2097">
        <f>SUM(O7:Q7)</f>
        <v>30</v>
      </c>
      <c r="S7" s="2098">
        <f t="shared" ref="S7:S37" si="3">O7/R7</f>
        <v>0.2</v>
      </c>
      <c r="U7" s="482">
        <v>6</v>
      </c>
      <c r="V7" s="483">
        <v>15</v>
      </c>
      <c r="W7" s="483">
        <v>10</v>
      </c>
      <c r="X7" s="2097">
        <f t="shared" si="0"/>
        <v>31</v>
      </c>
      <c r="Y7" s="2098">
        <f t="shared" ref="Y7:Y37" si="4">U7/X7</f>
        <v>0.19354838709677419</v>
      </c>
      <c r="AA7" s="482">
        <v>7</v>
      </c>
      <c r="AB7" s="483">
        <v>11</v>
      </c>
      <c r="AC7" s="483">
        <v>12</v>
      </c>
      <c r="AD7" s="2097">
        <f>SUM(AA7:AC7)</f>
        <v>30</v>
      </c>
      <c r="AE7" s="2098">
        <f t="shared" ref="AE7:AE37" si="5">AA7/AD7</f>
        <v>0.23333333333333334</v>
      </c>
      <c r="AG7" s="482">
        <v>7</v>
      </c>
      <c r="AH7" s="483">
        <v>10</v>
      </c>
      <c r="AI7" s="483">
        <v>13</v>
      </c>
      <c r="AJ7" s="2097">
        <f>SUM(AG7:AI7)</f>
        <v>30</v>
      </c>
      <c r="AK7" s="2098">
        <f t="shared" ref="AK7:AK37" si="6">AG7/AJ7</f>
        <v>0.23333333333333334</v>
      </c>
      <c r="AM7" s="482">
        <v>8</v>
      </c>
      <c r="AN7" s="483">
        <v>10</v>
      </c>
      <c r="AO7" s="483">
        <v>8</v>
      </c>
      <c r="AP7" s="2097">
        <f>SUM(AM7:AO7)</f>
        <v>26</v>
      </c>
      <c r="AQ7" s="2098">
        <f t="shared" ref="AQ7:AQ9" si="7">AM7/AP7</f>
        <v>0.30769230769230771</v>
      </c>
      <c r="AS7" s="4149">
        <v>10</v>
      </c>
      <c r="AT7" s="4066">
        <v>8</v>
      </c>
      <c r="AU7" s="4066">
        <v>6</v>
      </c>
      <c r="AV7" s="2097">
        <f t="shared" ref="AV7:AV37" si="8">SUM(AS7:AU7)</f>
        <v>24</v>
      </c>
      <c r="AW7" s="2098">
        <f t="shared" ref="AW7:AW36" si="9">AS7/AV7</f>
        <v>0.41666666666666669</v>
      </c>
      <c r="AY7" s="4149">
        <v>10</v>
      </c>
      <c r="AZ7" s="4066">
        <v>6</v>
      </c>
      <c r="BA7" s="4066">
        <v>8</v>
      </c>
      <c r="BB7" s="2097">
        <f t="shared" ref="BB7:BB9" si="10">SUM(AY7:BA7)</f>
        <v>24</v>
      </c>
      <c r="BC7" s="2098">
        <f t="shared" ref="BC7:BC9" si="11">AY7/BB7</f>
        <v>0.41666666666666669</v>
      </c>
    </row>
    <row r="8" spans="1:55" ht="15" customHeight="1">
      <c r="A8" s="49" t="s">
        <v>21</v>
      </c>
      <c r="B8" s="475"/>
      <c r="C8" s="482">
        <v>1</v>
      </c>
      <c r="D8" s="483">
        <v>4</v>
      </c>
      <c r="E8" s="483">
        <v>12</v>
      </c>
      <c r="F8" s="2097">
        <f>SUM(C8:E8)</f>
        <v>17</v>
      </c>
      <c r="G8" s="2098">
        <f t="shared" si="1"/>
        <v>5.8823529411764705E-2</v>
      </c>
      <c r="I8" s="482">
        <v>1</v>
      </c>
      <c r="J8" s="483">
        <v>3</v>
      </c>
      <c r="K8" s="483">
        <v>15</v>
      </c>
      <c r="L8" s="2097">
        <f>SUM(I8:K8)</f>
        <v>19</v>
      </c>
      <c r="M8" s="2098">
        <f t="shared" si="2"/>
        <v>5.2631578947368418E-2</v>
      </c>
      <c r="O8" s="482">
        <v>1</v>
      </c>
      <c r="P8" s="483">
        <v>3</v>
      </c>
      <c r="Q8" s="483">
        <v>16</v>
      </c>
      <c r="R8" s="2097">
        <f>SUM(O8:Q8)</f>
        <v>20</v>
      </c>
      <c r="S8" s="2098">
        <f t="shared" si="3"/>
        <v>0.05</v>
      </c>
      <c r="U8" s="482">
        <v>1</v>
      </c>
      <c r="V8" s="483">
        <v>3</v>
      </c>
      <c r="W8" s="483">
        <v>16</v>
      </c>
      <c r="X8" s="2097">
        <f t="shared" si="0"/>
        <v>20</v>
      </c>
      <c r="Y8" s="2098">
        <f t="shared" si="4"/>
        <v>0.05</v>
      </c>
      <c r="AA8" s="482">
        <v>1</v>
      </c>
      <c r="AB8" s="483">
        <v>3</v>
      </c>
      <c r="AC8" s="483">
        <v>16</v>
      </c>
      <c r="AD8" s="2097">
        <f>SUM(AA8:AC8)</f>
        <v>20</v>
      </c>
      <c r="AE8" s="2098">
        <f t="shared" si="5"/>
        <v>0.05</v>
      </c>
      <c r="AG8" s="482">
        <v>1</v>
      </c>
      <c r="AH8" s="483">
        <v>6</v>
      </c>
      <c r="AI8" s="483">
        <v>19</v>
      </c>
      <c r="AJ8" s="2097">
        <f>SUM(AG8:AI8)</f>
        <v>26</v>
      </c>
      <c r="AK8" s="2098">
        <f t="shared" si="6"/>
        <v>3.8461538461538464E-2</v>
      </c>
      <c r="AM8" s="482">
        <v>1</v>
      </c>
      <c r="AN8" s="483">
        <v>7</v>
      </c>
      <c r="AO8" s="483">
        <v>17</v>
      </c>
      <c r="AP8" s="2097">
        <f>SUM(AM8:AO8)</f>
        <v>25</v>
      </c>
      <c r="AQ8" s="2098">
        <f t="shared" si="7"/>
        <v>0.04</v>
      </c>
      <c r="AS8" s="4149">
        <v>2</v>
      </c>
      <c r="AT8" s="4066">
        <v>5</v>
      </c>
      <c r="AU8" s="4066">
        <v>16</v>
      </c>
      <c r="AV8" s="2097">
        <f t="shared" si="8"/>
        <v>23</v>
      </c>
      <c r="AW8" s="2098">
        <f t="shared" si="9"/>
        <v>8.6956521739130432E-2</v>
      </c>
      <c r="AY8" s="4149">
        <v>2</v>
      </c>
      <c r="AZ8" s="4066">
        <v>5</v>
      </c>
      <c r="BA8" s="4066">
        <v>19</v>
      </c>
      <c r="BB8" s="2097">
        <f t="shared" si="10"/>
        <v>26</v>
      </c>
      <c r="BC8" s="2098">
        <f t="shared" si="11"/>
        <v>7.6923076923076927E-2</v>
      </c>
    </row>
    <row r="9" spans="1:55" ht="15" customHeight="1">
      <c r="A9" s="4117" t="s">
        <v>3</v>
      </c>
      <c r="B9" s="475"/>
      <c r="C9" s="4118">
        <f>SUM(C6:C8)</f>
        <v>13</v>
      </c>
      <c r="D9" s="4119">
        <f>SUM(D6:D8)</f>
        <v>32</v>
      </c>
      <c r="E9" s="4119">
        <f>SUM(E6:E8)</f>
        <v>36</v>
      </c>
      <c r="F9" s="4120">
        <f>SUM(C9:E9)</f>
        <v>81</v>
      </c>
      <c r="G9" s="4121">
        <f t="shared" si="1"/>
        <v>0.16049382716049382</v>
      </c>
      <c r="I9" s="4118">
        <f>SUM(I6:I8)</f>
        <v>15</v>
      </c>
      <c r="J9" s="4119">
        <f>SUM(J6:J8)</f>
        <v>29</v>
      </c>
      <c r="K9" s="4119">
        <f>SUM(K6:K8)</f>
        <v>36</v>
      </c>
      <c r="L9" s="4120">
        <f>SUM(I9:K9)</f>
        <v>80</v>
      </c>
      <c r="M9" s="4121">
        <f t="shared" si="2"/>
        <v>0.1875</v>
      </c>
      <c r="O9" s="4118">
        <f>SUM(O6:O8)</f>
        <v>15</v>
      </c>
      <c r="P9" s="4119">
        <f>SUM(P6:P8)</f>
        <v>29</v>
      </c>
      <c r="Q9" s="4119">
        <f>SUM(Q6:Q8)</f>
        <v>34</v>
      </c>
      <c r="R9" s="4120">
        <f>SUM(O9:Q9)</f>
        <v>78</v>
      </c>
      <c r="S9" s="4121">
        <f t="shared" si="3"/>
        <v>0.19230769230769232</v>
      </c>
      <c r="U9" s="4118">
        <f>SUM(U6:U8)</f>
        <v>15</v>
      </c>
      <c r="V9" s="4119">
        <f>SUM(V6:V8)</f>
        <v>29</v>
      </c>
      <c r="W9" s="4119">
        <f>SUM(W6:W8)</f>
        <v>35</v>
      </c>
      <c r="X9" s="4120">
        <f t="shared" si="0"/>
        <v>79</v>
      </c>
      <c r="Y9" s="4121">
        <f t="shared" si="4"/>
        <v>0.189873417721519</v>
      </c>
      <c r="AA9" s="4118">
        <f>SUM(AA6:AA8)</f>
        <v>16</v>
      </c>
      <c r="AB9" s="4119">
        <f>SUM(AB6:AB8)</f>
        <v>24</v>
      </c>
      <c r="AC9" s="4119">
        <f>SUM(AC6:AC8)</f>
        <v>36</v>
      </c>
      <c r="AD9" s="4120">
        <f>SUM(AA9:AC9)</f>
        <v>76</v>
      </c>
      <c r="AE9" s="4121">
        <f t="shared" si="5"/>
        <v>0.21052631578947367</v>
      </c>
      <c r="AG9" s="4118">
        <f>SUM(AG6:AG8)</f>
        <v>19</v>
      </c>
      <c r="AH9" s="4119">
        <f>SUM(AH6:AH8)</f>
        <v>20</v>
      </c>
      <c r="AI9" s="4119">
        <f>SUM(AI6:AI8)</f>
        <v>44</v>
      </c>
      <c r="AJ9" s="4120">
        <f>SUM(AG9:AI9)</f>
        <v>83</v>
      </c>
      <c r="AK9" s="4121">
        <f t="shared" si="6"/>
        <v>0.2289156626506024</v>
      </c>
      <c r="AM9" s="4118">
        <f>SUM(AM6:AM8)</f>
        <v>20</v>
      </c>
      <c r="AN9" s="4119">
        <f>SUM(AN6:AN8)</f>
        <v>20</v>
      </c>
      <c r="AO9" s="4119">
        <f>SUM(AO6:AO8)</f>
        <v>38</v>
      </c>
      <c r="AP9" s="4120">
        <f>SUM(AM9:AO9)</f>
        <v>78</v>
      </c>
      <c r="AQ9" s="4121">
        <f t="shared" si="7"/>
        <v>0.25641025641025639</v>
      </c>
      <c r="AS9" s="4118">
        <f>SUM(AS6:AS8)</f>
        <v>22</v>
      </c>
      <c r="AT9" s="4119">
        <f>SUM(AT6:AT8)</f>
        <v>17</v>
      </c>
      <c r="AU9" s="4119">
        <f>SUM(AU6:AU8)</f>
        <v>36</v>
      </c>
      <c r="AV9" s="4120">
        <f t="shared" si="8"/>
        <v>75</v>
      </c>
      <c r="AW9" s="4121">
        <f t="shared" si="9"/>
        <v>0.29333333333333333</v>
      </c>
      <c r="AY9" s="4118">
        <f>SUM(AY6:AY8)</f>
        <v>26</v>
      </c>
      <c r="AZ9" s="4119">
        <f>SUM(AZ6:AZ8)</f>
        <v>14</v>
      </c>
      <c r="BA9" s="4119">
        <f>SUM(BA6:BA8)</f>
        <v>40</v>
      </c>
      <c r="BB9" s="4120">
        <f t="shared" si="10"/>
        <v>80</v>
      </c>
      <c r="BC9" s="4121">
        <f t="shared" si="11"/>
        <v>0.32500000000000001</v>
      </c>
    </row>
    <row r="10" spans="1:55" ht="15" customHeight="1">
      <c r="A10" s="128"/>
      <c r="B10" s="475"/>
      <c r="G10" s="1534"/>
      <c r="M10" s="1534"/>
      <c r="S10" s="1534"/>
      <c r="Y10" s="1534"/>
      <c r="AE10" s="1534"/>
      <c r="AK10" s="1534"/>
      <c r="AQ10" s="1534"/>
    </row>
    <row r="11" spans="1:55" ht="15" customHeight="1">
      <c r="A11" s="324" t="s">
        <v>16</v>
      </c>
      <c r="B11" s="475"/>
      <c r="C11" s="480">
        <v>1</v>
      </c>
      <c r="D11" s="481">
        <v>4</v>
      </c>
      <c r="E11" s="481">
        <v>5</v>
      </c>
      <c r="F11" s="2095">
        <f>SUM(C11:E11)</f>
        <v>10</v>
      </c>
      <c r="G11" s="2096">
        <f t="shared" si="1"/>
        <v>0.1</v>
      </c>
      <c r="I11" s="480">
        <v>1</v>
      </c>
      <c r="J11" s="481">
        <v>4</v>
      </c>
      <c r="K11" s="481">
        <v>6</v>
      </c>
      <c r="L11" s="2095">
        <f>SUM(I11:K11)</f>
        <v>11</v>
      </c>
      <c r="M11" s="2096">
        <f t="shared" si="2"/>
        <v>9.0909090909090912E-2</v>
      </c>
      <c r="O11" s="480">
        <v>2</v>
      </c>
      <c r="P11" s="481">
        <v>3</v>
      </c>
      <c r="Q11" s="481">
        <v>7</v>
      </c>
      <c r="R11" s="2095">
        <f>SUM(O11:Q11)</f>
        <v>12</v>
      </c>
      <c r="S11" s="2096">
        <f t="shared" si="3"/>
        <v>0.16666666666666666</v>
      </c>
      <c r="U11" s="480">
        <v>2</v>
      </c>
      <c r="V11" s="481">
        <v>3</v>
      </c>
      <c r="W11" s="481">
        <v>7</v>
      </c>
      <c r="X11" s="2095">
        <f t="shared" si="0"/>
        <v>12</v>
      </c>
      <c r="Y11" s="2096">
        <f t="shared" si="4"/>
        <v>0.16666666666666666</v>
      </c>
      <c r="AA11" s="480">
        <v>3</v>
      </c>
      <c r="AB11" s="481">
        <v>2</v>
      </c>
      <c r="AC11" s="481">
        <v>5</v>
      </c>
      <c r="AD11" s="2095">
        <f>SUM(AA11:AC11)</f>
        <v>10</v>
      </c>
      <c r="AE11" s="2096">
        <f t="shared" si="5"/>
        <v>0.3</v>
      </c>
      <c r="AG11" s="480">
        <v>3</v>
      </c>
      <c r="AH11" s="481">
        <v>4</v>
      </c>
      <c r="AI11" s="481">
        <v>3</v>
      </c>
      <c r="AJ11" s="2095">
        <f>SUM(AG11:AI11)</f>
        <v>10</v>
      </c>
      <c r="AK11" s="2096">
        <f t="shared" si="6"/>
        <v>0.3</v>
      </c>
      <c r="AM11" s="480">
        <v>3</v>
      </c>
      <c r="AN11" s="481">
        <v>4</v>
      </c>
      <c r="AO11" s="481">
        <v>4</v>
      </c>
      <c r="AP11" s="2095">
        <f>SUM(AM11:AO11)</f>
        <v>11</v>
      </c>
      <c r="AQ11" s="2096">
        <f t="shared" ref="AQ11:AQ14" si="12">AM11/AP11</f>
        <v>0.27272727272727271</v>
      </c>
      <c r="AS11" s="4147">
        <v>2</v>
      </c>
      <c r="AT11" s="4148">
        <v>3</v>
      </c>
      <c r="AU11" s="4148">
        <v>5</v>
      </c>
      <c r="AV11" s="2095">
        <f t="shared" si="8"/>
        <v>10</v>
      </c>
      <c r="AW11" s="2096">
        <f t="shared" si="9"/>
        <v>0.2</v>
      </c>
      <c r="AY11" s="4147">
        <v>1</v>
      </c>
      <c r="AZ11" s="4148">
        <v>4</v>
      </c>
      <c r="BA11" s="4148">
        <v>3</v>
      </c>
      <c r="BB11" s="2095">
        <f t="shared" ref="BB11:BB14" si="13">SUM(AY11:BA11)</f>
        <v>8</v>
      </c>
      <c r="BC11" s="2096">
        <f t="shared" ref="BC11:BC14" si="14">AY11/BB11</f>
        <v>0.125</v>
      </c>
    </row>
    <row r="12" spans="1:55" ht="15" customHeight="1">
      <c r="A12" s="49" t="s">
        <v>61</v>
      </c>
      <c r="B12" s="475"/>
      <c r="C12" s="482">
        <v>1</v>
      </c>
      <c r="D12" s="483"/>
      <c r="E12" s="483">
        <v>4</v>
      </c>
      <c r="F12" s="2097">
        <f>SUM(C12:E12)</f>
        <v>5</v>
      </c>
      <c r="G12" s="2098">
        <f t="shared" si="1"/>
        <v>0.2</v>
      </c>
      <c r="I12" s="482">
        <v>1</v>
      </c>
      <c r="J12" s="483"/>
      <c r="K12" s="483">
        <v>8</v>
      </c>
      <c r="L12" s="2097">
        <f>SUM(I12:K12)</f>
        <v>9</v>
      </c>
      <c r="M12" s="2098">
        <f t="shared" si="2"/>
        <v>0.1111111111111111</v>
      </c>
      <c r="O12" s="482">
        <v>1</v>
      </c>
      <c r="P12" s="483"/>
      <c r="Q12" s="483">
        <v>9</v>
      </c>
      <c r="R12" s="2097">
        <f>SUM(O12:Q12)</f>
        <v>10</v>
      </c>
      <c r="S12" s="2098">
        <f t="shared" si="3"/>
        <v>0.1</v>
      </c>
      <c r="U12" s="482">
        <v>1</v>
      </c>
      <c r="V12" s="483"/>
      <c r="W12" s="483">
        <v>8</v>
      </c>
      <c r="X12" s="2097">
        <f t="shared" si="0"/>
        <v>9</v>
      </c>
      <c r="Y12" s="2098">
        <f t="shared" si="4"/>
        <v>0.1111111111111111</v>
      </c>
      <c r="AA12" s="482">
        <v>1</v>
      </c>
      <c r="AB12" s="483">
        <v>1</v>
      </c>
      <c r="AC12" s="483">
        <v>7</v>
      </c>
      <c r="AD12" s="2097">
        <f>SUM(AA12:AC12)</f>
        <v>9</v>
      </c>
      <c r="AE12" s="2098">
        <f t="shared" si="5"/>
        <v>0.1111111111111111</v>
      </c>
      <c r="AG12" s="482">
        <v>1</v>
      </c>
      <c r="AH12" s="483">
        <v>1</v>
      </c>
      <c r="AI12" s="483">
        <v>8</v>
      </c>
      <c r="AJ12" s="2097">
        <f>SUM(AG12:AI12)</f>
        <v>10</v>
      </c>
      <c r="AK12" s="2098">
        <f t="shared" si="6"/>
        <v>0.1</v>
      </c>
      <c r="AM12" s="482">
        <v>1</v>
      </c>
      <c r="AN12" s="483">
        <v>1</v>
      </c>
      <c r="AO12" s="483">
        <v>8</v>
      </c>
      <c r="AP12" s="2097">
        <f>SUM(AM12:AO12)</f>
        <v>10</v>
      </c>
      <c r="AQ12" s="2098">
        <f t="shared" si="12"/>
        <v>0.1</v>
      </c>
      <c r="AS12" s="4149">
        <v>1</v>
      </c>
      <c r="AT12" s="4066">
        <v>1</v>
      </c>
      <c r="AU12" s="4066">
        <v>6</v>
      </c>
      <c r="AV12" s="2097">
        <f t="shared" si="8"/>
        <v>8</v>
      </c>
      <c r="AW12" s="2098">
        <f t="shared" si="9"/>
        <v>0.125</v>
      </c>
      <c r="AY12" s="4149">
        <v>1</v>
      </c>
      <c r="AZ12" s="4066">
        <v>1</v>
      </c>
      <c r="BA12" s="4066">
        <v>6</v>
      </c>
      <c r="BB12" s="2097">
        <f t="shared" si="13"/>
        <v>8</v>
      </c>
      <c r="BC12" s="2098">
        <f t="shared" si="14"/>
        <v>0.125</v>
      </c>
    </row>
    <row r="13" spans="1:55" ht="15" customHeight="1">
      <c r="A13" s="49" t="s">
        <v>64</v>
      </c>
      <c r="B13" s="475"/>
      <c r="C13" s="482"/>
      <c r="D13" s="483"/>
      <c r="E13" s="483">
        <v>5</v>
      </c>
      <c r="F13" s="2097">
        <f>SUM(C13:E13)</f>
        <v>5</v>
      </c>
      <c r="G13" s="2098">
        <f t="shared" si="1"/>
        <v>0</v>
      </c>
      <c r="I13" s="482">
        <v>1</v>
      </c>
      <c r="J13" s="483">
        <v>1</v>
      </c>
      <c r="K13" s="483">
        <v>5</v>
      </c>
      <c r="L13" s="2097">
        <f>SUM(I13:K13)</f>
        <v>7</v>
      </c>
      <c r="M13" s="2098">
        <f t="shared" si="2"/>
        <v>0.14285714285714285</v>
      </c>
      <c r="O13" s="482">
        <v>1</v>
      </c>
      <c r="P13" s="483">
        <v>2</v>
      </c>
      <c r="Q13" s="483">
        <v>5</v>
      </c>
      <c r="R13" s="2097">
        <f>SUM(O13:Q13)</f>
        <v>8</v>
      </c>
      <c r="S13" s="2098">
        <f t="shared" si="3"/>
        <v>0.125</v>
      </c>
      <c r="U13" s="482">
        <v>1</v>
      </c>
      <c r="V13" s="483">
        <v>2</v>
      </c>
      <c r="W13" s="483">
        <v>5</v>
      </c>
      <c r="X13" s="2097">
        <f t="shared" si="0"/>
        <v>8</v>
      </c>
      <c r="Y13" s="2098">
        <f t="shared" si="4"/>
        <v>0.125</v>
      </c>
      <c r="AA13" s="482">
        <v>1</v>
      </c>
      <c r="AB13" s="483">
        <v>4</v>
      </c>
      <c r="AC13" s="483">
        <v>4</v>
      </c>
      <c r="AD13" s="2097">
        <f>SUM(AA13:AC13)</f>
        <v>9</v>
      </c>
      <c r="AE13" s="2098">
        <f t="shared" si="5"/>
        <v>0.1111111111111111</v>
      </c>
      <c r="AG13" s="482">
        <v>1</v>
      </c>
      <c r="AH13" s="483">
        <v>6</v>
      </c>
      <c r="AI13" s="483">
        <v>4</v>
      </c>
      <c r="AJ13" s="2097">
        <f>SUM(AG13:AI13)</f>
        <v>11</v>
      </c>
      <c r="AK13" s="2098">
        <f t="shared" si="6"/>
        <v>9.0909090909090912E-2</v>
      </c>
      <c r="AM13" s="482">
        <v>2</v>
      </c>
      <c r="AN13" s="483">
        <v>5</v>
      </c>
      <c r="AO13" s="483">
        <v>4</v>
      </c>
      <c r="AP13" s="2097">
        <f>SUM(AM13:AO13)</f>
        <v>11</v>
      </c>
      <c r="AQ13" s="2098">
        <f t="shared" si="12"/>
        <v>0.18181818181818182</v>
      </c>
      <c r="AS13" s="4149">
        <v>3</v>
      </c>
      <c r="AT13" s="4066">
        <v>5</v>
      </c>
      <c r="AU13" s="4066">
        <v>2</v>
      </c>
      <c r="AV13" s="2097">
        <f t="shared" si="8"/>
        <v>10</v>
      </c>
      <c r="AW13" s="2098">
        <f t="shared" si="9"/>
        <v>0.3</v>
      </c>
      <c r="AY13" s="4149">
        <v>3</v>
      </c>
      <c r="AZ13" s="4066">
        <v>5</v>
      </c>
      <c r="BA13" s="4066">
        <v>3</v>
      </c>
      <c r="BB13" s="2097">
        <f t="shared" si="13"/>
        <v>11</v>
      </c>
      <c r="BC13" s="2098">
        <f t="shared" si="14"/>
        <v>0.27272727272727271</v>
      </c>
    </row>
    <row r="14" spans="1:55" ht="15" customHeight="1">
      <c r="A14" s="4122" t="s">
        <v>59</v>
      </c>
      <c r="B14" s="475"/>
      <c r="C14" s="4123">
        <f t="shared" ref="C14:X14" si="15">SUM(C11:C13)</f>
        <v>2</v>
      </c>
      <c r="D14" s="4124">
        <f t="shared" si="15"/>
        <v>4</v>
      </c>
      <c r="E14" s="4124">
        <f t="shared" si="15"/>
        <v>14</v>
      </c>
      <c r="F14" s="4125">
        <f t="shared" si="15"/>
        <v>20</v>
      </c>
      <c r="G14" s="4126">
        <f t="shared" si="1"/>
        <v>0.1</v>
      </c>
      <c r="I14" s="4123">
        <f t="shared" si="15"/>
        <v>3</v>
      </c>
      <c r="J14" s="4124">
        <f t="shared" si="15"/>
        <v>5</v>
      </c>
      <c r="K14" s="4124">
        <f t="shared" si="15"/>
        <v>19</v>
      </c>
      <c r="L14" s="4125">
        <f t="shared" si="15"/>
        <v>27</v>
      </c>
      <c r="M14" s="4126">
        <f t="shared" si="2"/>
        <v>0.1111111111111111</v>
      </c>
      <c r="O14" s="4123">
        <f t="shared" si="15"/>
        <v>4</v>
      </c>
      <c r="P14" s="4124">
        <f t="shared" si="15"/>
        <v>5</v>
      </c>
      <c r="Q14" s="4124">
        <f t="shared" si="15"/>
        <v>21</v>
      </c>
      <c r="R14" s="4125">
        <f t="shared" si="15"/>
        <v>30</v>
      </c>
      <c r="S14" s="4126">
        <f t="shared" si="3"/>
        <v>0.13333333333333333</v>
      </c>
      <c r="U14" s="4123">
        <f t="shared" si="15"/>
        <v>4</v>
      </c>
      <c r="V14" s="4124">
        <f t="shared" si="15"/>
        <v>5</v>
      </c>
      <c r="W14" s="4124">
        <f t="shared" si="15"/>
        <v>20</v>
      </c>
      <c r="X14" s="4125">
        <f t="shared" si="15"/>
        <v>29</v>
      </c>
      <c r="Y14" s="4126">
        <f t="shared" si="4"/>
        <v>0.13793103448275862</v>
      </c>
      <c r="AA14" s="4123">
        <f>SUM(AA11:AA13)</f>
        <v>5</v>
      </c>
      <c r="AB14" s="4124">
        <f>SUM(AB11:AB13)</f>
        <v>7</v>
      </c>
      <c r="AC14" s="4124">
        <f>SUM(AC11:AC13)</f>
        <v>16</v>
      </c>
      <c r="AD14" s="4125">
        <f>SUM(AD11:AD13)</f>
        <v>28</v>
      </c>
      <c r="AE14" s="4126">
        <f t="shared" si="5"/>
        <v>0.17857142857142858</v>
      </c>
      <c r="AG14" s="4123">
        <f t="shared" ref="AG14:AJ14" si="16">SUM(AG11:AG13)</f>
        <v>5</v>
      </c>
      <c r="AH14" s="4124">
        <f t="shared" si="16"/>
        <v>11</v>
      </c>
      <c r="AI14" s="4124">
        <f t="shared" si="16"/>
        <v>15</v>
      </c>
      <c r="AJ14" s="4125">
        <f t="shared" si="16"/>
        <v>31</v>
      </c>
      <c r="AK14" s="4126">
        <f t="shared" si="6"/>
        <v>0.16129032258064516</v>
      </c>
      <c r="AM14" s="4123">
        <f t="shared" ref="AM14:AU14" si="17">SUM(AM11:AM13)</f>
        <v>6</v>
      </c>
      <c r="AN14" s="4124">
        <f t="shared" si="17"/>
        <v>10</v>
      </c>
      <c r="AO14" s="4124">
        <f t="shared" si="17"/>
        <v>16</v>
      </c>
      <c r="AP14" s="4125">
        <f t="shared" si="17"/>
        <v>32</v>
      </c>
      <c r="AQ14" s="4126">
        <f t="shared" si="12"/>
        <v>0.1875</v>
      </c>
      <c r="AS14" s="4123">
        <f t="shared" si="17"/>
        <v>6</v>
      </c>
      <c r="AT14" s="4124">
        <f t="shared" si="17"/>
        <v>9</v>
      </c>
      <c r="AU14" s="4124">
        <f t="shared" si="17"/>
        <v>13</v>
      </c>
      <c r="AV14" s="4125">
        <f t="shared" si="8"/>
        <v>28</v>
      </c>
      <c r="AW14" s="4126">
        <f t="shared" si="9"/>
        <v>0.21428571428571427</v>
      </c>
      <c r="AY14" s="4123">
        <f t="shared" ref="AY14:BA14" si="18">SUM(AY11:AY13)</f>
        <v>5</v>
      </c>
      <c r="AZ14" s="4124">
        <f t="shared" si="18"/>
        <v>10</v>
      </c>
      <c r="BA14" s="4124">
        <f t="shared" si="18"/>
        <v>12</v>
      </c>
      <c r="BB14" s="4125">
        <f t="shared" si="13"/>
        <v>27</v>
      </c>
      <c r="BC14" s="4126">
        <f t="shared" si="14"/>
        <v>0.18518518518518517</v>
      </c>
    </row>
    <row r="15" spans="1:55" ht="18">
      <c r="A15" s="454"/>
      <c r="B15" s="475"/>
      <c r="G15" s="1534"/>
      <c r="M15" s="1534"/>
      <c r="S15" s="1534"/>
      <c r="Y15" s="1534"/>
      <c r="AE15" s="1534"/>
      <c r="AK15" s="1534"/>
      <c r="AQ15" s="1534"/>
    </row>
    <row r="16" spans="1:55" ht="15" customHeight="1">
      <c r="A16" s="324" t="s">
        <v>4</v>
      </c>
      <c r="B16" s="475"/>
      <c r="C16" s="480">
        <v>16</v>
      </c>
      <c r="D16" s="481">
        <v>18</v>
      </c>
      <c r="E16" s="481">
        <v>3</v>
      </c>
      <c r="F16" s="2095">
        <f>SUM(C16:E16)</f>
        <v>37</v>
      </c>
      <c r="G16" s="2096">
        <f t="shared" si="1"/>
        <v>0.43243243243243246</v>
      </c>
      <c r="I16" s="480">
        <v>16</v>
      </c>
      <c r="J16" s="481">
        <v>19</v>
      </c>
      <c r="K16" s="481">
        <v>4</v>
      </c>
      <c r="L16" s="2095">
        <f>SUM(I16:K16)</f>
        <v>39</v>
      </c>
      <c r="M16" s="2096">
        <f t="shared" si="2"/>
        <v>0.41025641025641024</v>
      </c>
      <c r="O16" s="480">
        <v>17</v>
      </c>
      <c r="P16" s="481">
        <v>17</v>
      </c>
      <c r="Q16" s="481">
        <v>3</v>
      </c>
      <c r="R16" s="2095">
        <f>SUM(O16:Q16)</f>
        <v>37</v>
      </c>
      <c r="S16" s="2096">
        <f t="shared" si="3"/>
        <v>0.45945945945945948</v>
      </c>
      <c r="U16" s="480">
        <v>17</v>
      </c>
      <c r="V16" s="481">
        <v>16</v>
      </c>
      <c r="W16" s="481">
        <v>3</v>
      </c>
      <c r="X16" s="2095">
        <f>SUM(U16:W16)</f>
        <v>36</v>
      </c>
      <c r="Y16" s="2096">
        <f t="shared" si="4"/>
        <v>0.47222222222222221</v>
      </c>
      <c r="AA16" s="480">
        <v>18</v>
      </c>
      <c r="AB16" s="481">
        <v>16</v>
      </c>
      <c r="AC16" s="481">
        <v>3</v>
      </c>
      <c r="AD16" s="2095">
        <f>SUM(AA16:AC16)</f>
        <v>37</v>
      </c>
      <c r="AE16" s="2096">
        <f t="shared" si="5"/>
        <v>0.48648648648648651</v>
      </c>
      <c r="AG16" s="480">
        <v>17</v>
      </c>
      <c r="AH16" s="481">
        <v>14</v>
      </c>
      <c r="AI16" s="481">
        <v>5</v>
      </c>
      <c r="AJ16" s="2095">
        <f>SUM(AG16:AI16)</f>
        <v>36</v>
      </c>
      <c r="AK16" s="2096">
        <f t="shared" si="6"/>
        <v>0.47222222222222221</v>
      </c>
      <c r="AM16" s="480">
        <v>14</v>
      </c>
      <c r="AN16" s="481">
        <v>16</v>
      </c>
      <c r="AO16" s="481">
        <v>7</v>
      </c>
      <c r="AP16" s="2095">
        <f>SUM(AM16:AO16)</f>
        <v>37</v>
      </c>
      <c r="AQ16" s="2096">
        <f t="shared" ref="AQ16:AQ19" si="19">AM16/AP16</f>
        <v>0.3783783783783784</v>
      </c>
      <c r="AS16" s="4147">
        <v>14</v>
      </c>
      <c r="AT16" s="4148">
        <v>16</v>
      </c>
      <c r="AU16" s="4148">
        <v>4</v>
      </c>
      <c r="AV16" s="2095">
        <f t="shared" si="8"/>
        <v>34</v>
      </c>
      <c r="AW16" s="2096">
        <f t="shared" si="9"/>
        <v>0.41176470588235292</v>
      </c>
      <c r="AY16" s="4147">
        <v>14</v>
      </c>
      <c r="AZ16" s="4148">
        <v>15</v>
      </c>
      <c r="BA16" s="4148">
        <v>5</v>
      </c>
      <c r="BB16" s="2095">
        <f t="shared" ref="BB16:BB19" si="20">SUM(AY16:BA16)</f>
        <v>34</v>
      </c>
      <c r="BC16" s="2096">
        <f t="shared" ref="BC16:BC19" si="21">AY16/BB16</f>
        <v>0.41176470588235292</v>
      </c>
    </row>
    <row r="17" spans="1:55" ht="15" customHeight="1">
      <c r="A17" s="49" t="s">
        <v>16</v>
      </c>
      <c r="B17" s="475"/>
      <c r="C17" s="482">
        <v>17</v>
      </c>
      <c r="D17" s="483">
        <v>12</v>
      </c>
      <c r="E17" s="483">
        <v>3</v>
      </c>
      <c r="F17" s="2097">
        <f>SUM(C17:E17)</f>
        <v>32</v>
      </c>
      <c r="G17" s="2098">
        <f t="shared" si="1"/>
        <v>0.53125</v>
      </c>
      <c r="I17" s="482">
        <v>12</v>
      </c>
      <c r="J17" s="483">
        <v>14</v>
      </c>
      <c r="K17" s="483">
        <v>10</v>
      </c>
      <c r="L17" s="2097">
        <f>SUM(I17:K17)</f>
        <v>36</v>
      </c>
      <c r="M17" s="2098">
        <f t="shared" si="2"/>
        <v>0.33333333333333331</v>
      </c>
      <c r="O17" s="482">
        <v>16</v>
      </c>
      <c r="P17" s="483">
        <v>11</v>
      </c>
      <c r="Q17" s="483">
        <v>9</v>
      </c>
      <c r="R17" s="2097">
        <f>SUM(O17:Q17)</f>
        <v>36</v>
      </c>
      <c r="S17" s="2098">
        <f t="shared" si="3"/>
        <v>0.44444444444444442</v>
      </c>
      <c r="U17" s="482">
        <v>16</v>
      </c>
      <c r="V17" s="483">
        <v>12</v>
      </c>
      <c r="W17" s="483">
        <v>9</v>
      </c>
      <c r="X17" s="2097">
        <f>SUM(U17:W17)</f>
        <v>37</v>
      </c>
      <c r="Y17" s="2098">
        <f t="shared" si="4"/>
        <v>0.43243243243243246</v>
      </c>
      <c r="AA17" s="482">
        <v>16</v>
      </c>
      <c r="AB17" s="483">
        <v>11</v>
      </c>
      <c r="AC17" s="483">
        <v>7</v>
      </c>
      <c r="AD17" s="2097">
        <f>SUM(AA17:AC17)</f>
        <v>34</v>
      </c>
      <c r="AE17" s="2098">
        <f t="shared" si="5"/>
        <v>0.47058823529411764</v>
      </c>
      <c r="AG17" s="482">
        <v>15</v>
      </c>
      <c r="AH17" s="483">
        <v>8</v>
      </c>
      <c r="AI17" s="483">
        <v>6</v>
      </c>
      <c r="AJ17" s="2097">
        <f>SUM(AG17:AI17)</f>
        <v>29</v>
      </c>
      <c r="AK17" s="2098">
        <f t="shared" si="6"/>
        <v>0.51724137931034486</v>
      </c>
      <c r="AM17" s="482">
        <v>12</v>
      </c>
      <c r="AN17" s="483">
        <v>10</v>
      </c>
      <c r="AO17" s="483">
        <v>7</v>
      </c>
      <c r="AP17" s="2097">
        <f>SUM(AM17:AO17)</f>
        <v>29</v>
      </c>
      <c r="AQ17" s="2098">
        <f t="shared" si="19"/>
        <v>0.41379310344827586</v>
      </c>
      <c r="AS17" s="4149">
        <v>10</v>
      </c>
      <c r="AT17" s="4066">
        <v>9</v>
      </c>
      <c r="AU17" s="4066">
        <v>8</v>
      </c>
      <c r="AV17" s="2097">
        <f t="shared" si="8"/>
        <v>27</v>
      </c>
      <c r="AW17" s="2098">
        <f t="shared" si="9"/>
        <v>0.37037037037037035</v>
      </c>
      <c r="AY17" s="4149">
        <v>10</v>
      </c>
      <c r="AZ17" s="4066">
        <v>6</v>
      </c>
      <c r="BA17" s="4066">
        <v>10</v>
      </c>
      <c r="BB17" s="2097">
        <f t="shared" si="20"/>
        <v>26</v>
      </c>
      <c r="BC17" s="2098">
        <f t="shared" si="21"/>
        <v>0.38461538461538464</v>
      </c>
    </row>
    <row r="18" spans="1:55" ht="15" customHeight="1">
      <c r="A18" s="49" t="s">
        <v>41</v>
      </c>
      <c r="B18" s="475"/>
      <c r="C18" s="482">
        <v>14</v>
      </c>
      <c r="D18" s="483">
        <v>15</v>
      </c>
      <c r="E18" s="483">
        <v>10</v>
      </c>
      <c r="F18" s="2097">
        <f>SUM(C18:E18)</f>
        <v>39</v>
      </c>
      <c r="G18" s="2098">
        <f t="shared" si="1"/>
        <v>0.35897435897435898</v>
      </c>
      <c r="I18" s="482">
        <v>15</v>
      </c>
      <c r="J18" s="483">
        <v>13</v>
      </c>
      <c r="K18" s="483">
        <v>4</v>
      </c>
      <c r="L18" s="2097">
        <f>SUM(I18:K18)</f>
        <v>32</v>
      </c>
      <c r="M18" s="2098">
        <f t="shared" si="2"/>
        <v>0.46875</v>
      </c>
      <c r="O18" s="482">
        <v>15</v>
      </c>
      <c r="P18" s="483">
        <v>9</v>
      </c>
      <c r="Q18" s="483">
        <v>8</v>
      </c>
      <c r="R18" s="2097">
        <f>SUM(O18:Q18)</f>
        <v>32</v>
      </c>
      <c r="S18" s="2098">
        <f t="shared" si="3"/>
        <v>0.46875</v>
      </c>
      <c r="U18" s="482">
        <v>15</v>
      </c>
      <c r="V18" s="483">
        <v>8</v>
      </c>
      <c r="W18" s="483">
        <v>8</v>
      </c>
      <c r="X18" s="2097">
        <f>SUM(U18:W18)</f>
        <v>31</v>
      </c>
      <c r="Y18" s="2098">
        <f t="shared" si="4"/>
        <v>0.4838709677419355</v>
      </c>
      <c r="AA18" s="482">
        <v>15</v>
      </c>
      <c r="AB18" s="483">
        <v>8</v>
      </c>
      <c r="AC18" s="483">
        <v>8</v>
      </c>
      <c r="AD18" s="2097">
        <f>SUM(AA18:AC18)</f>
        <v>31</v>
      </c>
      <c r="AE18" s="2098">
        <f t="shared" si="5"/>
        <v>0.4838709677419355</v>
      </c>
      <c r="AG18" s="482">
        <v>16</v>
      </c>
      <c r="AH18" s="483">
        <v>7</v>
      </c>
      <c r="AI18" s="483">
        <v>9</v>
      </c>
      <c r="AJ18" s="2097">
        <f>SUM(AG18:AI18)</f>
        <v>32</v>
      </c>
      <c r="AK18" s="2098">
        <f t="shared" si="6"/>
        <v>0.5</v>
      </c>
      <c r="AM18" s="482">
        <v>15</v>
      </c>
      <c r="AN18" s="483">
        <v>8</v>
      </c>
      <c r="AO18" s="483">
        <v>9</v>
      </c>
      <c r="AP18" s="2097">
        <f>SUM(AM18:AO18)</f>
        <v>32</v>
      </c>
      <c r="AQ18" s="2098">
        <f t="shared" si="19"/>
        <v>0.46875</v>
      </c>
      <c r="AS18" s="4149">
        <v>15</v>
      </c>
      <c r="AT18" s="4066">
        <v>8</v>
      </c>
      <c r="AU18" s="4066">
        <v>11</v>
      </c>
      <c r="AV18" s="2097">
        <f t="shared" si="8"/>
        <v>34</v>
      </c>
      <c r="AW18" s="2098">
        <f t="shared" si="9"/>
        <v>0.44117647058823528</v>
      </c>
      <c r="AY18" s="4149">
        <v>14</v>
      </c>
      <c r="AZ18" s="4066">
        <v>13</v>
      </c>
      <c r="BA18" s="4066">
        <v>7</v>
      </c>
      <c r="BB18" s="2097">
        <f t="shared" si="20"/>
        <v>34</v>
      </c>
      <c r="BC18" s="2098">
        <f t="shared" si="21"/>
        <v>0.41176470588235292</v>
      </c>
    </row>
    <row r="19" spans="1:55" ht="15" customHeight="1">
      <c r="A19" s="4127" t="s">
        <v>25</v>
      </c>
      <c r="B19" s="475"/>
      <c r="C19" s="4128">
        <f t="shared" ref="C19:X19" si="22">SUM(C16:C18)</f>
        <v>47</v>
      </c>
      <c r="D19" s="4129">
        <f t="shared" si="22"/>
        <v>45</v>
      </c>
      <c r="E19" s="4129">
        <f t="shared" si="22"/>
        <v>16</v>
      </c>
      <c r="F19" s="4130">
        <f t="shared" si="22"/>
        <v>108</v>
      </c>
      <c r="G19" s="4131">
        <f t="shared" si="1"/>
        <v>0.43518518518518517</v>
      </c>
      <c r="I19" s="4128">
        <f t="shared" si="22"/>
        <v>43</v>
      </c>
      <c r="J19" s="4129">
        <f t="shared" si="22"/>
        <v>46</v>
      </c>
      <c r="K19" s="4129">
        <f t="shared" si="22"/>
        <v>18</v>
      </c>
      <c r="L19" s="4130">
        <f t="shared" si="22"/>
        <v>107</v>
      </c>
      <c r="M19" s="4131">
        <f t="shared" si="2"/>
        <v>0.40186915887850466</v>
      </c>
      <c r="O19" s="4128">
        <f t="shared" si="22"/>
        <v>48</v>
      </c>
      <c r="P19" s="4129">
        <f t="shared" si="22"/>
        <v>37</v>
      </c>
      <c r="Q19" s="4129">
        <f t="shared" si="22"/>
        <v>20</v>
      </c>
      <c r="R19" s="4130">
        <f t="shared" si="22"/>
        <v>105</v>
      </c>
      <c r="S19" s="4131">
        <f t="shared" si="3"/>
        <v>0.45714285714285713</v>
      </c>
      <c r="U19" s="4128">
        <f t="shared" si="22"/>
        <v>48</v>
      </c>
      <c r="V19" s="4129">
        <f t="shared" si="22"/>
        <v>36</v>
      </c>
      <c r="W19" s="4129">
        <f t="shared" si="22"/>
        <v>20</v>
      </c>
      <c r="X19" s="4130">
        <f t="shared" si="22"/>
        <v>104</v>
      </c>
      <c r="Y19" s="4131">
        <f t="shared" si="4"/>
        <v>0.46153846153846156</v>
      </c>
      <c r="AA19" s="4128">
        <f>SUM(AA16:AA18)</f>
        <v>49</v>
      </c>
      <c r="AB19" s="4129">
        <f>SUM(AB16:AB18)</f>
        <v>35</v>
      </c>
      <c r="AC19" s="4129">
        <f>SUM(AC16:AC18)</f>
        <v>18</v>
      </c>
      <c r="AD19" s="4130">
        <f>SUM(AD16:AD18)</f>
        <v>102</v>
      </c>
      <c r="AE19" s="4131">
        <f t="shared" si="5"/>
        <v>0.48039215686274511</v>
      </c>
      <c r="AG19" s="4128">
        <f t="shared" ref="AG19:AJ19" si="23">SUM(AG16:AG18)</f>
        <v>48</v>
      </c>
      <c r="AH19" s="4129">
        <f t="shared" si="23"/>
        <v>29</v>
      </c>
      <c r="AI19" s="4129">
        <f t="shared" si="23"/>
        <v>20</v>
      </c>
      <c r="AJ19" s="4130">
        <f t="shared" si="23"/>
        <v>97</v>
      </c>
      <c r="AK19" s="4131">
        <f t="shared" si="6"/>
        <v>0.49484536082474229</v>
      </c>
      <c r="AM19" s="4128">
        <f t="shared" ref="AM19:AU19" si="24">SUM(AM16:AM18)</f>
        <v>41</v>
      </c>
      <c r="AN19" s="4129">
        <f t="shared" si="24"/>
        <v>34</v>
      </c>
      <c r="AO19" s="4129">
        <f t="shared" si="24"/>
        <v>23</v>
      </c>
      <c r="AP19" s="4130">
        <f t="shared" si="24"/>
        <v>98</v>
      </c>
      <c r="AQ19" s="4131">
        <f t="shared" si="19"/>
        <v>0.41836734693877553</v>
      </c>
      <c r="AS19" s="4128">
        <f t="shared" si="24"/>
        <v>39</v>
      </c>
      <c r="AT19" s="4129">
        <f t="shared" si="24"/>
        <v>33</v>
      </c>
      <c r="AU19" s="4129">
        <f t="shared" si="24"/>
        <v>23</v>
      </c>
      <c r="AV19" s="4130">
        <f t="shared" si="8"/>
        <v>95</v>
      </c>
      <c r="AW19" s="4131">
        <f t="shared" si="9"/>
        <v>0.41052631578947368</v>
      </c>
      <c r="AY19" s="4128">
        <f t="shared" ref="AY19:BA19" si="25">SUM(AY16:AY18)</f>
        <v>38</v>
      </c>
      <c r="AZ19" s="4129">
        <f t="shared" si="25"/>
        <v>34</v>
      </c>
      <c r="BA19" s="4129">
        <f t="shared" si="25"/>
        <v>22</v>
      </c>
      <c r="BB19" s="4130">
        <f t="shared" si="20"/>
        <v>94</v>
      </c>
      <c r="BC19" s="4131">
        <f t="shared" si="21"/>
        <v>0.40425531914893614</v>
      </c>
    </row>
    <row r="20" spans="1:55" ht="15" customHeight="1">
      <c r="A20" s="477"/>
      <c r="B20" s="475"/>
    </row>
    <row r="21" spans="1:55" ht="15" customHeight="1">
      <c r="A21" s="324" t="s">
        <v>4</v>
      </c>
      <c r="B21" s="475"/>
      <c r="C21" s="480"/>
      <c r="D21" s="481"/>
      <c r="E21" s="481"/>
      <c r="F21" s="2095"/>
      <c r="G21" s="2096"/>
      <c r="I21" s="480"/>
      <c r="J21" s="481"/>
      <c r="K21" s="481"/>
      <c r="L21" s="2095"/>
      <c r="M21" s="2096"/>
      <c r="O21" s="480"/>
      <c r="P21" s="481"/>
      <c r="Q21" s="481"/>
      <c r="R21" s="2095"/>
      <c r="S21" s="2096"/>
      <c r="U21" s="480"/>
      <c r="V21" s="481"/>
      <c r="W21" s="481"/>
      <c r="X21" s="2095"/>
      <c r="Y21" s="2096"/>
      <c r="AA21" s="480"/>
      <c r="AB21" s="481"/>
      <c r="AC21" s="481"/>
      <c r="AD21" s="2095"/>
      <c r="AE21" s="2096"/>
      <c r="AG21" s="480"/>
      <c r="AH21" s="481"/>
      <c r="AI21" s="481">
        <v>2</v>
      </c>
      <c r="AJ21" s="2095">
        <f>SUM(AG21:AI21)</f>
        <v>2</v>
      </c>
      <c r="AK21" s="2096">
        <f t="shared" ref="AK21:AK24" si="26">AG21/AJ21</f>
        <v>0</v>
      </c>
      <c r="AM21" s="480"/>
      <c r="AN21" s="481"/>
      <c r="AO21" s="481">
        <v>2</v>
      </c>
      <c r="AP21" s="2095">
        <f>SUM(AM21:AO21)</f>
        <v>2</v>
      </c>
      <c r="AQ21" s="2096">
        <f t="shared" ref="AQ21:AQ22" si="27">AM21/AP21</f>
        <v>0</v>
      </c>
      <c r="AS21" s="4147"/>
      <c r="AT21" s="4148"/>
      <c r="AU21" s="4148">
        <v>2</v>
      </c>
      <c r="AV21" s="2095">
        <f t="shared" si="8"/>
        <v>2</v>
      </c>
      <c r="AW21" s="2096">
        <f t="shared" si="9"/>
        <v>0</v>
      </c>
      <c r="AY21" s="4147"/>
      <c r="AZ21" s="4148"/>
      <c r="BA21" s="4148">
        <v>3</v>
      </c>
      <c r="BB21" s="2095">
        <f t="shared" ref="BB21:BB24" si="28">SUM(AY21:BA21)</f>
        <v>3</v>
      </c>
      <c r="BC21" s="2096">
        <f t="shared" ref="BC21:BC24" si="29">AY21/BB21</f>
        <v>0</v>
      </c>
    </row>
    <row r="22" spans="1:55" ht="15" customHeight="1">
      <c r="A22" s="49" t="s">
        <v>16</v>
      </c>
      <c r="B22" s="475"/>
      <c r="C22" s="482"/>
      <c r="D22" s="483"/>
      <c r="E22" s="483"/>
      <c r="F22" s="2097"/>
      <c r="G22" s="2098"/>
      <c r="I22" s="482"/>
      <c r="J22" s="483"/>
      <c r="K22" s="483"/>
      <c r="L22" s="2097"/>
      <c r="M22" s="2098"/>
      <c r="O22" s="482"/>
      <c r="P22" s="483"/>
      <c r="Q22" s="483"/>
      <c r="R22" s="2097"/>
      <c r="S22" s="2098"/>
      <c r="U22" s="482"/>
      <c r="V22" s="483"/>
      <c r="W22" s="483"/>
      <c r="X22" s="2097"/>
      <c r="Y22" s="2098"/>
      <c r="AA22" s="482"/>
      <c r="AB22" s="483"/>
      <c r="AC22" s="483"/>
      <c r="AD22" s="2097"/>
      <c r="AE22" s="2098"/>
      <c r="AG22" s="482"/>
      <c r="AH22" s="483"/>
      <c r="AI22" s="483">
        <v>2</v>
      </c>
      <c r="AJ22" s="2097">
        <f>SUM(AG22:AI22)</f>
        <v>2</v>
      </c>
      <c r="AK22" s="2098">
        <f t="shared" si="26"/>
        <v>0</v>
      </c>
      <c r="AM22" s="482"/>
      <c r="AN22" s="483"/>
      <c r="AO22" s="483">
        <v>2</v>
      </c>
      <c r="AP22" s="2097">
        <f>SUM(AM22:AO22)</f>
        <v>2</v>
      </c>
      <c r="AQ22" s="2098">
        <f t="shared" si="27"/>
        <v>0</v>
      </c>
      <c r="AS22" s="4149"/>
      <c r="AT22" s="4066"/>
      <c r="AU22" s="4066">
        <v>3</v>
      </c>
      <c r="AV22" s="2097">
        <f t="shared" si="8"/>
        <v>3</v>
      </c>
      <c r="AW22" s="2098">
        <f t="shared" si="9"/>
        <v>0</v>
      </c>
      <c r="AY22" s="4149">
        <v>1</v>
      </c>
      <c r="AZ22" s="4066"/>
      <c r="BA22" s="4066">
        <v>2</v>
      </c>
      <c r="BB22" s="2097">
        <f t="shared" si="28"/>
        <v>3</v>
      </c>
      <c r="BC22" s="2098">
        <f t="shared" si="29"/>
        <v>0.33333333333333331</v>
      </c>
    </row>
    <row r="23" spans="1:55" ht="15" customHeight="1">
      <c r="A23" s="49" t="s">
        <v>41</v>
      </c>
      <c r="B23" s="475"/>
      <c r="C23" s="482"/>
      <c r="D23" s="483"/>
      <c r="E23" s="483"/>
      <c r="F23" s="2097"/>
      <c r="G23" s="2098"/>
      <c r="I23" s="482"/>
      <c r="J23" s="483"/>
      <c r="K23" s="483"/>
      <c r="L23" s="2097"/>
      <c r="M23" s="2098"/>
      <c r="O23" s="482"/>
      <c r="P23" s="483"/>
      <c r="Q23" s="483"/>
      <c r="R23" s="2097"/>
      <c r="S23" s="2098"/>
      <c r="U23" s="482"/>
      <c r="V23" s="483"/>
      <c r="W23" s="483"/>
      <c r="X23" s="2097"/>
      <c r="Y23" s="2098"/>
      <c r="AA23" s="482"/>
      <c r="AB23" s="483"/>
      <c r="AC23" s="483"/>
      <c r="AD23" s="2097"/>
      <c r="AE23" s="2098"/>
      <c r="AG23" s="482"/>
      <c r="AH23" s="483"/>
      <c r="AI23" s="483"/>
      <c r="AJ23" s="2097">
        <f>SUM(AG23:AI23)</f>
        <v>0</v>
      </c>
      <c r="AK23" s="2098"/>
      <c r="AM23" s="482">
        <v>1</v>
      </c>
      <c r="AN23" s="483">
        <v>1</v>
      </c>
      <c r="AO23" s="483"/>
      <c r="AP23" s="2097">
        <f>SUM(AM23:AO23)</f>
        <v>2</v>
      </c>
      <c r="AQ23" s="2098"/>
      <c r="AS23" s="4149">
        <v>1</v>
      </c>
      <c r="AT23" s="4066">
        <v>1</v>
      </c>
      <c r="AU23" s="4066"/>
      <c r="AV23" s="2097">
        <f t="shared" si="8"/>
        <v>2</v>
      </c>
      <c r="AW23" s="2098">
        <f t="shared" si="9"/>
        <v>0.5</v>
      </c>
      <c r="AY23" s="4149">
        <v>1</v>
      </c>
      <c r="AZ23" s="4066">
        <v>2</v>
      </c>
      <c r="BA23" s="4066"/>
      <c r="BB23" s="2097">
        <f t="shared" si="28"/>
        <v>3</v>
      </c>
      <c r="BC23" s="2098">
        <f t="shared" si="29"/>
        <v>0.33333333333333331</v>
      </c>
    </row>
    <row r="24" spans="1:55" s="2038" customFormat="1" ht="15" customHeight="1">
      <c r="A24" s="4132" t="s">
        <v>25</v>
      </c>
      <c r="B24" s="475"/>
      <c r="C24" s="4133"/>
      <c r="D24" s="4134"/>
      <c r="E24" s="4134"/>
      <c r="F24" s="4135"/>
      <c r="G24" s="4136"/>
      <c r="H24" s="477"/>
      <c r="I24" s="4133"/>
      <c r="J24" s="4134"/>
      <c r="K24" s="4134"/>
      <c r="L24" s="4135"/>
      <c r="M24" s="4136"/>
      <c r="N24" s="477"/>
      <c r="O24" s="4133"/>
      <c r="P24" s="4134"/>
      <c r="Q24" s="4134"/>
      <c r="R24" s="4135"/>
      <c r="S24" s="4136"/>
      <c r="T24" s="477"/>
      <c r="U24" s="4133"/>
      <c r="V24" s="4134"/>
      <c r="W24" s="4134"/>
      <c r="X24" s="4135"/>
      <c r="Y24" s="4136"/>
      <c r="Z24" s="477"/>
      <c r="AA24" s="4133"/>
      <c r="AB24" s="4134"/>
      <c r="AC24" s="4134"/>
      <c r="AD24" s="4135"/>
      <c r="AE24" s="4136"/>
      <c r="AF24" s="477"/>
      <c r="AG24" s="4133">
        <f t="shared" ref="AG24:AJ24" si="30">SUM(AG21:AG23)</f>
        <v>0</v>
      </c>
      <c r="AH24" s="4134">
        <f t="shared" si="30"/>
        <v>0</v>
      </c>
      <c r="AI24" s="4134">
        <f t="shared" si="30"/>
        <v>4</v>
      </c>
      <c r="AJ24" s="4135">
        <f t="shared" si="30"/>
        <v>4</v>
      </c>
      <c r="AK24" s="4136">
        <f t="shared" si="26"/>
        <v>0</v>
      </c>
      <c r="AL24" s="477"/>
      <c r="AM24" s="4133">
        <f t="shared" ref="AM24:AU24" si="31">SUM(AM21:AM23)</f>
        <v>1</v>
      </c>
      <c r="AN24" s="4134">
        <f t="shared" si="31"/>
        <v>1</v>
      </c>
      <c r="AO24" s="4134">
        <f t="shared" si="31"/>
        <v>4</v>
      </c>
      <c r="AP24" s="4135">
        <f t="shared" si="31"/>
        <v>6</v>
      </c>
      <c r="AQ24" s="4136">
        <f t="shared" ref="AQ24" si="32">AM24/AP24</f>
        <v>0.16666666666666666</v>
      </c>
      <c r="AR24" s="477"/>
      <c r="AS24" s="4133">
        <f t="shared" si="31"/>
        <v>1</v>
      </c>
      <c r="AT24" s="4134">
        <f t="shared" si="31"/>
        <v>1</v>
      </c>
      <c r="AU24" s="4134">
        <f t="shared" si="31"/>
        <v>5</v>
      </c>
      <c r="AV24" s="4135">
        <f t="shared" si="8"/>
        <v>7</v>
      </c>
      <c r="AW24" s="4136">
        <f t="shared" si="9"/>
        <v>0.14285714285714285</v>
      </c>
      <c r="AX24" s="477"/>
      <c r="AY24" s="4133">
        <f t="shared" ref="AY24:BA24" si="33">SUM(AY21:AY23)</f>
        <v>2</v>
      </c>
      <c r="AZ24" s="4134">
        <f t="shared" si="33"/>
        <v>2</v>
      </c>
      <c r="BA24" s="4134">
        <f t="shared" si="33"/>
        <v>5</v>
      </c>
      <c r="BB24" s="4135">
        <f t="shared" si="28"/>
        <v>9</v>
      </c>
      <c r="BC24" s="4136">
        <f t="shared" si="29"/>
        <v>0.22222222222222221</v>
      </c>
    </row>
    <row r="25" spans="1:55" ht="18">
      <c r="B25" s="475"/>
      <c r="G25" s="1534"/>
      <c r="M25" s="1534"/>
      <c r="S25" s="1534"/>
      <c r="Y25" s="1534"/>
      <c r="AE25" s="1534"/>
      <c r="AK25" s="1534"/>
      <c r="AQ25" s="1534"/>
    </row>
    <row r="26" spans="1:55" ht="15" customHeight="1">
      <c r="A26" s="324" t="s">
        <v>16</v>
      </c>
      <c r="B26" s="475"/>
      <c r="C26" s="480">
        <v>6</v>
      </c>
      <c r="D26" s="481">
        <v>17</v>
      </c>
      <c r="E26" s="481">
        <v>12</v>
      </c>
      <c r="F26" s="2095">
        <f>SUM(C26:E26)</f>
        <v>35</v>
      </c>
      <c r="G26" s="2096">
        <f t="shared" si="1"/>
        <v>0.17142857142857143</v>
      </c>
      <c r="I26" s="480">
        <v>4</v>
      </c>
      <c r="J26" s="481">
        <v>13</v>
      </c>
      <c r="K26" s="481">
        <v>10</v>
      </c>
      <c r="L26" s="2095">
        <f>SUM(I26:K26)</f>
        <v>27</v>
      </c>
      <c r="M26" s="2096">
        <f t="shared" si="2"/>
        <v>0.14814814814814814</v>
      </c>
      <c r="O26" s="480">
        <v>4</v>
      </c>
      <c r="P26" s="481">
        <v>11</v>
      </c>
      <c r="Q26" s="481">
        <v>13</v>
      </c>
      <c r="R26" s="2095">
        <f>SUM(O26:Q26)</f>
        <v>28</v>
      </c>
      <c r="S26" s="2096">
        <f t="shared" si="3"/>
        <v>0.14285714285714285</v>
      </c>
      <c r="U26" s="480">
        <v>4</v>
      </c>
      <c r="V26" s="481">
        <v>11</v>
      </c>
      <c r="W26" s="481">
        <v>12</v>
      </c>
      <c r="X26" s="2095">
        <f>SUM(U26:W26)</f>
        <v>27</v>
      </c>
      <c r="Y26" s="2096">
        <f t="shared" si="4"/>
        <v>0.14814814814814814</v>
      </c>
      <c r="AA26" s="480">
        <v>4</v>
      </c>
      <c r="AB26" s="481">
        <v>9</v>
      </c>
      <c r="AC26" s="481">
        <v>13</v>
      </c>
      <c r="AD26" s="2095">
        <f>SUM(AA26:AC26)</f>
        <v>26</v>
      </c>
      <c r="AE26" s="2096">
        <f t="shared" si="5"/>
        <v>0.15384615384615385</v>
      </c>
      <c r="AG26" s="480">
        <v>5</v>
      </c>
      <c r="AH26" s="481">
        <v>6</v>
      </c>
      <c r="AI26" s="481">
        <v>12</v>
      </c>
      <c r="AJ26" s="2095">
        <f>SUM(AG26:AI26)</f>
        <v>23</v>
      </c>
      <c r="AK26" s="2096">
        <f t="shared" si="6"/>
        <v>0.21739130434782608</v>
      </c>
      <c r="AM26" s="480">
        <v>4</v>
      </c>
      <c r="AN26" s="481">
        <v>6</v>
      </c>
      <c r="AO26" s="481">
        <v>12</v>
      </c>
      <c r="AP26" s="2095">
        <f>SUM(AM26:AO26)</f>
        <v>22</v>
      </c>
      <c r="AQ26" s="2096">
        <f t="shared" ref="AQ26:AQ29" si="34">AM26/AP26</f>
        <v>0.18181818181818182</v>
      </c>
      <c r="AS26" s="4147">
        <v>4</v>
      </c>
      <c r="AT26" s="4148">
        <v>4</v>
      </c>
      <c r="AU26" s="4148">
        <v>13</v>
      </c>
      <c r="AV26" s="2095">
        <f t="shared" si="8"/>
        <v>21</v>
      </c>
      <c r="AW26" s="2096">
        <f t="shared" si="9"/>
        <v>0.19047619047619047</v>
      </c>
      <c r="AY26" s="4147">
        <v>4</v>
      </c>
      <c r="AZ26" s="4148">
        <v>4</v>
      </c>
      <c r="BA26" s="4148">
        <v>13</v>
      </c>
      <c r="BB26" s="2095">
        <f t="shared" ref="BB26:BB29" si="35">SUM(AY26:BA26)</f>
        <v>21</v>
      </c>
      <c r="BC26" s="2096">
        <f t="shared" ref="BC26:BC29" si="36">AY26/BB26</f>
        <v>0.19047619047619047</v>
      </c>
    </row>
    <row r="27" spans="1:55" ht="15" customHeight="1">
      <c r="A27" s="49" t="s">
        <v>41</v>
      </c>
      <c r="B27" s="475"/>
      <c r="C27" s="482">
        <v>5</v>
      </c>
      <c r="D27" s="483">
        <v>11</v>
      </c>
      <c r="E27" s="483">
        <v>8</v>
      </c>
      <c r="F27" s="2097">
        <f>SUM(C27:E27)</f>
        <v>24</v>
      </c>
      <c r="G27" s="2098">
        <f t="shared" si="1"/>
        <v>0.20833333333333334</v>
      </c>
      <c r="I27" s="482">
        <v>7</v>
      </c>
      <c r="J27" s="483">
        <v>17</v>
      </c>
      <c r="K27" s="483">
        <v>13</v>
      </c>
      <c r="L27" s="2097">
        <f>SUM(I27:K27)</f>
        <v>37</v>
      </c>
      <c r="M27" s="2098">
        <f t="shared" si="2"/>
        <v>0.1891891891891892</v>
      </c>
      <c r="O27" s="482">
        <v>8</v>
      </c>
      <c r="P27" s="483">
        <v>15</v>
      </c>
      <c r="Q27" s="483">
        <v>14</v>
      </c>
      <c r="R27" s="2097">
        <f>SUM(O27:Q27)</f>
        <v>37</v>
      </c>
      <c r="S27" s="2098">
        <f t="shared" si="3"/>
        <v>0.21621621621621623</v>
      </c>
      <c r="U27" s="482">
        <v>9</v>
      </c>
      <c r="V27" s="483">
        <v>13</v>
      </c>
      <c r="W27" s="483">
        <v>13</v>
      </c>
      <c r="X27" s="2097">
        <f>SUM(U27:W27)</f>
        <v>35</v>
      </c>
      <c r="Y27" s="2098">
        <f t="shared" si="4"/>
        <v>0.25714285714285712</v>
      </c>
      <c r="AA27" s="482">
        <v>9</v>
      </c>
      <c r="AB27" s="483">
        <v>15</v>
      </c>
      <c r="AC27" s="483">
        <v>12</v>
      </c>
      <c r="AD27" s="2097">
        <f>SUM(AA27:AC27)</f>
        <v>36</v>
      </c>
      <c r="AE27" s="2098">
        <f t="shared" si="5"/>
        <v>0.25</v>
      </c>
      <c r="AG27" s="482">
        <v>9</v>
      </c>
      <c r="AH27" s="483">
        <v>13</v>
      </c>
      <c r="AI27" s="483">
        <v>10</v>
      </c>
      <c r="AJ27" s="2097">
        <f>SUM(AG27:AI27)</f>
        <v>32</v>
      </c>
      <c r="AK27" s="2098">
        <f t="shared" si="6"/>
        <v>0.28125</v>
      </c>
      <c r="AM27" s="482">
        <v>9</v>
      </c>
      <c r="AN27" s="483">
        <v>10</v>
      </c>
      <c r="AO27" s="483">
        <v>13</v>
      </c>
      <c r="AP27" s="2097">
        <f>SUM(AM27:AO27)</f>
        <v>32</v>
      </c>
      <c r="AQ27" s="2098">
        <f t="shared" si="34"/>
        <v>0.28125</v>
      </c>
      <c r="AS27" s="4149">
        <v>8</v>
      </c>
      <c r="AT27" s="4066">
        <v>12</v>
      </c>
      <c r="AU27" s="4066">
        <v>11</v>
      </c>
      <c r="AV27" s="2097">
        <f t="shared" si="8"/>
        <v>31</v>
      </c>
      <c r="AW27" s="2098">
        <f t="shared" si="9"/>
        <v>0.25806451612903225</v>
      </c>
      <c r="AY27" s="4149">
        <v>8</v>
      </c>
      <c r="AZ27" s="4066">
        <v>12</v>
      </c>
      <c r="BA27" s="4066">
        <v>10</v>
      </c>
      <c r="BB27" s="2097">
        <f t="shared" si="35"/>
        <v>30</v>
      </c>
      <c r="BC27" s="2098">
        <f t="shared" si="36"/>
        <v>0.26666666666666666</v>
      </c>
    </row>
    <row r="28" spans="1:55" ht="15" customHeight="1">
      <c r="A28" s="49" t="s">
        <v>21</v>
      </c>
      <c r="B28" s="475"/>
      <c r="C28" s="482"/>
      <c r="D28" s="483">
        <v>2</v>
      </c>
      <c r="E28" s="483">
        <v>7</v>
      </c>
      <c r="F28" s="2097">
        <f>SUM(C28:E28)</f>
        <v>9</v>
      </c>
      <c r="G28" s="2098">
        <f t="shared" si="1"/>
        <v>0</v>
      </c>
      <c r="I28" s="482"/>
      <c r="J28" s="483">
        <v>2</v>
      </c>
      <c r="K28" s="483">
        <v>6</v>
      </c>
      <c r="L28" s="2097">
        <f>SUM(I28:K28)</f>
        <v>8</v>
      </c>
      <c r="M28" s="2098">
        <f t="shared" si="2"/>
        <v>0</v>
      </c>
      <c r="O28" s="482">
        <v>1</v>
      </c>
      <c r="P28" s="483">
        <v>2</v>
      </c>
      <c r="Q28" s="483">
        <v>5</v>
      </c>
      <c r="R28" s="2097">
        <f>SUM(O28:Q28)</f>
        <v>8</v>
      </c>
      <c r="S28" s="2098">
        <f t="shared" si="3"/>
        <v>0.125</v>
      </c>
      <c r="U28" s="482">
        <v>1</v>
      </c>
      <c r="V28" s="483">
        <v>2</v>
      </c>
      <c r="W28" s="483">
        <v>5</v>
      </c>
      <c r="X28" s="2097">
        <f>SUM(U28:W28)</f>
        <v>8</v>
      </c>
      <c r="Y28" s="2098">
        <f t="shared" si="4"/>
        <v>0.125</v>
      </c>
      <c r="AA28" s="482">
        <v>1</v>
      </c>
      <c r="AB28" s="483">
        <v>2</v>
      </c>
      <c r="AC28" s="483">
        <v>6</v>
      </c>
      <c r="AD28" s="2097">
        <f>SUM(AA28:AC28)</f>
        <v>9</v>
      </c>
      <c r="AE28" s="2098">
        <f t="shared" si="5"/>
        <v>0.1111111111111111</v>
      </c>
      <c r="AG28" s="482">
        <v>1</v>
      </c>
      <c r="AH28" s="483">
        <v>2</v>
      </c>
      <c r="AI28" s="483">
        <v>6</v>
      </c>
      <c r="AJ28" s="2097">
        <f>SUM(AG28:AI28)</f>
        <v>9</v>
      </c>
      <c r="AK28" s="2098">
        <f t="shared" si="6"/>
        <v>0.1111111111111111</v>
      </c>
      <c r="AM28" s="482">
        <v>1</v>
      </c>
      <c r="AN28" s="483">
        <v>2</v>
      </c>
      <c r="AO28" s="483">
        <v>6</v>
      </c>
      <c r="AP28" s="2097">
        <f>SUM(AM28:AO28)</f>
        <v>9</v>
      </c>
      <c r="AQ28" s="2098">
        <f t="shared" si="34"/>
        <v>0.1111111111111111</v>
      </c>
      <c r="AS28" s="4149"/>
      <c r="AT28" s="4066">
        <v>2</v>
      </c>
      <c r="AU28" s="4066">
        <v>5</v>
      </c>
      <c r="AV28" s="2097">
        <f t="shared" si="8"/>
        <v>7</v>
      </c>
      <c r="AW28" s="2098">
        <f t="shared" si="9"/>
        <v>0</v>
      </c>
      <c r="AY28" s="4149"/>
      <c r="AZ28" s="4066">
        <v>3</v>
      </c>
      <c r="BA28" s="4066">
        <v>2</v>
      </c>
      <c r="BB28" s="2097">
        <f t="shared" si="35"/>
        <v>5</v>
      </c>
      <c r="BC28" s="2098">
        <f t="shared" si="36"/>
        <v>0</v>
      </c>
    </row>
    <row r="29" spans="1:55" ht="15" customHeight="1">
      <c r="A29" s="4137" t="s">
        <v>48</v>
      </c>
      <c r="B29" s="475"/>
      <c r="C29" s="4138">
        <f t="shared" ref="C29:X29" si="37">SUM(C26:C28)</f>
        <v>11</v>
      </c>
      <c r="D29" s="4139">
        <f t="shared" si="37"/>
        <v>30</v>
      </c>
      <c r="E29" s="4139">
        <f t="shared" si="37"/>
        <v>27</v>
      </c>
      <c r="F29" s="4140">
        <f t="shared" si="37"/>
        <v>68</v>
      </c>
      <c r="G29" s="4141">
        <f t="shared" si="1"/>
        <v>0.16176470588235295</v>
      </c>
      <c r="I29" s="4138">
        <f t="shared" si="37"/>
        <v>11</v>
      </c>
      <c r="J29" s="4139">
        <f t="shared" si="37"/>
        <v>32</v>
      </c>
      <c r="K29" s="4139">
        <f t="shared" si="37"/>
        <v>29</v>
      </c>
      <c r="L29" s="4140">
        <f t="shared" si="37"/>
        <v>72</v>
      </c>
      <c r="M29" s="4141">
        <f t="shared" si="2"/>
        <v>0.15277777777777779</v>
      </c>
      <c r="O29" s="4138">
        <f t="shared" si="37"/>
        <v>13</v>
      </c>
      <c r="P29" s="4139">
        <f t="shared" si="37"/>
        <v>28</v>
      </c>
      <c r="Q29" s="4139">
        <f t="shared" si="37"/>
        <v>32</v>
      </c>
      <c r="R29" s="4140">
        <f t="shared" si="37"/>
        <v>73</v>
      </c>
      <c r="S29" s="4141">
        <f t="shared" si="3"/>
        <v>0.17808219178082191</v>
      </c>
      <c r="U29" s="4138">
        <f t="shared" si="37"/>
        <v>14</v>
      </c>
      <c r="V29" s="4139">
        <f t="shared" si="37"/>
        <v>26</v>
      </c>
      <c r="W29" s="4139">
        <f t="shared" si="37"/>
        <v>30</v>
      </c>
      <c r="X29" s="4140">
        <f t="shared" si="37"/>
        <v>70</v>
      </c>
      <c r="Y29" s="4141">
        <f t="shared" si="4"/>
        <v>0.2</v>
      </c>
      <c r="AA29" s="4138">
        <f>SUM(AA26:AA28)</f>
        <v>14</v>
      </c>
      <c r="AB29" s="4139">
        <f>SUM(AB26:AB28)</f>
        <v>26</v>
      </c>
      <c r="AC29" s="4139">
        <f>SUM(AC26:AC28)</f>
        <v>31</v>
      </c>
      <c r="AD29" s="4140">
        <f>SUM(AD26:AD28)</f>
        <v>71</v>
      </c>
      <c r="AE29" s="4141">
        <f t="shared" si="5"/>
        <v>0.19718309859154928</v>
      </c>
      <c r="AG29" s="4138">
        <f t="shared" ref="AG29:AJ29" si="38">SUM(AG26:AG28)</f>
        <v>15</v>
      </c>
      <c r="AH29" s="4139">
        <f t="shared" si="38"/>
        <v>21</v>
      </c>
      <c r="AI29" s="4139">
        <f t="shared" si="38"/>
        <v>28</v>
      </c>
      <c r="AJ29" s="4140">
        <f t="shared" si="38"/>
        <v>64</v>
      </c>
      <c r="AK29" s="4141">
        <f t="shared" si="6"/>
        <v>0.234375</v>
      </c>
      <c r="AM29" s="4138">
        <f t="shared" ref="AM29:AU29" si="39">SUM(AM26:AM28)</f>
        <v>14</v>
      </c>
      <c r="AN29" s="4139">
        <f t="shared" si="39"/>
        <v>18</v>
      </c>
      <c r="AO29" s="4139">
        <f t="shared" si="39"/>
        <v>31</v>
      </c>
      <c r="AP29" s="4140">
        <f t="shared" si="39"/>
        <v>63</v>
      </c>
      <c r="AQ29" s="4141">
        <f t="shared" si="34"/>
        <v>0.22222222222222221</v>
      </c>
      <c r="AS29" s="4138">
        <f t="shared" si="39"/>
        <v>12</v>
      </c>
      <c r="AT29" s="4139">
        <f t="shared" si="39"/>
        <v>18</v>
      </c>
      <c r="AU29" s="4139">
        <f t="shared" si="39"/>
        <v>29</v>
      </c>
      <c r="AV29" s="4140">
        <f t="shared" si="8"/>
        <v>59</v>
      </c>
      <c r="AW29" s="4141">
        <f t="shared" si="9"/>
        <v>0.20338983050847459</v>
      </c>
      <c r="AY29" s="4138">
        <f t="shared" ref="AY29:BA29" si="40">SUM(AY26:AY28)</f>
        <v>12</v>
      </c>
      <c r="AZ29" s="4139">
        <f t="shared" si="40"/>
        <v>19</v>
      </c>
      <c r="BA29" s="4139">
        <f t="shared" si="40"/>
        <v>25</v>
      </c>
      <c r="BB29" s="4140">
        <f t="shared" si="35"/>
        <v>56</v>
      </c>
      <c r="BC29" s="4141">
        <f t="shared" si="36"/>
        <v>0.21428571428571427</v>
      </c>
    </row>
    <row r="30" spans="1:55" ht="18">
      <c r="B30" s="475"/>
      <c r="G30" s="1534"/>
      <c r="M30" s="1534"/>
      <c r="S30" s="1534"/>
      <c r="Y30" s="1534"/>
      <c r="AE30" s="1534"/>
      <c r="AK30" s="1534"/>
      <c r="AQ30" s="1534"/>
    </row>
    <row r="31" spans="1:55" ht="15" customHeight="1">
      <c r="A31" s="324" t="s">
        <v>4</v>
      </c>
      <c r="B31" s="475"/>
      <c r="C31" s="480">
        <f>SUM(C6,C16)</f>
        <v>22</v>
      </c>
      <c r="D31" s="481">
        <f>SUM(D6,D16)</f>
        <v>30</v>
      </c>
      <c r="E31" s="481">
        <f>SUM(E6,E16)</f>
        <v>15</v>
      </c>
      <c r="F31" s="2095">
        <f>SUM(F6,F16)</f>
        <v>67</v>
      </c>
      <c r="G31" s="2096">
        <f t="shared" si="1"/>
        <v>0.32835820895522388</v>
      </c>
      <c r="I31" s="480">
        <f>SUM(I6,I16)</f>
        <v>24</v>
      </c>
      <c r="J31" s="481">
        <f>SUM(J6,J16)</f>
        <v>28</v>
      </c>
      <c r="K31" s="481">
        <f>SUM(K6,K16)</f>
        <v>14</v>
      </c>
      <c r="L31" s="2095">
        <f>SUM(L6,L16)</f>
        <v>66</v>
      </c>
      <c r="M31" s="2096">
        <f t="shared" si="2"/>
        <v>0.36363636363636365</v>
      </c>
      <c r="O31" s="480">
        <f>SUM(O6,O16)</f>
        <v>25</v>
      </c>
      <c r="P31" s="481">
        <f>SUM(P6,P16)</f>
        <v>28</v>
      </c>
      <c r="Q31" s="481">
        <f>SUM(Q6,Q16)</f>
        <v>12</v>
      </c>
      <c r="R31" s="2095">
        <f>SUM(R6,R16)</f>
        <v>65</v>
      </c>
      <c r="S31" s="2096">
        <f t="shared" si="3"/>
        <v>0.38461538461538464</v>
      </c>
      <c r="U31" s="480">
        <f>SUM(U6,U16)</f>
        <v>25</v>
      </c>
      <c r="V31" s="481">
        <f>SUM(V6,V16)</f>
        <v>27</v>
      </c>
      <c r="W31" s="481">
        <f>SUM(W6,W16)</f>
        <v>12</v>
      </c>
      <c r="X31" s="2095">
        <f>SUM(X6,X16)</f>
        <v>64</v>
      </c>
      <c r="Y31" s="2096">
        <f t="shared" si="4"/>
        <v>0.390625</v>
      </c>
      <c r="AA31" s="480">
        <f>SUM(AA6,AA16)</f>
        <v>26</v>
      </c>
      <c r="AB31" s="481">
        <f>SUM(AB6,AB16)</f>
        <v>26</v>
      </c>
      <c r="AC31" s="481">
        <f>SUM(AC6,AC16)</f>
        <v>11</v>
      </c>
      <c r="AD31" s="2095">
        <f>SUM(AD6,AD16)</f>
        <v>63</v>
      </c>
      <c r="AE31" s="2096">
        <f t="shared" si="5"/>
        <v>0.41269841269841268</v>
      </c>
      <c r="AG31" s="480">
        <f>SUM(AG6,AG16,AG21)</f>
        <v>28</v>
      </c>
      <c r="AH31" s="481">
        <f t="shared" ref="AH31:AI31" si="41">SUM(AH6,AH16,AH21)</f>
        <v>18</v>
      </c>
      <c r="AI31" s="481">
        <f t="shared" si="41"/>
        <v>19</v>
      </c>
      <c r="AJ31" s="2095">
        <f>SUM(AG31:AI31)</f>
        <v>65</v>
      </c>
      <c r="AK31" s="2096">
        <f t="shared" si="6"/>
        <v>0.43076923076923079</v>
      </c>
      <c r="AM31" s="480">
        <f>SUM(AM6,AM16,AM21)</f>
        <v>25</v>
      </c>
      <c r="AN31" s="481">
        <f t="shared" ref="AN31:AO31" si="42">SUM(AN6,AN16,AN21)</f>
        <v>19</v>
      </c>
      <c r="AO31" s="481">
        <f t="shared" si="42"/>
        <v>22</v>
      </c>
      <c r="AP31" s="2095">
        <f>SUM(AM31:AO31)</f>
        <v>66</v>
      </c>
      <c r="AQ31" s="2096">
        <f t="shared" ref="AQ31:AQ37" si="43">AM31/AP31</f>
        <v>0.37878787878787878</v>
      </c>
      <c r="AS31" s="480">
        <f>SUM(AS6,AS16,AS21)</f>
        <v>24</v>
      </c>
      <c r="AT31" s="481">
        <f t="shared" ref="AT31:AU31" si="44">SUM(AT6,AT16,AT21)</f>
        <v>20</v>
      </c>
      <c r="AU31" s="481">
        <f t="shared" si="44"/>
        <v>20</v>
      </c>
      <c r="AV31" s="2095">
        <f t="shared" si="8"/>
        <v>64</v>
      </c>
      <c r="AW31" s="2096">
        <f t="shared" si="9"/>
        <v>0.375</v>
      </c>
      <c r="AY31" s="480">
        <f>SUM(AY6,AY16,AY21)</f>
        <v>28</v>
      </c>
      <c r="AZ31" s="481">
        <f t="shared" ref="AZ31:BA31" si="45">SUM(AZ6,AZ16,AZ21)</f>
        <v>18</v>
      </c>
      <c r="BA31" s="481">
        <f t="shared" si="45"/>
        <v>21</v>
      </c>
      <c r="BB31" s="2095">
        <f t="shared" ref="BB31:BB37" si="46">SUM(AY31:BA31)</f>
        <v>67</v>
      </c>
      <c r="BC31" s="2096">
        <f t="shared" ref="BC31:BC36" si="47">AY31/BB31</f>
        <v>0.41791044776119401</v>
      </c>
    </row>
    <row r="32" spans="1:55" ht="15" customHeight="1">
      <c r="A32" s="49" t="s">
        <v>16</v>
      </c>
      <c r="B32" s="475"/>
      <c r="C32" s="482">
        <f>SUM(C7,C11,C17,C26)</f>
        <v>30</v>
      </c>
      <c r="D32" s="483">
        <f>SUM(D7,D11,D17,D26)</f>
        <v>49</v>
      </c>
      <c r="E32" s="483">
        <f>SUM(E7,E11,E17,E26)</f>
        <v>32</v>
      </c>
      <c r="F32" s="2097">
        <f>SUM(F7,F11,F17,F26)</f>
        <v>111</v>
      </c>
      <c r="G32" s="2098">
        <f t="shared" si="1"/>
        <v>0.27027027027027029</v>
      </c>
      <c r="I32" s="482">
        <f>SUM(I7,I11,I17,I26)</f>
        <v>23</v>
      </c>
      <c r="J32" s="483">
        <f>SUM(J7,J11,J17,J26)</f>
        <v>48</v>
      </c>
      <c r="K32" s="483">
        <f>SUM(K7,K11,K17,K26)</f>
        <v>37</v>
      </c>
      <c r="L32" s="2097">
        <f>SUM(L7,L11,L17,L26)</f>
        <v>108</v>
      </c>
      <c r="M32" s="2098">
        <f t="shared" si="2"/>
        <v>0.21296296296296297</v>
      </c>
      <c r="O32" s="482">
        <f>SUM(O7,O11,O17,O26)</f>
        <v>28</v>
      </c>
      <c r="P32" s="483">
        <f>SUM(P7,P11,P17,P26)</f>
        <v>40</v>
      </c>
      <c r="Q32" s="483">
        <f>SUM(Q7,Q11,Q17,Q26)</f>
        <v>38</v>
      </c>
      <c r="R32" s="2097">
        <f>SUM(R7,R11,R17,R26)</f>
        <v>106</v>
      </c>
      <c r="S32" s="2098">
        <f t="shared" si="3"/>
        <v>0.26415094339622641</v>
      </c>
      <c r="U32" s="482">
        <f>SUM(U7,U11,U17,U26)</f>
        <v>28</v>
      </c>
      <c r="V32" s="483">
        <f>SUM(V7,V11,V17,V26)</f>
        <v>41</v>
      </c>
      <c r="W32" s="483">
        <f>SUM(W7,W11,W17,W26)</f>
        <v>38</v>
      </c>
      <c r="X32" s="2097">
        <f>SUM(X7,X11,X17,X26)</f>
        <v>107</v>
      </c>
      <c r="Y32" s="2098">
        <f t="shared" si="4"/>
        <v>0.26168224299065418</v>
      </c>
      <c r="AA32" s="482">
        <f>SUM(AA7,AA11,AA17,AA26)</f>
        <v>30</v>
      </c>
      <c r="AB32" s="483">
        <f>SUM(AB7,AB11,AB17,AB26)</f>
        <v>33</v>
      </c>
      <c r="AC32" s="483">
        <f>SUM(AC7,AC11,AC17,AC26)</f>
        <v>37</v>
      </c>
      <c r="AD32" s="2097">
        <f>SUM(AD7,AD11,AD17,AD26)</f>
        <v>100</v>
      </c>
      <c r="AE32" s="2098">
        <f t="shared" si="5"/>
        <v>0.3</v>
      </c>
      <c r="AG32" s="482">
        <f>SUM(AG7,AG11,AG17,AG22,AG26)</f>
        <v>30</v>
      </c>
      <c r="AH32" s="483">
        <f t="shared" ref="AH32:AI32" si="48">SUM(AH7,AH11,AH17,AH22,AH26)</f>
        <v>28</v>
      </c>
      <c r="AI32" s="483">
        <f t="shared" si="48"/>
        <v>36</v>
      </c>
      <c r="AJ32" s="2097">
        <f t="shared" ref="AJ32:AJ36" si="49">SUM(AG32:AI32)</f>
        <v>94</v>
      </c>
      <c r="AK32" s="2098">
        <f t="shared" si="6"/>
        <v>0.31914893617021278</v>
      </c>
      <c r="AM32" s="482">
        <f>SUM(AM7,AM11,AM17,AM22,AM26)</f>
        <v>27</v>
      </c>
      <c r="AN32" s="483">
        <f t="shared" ref="AN32:AO32" si="50">SUM(AN7,AN11,AN17,AN22,AN26)</f>
        <v>30</v>
      </c>
      <c r="AO32" s="483">
        <f t="shared" si="50"/>
        <v>33</v>
      </c>
      <c r="AP32" s="2097">
        <f t="shared" ref="AP32:AP36" si="51">SUM(AM32:AO32)</f>
        <v>90</v>
      </c>
      <c r="AQ32" s="2098">
        <f t="shared" si="43"/>
        <v>0.3</v>
      </c>
      <c r="AS32" s="482">
        <f>SUM(AS7,AS11,AS17,AS22,AS26)</f>
        <v>26</v>
      </c>
      <c r="AT32" s="483">
        <f t="shared" ref="AT32:AU32" si="52">SUM(AT7,AT11,AT17,AT22,AT26)</f>
        <v>24</v>
      </c>
      <c r="AU32" s="483">
        <f t="shared" si="52"/>
        <v>35</v>
      </c>
      <c r="AV32" s="2097">
        <f t="shared" si="8"/>
        <v>85</v>
      </c>
      <c r="AW32" s="2098">
        <f t="shared" si="9"/>
        <v>0.30588235294117649</v>
      </c>
      <c r="AY32" s="482">
        <f>SUM(AY7,AY11,AY17,AY22,AY26)</f>
        <v>26</v>
      </c>
      <c r="AZ32" s="483">
        <f t="shared" ref="AZ32:BA32" si="53">SUM(AZ7,AZ11,AZ17,AZ22,AZ26)</f>
        <v>20</v>
      </c>
      <c r="BA32" s="483">
        <f t="shared" si="53"/>
        <v>36</v>
      </c>
      <c r="BB32" s="2097">
        <f t="shared" si="46"/>
        <v>82</v>
      </c>
      <c r="BC32" s="2098">
        <f t="shared" si="47"/>
        <v>0.31707317073170732</v>
      </c>
    </row>
    <row r="33" spans="1:55" ht="15" customHeight="1">
      <c r="A33" s="49" t="s">
        <v>41</v>
      </c>
      <c r="B33" s="475"/>
      <c r="C33" s="482">
        <f>SUM(C18,C27)</f>
        <v>19</v>
      </c>
      <c r="D33" s="483">
        <f>SUM(D18,D27)</f>
        <v>26</v>
      </c>
      <c r="E33" s="483">
        <f>SUM(E18,E27)</f>
        <v>18</v>
      </c>
      <c r="F33" s="2097">
        <f>SUM(F18,F27)</f>
        <v>63</v>
      </c>
      <c r="G33" s="2098">
        <f t="shared" si="1"/>
        <v>0.30158730158730157</v>
      </c>
      <c r="I33" s="482">
        <f>SUM(I18,I27)</f>
        <v>22</v>
      </c>
      <c r="J33" s="483">
        <f>SUM(J18,J27)</f>
        <v>30</v>
      </c>
      <c r="K33" s="483">
        <f>SUM(K18,K27)</f>
        <v>17</v>
      </c>
      <c r="L33" s="2097">
        <f>SUM(L18,L27)</f>
        <v>69</v>
      </c>
      <c r="M33" s="2098">
        <f t="shared" si="2"/>
        <v>0.3188405797101449</v>
      </c>
      <c r="O33" s="482">
        <f>SUM(O18,O27)</f>
        <v>23</v>
      </c>
      <c r="P33" s="483">
        <f>SUM(P18,P27)</f>
        <v>24</v>
      </c>
      <c r="Q33" s="483">
        <f>SUM(Q18,Q27)</f>
        <v>22</v>
      </c>
      <c r="R33" s="2097">
        <f>SUM(R18,R27)</f>
        <v>69</v>
      </c>
      <c r="S33" s="2098">
        <f t="shared" si="3"/>
        <v>0.33333333333333331</v>
      </c>
      <c r="U33" s="482">
        <f>SUM(U18,U27)</f>
        <v>24</v>
      </c>
      <c r="V33" s="483">
        <f>SUM(V18,V27)</f>
        <v>21</v>
      </c>
      <c r="W33" s="483">
        <f>SUM(W18,W27)</f>
        <v>21</v>
      </c>
      <c r="X33" s="2097">
        <f>SUM(X18,X27)</f>
        <v>66</v>
      </c>
      <c r="Y33" s="2098">
        <f t="shared" si="4"/>
        <v>0.36363636363636365</v>
      </c>
      <c r="AA33" s="482">
        <f>SUM(AA18,AA27)</f>
        <v>24</v>
      </c>
      <c r="AB33" s="483">
        <f>SUM(AB18,AB27)</f>
        <v>23</v>
      </c>
      <c r="AC33" s="483">
        <f>SUM(AC18,AC27)</f>
        <v>20</v>
      </c>
      <c r="AD33" s="2097">
        <f>SUM(AD18,AD27)</f>
        <v>67</v>
      </c>
      <c r="AE33" s="2098">
        <f t="shared" si="5"/>
        <v>0.35820895522388058</v>
      </c>
      <c r="AG33" s="482">
        <f>SUM(AG18,AG23,AG27)</f>
        <v>25</v>
      </c>
      <c r="AH33" s="483">
        <f t="shared" ref="AH33:AI33" si="54">SUM(AH18,AH23,AH27)</f>
        <v>20</v>
      </c>
      <c r="AI33" s="483">
        <f t="shared" si="54"/>
        <v>19</v>
      </c>
      <c r="AJ33" s="2097">
        <f t="shared" si="49"/>
        <v>64</v>
      </c>
      <c r="AK33" s="2098">
        <f t="shared" si="6"/>
        <v>0.390625</v>
      </c>
      <c r="AM33" s="482">
        <f>SUM(AM18,AM23,AM27)</f>
        <v>25</v>
      </c>
      <c r="AN33" s="483">
        <f t="shared" ref="AN33:AO33" si="55">SUM(AN18,AN23,AN27)</f>
        <v>19</v>
      </c>
      <c r="AO33" s="483">
        <f t="shared" si="55"/>
        <v>22</v>
      </c>
      <c r="AP33" s="2097">
        <f t="shared" si="51"/>
        <v>66</v>
      </c>
      <c r="AQ33" s="2098">
        <f t="shared" si="43"/>
        <v>0.37878787878787878</v>
      </c>
      <c r="AS33" s="482">
        <f>SUM(AS18,AS23,AS27)</f>
        <v>24</v>
      </c>
      <c r="AT33" s="483">
        <f t="shared" ref="AT33:AU33" si="56">SUM(AT18,AT23,AT27)</f>
        <v>21</v>
      </c>
      <c r="AU33" s="483">
        <f t="shared" si="56"/>
        <v>22</v>
      </c>
      <c r="AV33" s="2097">
        <f t="shared" si="8"/>
        <v>67</v>
      </c>
      <c r="AW33" s="2098">
        <f t="shared" si="9"/>
        <v>0.35820895522388058</v>
      </c>
      <c r="AY33" s="482">
        <f>SUM(AY18,AY23,AY27)</f>
        <v>23</v>
      </c>
      <c r="AZ33" s="483">
        <f t="shared" ref="AZ33:BA33" si="57">SUM(AZ18,AZ23,AZ27)</f>
        <v>27</v>
      </c>
      <c r="BA33" s="483">
        <f t="shared" si="57"/>
        <v>17</v>
      </c>
      <c r="BB33" s="2097">
        <f t="shared" si="46"/>
        <v>67</v>
      </c>
      <c r="BC33" s="2098">
        <f t="shared" si="47"/>
        <v>0.34328358208955223</v>
      </c>
    </row>
    <row r="34" spans="1:55" ht="15" customHeight="1">
      <c r="A34" s="49" t="s">
        <v>21</v>
      </c>
      <c r="B34" s="475"/>
      <c r="C34" s="482">
        <f>SUM(C8,C28)</f>
        <v>1</v>
      </c>
      <c r="D34" s="483">
        <f>SUM(D8,D28)</f>
        <v>6</v>
      </c>
      <c r="E34" s="483">
        <f>SUM(E8,E28)</f>
        <v>19</v>
      </c>
      <c r="F34" s="2097">
        <f>SUM(F8,F28)</f>
        <v>26</v>
      </c>
      <c r="G34" s="2098">
        <f t="shared" si="1"/>
        <v>3.8461538461538464E-2</v>
      </c>
      <c r="I34" s="482">
        <f>SUM(I8,I28)</f>
        <v>1</v>
      </c>
      <c r="J34" s="483">
        <f>SUM(J8,J28)</f>
        <v>5</v>
      </c>
      <c r="K34" s="483">
        <f>SUM(K8,K28)</f>
        <v>21</v>
      </c>
      <c r="L34" s="2097">
        <f>SUM(L8,L28)</f>
        <v>27</v>
      </c>
      <c r="M34" s="2098">
        <f t="shared" si="2"/>
        <v>3.7037037037037035E-2</v>
      </c>
      <c r="O34" s="482">
        <f>SUM(O8,O28)</f>
        <v>2</v>
      </c>
      <c r="P34" s="483">
        <f>SUM(P8,P28)</f>
        <v>5</v>
      </c>
      <c r="Q34" s="483">
        <f>SUM(Q8,Q28)</f>
        <v>21</v>
      </c>
      <c r="R34" s="2097">
        <f>SUM(R8,R28)</f>
        <v>28</v>
      </c>
      <c r="S34" s="2098">
        <f t="shared" si="3"/>
        <v>7.1428571428571425E-2</v>
      </c>
      <c r="U34" s="482">
        <f>SUM(U8,U28)</f>
        <v>2</v>
      </c>
      <c r="V34" s="483">
        <f>SUM(V8,V28)</f>
        <v>5</v>
      </c>
      <c r="W34" s="483">
        <f>SUM(W8,W28)</f>
        <v>21</v>
      </c>
      <c r="X34" s="2097">
        <f>SUM(X8,X28)</f>
        <v>28</v>
      </c>
      <c r="Y34" s="2098">
        <f t="shared" si="4"/>
        <v>7.1428571428571425E-2</v>
      </c>
      <c r="AA34" s="482">
        <f>SUM(AA8,AA28)</f>
        <v>2</v>
      </c>
      <c r="AB34" s="483">
        <f>SUM(AB8,AB28)</f>
        <v>5</v>
      </c>
      <c r="AC34" s="483">
        <f>SUM(AC8,AC28)</f>
        <v>22</v>
      </c>
      <c r="AD34" s="2097">
        <f>SUM(AD8,AD28)</f>
        <v>29</v>
      </c>
      <c r="AE34" s="2098">
        <f t="shared" si="5"/>
        <v>6.8965517241379309E-2</v>
      </c>
      <c r="AG34" s="482">
        <f>SUM(AG8,AG28)</f>
        <v>2</v>
      </c>
      <c r="AH34" s="483">
        <f>SUM(AH8,AH28)</f>
        <v>8</v>
      </c>
      <c r="AI34" s="483">
        <f>SUM(AI8,AI28)</f>
        <v>25</v>
      </c>
      <c r="AJ34" s="2097">
        <f t="shared" si="49"/>
        <v>35</v>
      </c>
      <c r="AK34" s="2098">
        <f t="shared" si="6"/>
        <v>5.7142857142857141E-2</v>
      </c>
      <c r="AM34" s="482">
        <f>SUM(AM8,AM28)</f>
        <v>2</v>
      </c>
      <c r="AN34" s="483">
        <f>SUM(AN8,AN28)</f>
        <v>9</v>
      </c>
      <c r="AO34" s="483">
        <f>SUM(AO8,AO28)</f>
        <v>23</v>
      </c>
      <c r="AP34" s="2097">
        <f t="shared" si="51"/>
        <v>34</v>
      </c>
      <c r="AQ34" s="2098">
        <f t="shared" si="43"/>
        <v>5.8823529411764705E-2</v>
      </c>
      <c r="AS34" s="482">
        <f>SUM(AS8,AS28)</f>
        <v>2</v>
      </c>
      <c r="AT34" s="483">
        <f>SUM(AT8,AT28)</f>
        <v>7</v>
      </c>
      <c r="AU34" s="483">
        <f>SUM(AU8,AU28)</f>
        <v>21</v>
      </c>
      <c r="AV34" s="2097">
        <f t="shared" si="8"/>
        <v>30</v>
      </c>
      <c r="AW34" s="2098">
        <f t="shared" si="9"/>
        <v>6.6666666666666666E-2</v>
      </c>
      <c r="AY34" s="482">
        <f>SUM(AY8,AY28)</f>
        <v>2</v>
      </c>
      <c r="AZ34" s="483">
        <f>SUM(AZ8,AZ28)</f>
        <v>8</v>
      </c>
      <c r="BA34" s="483">
        <f>SUM(BA8,BA28)</f>
        <v>21</v>
      </c>
      <c r="BB34" s="2097">
        <f t="shared" si="46"/>
        <v>31</v>
      </c>
      <c r="BC34" s="2098">
        <f t="shared" si="47"/>
        <v>6.4516129032258063E-2</v>
      </c>
    </row>
    <row r="35" spans="1:55" ht="15" customHeight="1">
      <c r="A35" s="49" t="s">
        <v>61</v>
      </c>
      <c r="B35" s="475"/>
      <c r="C35" s="482">
        <f t="shared" ref="C35:F36" si="58">SUM(C12)</f>
        <v>1</v>
      </c>
      <c r="D35" s="483">
        <f t="shared" si="58"/>
        <v>0</v>
      </c>
      <c r="E35" s="483">
        <f t="shared" si="58"/>
        <v>4</v>
      </c>
      <c r="F35" s="2097">
        <f t="shared" si="58"/>
        <v>5</v>
      </c>
      <c r="G35" s="2098">
        <f t="shared" si="1"/>
        <v>0.2</v>
      </c>
      <c r="I35" s="482">
        <f t="shared" ref="I35:L36" si="59">SUM(I12)</f>
        <v>1</v>
      </c>
      <c r="J35" s="483">
        <f t="shared" si="59"/>
        <v>0</v>
      </c>
      <c r="K35" s="483">
        <f t="shared" si="59"/>
        <v>8</v>
      </c>
      <c r="L35" s="2097">
        <f t="shared" si="59"/>
        <v>9</v>
      </c>
      <c r="M35" s="2098">
        <f t="shared" si="2"/>
        <v>0.1111111111111111</v>
      </c>
      <c r="O35" s="482">
        <f t="shared" ref="O35:R36" si="60">SUM(O12)</f>
        <v>1</v>
      </c>
      <c r="P35" s="483">
        <f t="shared" si="60"/>
        <v>0</v>
      </c>
      <c r="Q35" s="483">
        <f t="shared" si="60"/>
        <v>9</v>
      </c>
      <c r="R35" s="2097">
        <f t="shared" si="60"/>
        <v>10</v>
      </c>
      <c r="S35" s="2098">
        <f t="shared" si="3"/>
        <v>0.1</v>
      </c>
      <c r="U35" s="482">
        <f t="shared" ref="U35:X36" si="61">SUM(U12)</f>
        <v>1</v>
      </c>
      <c r="V35" s="483">
        <f t="shared" si="61"/>
        <v>0</v>
      </c>
      <c r="W35" s="483">
        <f t="shared" si="61"/>
        <v>8</v>
      </c>
      <c r="X35" s="2097">
        <f t="shared" si="61"/>
        <v>9</v>
      </c>
      <c r="Y35" s="2098">
        <f t="shared" si="4"/>
        <v>0.1111111111111111</v>
      </c>
      <c r="AA35" s="482">
        <f t="shared" ref="AA35:AD36" si="62">SUM(AA12)</f>
        <v>1</v>
      </c>
      <c r="AB35" s="483">
        <f t="shared" si="62"/>
        <v>1</v>
      </c>
      <c r="AC35" s="483">
        <f t="shared" si="62"/>
        <v>7</v>
      </c>
      <c r="AD35" s="2097">
        <f t="shared" si="62"/>
        <v>9</v>
      </c>
      <c r="AE35" s="2098">
        <f t="shared" si="5"/>
        <v>0.1111111111111111</v>
      </c>
      <c r="AG35" s="482">
        <f t="shared" ref="AG35:AI36" si="63">SUM(AG12)</f>
        <v>1</v>
      </c>
      <c r="AH35" s="483">
        <f t="shared" si="63"/>
        <v>1</v>
      </c>
      <c r="AI35" s="483">
        <f t="shared" si="63"/>
        <v>8</v>
      </c>
      <c r="AJ35" s="2097">
        <f t="shared" si="49"/>
        <v>10</v>
      </c>
      <c r="AK35" s="2098">
        <f t="shared" si="6"/>
        <v>0.1</v>
      </c>
      <c r="AM35" s="482">
        <f t="shared" ref="AM35:AO35" si="64">SUM(AM12)</f>
        <v>1</v>
      </c>
      <c r="AN35" s="483">
        <f t="shared" si="64"/>
        <v>1</v>
      </c>
      <c r="AO35" s="483">
        <f t="shared" si="64"/>
        <v>8</v>
      </c>
      <c r="AP35" s="2097">
        <f t="shared" si="51"/>
        <v>10</v>
      </c>
      <c r="AQ35" s="2098">
        <f t="shared" si="43"/>
        <v>0.1</v>
      </c>
      <c r="AS35" s="482">
        <f t="shared" ref="AS35:AU35" si="65">SUM(AS12)</f>
        <v>1</v>
      </c>
      <c r="AT35" s="483">
        <f t="shared" si="65"/>
        <v>1</v>
      </c>
      <c r="AU35" s="483">
        <f t="shared" si="65"/>
        <v>6</v>
      </c>
      <c r="AV35" s="2097">
        <f t="shared" si="8"/>
        <v>8</v>
      </c>
      <c r="AW35" s="2098">
        <f t="shared" si="9"/>
        <v>0.125</v>
      </c>
      <c r="AY35" s="482">
        <f t="shared" ref="AY35:BA35" si="66">SUM(AY12)</f>
        <v>1</v>
      </c>
      <c r="AZ35" s="483">
        <f t="shared" si="66"/>
        <v>1</v>
      </c>
      <c r="BA35" s="483">
        <f t="shared" si="66"/>
        <v>6</v>
      </c>
      <c r="BB35" s="2097">
        <f t="shared" si="46"/>
        <v>8</v>
      </c>
      <c r="BC35" s="2098">
        <f t="shared" si="47"/>
        <v>0.125</v>
      </c>
    </row>
    <row r="36" spans="1:55" ht="15" customHeight="1">
      <c r="A36" s="49" t="s">
        <v>64</v>
      </c>
      <c r="B36" s="475"/>
      <c r="C36" s="482">
        <f t="shared" si="58"/>
        <v>0</v>
      </c>
      <c r="D36" s="483">
        <f t="shared" si="58"/>
        <v>0</v>
      </c>
      <c r="E36" s="483">
        <f t="shared" si="58"/>
        <v>5</v>
      </c>
      <c r="F36" s="2097">
        <f t="shared" si="58"/>
        <v>5</v>
      </c>
      <c r="G36" s="2098">
        <f t="shared" si="1"/>
        <v>0</v>
      </c>
      <c r="I36" s="482">
        <f t="shared" si="59"/>
        <v>1</v>
      </c>
      <c r="J36" s="483">
        <f t="shared" si="59"/>
        <v>1</v>
      </c>
      <c r="K36" s="483">
        <f t="shared" si="59"/>
        <v>5</v>
      </c>
      <c r="L36" s="2097">
        <f t="shared" si="59"/>
        <v>7</v>
      </c>
      <c r="M36" s="2098">
        <f t="shared" si="2"/>
        <v>0.14285714285714285</v>
      </c>
      <c r="O36" s="482">
        <f t="shared" si="60"/>
        <v>1</v>
      </c>
      <c r="P36" s="483">
        <f t="shared" si="60"/>
        <v>2</v>
      </c>
      <c r="Q36" s="483">
        <f t="shared" si="60"/>
        <v>5</v>
      </c>
      <c r="R36" s="2097">
        <f t="shared" si="60"/>
        <v>8</v>
      </c>
      <c r="S36" s="2098">
        <f t="shared" si="3"/>
        <v>0.125</v>
      </c>
      <c r="U36" s="482">
        <f t="shared" si="61"/>
        <v>1</v>
      </c>
      <c r="V36" s="483">
        <f t="shared" si="61"/>
        <v>2</v>
      </c>
      <c r="W36" s="483">
        <f t="shared" si="61"/>
        <v>5</v>
      </c>
      <c r="X36" s="2097">
        <f t="shared" si="61"/>
        <v>8</v>
      </c>
      <c r="Y36" s="2098">
        <f t="shared" si="4"/>
        <v>0.125</v>
      </c>
      <c r="AA36" s="482">
        <f t="shared" si="62"/>
        <v>1</v>
      </c>
      <c r="AB36" s="483">
        <f t="shared" si="62"/>
        <v>4</v>
      </c>
      <c r="AC36" s="483">
        <f t="shared" si="62"/>
        <v>4</v>
      </c>
      <c r="AD36" s="2097">
        <f t="shared" si="62"/>
        <v>9</v>
      </c>
      <c r="AE36" s="2098">
        <f t="shared" si="5"/>
        <v>0.1111111111111111</v>
      </c>
      <c r="AG36" s="482">
        <f t="shared" si="63"/>
        <v>1</v>
      </c>
      <c r="AH36" s="483">
        <f t="shared" si="63"/>
        <v>6</v>
      </c>
      <c r="AI36" s="483">
        <f t="shared" si="63"/>
        <v>4</v>
      </c>
      <c r="AJ36" s="2097">
        <f t="shared" si="49"/>
        <v>11</v>
      </c>
      <c r="AK36" s="2098">
        <f t="shared" si="6"/>
        <v>9.0909090909090912E-2</v>
      </c>
      <c r="AM36" s="482">
        <f t="shared" ref="AM36:AO36" si="67">SUM(AM13)</f>
        <v>2</v>
      </c>
      <c r="AN36" s="483">
        <f t="shared" si="67"/>
        <v>5</v>
      </c>
      <c r="AO36" s="483">
        <f t="shared" si="67"/>
        <v>4</v>
      </c>
      <c r="AP36" s="2097">
        <f t="shared" si="51"/>
        <v>11</v>
      </c>
      <c r="AQ36" s="2098">
        <f t="shared" si="43"/>
        <v>0.18181818181818182</v>
      </c>
      <c r="AS36" s="482">
        <f t="shared" ref="AS36:AU36" si="68">SUM(AS13)</f>
        <v>3</v>
      </c>
      <c r="AT36" s="483">
        <f t="shared" si="68"/>
        <v>5</v>
      </c>
      <c r="AU36" s="483">
        <f t="shared" si="68"/>
        <v>2</v>
      </c>
      <c r="AV36" s="2097">
        <f t="shared" si="8"/>
        <v>10</v>
      </c>
      <c r="AW36" s="2098">
        <f t="shared" si="9"/>
        <v>0.3</v>
      </c>
      <c r="AY36" s="482">
        <f t="shared" ref="AY36:BA36" si="69">SUM(AY13)</f>
        <v>3</v>
      </c>
      <c r="AZ36" s="483">
        <f t="shared" si="69"/>
        <v>5</v>
      </c>
      <c r="BA36" s="483">
        <f t="shared" si="69"/>
        <v>3</v>
      </c>
      <c r="BB36" s="2097">
        <f t="shared" si="46"/>
        <v>11</v>
      </c>
      <c r="BC36" s="2098">
        <f t="shared" si="47"/>
        <v>0.27272727272727271</v>
      </c>
    </row>
    <row r="37" spans="1:55" ht="15" customHeight="1">
      <c r="A37" s="4142" t="s">
        <v>114</v>
      </c>
      <c r="B37" s="475"/>
      <c r="C37" s="4143">
        <f t="shared" ref="C37:L37" si="70">SUM(C31:C36)</f>
        <v>73</v>
      </c>
      <c r="D37" s="4144">
        <f t="shared" si="70"/>
        <v>111</v>
      </c>
      <c r="E37" s="4144">
        <f t="shared" si="70"/>
        <v>93</v>
      </c>
      <c r="F37" s="4145">
        <f t="shared" si="70"/>
        <v>277</v>
      </c>
      <c r="G37" s="4146">
        <f t="shared" si="1"/>
        <v>0.26353790613718414</v>
      </c>
      <c r="I37" s="4143">
        <f t="shared" si="70"/>
        <v>72</v>
      </c>
      <c r="J37" s="4144">
        <f t="shared" si="70"/>
        <v>112</v>
      </c>
      <c r="K37" s="4144">
        <f t="shared" si="70"/>
        <v>102</v>
      </c>
      <c r="L37" s="4145">
        <f t="shared" si="70"/>
        <v>286</v>
      </c>
      <c r="M37" s="4146">
        <f t="shared" si="2"/>
        <v>0.25174825174825177</v>
      </c>
      <c r="O37" s="4143">
        <f t="shared" ref="O37:X37" si="71">SUM(O31:O36)</f>
        <v>80</v>
      </c>
      <c r="P37" s="4144">
        <f t="shared" si="71"/>
        <v>99</v>
      </c>
      <c r="Q37" s="4144">
        <f t="shared" si="71"/>
        <v>107</v>
      </c>
      <c r="R37" s="4145">
        <f t="shared" si="71"/>
        <v>286</v>
      </c>
      <c r="S37" s="4146">
        <f t="shared" si="3"/>
        <v>0.27972027972027974</v>
      </c>
      <c r="U37" s="4143">
        <f t="shared" si="71"/>
        <v>81</v>
      </c>
      <c r="V37" s="4144">
        <f t="shared" si="71"/>
        <v>96</v>
      </c>
      <c r="W37" s="4144">
        <f t="shared" si="71"/>
        <v>105</v>
      </c>
      <c r="X37" s="4145">
        <f t="shared" si="71"/>
        <v>282</v>
      </c>
      <c r="Y37" s="4146">
        <f t="shared" si="4"/>
        <v>0.28723404255319152</v>
      </c>
      <c r="AA37" s="4143">
        <f>SUM(AA31:AA36)</f>
        <v>84</v>
      </c>
      <c r="AB37" s="4144">
        <f>SUM(AB31:AB36)</f>
        <v>92</v>
      </c>
      <c r="AC37" s="4144">
        <f>SUM(AC31:AC36)</f>
        <v>101</v>
      </c>
      <c r="AD37" s="4145">
        <f>SUM(AD31:AD36)</f>
        <v>277</v>
      </c>
      <c r="AE37" s="4146">
        <f t="shared" si="5"/>
        <v>0.30324909747292417</v>
      </c>
      <c r="AG37" s="4143">
        <f t="shared" ref="AG37:AJ37" si="72">SUM(AG31:AG36)</f>
        <v>87</v>
      </c>
      <c r="AH37" s="4144">
        <f t="shared" si="72"/>
        <v>81</v>
      </c>
      <c r="AI37" s="4144">
        <f t="shared" si="72"/>
        <v>111</v>
      </c>
      <c r="AJ37" s="4145">
        <f t="shared" si="72"/>
        <v>279</v>
      </c>
      <c r="AK37" s="4146">
        <f t="shared" si="6"/>
        <v>0.31182795698924731</v>
      </c>
      <c r="AM37" s="4143">
        <f t="shared" ref="AM37:AP37" si="73">SUM(AM31:AM36)</f>
        <v>82</v>
      </c>
      <c r="AN37" s="4144">
        <f t="shared" si="73"/>
        <v>83</v>
      </c>
      <c r="AO37" s="4144">
        <f t="shared" si="73"/>
        <v>112</v>
      </c>
      <c r="AP37" s="4145">
        <f t="shared" si="73"/>
        <v>277</v>
      </c>
      <c r="AQ37" s="4146">
        <f t="shared" si="43"/>
        <v>0.29602888086642598</v>
      </c>
      <c r="AS37" s="4143">
        <f>SUM(AS31:AS36)</f>
        <v>80</v>
      </c>
      <c r="AT37" s="4144">
        <f t="shared" ref="AT37:AU37" si="74">SUM(AT31:AT36)</f>
        <v>78</v>
      </c>
      <c r="AU37" s="4144">
        <f t="shared" si="74"/>
        <v>106</v>
      </c>
      <c r="AV37" s="4145">
        <f t="shared" si="8"/>
        <v>264</v>
      </c>
      <c r="AW37" s="4146">
        <f>AS37/AV37</f>
        <v>0.30303030303030304</v>
      </c>
      <c r="AY37" s="4143">
        <f>SUM(AY31:AY36)</f>
        <v>83</v>
      </c>
      <c r="AZ37" s="4144">
        <f t="shared" ref="AZ37:BA37" si="75">SUM(AZ31:AZ36)</f>
        <v>79</v>
      </c>
      <c r="BA37" s="4144">
        <f t="shared" si="75"/>
        <v>104</v>
      </c>
      <c r="BB37" s="4145">
        <f t="shared" si="46"/>
        <v>266</v>
      </c>
      <c r="BC37" s="4146">
        <f>AY37/BB37</f>
        <v>0.31203007518796994</v>
      </c>
    </row>
    <row r="38" spans="1:55" ht="12.95" customHeight="1">
      <c r="A38" s="484"/>
      <c r="B38" s="475"/>
    </row>
    <row r="39" spans="1:55" ht="12.95" customHeight="1">
      <c r="B39" s="475"/>
      <c r="C39" s="485" t="s">
        <v>1216</v>
      </c>
      <c r="BC39" s="4116" t="s">
        <v>1216</v>
      </c>
    </row>
    <row r="40" spans="1:55" ht="12.95" customHeight="1">
      <c r="B40" s="475"/>
      <c r="C40" s="485" t="s">
        <v>1217</v>
      </c>
      <c r="BC40" s="4116" t="s">
        <v>1217</v>
      </c>
    </row>
    <row r="41" spans="1:55" ht="18">
      <c r="B41" s="475"/>
      <c r="C41" s="485" t="s">
        <v>1218</v>
      </c>
      <c r="BC41" s="4116" t="s">
        <v>1218</v>
      </c>
    </row>
    <row r="42" spans="1:55" ht="18">
      <c r="A42" s="486"/>
      <c r="B42" s="475"/>
    </row>
    <row r="43" spans="1:55" ht="15" customHeight="1">
      <c r="A43" s="487"/>
      <c r="B43" s="475"/>
    </row>
    <row r="44" spans="1:55" ht="18">
      <c r="B44" s="475"/>
    </row>
    <row r="45" spans="1:55" ht="18">
      <c r="B45" s="475"/>
    </row>
    <row r="46" spans="1:55" ht="18">
      <c r="B46" s="475"/>
    </row>
    <row r="47" spans="1:55" ht="18">
      <c r="B47" s="475"/>
    </row>
    <row r="48" spans="1:55" ht="18">
      <c r="B48" s="475"/>
    </row>
    <row r="49" spans="2:2" ht="18">
      <c r="B49" s="475"/>
    </row>
    <row r="50" spans="2:2" ht="18">
      <c r="B50" s="475"/>
    </row>
    <row r="51" spans="2:2" ht="18">
      <c r="B51" s="475"/>
    </row>
    <row r="52" spans="2:2" ht="18">
      <c r="B52" s="475"/>
    </row>
    <row r="53" spans="2:2" ht="18">
      <c r="B53" s="475"/>
    </row>
    <row r="54" spans="2:2" ht="18">
      <c r="B54" s="475"/>
    </row>
    <row r="55" spans="2:2" ht="18">
      <c r="B55" s="475"/>
    </row>
    <row r="56" spans="2:2" ht="18">
      <c r="B56" s="475"/>
    </row>
    <row r="57" spans="2:2" ht="18">
      <c r="B57" s="475"/>
    </row>
    <row r="58" spans="2:2" ht="18">
      <c r="B58" s="475"/>
    </row>
    <row r="59" spans="2:2" ht="18">
      <c r="B59" s="475"/>
    </row>
    <row r="60" spans="2:2" ht="18">
      <c r="B60" s="475"/>
    </row>
    <row r="61" spans="2:2" ht="18">
      <c r="B61" s="475"/>
    </row>
    <row r="62" spans="2:2" ht="18">
      <c r="B62" s="475"/>
    </row>
    <row r="63" spans="2:2" ht="18">
      <c r="B63" s="475"/>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mergeCells count="10">
    <mergeCell ref="AY3:BC3"/>
    <mergeCell ref="AS3:AW3"/>
    <mergeCell ref="AM3:AQ3"/>
    <mergeCell ref="AG3:AK3"/>
    <mergeCell ref="AA3:AE3"/>
    <mergeCell ref="A3:A4"/>
    <mergeCell ref="C3:G3"/>
    <mergeCell ref="I3:M3"/>
    <mergeCell ref="O3:S3"/>
    <mergeCell ref="U3:Y3"/>
  </mergeCells>
  <pageMargins left="0.7" right="0.7" top="0.75" bottom="0.75" header="0.3" footer="0.3"/>
  <pageSetup orientation="portrait" r:id="rId1"/>
  <ignoredErrors>
    <ignoredError sqref="AQ14:AQ29 AQ37" formula="1"/>
  </ignoredErrors>
  <drawing r:id="rId2"/>
</worksheet>
</file>

<file path=xl/worksheets/sheet4.xml><?xml version="1.0" encoding="utf-8"?>
<worksheet xmlns="http://schemas.openxmlformats.org/spreadsheetml/2006/main" xmlns:r="http://schemas.openxmlformats.org/officeDocument/2006/relationships">
  <sheetPr>
    <tabColor theme="9" tint="-0.499984740745262"/>
  </sheetPr>
  <dimension ref="B1:S106"/>
  <sheetViews>
    <sheetView workbookViewId="0">
      <pane xSplit="3" ySplit="5" topLeftCell="H6" activePane="bottomRight" state="frozen"/>
      <selection activeCell="R5" sqref="R5"/>
      <selection pane="topRight" activeCell="R5" sqref="R5"/>
      <selection pane="bottomLeft" activeCell="R5" sqref="R5"/>
      <selection pane="bottomRight" activeCell="V67" sqref="V67"/>
    </sheetView>
  </sheetViews>
  <sheetFormatPr baseColWidth="10" defaultRowHeight="14.25"/>
  <cols>
    <col min="1" max="1" width="2.42578125" style="42" customWidth="1"/>
    <col min="2" max="2" width="10.7109375" style="42" customWidth="1"/>
    <col min="3" max="3" width="35.42578125" style="42" bestFit="1" customWidth="1"/>
    <col min="4" max="13" width="10.7109375" style="42" customWidth="1"/>
    <col min="14" max="14" width="11.42578125" style="42" customWidth="1"/>
    <col min="15" max="16384" width="11.42578125" style="42"/>
  </cols>
  <sheetData>
    <row r="1" spans="2:19" ht="15.75">
      <c r="B1" s="31" t="s">
        <v>1348</v>
      </c>
    </row>
    <row r="2" spans="2:19">
      <c r="B2" s="716" t="s">
        <v>1341</v>
      </c>
    </row>
    <row r="3" spans="2:19">
      <c r="B3" s="716"/>
    </row>
    <row r="4" spans="2:19" ht="15" customHeight="1">
      <c r="B4" s="4831" t="s">
        <v>2763</v>
      </c>
      <c r="C4" s="4833" t="s">
        <v>2768</v>
      </c>
      <c r="D4" s="4835" t="s">
        <v>66</v>
      </c>
      <c r="E4" s="4835"/>
      <c r="F4" s="4835"/>
      <c r="G4" s="4835"/>
      <c r="H4" s="4835"/>
      <c r="I4" s="4835"/>
      <c r="J4" s="4835"/>
      <c r="K4" s="4835"/>
      <c r="L4" s="4835"/>
      <c r="M4" s="4835"/>
      <c r="N4" s="4835"/>
      <c r="O4" s="4835"/>
      <c r="P4" s="4835"/>
      <c r="Q4" s="4835"/>
      <c r="R4" s="4835"/>
      <c r="S4" s="4835"/>
    </row>
    <row r="5" spans="2:19" ht="15.75" thickBot="1">
      <c r="B5" s="4832"/>
      <c r="C5" s="4834"/>
      <c r="D5" s="3550" t="s">
        <v>1048</v>
      </c>
      <c r="E5" s="3550" t="s">
        <v>1049</v>
      </c>
      <c r="F5" s="3550" t="s">
        <v>1047</v>
      </c>
      <c r="G5" s="3550" t="s">
        <v>1050</v>
      </c>
      <c r="H5" s="3550" t="s">
        <v>1051</v>
      </c>
      <c r="I5" s="3550" t="s">
        <v>1052</v>
      </c>
      <c r="J5" s="3550" t="s">
        <v>1053</v>
      </c>
      <c r="K5" s="3550" t="s">
        <v>1054</v>
      </c>
      <c r="L5" s="3550" t="s">
        <v>1688</v>
      </c>
      <c r="M5" s="3550" t="s">
        <v>1689</v>
      </c>
      <c r="N5" s="3550" t="s">
        <v>1923</v>
      </c>
      <c r="O5" s="3550" t="s">
        <v>1924</v>
      </c>
      <c r="P5" s="3550" t="s">
        <v>2692</v>
      </c>
      <c r="Q5" s="3550" t="s">
        <v>2693</v>
      </c>
      <c r="R5" s="4602" t="s">
        <v>3947</v>
      </c>
      <c r="S5" s="4602" t="s">
        <v>3948</v>
      </c>
    </row>
    <row r="6" spans="2:19" ht="15">
      <c r="B6" s="4837" t="s">
        <v>4</v>
      </c>
      <c r="C6" s="3551" t="s">
        <v>5</v>
      </c>
      <c r="D6" s="3560">
        <v>0</v>
      </c>
      <c r="E6" s="3561">
        <v>0</v>
      </c>
      <c r="F6" s="3560">
        <v>0</v>
      </c>
      <c r="G6" s="3561">
        <v>0</v>
      </c>
      <c r="H6" s="3560">
        <v>0</v>
      </c>
      <c r="I6" s="3561">
        <v>1.0638297872340425E-2</v>
      </c>
      <c r="J6" s="3560">
        <v>0</v>
      </c>
      <c r="K6" s="3561">
        <v>8.5470085470085479E-3</v>
      </c>
      <c r="L6" s="3560">
        <v>0</v>
      </c>
      <c r="M6" s="3561">
        <v>0</v>
      </c>
      <c r="N6" s="3560">
        <v>0</v>
      </c>
      <c r="O6" s="3561">
        <v>0</v>
      </c>
      <c r="P6" s="3560">
        <v>1.8518518518518517E-2</v>
      </c>
      <c r="Q6" s="3561">
        <v>1.8867924528301886E-2</v>
      </c>
      <c r="R6" s="3560">
        <v>2.2222222222222223E-2</v>
      </c>
      <c r="S6" s="3561">
        <v>1.7543859649122806E-2</v>
      </c>
    </row>
    <row r="7" spans="2:19" ht="15">
      <c r="B7" s="4836"/>
      <c r="C7" s="3551" t="s">
        <v>6</v>
      </c>
      <c r="D7" s="3562">
        <v>0</v>
      </c>
      <c r="E7" s="3563">
        <v>0</v>
      </c>
      <c r="F7" s="3562">
        <v>0</v>
      </c>
      <c r="G7" s="3563">
        <v>0</v>
      </c>
      <c r="H7" s="3562">
        <v>0</v>
      </c>
      <c r="I7" s="3563">
        <v>1.1235955056179775E-2</v>
      </c>
      <c r="J7" s="3562">
        <v>0</v>
      </c>
      <c r="K7" s="3563">
        <v>2.9197080291970802E-2</v>
      </c>
      <c r="L7" s="3562">
        <v>9.8039215686274508E-3</v>
      </c>
      <c r="M7" s="3563">
        <v>0</v>
      </c>
      <c r="N7" s="3562">
        <v>0</v>
      </c>
      <c r="O7" s="3563">
        <v>0.02</v>
      </c>
      <c r="P7" s="3562">
        <v>1.6129032258064516E-2</v>
      </c>
      <c r="Q7" s="3563">
        <v>0</v>
      </c>
      <c r="R7" s="3562">
        <v>1.9607843137254902E-2</v>
      </c>
      <c r="S7" s="3563">
        <v>2.0408163265306121E-2</v>
      </c>
    </row>
    <row r="8" spans="2:19" ht="15">
      <c r="B8" s="4836"/>
      <c r="C8" s="3551" t="s">
        <v>7</v>
      </c>
      <c r="D8" s="3562">
        <v>0</v>
      </c>
      <c r="E8" s="3563">
        <v>0</v>
      </c>
      <c r="F8" s="3562">
        <v>0</v>
      </c>
      <c r="G8" s="3563">
        <v>2.0408163265306121E-2</v>
      </c>
      <c r="H8" s="3562">
        <v>0</v>
      </c>
      <c r="I8" s="3563">
        <v>0</v>
      </c>
      <c r="J8" s="3562">
        <v>0</v>
      </c>
      <c r="K8" s="3563">
        <v>0</v>
      </c>
      <c r="L8" s="3562">
        <v>0</v>
      </c>
      <c r="M8" s="3563">
        <v>0</v>
      </c>
      <c r="N8" s="3562">
        <v>0</v>
      </c>
      <c r="O8" s="3563">
        <v>0</v>
      </c>
      <c r="P8" s="3562">
        <v>0</v>
      </c>
      <c r="Q8" s="3563">
        <v>0</v>
      </c>
      <c r="R8" s="3562">
        <v>0</v>
      </c>
      <c r="S8" s="3563">
        <v>3.7037037037037035E-2</v>
      </c>
    </row>
    <row r="9" spans="2:19" ht="15">
      <c r="B9" s="4836"/>
      <c r="C9" s="3551" t="s">
        <v>8</v>
      </c>
      <c r="D9" s="3562">
        <v>0</v>
      </c>
      <c r="E9" s="3563">
        <v>0</v>
      </c>
      <c r="F9" s="3562">
        <v>0</v>
      </c>
      <c r="G9" s="3563">
        <v>0</v>
      </c>
      <c r="H9" s="3562">
        <v>0</v>
      </c>
      <c r="I9" s="3563">
        <v>0</v>
      </c>
      <c r="J9" s="3562">
        <v>0</v>
      </c>
      <c r="K9" s="3563">
        <v>1.7241379310344827E-2</v>
      </c>
      <c r="L9" s="3562">
        <v>0</v>
      </c>
      <c r="M9" s="3563">
        <v>0</v>
      </c>
      <c r="N9" s="3562">
        <v>0</v>
      </c>
      <c r="O9" s="3563">
        <v>0</v>
      </c>
      <c r="P9" s="3562">
        <v>0</v>
      </c>
      <c r="Q9" s="3563">
        <v>0</v>
      </c>
      <c r="R9" s="3562">
        <v>0</v>
      </c>
      <c r="S9" s="3563">
        <v>1.6129032258064516E-2</v>
      </c>
    </row>
    <row r="10" spans="2:19" ht="15">
      <c r="B10" s="4836"/>
      <c r="C10" s="3551" t="s">
        <v>9</v>
      </c>
      <c r="D10" s="3562">
        <v>0</v>
      </c>
      <c r="E10" s="3563">
        <v>0</v>
      </c>
      <c r="F10" s="3562">
        <v>0</v>
      </c>
      <c r="G10" s="3563">
        <v>0</v>
      </c>
      <c r="H10" s="3562">
        <v>0</v>
      </c>
      <c r="I10" s="3563">
        <v>2.6315789473684209E-2</v>
      </c>
      <c r="J10" s="3562">
        <v>0</v>
      </c>
      <c r="K10" s="3563">
        <v>2.1052631578947368E-2</v>
      </c>
      <c r="L10" s="3562">
        <v>9.7087378640776691E-3</v>
      </c>
      <c r="M10" s="3563">
        <v>0</v>
      </c>
      <c r="N10" s="3562">
        <v>0</v>
      </c>
      <c r="O10" s="3563">
        <v>3.5087719298245612E-2</v>
      </c>
      <c r="P10" s="3562">
        <v>0</v>
      </c>
      <c r="Q10" s="3563">
        <v>0</v>
      </c>
      <c r="R10" s="3562">
        <v>2.4390243902439025E-2</v>
      </c>
      <c r="S10" s="3563">
        <v>0</v>
      </c>
    </row>
    <row r="11" spans="2:19" ht="15">
      <c r="B11" s="4836"/>
      <c r="C11" s="3551" t="s">
        <v>10</v>
      </c>
      <c r="D11" s="3562">
        <v>3.6363636363636362E-2</v>
      </c>
      <c r="E11" s="3563">
        <v>0</v>
      </c>
      <c r="F11" s="3562">
        <v>0</v>
      </c>
      <c r="G11" s="3563">
        <v>0</v>
      </c>
      <c r="H11" s="3562">
        <v>0</v>
      </c>
      <c r="I11" s="3563">
        <v>1.5151515151515152E-2</v>
      </c>
      <c r="J11" s="3562">
        <v>0</v>
      </c>
      <c r="K11" s="3563">
        <v>0</v>
      </c>
      <c r="L11" s="3562">
        <v>1.9230769230769232E-2</v>
      </c>
      <c r="M11" s="3563">
        <v>1.8867924528301886E-2</v>
      </c>
      <c r="N11" s="3562">
        <v>0</v>
      </c>
      <c r="O11" s="3563">
        <v>0</v>
      </c>
      <c r="P11" s="3562">
        <v>0</v>
      </c>
      <c r="Q11" s="3563">
        <v>1.6949152542372881E-2</v>
      </c>
      <c r="R11" s="3562">
        <v>0</v>
      </c>
      <c r="S11" s="3563">
        <v>0</v>
      </c>
    </row>
    <row r="12" spans="2:19" ht="15">
      <c r="B12" s="4836"/>
      <c r="C12" s="3551" t="s">
        <v>11</v>
      </c>
      <c r="D12" s="3562">
        <v>0</v>
      </c>
      <c r="E12" s="3563">
        <v>0</v>
      </c>
      <c r="F12" s="3562">
        <v>0</v>
      </c>
      <c r="G12" s="3563">
        <v>0</v>
      </c>
      <c r="H12" s="3562">
        <v>0</v>
      </c>
      <c r="I12" s="3563">
        <v>0</v>
      </c>
      <c r="J12" s="3562">
        <v>0</v>
      </c>
      <c r="K12" s="3563">
        <v>0</v>
      </c>
      <c r="L12" s="3562">
        <v>0</v>
      </c>
      <c r="M12" s="3563">
        <v>0</v>
      </c>
      <c r="N12" s="3562">
        <v>0</v>
      </c>
      <c r="O12" s="3563">
        <v>0</v>
      </c>
      <c r="P12" s="3562">
        <v>0</v>
      </c>
      <c r="Q12" s="3563">
        <v>0.02</v>
      </c>
      <c r="R12" s="3562">
        <v>0</v>
      </c>
      <c r="S12" s="3563">
        <v>0</v>
      </c>
    </row>
    <row r="13" spans="2:19" ht="15">
      <c r="B13" s="4836"/>
      <c r="C13" s="3551" t="s">
        <v>12</v>
      </c>
      <c r="D13" s="3562">
        <v>5.8823529411764705E-2</v>
      </c>
      <c r="E13" s="3563">
        <v>9.3457943925233638E-3</v>
      </c>
      <c r="F13" s="3562">
        <v>0</v>
      </c>
      <c r="G13" s="3563">
        <v>4.0816326530612242E-2</v>
      </c>
      <c r="H13" s="3562">
        <v>2.8169014084507043E-2</v>
      </c>
      <c r="I13" s="3563">
        <v>1.1494252873563218E-2</v>
      </c>
      <c r="J13" s="3562">
        <v>9.7087378640776691E-3</v>
      </c>
      <c r="K13" s="3563">
        <v>2.3255813953488372E-2</v>
      </c>
      <c r="L13" s="3562">
        <v>0</v>
      </c>
      <c r="M13" s="3563">
        <v>0</v>
      </c>
      <c r="N13" s="3562">
        <v>0</v>
      </c>
      <c r="O13" s="3563">
        <v>0.02</v>
      </c>
      <c r="P13" s="3562">
        <v>5.4545454545454543E-2</v>
      </c>
      <c r="Q13" s="3563">
        <v>1.9230769230769232E-2</v>
      </c>
      <c r="R13" s="3562">
        <v>0</v>
      </c>
      <c r="S13" s="3563">
        <v>0</v>
      </c>
    </row>
    <row r="14" spans="2:19" ht="15">
      <c r="B14" s="4836"/>
      <c r="C14" s="3551" t="s">
        <v>13</v>
      </c>
      <c r="D14" s="3562">
        <v>0</v>
      </c>
      <c r="E14" s="3563">
        <v>0</v>
      </c>
      <c r="F14" s="3562">
        <v>1.4492753623188406E-2</v>
      </c>
      <c r="G14" s="3563">
        <v>0</v>
      </c>
      <c r="H14" s="3562">
        <v>0</v>
      </c>
      <c r="I14" s="3563">
        <v>9.5238095238095247E-3</v>
      </c>
      <c r="J14" s="3562">
        <v>0</v>
      </c>
      <c r="K14" s="3563">
        <v>1.5873015873015872E-2</v>
      </c>
      <c r="L14" s="3562">
        <v>0</v>
      </c>
      <c r="M14" s="3563">
        <v>1.5873015873015872E-2</v>
      </c>
      <c r="N14" s="3562">
        <v>0</v>
      </c>
      <c r="O14" s="3563">
        <v>0</v>
      </c>
      <c r="P14" s="3562">
        <v>0</v>
      </c>
      <c r="Q14" s="3563">
        <v>0</v>
      </c>
      <c r="R14" s="3562">
        <v>0</v>
      </c>
      <c r="S14" s="3563">
        <v>0</v>
      </c>
    </row>
    <row r="15" spans="2:19" ht="15">
      <c r="B15" s="4836"/>
      <c r="C15" s="3551" t="s">
        <v>14</v>
      </c>
      <c r="D15" s="3562">
        <v>0</v>
      </c>
      <c r="E15" s="3563">
        <v>0</v>
      </c>
      <c r="F15" s="3562">
        <v>6.6225165562913907E-3</v>
      </c>
      <c r="G15" s="3563">
        <v>1.3513513513513514E-2</v>
      </c>
      <c r="H15" s="3562">
        <v>7.874015748031496E-3</v>
      </c>
      <c r="I15" s="3563">
        <v>0</v>
      </c>
      <c r="J15" s="3562">
        <v>7.8125E-3</v>
      </c>
      <c r="K15" s="3563">
        <v>0</v>
      </c>
      <c r="L15" s="3562">
        <v>3.2608695652173912E-2</v>
      </c>
      <c r="M15" s="3563">
        <v>1.5151515151515152E-2</v>
      </c>
      <c r="N15" s="3562">
        <v>2.7777777777777776E-2</v>
      </c>
      <c r="O15" s="3563">
        <v>1.7857142857142856E-2</v>
      </c>
      <c r="P15" s="3562">
        <v>0</v>
      </c>
      <c r="Q15" s="3563">
        <v>4.2553191489361701E-2</v>
      </c>
      <c r="R15" s="3562">
        <v>2.3809523809523808E-2</v>
      </c>
      <c r="S15" s="3563">
        <v>3.0769230769230771E-2</v>
      </c>
    </row>
    <row r="16" spans="2:19" ht="15">
      <c r="B16" s="4836"/>
      <c r="C16" s="3587" t="s">
        <v>572</v>
      </c>
      <c r="D16" s="3564">
        <v>7.9239302694136295E-3</v>
      </c>
      <c r="E16" s="3565">
        <v>1.2804097311139564E-3</v>
      </c>
      <c r="F16" s="3564">
        <v>3.1201248049921998E-3</v>
      </c>
      <c r="G16" s="3565">
        <v>7.9365079365079361E-3</v>
      </c>
      <c r="H16" s="3564">
        <v>4.329004329004329E-3</v>
      </c>
      <c r="I16" s="3565">
        <v>9.2592592592592587E-3</v>
      </c>
      <c r="J16" s="3564">
        <v>2.3668639053254438E-3</v>
      </c>
      <c r="K16" s="3565">
        <v>1.3377926421404682E-2</v>
      </c>
      <c r="L16" s="3564">
        <v>7.829977628635347E-3</v>
      </c>
      <c r="M16" s="3565">
        <v>5.6497175141242938E-3</v>
      </c>
      <c r="N16" s="3564">
        <v>2.2779043280182231E-3</v>
      </c>
      <c r="O16" s="3565">
        <v>1.0101010101010102E-2</v>
      </c>
      <c r="P16" s="3564">
        <v>9.3109869646182501E-3</v>
      </c>
      <c r="Q16" s="3565">
        <v>1.1627906976744186E-2</v>
      </c>
      <c r="R16" s="3564">
        <v>9.6153846153846159E-3</v>
      </c>
      <c r="S16" s="3565">
        <v>1.2433392539964476E-2</v>
      </c>
    </row>
    <row r="17" spans="2:19" ht="15">
      <c r="B17" s="4836" t="s">
        <v>16</v>
      </c>
      <c r="C17" s="3551" t="s">
        <v>17</v>
      </c>
      <c r="D17" s="3562">
        <v>0.21875</v>
      </c>
      <c r="E17" s="3563">
        <v>0.19354838709677419</v>
      </c>
      <c r="F17" s="3562">
        <v>0.30434782608695654</v>
      </c>
      <c r="G17" s="3563">
        <v>0.22222222222222221</v>
      </c>
      <c r="H17" s="3562">
        <v>0.21897810218978103</v>
      </c>
      <c r="I17" s="3563">
        <v>0.18115942028985507</v>
      </c>
      <c r="J17" s="3562">
        <v>0.12977099236641221</v>
      </c>
      <c r="K17" s="3563">
        <v>0.37614678899082571</v>
      </c>
      <c r="L17" s="3562">
        <v>0.2265625</v>
      </c>
      <c r="M17" s="3563">
        <v>0.28947368421052633</v>
      </c>
      <c r="N17" s="3562">
        <v>0.18115942028985507</v>
      </c>
      <c r="O17" s="3563">
        <v>0.17037037037037037</v>
      </c>
      <c r="P17" s="3562">
        <v>0.11678832116788321</v>
      </c>
      <c r="Q17" s="3563">
        <v>0.20567375886524822</v>
      </c>
      <c r="R17" s="3562">
        <v>6.0150375939849621E-2</v>
      </c>
      <c r="S17" s="3563">
        <v>0.22302158273381295</v>
      </c>
    </row>
    <row r="18" spans="2:19" ht="15">
      <c r="B18" s="4836"/>
      <c r="C18" s="3551" t="s">
        <v>18</v>
      </c>
      <c r="D18" s="3562">
        <v>5.8823529411764705E-2</v>
      </c>
      <c r="E18" s="3563">
        <v>0.18699186991869918</v>
      </c>
      <c r="F18" s="3562">
        <v>0.12206572769953052</v>
      </c>
      <c r="G18" s="3563">
        <v>0.15422885572139303</v>
      </c>
      <c r="H18" s="3562">
        <v>0.21505376344086022</v>
      </c>
      <c r="I18" s="3563">
        <v>0.25</v>
      </c>
      <c r="J18" s="3562">
        <v>0.16113744075829384</v>
      </c>
      <c r="K18" s="3563">
        <v>0.18716577540106952</v>
      </c>
      <c r="L18" s="3562">
        <v>8.4905660377358486E-2</v>
      </c>
      <c r="M18" s="3563">
        <v>0.11940298507462686</v>
      </c>
      <c r="N18" s="3562">
        <v>5.701754385964912E-2</v>
      </c>
      <c r="O18" s="3563">
        <v>0.14953271028037382</v>
      </c>
      <c r="P18" s="3562">
        <v>5.6872037914691941E-2</v>
      </c>
      <c r="Q18" s="3563">
        <v>0.14018691588785046</v>
      </c>
      <c r="R18" s="3562">
        <v>0.107981220657277</v>
      </c>
      <c r="S18" s="3563">
        <v>0.25</v>
      </c>
    </row>
    <row r="19" spans="2:19" ht="15">
      <c r="B19" s="4836"/>
      <c r="C19" s="3551" t="s">
        <v>19</v>
      </c>
      <c r="D19" s="3562">
        <v>1.4492753623188406E-2</v>
      </c>
      <c r="E19" s="3563">
        <v>0</v>
      </c>
      <c r="F19" s="3562">
        <v>9.9009900990099011E-3</v>
      </c>
      <c r="G19" s="3563">
        <v>2.5000000000000001E-2</v>
      </c>
      <c r="H19" s="3562">
        <v>3.1578947368421054E-2</v>
      </c>
      <c r="I19" s="3563">
        <v>0</v>
      </c>
      <c r="J19" s="3562">
        <v>0</v>
      </c>
      <c r="K19" s="3563">
        <v>5.6179775280898875E-2</v>
      </c>
      <c r="L19" s="3562">
        <v>0</v>
      </c>
      <c r="M19" s="3563">
        <v>1.1764705882352941E-2</v>
      </c>
      <c r="N19" s="3562">
        <v>2.0618556701030927E-2</v>
      </c>
      <c r="O19" s="3563">
        <v>2.8846153846153848E-2</v>
      </c>
      <c r="P19" s="3562">
        <v>1.9607843137254902E-2</v>
      </c>
      <c r="Q19" s="3563">
        <v>2.9702970297029702E-2</v>
      </c>
      <c r="R19" s="3562">
        <v>0</v>
      </c>
      <c r="S19" s="3563">
        <v>1.1363636363636364E-2</v>
      </c>
    </row>
    <row r="20" spans="2:19" ht="15">
      <c r="B20" s="4836"/>
      <c r="C20" s="3551" t="s">
        <v>20</v>
      </c>
      <c r="D20" s="3562">
        <v>8.6419753086419748E-2</v>
      </c>
      <c r="E20" s="3563">
        <v>3.9473684210526314E-2</v>
      </c>
      <c r="F20" s="3562">
        <v>0</v>
      </c>
      <c r="G20" s="3563">
        <v>0.05</v>
      </c>
      <c r="H20" s="3562">
        <v>0.04</v>
      </c>
      <c r="I20" s="3563">
        <v>4.7619047619047616E-2</v>
      </c>
      <c r="J20" s="3562">
        <v>1.2048192771084338E-2</v>
      </c>
      <c r="K20" s="3563">
        <v>3.5714285714285712E-2</v>
      </c>
      <c r="L20" s="3562">
        <v>0</v>
      </c>
      <c r="M20" s="3563">
        <v>1.098901098901099E-2</v>
      </c>
      <c r="N20" s="3562">
        <v>2.8301886792452831E-2</v>
      </c>
      <c r="O20" s="3563">
        <v>2.6785714285714284E-2</v>
      </c>
      <c r="P20" s="3562">
        <v>0</v>
      </c>
      <c r="Q20" s="3563">
        <v>1.0752688172043012E-2</v>
      </c>
      <c r="R20" s="3562">
        <v>9.9009900990099011E-3</v>
      </c>
      <c r="S20" s="3563">
        <v>1.1904761904761904E-2</v>
      </c>
    </row>
    <row r="21" spans="2:19" ht="15">
      <c r="B21" s="4836"/>
      <c r="C21" s="3587" t="s">
        <v>573</v>
      </c>
      <c r="D21" s="3564">
        <v>0.11041666666666666</v>
      </c>
      <c r="E21" s="3565">
        <v>0.11796246648793565</v>
      </c>
      <c r="F21" s="3564">
        <v>0.12</v>
      </c>
      <c r="G21" s="3565">
        <v>0.13333333333333333</v>
      </c>
      <c r="H21" s="3564">
        <v>0.14864864864864866</v>
      </c>
      <c r="I21" s="3565">
        <v>0.15722120658135283</v>
      </c>
      <c r="J21" s="3564">
        <v>9.9808061420345484E-2</v>
      </c>
      <c r="K21" s="3565">
        <v>0.17910447761194029</v>
      </c>
      <c r="L21" s="3564">
        <v>8.9184060721062622E-2</v>
      </c>
      <c r="M21" s="3565">
        <v>0.12016293279022404</v>
      </c>
      <c r="N21" s="3564">
        <v>7.5571177504393669E-2</v>
      </c>
      <c r="O21" s="3565">
        <v>0.1079646017699115</v>
      </c>
      <c r="P21" s="3564">
        <v>5.4054054054054057E-2</v>
      </c>
      <c r="Q21" s="3565">
        <v>0.11475409836065574</v>
      </c>
      <c r="R21" s="3564">
        <v>5.9701492537313432E-2</v>
      </c>
      <c r="S21" s="3565">
        <v>0.16635514018691588</v>
      </c>
    </row>
    <row r="22" spans="2:19" ht="15">
      <c r="B22" s="4836" t="s">
        <v>21</v>
      </c>
      <c r="C22" s="3551" t="s">
        <v>22</v>
      </c>
      <c r="D22" s="3562">
        <v>7.1999999999999995E-2</v>
      </c>
      <c r="E22" s="3563">
        <v>0.11881188118811881</v>
      </c>
      <c r="F22" s="3562">
        <v>8.2644628099173556E-2</v>
      </c>
      <c r="G22" s="3563">
        <v>7.8947368421052627E-2</v>
      </c>
      <c r="H22" s="3562">
        <v>9.5238095238095233E-2</v>
      </c>
      <c r="I22" s="3563">
        <v>0.17525773195876287</v>
      </c>
      <c r="J22" s="3562">
        <v>1.9047619047619049E-2</v>
      </c>
      <c r="K22" s="3563">
        <v>0.11881188118811881</v>
      </c>
      <c r="L22" s="3562">
        <v>3.2967032967032968E-2</v>
      </c>
      <c r="M22" s="3563">
        <v>5.5555555555555552E-2</v>
      </c>
      <c r="N22" s="3562">
        <v>5.7471264367816091E-2</v>
      </c>
      <c r="O22" s="3563">
        <v>3.1914893617021274E-2</v>
      </c>
      <c r="P22" s="3562">
        <v>0</v>
      </c>
      <c r="Q22" s="3563">
        <v>0.1111111111111111</v>
      </c>
      <c r="R22" s="3562">
        <v>2.2727272727272728E-2</v>
      </c>
      <c r="S22" s="3563">
        <v>5.6179775280898875E-2</v>
      </c>
    </row>
    <row r="23" spans="2:19" ht="15">
      <c r="B23" s="4836"/>
      <c r="C23" s="3551" t="s">
        <v>23</v>
      </c>
      <c r="D23" s="3562">
        <v>3.9473684210526314E-2</v>
      </c>
      <c r="E23" s="3563">
        <v>0.25</v>
      </c>
      <c r="F23" s="3562">
        <v>0.1728395061728395</v>
      </c>
      <c r="G23" s="3563">
        <v>0.13953488372093023</v>
      </c>
      <c r="H23" s="3562">
        <v>0.13253012048192772</v>
      </c>
      <c r="I23" s="3563">
        <v>0.36249999999999999</v>
      </c>
      <c r="J23" s="3562">
        <v>0.14457831325301204</v>
      </c>
      <c r="K23" s="3563">
        <v>0.36470588235294116</v>
      </c>
      <c r="L23" s="3562">
        <v>0.17647058823529413</v>
      </c>
      <c r="M23" s="3563">
        <v>0.20430107526881722</v>
      </c>
      <c r="N23" s="3562">
        <v>0.16494845360824742</v>
      </c>
      <c r="O23" s="3563">
        <v>0.25</v>
      </c>
      <c r="P23" s="3562">
        <v>0.15873015873015872</v>
      </c>
      <c r="Q23" s="3563">
        <v>0.3135593220338983</v>
      </c>
      <c r="R23" s="3562">
        <v>9.0909090909090912E-2</v>
      </c>
      <c r="S23" s="3563">
        <v>0.15178571428571427</v>
      </c>
    </row>
    <row r="24" spans="2:19" ht="15">
      <c r="B24" s="4836"/>
      <c r="C24" s="3551" t="s">
        <v>24</v>
      </c>
      <c r="D24" s="3562">
        <v>7.2727272727272724E-2</v>
      </c>
      <c r="E24" s="3563">
        <v>0.17307692307692307</v>
      </c>
      <c r="F24" s="3562">
        <v>5.2631578947368418E-2</v>
      </c>
      <c r="G24" s="3563">
        <v>0</v>
      </c>
      <c r="H24" s="3562">
        <v>0.1038961038961039</v>
      </c>
      <c r="I24" s="3563">
        <v>0.14285714285714285</v>
      </c>
      <c r="J24" s="3562">
        <v>5.7142857142857141E-2</v>
      </c>
      <c r="K24" s="3563">
        <v>0.14864864864864866</v>
      </c>
      <c r="L24" s="3562">
        <v>0.1044776119402985</v>
      </c>
      <c r="M24" s="3563">
        <v>6.4935064935064929E-2</v>
      </c>
      <c r="N24" s="3562">
        <v>0.1111111111111111</v>
      </c>
      <c r="O24" s="3563">
        <v>8.1081081081081086E-2</v>
      </c>
      <c r="P24" s="3562">
        <v>0.10256410256410256</v>
      </c>
      <c r="Q24" s="3563">
        <v>0.17948717948717949</v>
      </c>
      <c r="R24" s="3562">
        <v>5.6338028169014086E-2</v>
      </c>
      <c r="S24" s="3563">
        <v>0.15942028985507245</v>
      </c>
    </row>
    <row r="25" spans="2:19" ht="15">
      <c r="B25" s="4836"/>
      <c r="C25" s="4098" t="s">
        <v>574</v>
      </c>
      <c r="D25" s="3564">
        <v>6.25E-2</v>
      </c>
      <c r="E25" s="3565">
        <v>0.17467248908296942</v>
      </c>
      <c r="F25" s="3564">
        <v>0.10424710424710425</v>
      </c>
      <c r="G25" s="3565">
        <v>8.1395348837209308E-2</v>
      </c>
      <c r="H25" s="3564">
        <v>0.10943396226415095</v>
      </c>
      <c r="I25" s="3565">
        <v>0.22440944881889763</v>
      </c>
      <c r="J25" s="3564">
        <v>6.9767441860465115E-2</v>
      </c>
      <c r="K25" s="3565">
        <v>0.2076923076923077</v>
      </c>
      <c r="L25" s="3564">
        <v>0.1076923076923077</v>
      </c>
      <c r="M25" s="3565">
        <v>0.11153846153846154</v>
      </c>
      <c r="N25" s="3564">
        <v>0.11328125</v>
      </c>
      <c r="O25" s="3565">
        <v>0.12686567164179105</v>
      </c>
      <c r="P25" s="3564">
        <v>9.5890410958904104E-2</v>
      </c>
      <c r="Q25" s="3565">
        <v>0.21660649819494585</v>
      </c>
      <c r="R25" s="3564">
        <v>5.9479553903345722E-2</v>
      </c>
      <c r="S25" s="3565">
        <v>0.12222222222222222</v>
      </c>
    </row>
    <row r="26" spans="2:19" ht="15">
      <c r="B26" s="3558"/>
      <c r="C26" s="3552" t="s">
        <v>107</v>
      </c>
      <c r="D26" s="3566">
        <v>5.4133138258961232E-2</v>
      </c>
      <c r="E26" s="3567">
        <v>6.146059291395517E-2</v>
      </c>
      <c r="F26" s="3566">
        <v>6.6440677966101688E-2</v>
      </c>
      <c r="G26" s="3567">
        <v>5.8858858858858859E-2</v>
      </c>
      <c r="H26" s="3566">
        <v>7.3848238482384823E-2</v>
      </c>
      <c r="I26" s="3567">
        <v>9.6339113680154145E-2</v>
      </c>
      <c r="J26" s="3566">
        <v>4.4334975369458129E-2</v>
      </c>
      <c r="K26" s="3567">
        <v>9.2250922509225092E-2</v>
      </c>
      <c r="L26" s="3566">
        <v>4.878048780487805E-2</v>
      </c>
      <c r="M26" s="3567">
        <v>7.0982839313572549E-2</v>
      </c>
      <c r="N26" s="3566">
        <v>5.7753164556962028E-2</v>
      </c>
      <c r="O26" s="3567">
        <v>7.5301204819277115E-2</v>
      </c>
      <c r="P26" s="3566">
        <v>4.552023121387283E-2</v>
      </c>
      <c r="Q26" s="3567">
        <v>9.6125186289120715E-2</v>
      </c>
      <c r="R26" s="3566">
        <v>4.2588042588042586E-2</v>
      </c>
      <c r="S26" s="3567">
        <v>9.4298245614035089E-2</v>
      </c>
    </row>
    <row r="27" spans="2:19" ht="15">
      <c r="B27" s="4836" t="s">
        <v>4</v>
      </c>
      <c r="C27" s="3553" t="s">
        <v>26</v>
      </c>
      <c r="D27" s="3568">
        <v>0</v>
      </c>
      <c r="E27" s="3569">
        <v>2.0408163265306121E-2</v>
      </c>
      <c r="F27" s="3568">
        <v>0</v>
      </c>
      <c r="G27" s="3569">
        <v>3.2786885245901641E-2</v>
      </c>
      <c r="H27" s="3568">
        <v>0</v>
      </c>
      <c r="I27" s="3569">
        <v>0</v>
      </c>
      <c r="J27" s="3568"/>
      <c r="K27" s="3569">
        <v>0</v>
      </c>
      <c r="L27" s="3568">
        <v>0</v>
      </c>
      <c r="M27" s="3569">
        <v>0</v>
      </c>
      <c r="N27" s="3568">
        <v>0</v>
      </c>
      <c r="O27" s="3569">
        <v>9.433962264150943E-3</v>
      </c>
      <c r="P27" s="3568">
        <v>0</v>
      </c>
      <c r="Q27" s="3569">
        <v>1.6949152542372881E-2</v>
      </c>
      <c r="R27" s="3568">
        <v>0</v>
      </c>
      <c r="S27" s="3569">
        <v>1.0526315789473684E-2</v>
      </c>
    </row>
    <row r="28" spans="2:19" ht="15">
      <c r="B28" s="4836"/>
      <c r="C28" s="3551" t="s">
        <v>27</v>
      </c>
      <c r="D28" s="3562">
        <v>0</v>
      </c>
      <c r="E28" s="3563">
        <v>0</v>
      </c>
      <c r="F28" s="3562"/>
      <c r="G28" s="3563">
        <v>0</v>
      </c>
      <c r="H28" s="3562"/>
      <c r="I28" s="3563">
        <v>0</v>
      </c>
      <c r="J28" s="3562">
        <v>0</v>
      </c>
      <c r="K28" s="3563">
        <v>6.25E-2</v>
      </c>
      <c r="L28" s="3562"/>
      <c r="M28" s="3563">
        <v>0</v>
      </c>
      <c r="N28" s="3562"/>
      <c r="O28" s="3563">
        <v>0</v>
      </c>
      <c r="P28" s="3562">
        <v>0</v>
      </c>
      <c r="Q28" s="3563">
        <v>0</v>
      </c>
      <c r="R28" s="3562"/>
      <c r="S28" s="3563">
        <v>0</v>
      </c>
    </row>
    <row r="29" spans="2:19" ht="15">
      <c r="B29" s="4836"/>
      <c r="C29" s="3551" t="s">
        <v>12</v>
      </c>
      <c r="D29" s="3562">
        <v>0</v>
      </c>
      <c r="E29" s="3563">
        <v>0</v>
      </c>
      <c r="F29" s="3562">
        <v>0</v>
      </c>
      <c r="G29" s="3563">
        <v>3.9215686274509803E-2</v>
      </c>
      <c r="H29" s="3562">
        <v>0</v>
      </c>
      <c r="I29" s="3563">
        <v>0</v>
      </c>
      <c r="J29" s="3562">
        <v>0</v>
      </c>
      <c r="K29" s="3563">
        <v>1.3333333333333334E-2</v>
      </c>
      <c r="L29" s="3562">
        <v>0</v>
      </c>
      <c r="M29" s="3563">
        <v>3.1746031746031744E-2</v>
      </c>
      <c r="N29" s="3562">
        <v>0</v>
      </c>
      <c r="O29" s="3563">
        <v>0</v>
      </c>
      <c r="P29" s="3562">
        <v>0</v>
      </c>
      <c r="Q29" s="3563">
        <v>0</v>
      </c>
      <c r="R29" s="3562">
        <v>0</v>
      </c>
      <c r="S29" s="3563">
        <v>0.02</v>
      </c>
    </row>
    <row r="30" spans="2:19" ht="15">
      <c r="B30" s="4836"/>
      <c r="C30" s="3551" t="s">
        <v>28</v>
      </c>
      <c r="D30" s="3562">
        <v>0</v>
      </c>
      <c r="E30" s="3563">
        <v>0</v>
      </c>
      <c r="F30" s="3562">
        <v>0</v>
      </c>
      <c r="G30" s="3563">
        <v>0</v>
      </c>
      <c r="H30" s="3562">
        <v>0</v>
      </c>
      <c r="I30" s="3563">
        <v>2.3809523809523808E-2</v>
      </c>
      <c r="J30" s="3562">
        <v>0</v>
      </c>
      <c r="K30" s="3563">
        <v>1.9607843137254902E-2</v>
      </c>
      <c r="L30" s="3562">
        <v>0</v>
      </c>
      <c r="M30" s="3563">
        <v>2.1739130434782608E-2</v>
      </c>
      <c r="N30" s="3562">
        <v>0</v>
      </c>
      <c r="O30" s="3563">
        <v>0</v>
      </c>
      <c r="P30" s="3562">
        <v>2.8571428571428571E-2</v>
      </c>
      <c r="Q30" s="3563">
        <v>0</v>
      </c>
      <c r="R30" s="3562">
        <v>0</v>
      </c>
      <c r="S30" s="3563">
        <v>0</v>
      </c>
    </row>
    <row r="31" spans="2:19" ht="15">
      <c r="B31" s="4836"/>
      <c r="C31" s="3551" t="s">
        <v>29</v>
      </c>
      <c r="D31" s="3562">
        <v>6.6666666666666666E-2</v>
      </c>
      <c r="E31" s="3563">
        <v>5.5555555555555552E-2</v>
      </c>
      <c r="F31" s="3562">
        <v>0</v>
      </c>
      <c r="G31" s="3563">
        <v>0</v>
      </c>
      <c r="H31" s="3562">
        <v>0</v>
      </c>
      <c r="I31" s="3563">
        <v>0.10714285714285714</v>
      </c>
      <c r="J31" s="3562">
        <v>0</v>
      </c>
      <c r="K31" s="3563">
        <v>1.7857142857142856E-2</v>
      </c>
      <c r="L31" s="3562">
        <v>0</v>
      </c>
      <c r="M31" s="3563">
        <v>1.3157894736842105E-2</v>
      </c>
      <c r="N31" s="3562">
        <v>1.8181818181818181E-2</v>
      </c>
      <c r="O31" s="3563">
        <v>5.2631578947368418E-2</v>
      </c>
      <c r="P31" s="3562">
        <v>0</v>
      </c>
      <c r="Q31" s="3563">
        <v>1.8867924528301886E-2</v>
      </c>
      <c r="R31" s="3562">
        <v>0</v>
      </c>
      <c r="S31" s="3563">
        <v>5.4545454545454543E-2</v>
      </c>
    </row>
    <row r="32" spans="2:19" ht="15">
      <c r="B32" s="4836"/>
      <c r="C32" s="3551" t="s">
        <v>13</v>
      </c>
      <c r="D32" s="3562">
        <v>0</v>
      </c>
      <c r="E32" s="3563">
        <v>2.6315789473684209E-2</v>
      </c>
      <c r="F32" s="3562">
        <v>0</v>
      </c>
      <c r="G32" s="3563">
        <v>1.4925373134328358E-2</v>
      </c>
      <c r="H32" s="3562">
        <v>0</v>
      </c>
      <c r="I32" s="3563">
        <v>0</v>
      </c>
      <c r="J32" s="3562">
        <v>0</v>
      </c>
      <c r="K32" s="3563">
        <v>2.247191011235955E-2</v>
      </c>
      <c r="L32" s="3562">
        <v>0</v>
      </c>
      <c r="M32" s="3563">
        <v>1.2048192771084338E-2</v>
      </c>
      <c r="N32" s="3562">
        <v>0</v>
      </c>
      <c r="O32" s="3563">
        <v>0</v>
      </c>
      <c r="P32" s="3562">
        <v>0</v>
      </c>
      <c r="Q32" s="3563">
        <v>0</v>
      </c>
      <c r="R32" s="3562"/>
      <c r="S32" s="3563">
        <v>0</v>
      </c>
    </row>
    <row r="33" spans="2:19" ht="15">
      <c r="B33" s="4836"/>
      <c r="C33" s="3551" t="s">
        <v>30</v>
      </c>
      <c r="D33" s="3562">
        <v>0</v>
      </c>
      <c r="E33" s="3563">
        <v>0</v>
      </c>
      <c r="F33" s="3562">
        <v>0</v>
      </c>
      <c r="G33" s="3563">
        <v>0</v>
      </c>
      <c r="H33" s="3562">
        <v>0</v>
      </c>
      <c r="I33" s="3563">
        <v>0</v>
      </c>
      <c r="J33" s="3562">
        <v>0</v>
      </c>
      <c r="K33" s="3563">
        <v>1.5625E-2</v>
      </c>
      <c r="L33" s="3562">
        <v>0</v>
      </c>
      <c r="M33" s="3563">
        <v>2.3255813953488372E-2</v>
      </c>
      <c r="N33" s="3562"/>
      <c r="O33" s="3563">
        <v>0</v>
      </c>
      <c r="P33" s="3562">
        <v>0</v>
      </c>
      <c r="Q33" s="3563">
        <v>2.4390243902439025E-2</v>
      </c>
      <c r="R33" s="3562">
        <v>0</v>
      </c>
      <c r="S33" s="3563">
        <v>1.6129032258064516E-2</v>
      </c>
    </row>
    <row r="34" spans="2:19" ht="15">
      <c r="B34" s="4836"/>
      <c r="C34" s="3551" t="s">
        <v>31</v>
      </c>
      <c r="D34" s="3562">
        <v>0.13333333333333333</v>
      </c>
      <c r="E34" s="3563">
        <v>0.16666666666666666</v>
      </c>
      <c r="F34" s="3562">
        <v>0</v>
      </c>
      <c r="G34" s="3563">
        <v>3.125E-2</v>
      </c>
      <c r="H34" s="3562">
        <v>0</v>
      </c>
      <c r="I34" s="3563">
        <v>0</v>
      </c>
      <c r="J34" s="3562">
        <v>0</v>
      </c>
      <c r="K34" s="3563">
        <v>2.7777777777777776E-2</v>
      </c>
      <c r="L34" s="3562">
        <v>0</v>
      </c>
      <c r="M34" s="3563">
        <v>0</v>
      </c>
      <c r="N34" s="3562">
        <v>0.04</v>
      </c>
      <c r="O34" s="3563">
        <v>0</v>
      </c>
      <c r="P34" s="3562">
        <v>0</v>
      </c>
      <c r="Q34" s="3563">
        <v>2.1276595744680851E-2</v>
      </c>
      <c r="R34" s="3562">
        <v>0</v>
      </c>
      <c r="S34" s="3563">
        <v>0</v>
      </c>
    </row>
    <row r="35" spans="2:19" ht="15">
      <c r="B35" s="4836"/>
      <c r="C35" s="3551" t="s">
        <v>32</v>
      </c>
      <c r="D35" s="3562">
        <v>0</v>
      </c>
      <c r="E35" s="3563">
        <v>0</v>
      </c>
      <c r="F35" s="3562">
        <v>0</v>
      </c>
      <c r="G35" s="3563">
        <v>3.1746031746031744E-2</v>
      </c>
      <c r="H35" s="3562">
        <v>2.3809523809523808E-2</v>
      </c>
      <c r="I35" s="3563">
        <v>0</v>
      </c>
      <c r="J35" s="3562">
        <v>0</v>
      </c>
      <c r="K35" s="3563">
        <v>0</v>
      </c>
      <c r="L35" s="3562"/>
      <c r="M35" s="3563">
        <v>8.0645161290322578E-3</v>
      </c>
      <c r="N35" s="3562"/>
      <c r="O35" s="3563">
        <v>0</v>
      </c>
      <c r="P35" s="3562">
        <v>0</v>
      </c>
      <c r="Q35" s="3563">
        <v>8.4033613445378148E-3</v>
      </c>
      <c r="R35" s="3562"/>
      <c r="S35" s="3563">
        <v>0</v>
      </c>
    </row>
    <row r="36" spans="2:19" ht="15">
      <c r="B36" s="4836"/>
      <c r="C36" s="3587" t="s">
        <v>572</v>
      </c>
      <c r="D36" s="3564">
        <v>1.4999999999999999E-2</v>
      </c>
      <c r="E36" s="3565">
        <v>1.8518518518518517E-2</v>
      </c>
      <c r="F36" s="3564">
        <v>0</v>
      </c>
      <c r="G36" s="3565">
        <v>1.9277108433734941E-2</v>
      </c>
      <c r="H36" s="3564">
        <v>5.4644808743169399E-3</v>
      </c>
      <c r="I36" s="3565">
        <v>1.1494252873563218E-2</v>
      </c>
      <c r="J36" s="3564">
        <v>0</v>
      </c>
      <c r="K36" s="3565">
        <v>1.3445378151260505E-2</v>
      </c>
      <c r="L36" s="3564">
        <v>0</v>
      </c>
      <c r="M36" s="3565">
        <v>1.2173913043478261E-2</v>
      </c>
      <c r="N36" s="3564">
        <v>1.2048192771084338E-2</v>
      </c>
      <c r="O36" s="3565">
        <v>6.6555740432612314E-3</v>
      </c>
      <c r="P36" s="3564">
        <v>9.7087378640776691E-3</v>
      </c>
      <c r="Q36" s="3565">
        <v>1.0447761194029851E-2</v>
      </c>
      <c r="R36" s="3564">
        <v>0</v>
      </c>
      <c r="S36" s="3565">
        <v>1.1560693641618497E-2</v>
      </c>
    </row>
    <row r="37" spans="2:19" ht="15">
      <c r="B37" s="4836" t="s">
        <v>16</v>
      </c>
      <c r="C37" s="3551" t="s">
        <v>17</v>
      </c>
      <c r="D37" s="3562">
        <v>0.12598425196850394</v>
      </c>
      <c r="E37" s="3563">
        <v>6.569343065693431E-2</v>
      </c>
      <c r="F37" s="3562">
        <v>0.12612612612612611</v>
      </c>
      <c r="G37" s="3563">
        <v>0.15702479338842976</v>
      </c>
      <c r="H37" s="3562">
        <v>8.0357142857142863E-2</v>
      </c>
      <c r="I37" s="3563">
        <v>0.28971962616822428</v>
      </c>
      <c r="J37" s="3562">
        <v>0.24489795918367346</v>
      </c>
      <c r="K37" s="3563">
        <v>0.21052631578947367</v>
      </c>
      <c r="L37" s="3562">
        <v>0.2857142857142857</v>
      </c>
      <c r="M37" s="3563">
        <v>0.18103448275862069</v>
      </c>
      <c r="N37" s="3562">
        <v>9.5238095238095233E-2</v>
      </c>
      <c r="O37" s="3563">
        <v>0.29090909090909089</v>
      </c>
      <c r="P37" s="3562">
        <v>0.13636363636363635</v>
      </c>
      <c r="Q37" s="3563">
        <v>0.20168067226890757</v>
      </c>
      <c r="R37" s="3562">
        <v>5.8139534883720929E-2</v>
      </c>
      <c r="S37" s="3563">
        <v>0.21621621621621623</v>
      </c>
    </row>
    <row r="38" spans="2:19" ht="15">
      <c r="B38" s="4836"/>
      <c r="C38" s="3551" t="s">
        <v>33</v>
      </c>
      <c r="D38" s="3562">
        <v>0</v>
      </c>
      <c r="E38" s="3563">
        <v>5.4545454545454543E-2</v>
      </c>
      <c r="F38" s="3562"/>
      <c r="G38" s="3563">
        <v>5.3571428571428568E-2</v>
      </c>
      <c r="H38" s="3562">
        <v>0</v>
      </c>
      <c r="I38" s="3563">
        <v>0</v>
      </c>
      <c r="J38" s="3562">
        <v>0</v>
      </c>
      <c r="K38" s="3563">
        <v>7.3529411764705885E-2</v>
      </c>
      <c r="L38" s="3562">
        <v>0</v>
      </c>
      <c r="M38" s="3563">
        <v>1.8867924528301886E-2</v>
      </c>
      <c r="N38" s="3562"/>
      <c r="O38" s="3563">
        <v>0.14035087719298245</v>
      </c>
      <c r="P38" s="3562">
        <v>0</v>
      </c>
      <c r="Q38" s="3563">
        <v>1.6949152542372881E-2</v>
      </c>
      <c r="S38" s="3563">
        <v>0.06</v>
      </c>
    </row>
    <row r="39" spans="2:19" ht="15">
      <c r="B39" s="4836"/>
      <c r="C39" s="3551" t="s">
        <v>34</v>
      </c>
      <c r="D39" s="3570"/>
      <c r="E39" s="3563">
        <v>0</v>
      </c>
      <c r="F39" s="3570">
        <v>0</v>
      </c>
      <c r="G39" s="3563">
        <v>3.2786885245901641E-2</v>
      </c>
      <c r="H39" s="3570">
        <v>0</v>
      </c>
      <c r="I39" s="3563">
        <v>0.05</v>
      </c>
      <c r="J39" s="3570"/>
      <c r="K39" s="3563">
        <v>1.6393442622950821E-2</v>
      </c>
      <c r="L39" s="3570">
        <v>0</v>
      </c>
      <c r="M39" s="3563">
        <v>0</v>
      </c>
      <c r="N39" s="3570"/>
      <c r="O39" s="3563">
        <v>0</v>
      </c>
      <c r="P39" s="3570">
        <v>0</v>
      </c>
      <c r="Q39" s="3563">
        <v>1.6949152542372881E-2</v>
      </c>
      <c r="S39" s="3563">
        <v>5.4545454545454543E-2</v>
      </c>
    </row>
    <row r="40" spans="2:19" ht="15">
      <c r="B40" s="4836"/>
      <c r="C40" s="3551" t="s">
        <v>35</v>
      </c>
      <c r="D40" s="3562">
        <v>0</v>
      </c>
      <c r="E40" s="3563">
        <v>0.1044776119402985</v>
      </c>
      <c r="F40" s="3562">
        <v>0</v>
      </c>
      <c r="G40" s="3563">
        <v>5.1948051948051951E-2</v>
      </c>
      <c r="H40" s="3562">
        <v>0</v>
      </c>
      <c r="I40" s="3563">
        <v>1.3698630136986301E-2</v>
      </c>
      <c r="J40" s="3562"/>
      <c r="K40" s="3563">
        <v>4.2253521126760563E-2</v>
      </c>
      <c r="L40" s="3562">
        <v>0</v>
      </c>
      <c r="M40" s="3563">
        <v>2.9850746268656716E-2</v>
      </c>
      <c r="N40" s="3562">
        <v>0</v>
      </c>
      <c r="O40" s="3563">
        <v>7.3529411764705885E-2</v>
      </c>
      <c r="P40" s="3562"/>
      <c r="Q40" s="3563">
        <v>0</v>
      </c>
      <c r="R40" s="3562">
        <v>0</v>
      </c>
      <c r="S40" s="3563">
        <v>4.6153846153846156E-2</v>
      </c>
    </row>
    <row r="41" spans="2:19" ht="15">
      <c r="B41" s="4836"/>
      <c r="C41" s="3551" t="s">
        <v>19</v>
      </c>
      <c r="D41" s="3562">
        <v>0</v>
      </c>
      <c r="E41" s="3563">
        <v>0.10666666666666667</v>
      </c>
      <c r="F41" s="3562">
        <v>0</v>
      </c>
      <c r="G41" s="3563">
        <v>5.8823529411764705E-2</v>
      </c>
      <c r="H41" s="3562">
        <v>0</v>
      </c>
      <c r="I41" s="3563">
        <v>0.10784313725490197</v>
      </c>
      <c r="J41" s="3562">
        <v>0</v>
      </c>
      <c r="K41" s="3563">
        <v>2.8571428571428571E-2</v>
      </c>
      <c r="L41" s="3562">
        <v>0</v>
      </c>
      <c r="M41" s="3563">
        <v>6.0606060606060608E-2</v>
      </c>
      <c r="N41" s="3562">
        <v>0</v>
      </c>
      <c r="O41" s="3563">
        <v>1.8181818181818181E-2</v>
      </c>
      <c r="P41" s="3562">
        <v>0</v>
      </c>
      <c r="Q41" s="3563">
        <v>0.11764705882352941</v>
      </c>
      <c r="R41" s="3570">
        <v>0</v>
      </c>
      <c r="S41" s="3563">
        <v>5.3571428571428568E-2</v>
      </c>
    </row>
    <row r="42" spans="2:19" ht="15">
      <c r="B42" s="4836"/>
      <c r="C42" s="3551" t="s">
        <v>20</v>
      </c>
      <c r="D42" s="3562">
        <v>0</v>
      </c>
      <c r="E42" s="3563">
        <v>0.10606060606060606</v>
      </c>
      <c r="F42" s="3562">
        <v>0</v>
      </c>
      <c r="G42" s="3563">
        <v>0</v>
      </c>
      <c r="H42" s="3562">
        <v>0</v>
      </c>
      <c r="I42" s="3563">
        <v>1.2345679012345678E-2</v>
      </c>
      <c r="J42" s="3562">
        <v>0</v>
      </c>
      <c r="K42" s="3563">
        <v>2.1052631578947368E-2</v>
      </c>
      <c r="L42" s="3562"/>
      <c r="M42" s="3563">
        <v>3.2258064516129031E-2</v>
      </c>
      <c r="N42" s="3562">
        <v>0</v>
      </c>
      <c r="O42" s="3563">
        <v>3.4883720930232558E-2</v>
      </c>
      <c r="P42" s="3562"/>
      <c r="Q42" s="3563">
        <v>6.3157894736842107E-2</v>
      </c>
      <c r="R42" s="3562">
        <v>0</v>
      </c>
      <c r="S42" s="3563">
        <v>0</v>
      </c>
    </row>
    <row r="43" spans="2:19" ht="15">
      <c r="B43" s="4836"/>
      <c r="C43" s="3551" t="s">
        <v>36</v>
      </c>
      <c r="D43" s="3570"/>
      <c r="E43" s="3563">
        <v>1.6393442622950821E-2</v>
      </c>
      <c r="F43" s="3570">
        <v>0</v>
      </c>
      <c r="G43" s="3563">
        <v>5.7971014492753624E-2</v>
      </c>
      <c r="H43" s="3570">
        <v>0</v>
      </c>
      <c r="I43" s="3563">
        <v>0.05</v>
      </c>
      <c r="J43" s="3570">
        <v>0</v>
      </c>
      <c r="K43" s="3563">
        <v>4.2857142857142858E-2</v>
      </c>
      <c r="L43" s="3570">
        <v>0</v>
      </c>
      <c r="M43" s="3563">
        <v>5.8823529411764705E-2</v>
      </c>
      <c r="N43" s="3570">
        <v>0</v>
      </c>
      <c r="O43" s="3563">
        <v>2.564102564102564E-2</v>
      </c>
      <c r="P43" s="3570">
        <v>0</v>
      </c>
      <c r="Q43" s="3563">
        <v>1.3157894736842105E-2</v>
      </c>
      <c r="S43" s="3563">
        <v>0.04</v>
      </c>
    </row>
    <row r="44" spans="2:19" ht="15">
      <c r="B44" s="4836"/>
      <c r="C44" s="3551" t="s">
        <v>37</v>
      </c>
      <c r="D44" s="3570"/>
      <c r="E44" s="3563">
        <v>7.407407407407407E-2</v>
      </c>
      <c r="F44" s="3570">
        <v>0</v>
      </c>
      <c r="G44" s="3563">
        <v>0.13953488372093023</v>
      </c>
      <c r="H44" s="3570">
        <v>0</v>
      </c>
      <c r="I44" s="3563">
        <v>7.8947368421052627E-2</v>
      </c>
      <c r="J44" s="3570"/>
      <c r="K44" s="3563">
        <v>8.771929824561403E-2</v>
      </c>
      <c r="L44" s="3570"/>
      <c r="M44" s="3563">
        <v>0.06</v>
      </c>
      <c r="N44" s="3570">
        <v>0</v>
      </c>
      <c r="O44" s="3563">
        <v>0.125</v>
      </c>
      <c r="P44" s="3570">
        <v>0</v>
      </c>
      <c r="Q44" s="3563">
        <v>2.3255813953488372E-2</v>
      </c>
      <c r="R44" s="3562">
        <v>0</v>
      </c>
      <c r="S44" s="3563">
        <v>9.6153846153846159E-2</v>
      </c>
    </row>
    <row r="45" spans="2:19" ht="15">
      <c r="B45" s="4836"/>
      <c r="C45" s="3551" t="s">
        <v>38</v>
      </c>
      <c r="D45" s="3562">
        <v>0</v>
      </c>
      <c r="E45" s="3563">
        <v>6.7226890756302518E-2</v>
      </c>
      <c r="F45" s="3562"/>
      <c r="G45" s="3563">
        <v>3.9215686274509803E-2</v>
      </c>
      <c r="H45" s="3562">
        <v>0</v>
      </c>
      <c r="I45" s="3563">
        <v>0.16304347826086957</v>
      </c>
      <c r="J45" s="3562"/>
      <c r="K45" s="3563">
        <v>0.05</v>
      </c>
      <c r="L45" s="3562">
        <v>0</v>
      </c>
      <c r="M45" s="3563">
        <v>3.2967032967032968E-2</v>
      </c>
      <c r="N45" s="3562">
        <v>0</v>
      </c>
      <c r="O45" s="3563">
        <v>8.0808080808080815E-2</v>
      </c>
      <c r="P45" s="3562">
        <v>0</v>
      </c>
      <c r="Q45" s="3563">
        <v>7.0707070707070704E-2</v>
      </c>
      <c r="R45" s="3562"/>
      <c r="S45" s="3563">
        <v>2.3255813953488372E-2</v>
      </c>
    </row>
    <row r="46" spans="2:19" ht="15">
      <c r="B46" s="4836"/>
      <c r="C46" s="3551" t="s">
        <v>39</v>
      </c>
      <c r="D46" s="3562">
        <v>0.3188405797101449</v>
      </c>
      <c r="E46" s="3563">
        <v>0.12244897959183673</v>
      </c>
      <c r="F46" s="3562">
        <v>0.33333333333333331</v>
      </c>
      <c r="G46" s="3563">
        <v>0.171875</v>
      </c>
      <c r="H46" s="3562">
        <v>0.15789473684210525</v>
      </c>
      <c r="I46" s="3563">
        <v>0.26446280991735538</v>
      </c>
      <c r="J46" s="3562">
        <v>0.21428571428571427</v>
      </c>
      <c r="K46" s="3563">
        <v>0.18852459016393441</v>
      </c>
      <c r="L46" s="3562">
        <v>5.8823529411764705E-2</v>
      </c>
      <c r="M46" s="3563">
        <v>8.4745762711864403E-2</v>
      </c>
      <c r="N46" s="3562">
        <v>0.05</v>
      </c>
      <c r="O46" s="3563">
        <v>0.30275229357798167</v>
      </c>
      <c r="P46" s="3562">
        <v>0.13461538461538461</v>
      </c>
      <c r="Q46" s="3563">
        <v>0.27272727272727271</v>
      </c>
      <c r="R46" s="3562">
        <v>0.11538461538461539</v>
      </c>
      <c r="S46" s="3563">
        <v>0.19130434782608696</v>
      </c>
    </row>
    <row r="47" spans="2:19" ht="15">
      <c r="B47" s="4836"/>
      <c r="C47" s="3551" t="s">
        <v>40</v>
      </c>
      <c r="D47" s="3570"/>
      <c r="E47" s="3563">
        <v>0</v>
      </c>
      <c r="F47" s="3570">
        <v>0</v>
      </c>
      <c r="G47" s="3563">
        <v>0</v>
      </c>
      <c r="H47" s="3570">
        <v>0</v>
      </c>
      <c r="I47" s="3563">
        <v>0</v>
      </c>
      <c r="J47" s="3570"/>
      <c r="K47" s="3563">
        <v>0</v>
      </c>
      <c r="L47" s="3570">
        <v>0</v>
      </c>
      <c r="M47" s="3563">
        <v>0</v>
      </c>
      <c r="N47" s="3570"/>
      <c r="O47" s="3563">
        <v>0</v>
      </c>
      <c r="P47" s="3570"/>
      <c r="Q47" s="3563">
        <v>2.7027027027027029E-2</v>
      </c>
      <c r="R47" s="3570">
        <v>0</v>
      </c>
      <c r="S47" s="3563">
        <v>0</v>
      </c>
    </row>
    <row r="48" spans="2:19" ht="15">
      <c r="B48" s="4836"/>
      <c r="C48" s="3587" t="s">
        <v>573</v>
      </c>
      <c r="D48" s="3564">
        <v>0.18181818181818182</v>
      </c>
      <c r="E48" s="3565">
        <v>7.4468085106382975E-2</v>
      </c>
      <c r="F48" s="3564">
        <v>0.19230769230769232</v>
      </c>
      <c r="G48" s="3565">
        <v>8.0183276059564726E-2</v>
      </c>
      <c r="H48" s="3564">
        <v>9.7826086956521743E-2</v>
      </c>
      <c r="I48" s="3565">
        <v>0.11854460093896714</v>
      </c>
      <c r="J48" s="3564">
        <v>0.22500000000000001</v>
      </c>
      <c r="K48" s="3565">
        <v>8.2681564245810052E-2</v>
      </c>
      <c r="L48" s="3564">
        <v>0.18954248366013071</v>
      </c>
      <c r="M48" s="3565">
        <v>6.1413673232908458E-2</v>
      </c>
      <c r="N48" s="3564">
        <v>7.4712643678160925E-2</v>
      </c>
      <c r="O48" s="3565">
        <v>0.11392405063291139</v>
      </c>
      <c r="P48" s="3564">
        <v>0.12337662337662338</v>
      </c>
      <c r="Q48" s="3565">
        <v>9.578107183580388E-2</v>
      </c>
      <c r="R48" s="3564">
        <v>7.5342465753424653E-2</v>
      </c>
      <c r="S48" s="3565">
        <v>8.4826762246117085E-2</v>
      </c>
    </row>
    <row r="49" spans="2:19" ht="15">
      <c r="B49" s="4836" t="s">
        <v>41</v>
      </c>
      <c r="C49" s="3551" t="s">
        <v>42</v>
      </c>
      <c r="D49" s="3562">
        <v>2.0833333333333332E-2</v>
      </c>
      <c r="E49" s="3563">
        <v>9.45945945945946E-2</v>
      </c>
      <c r="F49" s="3562">
        <v>1.5384615384615385E-2</v>
      </c>
      <c r="G49" s="3563">
        <v>0.12</v>
      </c>
      <c r="H49" s="3562">
        <v>1.2048192771084338E-2</v>
      </c>
      <c r="I49" s="3563">
        <v>1.4285714285714285E-2</v>
      </c>
      <c r="J49" s="3562">
        <v>3.0303030303030304E-2</v>
      </c>
      <c r="K49" s="3563">
        <v>5.2631578947368418E-2</v>
      </c>
      <c r="L49" s="3562">
        <v>2.7397260273972601E-2</v>
      </c>
      <c r="M49" s="3563">
        <v>4.0540540540540543E-2</v>
      </c>
      <c r="N49" s="3562">
        <v>0</v>
      </c>
      <c r="O49" s="3563">
        <v>3.0303030303030304E-2</v>
      </c>
      <c r="P49" s="3562">
        <v>0</v>
      </c>
      <c r="Q49" s="3563">
        <v>0.1095890410958904</v>
      </c>
      <c r="R49" s="3562">
        <v>3.5714285714285712E-2</v>
      </c>
      <c r="S49" s="3563">
        <v>3.5714285714285712E-2</v>
      </c>
    </row>
    <row r="50" spans="2:19" ht="15">
      <c r="B50" s="4836"/>
      <c r="C50" s="3551" t="s">
        <v>43</v>
      </c>
      <c r="D50" s="3562">
        <v>3.5714285714285712E-2</v>
      </c>
      <c r="E50" s="3563">
        <v>7.0175438596491224E-2</v>
      </c>
      <c r="F50" s="3562">
        <v>2.4390243902439025E-2</v>
      </c>
      <c r="G50" s="3563">
        <v>5.5555555555555552E-2</v>
      </c>
      <c r="H50" s="3562">
        <v>5.8823529411764705E-2</v>
      </c>
      <c r="I50" s="3563">
        <v>6.25E-2</v>
      </c>
      <c r="J50" s="3562">
        <v>8.1081081081081086E-2</v>
      </c>
      <c r="K50" s="3563">
        <v>2.0408163265306121E-2</v>
      </c>
      <c r="L50" s="3562">
        <v>0</v>
      </c>
      <c r="M50" s="3563">
        <v>1.5873015873015872E-2</v>
      </c>
      <c r="N50" s="3562">
        <v>0</v>
      </c>
      <c r="O50" s="3563">
        <v>6.5573770491803282E-2</v>
      </c>
      <c r="P50" s="3562">
        <v>0</v>
      </c>
      <c r="Q50" s="3563">
        <v>5.3571428571428568E-2</v>
      </c>
      <c r="R50" s="3562">
        <v>0</v>
      </c>
      <c r="S50" s="3563">
        <v>1.7241379310344827E-2</v>
      </c>
    </row>
    <row r="51" spans="2:19" ht="15">
      <c r="B51" s="4836"/>
      <c r="C51" s="3551" t="s">
        <v>44</v>
      </c>
      <c r="D51" s="3562">
        <v>0</v>
      </c>
      <c r="E51" s="3563">
        <v>0</v>
      </c>
      <c r="F51" s="3562">
        <v>0</v>
      </c>
      <c r="G51" s="3563">
        <v>0.02</v>
      </c>
      <c r="H51" s="3562">
        <v>0</v>
      </c>
      <c r="I51" s="3563">
        <v>2.8571428571428571E-2</v>
      </c>
      <c r="J51" s="3562">
        <v>2.2222222222222223E-2</v>
      </c>
      <c r="K51" s="3563">
        <v>0</v>
      </c>
      <c r="L51" s="3562">
        <v>0</v>
      </c>
      <c r="M51" s="3563">
        <v>0</v>
      </c>
      <c r="N51" s="3562">
        <v>2.1739130434782608E-2</v>
      </c>
      <c r="O51" s="3563">
        <v>0</v>
      </c>
      <c r="P51" s="3562">
        <v>5.128205128205128E-2</v>
      </c>
      <c r="Q51" s="3563">
        <v>1.9230769230769232E-2</v>
      </c>
      <c r="R51" s="3562">
        <v>2.7027027027027029E-2</v>
      </c>
      <c r="S51" s="3563">
        <v>2.3255813953488372E-2</v>
      </c>
    </row>
    <row r="52" spans="2:19" ht="15">
      <c r="B52" s="4836"/>
      <c r="C52" s="3551" t="s">
        <v>45</v>
      </c>
      <c r="D52" s="3562">
        <v>0</v>
      </c>
      <c r="E52" s="3563">
        <v>0</v>
      </c>
      <c r="F52" s="3562"/>
      <c r="G52" s="3563">
        <v>7.6923076923076927E-2</v>
      </c>
      <c r="H52" s="3562">
        <v>0</v>
      </c>
      <c r="I52" s="3563">
        <v>9.375E-2</v>
      </c>
      <c r="J52" s="3562">
        <v>0</v>
      </c>
      <c r="K52" s="3563">
        <v>0</v>
      </c>
      <c r="L52" s="3562">
        <v>2.9411764705882353E-2</v>
      </c>
      <c r="M52" s="3563">
        <v>0</v>
      </c>
      <c r="N52" s="3562">
        <v>0</v>
      </c>
      <c r="O52" s="3563">
        <v>4.5454545454545456E-2</v>
      </c>
      <c r="P52" s="3562">
        <v>2.7027027027027029E-2</v>
      </c>
      <c r="Q52" s="3563">
        <v>0</v>
      </c>
      <c r="R52" s="3562">
        <v>0.21212121212121213</v>
      </c>
      <c r="S52" s="3563">
        <v>0.1388888888888889</v>
      </c>
    </row>
    <row r="53" spans="2:19" ht="15">
      <c r="B53" s="4836"/>
      <c r="C53" s="3551" t="s">
        <v>46</v>
      </c>
      <c r="D53" s="3562">
        <v>4.3478260869565216E-2</v>
      </c>
      <c r="E53" s="3563">
        <v>7.2289156626506021E-2</v>
      </c>
      <c r="F53" s="3562">
        <v>1.6949152542372881E-2</v>
      </c>
      <c r="G53" s="3563">
        <v>4.3010752688172046E-2</v>
      </c>
      <c r="H53" s="3562">
        <v>1.0309278350515464E-2</v>
      </c>
      <c r="I53" s="3563">
        <v>6.8627450980392163E-2</v>
      </c>
      <c r="J53" s="3562">
        <v>1.3157894736842105E-2</v>
      </c>
      <c r="K53" s="3563">
        <v>6.1224489795918366E-2</v>
      </c>
      <c r="L53" s="3562">
        <v>0</v>
      </c>
      <c r="M53" s="3563">
        <v>1.0752688172043012E-2</v>
      </c>
      <c r="N53" s="3562">
        <v>1.0416666666666666E-2</v>
      </c>
      <c r="O53" s="3563">
        <v>0</v>
      </c>
      <c r="P53" s="3562">
        <v>1.3698630136986301E-2</v>
      </c>
      <c r="Q53" s="3563">
        <v>3.2258064516129031E-2</v>
      </c>
      <c r="R53" s="3562">
        <v>1.4285714285714285E-2</v>
      </c>
      <c r="S53" s="3563">
        <v>3.7499999999999999E-2</v>
      </c>
    </row>
    <row r="54" spans="2:19" ht="15">
      <c r="B54" s="4836"/>
      <c r="C54" s="3551" t="s">
        <v>47</v>
      </c>
      <c r="D54" s="3562">
        <v>0</v>
      </c>
      <c r="E54" s="3563">
        <v>2.3255813953488372E-2</v>
      </c>
      <c r="F54" s="3562">
        <v>4.2857142857142858E-2</v>
      </c>
      <c r="G54" s="3563">
        <v>2.247191011235955E-2</v>
      </c>
      <c r="H54" s="3562">
        <v>0</v>
      </c>
      <c r="I54" s="3563">
        <v>3.3333333333333333E-2</v>
      </c>
      <c r="J54" s="3562">
        <v>0</v>
      </c>
      <c r="K54" s="3563">
        <v>2.0833333333333332E-2</v>
      </c>
      <c r="L54" s="3562">
        <v>0</v>
      </c>
      <c r="M54" s="3563">
        <v>8.8495575221238937E-3</v>
      </c>
      <c r="N54" s="3562">
        <v>0</v>
      </c>
      <c r="O54" s="3563">
        <v>0</v>
      </c>
      <c r="P54" s="3562">
        <v>1.3513513513513514E-2</v>
      </c>
      <c r="Q54" s="3563">
        <v>0</v>
      </c>
      <c r="R54" s="3562">
        <v>1.5384615384615385E-2</v>
      </c>
      <c r="S54" s="3563">
        <v>1.1904761904761904E-2</v>
      </c>
    </row>
    <row r="55" spans="2:19" ht="15">
      <c r="B55" s="4836"/>
      <c r="C55" s="3587" t="s">
        <v>575</v>
      </c>
      <c r="D55" s="3564">
        <v>2.1052631578947368E-2</v>
      </c>
      <c r="E55" s="3565">
        <v>5.2341597796143252E-2</v>
      </c>
      <c r="F55" s="3564">
        <v>2.5000000000000001E-2</v>
      </c>
      <c r="G55" s="3565">
        <v>5.4263565891472867E-2</v>
      </c>
      <c r="H55" s="3564">
        <v>1.483679525222552E-2</v>
      </c>
      <c r="I55" s="3565">
        <v>4.6116504854368932E-2</v>
      </c>
      <c r="J55" s="3564">
        <v>2.0588235294117647E-2</v>
      </c>
      <c r="K55" s="3565">
        <v>3.1100478468899521E-2</v>
      </c>
      <c r="L55" s="3564">
        <v>7.9575596816976128E-3</v>
      </c>
      <c r="M55" s="3565">
        <v>1.4457831325301205E-2</v>
      </c>
      <c r="N55" s="3564">
        <v>5.263157894736842E-3</v>
      </c>
      <c r="O55" s="3565">
        <v>1.9656019656019656E-2</v>
      </c>
      <c r="P55" s="3564">
        <v>1.3966480446927373E-2</v>
      </c>
      <c r="Q55" s="3565">
        <v>3.6764705882352942E-2</v>
      </c>
      <c r="R55" s="3564">
        <v>3.7854889589905363E-2</v>
      </c>
      <c r="S55" s="3565">
        <v>3.6414565826330535E-2</v>
      </c>
    </row>
    <row r="56" spans="2:19" ht="15">
      <c r="B56" s="3558"/>
      <c r="C56" s="3554" t="s">
        <v>111</v>
      </c>
      <c r="D56" s="3571">
        <v>7.512520868113523E-2</v>
      </c>
      <c r="E56" s="3567">
        <v>5.8823529411764705E-2</v>
      </c>
      <c r="F56" s="3571">
        <v>7.1874999999999994E-2</v>
      </c>
      <c r="G56" s="3567">
        <v>5.91044776119403E-2</v>
      </c>
      <c r="H56" s="3571">
        <v>3.4090909090909088E-2</v>
      </c>
      <c r="I56" s="3567">
        <v>7.6923076923076927E-2</v>
      </c>
      <c r="J56" s="3571">
        <v>7.0032573289902283E-2</v>
      </c>
      <c r="K56" s="3567">
        <v>4.979035639412998E-2</v>
      </c>
      <c r="L56" s="3571">
        <v>4.6309696092619389E-2</v>
      </c>
      <c r="M56" s="3567">
        <v>3.5617916891527254E-2</v>
      </c>
      <c r="N56" s="3571">
        <v>2.361111111111111E-2</v>
      </c>
      <c r="O56" s="3567">
        <v>5.913692061800746E-2</v>
      </c>
      <c r="P56" s="3571">
        <v>3.6211699164345405E-2</v>
      </c>
      <c r="Q56" s="3567">
        <v>5.421994884910486E-2</v>
      </c>
      <c r="R56" s="3571">
        <v>3.7337662337662336E-2</v>
      </c>
      <c r="S56" s="3567">
        <v>5.2539404553415062E-2</v>
      </c>
    </row>
    <row r="57" spans="2:19" ht="15">
      <c r="B57" s="4836" t="s">
        <v>16</v>
      </c>
      <c r="C57" s="3553" t="s">
        <v>17</v>
      </c>
      <c r="D57" s="3568">
        <v>0.15748031496062992</v>
      </c>
      <c r="E57" s="3569">
        <v>0.12345679012345678</v>
      </c>
      <c r="F57" s="3568">
        <v>0.14285714285714285</v>
      </c>
      <c r="G57" s="3569">
        <v>0.19587628865979381</v>
      </c>
      <c r="H57" s="3568">
        <v>0.13829787234042554</v>
      </c>
      <c r="I57" s="3569">
        <v>0.41025641025641024</v>
      </c>
      <c r="J57" s="3568">
        <v>0.19801980198019803</v>
      </c>
      <c r="K57" s="3569">
        <v>0.20430107526881722</v>
      </c>
      <c r="L57" s="3568">
        <v>0.125</v>
      </c>
      <c r="M57" s="3569">
        <v>0.23595505617977527</v>
      </c>
      <c r="N57" s="3568">
        <v>0.13861386138613863</v>
      </c>
      <c r="O57" s="3569">
        <v>0.23</v>
      </c>
      <c r="P57" s="3568">
        <v>8.1632653061224483E-2</v>
      </c>
      <c r="Q57" s="3569">
        <v>0.22857142857142856</v>
      </c>
      <c r="R57" s="3568">
        <v>0.13461538461538461</v>
      </c>
      <c r="S57" s="3569">
        <v>0.14606741573033707</v>
      </c>
    </row>
    <row r="58" spans="2:19" ht="15">
      <c r="B58" s="4836"/>
      <c r="C58" s="3551" t="s">
        <v>49</v>
      </c>
      <c r="D58" s="3562">
        <v>0.23214285714285715</v>
      </c>
      <c r="E58" s="3563">
        <v>0.60396039603960394</v>
      </c>
      <c r="F58" s="3562">
        <v>0.43925233644859812</v>
      </c>
      <c r="G58" s="3563">
        <v>0.6</v>
      </c>
      <c r="H58" s="3562">
        <v>0.46788990825688076</v>
      </c>
      <c r="I58" s="3563">
        <v>0.60194174757281549</v>
      </c>
      <c r="J58" s="3562">
        <v>0.5714285714285714</v>
      </c>
      <c r="K58" s="3563">
        <v>0.52542372881355937</v>
      </c>
      <c r="L58" s="3562">
        <v>0.23364485981308411</v>
      </c>
      <c r="M58" s="3563">
        <v>0.59139784946236562</v>
      </c>
      <c r="N58" s="3562">
        <v>0.36363636363636365</v>
      </c>
      <c r="O58" s="3563">
        <v>0.56521739130434778</v>
      </c>
      <c r="P58" s="3562">
        <v>0.33333333333333331</v>
      </c>
      <c r="Q58" s="3563">
        <v>0.49038461538461536</v>
      </c>
      <c r="R58" s="3562">
        <v>0.26548672566371684</v>
      </c>
      <c r="S58" s="3563">
        <v>0.49019607843137253</v>
      </c>
    </row>
    <row r="59" spans="2:19" ht="15">
      <c r="B59" s="4836"/>
      <c r="C59" s="3551" t="s">
        <v>19</v>
      </c>
      <c r="D59" s="3562">
        <v>6.5934065934065936E-2</v>
      </c>
      <c r="E59" s="3563">
        <v>9.7222222222222224E-2</v>
      </c>
      <c r="F59" s="3562">
        <v>7.407407407407407E-2</v>
      </c>
      <c r="G59" s="3563">
        <v>0.19101123595505617</v>
      </c>
      <c r="H59" s="3562">
        <v>1.1111111111111112E-2</v>
      </c>
      <c r="I59" s="3563">
        <v>6.7567567567567571E-2</v>
      </c>
      <c r="J59" s="3562">
        <v>4.7619047619047616E-2</v>
      </c>
      <c r="K59" s="3563">
        <v>0.11627906976744186</v>
      </c>
      <c r="L59" s="3562">
        <v>5.6818181818181816E-2</v>
      </c>
      <c r="M59" s="3563">
        <v>7.5949367088607597E-2</v>
      </c>
      <c r="N59" s="3562">
        <v>4.1666666666666664E-2</v>
      </c>
      <c r="O59" s="3563">
        <v>0.16666666666666666</v>
      </c>
      <c r="P59" s="3562">
        <v>2.3529411764705882E-2</v>
      </c>
      <c r="Q59" s="3563">
        <v>6.0240963855421686E-2</v>
      </c>
      <c r="R59" s="3562">
        <v>8.8888888888888892E-2</v>
      </c>
      <c r="S59" s="3563">
        <v>0.18604651162790697</v>
      </c>
    </row>
    <row r="60" spans="2:19" ht="15">
      <c r="B60" s="4836"/>
      <c r="C60" s="3551" t="s">
        <v>50</v>
      </c>
      <c r="D60" s="3562">
        <v>0.41711229946524064</v>
      </c>
      <c r="E60" s="3563">
        <v>0.4785276073619632</v>
      </c>
      <c r="F60" s="3562">
        <v>0.375</v>
      </c>
      <c r="G60" s="3563">
        <v>0.510752688172043</v>
      </c>
      <c r="H60" s="3562">
        <v>0.51530612244897955</v>
      </c>
      <c r="I60" s="3563">
        <v>0.58378378378378382</v>
      </c>
      <c r="J60" s="3562">
        <v>0.52380952380952384</v>
      </c>
      <c r="K60" s="3563">
        <v>0.57837837837837835</v>
      </c>
      <c r="L60" s="3562">
        <v>0.52127659574468088</v>
      </c>
      <c r="M60" s="3563">
        <v>0.5357142857142857</v>
      </c>
      <c r="N60" s="3562">
        <v>0.55494505494505497</v>
      </c>
      <c r="O60" s="3563">
        <v>0.55737704918032782</v>
      </c>
      <c r="P60" s="3562">
        <v>0.39204545454545453</v>
      </c>
      <c r="Q60" s="3563">
        <v>0.60588235294117643</v>
      </c>
      <c r="R60" s="3562">
        <v>0.40828402366863903</v>
      </c>
      <c r="S60" s="3563">
        <v>0.61006289308176098</v>
      </c>
    </row>
    <row r="61" spans="2:19" ht="15">
      <c r="B61" s="4836"/>
      <c r="C61" s="3551" t="s">
        <v>20</v>
      </c>
      <c r="D61" s="3562">
        <v>0.26666666666666666</v>
      </c>
      <c r="E61" s="3563">
        <v>0.30769230769230771</v>
      </c>
      <c r="F61" s="3562">
        <v>0.21839080459770116</v>
      </c>
      <c r="G61" s="3563">
        <v>0.28865979381443296</v>
      </c>
      <c r="H61" s="3562">
        <v>0.32500000000000001</v>
      </c>
      <c r="I61" s="3563">
        <v>0.42499999999999999</v>
      </c>
      <c r="J61" s="3562">
        <v>0.29032258064516131</v>
      </c>
      <c r="K61" s="3563">
        <v>0.3258426966292135</v>
      </c>
      <c r="L61" s="3562">
        <v>0.23529411764705882</v>
      </c>
      <c r="M61" s="3563">
        <v>0.45555555555555555</v>
      </c>
      <c r="N61" s="3562">
        <v>0.29069767441860467</v>
      </c>
      <c r="O61" s="3563">
        <v>0.23255813953488372</v>
      </c>
      <c r="P61" s="3562">
        <v>0.30864197530864196</v>
      </c>
      <c r="Q61" s="3563">
        <v>0.23749999999999999</v>
      </c>
      <c r="R61" s="3562">
        <v>0.2247191011235955</v>
      </c>
      <c r="S61" s="3563">
        <v>0.35365853658536583</v>
      </c>
    </row>
    <row r="62" spans="2:19" ht="15">
      <c r="B62" s="4836"/>
      <c r="C62" s="3551" t="s">
        <v>51</v>
      </c>
      <c r="D62" s="3562">
        <v>0.29729729729729731</v>
      </c>
      <c r="E62" s="3563">
        <v>0.24390243902439024</v>
      </c>
      <c r="F62" s="3562">
        <v>0.22857142857142856</v>
      </c>
      <c r="G62" s="3563">
        <v>0.29411764705882354</v>
      </c>
      <c r="H62" s="3562">
        <v>0.3235294117647059</v>
      </c>
      <c r="I62" s="3563">
        <v>0.40625</v>
      </c>
      <c r="J62" s="3562">
        <v>0.3125</v>
      </c>
      <c r="K62" s="3563">
        <v>0.34375</v>
      </c>
      <c r="L62" s="3562">
        <v>0.27272727272727271</v>
      </c>
      <c r="M62" s="3563">
        <v>0.23333333333333334</v>
      </c>
      <c r="N62" s="3562">
        <v>0.22580645161290322</v>
      </c>
      <c r="O62" s="3563">
        <v>0.29411764705882354</v>
      </c>
      <c r="P62" s="3562">
        <v>0.23529411764705882</v>
      </c>
      <c r="Q62" s="3563">
        <v>0.32432432432432434</v>
      </c>
      <c r="R62" s="3562">
        <v>0.13559322033898305</v>
      </c>
      <c r="S62" s="3563">
        <v>0.34042553191489361</v>
      </c>
    </row>
    <row r="63" spans="2:19" ht="15">
      <c r="B63" s="4836"/>
      <c r="C63" s="3587" t="s">
        <v>573</v>
      </c>
      <c r="D63" s="3564">
        <v>0.25621118012422361</v>
      </c>
      <c r="E63" s="3565">
        <v>0.3533697632058288</v>
      </c>
      <c r="F63" s="3564">
        <v>0.27556325823223571</v>
      </c>
      <c r="G63" s="3565">
        <v>0.38336052202283849</v>
      </c>
      <c r="H63" s="3564">
        <v>0.33665008291873966</v>
      </c>
      <c r="I63" s="3565">
        <v>0.46014492753623187</v>
      </c>
      <c r="J63" s="3564">
        <v>0.36423841059602646</v>
      </c>
      <c r="K63" s="3565">
        <v>0.3946932006633499</v>
      </c>
      <c r="L63" s="3564">
        <v>0.28099173553719009</v>
      </c>
      <c r="M63" s="3565">
        <v>0.40072859744990891</v>
      </c>
      <c r="N63" s="3564">
        <v>0.31518151815181517</v>
      </c>
      <c r="O63" s="3565">
        <v>0.38651315789473684</v>
      </c>
      <c r="P63" s="3564">
        <v>0.25470085470085468</v>
      </c>
      <c r="Q63" s="3565">
        <v>0.3696027633851468</v>
      </c>
      <c r="R63" s="3564">
        <v>0.23878205128205129</v>
      </c>
      <c r="S63" s="3565">
        <v>0.39115044247787611</v>
      </c>
    </row>
    <row r="64" spans="2:19" ht="15">
      <c r="B64" s="4836" t="s">
        <v>41</v>
      </c>
      <c r="C64" s="3551" t="s">
        <v>42</v>
      </c>
      <c r="D64" s="3562">
        <v>0.17543859649122806</v>
      </c>
      <c r="E64" s="3563">
        <v>0.33333333333333331</v>
      </c>
      <c r="F64" s="3562">
        <v>0.29213483146067415</v>
      </c>
      <c r="G64" s="3563">
        <v>0.35227272727272729</v>
      </c>
      <c r="H64" s="3562">
        <v>0.36046511627906974</v>
      </c>
      <c r="I64" s="3563">
        <v>0.44705882352941179</v>
      </c>
      <c r="J64" s="3562">
        <v>0.32608695652173914</v>
      </c>
      <c r="K64" s="3563">
        <v>0.42268041237113402</v>
      </c>
      <c r="L64" s="3562">
        <v>0.25806451612903225</v>
      </c>
      <c r="M64" s="3563">
        <v>0.28735632183908044</v>
      </c>
      <c r="N64" s="3562">
        <v>0.32291666666666669</v>
      </c>
      <c r="O64" s="3563">
        <v>0.20212765957446807</v>
      </c>
      <c r="P64" s="3562">
        <v>0.22448979591836735</v>
      </c>
      <c r="Q64" s="3563">
        <v>0.29032258064516131</v>
      </c>
      <c r="R64" s="3562">
        <v>0.33</v>
      </c>
      <c r="S64" s="3563">
        <v>0.39361702127659576</v>
      </c>
    </row>
    <row r="65" spans="2:19" ht="15">
      <c r="B65" s="4836"/>
      <c r="C65" s="3551" t="s">
        <v>52</v>
      </c>
      <c r="D65" s="3562">
        <v>0.38028169014084506</v>
      </c>
      <c r="E65" s="3563">
        <v>0.34545454545454546</v>
      </c>
      <c r="F65" s="3562">
        <v>0.48571428571428571</v>
      </c>
      <c r="G65" s="3563">
        <v>0.5</v>
      </c>
      <c r="H65" s="3562">
        <v>0.4</v>
      </c>
      <c r="I65" s="3563">
        <v>0.46153846153846156</v>
      </c>
      <c r="J65" s="3562">
        <v>0.2361111111111111</v>
      </c>
      <c r="K65" s="3563">
        <v>0.53164556962025311</v>
      </c>
      <c r="L65" s="3562">
        <v>0.23376623376623376</v>
      </c>
      <c r="M65" s="3563">
        <v>0.4576271186440678</v>
      </c>
      <c r="N65" s="3562">
        <v>0.33333333333333331</v>
      </c>
      <c r="O65" s="3563">
        <v>0.4838709677419355</v>
      </c>
      <c r="P65" s="3562">
        <v>0.5625</v>
      </c>
      <c r="Q65" s="3563">
        <v>0.48148148148148145</v>
      </c>
      <c r="R65" s="3562">
        <v>0.43103448275862066</v>
      </c>
      <c r="S65" s="3563">
        <v>0.67307692307692313</v>
      </c>
    </row>
    <row r="66" spans="2:19" ht="15">
      <c r="B66" s="4836"/>
      <c r="C66" s="3551" t="s">
        <v>53</v>
      </c>
      <c r="D66" s="3562">
        <v>0.52439024390243905</v>
      </c>
      <c r="E66" s="3563">
        <v>0.52747252747252749</v>
      </c>
      <c r="F66" s="3562">
        <v>0.57692307692307687</v>
      </c>
      <c r="G66" s="3563">
        <v>0.52873563218390807</v>
      </c>
      <c r="H66" s="3562">
        <v>0.53424657534246578</v>
      </c>
      <c r="I66" s="3563">
        <v>0.51807228915662651</v>
      </c>
      <c r="J66" s="3562">
        <v>0.41666666666666669</v>
      </c>
      <c r="K66" s="3563">
        <v>0.46875</v>
      </c>
      <c r="L66" s="3562">
        <v>0.38043478260869568</v>
      </c>
      <c r="M66" s="3563">
        <v>0.33333333333333331</v>
      </c>
      <c r="N66" s="3562">
        <v>0.46913580246913578</v>
      </c>
      <c r="O66" s="3563">
        <v>0.50602409638554213</v>
      </c>
      <c r="P66" s="3562">
        <v>0.33333333333333331</v>
      </c>
      <c r="Q66" s="3563">
        <v>0.54430379746835444</v>
      </c>
      <c r="R66" s="3562">
        <v>0.44791666666666669</v>
      </c>
      <c r="S66" s="3563">
        <v>0.51111111111111107</v>
      </c>
    </row>
    <row r="67" spans="2:19" ht="15">
      <c r="B67" s="4836"/>
      <c r="C67" s="3551" t="s">
        <v>54</v>
      </c>
      <c r="D67" s="3562">
        <v>7.03125E-2</v>
      </c>
      <c r="E67" s="3563">
        <v>0.21495327102803738</v>
      </c>
      <c r="F67" s="3562">
        <v>0.17948717948717949</v>
      </c>
      <c r="G67" s="3563">
        <v>0.40517241379310343</v>
      </c>
      <c r="H67" s="3562">
        <v>0.19658119658119658</v>
      </c>
      <c r="I67" s="3563">
        <v>0.30973451327433627</v>
      </c>
      <c r="J67" s="3562">
        <v>0.11764705882352941</v>
      </c>
      <c r="K67" s="3563">
        <v>0.23214285714285715</v>
      </c>
      <c r="L67" s="3562">
        <v>0.14782608695652175</v>
      </c>
      <c r="M67" s="3563">
        <v>0.2767857142857143</v>
      </c>
      <c r="N67" s="3562">
        <v>9.4827586206896547E-2</v>
      </c>
      <c r="O67" s="3563">
        <v>0.20689655172413793</v>
      </c>
      <c r="P67" s="3562">
        <v>0.13076923076923078</v>
      </c>
      <c r="Q67" s="3563">
        <v>0.19672131147540983</v>
      </c>
      <c r="R67" s="3562">
        <v>0.12</v>
      </c>
      <c r="S67" s="3563">
        <v>0.30882352941176472</v>
      </c>
    </row>
    <row r="68" spans="2:19" ht="15">
      <c r="B68" s="4836"/>
      <c r="C68" s="3551" t="s">
        <v>55</v>
      </c>
      <c r="D68" s="3562">
        <v>8.9655172413793102E-2</v>
      </c>
      <c r="E68" s="3563">
        <v>0.16935483870967741</v>
      </c>
      <c r="F68" s="3562">
        <v>0.15463917525773196</v>
      </c>
      <c r="G68" s="3563">
        <v>0.19626168224299065</v>
      </c>
      <c r="H68" s="3562">
        <v>0.14529914529914531</v>
      </c>
      <c r="I68" s="3563">
        <v>0.1388888888888889</v>
      </c>
      <c r="J68" s="3562">
        <v>0.11304347826086956</v>
      </c>
      <c r="K68" s="3563">
        <v>0.21238938053097345</v>
      </c>
      <c r="L68" s="3562">
        <v>0.1092436974789916</v>
      </c>
      <c r="M68" s="3563">
        <v>0.16822429906542055</v>
      </c>
      <c r="N68" s="3562">
        <v>0.13385826771653545</v>
      </c>
      <c r="O68" s="3563">
        <v>0.2153846153846154</v>
      </c>
      <c r="P68" s="3562">
        <v>0.11023622047244094</v>
      </c>
      <c r="Q68" s="3563">
        <v>8.0882352941176475E-2</v>
      </c>
      <c r="R68" s="3562">
        <v>1.8018018018018018E-2</v>
      </c>
      <c r="S68" s="3563">
        <v>9.1743119266055051E-3</v>
      </c>
    </row>
    <row r="69" spans="2:19" ht="15">
      <c r="B69" s="4836"/>
      <c r="C69" s="3551" t="s">
        <v>56</v>
      </c>
      <c r="D69" s="3562">
        <v>0.20833333333333334</v>
      </c>
      <c r="E69" s="3563">
        <v>0.15294117647058825</v>
      </c>
      <c r="F69" s="3562">
        <v>0.26582278481012656</v>
      </c>
      <c r="G69" s="3563">
        <v>0.25555555555555554</v>
      </c>
      <c r="H69" s="3562">
        <v>0.14864864864864866</v>
      </c>
      <c r="I69" s="3563">
        <v>0.22222222222222221</v>
      </c>
      <c r="J69" s="3562">
        <v>0.20454545454545456</v>
      </c>
      <c r="K69" s="3563">
        <v>0.20909090909090908</v>
      </c>
      <c r="L69" s="3562">
        <v>0.21276595744680851</v>
      </c>
      <c r="M69" s="3563">
        <v>0.37</v>
      </c>
      <c r="N69" s="3562">
        <v>0.25</v>
      </c>
      <c r="O69" s="3563">
        <v>0.20652173913043478</v>
      </c>
      <c r="P69" s="3562">
        <v>0.2</v>
      </c>
      <c r="Q69" s="3563">
        <v>0.2857142857142857</v>
      </c>
      <c r="R69" s="3562">
        <v>0.34375</v>
      </c>
      <c r="S69" s="3563">
        <v>0.25316455696202533</v>
      </c>
    </row>
    <row r="70" spans="2:19" ht="15">
      <c r="B70" s="4836"/>
      <c r="C70" s="3395" t="s">
        <v>619</v>
      </c>
      <c r="D70" s="3562">
        <v>2.5210084033613446E-2</v>
      </c>
      <c r="E70" s="3563">
        <v>0</v>
      </c>
      <c r="F70" s="3562">
        <v>2.0618556701030927E-2</v>
      </c>
      <c r="G70" s="3563">
        <v>1.4285714285714285E-2</v>
      </c>
      <c r="H70" s="3562">
        <v>1.7391304347826087E-2</v>
      </c>
      <c r="I70" s="3563">
        <v>0</v>
      </c>
      <c r="J70" s="3562">
        <v>1.8867924528301886E-2</v>
      </c>
      <c r="K70" s="3563">
        <v>1.0869565217391304E-2</v>
      </c>
      <c r="L70" s="3562">
        <v>0</v>
      </c>
      <c r="M70" s="3563">
        <v>0</v>
      </c>
      <c r="N70" s="3562">
        <v>0.34020618556701032</v>
      </c>
      <c r="O70" s="3563">
        <v>0.676056338028169</v>
      </c>
      <c r="P70" s="3562">
        <v>0</v>
      </c>
      <c r="Q70" s="3563">
        <v>0</v>
      </c>
      <c r="R70" s="3562">
        <v>0.31707317073170732</v>
      </c>
      <c r="S70" s="3563">
        <v>0.82926829268292679</v>
      </c>
    </row>
    <row r="71" spans="2:19" ht="15">
      <c r="B71" s="4836"/>
      <c r="C71" s="3551" t="s">
        <v>277</v>
      </c>
      <c r="D71" s="3562">
        <v>0.48484848484848486</v>
      </c>
      <c r="E71" s="3563">
        <v>0.46551724137931033</v>
      </c>
      <c r="F71" s="3562">
        <v>0.55555555555555558</v>
      </c>
      <c r="G71" s="3563">
        <v>0.64516129032258063</v>
      </c>
      <c r="H71" s="3562">
        <v>0.45070422535211269</v>
      </c>
      <c r="I71" s="3563">
        <v>0.46478873239436619</v>
      </c>
      <c r="J71" s="3562">
        <v>0.37662337662337664</v>
      </c>
      <c r="K71" s="3563">
        <v>0.43661971830985913</v>
      </c>
      <c r="L71" s="3562">
        <v>0.48</v>
      </c>
      <c r="M71" s="3563">
        <v>0.42372881355932202</v>
      </c>
      <c r="N71" s="3562">
        <v>0.41666666666666669</v>
      </c>
      <c r="O71" s="3563">
        <v>0.47222222222222221</v>
      </c>
      <c r="P71" s="3562">
        <v>0.40243902439024393</v>
      </c>
      <c r="Q71" s="3563">
        <v>0.44318181818181818</v>
      </c>
      <c r="R71" s="3562">
        <v>0.32</v>
      </c>
      <c r="S71" s="3563">
        <v>0.54666666666666663</v>
      </c>
    </row>
    <row r="72" spans="2:19" ht="15">
      <c r="B72" s="4836"/>
      <c r="C72" s="3587" t="s">
        <v>575</v>
      </c>
      <c r="D72" s="3564">
        <v>0.20326223337515684</v>
      </c>
      <c r="E72" s="3565">
        <v>0.25644699140401145</v>
      </c>
      <c r="F72" s="3564">
        <v>0.28840579710144926</v>
      </c>
      <c r="G72" s="3565">
        <v>0.3536231884057971</v>
      </c>
      <c r="H72" s="3564">
        <v>0.25511596180081858</v>
      </c>
      <c r="I72" s="3565">
        <v>0.30027548209366389</v>
      </c>
      <c r="J72" s="3564">
        <v>0.21307189542483659</v>
      </c>
      <c r="K72" s="3565">
        <v>0.30259740259740259</v>
      </c>
      <c r="L72" s="3564">
        <v>0.21059431524547803</v>
      </c>
      <c r="M72" s="3565">
        <v>0.27042253521126758</v>
      </c>
      <c r="N72" s="3564">
        <v>0.2743243243243243</v>
      </c>
      <c r="O72" s="3565">
        <v>0.33888888888888891</v>
      </c>
      <c r="P72" s="3564">
        <v>0.21923076923076923</v>
      </c>
      <c r="Q72" s="3565">
        <v>0.26145552560646901</v>
      </c>
      <c r="R72" s="3564">
        <v>0.26222826086956524</v>
      </c>
      <c r="S72" s="3565">
        <v>0.40446304044630405</v>
      </c>
    </row>
    <row r="73" spans="2:19" ht="15">
      <c r="B73" s="4836" t="s">
        <v>21</v>
      </c>
      <c r="C73" s="3551" t="s">
        <v>22</v>
      </c>
      <c r="D73" s="3562">
        <v>0.1118421052631579</v>
      </c>
      <c r="E73" s="3563">
        <v>0.20437956204379562</v>
      </c>
      <c r="F73" s="3562">
        <v>8.6330935251798566E-2</v>
      </c>
      <c r="G73" s="3563">
        <v>0.23225806451612904</v>
      </c>
      <c r="H73" s="3562">
        <v>0.15833333333333333</v>
      </c>
      <c r="I73" s="3563">
        <v>0.23809523809523808</v>
      </c>
      <c r="J73" s="3562">
        <v>0.31746031746031744</v>
      </c>
      <c r="K73" s="3563">
        <v>0.24590163934426229</v>
      </c>
      <c r="L73" s="3562">
        <v>0.2734375</v>
      </c>
      <c r="M73" s="3563">
        <v>0.23008849557522124</v>
      </c>
      <c r="N73" s="3562">
        <v>0.24806201550387597</v>
      </c>
      <c r="O73" s="3563">
        <v>0.22131147540983606</v>
      </c>
      <c r="P73" s="3562">
        <v>0.19696969696969696</v>
      </c>
      <c r="Q73" s="3563">
        <v>0.3046875</v>
      </c>
      <c r="R73" s="3562">
        <v>0.30158730158730157</v>
      </c>
      <c r="S73" s="3563">
        <v>0.27433628318584069</v>
      </c>
    </row>
    <row r="74" spans="2:19" ht="15">
      <c r="B74" s="4836"/>
      <c r="C74" s="3551" t="s">
        <v>23</v>
      </c>
      <c r="D74" s="3562">
        <v>0.31481481481481483</v>
      </c>
      <c r="E74" s="3563">
        <v>0.22413793103448276</v>
      </c>
      <c r="F74" s="3562">
        <v>0.32258064516129031</v>
      </c>
      <c r="G74" s="3563">
        <v>0.35483870967741937</v>
      </c>
      <c r="H74" s="3562">
        <v>0.34426229508196721</v>
      </c>
      <c r="I74" s="3563">
        <v>0.21311475409836064</v>
      </c>
      <c r="J74" s="3562">
        <v>0.532258064516129</v>
      </c>
      <c r="K74" s="3563">
        <v>0.66101694915254239</v>
      </c>
      <c r="L74" s="3562">
        <v>0.296875</v>
      </c>
      <c r="M74" s="3563">
        <v>0.453125</v>
      </c>
      <c r="N74" s="3562">
        <v>0.36666666666666664</v>
      </c>
      <c r="O74" s="3563">
        <v>0.54054054054054057</v>
      </c>
      <c r="P74" s="3562">
        <v>0.17857142857142858</v>
      </c>
      <c r="Q74" s="3563">
        <v>0.56666666666666665</v>
      </c>
      <c r="R74" s="3562">
        <v>0.4925373134328358</v>
      </c>
      <c r="S74" s="3563">
        <v>0.59259259259259256</v>
      </c>
    </row>
    <row r="75" spans="2:19" ht="15">
      <c r="B75" s="4836"/>
      <c r="C75" s="3551" t="s">
        <v>24</v>
      </c>
      <c r="D75" s="3562">
        <v>0.14754098360655737</v>
      </c>
      <c r="E75" s="3563">
        <v>0.22413793103448276</v>
      </c>
      <c r="F75" s="3562">
        <v>0.2</v>
      </c>
      <c r="G75" s="3563">
        <v>0.11864406779661017</v>
      </c>
      <c r="H75" s="3562">
        <v>0.18518518518518517</v>
      </c>
      <c r="I75" s="3563">
        <v>0.29508196721311475</v>
      </c>
      <c r="J75" s="3562">
        <v>0.22222222222222221</v>
      </c>
      <c r="K75" s="3563">
        <v>0.25757575757575757</v>
      </c>
      <c r="L75" s="3562">
        <v>0.14705882352941177</v>
      </c>
      <c r="M75" s="3563">
        <v>0.2857142857142857</v>
      </c>
      <c r="N75" s="3562">
        <v>0.12903225806451613</v>
      </c>
      <c r="O75" s="3563">
        <v>0.33870967741935482</v>
      </c>
      <c r="P75" s="3562">
        <v>0.16923076923076924</v>
      </c>
      <c r="Q75" s="3563">
        <v>0.25396825396825395</v>
      </c>
      <c r="R75" s="3562">
        <v>0.39393939393939392</v>
      </c>
      <c r="S75" s="3563">
        <v>0.23636363636363636</v>
      </c>
    </row>
    <row r="76" spans="2:19" ht="15">
      <c r="B76" s="4836"/>
      <c r="C76" s="3551" t="s">
        <v>58</v>
      </c>
      <c r="D76" s="3562">
        <v>0.10714285714285714</v>
      </c>
      <c r="E76" s="3563">
        <v>0.16326530612244897</v>
      </c>
      <c r="F76" s="3562">
        <v>0.1276595744680851</v>
      </c>
      <c r="G76" s="3563">
        <v>0.18867924528301888</v>
      </c>
      <c r="H76" s="3562">
        <v>0.24489795918367346</v>
      </c>
      <c r="I76" s="3563">
        <v>0.42553191489361702</v>
      </c>
      <c r="J76" s="3562">
        <v>0.14285714285714285</v>
      </c>
      <c r="K76" s="3563">
        <v>0.35416666666666669</v>
      </c>
      <c r="L76" s="3562">
        <v>0.3392857142857143</v>
      </c>
      <c r="M76" s="3563">
        <v>0.19607843137254902</v>
      </c>
      <c r="N76" s="3562">
        <v>0.31707317073170732</v>
      </c>
      <c r="O76" s="3563">
        <v>0.33333333333333331</v>
      </c>
      <c r="P76" s="3562">
        <v>0.34042553191489361</v>
      </c>
      <c r="Q76" s="3563">
        <v>0.48979591836734693</v>
      </c>
      <c r="R76" s="3562">
        <v>0.45945945945945948</v>
      </c>
      <c r="S76" s="3563">
        <v>0.38461538461538464</v>
      </c>
    </row>
    <row r="77" spans="2:19" ht="15">
      <c r="B77" s="4836"/>
      <c r="C77" s="4098" t="s">
        <v>574</v>
      </c>
      <c r="D77" s="3572">
        <v>0.15170278637770898</v>
      </c>
      <c r="E77" s="3573">
        <v>0.20529801324503311</v>
      </c>
      <c r="F77" s="3572">
        <v>0.1617161716171617</v>
      </c>
      <c r="G77" s="3573">
        <v>0.22796352583586627</v>
      </c>
      <c r="H77" s="3572">
        <v>0.21830985915492956</v>
      </c>
      <c r="I77" s="3573">
        <v>0.27457627118644068</v>
      </c>
      <c r="J77" s="3572">
        <v>0.31333333333333335</v>
      </c>
      <c r="K77" s="3573">
        <v>0.34915254237288135</v>
      </c>
      <c r="L77" s="3572">
        <v>0.26265822784810128</v>
      </c>
      <c r="M77" s="3573">
        <v>0.28521126760563381</v>
      </c>
      <c r="N77" s="3572">
        <v>0.25684931506849318</v>
      </c>
      <c r="O77" s="3573">
        <v>0.33993399339933994</v>
      </c>
      <c r="P77" s="3572">
        <v>0.21</v>
      </c>
      <c r="Q77" s="3573">
        <v>0.37666666666666665</v>
      </c>
      <c r="R77" s="3572">
        <v>0.38513513513513514</v>
      </c>
      <c r="S77" s="3573">
        <v>0.34865900383141762</v>
      </c>
    </row>
    <row r="78" spans="2:19" ht="15">
      <c r="B78" s="3558"/>
      <c r="C78" s="3552" t="s">
        <v>461</v>
      </c>
      <c r="D78" s="3574">
        <v>0.21315192743764172</v>
      </c>
      <c r="E78" s="3575">
        <v>0.28082633957391867</v>
      </c>
      <c r="F78" s="3574">
        <v>0.25923566878980892</v>
      </c>
      <c r="G78" s="3575">
        <v>0.33946078431372551</v>
      </c>
      <c r="H78" s="3574">
        <v>0.27901234567901234</v>
      </c>
      <c r="I78" s="3575">
        <v>0.35155753337571521</v>
      </c>
      <c r="J78" s="3574">
        <v>0.28579988016776514</v>
      </c>
      <c r="K78" s="3575">
        <v>0.34412470023980818</v>
      </c>
      <c r="L78" s="3574">
        <v>0.24542772861356932</v>
      </c>
      <c r="M78" s="3575">
        <v>0.31950745301360983</v>
      </c>
      <c r="N78" s="3574">
        <v>0.28632478632478631</v>
      </c>
      <c r="O78" s="3575">
        <v>0.35683629675045986</v>
      </c>
      <c r="P78" s="3574">
        <v>0.23003003003003003</v>
      </c>
      <c r="Q78" s="3575">
        <v>0.32140653917334977</v>
      </c>
      <c r="R78" s="3574">
        <v>0.27536231884057971</v>
      </c>
      <c r="S78" s="3575">
        <v>0.39014906027219703</v>
      </c>
    </row>
    <row r="79" spans="2:19" ht="15">
      <c r="B79" s="4836" t="s">
        <v>16</v>
      </c>
      <c r="C79" s="3553" t="s">
        <v>17</v>
      </c>
      <c r="D79" s="3576"/>
      <c r="E79" s="3569">
        <v>0.36065573770491804</v>
      </c>
      <c r="F79" s="3576">
        <v>0</v>
      </c>
      <c r="G79" s="3569">
        <v>0.22580645161290322</v>
      </c>
      <c r="H79" s="3576"/>
      <c r="I79" s="3569">
        <v>0</v>
      </c>
      <c r="J79" s="3576"/>
      <c r="K79" s="3569">
        <v>0.27586206896551724</v>
      </c>
      <c r="L79" s="3576"/>
      <c r="M79" s="3569">
        <v>0.25</v>
      </c>
      <c r="N79" s="3576"/>
      <c r="O79" s="3569">
        <v>0.36363636363636365</v>
      </c>
      <c r="P79" s="3576">
        <v>0</v>
      </c>
      <c r="Q79" s="3569">
        <v>0.1111111111111111</v>
      </c>
      <c r="R79" s="3576">
        <v>0.35714285714285715</v>
      </c>
      <c r="S79" s="3569">
        <v>0.41935483870967744</v>
      </c>
    </row>
    <row r="80" spans="2:19" ht="15">
      <c r="B80" s="4836"/>
      <c r="C80" s="3551" t="s">
        <v>60</v>
      </c>
      <c r="D80" s="3562"/>
      <c r="E80" s="3563">
        <v>0.41176470588235292</v>
      </c>
      <c r="F80" s="3562"/>
      <c r="G80" s="3563">
        <v>0.57894736842105265</v>
      </c>
      <c r="H80" s="3562"/>
      <c r="I80" s="3563">
        <v>5.8823529411764705E-2</v>
      </c>
      <c r="J80" s="3562"/>
      <c r="K80" s="3563">
        <v>4.7619047619047616E-2</v>
      </c>
      <c r="L80" s="3562"/>
      <c r="M80" s="3563">
        <v>0</v>
      </c>
      <c r="N80" s="3562"/>
      <c r="O80" s="3563">
        <v>0</v>
      </c>
      <c r="P80" s="3562">
        <v>0</v>
      </c>
      <c r="Q80" s="3563">
        <v>3.2258064516129031E-2</v>
      </c>
      <c r="R80" s="3562">
        <v>3.2258064516129031E-2</v>
      </c>
      <c r="S80" s="3563">
        <v>0</v>
      </c>
    </row>
    <row r="81" spans="2:19" ht="15">
      <c r="B81" s="4836"/>
      <c r="C81" s="3551" t="s">
        <v>420</v>
      </c>
      <c r="D81" s="3570"/>
      <c r="E81" s="3563">
        <v>0.04</v>
      </c>
      <c r="F81" s="3570"/>
      <c r="G81" s="3563">
        <v>0</v>
      </c>
      <c r="H81" s="3570"/>
      <c r="I81" s="3563">
        <v>0</v>
      </c>
      <c r="J81" s="3570"/>
      <c r="K81" s="3563">
        <v>0</v>
      </c>
      <c r="L81" s="3570"/>
      <c r="M81" s="3563">
        <v>3.8461538461538464E-2</v>
      </c>
      <c r="N81" s="3570">
        <v>0</v>
      </c>
      <c r="O81" s="3563">
        <v>0</v>
      </c>
      <c r="P81" s="3570"/>
      <c r="Q81" s="3563">
        <v>0</v>
      </c>
      <c r="R81" s="3570">
        <v>0</v>
      </c>
      <c r="S81" s="3563">
        <v>0</v>
      </c>
    </row>
    <row r="82" spans="2:19" ht="15">
      <c r="B82" s="4836"/>
      <c r="C82" s="3587" t="s">
        <v>573</v>
      </c>
      <c r="D82" s="3564"/>
      <c r="E82" s="3565">
        <v>0.29126213592233008</v>
      </c>
      <c r="F82" s="3564">
        <v>0</v>
      </c>
      <c r="G82" s="3565">
        <v>0.23364485981308411</v>
      </c>
      <c r="H82" s="3564"/>
      <c r="I82" s="3565">
        <v>1.4084507042253521E-2</v>
      </c>
      <c r="J82" s="3564"/>
      <c r="K82" s="3565">
        <v>0.11538461538461539</v>
      </c>
      <c r="L82" s="3564"/>
      <c r="M82" s="3565">
        <v>0.11688311688311688</v>
      </c>
      <c r="N82" s="3564">
        <v>0</v>
      </c>
      <c r="O82" s="3565">
        <v>0.14814814814814814</v>
      </c>
      <c r="P82" s="3564">
        <v>0</v>
      </c>
      <c r="Q82" s="3565">
        <v>5.3191489361702128E-2</v>
      </c>
      <c r="R82" s="3564">
        <v>0.125</v>
      </c>
      <c r="S82" s="3565">
        <v>0.14285714285714285</v>
      </c>
    </row>
    <row r="83" spans="2:19" ht="15">
      <c r="B83" s="4836" t="s">
        <v>61</v>
      </c>
      <c r="C83" s="3551" t="s">
        <v>62</v>
      </c>
      <c r="D83" s="3570"/>
      <c r="E83" s="3563">
        <v>3.6363636363636362E-2</v>
      </c>
      <c r="F83" s="3570">
        <v>0</v>
      </c>
      <c r="G83" s="3563">
        <v>7.6923076923076927E-2</v>
      </c>
      <c r="H83" s="3570"/>
      <c r="I83" s="3563">
        <v>0</v>
      </c>
      <c r="J83" s="3570"/>
      <c r="K83" s="3563">
        <v>2.564102564102564E-2</v>
      </c>
      <c r="L83" s="3570"/>
      <c r="M83" s="3563">
        <v>5.8823529411764705E-2</v>
      </c>
      <c r="N83" s="3570">
        <v>0</v>
      </c>
      <c r="O83" s="3563">
        <v>0</v>
      </c>
      <c r="P83" s="3570"/>
      <c r="Q83" s="3563">
        <v>2.5000000000000001E-2</v>
      </c>
      <c r="R83" s="3570">
        <v>0</v>
      </c>
      <c r="S83" s="3563">
        <v>1.8181818181818181E-2</v>
      </c>
    </row>
    <row r="84" spans="2:19" ht="15">
      <c r="B84" s="4836"/>
      <c r="C84" s="3551" t="s">
        <v>421</v>
      </c>
      <c r="D84" s="3562">
        <v>0</v>
      </c>
      <c r="E84" s="3563">
        <v>0</v>
      </c>
      <c r="F84" s="3562"/>
      <c r="G84" s="3563">
        <v>0</v>
      </c>
      <c r="H84" s="3562"/>
      <c r="I84" s="3563">
        <v>0</v>
      </c>
      <c r="J84" s="3562"/>
      <c r="K84" s="3563">
        <v>0</v>
      </c>
      <c r="L84" s="3562"/>
      <c r="M84" s="3563">
        <v>0</v>
      </c>
      <c r="N84" s="3562"/>
      <c r="O84" s="3563">
        <v>0</v>
      </c>
      <c r="P84" s="3562"/>
      <c r="Q84" s="3563">
        <v>0</v>
      </c>
      <c r="S84" s="3563">
        <v>6.8965517241379309E-2</v>
      </c>
    </row>
    <row r="85" spans="2:19" ht="15">
      <c r="B85" s="4836"/>
      <c r="C85" s="3551" t="s">
        <v>63</v>
      </c>
      <c r="D85" s="3570"/>
      <c r="E85" s="3563">
        <v>0</v>
      </c>
      <c r="F85" s="3570"/>
      <c r="G85" s="3563">
        <v>0.20408163265306123</v>
      </c>
      <c r="H85" s="3570">
        <v>0</v>
      </c>
      <c r="I85" s="3563">
        <v>0</v>
      </c>
      <c r="J85" s="3570"/>
      <c r="K85" s="3563">
        <v>0.21276595744680851</v>
      </c>
      <c r="L85" s="3570"/>
      <c r="M85" s="3563">
        <v>5.6603773584905662E-2</v>
      </c>
      <c r="N85" s="3570"/>
      <c r="O85" s="3563">
        <v>0.125</v>
      </c>
      <c r="P85" s="3570"/>
      <c r="Q85" s="3563">
        <v>0.13953488372093023</v>
      </c>
      <c r="R85" s="3562">
        <v>0</v>
      </c>
      <c r="S85" s="3563">
        <v>0.22807017543859648</v>
      </c>
    </row>
    <row r="86" spans="2:19" ht="15">
      <c r="B86" s="4836"/>
      <c r="C86" s="3587" t="s">
        <v>576</v>
      </c>
      <c r="D86" s="3564">
        <v>0</v>
      </c>
      <c r="E86" s="3565">
        <v>1.5873015873015872E-2</v>
      </c>
      <c r="F86" s="3564">
        <v>0</v>
      </c>
      <c r="G86" s="3565">
        <v>0.11666666666666667</v>
      </c>
      <c r="H86" s="3564">
        <v>0</v>
      </c>
      <c r="I86" s="3565">
        <v>0</v>
      </c>
      <c r="J86" s="3564"/>
      <c r="K86" s="3565">
        <v>9.3220338983050849E-2</v>
      </c>
      <c r="L86" s="3564"/>
      <c r="M86" s="3565">
        <v>4.0983606557377046E-2</v>
      </c>
      <c r="N86" s="3564">
        <v>0</v>
      </c>
      <c r="O86" s="3565">
        <v>4.8387096774193547E-2</v>
      </c>
      <c r="P86" s="3564"/>
      <c r="Q86" s="3565">
        <v>6.0344827586206899E-2</v>
      </c>
      <c r="R86" s="4679">
        <v>0</v>
      </c>
      <c r="S86" s="3565">
        <v>0.11347517730496454</v>
      </c>
    </row>
    <row r="87" spans="2:19" ht="15">
      <c r="B87" s="4836" t="s">
        <v>64</v>
      </c>
      <c r="C87" s="3551" t="s">
        <v>14</v>
      </c>
      <c r="D87" s="3570"/>
      <c r="E87" s="3563">
        <v>0.1891891891891892</v>
      </c>
      <c r="F87" s="3570"/>
      <c r="G87" s="3563">
        <v>6.5217391304347824E-2</v>
      </c>
      <c r="H87" s="3570"/>
      <c r="I87" s="3563">
        <v>3.7037037037037035E-2</v>
      </c>
      <c r="J87" s="3570">
        <v>0</v>
      </c>
      <c r="K87" s="3563">
        <v>0</v>
      </c>
      <c r="L87" s="3570"/>
      <c r="M87" s="3563">
        <v>7.6923076923076927E-2</v>
      </c>
      <c r="N87" s="3570"/>
      <c r="O87" s="3563">
        <v>6.0606060606060608E-2</v>
      </c>
      <c r="P87" s="3570"/>
      <c r="Q87" s="3563">
        <v>0</v>
      </c>
      <c r="R87" s="3570"/>
      <c r="S87" s="3563">
        <v>6.4516129032258063E-2</v>
      </c>
    </row>
    <row r="88" spans="2:19" ht="15">
      <c r="B88" s="4836"/>
      <c r="C88" s="3551" t="s">
        <v>65</v>
      </c>
      <c r="D88" s="3562">
        <v>0</v>
      </c>
      <c r="E88" s="3563">
        <v>0</v>
      </c>
      <c r="F88" s="3562"/>
      <c r="G88" s="3563">
        <v>3.8461538461538464E-2</v>
      </c>
      <c r="H88" s="3562"/>
      <c r="I88" s="3563">
        <v>0</v>
      </c>
      <c r="J88" s="3562"/>
      <c r="K88" s="3563">
        <v>0</v>
      </c>
      <c r="L88" s="3562"/>
      <c r="M88" s="3563">
        <v>0</v>
      </c>
      <c r="N88" s="3562"/>
      <c r="O88" s="3563">
        <v>0</v>
      </c>
      <c r="P88" s="3562"/>
      <c r="Q88" s="3563">
        <v>4.3478260869565216E-2</v>
      </c>
      <c r="R88" s="3562"/>
      <c r="S88" s="3563">
        <v>0</v>
      </c>
    </row>
    <row r="89" spans="2:19" ht="15">
      <c r="B89" s="4836"/>
      <c r="C89" s="3551" t="s">
        <v>422</v>
      </c>
      <c r="D89" s="3570"/>
      <c r="E89" s="3563">
        <v>0</v>
      </c>
      <c r="F89" s="3570"/>
      <c r="G89" s="3563">
        <v>0</v>
      </c>
      <c r="H89" s="3570"/>
      <c r="I89" s="3563">
        <v>4.3478260869565216E-2</v>
      </c>
      <c r="J89" s="3570"/>
      <c r="K89" s="3563">
        <v>0</v>
      </c>
      <c r="L89" s="3570"/>
      <c r="M89" s="3563">
        <v>7.6923076923076927E-2</v>
      </c>
      <c r="N89" s="3570"/>
      <c r="O89" s="3563">
        <v>0</v>
      </c>
      <c r="P89" s="3570">
        <v>0</v>
      </c>
      <c r="Q89" s="3563">
        <v>0</v>
      </c>
      <c r="R89" s="3570"/>
      <c r="S89" s="3563">
        <v>6.1224489795918366E-2</v>
      </c>
    </row>
    <row r="90" spans="2:19" ht="15">
      <c r="B90" s="4836"/>
      <c r="C90" s="3395" t="s">
        <v>81</v>
      </c>
      <c r="D90" s="3562"/>
      <c r="E90" s="3563"/>
      <c r="F90" s="3562">
        <v>0</v>
      </c>
      <c r="G90" s="3563"/>
      <c r="H90" s="3562"/>
      <c r="I90" s="3563"/>
      <c r="J90" s="3562">
        <v>0</v>
      </c>
      <c r="K90" s="3563">
        <v>0</v>
      </c>
      <c r="L90" s="3562"/>
      <c r="M90" s="3563">
        <v>2.8571428571428571E-2</v>
      </c>
      <c r="N90" s="3562">
        <v>0</v>
      </c>
      <c r="O90" s="3563">
        <v>7.6923076923076927E-2</v>
      </c>
      <c r="P90" s="3562">
        <v>0</v>
      </c>
      <c r="Q90" s="3563">
        <v>9.3023255813953487E-2</v>
      </c>
      <c r="R90" s="3562">
        <v>0</v>
      </c>
      <c r="S90" s="3563">
        <v>3.3898305084745763E-2</v>
      </c>
    </row>
    <row r="91" spans="2:19" ht="15">
      <c r="B91" s="4836"/>
      <c r="C91" s="4098" t="s">
        <v>577</v>
      </c>
      <c r="D91" s="3572">
        <v>0</v>
      </c>
      <c r="E91" s="3573">
        <v>0.12727272727272726</v>
      </c>
      <c r="F91" s="3572">
        <v>0</v>
      </c>
      <c r="G91" s="3573">
        <v>4.3956043956043959E-2</v>
      </c>
      <c r="H91" s="3572"/>
      <c r="I91" s="3573">
        <v>2.9411764705882353E-2</v>
      </c>
      <c r="J91" s="3572">
        <v>0</v>
      </c>
      <c r="K91" s="3573">
        <v>0</v>
      </c>
      <c r="L91" s="3572"/>
      <c r="M91" s="3573">
        <v>4.0816326530612242E-2</v>
      </c>
      <c r="N91" s="3572">
        <v>0</v>
      </c>
      <c r="O91" s="3573">
        <v>5.0847457627118647E-2</v>
      </c>
      <c r="P91" s="3572">
        <v>0</v>
      </c>
      <c r="Q91" s="3573">
        <v>4.0322580645161289E-2</v>
      </c>
      <c r="R91" s="3572">
        <v>0</v>
      </c>
      <c r="S91" s="3573">
        <v>4.6153846153846156E-2</v>
      </c>
    </row>
    <row r="92" spans="2:19" ht="15">
      <c r="B92" s="3558"/>
      <c r="C92" s="3552" t="s">
        <v>265</v>
      </c>
      <c r="D92" s="3571">
        <v>0</v>
      </c>
      <c r="E92" s="3567">
        <v>0.13732394366197184</v>
      </c>
      <c r="F92" s="3571">
        <v>0</v>
      </c>
      <c r="G92" s="3567">
        <v>0.13522012578616352</v>
      </c>
      <c r="H92" s="3571">
        <v>0</v>
      </c>
      <c r="I92" s="3567">
        <v>1.3043478260869565E-2</v>
      </c>
      <c r="J92" s="3571">
        <v>0</v>
      </c>
      <c r="K92" s="3567">
        <v>7.0175438596491224E-2</v>
      </c>
      <c r="L92" s="3571"/>
      <c r="M92" s="3567">
        <v>6.0606060606060608E-2</v>
      </c>
      <c r="N92" s="3571">
        <v>0</v>
      </c>
      <c r="O92" s="3567">
        <v>7.4303405572755415E-2</v>
      </c>
      <c r="P92" s="3571">
        <v>0</v>
      </c>
      <c r="Q92" s="3567">
        <v>5.089820359281437E-2</v>
      </c>
      <c r="R92" s="3571">
        <v>0.11827956989247312</v>
      </c>
      <c r="S92" s="3567">
        <v>8.899297423887588E-2</v>
      </c>
    </row>
    <row r="93" spans="2:19" ht="15">
      <c r="B93" s="4838" t="s">
        <v>4</v>
      </c>
      <c r="C93" s="3551" t="s">
        <v>1687</v>
      </c>
      <c r="D93" s="3577"/>
      <c r="E93" s="3578"/>
      <c r="F93" s="3577"/>
      <c r="G93" s="3578"/>
      <c r="H93" s="3577"/>
      <c r="I93" s="3578"/>
      <c r="J93" s="3577"/>
      <c r="K93" s="3578"/>
      <c r="L93" s="3577">
        <v>0.42105263157894735</v>
      </c>
      <c r="M93" s="3578">
        <v>0.32</v>
      </c>
      <c r="N93" s="3577"/>
      <c r="O93" s="3578">
        <v>0.04</v>
      </c>
      <c r="P93" s="3577">
        <v>0.1</v>
      </c>
      <c r="Q93" s="3578">
        <v>0.15</v>
      </c>
      <c r="R93" s="3577">
        <v>0</v>
      </c>
      <c r="S93" s="3578">
        <v>0</v>
      </c>
    </row>
    <row r="94" spans="2:19" ht="15">
      <c r="B94" s="4838"/>
      <c r="C94" s="3587" t="s">
        <v>572</v>
      </c>
      <c r="D94" s="3579"/>
      <c r="E94" s="3565"/>
      <c r="F94" s="3579"/>
      <c r="G94" s="3565"/>
      <c r="H94" s="3579"/>
      <c r="I94" s="3565"/>
      <c r="J94" s="3579"/>
      <c r="K94" s="3565"/>
      <c r="L94" s="3579">
        <v>0.42105263157894735</v>
      </c>
      <c r="M94" s="3565">
        <v>0.32</v>
      </c>
      <c r="N94" s="3579"/>
      <c r="O94" s="3565">
        <v>0.04</v>
      </c>
      <c r="P94" s="3579">
        <v>0.1</v>
      </c>
      <c r="Q94" s="3565">
        <v>0.15</v>
      </c>
      <c r="R94" s="3579">
        <v>0</v>
      </c>
      <c r="S94" s="3565">
        <v>0</v>
      </c>
    </row>
    <row r="95" spans="2:19" ht="15">
      <c r="B95" s="4838" t="s">
        <v>16</v>
      </c>
      <c r="C95" s="3551" t="s">
        <v>830</v>
      </c>
      <c r="D95" s="3580"/>
      <c r="E95" s="3581"/>
      <c r="F95" s="3580"/>
      <c r="G95" s="3581"/>
      <c r="H95" s="3580"/>
      <c r="I95" s="3581"/>
      <c r="J95" s="3580"/>
      <c r="K95" s="3581"/>
      <c r="L95" s="3580">
        <v>0.45454545454545453</v>
      </c>
      <c r="M95" s="3581">
        <v>0.53846153846153844</v>
      </c>
      <c r="N95" s="3580"/>
      <c r="O95" s="3581">
        <v>0.1</v>
      </c>
      <c r="P95" s="3580">
        <v>0.15789473684210525</v>
      </c>
      <c r="Q95" s="3581">
        <v>0.48</v>
      </c>
      <c r="R95" s="3580"/>
      <c r="S95" s="3581">
        <v>0.30769230769230771</v>
      </c>
    </row>
    <row r="96" spans="2:19" ht="15">
      <c r="B96" s="4838"/>
      <c r="C96" s="3551" t="s">
        <v>579</v>
      </c>
      <c r="D96" s="3580"/>
      <c r="E96" s="3581"/>
      <c r="F96" s="3580"/>
      <c r="G96" s="3581"/>
      <c r="H96" s="3580"/>
      <c r="I96" s="3581"/>
      <c r="J96" s="3580"/>
      <c r="K96" s="3581"/>
      <c r="L96" s="3580"/>
      <c r="M96" s="3581"/>
      <c r="N96" s="3580"/>
      <c r="O96" s="3581"/>
      <c r="P96" s="3580">
        <v>0</v>
      </c>
      <c r="Q96" s="3581">
        <v>0</v>
      </c>
      <c r="R96" s="3580"/>
      <c r="S96" s="3581">
        <v>0.125</v>
      </c>
    </row>
    <row r="97" spans="2:19" ht="15">
      <c r="B97" s="4838"/>
      <c r="C97" s="3587" t="s">
        <v>573</v>
      </c>
      <c r="D97" s="3579"/>
      <c r="E97" s="3565"/>
      <c r="F97" s="3579"/>
      <c r="G97" s="3565"/>
      <c r="H97" s="3579"/>
      <c r="I97" s="3565"/>
      <c r="J97" s="3579"/>
      <c r="K97" s="3565"/>
      <c r="L97" s="3579">
        <v>0.45454545454545453</v>
      </c>
      <c r="M97" s="3565">
        <v>0.53846153846153844</v>
      </c>
      <c r="N97" s="3579"/>
      <c r="O97" s="3565">
        <v>0.1</v>
      </c>
      <c r="P97" s="3579">
        <v>0.15</v>
      </c>
      <c r="Q97" s="3565">
        <v>0.30769230769230771</v>
      </c>
      <c r="R97" s="3579"/>
      <c r="S97" s="3565">
        <v>0.23809523809523808</v>
      </c>
    </row>
    <row r="98" spans="2:19" ht="15">
      <c r="B98" s="4838" t="s">
        <v>41</v>
      </c>
      <c r="C98" s="3551" t="s">
        <v>831</v>
      </c>
      <c r="D98" s="3580"/>
      <c r="E98" s="3581"/>
      <c r="F98" s="3580"/>
      <c r="G98" s="3581"/>
      <c r="H98" s="3580"/>
      <c r="I98" s="3581"/>
      <c r="J98" s="3580"/>
      <c r="K98" s="3581"/>
      <c r="L98" s="3580">
        <v>0.42857142857142855</v>
      </c>
      <c r="M98" s="3581">
        <v>0.45833333333333331</v>
      </c>
      <c r="N98" s="3580"/>
      <c r="O98" s="3581">
        <v>0.27272727272727271</v>
      </c>
      <c r="P98" s="3580">
        <v>0.26666666666666666</v>
      </c>
      <c r="Q98" s="3581">
        <v>0.41379310344827586</v>
      </c>
      <c r="R98" s="3580">
        <v>0.11538461538461539</v>
      </c>
      <c r="S98" s="3581">
        <v>6.25E-2</v>
      </c>
    </row>
    <row r="99" spans="2:19" ht="15">
      <c r="B99" s="4839"/>
      <c r="C99" s="3587" t="s">
        <v>575</v>
      </c>
      <c r="D99" s="3582"/>
      <c r="E99" s="3573"/>
      <c r="F99" s="3582"/>
      <c r="G99" s="3573"/>
      <c r="H99" s="3582"/>
      <c r="I99" s="3573"/>
      <c r="J99" s="3582"/>
      <c r="K99" s="3573"/>
      <c r="L99" s="3582">
        <v>0.42857142857142855</v>
      </c>
      <c r="M99" s="3573">
        <v>0.45833333333333331</v>
      </c>
      <c r="N99" s="3582"/>
      <c r="O99" s="3573">
        <v>0.27272727272727271</v>
      </c>
      <c r="P99" s="3582">
        <v>0.26666666666666666</v>
      </c>
      <c r="Q99" s="3573">
        <v>0.41379310344827586</v>
      </c>
      <c r="R99" s="3582">
        <v>0.11538461538461539</v>
      </c>
      <c r="S99" s="3573">
        <v>6.25E-2</v>
      </c>
    </row>
    <row r="100" spans="2:19" ht="15">
      <c r="B100" s="3559"/>
      <c r="C100" s="3555" t="s">
        <v>1211</v>
      </c>
      <c r="D100" s="3571"/>
      <c r="E100" s="3567"/>
      <c r="F100" s="3571"/>
      <c r="G100" s="3567"/>
      <c r="H100" s="3571"/>
      <c r="I100" s="3567"/>
      <c r="J100" s="3571"/>
      <c r="K100" s="3567"/>
      <c r="L100" s="3571">
        <v>0.43548387096774194</v>
      </c>
      <c r="M100" s="3567">
        <v>0.44</v>
      </c>
      <c r="N100" s="3571"/>
      <c r="O100" s="3567">
        <v>0.12987012987012986</v>
      </c>
      <c r="P100" s="3571">
        <v>0.16363636363636364</v>
      </c>
      <c r="Q100" s="3567">
        <v>0.30681818181818182</v>
      </c>
      <c r="R100" s="3571">
        <v>7.4999999999999997E-2</v>
      </c>
      <c r="S100" s="3567">
        <v>0.14285714285714285</v>
      </c>
    </row>
    <row r="101" spans="2:19" ht="15">
      <c r="B101" s="3556"/>
      <c r="C101" s="3557"/>
      <c r="D101" s="3583"/>
      <c r="E101" s="3584"/>
      <c r="F101" s="3583"/>
      <c r="G101" s="3584"/>
      <c r="H101" s="3583"/>
      <c r="I101" s="3584"/>
      <c r="J101" s="3583"/>
      <c r="K101" s="3584"/>
      <c r="L101" s="3583"/>
      <c r="M101" s="3584"/>
      <c r="N101" s="3583"/>
      <c r="O101" s="3584"/>
      <c r="P101" s="3583"/>
      <c r="Q101" s="3584"/>
      <c r="S101" s="3584"/>
    </row>
    <row r="102" spans="2:19" ht="15">
      <c r="B102" s="4840" t="s">
        <v>114</v>
      </c>
      <c r="C102" s="4841"/>
      <c r="D102" s="3585">
        <v>0.13263665594855306</v>
      </c>
      <c r="E102" s="3586">
        <v>0.13759318423855166</v>
      </c>
      <c r="F102" s="3585">
        <v>0.14940347071583515</v>
      </c>
      <c r="G102" s="3586">
        <v>0.15009451795841211</v>
      </c>
      <c r="H102" s="3585">
        <v>0.15390686661404893</v>
      </c>
      <c r="I102" s="3586">
        <v>0.16693483507642801</v>
      </c>
      <c r="J102" s="3585">
        <v>0.15136793658910763</v>
      </c>
      <c r="K102" s="3586">
        <v>0.15290687078549298</v>
      </c>
      <c r="L102" s="3585">
        <v>0.13489949140227658</v>
      </c>
      <c r="M102" s="3586">
        <v>0.13881188118811882</v>
      </c>
      <c r="N102" s="3585">
        <v>0.15403692477266465</v>
      </c>
      <c r="O102" s="3586">
        <v>0.15794499618029029</v>
      </c>
      <c r="P102" s="3585">
        <v>0.12571876633559853</v>
      </c>
      <c r="Q102" s="3586">
        <v>0.14981273408239701</v>
      </c>
      <c r="R102" s="3585">
        <v>0.15030336458907886</v>
      </c>
      <c r="S102" s="3586">
        <v>0.16965678627145087</v>
      </c>
    </row>
    <row r="104" spans="2:19">
      <c r="B104" s="75" t="s">
        <v>885</v>
      </c>
      <c r="L104" s="677"/>
    </row>
    <row r="105" spans="2:19">
      <c r="B105" s="75" t="s">
        <v>886</v>
      </c>
    </row>
    <row r="106" spans="2:19">
      <c r="B106" s="75" t="s">
        <v>887</v>
      </c>
    </row>
  </sheetData>
  <mergeCells count="19">
    <mergeCell ref="B98:B99"/>
    <mergeCell ref="B102:C102"/>
    <mergeCell ref="B79:B82"/>
    <mergeCell ref="B83:B86"/>
    <mergeCell ref="B87:B91"/>
    <mergeCell ref="B93:B94"/>
    <mergeCell ref="B95:B97"/>
    <mergeCell ref="B73:B77"/>
    <mergeCell ref="B6:B16"/>
    <mergeCell ref="B17:B21"/>
    <mergeCell ref="B22:B25"/>
    <mergeCell ref="B27:B36"/>
    <mergeCell ref="B37:B48"/>
    <mergeCell ref="B49:B55"/>
    <mergeCell ref="B4:B5"/>
    <mergeCell ref="C4:C5"/>
    <mergeCell ref="D4:S4"/>
    <mergeCell ref="B57:B63"/>
    <mergeCell ref="B64:B72"/>
  </mergeCells>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sheetPr>
    <tabColor theme="6" tint="-0.499984740745262"/>
    <pageSetUpPr fitToPage="1"/>
  </sheetPr>
  <dimension ref="A1:K28"/>
  <sheetViews>
    <sheetView workbookViewId="0">
      <selection activeCell="I9" sqref="I9"/>
    </sheetView>
  </sheetViews>
  <sheetFormatPr baseColWidth="10" defaultRowHeight="15"/>
  <cols>
    <col min="1" max="1" width="4.7109375" customWidth="1"/>
    <col min="3" max="3" width="24.42578125" customWidth="1"/>
    <col min="4" max="4" width="24.7109375" style="191" customWidth="1"/>
    <col min="5" max="5" width="31.7109375" style="191" customWidth="1"/>
  </cols>
  <sheetData>
    <row r="1" spans="1:11" ht="18">
      <c r="B1" s="5284" t="s">
        <v>483</v>
      </c>
      <c r="C1" s="5284"/>
      <c r="D1" s="5284"/>
      <c r="E1" s="5284"/>
      <c r="F1" s="5284"/>
      <c r="G1" s="93"/>
      <c r="H1" s="93"/>
      <c r="I1" s="93"/>
      <c r="J1" s="93"/>
      <c r="K1" s="93"/>
    </row>
    <row r="2" spans="1:11" ht="18">
      <c r="B2" s="367"/>
      <c r="C2" s="367"/>
      <c r="D2" s="367"/>
      <c r="E2" s="367"/>
      <c r="F2" s="367"/>
      <c r="G2" s="93"/>
      <c r="H2" s="93"/>
      <c r="I2" s="93"/>
      <c r="J2" s="93"/>
      <c r="K2" s="93"/>
    </row>
    <row r="3" spans="1:11" ht="60">
      <c r="B3" s="488">
        <v>2016</v>
      </c>
      <c r="C3" s="289" t="s">
        <v>845</v>
      </c>
      <c r="D3" s="290" t="s">
        <v>439</v>
      </c>
      <c r="E3" s="290" t="s">
        <v>2032</v>
      </c>
      <c r="F3" s="291"/>
      <c r="G3" s="5282" t="s">
        <v>2355</v>
      </c>
      <c r="H3" s="5283"/>
      <c r="I3" s="5283"/>
      <c r="J3" s="5283"/>
      <c r="K3" s="93"/>
    </row>
    <row r="4" spans="1:11" ht="18">
      <c r="B4" s="80" t="s">
        <v>336</v>
      </c>
      <c r="C4" s="367"/>
      <c r="D4" s="367"/>
      <c r="E4" s="367"/>
      <c r="F4" s="367"/>
      <c r="G4" s="93"/>
      <c r="H4" s="93"/>
      <c r="I4" s="93"/>
      <c r="J4" s="93"/>
      <c r="K4" s="93"/>
    </row>
    <row r="5" spans="1:11" ht="18">
      <c r="B5" s="367"/>
      <c r="C5" s="367"/>
      <c r="D5" s="367"/>
      <c r="E5" s="367"/>
      <c r="F5" s="367"/>
      <c r="G5" s="93"/>
      <c r="H5" s="93"/>
      <c r="I5" s="93"/>
      <c r="J5" s="93"/>
      <c r="K5" s="93"/>
    </row>
    <row r="6" spans="1:11" ht="60">
      <c r="B6" s="488">
        <v>2015</v>
      </c>
      <c r="C6" s="289" t="s">
        <v>845</v>
      </c>
      <c r="D6" s="290" t="s">
        <v>439</v>
      </c>
      <c r="E6" s="290" t="s">
        <v>1881</v>
      </c>
      <c r="F6" s="291">
        <v>0.3</v>
      </c>
      <c r="G6" s="93"/>
      <c r="H6" s="93"/>
      <c r="I6" s="93"/>
      <c r="J6" s="93"/>
      <c r="K6" s="93"/>
    </row>
    <row r="7" spans="1:11" ht="18">
      <c r="B7" s="80" t="s">
        <v>336</v>
      </c>
      <c r="C7" s="367"/>
      <c r="D7" s="367"/>
      <c r="E7" s="367"/>
      <c r="F7" s="367"/>
      <c r="G7" s="93"/>
      <c r="H7" s="93"/>
      <c r="I7" s="93"/>
      <c r="J7" s="93"/>
      <c r="K7" s="93"/>
    </row>
    <row r="8" spans="1:11" ht="18">
      <c r="B8" s="367"/>
      <c r="C8" s="367"/>
      <c r="D8" s="367"/>
      <c r="E8" s="367"/>
      <c r="F8" s="367"/>
      <c r="G8" s="477"/>
      <c r="H8" s="93"/>
      <c r="I8" s="93"/>
      <c r="J8" s="93"/>
      <c r="K8" s="93"/>
    </row>
    <row r="9" spans="1:11" ht="60">
      <c r="B9" s="488">
        <v>2014</v>
      </c>
      <c r="C9" s="289" t="s">
        <v>845</v>
      </c>
      <c r="D9" s="290" t="s">
        <v>439</v>
      </c>
      <c r="E9" s="290" t="s">
        <v>1219</v>
      </c>
      <c r="F9" s="291">
        <v>0.33</v>
      </c>
      <c r="G9" s="93"/>
      <c r="H9" s="93"/>
      <c r="I9" s="93"/>
      <c r="J9" s="93"/>
      <c r="K9" s="93"/>
    </row>
    <row r="10" spans="1:11" ht="18">
      <c r="A10" s="93"/>
      <c r="B10" s="80" t="s">
        <v>336</v>
      </c>
      <c r="C10" s="93"/>
      <c r="D10" s="93"/>
      <c r="E10" s="93"/>
      <c r="F10" s="93"/>
      <c r="G10" s="93"/>
      <c r="H10" s="93"/>
      <c r="I10" s="93"/>
      <c r="J10" s="93"/>
      <c r="K10" s="93"/>
    </row>
    <row r="11" spans="1:11" ht="18">
      <c r="B11" s="367"/>
      <c r="C11" s="367"/>
      <c r="D11" s="367"/>
      <c r="E11" s="367"/>
      <c r="F11" s="367"/>
      <c r="G11" s="93"/>
      <c r="H11" s="93"/>
      <c r="I11" s="93"/>
      <c r="J11" s="93"/>
      <c r="K11" s="93"/>
    </row>
    <row r="12" spans="1:11" ht="60">
      <c r="B12" s="488">
        <v>2013</v>
      </c>
      <c r="C12" s="289" t="s">
        <v>473</v>
      </c>
      <c r="D12" s="290" t="s">
        <v>439</v>
      </c>
      <c r="E12" s="290" t="s">
        <v>1220</v>
      </c>
      <c r="F12" s="489">
        <f>34.8/168</f>
        <v>0.20714285714285713</v>
      </c>
      <c r="G12" s="93"/>
      <c r="H12" s="217"/>
      <c r="I12" s="93"/>
      <c r="J12" s="93"/>
      <c r="K12" s="93"/>
    </row>
    <row r="13" spans="1:11" ht="49.5" customHeight="1">
      <c r="B13" s="5285" t="s">
        <v>721</v>
      </c>
      <c r="C13" s="5285"/>
      <c r="D13" s="5285"/>
      <c r="E13" s="5285"/>
      <c r="F13" s="5285"/>
      <c r="G13" s="93"/>
      <c r="H13" s="93"/>
      <c r="I13" s="93"/>
      <c r="J13" s="93"/>
      <c r="K13" s="93"/>
    </row>
    <row r="14" spans="1:11" ht="18">
      <c r="B14" s="180"/>
      <c r="C14" s="180"/>
      <c r="D14" s="180"/>
      <c r="E14" s="180"/>
      <c r="F14" s="180"/>
      <c r="G14" s="93"/>
      <c r="H14" s="93"/>
      <c r="I14" s="93"/>
      <c r="J14" s="93"/>
      <c r="K14" s="93"/>
    </row>
    <row r="15" spans="1:11" ht="60">
      <c r="B15" s="488">
        <v>2012</v>
      </c>
      <c r="C15" s="289" t="s">
        <v>473</v>
      </c>
      <c r="D15" s="290" t="s">
        <v>439</v>
      </c>
      <c r="E15" s="290" t="s">
        <v>1221</v>
      </c>
      <c r="F15" s="489">
        <f>35/168</f>
        <v>0.20833333333333334</v>
      </c>
      <c r="H15" s="493"/>
    </row>
    <row r="16" spans="1:11" ht="39.75" customHeight="1">
      <c r="B16" s="5285" t="s">
        <v>640</v>
      </c>
      <c r="C16" s="5285"/>
      <c r="D16" s="5285"/>
      <c r="E16" s="5285"/>
      <c r="F16" s="5285"/>
    </row>
    <row r="17" spans="2:11" ht="15.75">
      <c r="B17" s="43"/>
      <c r="C17" s="31"/>
      <c r="D17" s="31"/>
      <c r="E17" s="31"/>
      <c r="F17" s="118"/>
    </row>
    <row r="18" spans="2:11" s="42" customFormat="1" ht="75">
      <c r="B18" s="488">
        <v>2011</v>
      </c>
      <c r="C18" s="490" t="s">
        <v>473</v>
      </c>
      <c r="D18" s="295" t="s">
        <v>439</v>
      </c>
      <c r="E18" s="491" t="s">
        <v>1222</v>
      </c>
      <c r="F18" s="489">
        <f>52/168</f>
        <v>0.30952380952380953</v>
      </c>
      <c r="I18"/>
      <c r="J18"/>
      <c r="K18"/>
    </row>
    <row r="19" spans="2:11" s="1" customFormat="1" ht="56.25" customHeight="1">
      <c r="B19" s="5285" t="s">
        <v>472</v>
      </c>
      <c r="C19" s="5285"/>
      <c r="D19" s="5285"/>
      <c r="E19" s="5285"/>
      <c r="F19" s="5285"/>
      <c r="G19" s="124"/>
      <c r="H19"/>
      <c r="I19"/>
    </row>
    <row r="20" spans="2:11" s="1" customFormat="1" ht="15.75">
      <c r="B20" s="80" t="s">
        <v>336</v>
      </c>
      <c r="D20" s="31"/>
      <c r="E20" s="31"/>
      <c r="F20" s="112"/>
    </row>
    <row r="21" spans="2:11" s="1" customFormat="1" ht="15.75">
      <c r="D21" s="31"/>
      <c r="E21" s="31"/>
    </row>
    <row r="22" spans="2:11" s="1" customFormat="1" ht="35.25" customHeight="1">
      <c r="B22" s="488">
        <v>2010</v>
      </c>
      <c r="C22" s="5279" t="s">
        <v>428</v>
      </c>
      <c r="D22" s="5280"/>
      <c r="E22" s="5280"/>
      <c r="F22" s="5281"/>
    </row>
    <row r="23" spans="2:11" s="1" customFormat="1">
      <c r="B23" s="73" t="s">
        <v>336</v>
      </c>
      <c r="D23" s="191"/>
      <c r="E23" s="191"/>
      <c r="F23"/>
    </row>
    <row r="24" spans="2:11" s="1" customFormat="1" ht="19.899999999999999" customHeight="1">
      <c r="B24" s="43"/>
      <c r="D24" s="191"/>
      <c r="E24" s="191"/>
      <c r="F24"/>
    </row>
    <row r="25" spans="2:11" s="1" customFormat="1" ht="19.899999999999999" customHeight="1">
      <c r="C25" s="31"/>
      <c r="D25" s="31"/>
      <c r="E25" s="31"/>
    </row>
    <row r="26" spans="2:11" ht="15.75">
      <c r="C26" s="31"/>
      <c r="D26" s="31"/>
      <c r="E26" s="31"/>
    </row>
    <row r="27" spans="2:11" ht="15.75">
      <c r="C27" s="31"/>
      <c r="D27" s="31"/>
      <c r="E27" s="31"/>
    </row>
    <row r="28" spans="2:11" ht="15.75">
      <c r="C28" s="31"/>
      <c r="D28" s="31"/>
      <c r="E28" s="31"/>
    </row>
  </sheetData>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1.xml><?xml version="1.0" encoding="utf-8"?>
<worksheet xmlns="http://schemas.openxmlformats.org/spreadsheetml/2006/main" xmlns:r="http://schemas.openxmlformats.org/officeDocument/2006/relationships">
  <sheetPr>
    <tabColor theme="6" tint="-0.499984740745262"/>
  </sheetPr>
  <dimension ref="B1:T385"/>
  <sheetViews>
    <sheetView showGridLines="0" workbookViewId="0"/>
  </sheetViews>
  <sheetFormatPr baseColWidth="10" defaultColWidth="11.42578125" defaultRowHeight="15"/>
  <cols>
    <col min="1" max="1" width="2.140625" customWidth="1"/>
    <col min="2" max="2" width="15.85546875" bestFit="1" customWidth="1"/>
    <col min="3" max="4" width="10.7109375" customWidth="1"/>
    <col min="5" max="5" width="10.7109375" style="191" customWidth="1"/>
    <col min="6" max="11" width="10.7109375" customWidth="1"/>
    <col min="12" max="12" width="8.7109375" customWidth="1"/>
    <col min="13" max="13" width="4.140625" style="54" bestFit="1" customWidth="1"/>
    <col min="14" max="14" width="13.85546875" style="54" bestFit="1" customWidth="1"/>
    <col min="15" max="15" width="7" style="54" customWidth="1"/>
    <col min="16" max="16" width="44.5703125" style="54" customWidth="1"/>
    <col min="17" max="17" width="52.5703125" style="54" customWidth="1"/>
    <col min="18" max="18" width="24" style="54" bestFit="1" customWidth="1"/>
    <col min="19" max="19" width="20.140625" style="54" customWidth="1"/>
  </cols>
  <sheetData>
    <row r="1" spans="2:15" ht="15.75">
      <c r="C1" s="286"/>
      <c r="D1" s="286"/>
      <c r="E1" s="286" t="s">
        <v>441</v>
      </c>
      <c r="F1" s="286"/>
      <c r="G1" s="286"/>
    </row>
    <row r="2" spans="2:15" ht="15.75">
      <c r="G2" s="364"/>
    </row>
    <row r="3" spans="2:15" ht="30.75" thickBot="1">
      <c r="B3" s="3532" t="s">
        <v>2763</v>
      </c>
      <c r="C3" s="3651">
        <v>2010</v>
      </c>
      <c r="D3" s="3651">
        <v>2011</v>
      </c>
      <c r="E3" s="3651">
        <v>2012</v>
      </c>
      <c r="F3" s="3651">
        <v>2013</v>
      </c>
      <c r="G3" s="4150">
        <v>2014</v>
      </c>
      <c r="H3" s="3651">
        <v>2015</v>
      </c>
      <c r="I3" s="3651">
        <v>2016</v>
      </c>
      <c r="J3" s="3651">
        <v>2017</v>
      </c>
      <c r="K3" s="3651">
        <v>2018</v>
      </c>
    </row>
    <row r="4" spans="2:15" ht="18" customHeight="1">
      <c r="B4" s="4154" t="s">
        <v>4</v>
      </c>
      <c r="C4" s="4156">
        <v>2</v>
      </c>
      <c r="D4" s="4156">
        <v>16</v>
      </c>
      <c r="E4" s="4156">
        <v>4</v>
      </c>
      <c r="F4" s="4156">
        <v>22</v>
      </c>
      <c r="G4" s="4156">
        <v>14</v>
      </c>
      <c r="H4" s="4156">
        <v>6</v>
      </c>
      <c r="I4" s="4156">
        <v>11</v>
      </c>
      <c r="J4" s="4156">
        <v>6</v>
      </c>
      <c r="K4" s="4155">
        <v>11</v>
      </c>
    </row>
    <row r="5" spans="2:15" ht="18" customHeight="1">
      <c r="B5" s="4077" t="s">
        <v>16</v>
      </c>
      <c r="C5" s="4157">
        <v>25</v>
      </c>
      <c r="D5" s="4157">
        <v>26</v>
      </c>
      <c r="E5" s="4157">
        <v>29</v>
      </c>
      <c r="F5" s="4157">
        <v>41</v>
      </c>
      <c r="G5" s="4157">
        <v>30</v>
      </c>
      <c r="H5" s="4157">
        <v>29</v>
      </c>
      <c r="I5" s="4157">
        <v>36</v>
      </c>
      <c r="J5" s="4157">
        <v>27</v>
      </c>
      <c r="K5" s="4151">
        <v>37</v>
      </c>
    </row>
    <row r="6" spans="2:15" ht="18" customHeight="1">
      <c r="B6" s="4077" t="s">
        <v>21</v>
      </c>
      <c r="C6" s="4157">
        <v>17</v>
      </c>
      <c r="D6" s="4157">
        <v>8</v>
      </c>
      <c r="E6" s="4157">
        <v>18</v>
      </c>
      <c r="F6" s="4157">
        <v>11</v>
      </c>
      <c r="G6" s="4157">
        <v>18</v>
      </c>
      <c r="H6" s="4157">
        <v>6</v>
      </c>
      <c r="I6" s="4157">
        <v>17</v>
      </c>
      <c r="J6" s="4157">
        <v>14</v>
      </c>
      <c r="K6" s="4151">
        <v>15</v>
      </c>
    </row>
    <row r="7" spans="2:15" ht="18" customHeight="1">
      <c r="B7" s="4077" t="s">
        <v>362</v>
      </c>
      <c r="C7" s="4157"/>
      <c r="D7" s="4157">
        <v>8</v>
      </c>
      <c r="E7" s="4157">
        <v>11</v>
      </c>
      <c r="F7" s="4157">
        <v>10</v>
      </c>
      <c r="G7" s="4157">
        <v>4</v>
      </c>
      <c r="H7" s="4157">
        <v>4</v>
      </c>
      <c r="I7" s="4157"/>
      <c r="J7" s="4157">
        <v>6</v>
      </c>
      <c r="K7" s="4151">
        <v>8</v>
      </c>
    </row>
    <row r="8" spans="2:15" ht="18" customHeight="1">
      <c r="B8" s="4160" t="s">
        <v>3</v>
      </c>
      <c r="C8" s="4161">
        <f>SUM(C4:C7)</f>
        <v>44</v>
      </c>
      <c r="D8" s="4161">
        <f>SUBTOTAL(9,D4:D7)</f>
        <v>58</v>
      </c>
      <c r="E8" s="4161">
        <f>SUBTOTAL(9,E4:E7)</f>
        <v>62</v>
      </c>
      <c r="F8" s="4161">
        <f t="shared" ref="F8" si="0">SUBTOTAL(9,F4:F7)</f>
        <v>84</v>
      </c>
      <c r="G8" s="4161">
        <f>SUM(G4:G7)</f>
        <v>66</v>
      </c>
      <c r="H8" s="4161">
        <f>SUM(H4:H7)</f>
        <v>45</v>
      </c>
      <c r="I8" s="4161">
        <f>SUBTOTAL(9,I4:I7)</f>
        <v>64</v>
      </c>
      <c r="J8" s="4161">
        <f>SUBTOTAL(9,J4:J7)</f>
        <v>53</v>
      </c>
      <c r="K8" s="4162">
        <f>SUBTOTAL(9,K4:K7)</f>
        <v>71</v>
      </c>
    </row>
    <row r="9" spans="2:15" ht="18" customHeight="1">
      <c r="B9" s="4154" t="s">
        <v>16</v>
      </c>
      <c r="C9" s="4158">
        <v>7</v>
      </c>
      <c r="D9" s="4158">
        <v>18</v>
      </c>
      <c r="E9" s="4158">
        <v>22</v>
      </c>
      <c r="F9" s="4158">
        <v>16</v>
      </c>
      <c r="G9" s="4158">
        <v>13</v>
      </c>
      <c r="H9" s="4158">
        <v>9</v>
      </c>
      <c r="I9" s="4158">
        <v>18</v>
      </c>
      <c r="J9" s="4158">
        <v>19</v>
      </c>
      <c r="K9" s="4155">
        <v>28</v>
      </c>
      <c r="M9" s="77"/>
      <c r="N9" s="77"/>
      <c r="O9" s="77"/>
    </row>
    <row r="10" spans="2:15" ht="18" customHeight="1">
      <c r="B10" s="4077" t="s">
        <v>61</v>
      </c>
      <c r="C10" s="4157">
        <v>0</v>
      </c>
      <c r="D10" s="4157">
        <v>5</v>
      </c>
      <c r="E10" s="4157">
        <v>1</v>
      </c>
      <c r="F10" s="4157">
        <v>5</v>
      </c>
      <c r="G10" s="4157">
        <v>5</v>
      </c>
      <c r="H10" s="4157">
        <v>6</v>
      </c>
      <c r="I10" s="4157">
        <v>15</v>
      </c>
      <c r="J10" s="4157">
        <v>9</v>
      </c>
      <c r="K10" s="4151">
        <v>8</v>
      </c>
      <c r="M10" s="77"/>
      <c r="N10" s="77"/>
      <c r="O10" s="77"/>
    </row>
    <row r="11" spans="2:15" ht="18" customHeight="1">
      <c r="B11" s="4077" t="s">
        <v>64</v>
      </c>
      <c r="C11" s="4157">
        <v>3</v>
      </c>
      <c r="D11" s="4157">
        <v>4</v>
      </c>
      <c r="E11" s="4157">
        <v>2</v>
      </c>
      <c r="F11" s="4157">
        <v>13</v>
      </c>
      <c r="G11" s="4157">
        <v>3</v>
      </c>
      <c r="H11" s="4157">
        <v>2</v>
      </c>
      <c r="I11" s="4157">
        <v>9</v>
      </c>
      <c r="J11" s="4157">
        <v>7</v>
      </c>
      <c r="K11" s="4151">
        <v>4</v>
      </c>
      <c r="M11" s="77"/>
      <c r="N11" s="77"/>
      <c r="O11" s="77"/>
    </row>
    <row r="12" spans="2:15" ht="18" customHeight="1">
      <c r="B12" s="4077" t="s">
        <v>86</v>
      </c>
      <c r="C12" s="4157"/>
      <c r="D12" s="4157"/>
      <c r="E12" s="4157"/>
      <c r="F12" s="4157"/>
      <c r="G12" s="4157"/>
      <c r="H12" s="4157"/>
      <c r="I12" s="4157"/>
      <c r="J12" s="4157">
        <v>10</v>
      </c>
      <c r="K12" s="4151"/>
      <c r="M12" s="77"/>
      <c r="N12" s="77"/>
      <c r="O12" s="77"/>
    </row>
    <row r="13" spans="2:15" ht="18" customHeight="1">
      <c r="B13" s="4166" t="s">
        <v>59</v>
      </c>
      <c r="C13" s="4167">
        <f>SUM(C9:C11)</f>
        <v>10</v>
      </c>
      <c r="D13" s="4167">
        <f>SUM(D9:D11)</f>
        <v>27</v>
      </c>
      <c r="E13" s="4167">
        <f>SUM(E9:E11)</f>
        <v>25</v>
      </c>
      <c r="F13" s="4167">
        <f t="shared" ref="F13" si="1">SUM(F9:F11)</f>
        <v>34</v>
      </c>
      <c r="G13" s="4167">
        <f>SUM(G9:G11)</f>
        <v>21</v>
      </c>
      <c r="H13" s="4167">
        <f>SUM(H9:H11)</f>
        <v>17</v>
      </c>
      <c r="I13" s="4167">
        <f>SUBTOTAL(9,I9:I11)</f>
        <v>42</v>
      </c>
      <c r="J13" s="4167">
        <f>SUBTOTAL(9,J9:J12)</f>
        <v>45</v>
      </c>
      <c r="K13" s="4168">
        <f>SUBTOTAL(9,K9:K12)</f>
        <v>40</v>
      </c>
      <c r="M13" s="77"/>
      <c r="N13" s="77"/>
      <c r="O13" s="77"/>
    </row>
    <row r="14" spans="2:15" ht="18" customHeight="1">
      <c r="B14" s="4154" t="s">
        <v>4</v>
      </c>
      <c r="C14" s="4158">
        <v>6</v>
      </c>
      <c r="D14" s="4158">
        <v>6</v>
      </c>
      <c r="E14" s="4158">
        <v>1</v>
      </c>
      <c r="F14" s="4158">
        <v>7</v>
      </c>
      <c r="G14" s="4158">
        <v>9</v>
      </c>
      <c r="H14" s="4158">
        <v>6</v>
      </c>
      <c r="I14" s="4158">
        <v>6</v>
      </c>
      <c r="J14" s="4158">
        <v>1</v>
      </c>
      <c r="K14" s="4155">
        <v>4</v>
      </c>
    </row>
    <row r="15" spans="2:15" ht="18" customHeight="1">
      <c r="B15" s="4077" t="s">
        <v>16</v>
      </c>
      <c r="C15" s="4157">
        <v>70</v>
      </c>
      <c r="D15" s="4157">
        <v>48</v>
      </c>
      <c r="E15" s="4157">
        <v>45</v>
      </c>
      <c r="F15" s="4157">
        <v>38</v>
      </c>
      <c r="G15" s="4157">
        <v>33</v>
      </c>
      <c r="H15" s="4157">
        <v>71</v>
      </c>
      <c r="I15" s="4157">
        <v>63</v>
      </c>
      <c r="J15" s="4157">
        <v>58</v>
      </c>
      <c r="K15" s="4151">
        <v>51</v>
      </c>
    </row>
    <row r="16" spans="2:15" ht="18" customHeight="1">
      <c r="B16" s="4077" t="s">
        <v>41</v>
      </c>
      <c r="C16" s="4157">
        <v>7</v>
      </c>
      <c r="D16" s="4157">
        <v>3</v>
      </c>
      <c r="E16" s="4157">
        <v>2</v>
      </c>
      <c r="F16" s="4157">
        <v>11</v>
      </c>
      <c r="G16" s="4157">
        <v>3</v>
      </c>
      <c r="H16" s="4157">
        <v>4</v>
      </c>
      <c r="I16" s="4157">
        <v>3</v>
      </c>
      <c r="J16" s="4157">
        <v>1</v>
      </c>
      <c r="K16" s="4151">
        <v>2</v>
      </c>
    </row>
    <row r="17" spans="2:20" ht="18" customHeight="1">
      <c r="B17" s="4077" t="s">
        <v>2867</v>
      </c>
      <c r="C17" s="4157"/>
      <c r="D17" s="4157"/>
      <c r="E17" s="4157">
        <v>2</v>
      </c>
      <c r="F17" s="4157"/>
      <c r="G17" s="4157"/>
      <c r="H17" s="4157"/>
      <c r="I17" s="4157"/>
      <c r="J17" s="4157"/>
      <c r="K17" s="4151"/>
    </row>
    <row r="18" spans="2:20" ht="18" customHeight="1">
      <c r="B18" s="4163" t="s">
        <v>25</v>
      </c>
      <c r="C18" s="4164">
        <f>SUM(C14:C16)</f>
        <v>83</v>
      </c>
      <c r="D18" s="4164">
        <f>SUM(D14:D16)</f>
        <v>57</v>
      </c>
      <c r="E18" s="4164">
        <f t="shared" ref="E18:K18" si="2">SUM(E14:E17)</f>
        <v>50</v>
      </c>
      <c r="F18" s="4164">
        <f t="shared" si="2"/>
        <v>56</v>
      </c>
      <c r="G18" s="4164">
        <f t="shared" si="2"/>
        <v>45</v>
      </c>
      <c r="H18" s="4164">
        <f t="shared" si="2"/>
        <v>81</v>
      </c>
      <c r="I18" s="4164">
        <f t="shared" si="2"/>
        <v>72</v>
      </c>
      <c r="J18" s="4164">
        <f t="shared" si="2"/>
        <v>60</v>
      </c>
      <c r="K18" s="4165">
        <f t="shared" si="2"/>
        <v>57</v>
      </c>
    </row>
    <row r="19" spans="2:20" ht="18" customHeight="1">
      <c r="B19" s="4154" t="s">
        <v>4</v>
      </c>
      <c r="C19" s="4158"/>
      <c r="D19" s="4158"/>
      <c r="E19" s="4158">
        <v>1</v>
      </c>
      <c r="F19" s="4158">
        <v>3</v>
      </c>
      <c r="G19" s="4158">
        <v>8</v>
      </c>
      <c r="H19" s="4158">
        <v>1</v>
      </c>
      <c r="I19" s="4158">
        <v>1</v>
      </c>
      <c r="J19" s="4158"/>
      <c r="K19" s="4155">
        <v>2</v>
      </c>
    </row>
    <row r="20" spans="2:20" ht="18" customHeight="1">
      <c r="B20" s="4077" t="s">
        <v>16</v>
      </c>
      <c r="C20" s="4157"/>
      <c r="D20" s="4157"/>
      <c r="E20" s="4157">
        <v>3</v>
      </c>
      <c r="F20" s="4157">
        <v>2</v>
      </c>
      <c r="G20" s="4157">
        <v>3</v>
      </c>
      <c r="H20" s="4157">
        <v>8</v>
      </c>
      <c r="I20" s="4157">
        <v>16</v>
      </c>
      <c r="J20" s="4157">
        <v>8</v>
      </c>
      <c r="K20" s="4151">
        <v>13</v>
      </c>
    </row>
    <row r="21" spans="2:20" ht="18" customHeight="1">
      <c r="B21" s="4077" t="s">
        <v>41</v>
      </c>
      <c r="C21" s="4157"/>
      <c r="D21" s="4157">
        <v>5</v>
      </c>
      <c r="E21" s="4157">
        <v>1</v>
      </c>
      <c r="F21" s="4157">
        <v>4</v>
      </c>
      <c r="G21" s="4157">
        <v>1</v>
      </c>
      <c r="H21" s="4157"/>
      <c r="I21" s="4157"/>
      <c r="J21" s="4157"/>
      <c r="K21" s="4151"/>
    </row>
    <row r="22" spans="2:20" ht="18" customHeight="1">
      <c r="B22" s="4172" t="s">
        <v>249</v>
      </c>
      <c r="C22" s="4173">
        <f>SUM(C19:C21)</f>
        <v>0</v>
      </c>
      <c r="D22" s="4173">
        <f t="shared" ref="D22:H22" si="3">SUM(D19:D21)</f>
        <v>5</v>
      </c>
      <c r="E22" s="4173">
        <f t="shared" si="3"/>
        <v>5</v>
      </c>
      <c r="F22" s="4173">
        <f t="shared" si="3"/>
        <v>9</v>
      </c>
      <c r="G22" s="4173">
        <f t="shared" si="3"/>
        <v>12</v>
      </c>
      <c r="H22" s="4173">
        <f t="shared" si="3"/>
        <v>9</v>
      </c>
      <c r="I22" s="4174">
        <f>SUM(I19:I21)</f>
        <v>17</v>
      </c>
      <c r="J22" s="4174">
        <f>SUM(J19:J21)</f>
        <v>8</v>
      </c>
      <c r="K22" s="4175">
        <f>SUM(K19:K21)</f>
        <v>15</v>
      </c>
    </row>
    <row r="23" spans="2:20" ht="18" customHeight="1">
      <c r="B23" s="4154" t="s">
        <v>16</v>
      </c>
      <c r="C23" s="4158">
        <v>51</v>
      </c>
      <c r="D23" s="4158">
        <v>35</v>
      </c>
      <c r="E23" s="4158">
        <v>41</v>
      </c>
      <c r="F23" s="4158">
        <v>36</v>
      </c>
      <c r="G23" s="4158">
        <v>58</v>
      </c>
      <c r="H23" s="4158">
        <v>79</v>
      </c>
      <c r="I23" s="4158">
        <v>31</v>
      </c>
      <c r="J23" s="4158">
        <v>54</v>
      </c>
      <c r="K23" s="4155">
        <v>91</v>
      </c>
    </row>
    <row r="24" spans="2:20" ht="18" customHeight="1">
      <c r="B24" s="4077" t="s">
        <v>41</v>
      </c>
      <c r="C24" s="4157">
        <v>4</v>
      </c>
      <c r="D24" s="4157">
        <v>22</v>
      </c>
      <c r="E24" s="4157">
        <v>12</v>
      </c>
      <c r="F24" s="4157">
        <v>18</v>
      </c>
      <c r="G24" s="4157">
        <v>25</v>
      </c>
      <c r="H24" s="4157">
        <v>16</v>
      </c>
      <c r="I24" s="4157">
        <v>8</v>
      </c>
      <c r="J24" s="4157">
        <v>26</v>
      </c>
      <c r="K24" s="4151">
        <v>29</v>
      </c>
    </row>
    <row r="25" spans="2:20" ht="18" customHeight="1">
      <c r="B25" s="4077" t="s">
        <v>21</v>
      </c>
      <c r="C25" s="4157">
        <v>10</v>
      </c>
      <c r="D25" s="4157">
        <v>13</v>
      </c>
      <c r="E25" s="4157">
        <v>9</v>
      </c>
      <c r="F25" s="4157">
        <v>18</v>
      </c>
      <c r="G25" s="4157">
        <v>13</v>
      </c>
      <c r="H25" s="4157">
        <v>19</v>
      </c>
      <c r="I25" s="4157">
        <v>3</v>
      </c>
      <c r="J25" s="4157">
        <v>17</v>
      </c>
      <c r="K25" s="4151">
        <v>15</v>
      </c>
    </row>
    <row r="26" spans="2:20" ht="18" customHeight="1">
      <c r="B26" s="4077" t="s">
        <v>440</v>
      </c>
      <c r="C26" s="4157">
        <v>4</v>
      </c>
      <c r="D26" s="4157"/>
      <c r="E26" s="4157">
        <v>10</v>
      </c>
      <c r="F26" s="4157">
        <v>9</v>
      </c>
      <c r="G26" s="4157">
        <v>4</v>
      </c>
      <c r="H26" s="4157"/>
      <c r="I26" s="4157"/>
      <c r="J26" s="4157">
        <v>4</v>
      </c>
      <c r="K26" s="4151"/>
    </row>
    <row r="27" spans="2:20" ht="18" customHeight="1">
      <c r="B27" s="4169" t="s">
        <v>48</v>
      </c>
      <c r="C27" s="4170">
        <f t="shared" ref="C27:H27" si="4">SUM(C23:C26)</f>
        <v>69</v>
      </c>
      <c r="D27" s="4170">
        <f t="shared" si="4"/>
        <v>70</v>
      </c>
      <c r="E27" s="4170">
        <f t="shared" si="4"/>
        <v>72</v>
      </c>
      <c r="F27" s="4170">
        <f t="shared" si="4"/>
        <v>81</v>
      </c>
      <c r="G27" s="4170">
        <f t="shared" si="4"/>
        <v>100</v>
      </c>
      <c r="H27" s="4170">
        <f t="shared" si="4"/>
        <v>114</v>
      </c>
      <c r="I27" s="4170">
        <f>SUBTOTAL(9,I23:I26)</f>
        <v>42</v>
      </c>
      <c r="J27" s="4170">
        <f>SUBTOTAL(9,J23:J26)</f>
        <v>101</v>
      </c>
      <c r="K27" s="4171">
        <f>SUM(K23:K26)</f>
        <v>135</v>
      </c>
    </row>
    <row r="28" spans="2:20" ht="18" customHeight="1">
      <c r="B28" s="4115" t="s">
        <v>87</v>
      </c>
      <c r="C28" s="4176">
        <v>17</v>
      </c>
      <c r="D28" s="4176">
        <v>31</v>
      </c>
      <c r="E28" s="4176">
        <v>26</v>
      </c>
      <c r="F28" s="4176">
        <v>29</v>
      </c>
      <c r="G28" s="4176">
        <v>43</v>
      </c>
      <c r="H28" s="4176">
        <v>35</v>
      </c>
      <c r="I28" s="4176">
        <v>25</v>
      </c>
      <c r="J28" s="4176">
        <v>23</v>
      </c>
      <c r="K28" s="4115">
        <v>20</v>
      </c>
    </row>
    <row r="29" spans="2:20">
      <c r="E29"/>
      <c r="M29" s="1936"/>
    </row>
    <row r="30" spans="2:20" s="74" customFormat="1" ht="20.100000000000001" customHeight="1">
      <c r="B30" s="4152" t="s">
        <v>67</v>
      </c>
      <c r="C30" s="4159">
        <f>SUM(C8,C18,C27,C13,C22,C28)</f>
        <v>223</v>
      </c>
      <c r="D30" s="4159">
        <f>SUM(D8,D13,D18,D27,D22,D28)</f>
        <v>248</v>
      </c>
      <c r="E30" s="4159">
        <f>SUM(E8,E13,E18,E27,E22,E28)</f>
        <v>240</v>
      </c>
      <c r="F30" s="4159">
        <f t="shared" ref="F30:J30" si="5">SUM(F8,F13,F18,F22,F27,F28)</f>
        <v>293</v>
      </c>
      <c r="G30" s="4159">
        <f t="shared" si="5"/>
        <v>287</v>
      </c>
      <c r="H30" s="4159">
        <f t="shared" si="5"/>
        <v>301</v>
      </c>
      <c r="I30" s="4159">
        <f t="shared" si="5"/>
        <v>262</v>
      </c>
      <c r="J30" s="4159">
        <f t="shared" si="5"/>
        <v>290</v>
      </c>
      <c r="K30" s="4153">
        <f>SUM(K8,K13,K18,K22,K27,K28)</f>
        <v>338</v>
      </c>
      <c r="L30"/>
      <c r="M30" s="1937"/>
      <c r="N30" s="306"/>
      <c r="O30" s="306"/>
      <c r="P30" s="1938"/>
      <c r="Q30" s="1938"/>
      <c r="R30" s="306"/>
      <c r="S30" s="306"/>
    </row>
    <row r="31" spans="2:20" s="74" customFormat="1">
      <c r="D31" s="121"/>
      <c r="H31"/>
      <c r="I31"/>
      <c r="J31"/>
      <c r="K31"/>
      <c r="L31"/>
      <c r="M31" s="4471" t="s">
        <v>331</v>
      </c>
      <c r="N31" s="4471" t="s">
        <v>68</v>
      </c>
      <c r="O31" s="4471" t="s">
        <v>69</v>
      </c>
      <c r="P31" s="4471" t="s">
        <v>543</v>
      </c>
      <c r="Q31" s="4471" t="s">
        <v>544</v>
      </c>
      <c r="R31" s="4472" t="s">
        <v>545</v>
      </c>
      <c r="S31" s="4472" t="s">
        <v>337</v>
      </c>
      <c r="T31" s="4472" t="s">
        <v>2618</v>
      </c>
    </row>
    <row r="32" spans="2:20" s="74" customFormat="1" ht="33.75">
      <c r="B32" s="211"/>
      <c r="E32" s="121"/>
      <c r="H32"/>
      <c r="I32"/>
      <c r="J32"/>
      <c r="K32"/>
      <c r="L32"/>
      <c r="M32" s="4473">
        <v>1</v>
      </c>
      <c r="N32" s="4474" t="s">
        <v>3</v>
      </c>
      <c r="O32" s="4475" t="s">
        <v>21</v>
      </c>
      <c r="P32" s="4476" t="s">
        <v>2890</v>
      </c>
      <c r="Q32" s="4476" t="s">
        <v>2891</v>
      </c>
      <c r="R32" s="4474" t="s">
        <v>548</v>
      </c>
      <c r="S32" s="4477" t="s">
        <v>2892</v>
      </c>
      <c r="T32" s="4478"/>
    </row>
    <row r="33" spans="5:20" s="74" customFormat="1">
      <c r="E33" s="121"/>
      <c r="H33"/>
      <c r="I33"/>
      <c r="J33"/>
      <c r="K33"/>
      <c r="L33"/>
      <c r="M33" s="4473">
        <v>2</v>
      </c>
      <c r="N33" s="4474" t="s">
        <v>3</v>
      </c>
      <c r="O33" s="4475" t="s">
        <v>21</v>
      </c>
      <c r="P33" s="4476" t="s">
        <v>2893</v>
      </c>
      <c r="Q33" s="4476" t="s">
        <v>2894</v>
      </c>
      <c r="R33" s="4474" t="s">
        <v>548</v>
      </c>
      <c r="S33" s="4479" t="s">
        <v>2895</v>
      </c>
      <c r="T33" s="4480"/>
    </row>
    <row r="34" spans="5:20" s="74" customFormat="1">
      <c r="E34" s="121"/>
      <c r="H34"/>
      <c r="I34"/>
      <c r="J34"/>
      <c r="K34"/>
      <c r="L34"/>
      <c r="M34" s="4473">
        <v>3</v>
      </c>
      <c r="N34" s="4481" t="s">
        <v>3</v>
      </c>
      <c r="O34" s="4482" t="s">
        <v>21</v>
      </c>
      <c r="P34" s="4483" t="s">
        <v>2896</v>
      </c>
      <c r="Q34" s="4483" t="s">
        <v>2897</v>
      </c>
      <c r="R34" s="4481" t="s">
        <v>2898</v>
      </c>
      <c r="S34" s="4481" t="s">
        <v>2899</v>
      </c>
      <c r="T34" s="4480" t="s">
        <v>2663</v>
      </c>
    </row>
    <row r="35" spans="5:20" s="74" customFormat="1">
      <c r="E35" s="121"/>
      <c r="H35"/>
      <c r="I35"/>
      <c r="J35"/>
      <c r="K35"/>
      <c r="L35"/>
      <c r="M35" s="4473">
        <v>4</v>
      </c>
      <c r="N35" s="4481" t="s">
        <v>3</v>
      </c>
      <c r="O35" s="4481" t="s">
        <v>21</v>
      </c>
      <c r="P35" s="4484" t="s">
        <v>2900</v>
      </c>
      <c r="Q35" s="4485" t="s">
        <v>2901</v>
      </c>
      <c r="R35" s="4486" t="s">
        <v>2902</v>
      </c>
      <c r="S35" s="4482" t="s">
        <v>2903</v>
      </c>
      <c r="T35" s="4480" t="s">
        <v>62</v>
      </c>
    </row>
    <row r="36" spans="5:20" s="74" customFormat="1" ht="22.5">
      <c r="E36" s="121"/>
      <c r="H36"/>
      <c r="I36"/>
      <c r="J36"/>
      <c r="K36"/>
      <c r="L36"/>
      <c r="M36" s="4473">
        <v>5</v>
      </c>
      <c r="N36" s="4481" t="s">
        <v>3</v>
      </c>
      <c r="O36" s="4481" t="s">
        <v>21</v>
      </c>
      <c r="P36" s="4483" t="s">
        <v>2904</v>
      </c>
      <c r="Q36" s="4483" t="s">
        <v>2905</v>
      </c>
      <c r="R36" s="4486" t="s">
        <v>2902</v>
      </c>
      <c r="S36" s="4486" t="s">
        <v>2906</v>
      </c>
      <c r="T36" s="4480" t="s">
        <v>2622</v>
      </c>
    </row>
    <row r="37" spans="5:20" s="74" customFormat="1">
      <c r="E37" s="121"/>
      <c r="H37"/>
      <c r="I37"/>
      <c r="J37"/>
      <c r="K37"/>
      <c r="L37"/>
      <c r="M37" s="4473">
        <v>6</v>
      </c>
      <c r="N37" s="4474" t="s">
        <v>3</v>
      </c>
      <c r="O37" s="4475" t="s">
        <v>21</v>
      </c>
      <c r="P37" s="4487" t="s">
        <v>2907</v>
      </c>
      <c r="Q37" s="4476" t="s">
        <v>2908</v>
      </c>
      <c r="R37" s="4474" t="s">
        <v>548</v>
      </c>
      <c r="S37" s="4477" t="s">
        <v>2909</v>
      </c>
      <c r="T37" s="4480"/>
    </row>
    <row r="38" spans="5:20" s="74" customFormat="1">
      <c r="E38" s="121"/>
      <c r="H38"/>
      <c r="I38"/>
      <c r="J38"/>
      <c r="K38"/>
      <c r="L38"/>
      <c r="M38" s="4473">
        <v>7</v>
      </c>
      <c r="N38" s="4474" t="s">
        <v>3</v>
      </c>
      <c r="O38" s="4475" t="s">
        <v>21</v>
      </c>
      <c r="P38" s="4488" t="s">
        <v>3946</v>
      </c>
      <c r="Q38" s="4476" t="s">
        <v>2910</v>
      </c>
      <c r="R38" s="4474" t="s">
        <v>548</v>
      </c>
      <c r="S38" s="4477" t="s">
        <v>2911</v>
      </c>
      <c r="T38" s="4480"/>
    </row>
    <row r="39" spans="5:20" s="74" customFormat="1">
      <c r="E39" s="121"/>
      <c r="H39"/>
      <c r="I39"/>
      <c r="J39"/>
      <c r="K39"/>
      <c r="L39"/>
      <c r="M39" s="4473">
        <v>8</v>
      </c>
      <c r="N39" s="4474" t="s">
        <v>3</v>
      </c>
      <c r="O39" s="4475" t="s">
        <v>21</v>
      </c>
      <c r="P39" s="4487" t="s">
        <v>2912</v>
      </c>
      <c r="Q39" s="4476" t="s">
        <v>2908</v>
      </c>
      <c r="R39" s="4474" t="s">
        <v>548</v>
      </c>
      <c r="S39" s="4477" t="s">
        <v>2913</v>
      </c>
      <c r="T39" s="4480"/>
    </row>
    <row r="40" spans="5:20" s="74" customFormat="1">
      <c r="E40" s="121"/>
      <c r="H40"/>
      <c r="I40"/>
      <c r="J40"/>
      <c r="K40"/>
      <c r="L40"/>
      <c r="M40" s="4473">
        <v>9</v>
      </c>
      <c r="N40" s="4474" t="s">
        <v>3</v>
      </c>
      <c r="O40" s="4475" t="s">
        <v>21</v>
      </c>
      <c r="P40" s="4476" t="s">
        <v>2914</v>
      </c>
      <c r="Q40" s="4476" t="s">
        <v>2894</v>
      </c>
      <c r="R40" s="4474" t="s">
        <v>548</v>
      </c>
      <c r="S40" s="4489" t="s">
        <v>2915</v>
      </c>
      <c r="T40" s="4480"/>
    </row>
    <row r="41" spans="5:20" s="74" customFormat="1" ht="33.75">
      <c r="E41" s="121"/>
      <c r="H41"/>
      <c r="I41"/>
      <c r="J41"/>
      <c r="K41"/>
      <c r="L41"/>
      <c r="M41" s="4473">
        <v>10</v>
      </c>
      <c r="N41" s="4481" t="s">
        <v>3</v>
      </c>
      <c r="O41" s="4482" t="s">
        <v>21</v>
      </c>
      <c r="P41" s="4483" t="s">
        <v>2916</v>
      </c>
      <c r="Q41" s="4483" t="s">
        <v>2917</v>
      </c>
      <c r="R41" s="4481" t="s">
        <v>2918</v>
      </c>
      <c r="S41" s="4481" t="s">
        <v>2919</v>
      </c>
      <c r="T41" s="4480" t="s">
        <v>2663</v>
      </c>
    </row>
    <row r="42" spans="5:20" s="74" customFormat="1">
      <c r="E42" s="121"/>
      <c r="H42"/>
      <c r="I42"/>
      <c r="J42"/>
      <c r="K42"/>
      <c r="L42"/>
      <c r="M42" s="4473">
        <v>11</v>
      </c>
      <c r="N42" s="4490" t="s">
        <v>3</v>
      </c>
      <c r="O42" s="4490" t="s">
        <v>21</v>
      </c>
      <c r="P42" s="4483" t="s">
        <v>2920</v>
      </c>
      <c r="Q42" s="4485" t="s">
        <v>2921</v>
      </c>
      <c r="R42" s="4486" t="s">
        <v>2898</v>
      </c>
      <c r="S42" s="4480" t="s">
        <v>2922</v>
      </c>
      <c r="T42" s="4480" t="s">
        <v>2622</v>
      </c>
    </row>
    <row r="43" spans="5:20" s="74" customFormat="1">
      <c r="E43" s="121"/>
      <c r="H43"/>
      <c r="I43"/>
      <c r="J43"/>
      <c r="K43"/>
      <c r="L43"/>
      <c r="M43" s="4473">
        <v>12</v>
      </c>
      <c r="N43" s="4474" t="s">
        <v>3</v>
      </c>
      <c r="O43" s="4475" t="s">
        <v>21</v>
      </c>
      <c r="P43" s="4476" t="s">
        <v>2923</v>
      </c>
      <c r="Q43" s="4476" t="s">
        <v>2924</v>
      </c>
      <c r="R43" s="4474" t="s">
        <v>548</v>
      </c>
      <c r="S43" s="4477" t="s">
        <v>2925</v>
      </c>
      <c r="T43" s="4491"/>
    </row>
    <row r="44" spans="5:20" s="74" customFormat="1">
      <c r="E44" s="121"/>
      <c r="H44"/>
      <c r="I44"/>
      <c r="J44"/>
      <c r="K44"/>
      <c r="L44"/>
      <c r="M44" s="4473">
        <v>13</v>
      </c>
      <c r="N44" s="4481" t="s">
        <v>3</v>
      </c>
      <c r="O44" s="4482" t="s">
        <v>21</v>
      </c>
      <c r="P44" s="4483" t="s">
        <v>2926</v>
      </c>
      <c r="Q44" s="4483" t="s">
        <v>2927</v>
      </c>
      <c r="R44" s="4481" t="s">
        <v>2898</v>
      </c>
      <c r="S44" s="4481" t="s">
        <v>2628</v>
      </c>
      <c r="T44" s="4480" t="s">
        <v>2663</v>
      </c>
    </row>
    <row r="45" spans="5:20" s="74" customFormat="1" ht="33.75">
      <c r="E45" s="121"/>
      <c r="M45" s="4473">
        <v>14</v>
      </c>
      <c r="N45" s="4481" t="s">
        <v>3</v>
      </c>
      <c r="O45" s="4481" t="s">
        <v>21</v>
      </c>
      <c r="P45" s="4483" t="s">
        <v>2928</v>
      </c>
      <c r="Q45" s="4485" t="s">
        <v>2929</v>
      </c>
      <c r="R45" s="4480" t="s">
        <v>2898</v>
      </c>
      <c r="S45" s="4482" t="s">
        <v>2892</v>
      </c>
      <c r="T45" s="4480" t="s">
        <v>62</v>
      </c>
    </row>
    <row r="46" spans="5:20" s="74" customFormat="1" ht="12.75">
      <c r="E46" s="121"/>
      <c r="M46" s="4473">
        <v>15</v>
      </c>
      <c r="N46" s="4481" t="s">
        <v>3</v>
      </c>
      <c r="O46" s="4482" t="s">
        <v>21</v>
      </c>
      <c r="P46" s="4483" t="s">
        <v>2930</v>
      </c>
      <c r="Q46" s="4483" t="s">
        <v>2931</v>
      </c>
      <c r="R46" s="4481" t="s">
        <v>2932</v>
      </c>
      <c r="S46" s="4481" t="s">
        <v>2933</v>
      </c>
      <c r="T46" s="4480" t="s">
        <v>2663</v>
      </c>
    </row>
    <row r="47" spans="5:20" s="74" customFormat="1" ht="12.75">
      <c r="E47" s="121"/>
      <c r="M47" s="4473">
        <v>16</v>
      </c>
      <c r="N47" s="4481" t="s">
        <v>3</v>
      </c>
      <c r="O47" s="4481" t="s">
        <v>4</v>
      </c>
      <c r="P47" s="4483" t="s">
        <v>2934</v>
      </c>
      <c r="Q47" s="4483" t="s">
        <v>2935</v>
      </c>
      <c r="R47" s="4480" t="s">
        <v>2902</v>
      </c>
      <c r="S47" s="4480" t="s">
        <v>2936</v>
      </c>
      <c r="T47" s="4480" t="s">
        <v>2635</v>
      </c>
    </row>
    <row r="48" spans="5:20" s="74" customFormat="1" ht="12.75">
      <c r="E48" s="121"/>
      <c r="M48" s="4473">
        <v>17</v>
      </c>
      <c r="N48" s="4474" t="s">
        <v>3</v>
      </c>
      <c r="O48" s="4475" t="s">
        <v>4</v>
      </c>
      <c r="P48" s="4492" t="s">
        <v>2937</v>
      </c>
      <c r="Q48" s="4493" t="s">
        <v>2938</v>
      </c>
      <c r="R48" s="4494" t="s">
        <v>548</v>
      </c>
      <c r="S48" s="4495" t="s">
        <v>2939</v>
      </c>
      <c r="T48" s="4480"/>
    </row>
    <row r="49" spans="5:20" s="74" customFormat="1" ht="12.75">
      <c r="E49" s="121"/>
      <c r="M49" s="4473">
        <v>18</v>
      </c>
      <c r="N49" s="4481" t="s">
        <v>3</v>
      </c>
      <c r="O49" s="4481" t="s">
        <v>4</v>
      </c>
      <c r="P49" s="4483" t="s">
        <v>2940</v>
      </c>
      <c r="Q49" s="4483" t="s">
        <v>2941</v>
      </c>
      <c r="R49" s="4486" t="s">
        <v>2898</v>
      </c>
      <c r="S49" s="4486" t="s">
        <v>2942</v>
      </c>
      <c r="T49" s="4480" t="s">
        <v>30</v>
      </c>
    </row>
    <row r="50" spans="5:20" s="74" customFormat="1" ht="22.5">
      <c r="E50" s="121"/>
      <c r="M50" s="4473">
        <v>19</v>
      </c>
      <c r="N50" s="4481" t="s">
        <v>3</v>
      </c>
      <c r="O50" s="4481" t="s">
        <v>4</v>
      </c>
      <c r="P50" s="4483" t="s">
        <v>2943</v>
      </c>
      <c r="Q50" s="4483" t="s">
        <v>2944</v>
      </c>
      <c r="R50" s="4480" t="s">
        <v>2945</v>
      </c>
      <c r="S50" s="4480" t="s">
        <v>2946</v>
      </c>
      <c r="T50" s="4480" t="s">
        <v>2635</v>
      </c>
    </row>
    <row r="51" spans="5:20" s="74" customFormat="1" ht="33.75">
      <c r="E51" s="121"/>
      <c r="M51" s="4473">
        <v>20</v>
      </c>
      <c r="N51" s="4474" t="s">
        <v>3</v>
      </c>
      <c r="O51" s="4475" t="s">
        <v>4</v>
      </c>
      <c r="P51" s="4476" t="s">
        <v>2947</v>
      </c>
      <c r="Q51" s="4476" t="s">
        <v>2948</v>
      </c>
      <c r="R51" s="4474" t="s">
        <v>2949</v>
      </c>
      <c r="S51" s="4489" t="s">
        <v>2950</v>
      </c>
      <c r="T51" s="4480"/>
    </row>
    <row r="52" spans="5:20" s="74" customFormat="1" ht="22.5">
      <c r="E52" s="121"/>
      <c r="M52" s="4473">
        <v>21</v>
      </c>
      <c r="N52" s="4481" t="s">
        <v>3</v>
      </c>
      <c r="O52" s="4481" t="s">
        <v>4</v>
      </c>
      <c r="P52" s="4483" t="s">
        <v>2951</v>
      </c>
      <c r="Q52" s="4483" t="s">
        <v>2952</v>
      </c>
      <c r="R52" s="4480" t="s">
        <v>2953</v>
      </c>
      <c r="S52" s="4480" t="s">
        <v>2946</v>
      </c>
      <c r="T52" s="4480" t="s">
        <v>31</v>
      </c>
    </row>
    <row r="53" spans="5:20" s="74" customFormat="1" ht="12.75">
      <c r="E53" s="121"/>
      <c r="M53" s="4473">
        <v>22</v>
      </c>
      <c r="N53" s="4481" t="s">
        <v>3</v>
      </c>
      <c r="O53" s="4481" t="s">
        <v>4</v>
      </c>
      <c r="P53" s="4483" t="s">
        <v>2629</v>
      </c>
      <c r="Q53" s="4483" t="s">
        <v>2954</v>
      </c>
      <c r="R53" s="4480" t="s">
        <v>2898</v>
      </c>
      <c r="S53" s="4480" t="s">
        <v>2955</v>
      </c>
      <c r="T53" s="4480" t="s">
        <v>2635</v>
      </c>
    </row>
    <row r="54" spans="5:20" s="74" customFormat="1" ht="12.75">
      <c r="E54" s="121"/>
      <c r="M54" s="4473">
        <v>23</v>
      </c>
      <c r="N54" s="4481" t="s">
        <v>3</v>
      </c>
      <c r="O54" s="4481" t="s">
        <v>4</v>
      </c>
      <c r="P54" s="4483" t="s">
        <v>2956</v>
      </c>
      <c r="Q54" s="4483" t="s">
        <v>2957</v>
      </c>
      <c r="R54" s="4480" t="s">
        <v>2902</v>
      </c>
      <c r="S54" s="4480" t="s">
        <v>2958</v>
      </c>
      <c r="T54" s="4480" t="s">
        <v>2635</v>
      </c>
    </row>
    <row r="55" spans="5:20" s="74" customFormat="1" ht="12.75">
      <c r="E55" s="121"/>
      <c r="M55" s="4473">
        <v>24</v>
      </c>
      <c r="N55" s="4481" t="s">
        <v>3</v>
      </c>
      <c r="O55" s="4481" t="s">
        <v>4</v>
      </c>
      <c r="P55" s="4483" t="s">
        <v>2959</v>
      </c>
      <c r="Q55" s="4483" t="s">
        <v>2960</v>
      </c>
      <c r="R55" s="4480" t="s">
        <v>2961</v>
      </c>
      <c r="S55" s="4486" t="s">
        <v>2962</v>
      </c>
      <c r="T55" s="4480" t="s">
        <v>30</v>
      </c>
    </row>
    <row r="56" spans="5:20" s="74" customFormat="1" ht="22.5">
      <c r="E56" s="121"/>
      <c r="M56" s="4473">
        <v>25</v>
      </c>
      <c r="N56" s="4481" t="s">
        <v>3</v>
      </c>
      <c r="O56" s="4481" t="s">
        <v>4</v>
      </c>
      <c r="P56" s="4484" t="s">
        <v>2963</v>
      </c>
      <c r="Q56" s="4483" t="s">
        <v>2964</v>
      </c>
      <c r="R56" s="4480" t="s">
        <v>2965</v>
      </c>
      <c r="S56" s="4482" t="s">
        <v>2966</v>
      </c>
      <c r="T56" s="4480" t="s">
        <v>29</v>
      </c>
    </row>
    <row r="57" spans="5:20" s="74" customFormat="1" ht="45">
      <c r="E57" s="121"/>
      <c r="M57" s="4473">
        <v>26</v>
      </c>
      <c r="N57" s="4474" t="s">
        <v>3</v>
      </c>
      <c r="O57" s="4475" t="s">
        <v>4</v>
      </c>
      <c r="P57" s="4476" t="s">
        <v>2967</v>
      </c>
      <c r="Q57" s="4476" t="s">
        <v>2968</v>
      </c>
      <c r="R57" s="4474" t="s">
        <v>548</v>
      </c>
      <c r="S57" s="4489" t="s">
        <v>2969</v>
      </c>
      <c r="T57" s="4480"/>
    </row>
    <row r="58" spans="5:20" s="74" customFormat="1" ht="12.75">
      <c r="E58" s="121"/>
      <c r="M58" s="4473">
        <v>27</v>
      </c>
      <c r="N58" s="4474" t="s">
        <v>3</v>
      </c>
      <c r="O58" s="4475" t="s">
        <v>362</v>
      </c>
      <c r="P58" s="4496" t="s">
        <v>2970</v>
      </c>
      <c r="Q58" s="4497" t="s">
        <v>2971</v>
      </c>
      <c r="R58" s="4474" t="s">
        <v>548</v>
      </c>
      <c r="S58" s="4498" t="s">
        <v>2972</v>
      </c>
      <c r="T58" s="4478"/>
    </row>
    <row r="59" spans="5:20" s="74" customFormat="1" ht="12.75">
      <c r="E59" s="121"/>
      <c r="M59" s="4473">
        <v>28</v>
      </c>
      <c r="N59" s="4474" t="s">
        <v>3</v>
      </c>
      <c r="O59" s="4475" t="s">
        <v>362</v>
      </c>
      <c r="P59" s="4496" t="s">
        <v>2973</v>
      </c>
      <c r="Q59" s="4497" t="s">
        <v>2974</v>
      </c>
      <c r="R59" s="4499" t="s">
        <v>548</v>
      </c>
      <c r="S59" s="4498" t="s">
        <v>2975</v>
      </c>
      <c r="T59" s="4478"/>
    </row>
    <row r="60" spans="5:20" s="74" customFormat="1" ht="12.75">
      <c r="E60" s="121"/>
      <c r="M60" s="4473">
        <v>29</v>
      </c>
      <c r="N60" s="4474" t="s">
        <v>3</v>
      </c>
      <c r="O60" s="4475" t="s">
        <v>362</v>
      </c>
      <c r="P60" s="4496" t="s">
        <v>2976</v>
      </c>
      <c r="Q60" s="4497" t="s">
        <v>2977</v>
      </c>
      <c r="R60" s="4474" t="s">
        <v>548</v>
      </c>
      <c r="S60" s="4498" t="s">
        <v>2978</v>
      </c>
      <c r="T60" s="4491"/>
    </row>
    <row r="61" spans="5:20" s="74" customFormat="1" ht="12.75">
      <c r="E61" s="121"/>
      <c r="M61" s="4473">
        <v>30</v>
      </c>
      <c r="N61" s="4474" t="s">
        <v>3</v>
      </c>
      <c r="O61" s="4475" t="s">
        <v>362</v>
      </c>
      <c r="P61" s="4496" t="s">
        <v>2979</v>
      </c>
      <c r="Q61" s="4497" t="s">
        <v>2980</v>
      </c>
      <c r="R61" s="4499" t="s">
        <v>548</v>
      </c>
      <c r="S61" s="4498" t="s">
        <v>2981</v>
      </c>
      <c r="T61" s="4491"/>
    </row>
    <row r="62" spans="5:20" s="74" customFormat="1" ht="12.75">
      <c r="E62" s="121"/>
      <c r="M62" s="4473">
        <v>31</v>
      </c>
      <c r="N62" s="4474" t="s">
        <v>3</v>
      </c>
      <c r="O62" s="4475" t="s">
        <v>362</v>
      </c>
      <c r="P62" s="4496" t="s">
        <v>2982</v>
      </c>
      <c r="Q62" s="4497" t="s">
        <v>2983</v>
      </c>
      <c r="R62" s="4474" t="s">
        <v>548</v>
      </c>
      <c r="S62" s="4498" t="s">
        <v>2984</v>
      </c>
      <c r="T62" s="4491"/>
    </row>
    <row r="63" spans="5:20" s="74" customFormat="1" ht="12.75">
      <c r="E63" s="121"/>
      <c r="M63" s="4473">
        <v>32</v>
      </c>
      <c r="N63" s="4474" t="s">
        <v>3</v>
      </c>
      <c r="O63" s="4475" t="s">
        <v>362</v>
      </c>
      <c r="P63" s="4496" t="s">
        <v>2985</v>
      </c>
      <c r="Q63" s="4497" t="s">
        <v>2986</v>
      </c>
      <c r="R63" s="4474" t="s">
        <v>548</v>
      </c>
      <c r="S63" s="4498" t="s">
        <v>2987</v>
      </c>
      <c r="T63" s="4491"/>
    </row>
    <row r="64" spans="5:20" s="74" customFormat="1" ht="12.75">
      <c r="M64" s="4473">
        <v>33</v>
      </c>
      <c r="N64" s="4474" t="s">
        <v>3</v>
      </c>
      <c r="O64" s="4475" t="s">
        <v>362</v>
      </c>
      <c r="P64" s="4496" t="s">
        <v>2988</v>
      </c>
      <c r="Q64" s="4497" t="s">
        <v>2989</v>
      </c>
      <c r="R64" s="4474" t="s">
        <v>548</v>
      </c>
      <c r="S64" s="4498" t="s">
        <v>2990</v>
      </c>
      <c r="T64" s="4491"/>
    </row>
    <row r="65" spans="13:20" s="74" customFormat="1" ht="22.5">
      <c r="M65" s="4473">
        <v>34</v>
      </c>
      <c r="N65" s="4474" t="s">
        <v>3</v>
      </c>
      <c r="O65" s="4475" t="s">
        <v>362</v>
      </c>
      <c r="P65" s="4496" t="s">
        <v>2991</v>
      </c>
      <c r="Q65" s="4497" t="s">
        <v>2992</v>
      </c>
      <c r="R65" s="4474" t="s">
        <v>548</v>
      </c>
      <c r="S65" s="4498" t="s">
        <v>2993</v>
      </c>
      <c r="T65" s="4490"/>
    </row>
    <row r="66" spans="13:20" s="74" customFormat="1" ht="45">
      <c r="M66" s="4473">
        <v>35</v>
      </c>
      <c r="N66" s="4481" t="s">
        <v>3</v>
      </c>
      <c r="O66" s="4481" t="s">
        <v>16</v>
      </c>
      <c r="P66" s="4483" t="s">
        <v>2619</v>
      </c>
      <c r="Q66" s="4485" t="s">
        <v>2994</v>
      </c>
      <c r="R66" s="4480" t="s">
        <v>2995</v>
      </c>
      <c r="S66" s="4481" t="s">
        <v>2620</v>
      </c>
      <c r="T66" s="4480" t="s">
        <v>19</v>
      </c>
    </row>
    <row r="67" spans="13:20" s="74" customFormat="1" ht="22.5">
      <c r="M67" s="4473">
        <v>36</v>
      </c>
      <c r="N67" s="4474" t="s">
        <v>3</v>
      </c>
      <c r="O67" s="4475" t="s">
        <v>16</v>
      </c>
      <c r="P67" s="4476" t="s">
        <v>2996</v>
      </c>
      <c r="Q67" s="4476" t="s">
        <v>2997</v>
      </c>
      <c r="R67" s="4474" t="s">
        <v>548</v>
      </c>
      <c r="S67" s="4489" t="s">
        <v>2998</v>
      </c>
      <c r="T67" s="4480"/>
    </row>
    <row r="68" spans="13:20" s="74" customFormat="1" ht="12.75">
      <c r="M68" s="4473">
        <v>37</v>
      </c>
      <c r="N68" s="4474" t="s">
        <v>3</v>
      </c>
      <c r="O68" s="4475" t="s">
        <v>16</v>
      </c>
      <c r="P68" s="4476" t="s">
        <v>2999</v>
      </c>
      <c r="Q68" s="4476" t="s">
        <v>3000</v>
      </c>
      <c r="R68" s="4474" t="s">
        <v>548</v>
      </c>
      <c r="S68" s="4489" t="s">
        <v>3001</v>
      </c>
      <c r="T68" s="4480"/>
    </row>
    <row r="69" spans="13:20" s="74" customFormat="1" ht="45">
      <c r="M69" s="4473">
        <v>38</v>
      </c>
      <c r="N69" s="4481" t="s">
        <v>3</v>
      </c>
      <c r="O69" s="4481" t="s">
        <v>16</v>
      </c>
      <c r="P69" s="4483" t="s">
        <v>3002</v>
      </c>
      <c r="Q69" s="4485" t="s">
        <v>3003</v>
      </c>
      <c r="R69" s="4480" t="s">
        <v>3004</v>
      </c>
      <c r="S69" s="4480" t="s">
        <v>3005</v>
      </c>
      <c r="T69" s="4480" t="s">
        <v>20</v>
      </c>
    </row>
    <row r="70" spans="13:20" s="74" customFormat="1" ht="12.75">
      <c r="M70" s="4473">
        <v>39</v>
      </c>
      <c r="N70" s="4474" t="s">
        <v>3</v>
      </c>
      <c r="O70" s="4475" t="s">
        <v>16</v>
      </c>
      <c r="P70" s="4476" t="s">
        <v>3006</v>
      </c>
      <c r="Q70" s="4476" t="s">
        <v>3007</v>
      </c>
      <c r="R70" s="4474" t="s">
        <v>548</v>
      </c>
      <c r="S70" s="4489" t="s">
        <v>3008</v>
      </c>
      <c r="T70" s="4480"/>
    </row>
    <row r="71" spans="13:20" s="74" customFormat="1" ht="33.75">
      <c r="M71" s="4473">
        <v>40</v>
      </c>
      <c r="N71" s="4481" t="s">
        <v>3</v>
      </c>
      <c r="O71" s="4481" t="s">
        <v>16</v>
      </c>
      <c r="P71" s="4500" t="s">
        <v>3009</v>
      </c>
      <c r="Q71" s="4500" t="s">
        <v>3010</v>
      </c>
      <c r="R71" s="4481" t="s">
        <v>2621</v>
      </c>
      <c r="S71" s="4481" t="s">
        <v>3011</v>
      </c>
      <c r="T71" s="4486" t="s">
        <v>17</v>
      </c>
    </row>
    <row r="72" spans="13:20" s="74" customFormat="1" ht="12.75">
      <c r="M72" s="4473">
        <v>41</v>
      </c>
      <c r="N72" s="4474" t="s">
        <v>3</v>
      </c>
      <c r="O72" s="4475" t="s">
        <v>16</v>
      </c>
      <c r="P72" s="4476" t="s">
        <v>3012</v>
      </c>
      <c r="Q72" s="4476" t="s">
        <v>3013</v>
      </c>
      <c r="R72" s="4474" t="s">
        <v>548</v>
      </c>
      <c r="S72" s="4489" t="s">
        <v>3014</v>
      </c>
      <c r="T72" s="4480"/>
    </row>
    <row r="73" spans="13:20" s="74" customFormat="1" ht="33.75">
      <c r="M73" s="4473">
        <v>42</v>
      </c>
      <c r="N73" s="4474" t="s">
        <v>3</v>
      </c>
      <c r="O73" s="4475" t="s">
        <v>16</v>
      </c>
      <c r="P73" s="4476" t="s">
        <v>3015</v>
      </c>
      <c r="Q73" s="4476" t="s">
        <v>3016</v>
      </c>
      <c r="R73" s="4474" t="s">
        <v>548</v>
      </c>
      <c r="S73" s="4489" t="s">
        <v>3017</v>
      </c>
      <c r="T73" s="4480"/>
    </row>
    <row r="74" spans="13:20" s="74" customFormat="1" ht="33.75">
      <c r="M74" s="4473">
        <v>43</v>
      </c>
      <c r="N74" s="4474" t="s">
        <v>3</v>
      </c>
      <c r="O74" s="4475" t="s">
        <v>16</v>
      </c>
      <c r="P74" s="4476" t="s">
        <v>3018</v>
      </c>
      <c r="Q74" s="4476" t="s">
        <v>3019</v>
      </c>
      <c r="R74" s="4474" t="s">
        <v>548</v>
      </c>
      <c r="S74" s="4489" t="s">
        <v>3020</v>
      </c>
      <c r="T74" s="4480"/>
    </row>
    <row r="75" spans="13:20" s="74" customFormat="1" ht="33.75">
      <c r="M75" s="4473">
        <v>44</v>
      </c>
      <c r="N75" s="4481" t="s">
        <v>3</v>
      </c>
      <c r="O75" s="4482" t="s">
        <v>16</v>
      </c>
      <c r="P75" s="4484" t="s">
        <v>3021</v>
      </c>
      <c r="Q75" s="4483" t="s">
        <v>3022</v>
      </c>
      <c r="R75" s="4481" t="s">
        <v>2627</v>
      </c>
      <c r="S75" s="4482" t="s">
        <v>2625</v>
      </c>
      <c r="T75" s="4480" t="s">
        <v>18</v>
      </c>
    </row>
    <row r="76" spans="13:20" s="74" customFormat="1" ht="22.5">
      <c r="M76" s="4473">
        <v>45</v>
      </c>
      <c r="N76" s="4481" t="s">
        <v>3</v>
      </c>
      <c r="O76" s="4481" t="s">
        <v>16</v>
      </c>
      <c r="P76" s="4483" t="s">
        <v>3023</v>
      </c>
      <c r="Q76" s="4483" t="s">
        <v>3024</v>
      </c>
      <c r="R76" s="4480" t="s">
        <v>2902</v>
      </c>
      <c r="S76" s="4480" t="s">
        <v>3025</v>
      </c>
      <c r="T76" s="4480" t="s">
        <v>20</v>
      </c>
    </row>
    <row r="77" spans="13:20" s="74" customFormat="1" ht="12.75">
      <c r="M77" s="4473">
        <v>46</v>
      </c>
      <c r="N77" s="4481" t="s">
        <v>3</v>
      </c>
      <c r="O77" s="4481" t="s">
        <v>16</v>
      </c>
      <c r="P77" s="4500" t="s">
        <v>3026</v>
      </c>
      <c r="Q77" s="4500" t="s">
        <v>3027</v>
      </c>
      <c r="R77" s="4481" t="s">
        <v>2965</v>
      </c>
      <c r="S77" s="4481" t="s">
        <v>3028</v>
      </c>
      <c r="T77" s="4480" t="s">
        <v>18</v>
      </c>
    </row>
    <row r="78" spans="13:20" s="74" customFormat="1" ht="22.5">
      <c r="M78" s="4473">
        <v>47</v>
      </c>
      <c r="N78" s="4481" t="s">
        <v>3</v>
      </c>
      <c r="O78" s="4481" t="s">
        <v>16</v>
      </c>
      <c r="P78" s="4483" t="s">
        <v>3029</v>
      </c>
      <c r="Q78" s="4483" t="s">
        <v>3030</v>
      </c>
      <c r="R78" s="4480" t="s">
        <v>3031</v>
      </c>
      <c r="S78" s="4480" t="s">
        <v>3032</v>
      </c>
      <c r="T78" s="4486" t="s">
        <v>2680</v>
      </c>
    </row>
    <row r="79" spans="13:20" s="74" customFormat="1" ht="45">
      <c r="M79" s="4473">
        <v>48</v>
      </c>
      <c r="N79" s="4481" t="s">
        <v>3</v>
      </c>
      <c r="O79" s="4481" t="s">
        <v>16</v>
      </c>
      <c r="P79" s="4483" t="s">
        <v>3033</v>
      </c>
      <c r="Q79" s="4485" t="s">
        <v>3034</v>
      </c>
      <c r="R79" s="4480" t="s">
        <v>3035</v>
      </c>
      <c r="S79" s="4480" t="s">
        <v>3036</v>
      </c>
      <c r="T79" s="4480" t="s">
        <v>20</v>
      </c>
    </row>
    <row r="80" spans="13:20" s="74" customFormat="1" ht="45">
      <c r="M80" s="4473">
        <v>49</v>
      </c>
      <c r="N80" s="4481" t="s">
        <v>3</v>
      </c>
      <c r="O80" s="4481" t="s">
        <v>16</v>
      </c>
      <c r="P80" s="4483" t="s">
        <v>3037</v>
      </c>
      <c r="Q80" s="4483" t="s">
        <v>3038</v>
      </c>
      <c r="R80" s="4486" t="s">
        <v>3035</v>
      </c>
      <c r="S80" s="4480" t="s">
        <v>3039</v>
      </c>
      <c r="T80" s="4480" t="s">
        <v>36</v>
      </c>
    </row>
    <row r="81" spans="13:20" s="74" customFormat="1" ht="22.5">
      <c r="M81" s="4473">
        <v>50</v>
      </c>
      <c r="N81" s="4474" t="s">
        <v>3</v>
      </c>
      <c r="O81" s="4475" t="s">
        <v>16</v>
      </c>
      <c r="P81" s="4476" t="s">
        <v>3040</v>
      </c>
      <c r="Q81" s="4476" t="s">
        <v>3041</v>
      </c>
      <c r="R81" s="4474" t="s">
        <v>548</v>
      </c>
      <c r="S81" s="4489" t="s">
        <v>3042</v>
      </c>
      <c r="T81" s="4480"/>
    </row>
    <row r="82" spans="13:20" s="74" customFormat="1" ht="45">
      <c r="M82" s="4473">
        <v>51</v>
      </c>
      <c r="N82" s="4481" t="s">
        <v>3</v>
      </c>
      <c r="O82" s="4481" t="s">
        <v>16</v>
      </c>
      <c r="P82" s="4483" t="s">
        <v>3043</v>
      </c>
      <c r="Q82" s="4483" t="s">
        <v>3038</v>
      </c>
      <c r="R82" s="4480" t="s">
        <v>3035</v>
      </c>
      <c r="S82" s="4486" t="s">
        <v>3044</v>
      </c>
      <c r="T82" s="4480" t="s">
        <v>36</v>
      </c>
    </row>
    <row r="83" spans="13:20" s="74" customFormat="1" ht="45">
      <c r="M83" s="4473">
        <v>52</v>
      </c>
      <c r="N83" s="4481" t="s">
        <v>3</v>
      </c>
      <c r="O83" s="4481" t="s">
        <v>16</v>
      </c>
      <c r="P83" s="4483" t="s">
        <v>3045</v>
      </c>
      <c r="Q83" s="4483" t="s">
        <v>3046</v>
      </c>
      <c r="R83" s="4480" t="s">
        <v>3047</v>
      </c>
      <c r="S83" s="4481" t="s">
        <v>2626</v>
      </c>
      <c r="T83" s="4480" t="s">
        <v>2634</v>
      </c>
    </row>
    <row r="84" spans="13:20" s="74" customFormat="1" ht="22.5">
      <c r="M84" s="4473">
        <v>53</v>
      </c>
      <c r="N84" s="4474" t="s">
        <v>3</v>
      </c>
      <c r="O84" s="4475" t="s">
        <v>16</v>
      </c>
      <c r="P84" s="4476" t="s">
        <v>3048</v>
      </c>
      <c r="Q84" s="4476" t="s">
        <v>3049</v>
      </c>
      <c r="R84" s="4474" t="s">
        <v>548</v>
      </c>
      <c r="S84" s="4489" t="s">
        <v>3050</v>
      </c>
      <c r="T84" s="4480"/>
    </row>
    <row r="85" spans="13:20" s="74" customFormat="1" ht="22.5">
      <c r="M85" s="4473">
        <v>54</v>
      </c>
      <c r="N85" s="4474" t="s">
        <v>3</v>
      </c>
      <c r="O85" s="4475" t="s">
        <v>16</v>
      </c>
      <c r="P85" s="4476" t="s">
        <v>3051</v>
      </c>
      <c r="Q85" s="4476" t="s">
        <v>3052</v>
      </c>
      <c r="R85" s="4474" t="s">
        <v>548</v>
      </c>
      <c r="S85" s="4489" t="s">
        <v>3053</v>
      </c>
      <c r="T85" s="4480"/>
    </row>
    <row r="86" spans="13:20" s="74" customFormat="1" ht="45">
      <c r="M86" s="4473">
        <v>55</v>
      </c>
      <c r="N86" s="4481" t="s">
        <v>3</v>
      </c>
      <c r="O86" s="4481" t="s">
        <v>16</v>
      </c>
      <c r="P86" s="4483" t="s">
        <v>3054</v>
      </c>
      <c r="Q86" s="4485" t="s">
        <v>3055</v>
      </c>
      <c r="R86" s="4486" t="s">
        <v>2995</v>
      </c>
      <c r="S86" s="4481" t="s">
        <v>3056</v>
      </c>
      <c r="T86" s="4480" t="s">
        <v>19</v>
      </c>
    </row>
    <row r="87" spans="13:20" s="74" customFormat="1" ht="33.75">
      <c r="M87" s="4473">
        <v>56</v>
      </c>
      <c r="N87" s="4474" t="s">
        <v>3</v>
      </c>
      <c r="O87" s="4475" t="s">
        <v>16</v>
      </c>
      <c r="P87" s="4476" t="s">
        <v>3057</v>
      </c>
      <c r="Q87" s="4476" t="s">
        <v>3058</v>
      </c>
      <c r="R87" s="4474" t="s">
        <v>548</v>
      </c>
      <c r="S87" s="4489" t="s">
        <v>3059</v>
      </c>
      <c r="T87" s="4480"/>
    </row>
    <row r="88" spans="13:20" s="74" customFormat="1" ht="45">
      <c r="M88" s="4473">
        <v>57</v>
      </c>
      <c r="N88" s="4481" t="s">
        <v>3</v>
      </c>
      <c r="O88" s="4481" t="s">
        <v>16</v>
      </c>
      <c r="P88" s="4483" t="s">
        <v>3060</v>
      </c>
      <c r="Q88" s="4483" t="s">
        <v>3061</v>
      </c>
      <c r="R88" s="4480" t="s">
        <v>3004</v>
      </c>
      <c r="S88" s="4480" t="s">
        <v>3062</v>
      </c>
      <c r="T88" s="4480" t="s">
        <v>20</v>
      </c>
    </row>
    <row r="89" spans="13:20" s="74" customFormat="1" ht="12.75">
      <c r="M89" s="4473">
        <v>58</v>
      </c>
      <c r="N89" s="4474" t="s">
        <v>3</v>
      </c>
      <c r="O89" s="4475" t="s">
        <v>16</v>
      </c>
      <c r="P89" s="4476" t="s">
        <v>3063</v>
      </c>
      <c r="Q89" s="4476" t="s">
        <v>3064</v>
      </c>
      <c r="R89" s="4474" t="s">
        <v>548</v>
      </c>
      <c r="S89" s="4489" t="s">
        <v>3065</v>
      </c>
      <c r="T89" s="4480"/>
    </row>
    <row r="90" spans="13:20" s="74" customFormat="1" ht="22.5">
      <c r="M90" s="4473">
        <v>59</v>
      </c>
      <c r="N90" s="4474" t="s">
        <v>3</v>
      </c>
      <c r="O90" s="4475" t="s">
        <v>16</v>
      </c>
      <c r="P90" s="4476" t="s">
        <v>3066</v>
      </c>
      <c r="Q90" s="4476" t="s">
        <v>3067</v>
      </c>
      <c r="R90" s="4474" t="s">
        <v>548</v>
      </c>
      <c r="S90" s="4489" t="s">
        <v>3068</v>
      </c>
      <c r="T90" s="4480"/>
    </row>
    <row r="91" spans="13:20" s="74" customFormat="1" ht="33.75">
      <c r="M91" s="4473">
        <v>60</v>
      </c>
      <c r="N91" s="4481" t="s">
        <v>3</v>
      </c>
      <c r="O91" s="4481" t="s">
        <v>16</v>
      </c>
      <c r="P91" s="4500" t="s">
        <v>3069</v>
      </c>
      <c r="Q91" s="4500" t="s">
        <v>3070</v>
      </c>
      <c r="R91" s="4481" t="s">
        <v>3071</v>
      </c>
      <c r="S91" s="4481" t="s">
        <v>2631</v>
      </c>
      <c r="T91" s="4480" t="s">
        <v>18</v>
      </c>
    </row>
    <row r="92" spans="13:20" s="74" customFormat="1" ht="45">
      <c r="M92" s="4473">
        <v>61</v>
      </c>
      <c r="N92" s="4481" t="s">
        <v>3</v>
      </c>
      <c r="O92" s="4481" t="s">
        <v>16</v>
      </c>
      <c r="P92" s="4483" t="s">
        <v>3072</v>
      </c>
      <c r="Q92" s="4485" t="s">
        <v>3073</v>
      </c>
      <c r="R92" s="4480" t="s">
        <v>2995</v>
      </c>
      <c r="S92" s="4481" t="s">
        <v>3074</v>
      </c>
      <c r="T92" s="4480" t="s">
        <v>19</v>
      </c>
    </row>
    <row r="93" spans="13:20" s="74" customFormat="1" ht="45">
      <c r="M93" s="4473">
        <v>62</v>
      </c>
      <c r="N93" s="4481" t="s">
        <v>3</v>
      </c>
      <c r="O93" s="4481" t="s">
        <v>16</v>
      </c>
      <c r="P93" s="4483" t="s">
        <v>2632</v>
      </c>
      <c r="Q93" s="4483" t="s">
        <v>3075</v>
      </c>
      <c r="R93" s="4480" t="s">
        <v>3004</v>
      </c>
      <c r="S93" s="4480" t="s">
        <v>3076</v>
      </c>
      <c r="T93" s="4486" t="s">
        <v>2630</v>
      </c>
    </row>
    <row r="94" spans="13:20" s="74" customFormat="1" ht="45">
      <c r="M94" s="4473">
        <v>63</v>
      </c>
      <c r="N94" s="4481" t="s">
        <v>3</v>
      </c>
      <c r="O94" s="4481" t="s">
        <v>16</v>
      </c>
      <c r="P94" s="4483" t="s">
        <v>3077</v>
      </c>
      <c r="Q94" s="4483" t="s">
        <v>3078</v>
      </c>
      <c r="R94" s="4480" t="s">
        <v>3004</v>
      </c>
      <c r="S94" s="4480" t="s">
        <v>3079</v>
      </c>
      <c r="T94" s="4480" t="s">
        <v>20</v>
      </c>
    </row>
    <row r="95" spans="13:20" s="74" customFormat="1" ht="22.5">
      <c r="M95" s="4473">
        <v>64</v>
      </c>
      <c r="N95" s="4481" t="s">
        <v>3</v>
      </c>
      <c r="O95" s="4481" t="s">
        <v>16</v>
      </c>
      <c r="P95" s="4483" t="s">
        <v>2633</v>
      </c>
      <c r="Q95" s="4483" t="s">
        <v>3080</v>
      </c>
      <c r="R95" s="4486" t="s">
        <v>2670</v>
      </c>
      <c r="S95" s="4480" t="s">
        <v>3081</v>
      </c>
      <c r="T95" s="4480" t="s">
        <v>20</v>
      </c>
    </row>
    <row r="96" spans="13:20" s="74" customFormat="1" ht="33.75">
      <c r="M96" s="4473">
        <v>65</v>
      </c>
      <c r="N96" s="4481" t="s">
        <v>3</v>
      </c>
      <c r="O96" s="4481" t="s">
        <v>16</v>
      </c>
      <c r="P96" s="4500" t="s">
        <v>3082</v>
      </c>
      <c r="Q96" s="4500" t="s">
        <v>3083</v>
      </c>
      <c r="R96" s="4481" t="s">
        <v>2621</v>
      </c>
      <c r="S96" s="4481" t="s">
        <v>3084</v>
      </c>
      <c r="T96" s="4486" t="s">
        <v>17</v>
      </c>
    </row>
    <row r="97" spans="13:20" s="74" customFormat="1" ht="22.5">
      <c r="M97" s="4473">
        <v>66</v>
      </c>
      <c r="N97" s="4481" t="s">
        <v>3</v>
      </c>
      <c r="O97" s="4481" t="s">
        <v>16</v>
      </c>
      <c r="P97" s="4500" t="s">
        <v>3085</v>
      </c>
      <c r="Q97" s="4500" t="s">
        <v>3086</v>
      </c>
      <c r="R97" s="4481" t="s">
        <v>2902</v>
      </c>
      <c r="S97" s="4481" t="s">
        <v>3087</v>
      </c>
      <c r="T97" s="4480" t="s">
        <v>18</v>
      </c>
    </row>
    <row r="98" spans="13:20" s="74" customFormat="1" ht="12.75">
      <c r="M98" s="4473">
        <v>67</v>
      </c>
      <c r="N98" s="4481" t="s">
        <v>3</v>
      </c>
      <c r="O98" s="4481" t="s">
        <v>16</v>
      </c>
      <c r="P98" s="4500" t="s">
        <v>3088</v>
      </c>
      <c r="Q98" s="4500" t="s">
        <v>3089</v>
      </c>
      <c r="R98" s="4486" t="s">
        <v>2902</v>
      </c>
      <c r="S98" s="4481" t="s">
        <v>3090</v>
      </c>
      <c r="T98" s="4480" t="s">
        <v>18</v>
      </c>
    </row>
    <row r="99" spans="13:20" s="74" customFormat="1" ht="33.75">
      <c r="M99" s="4473">
        <v>68</v>
      </c>
      <c r="N99" s="4481" t="s">
        <v>3</v>
      </c>
      <c r="O99" s="4481" t="s">
        <v>16</v>
      </c>
      <c r="P99" s="4500" t="s">
        <v>3091</v>
      </c>
      <c r="Q99" s="4501" t="s">
        <v>3070</v>
      </c>
      <c r="R99" s="4486" t="s">
        <v>3071</v>
      </c>
      <c r="S99" s="4481" t="s">
        <v>3092</v>
      </c>
      <c r="T99" s="4480" t="s">
        <v>18</v>
      </c>
    </row>
    <row r="100" spans="13:20" s="74" customFormat="1" ht="33.75">
      <c r="M100" s="4473">
        <v>69</v>
      </c>
      <c r="N100" s="4481" t="s">
        <v>3</v>
      </c>
      <c r="O100" s="4481" t="s">
        <v>16</v>
      </c>
      <c r="P100" s="4500" t="s">
        <v>3093</v>
      </c>
      <c r="Q100" s="4501" t="s">
        <v>3094</v>
      </c>
      <c r="R100" s="4481" t="s">
        <v>3095</v>
      </c>
      <c r="S100" s="4481" t="s">
        <v>3096</v>
      </c>
      <c r="T100" s="4480" t="s">
        <v>18</v>
      </c>
    </row>
    <row r="101" spans="13:20" s="74" customFormat="1" ht="33.75">
      <c r="M101" s="4473">
        <v>70</v>
      </c>
      <c r="N101" s="4481" t="s">
        <v>3</v>
      </c>
      <c r="O101" s="4481" t="s">
        <v>16</v>
      </c>
      <c r="P101" s="4500" t="s">
        <v>3097</v>
      </c>
      <c r="Q101" s="4501" t="s">
        <v>3094</v>
      </c>
      <c r="R101" s="4486" t="s">
        <v>3095</v>
      </c>
      <c r="S101" s="4481" t="s">
        <v>3098</v>
      </c>
      <c r="T101" s="4480" t="s">
        <v>18</v>
      </c>
    </row>
    <row r="102" spans="13:20" s="74" customFormat="1" ht="22.5">
      <c r="M102" s="4473">
        <v>71</v>
      </c>
      <c r="N102" s="4481" t="s">
        <v>3</v>
      </c>
      <c r="O102" s="4481" t="s">
        <v>16</v>
      </c>
      <c r="P102" s="4500" t="s">
        <v>3099</v>
      </c>
      <c r="Q102" s="4500" t="s">
        <v>3100</v>
      </c>
      <c r="R102" s="4481" t="s">
        <v>2640</v>
      </c>
      <c r="S102" s="4482" t="s">
        <v>3101</v>
      </c>
      <c r="T102" s="4486" t="s">
        <v>2639</v>
      </c>
    </row>
    <row r="103" spans="13:20" s="74" customFormat="1" ht="12.75">
      <c r="M103" s="4502"/>
      <c r="N103" s="4502"/>
      <c r="O103" s="4502"/>
      <c r="P103" s="4502"/>
      <c r="Q103" s="4502"/>
      <c r="R103" s="4503"/>
      <c r="S103" s="54"/>
      <c r="T103" s="54"/>
    </row>
    <row r="104" spans="13:20" s="74" customFormat="1" ht="12.75">
      <c r="M104" s="54"/>
      <c r="N104" s="54"/>
      <c r="O104" s="54"/>
      <c r="P104" s="54"/>
      <c r="Q104" s="54"/>
      <c r="R104" s="54"/>
      <c r="S104" s="54"/>
      <c r="T104" s="54"/>
    </row>
    <row r="105" spans="13:20" s="74" customFormat="1" ht="12.75">
      <c r="M105" s="4504" t="s">
        <v>331</v>
      </c>
      <c r="N105" s="4504" t="s">
        <v>68</v>
      </c>
      <c r="O105" s="4504" t="s">
        <v>2175</v>
      </c>
      <c r="P105" s="4504" t="s">
        <v>543</v>
      </c>
      <c r="Q105" s="4504" t="s">
        <v>544</v>
      </c>
      <c r="R105" s="4505" t="s">
        <v>545</v>
      </c>
      <c r="S105" s="4505" t="s">
        <v>337</v>
      </c>
      <c r="T105" s="4505" t="s">
        <v>2618</v>
      </c>
    </row>
    <row r="106" spans="13:20" s="74" customFormat="1" ht="12.75">
      <c r="M106" s="4473">
        <v>1</v>
      </c>
      <c r="N106" s="4481" t="s">
        <v>59</v>
      </c>
      <c r="O106" s="4482" t="s">
        <v>61</v>
      </c>
      <c r="P106" s="4506" t="s">
        <v>3102</v>
      </c>
      <c r="Q106" s="4483" t="s">
        <v>3103</v>
      </c>
      <c r="R106" s="4481" t="s">
        <v>3104</v>
      </c>
      <c r="S106" s="4507" t="s">
        <v>3105</v>
      </c>
      <c r="T106" s="4508" t="s">
        <v>3106</v>
      </c>
    </row>
    <row r="107" spans="13:20" s="74" customFormat="1" ht="12.75">
      <c r="M107" s="4473">
        <v>2</v>
      </c>
      <c r="N107" s="4481" t="s">
        <v>59</v>
      </c>
      <c r="O107" s="4481" t="s">
        <v>61</v>
      </c>
      <c r="P107" s="4484" t="s">
        <v>3107</v>
      </c>
      <c r="Q107" s="4485" t="s">
        <v>3108</v>
      </c>
      <c r="R107" s="4480" t="s">
        <v>3104</v>
      </c>
      <c r="S107" s="4482" t="s">
        <v>3109</v>
      </c>
      <c r="T107" s="4480" t="s">
        <v>62</v>
      </c>
    </row>
    <row r="108" spans="13:20" s="74" customFormat="1" ht="22.5">
      <c r="M108" s="4473">
        <v>3</v>
      </c>
      <c r="N108" s="4481" t="s">
        <v>59</v>
      </c>
      <c r="O108" s="4481" t="s">
        <v>16</v>
      </c>
      <c r="P108" s="4483" t="s">
        <v>3110</v>
      </c>
      <c r="Q108" s="4483" t="s">
        <v>3111</v>
      </c>
      <c r="R108" s="4480" t="s">
        <v>3112</v>
      </c>
      <c r="S108" s="4481" t="s">
        <v>3113</v>
      </c>
      <c r="T108" s="4480" t="s">
        <v>35</v>
      </c>
    </row>
    <row r="109" spans="13:20" s="74" customFormat="1" ht="33.75">
      <c r="M109" s="4473">
        <v>4</v>
      </c>
      <c r="N109" s="4481" t="s">
        <v>59</v>
      </c>
      <c r="O109" s="4481" t="s">
        <v>16</v>
      </c>
      <c r="P109" s="4483" t="s">
        <v>3114</v>
      </c>
      <c r="Q109" s="4483" t="s">
        <v>3115</v>
      </c>
      <c r="R109" s="4481" t="s">
        <v>3116</v>
      </c>
      <c r="S109" s="4481" t="s">
        <v>3117</v>
      </c>
      <c r="T109" s="4480" t="s">
        <v>35</v>
      </c>
    </row>
    <row r="110" spans="13:20" s="74" customFormat="1" ht="33.75">
      <c r="M110" s="4473">
        <v>5</v>
      </c>
      <c r="N110" s="4481" t="s">
        <v>59</v>
      </c>
      <c r="O110" s="4481" t="s">
        <v>16</v>
      </c>
      <c r="P110" s="4483" t="s">
        <v>3118</v>
      </c>
      <c r="Q110" s="4483" t="s">
        <v>3115</v>
      </c>
      <c r="R110" s="4481" t="s">
        <v>3116</v>
      </c>
      <c r="S110" s="4481" t="s">
        <v>3119</v>
      </c>
      <c r="T110" s="4480" t="s">
        <v>35</v>
      </c>
    </row>
    <row r="111" spans="13:20" s="74" customFormat="1" ht="33.75">
      <c r="M111" s="4473">
        <v>6</v>
      </c>
      <c r="N111" s="4481" t="s">
        <v>59</v>
      </c>
      <c r="O111" s="4481" t="s">
        <v>16</v>
      </c>
      <c r="P111" s="4483" t="s">
        <v>3120</v>
      </c>
      <c r="Q111" s="4483" t="s">
        <v>3115</v>
      </c>
      <c r="R111" s="4481" t="s">
        <v>3116</v>
      </c>
      <c r="S111" s="4481" t="s">
        <v>3121</v>
      </c>
      <c r="T111" s="4480" t="s">
        <v>35</v>
      </c>
    </row>
    <row r="112" spans="13:20" s="74" customFormat="1" ht="22.5">
      <c r="M112" s="4473">
        <v>7</v>
      </c>
      <c r="N112" s="4481" t="s">
        <v>59</v>
      </c>
      <c r="O112" s="4481" t="s">
        <v>16</v>
      </c>
      <c r="P112" s="4483" t="s">
        <v>3122</v>
      </c>
      <c r="Q112" s="4483" t="s">
        <v>3123</v>
      </c>
      <c r="R112" s="4480" t="s">
        <v>3124</v>
      </c>
      <c r="S112" s="4481" t="s">
        <v>3125</v>
      </c>
      <c r="T112" s="4480" t="s">
        <v>35</v>
      </c>
    </row>
    <row r="113" spans="13:20" s="74" customFormat="1" ht="12.75">
      <c r="M113" s="4473">
        <v>8</v>
      </c>
      <c r="N113" s="4481" t="s">
        <v>59</v>
      </c>
      <c r="O113" s="4481" t="s">
        <v>61</v>
      </c>
      <c r="P113" s="4483" t="s">
        <v>3126</v>
      </c>
      <c r="Q113" s="4483" t="s">
        <v>3127</v>
      </c>
      <c r="R113" s="4480" t="s">
        <v>3128</v>
      </c>
      <c r="S113" s="4481" t="s">
        <v>2642</v>
      </c>
      <c r="T113" s="4480" t="s">
        <v>2623</v>
      </c>
    </row>
    <row r="114" spans="13:20" s="74" customFormat="1" ht="12.75">
      <c r="M114" s="4473">
        <v>9</v>
      </c>
      <c r="N114" s="4481" t="s">
        <v>59</v>
      </c>
      <c r="O114" s="4481" t="s">
        <v>61</v>
      </c>
      <c r="P114" s="4483" t="s">
        <v>3129</v>
      </c>
      <c r="Q114" s="4483" t="s">
        <v>3130</v>
      </c>
      <c r="R114" s="4486" t="s">
        <v>3104</v>
      </c>
      <c r="S114" s="4481" t="s">
        <v>3131</v>
      </c>
      <c r="T114" s="4480" t="s">
        <v>2623</v>
      </c>
    </row>
    <row r="115" spans="13:20" s="74" customFormat="1" ht="12.75">
      <c r="M115" s="4473">
        <v>10</v>
      </c>
      <c r="N115" s="4481" t="s">
        <v>59</v>
      </c>
      <c r="O115" s="4481" t="s">
        <v>16</v>
      </c>
      <c r="P115" s="4483" t="s">
        <v>3132</v>
      </c>
      <c r="Q115" s="4485" t="s">
        <v>3133</v>
      </c>
      <c r="R115" s="4480" t="s">
        <v>3104</v>
      </c>
      <c r="S115" s="4480" t="s">
        <v>3134</v>
      </c>
      <c r="T115" s="4480" t="s">
        <v>36</v>
      </c>
    </row>
    <row r="116" spans="13:20" s="74" customFormat="1" ht="22.5">
      <c r="M116" s="4473">
        <v>11</v>
      </c>
      <c r="N116" s="4481" t="s">
        <v>59</v>
      </c>
      <c r="O116" s="4481" t="s">
        <v>16</v>
      </c>
      <c r="P116" s="4483" t="s">
        <v>3135</v>
      </c>
      <c r="Q116" s="4483" t="s">
        <v>3136</v>
      </c>
      <c r="R116" s="4480" t="s">
        <v>3104</v>
      </c>
      <c r="S116" s="4480" t="s">
        <v>3137</v>
      </c>
      <c r="T116" s="4480" t="s">
        <v>20</v>
      </c>
    </row>
    <row r="117" spans="13:20" s="74" customFormat="1" ht="33.75">
      <c r="M117" s="4473">
        <v>12</v>
      </c>
      <c r="N117" s="4509" t="s">
        <v>59</v>
      </c>
      <c r="O117" s="4509" t="s">
        <v>16</v>
      </c>
      <c r="P117" s="4510" t="s">
        <v>3138</v>
      </c>
      <c r="Q117" s="4511" t="s">
        <v>3139</v>
      </c>
      <c r="R117" s="4509" t="s">
        <v>3140</v>
      </c>
      <c r="S117" s="4512" t="s">
        <v>2641</v>
      </c>
      <c r="T117" s="4512" t="s">
        <v>18</v>
      </c>
    </row>
    <row r="118" spans="13:20" s="74" customFormat="1" ht="22.5">
      <c r="M118" s="4473">
        <v>13</v>
      </c>
      <c r="N118" s="4509" t="s">
        <v>59</v>
      </c>
      <c r="O118" s="4509" t="s">
        <v>16</v>
      </c>
      <c r="P118" s="4511" t="s">
        <v>3141</v>
      </c>
      <c r="Q118" s="4509" t="s">
        <v>3142</v>
      </c>
      <c r="R118" s="4512" t="s">
        <v>3143</v>
      </c>
      <c r="S118" s="4513" t="s">
        <v>3144</v>
      </c>
      <c r="T118" s="4512" t="s">
        <v>36</v>
      </c>
    </row>
    <row r="119" spans="13:20" s="74" customFormat="1" ht="22.5">
      <c r="M119" s="4473">
        <v>14</v>
      </c>
      <c r="N119" s="4509" t="s">
        <v>59</v>
      </c>
      <c r="O119" s="4509" t="s">
        <v>16</v>
      </c>
      <c r="P119" s="4510" t="s">
        <v>3145</v>
      </c>
      <c r="Q119" s="4510" t="s">
        <v>3142</v>
      </c>
      <c r="R119" s="4509" t="s">
        <v>3146</v>
      </c>
      <c r="S119" s="4512" t="s">
        <v>3147</v>
      </c>
      <c r="T119" s="4512" t="s">
        <v>36</v>
      </c>
    </row>
    <row r="120" spans="13:20" s="74" customFormat="1" ht="22.5">
      <c r="M120" s="4473">
        <v>15</v>
      </c>
      <c r="N120" s="4509" t="s">
        <v>59</v>
      </c>
      <c r="O120" s="4509" t="s">
        <v>16</v>
      </c>
      <c r="P120" s="4514" t="s">
        <v>3148</v>
      </c>
      <c r="Q120" s="4510" t="s">
        <v>3149</v>
      </c>
      <c r="R120" s="4509" t="s">
        <v>3104</v>
      </c>
      <c r="S120" s="4512" t="s">
        <v>3150</v>
      </c>
      <c r="T120" s="4512" t="s">
        <v>36</v>
      </c>
    </row>
    <row r="121" spans="13:20" s="74" customFormat="1" ht="12.75">
      <c r="M121" s="4473">
        <v>16</v>
      </c>
      <c r="N121" s="4509" t="s">
        <v>59</v>
      </c>
      <c r="O121" s="4509" t="s">
        <v>61</v>
      </c>
      <c r="P121" s="4514" t="s">
        <v>3151</v>
      </c>
      <c r="Q121" s="4511" t="s">
        <v>2687</v>
      </c>
      <c r="R121" s="4509" t="s">
        <v>3104</v>
      </c>
      <c r="S121" s="4512" t="s">
        <v>3152</v>
      </c>
      <c r="T121" s="4512" t="s">
        <v>2638</v>
      </c>
    </row>
    <row r="122" spans="13:20" s="74" customFormat="1" ht="22.5">
      <c r="M122" s="4473">
        <v>17</v>
      </c>
      <c r="N122" s="4515" t="s">
        <v>59</v>
      </c>
      <c r="O122" s="4515" t="s">
        <v>16</v>
      </c>
      <c r="P122" s="4516" t="s">
        <v>3153</v>
      </c>
      <c r="Q122" s="4516" t="s">
        <v>3154</v>
      </c>
      <c r="R122" s="4515" t="s">
        <v>3112</v>
      </c>
      <c r="S122" s="4515" t="s">
        <v>3155</v>
      </c>
      <c r="T122" s="4517" t="s">
        <v>35</v>
      </c>
    </row>
    <row r="123" spans="13:20" s="74" customFormat="1" ht="12.75">
      <c r="M123" s="4473">
        <v>18</v>
      </c>
      <c r="N123" s="4490" t="s">
        <v>59</v>
      </c>
      <c r="O123" s="4473" t="s">
        <v>16</v>
      </c>
      <c r="P123" s="4518" t="s">
        <v>3156</v>
      </c>
      <c r="Q123" s="4518" t="s">
        <v>3157</v>
      </c>
      <c r="R123" s="4490" t="s">
        <v>2029</v>
      </c>
      <c r="S123" s="4490" t="s">
        <v>3158</v>
      </c>
      <c r="T123" s="4490"/>
    </row>
    <row r="124" spans="13:20" s="74" customFormat="1" ht="12.75">
      <c r="M124" s="4473">
        <v>19</v>
      </c>
      <c r="N124" s="4490" t="s">
        <v>59</v>
      </c>
      <c r="O124" s="4473" t="s">
        <v>16</v>
      </c>
      <c r="P124" s="4518" t="s">
        <v>3159</v>
      </c>
      <c r="Q124" s="4518" t="s">
        <v>3160</v>
      </c>
      <c r="R124" s="4490" t="s">
        <v>2029</v>
      </c>
      <c r="S124" s="4491" t="s">
        <v>3161</v>
      </c>
      <c r="T124" s="4491"/>
    </row>
    <row r="125" spans="13:20" s="74" customFormat="1" ht="12.75">
      <c r="M125" s="4473">
        <v>20</v>
      </c>
      <c r="N125" s="4490" t="s">
        <v>59</v>
      </c>
      <c r="O125" s="4491" t="s">
        <v>16</v>
      </c>
      <c r="P125" s="4518" t="s">
        <v>3162</v>
      </c>
      <c r="Q125" s="4518" t="s">
        <v>3163</v>
      </c>
      <c r="R125" s="4491" t="s">
        <v>2029</v>
      </c>
      <c r="S125" s="4491" t="s">
        <v>3164</v>
      </c>
      <c r="T125" s="4491"/>
    </row>
    <row r="126" spans="13:20" s="74" customFormat="1" ht="22.5">
      <c r="M126" s="4473">
        <v>21</v>
      </c>
      <c r="N126" s="4490" t="s">
        <v>59</v>
      </c>
      <c r="O126" s="4473" t="s">
        <v>16</v>
      </c>
      <c r="P126" s="4518" t="s">
        <v>3165</v>
      </c>
      <c r="Q126" s="4519" t="s">
        <v>3166</v>
      </c>
      <c r="R126" s="4490" t="s">
        <v>2029</v>
      </c>
      <c r="S126" s="4490" t="s">
        <v>3167</v>
      </c>
      <c r="T126" s="4490"/>
    </row>
    <row r="127" spans="13:20" s="74" customFormat="1" ht="12.75">
      <c r="M127" s="4473">
        <v>22</v>
      </c>
      <c r="N127" s="4490" t="s">
        <v>59</v>
      </c>
      <c r="O127" s="4491" t="s">
        <v>16</v>
      </c>
      <c r="P127" s="4518" t="s">
        <v>3168</v>
      </c>
      <c r="Q127" s="4518" t="s">
        <v>3169</v>
      </c>
      <c r="R127" s="4490" t="s">
        <v>3170</v>
      </c>
      <c r="S127" s="4490" t="s">
        <v>3171</v>
      </c>
      <c r="T127" s="4490"/>
    </row>
    <row r="128" spans="13:20" s="74" customFormat="1" ht="22.5">
      <c r="M128" s="4473">
        <v>23</v>
      </c>
      <c r="N128" s="4490" t="s">
        <v>59</v>
      </c>
      <c r="O128" s="4473" t="s">
        <v>16</v>
      </c>
      <c r="P128" s="4520" t="s">
        <v>3172</v>
      </c>
      <c r="Q128" s="4520" t="s">
        <v>3173</v>
      </c>
      <c r="R128" s="4491" t="s">
        <v>3174</v>
      </c>
      <c r="S128" s="4491" t="s">
        <v>3175</v>
      </c>
      <c r="T128" s="4491"/>
    </row>
    <row r="129" spans="13:20" s="74" customFormat="1" ht="12.75">
      <c r="M129" s="4473">
        <v>24</v>
      </c>
      <c r="N129" s="4490" t="s">
        <v>59</v>
      </c>
      <c r="O129" s="4521" t="s">
        <v>16</v>
      </c>
      <c r="P129" s="4522" t="s">
        <v>3176</v>
      </c>
      <c r="Q129" s="4523" t="s">
        <v>3177</v>
      </c>
      <c r="R129" s="4524" t="s">
        <v>3178</v>
      </c>
      <c r="S129" s="4525" t="s">
        <v>3179</v>
      </c>
      <c r="T129" s="4525"/>
    </row>
    <row r="130" spans="13:20" s="74" customFormat="1" ht="12.75">
      <c r="M130" s="4473">
        <v>25</v>
      </c>
      <c r="N130" s="4490" t="s">
        <v>59</v>
      </c>
      <c r="O130" s="4526" t="s">
        <v>16</v>
      </c>
      <c r="P130" s="4527" t="s">
        <v>3180</v>
      </c>
      <c r="Q130" s="4528" t="s">
        <v>3181</v>
      </c>
      <c r="R130" s="4525" t="s">
        <v>3182</v>
      </c>
      <c r="S130" s="4529" t="s">
        <v>3183</v>
      </c>
      <c r="T130" s="4525"/>
    </row>
    <row r="131" spans="13:20" s="74" customFormat="1" ht="12.75">
      <c r="M131" s="4473">
        <v>26</v>
      </c>
      <c r="N131" s="4490" t="s">
        <v>59</v>
      </c>
      <c r="O131" s="4526" t="s">
        <v>16</v>
      </c>
      <c r="P131" s="4528" t="s">
        <v>3184</v>
      </c>
      <c r="Q131" s="4530" t="s">
        <v>3181</v>
      </c>
      <c r="R131" s="4525" t="s">
        <v>3182</v>
      </c>
      <c r="S131" s="4529" t="s">
        <v>3185</v>
      </c>
      <c r="T131" s="4525"/>
    </row>
    <row r="132" spans="13:20" s="74" customFormat="1" ht="22.5">
      <c r="M132" s="4473">
        <v>27</v>
      </c>
      <c r="N132" s="4490" t="s">
        <v>59</v>
      </c>
      <c r="O132" s="4521" t="s">
        <v>16</v>
      </c>
      <c r="P132" s="4531" t="s">
        <v>3186</v>
      </c>
      <c r="Q132" s="4532" t="s">
        <v>3187</v>
      </c>
      <c r="R132" s="4533" t="s">
        <v>3188</v>
      </c>
      <c r="S132" s="4525" t="s">
        <v>3189</v>
      </c>
      <c r="T132" s="4525"/>
    </row>
    <row r="133" spans="13:20" s="74" customFormat="1" ht="12.75">
      <c r="M133" s="4473">
        <v>28</v>
      </c>
      <c r="N133" s="4490" t="s">
        <v>59</v>
      </c>
      <c r="O133" s="4521" t="s">
        <v>16</v>
      </c>
      <c r="P133" s="4527" t="s">
        <v>3190</v>
      </c>
      <c r="Q133" s="4528" t="s">
        <v>3191</v>
      </c>
      <c r="R133" s="4525" t="s">
        <v>3192</v>
      </c>
      <c r="S133" s="4525" t="s">
        <v>3193</v>
      </c>
      <c r="T133" s="4525"/>
    </row>
    <row r="134" spans="13:20" s="74" customFormat="1" ht="12.75">
      <c r="M134" s="4473">
        <v>29</v>
      </c>
      <c r="N134" s="4490" t="s">
        <v>59</v>
      </c>
      <c r="O134" s="4521" t="s">
        <v>16</v>
      </c>
      <c r="P134" s="4527" t="s">
        <v>3194</v>
      </c>
      <c r="Q134" s="4534" t="s">
        <v>3195</v>
      </c>
      <c r="R134" s="4525" t="s">
        <v>3196</v>
      </c>
      <c r="S134" s="4525" t="s">
        <v>3197</v>
      </c>
      <c r="T134" s="4525"/>
    </row>
    <row r="135" spans="13:20" s="74" customFormat="1" ht="12.75">
      <c r="M135" s="4473">
        <v>30</v>
      </c>
      <c r="N135" s="4490" t="s">
        <v>59</v>
      </c>
      <c r="O135" s="4521" t="s">
        <v>16</v>
      </c>
      <c r="P135" s="4527" t="s">
        <v>3198</v>
      </c>
      <c r="Q135" s="4534" t="s">
        <v>3199</v>
      </c>
      <c r="R135" s="4525" t="s">
        <v>3200</v>
      </c>
      <c r="S135" s="4529" t="s">
        <v>3201</v>
      </c>
      <c r="T135" s="4525"/>
    </row>
    <row r="136" spans="13:20" s="74" customFormat="1" ht="12.75">
      <c r="M136" s="4473">
        <v>31</v>
      </c>
      <c r="N136" s="4490" t="s">
        <v>59</v>
      </c>
      <c r="O136" s="4521" t="s">
        <v>16</v>
      </c>
      <c r="P136" s="4535" t="s">
        <v>3202</v>
      </c>
      <c r="Q136" s="4536" t="s">
        <v>3199</v>
      </c>
      <c r="R136" s="4525" t="s">
        <v>3203</v>
      </c>
      <c r="S136" s="4537" t="s">
        <v>3204</v>
      </c>
      <c r="T136" s="4537"/>
    </row>
    <row r="137" spans="13:20" s="74" customFormat="1" ht="12.75">
      <c r="M137" s="4473">
        <v>32</v>
      </c>
      <c r="N137" s="4490" t="s">
        <v>59</v>
      </c>
      <c r="O137" s="4521" t="s">
        <v>16</v>
      </c>
      <c r="P137" s="4527" t="s">
        <v>3205</v>
      </c>
      <c r="Q137" s="4534" t="s">
        <v>3206</v>
      </c>
      <c r="R137" s="4529" t="s">
        <v>3207</v>
      </c>
      <c r="S137" s="4525" t="s">
        <v>3208</v>
      </c>
      <c r="T137" s="4525"/>
    </row>
    <row r="138" spans="13:20" s="74" customFormat="1" ht="12.75">
      <c r="M138" s="4473">
        <v>33</v>
      </c>
      <c r="N138" s="4490" t="s">
        <v>59</v>
      </c>
      <c r="O138" s="4473" t="s">
        <v>16</v>
      </c>
      <c r="P138" s="4478" t="s">
        <v>3209</v>
      </c>
      <c r="Q138" s="4478" t="s">
        <v>3210</v>
      </c>
      <c r="R138" s="4538" t="s">
        <v>3211</v>
      </c>
      <c r="S138" s="3189" t="s">
        <v>3212</v>
      </c>
      <c r="T138" s="4473"/>
    </row>
    <row r="139" spans="13:20" s="74" customFormat="1" ht="12.75">
      <c r="M139" s="4473">
        <v>34</v>
      </c>
      <c r="N139" s="4490" t="s">
        <v>59</v>
      </c>
      <c r="O139" s="4473" t="s">
        <v>61</v>
      </c>
      <c r="P139" s="4478" t="s">
        <v>3213</v>
      </c>
      <c r="Q139" s="4478" t="s">
        <v>3214</v>
      </c>
      <c r="R139" s="4473" t="s">
        <v>3215</v>
      </c>
      <c r="S139" s="4473" t="s">
        <v>3216</v>
      </c>
      <c r="T139" s="4473"/>
    </row>
    <row r="140" spans="13:20" s="74" customFormat="1" ht="12.75">
      <c r="M140" s="4473">
        <v>35</v>
      </c>
      <c r="N140" s="4490" t="s">
        <v>59</v>
      </c>
      <c r="O140" s="4490" t="s">
        <v>61</v>
      </c>
      <c r="P140" s="4539" t="s">
        <v>3217</v>
      </c>
      <c r="Q140" s="4539" t="s">
        <v>3218</v>
      </c>
      <c r="R140" s="4490" t="s">
        <v>2439</v>
      </c>
      <c r="S140" s="4490" t="s">
        <v>3219</v>
      </c>
      <c r="T140" s="4540"/>
    </row>
    <row r="141" spans="13:20" s="74" customFormat="1" ht="12.75">
      <c r="M141" s="4473">
        <v>36</v>
      </c>
      <c r="N141" s="4490" t="s">
        <v>59</v>
      </c>
      <c r="O141" s="4491" t="s">
        <v>61</v>
      </c>
      <c r="P141" s="4541" t="s">
        <v>3220</v>
      </c>
      <c r="Q141" s="4541" t="s">
        <v>3221</v>
      </c>
      <c r="R141" s="4473" t="s">
        <v>3222</v>
      </c>
      <c r="S141" s="4490" t="s">
        <v>3223</v>
      </c>
      <c r="T141" s="4542"/>
    </row>
    <row r="142" spans="13:20" s="74" customFormat="1" ht="22.5">
      <c r="M142" s="4473">
        <v>37</v>
      </c>
      <c r="N142" s="4490" t="s">
        <v>59</v>
      </c>
      <c r="O142" s="4543" t="s">
        <v>64</v>
      </c>
      <c r="P142" s="4500" t="s">
        <v>3224</v>
      </c>
      <c r="Q142" s="4500" t="s">
        <v>3225</v>
      </c>
      <c r="R142" s="4500" t="s">
        <v>3226</v>
      </c>
      <c r="S142" s="4481" t="s">
        <v>3227</v>
      </c>
      <c r="T142" s="4542"/>
    </row>
    <row r="143" spans="13:20" s="74" customFormat="1" ht="22.5">
      <c r="M143" s="4473">
        <v>38</v>
      </c>
      <c r="N143" s="4490" t="s">
        <v>59</v>
      </c>
      <c r="O143" s="4543" t="s">
        <v>64</v>
      </c>
      <c r="P143" s="4500" t="s">
        <v>3228</v>
      </c>
      <c r="Q143" s="4500" t="s">
        <v>3229</v>
      </c>
      <c r="R143" s="4500" t="s">
        <v>3226</v>
      </c>
      <c r="S143" s="4481" t="s">
        <v>3230</v>
      </c>
      <c r="T143" s="4542"/>
    </row>
    <row r="144" spans="13:20" s="74" customFormat="1" ht="22.5">
      <c r="M144" s="4473">
        <v>39</v>
      </c>
      <c r="N144" s="4490" t="s">
        <v>59</v>
      </c>
      <c r="O144" s="4543" t="s">
        <v>64</v>
      </c>
      <c r="P144" s="4500" t="s">
        <v>3231</v>
      </c>
      <c r="Q144" s="4500" t="s">
        <v>3229</v>
      </c>
      <c r="R144" s="4500" t="s">
        <v>3226</v>
      </c>
      <c r="S144" s="4481" t="s">
        <v>3232</v>
      </c>
      <c r="T144" s="4542"/>
    </row>
    <row r="145" spans="13:20" s="74" customFormat="1" ht="22.5">
      <c r="M145" s="4473">
        <v>40</v>
      </c>
      <c r="N145" s="4490" t="s">
        <v>59</v>
      </c>
      <c r="O145" s="4543" t="s">
        <v>64</v>
      </c>
      <c r="P145" s="4500" t="s">
        <v>3233</v>
      </c>
      <c r="Q145" s="4500" t="s">
        <v>3229</v>
      </c>
      <c r="R145" s="4500" t="s">
        <v>3226</v>
      </c>
      <c r="S145" s="4481" t="s">
        <v>3234</v>
      </c>
      <c r="T145" s="4542"/>
    </row>
    <row r="146" spans="13:20" s="74" customFormat="1" ht="12.75">
      <c r="M146" s="4544"/>
      <c r="N146" s="4545"/>
      <c r="O146" s="4546"/>
      <c r="P146" s="4547"/>
      <c r="Q146" s="4547"/>
      <c r="R146" s="4544"/>
      <c r="S146" s="4545"/>
      <c r="T146" s="4470"/>
    </row>
    <row r="147" spans="13:20" s="74" customFormat="1" ht="12.75">
      <c r="M147" s="4544"/>
      <c r="N147" s="4545"/>
      <c r="O147" s="4546"/>
      <c r="P147" s="4548"/>
      <c r="Q147" s="4548"/>
      <c r="R147" s="4549"/>
      <c r="S147" s="4548"/>
      <c r="T147" s="4470"/>
    </row>
    <row r="148" spans="13:20" s="74" customFormat="1" ht="12.75">
      <c r="M148" s="54"/>
      <c r="N148" s="54"/>
      <c r="O148" s="54"/>
      <c r="P148" s="54"/>
      <c r="Q148" s="54"/>
      <c r="R148" s="54"/>
      <c r="S148" s="54"/>
      <c r="T148" s="54"/>
    </row>
    <row r="149" spans="13:20" s="74" customFormat="1" ht="12.75">
      <c r="M149" s="4550" t="s">
        <v>331</v>
      </c>
      <c r="N149" s="4550" t="s">
        <v>68</v>
      </c>
      <c r="O149" s="4550" t="s">
        <v>69</v>
      </c>
      <c r="P149" s="4550" t="s">
        <v>543</v>
      </c>
      <c r="Q149" s="4550" t="s">
        <v>544</v>
      </c>
      <c r="R149" s="4551" t="s">
        <v>545</v>
      </c>
      <c r="S149" s="4551" t="s">
        <v>337</v>
      </c>
      <c r="T149" s="4551" t="s">
        <v>2618</v>
      </c>
    </row>
    <row r="150" spans="13:20" s="74" customFormat="1" ht="56.25">
      <c r="M150" s="4473">
        <v>1</v>
      </c>
      <c r="N150" s="4481" t="s">
        <v>25</v>
      </c>
      <c r="O150" s="4481" t="s">
        <v>16</v>
      </c>
      <c r="P150" s="4500" t="s">
        <v>3235</v>
      </c>
      <c r="Q150" s="4500" t="s">
        <v>3236</v>
      </c>
      <c r="R150" s="4481" t="s">
        <v>3237</v>
      </c>
      <c r="S150" s="4481" t="s">
        <v>3238</v>
      </c>
      <c r="T150" s="4486" t="s">
        <v>2639</v>
      </c>
    </row>
    <row r="151" spans="13:20" s="74" customFormat="1" ht="12.75">
      <c r="M151" s="4473">
        <v>2</v>
      </c>
      <c r="N151" s="4481" t="s">
        <v>25</v>
      </c>
      <c r="O151" s="4481" t="s">
        <v>16</v>
      </c>
      <c r="P151" s="4500" t="s">
        <v>3239</v>
      </c>
      <c r="Q151" s="4500" t="s">
        <v>3240</v>
      </c>
      <c r="R151" s="4481" t="s">
        <v>2640</v>
      </c>
      <c r="S151" s="4481" t="s">
        <v>3241</v>
      </c>
      <c r="T151" s="4552" t="s">
        <v>2639</v>
      </c>
    </row>
    <row r="152" spans="13:20" s="74" customFormat="1" ht="22.5">
      <c r="M152" s="4473">
        <v>3</v>
      </c>
      <c r="N152" s="4481" t="s">
        <v>25</v>
      </c>
      <c r="O152" s="4481" t="s">
        <v>16</v>
      </c>
      <c r="P152" s="4500" t="s">
        <v>2644</v>
      </c>
      <c r="Q152" s="4500" t="s">
        <v>3242</v>
      </c>
      <c r="R152" s="4481" t="s">
        <v>3243</v>
      </c>
      <c r="S152" s="4481" t="s">
        <v>2645</v>
      </c>
      <c r="T152" s="4486" t="s">
        <v>2639</v>
      </c>
    </row>
    <row r="153" spans="13:20" s="74" customFormat="1" ht="22.5">
      <c r="M153" s="4473">
        <v>4</v>
      </c>
      <c r="N153" s="4481" t="s">
        <v>25</v>
      </c>
      <c r="O153" s="4481" t="s">
        <v>16</v>
      </c>
      <c r="P153" s="4500" t="s">
        <v>3244</v>
      </c>
      <c r="Q153" s="4500" t="s">
        <v>3245</v>
      </c>
      <c r="R153" s="4481" t="s">
        <v>3246</v>
      </c>
      <c r="S153" s="4481" t="s">
        <v>2648</v>
      </c>
      <c r="T153" s="4486" t="s">
        <v>2639</v>
      </c>
    </row>
    <row r="154" spans="13:20" s="74" customFormat="1" ht="22.5">
      <c r="M154" s="4473">
        <v>5</v>
      </c>
      <c r="N154" s="4481" t="s">
        <v>25</v>
      </c>
      <c r="O154" s="4481" t="s">
        <v>16</v>
      </c>
      <c r="P154" s="4500" t="s">
        <v>3247</v>
      </c>
      <c r="Q154" s="4500" t="s">
        <v>3248</v>
      </c>
      <c r="R154" s="4481" t="s">
        <v>3249</v>
      </c>
      <c r="S154" s="4481" t="s">
        <v>3250</v>
      </c>
      <c r="T154" s="4486" t="s">
        <v>2639</v>
      </c>
    </row>
    <row r="155" spans="13:20" s="74" customFormat="1" ht="33.75">
      <c r="M155" s="4473">
        <v>6</v>
      </c>
      <c r="N155" s="4481" t="s">
        <v>25</v>
      </c>
      <c r="O155" s="4481" t="s">
        <v>16</v>
      </c>
      <c r="P155" s="4500" t="s">
        <v>3251</v>
      </c>
      <c r="Q155" s="4500" t="s">
        <v>3252</v>
      </c>
      <c r="R155" s="4481" t="s">
        <v>3253</v>
      </c>
      <c r="S155" s="4482" t="s">
        <v>2651</v>
      </c>
      <c r="T155" s="4486" t="s">
        <v>2639</v>
      </c>
    </row>
    <row r="156" spans="13:20" s="74" customFormat="1" ht="22.5">
      <c r="M156" s="4473">
        <v>7</v>
      </c>
      <c r="N156" s="4482" t="s">
        <v>25</v>
      </c>
      <c r="O156" s="4481" t="s">
        <v>16</v>
      </c>
      <c r="P156" s="4500" t="s">
        <v>3254</v>
      </c>
      <c r="Q156" s="4500" t="s">
        <v>3255</v>
      </c>
      <c r="R156" s="4481" t="s">
        <v>3256</v>
      </c>
      <c r="S156" s="4482" t="s">
        <v>2652</v>
      </c>
      <c r="T156" s="4486" t="s">
        <v>2639</v>
      </c>
    </row>
    <row r="157" spans="13:20" s="74" customFormat="1" ht="22.5">
      <c r="M157" s="4473">
        <v>8</v>
      </c>
      <c r="N157" s="4482" t="s">
        <v>25</v>
      </c>
      <c r="O157" s="4481" t="s">
        <v>16</v>
      </c>
      <c r="P157" s="4500" t="s">
        <v>3257</v>
      </c>
      <c r="Q157" s="4500" t="s">
        <v>3258</v>
      </c>
      <c r="R157" s="4481" t="s">
        <v>3259</v>
      </c>
      <c r="S157" s="4482" t="s">
        <v>3260</v>
      </c>
      <c r="T157" s="4486" t="s">
        <v>2639</v>
      </c>
    </row>
    <row r="158" spans="13:20" s="74" customFormat="1" ht="12.75">
      <c r="M158" s="4473">
        <v>9</v>
      </c>
      <c r="N158" s="4482" t="s">
        <v>25</v>
      </c>
      <c r="O158" s="4482" t="s">
        <v>41</v>
      </c>
      <c r="P158" s="4506" t="s">
        <v>3261</v>
      </c>
      <c r="Q158" s="4483" t="s">
        <v>3262</v>
      </c>
      <c r="R158" s="4481" t="s">
        <v>3263</v>
      </c>
      <c r="S158" s="4482" t="s">
        <v>3264</v>
      </c>
      <c r="T158" s="4480" t="s">
        <v>42</v>
      </c>
    </row>
    <row r="159" spans="13:20" s="74" customFormat="1" ht="22.5">
      <c r="M159" s="4473">
        <v>10</v>
      </c>
      <c r="N159" s="4482" t="s">
        <v>25</v>
      </c>
      <c r="O159" s="4482" t="s">
        <v>16</v>
      </c>
      <c r="P159" s="4484" t="s">
        <v>3265</v>
      </c>
      <c r="Q159" s="4483" t="s">
        <v>3266</v>
      </c>
      <c r="R159" s="4481" t="s">
        <v>3267</v>
      </c>
      <c r="S159" s="4482" t="s">
        <v>2660</v>
      </c>
      <c r="T159" s="4480" t="s">
        <v>3268</v>
      </c>
    </row>
    <row r="160" spans="13:20" s="74" customFormat="1" ht="22.5">
      <c r="M160" s="4473">
        <v>11</v>
      </c>
      <c r="N160" s="4481" t="s">
        <v>25</v>
      </c>
      <c r="O160" s="4481" t="s">
        <v>16</v>
      </c>
      <c r="P160" s="4483" t="s">
        <v>3269</v>
      </c>
      <c r="Q160" s="4485" t="s">
        <v>3270</v>
      </c>
      <c r="R160" s="4480" t="s">
        <v>3271</v>
      </c>
      <c r="S160" s="4481" t="s">
        <v>2655</v>
      </c>
      <c r="T160" s="4480" t="s">
        <v>19</v>
      </c>
    </row>
    <row r="161" spans="13:20" s="74" customFormat="1" ht="12.75">
      <c r="M161" s="4473">
        <v>12</v>
      </c>
      <c r="N161" s="4481" t="s">
        <v>25</v>
      </c>
      <c r="O161" s="4481" t="s">
        <v>16</v>
      </c>
      <c r="P161" s="4484" t="s">
        <v>3272</v>
      </c>
      <c r="Q161" s="4485" t="s">
        <v>3273</v>
      </c>
      <c r="R161" s="4480" t="s">
        <v>2636</v>
      </c>
      <c r="S161" s="4482" t="s">
        <v>3274</v>
      </c>
      <c r="T161" s="4480" t="s">
        <v>2624</v>
      </c>
    </row>
    <row r="162" spans="13:20" s="74" customFormat="1" ht="22.5">
      <c r="M162" s="4473">
        <v>13</v>
      </c>
      <c r="N162" s="4481" t="s">
        <v>25</v>
      </c>
      <c r="O162" s="4481" t="s">
        <v>16</v>
      </c>
      <c r="P162" s="4483" t="s">
        <v>3275</v>
      </c>
      <c r="Q162" s="4483" t="s">
        <v>3276</v>
      </c>
      <c r="R162" s="4480" t="s">
        <v>3277</v>
      </c>
      <c r="S162" s="4553" t="s">
        <v>3278</v>
      </c>
      <c r="T162" s="4480" t="s">
        <v>2634</v>
      </c>
    </row>
    <row r="163" spans="13:20" s="74" customFormat="1" ht="33.75">
      <c r="M163" s="4473">
        <v>14</v>
      </c>
      <c r="N163" s="4481" t="s">
        <v>25</v>
      </c>
      <c r="O163" s="4481" t="s">
        <v>16</v>
      </c>
      <c r="P163" s="4483" t="s">
        <v>3279</v>
      </c>
      <c r="Q163" s="4485" t="s">
        <v>3280</v>
      </c>
      <c r="R163" s="4486" t="s">
        <v>3281</v>
      </c>
      <c r="S163" s="4481" t="s">
        <v>2643</v>
      </c>
      <c r="T163" s="4480" t="s">
        <v>35</v>
      </c>
    </row>
    <row r="164" spans="13:20" s="74" customFormat="1" ht="33.75">
      <c r="M164" s="4473">
        <v>15</v>
      </c>
      <c r="N164" s="4481" t="s">
        <v>25</v>
      </c>
      <c r="O164" s="4481" t="s">
        <v>16</v>
      </c>
      <c r="P164" s="4483" t="s">
        <v>3282</v>
      </c>
      <c r="Q164" s="4483" t="s">
        <v>3283</v>
      </c>
      <c r="R164" s="4480" t="s">
        <v>3284</v>
      </c>
      <c r="S164" s="4481" t="s">
        <v>2653</v>
      </c>
      <c r="T164" s="4480" t="s">
        <v>35</v>
      </c>
    </row>
    <row r="165" spans="13:20" s="74" customFormat="1" ht="33.75">
      <c r="M165" s="4473">
        <v>16</v>
      </c>
      <c r="N165" s="4481" t="s">
        <v>25</v>
      </c>
      <c r="O165" s="4481" t="s">
        <v>16</v>
      </c>
      <c r="P165" s="4483" t="s">
        <v>2658</v>
      </c>
      <c r="Q165" s="4483" t="s">
        <v>3285</v>
      </c>
      <c r="R165" s="4480" t="s">
        <v>3286</v>
      </c>
      <c r="S165" s="4481" t="s">
        <v>2659</v>
      </c>
      <c r="T165" s="4480" t="s">
        <v>35</v>
      </c>
    </row>
    <row r="166" spans="13:20" s="74" customFormat="1" ht="12.75">
      <c r="M166" s="4473">
        <v>17</v>
      </c>
      <c r="N166" s="4481" t="s">
        <v>25</v>
      </c>
      <c r="O166" s="4481" t="s">
        <v>16</v>
      </c>
      <c r="P166" s="4506" t="s">
        <v>3287</v>
      </c>
      <c r="Q166" s="4500" t="s">
        <v>3288</v>
      </c>
      <c r="R166" s="4480" t="s">
        <v>2636</v>
      </c>
      <c r="S166" s="4482" t="s">
        <v>3289</v>
      </c>
      <c r="T166" s="4480" t="s">
        <v>3290</v>
      </c>
    </row>
    <row r="167" spans="13:20" s="74" customFormat="1" ht="12.75">
      <c r="M167" s="4473">
        <v>18</v>
      </c>
      <c r="N167" s="4481" t="s">
        <v>25</v>
      </c>
      <c r="O167" s="4481" t="s">
        <v>16</v>
      </c>
      <c r="P167" s="4483" t="s">
        <v>2646</v>
      </c>
      <c r="Q167" s="4483" t="s">
        <v>3291</v>
      </c>
      <c r="R167" s="4486" t="s">
        <v>3292</v>
      </c>
      <c r="S167" s="4480" t="s">
        <v>3293</v>
      </c>
      <c r="T167" s="4480" t="s">
        <v>36</v>
      </c>
    </row>
    <row r="168" spans="13:20" s="74" customFormat="1" ht="22.5">
      <c r="M168" s="4473">
        <v>19</v>
      </c>
      <c r="N168" s="4481" t="s">
        <v>25</v>
      </c>
      <c r="O168" s="4481" t="s">
        <v>16</v>
      </c>
      <c r="P168" s="4483" t="s">
        <v>3294</v>
      </c>
      <c r="Q168" s="4483" t="s">
        <v>3295</v>
      </c>
      <c r="R168" s="4480" t="s">
        <v>3296</v>
      </c>
      <c r="S168" s="4480" t="s">
        <v>3297</v>
      </c>
      <c r="T168" s="4480" t="s">
        <v>36</v>
      </c>
    </row>
    <row r="169" spans="13:20" s="74" customFormat="1" ht="22.5">
      <c r="M169" s="4473">
        <v>20</v>
      </c>
      <c r="N169" s="4481" t="s">
        <v>25</v>
      </c>
      <c r="O169" s="4481" t="s">
        <v>16</v>
      </c>
      <c r="P169" s="4483" t="s">
        <v>3298</v>
      </c>
      <c r="Q169" s="4483" t="s">
        <v>3299</v>
      </c>
      <c r="R169" s="4486" t="s">
        <v>3300</v>
      </c>
      <c r="S169" s="4480" t="s">
        <v>2650</v>
      </c>
      <c r="T169" s="4480" t="s">
        <v>36</v>
      </c>
    </row>
    <row r="170" spans="13:20" s="74" customFormat="1" ht="12.75">
      <c r="M170" s="4473">
        <v>21</v>
      </c>
      <c r="N170" s="4481" t="s">
        <v>25</v>
      </c>
      <c r="O170" s="4481" t="s">
        <v>16</v>
      </c>
      <c r="P170" s="4483" t="s">
        <v>3301</v>
      </c>
      <c r="Q170" s="4485" t="s">
        <v>3302</v>
      </c>
      <c r="R170" s="4486" t="s">
        <v>2030</v>
      </c>
      <c r="S170" s="4480" t="s">
        <v>3303</v>
      </c>
      <c r="T170" s="4480" t="s">
        <v>36</v>
      </c>
    </row>
    <row r="171" spans="13:20" s="74" customFormat="1" ht="33.75">
      <c r="M171" s="4473">
        <v>22</v>
      </c>
      <c r="N171" s="4481" t="s">
        <v>25</v>
      </c>
      <c r="O171" s="4481" t="s">
        <v>16</v>
      </c>
      <c r="P171" s="4483" t="s">
        <v>3304</v>
      </c>
      <c r="Q171" s="4483" t="s">
        <v>3305</v>
      </c>
      <c r="R171" s="4480" t="s">
        <v>3296</v>
      </c>
      <c r="S171" s="4480" t="s">
        <v>3306</v>
      </c>
      <c r="T171" s="4480" t="s">
        <v>36</v>
      </c>
    </row>
    <row r="172" spans="13:20" s="74" customFormat="1" ht="22.5">
      <c r="M172" s="4473">
        <v>23</v>
      </c>
      <c r="N172" s="4481" t="s">
        <v>25</v>
      </c>
      <c r="O172" s="4481" t="s">
        <v>4</v>
      </c>
      <c r="P172" s="4483" t="s">
        <v>3307</v>
      </c>
      <c r="Q172" s="4483" t="s">
        <v>3308</v>
      </c>
      <c r="R172" s="4480" t="s">
        <v>3263</v>
      </c>
      <c r="S172" s="4480" t="s">
        <v>3309</v>
      </c>
      <c r="T172" s="4480" t="s">
        <v>2635</v>
      </c>
    </row>
    <row r="173" spans="13:20" s="74" customFormat="1" ht="22.5">
      <c r="M173" s="4473">
        <v>24</v>
      </c>
      <c r="N173" s="4481" t="s">
        <v>25</v>
      </c>
      <c r="O173" s="4481" t="s">
        <v>16</v>
      </c>
      <c r="P173" s="4483" t="s">
        <v>3310</v>
      </c>
      <c r="Q173" s="4483" t="s">
        <v>3311</v>
      </c>
      <c r="R173" s="4480" t="s">
        <v>3312</v>
      </c>
      <c r="S173" s="4480" t="s">
        <v>3313</v>
      </c>
      <c r="T173" s="4480" t="s">
        <v>560</v>
      </c>
    </row>
    <row r="174" spans="13:20" s="74" customFormat="1" ht="22.5">
      <c r="M174" s="4473">
        <v>25</v>
      </c>
      <c r="N174" s="4481" t="s">
        <v>25</v>
      </c>
      <c r="O174" s="4481" t="s">
        <v>16</v>
      </c>
      <c r="P174" s="4483" t="s">
        <v>3314</v>
      </c>
      <c r="Q174" s="4483" t="s">
        <v>3315</v>
      </c>
      <c r="R174" s="4486" t="s">
        <v>3271</v>
      </c>
      <c r="S174" s="4480" t="s">
        <v>3316</v>
      </c>
      <c r="T174" s="4480" t="s">
        <v>560</v>
      </c>
    </row>
    <row r="175" spans="13:20" s="74" customFormat="1" ht="33.75">
      <c r="M175" s="4473">
        <v>26</v>
      </c>
      <c r="N175" s="4481" t="s">
        <v>25</v>
      </c>
      <c r="O175" s="4481" t="s">
        <v>16</v>
      </c>
      <c r="P175" s="4483" t="s">
        <v>3317</v>
      </c>
      <c r="Q175" s="4483" t="s">
        <v>3318</v>
      </c>
      <c r="R175" s="4486" t="s">
        <v>3319</v>
      </c>
      <c r="S175" s="4486" t="s">
        <v>3320</v>
      </c>
      <c r="T175" s="4480" t="s">
        <v>2656</v>
      </c>
    </row>
    <row r="176" spans="13:20" s="74" customFormat="1" ht="12.75">
      <c r="M176" s="4473">
        <v>27</v>
      </c>
      <c r="N176" s="4481" t="s">
        <v>25</v>
      </c>
      <c r="O176" s="4481" t="s">
        <v>4</v>
      </c>
      <c r="P176" s="4483" t="s">
        <v>3321</v>
      </c>
      <c r="Q176" s="4483" t="s">
        <v>3322</v>
      </c>
      <c r="R176" s="4480" t="s">
        <v>3263</v>
      </c>
      <c r="S176" s="4486" t="s">
        <v>3323</v>
      </c>
      <c r="T176" s="4480" t="s">
        <v>30</v>
      </c>
    </row>
    <row r="177" spans="13:20" s="74" customFormat="1" ht="22.5">
      <c r="M177" s="4473">
        <v>28</v>
      </c>
      <c r="N177" s="4481" t="s">
        <v>25</v>
      </c>
      <c r="O177" s="4481" t="s">
        <v>16</v>
      </c>
      <c r="P177" s="4483" t="s">
        <v>3324</v>
      </c>
      <c r="Q177" s="4483" t="s">
        <v>3325</v>
      </c>
      <c r="R177" s="4480" t="s">
        <v>3326</v>
      </c>
      <c r="S177" s="4480" t="s">
        <v>3327</v>
      </c>
      <c r="T177" s="4486" t="s">
        <v>2637</v>
      </c>
    </row>
    <row r="178" spans="13:20" s="74" customFormat="1" ht="22.5">
      <c r="M178" s="4473">
        <v>29</v>
      </c>
      <c r="N178" s="4481" t="s">
        <v>25</v>
      </c>
      <c r="O178" s="4481" t="s">
        <v>16</v>
      </c>
      <c r="P178" s="4483" t="s">
        <v>3328</v>
      </c>
      <c r="Q178" s="4483" t="s">
        <v>3329</v>
      </c>
      <c r="R178" s="4480" t="s">
        <v>3330</v>
      </c>
      <c r="S178" s="4480" t="s">
        <v>3331</v>
      </c>
      <c r="T178" s="4486" t="s">
        <v>2630</v>
      </c>
    </row>
    <row r="179" spans="13:20" s="74" customFormat="1" ht="22.5">
      <c r="M179" s="4473">
        <v>30</v>
      </c>
      <c r="N179" s="4481" t="s">
        <v>25</v>
      </c>
      <c r="O179" s="4481" t="s">
        <v>16</v>
      </c>
      <c r="P179" s="4483" t="s">
        <v>3332</v>
      </c>
      <c r="Q179" s="4483" t="s">
        <v>3333</v>
      </c>
      <c r="R179" s="4480" t="s">
        <v>3334</v>
      </c>
      <c r="S179" s="4480" t="s">
        <v>3335</v>
      </c>
      <c r="T179" s="4486" t="s">
        <v>2630</v>
      </c>
    </row>
    <row r="180" spans="13:20" s="74" customFormat="1" ht="12.75">
      <c r="M180" s="4473">
        <v>31</v>
      </c>
      <c r="N180" s="4481" t="s">
        <v>25</v>
      </c>
      <c r="O180" s="4481" t="s">
        <v>16</v>
      </c>
      <c r="P180" s="4483" t="s">
        <v>3336</v>
      </c>
      <c r="Q180" s="4483" t="s">
        <v>3337</v>
      </c>
      <c r="R180" s="4480" t="s">
        <v>3263</v>
      </c>
      <c r="S180" s="4480" t="s">
        <v>3338</v>
      </c>
      <c r="T180" s="4486" t="s">
        <v>2630</v>
      </c>
    </row>
    <row r="181" spans="13:20" s="74" customFormat="1" ht="12.75">
      <c r="M181" s="4473">
        <v>32</v>
      </c>
      <c r="N181" s="4481" t="s">
        <v>25</v>
      </c>
      <c r="O181" s="4481" t="s">
        <v>4</v>
      </c>
      <c r="P181" s="4483" t="s">
        <v>3339</v>
      </c>
      <c r="Q181" s="4483" t="s">
        <v>3340</v>
      </c>
      <c r="R181" s="4486" t="s">
        <v>3263</v>
      </c>
      <c r="S181" s="4480" t="s">
        <v>3341</v>
      </c>
      <c r="T181" s="4480" t="s">
        <v>31</v>
      </c>
    </row>
    <row r="182" spans="13:20" s="74" customFormat="1" ht="33.75">
      <c r="M182" s="4473">
        <v>33</v>
      </c>
      <c r="N182" s="4481" t="s">
        <v>25</v>
      </c>
      <c r="O182" s="4481" t="s">
        <v>16</v>
      </c>
      <c r="P182" s="4483" t="s">
        <v>3342</v>
      </c>
      <c r="Q182" s="4483" t="s">
        <v>3343</v>
      </c>
      <c r="R182" s="4480" t="s">
        <v>3344</v>
      </c>
      <c r="S182" s="4480" t="s">
        <v>3345</v>
      </c>
      <c r="T182" s="4480" t="s">
        <v>20</v>
      </c>
    </row>
    <row r="183" spans="13:20" s="74" customFormat="1" ht="22.5">
      <c r="M183" s="4473">
        <v>34</v>
      </c>
      <c r="N183" s="4481" t="s">
        <v>25</v>
      </c>
      <c r="O183" s="4481" t="s">
        <v>16</v>
      </c>
      <c r="P183" s="4483" t="s">
        <v>3346</v>
      </c>
      <c r="Q183" s="4485" t="s">
        <v>3347</v>
      </c>
      <c r="R183" s="4480" t="s">
        <v>3348</v>
      </c>
      <c r="S183" s="4480" t="s">
        <v>3349</v>
      </c>
      <c r="T183" s="4480" t="s">
        <v>20</v>
      </c>
    </row>
    <row r="184" spans="13:20" s="74" customFormat="1" ht="33.75">
      <c r="M184" s="4473">
        <v>35</v>
      </c>
      <c r="N184" s="4481" t="s">
        <v>25</v>
      </c>
      <c r="O184" s="4481" t="s">
        <v>16</v>
      </c>
      <c r="P184" s="4483" t="s">
        <v>3350</v>
      </c>
      <c r="Q184" s="4485" t="s">
        <v>3351</v>
      </c>
      <c r="R184" s="4486" t="s">
        <v>3352</v>
      </c>
      <c r="S184" s="4480" t="s">
        <v>3353</v>
      </c>
      <c r="T184" s="4480" t="s">
        <v>20</v>
      </c>
    </row>
    <row r="185" spans="13:20" s="74" customFormat="1" ht="33.75">
      <c r="M185" s="4473">
        <v>36</v>
      </c>
      <c r="N185" s="4481" t="s">
        <v>25</v>
      </c>
      <c r="O185" s="4481" t="s">
        <v>16</v>
      </c>
      <c r="P185" s="4483" t="s">
        <v>3354</v>
      </c>
      <c r="Q185" s="4485" t="s">
        <v>3355</v>
      </c>
      <c r="R185" s="4486" t="s">
        <v>3356</v>
      </c>
      <c r="S185" s="4480" t="s">
        <v>3357</v>
      </c>
      <c r="T185" s="4480" t="s">
        <v>2622</v>
      </c>
    </row>
    <row r="186" spans="13:20" s="74" customFormat="1" ht="12.75">
      <c r="M186" s="4473">
        <v>37</v>
      </c>
      <c r="N186" s="4515" t="s">
        <v>25</v>
      </c>
      <c r="O186" s="4515" t="s">
        <v>16</v>
      </c>
      <c r="P186" s="4516" t="s">
        <v>3358</v>
      </c>
      <c r="Q186" s="4554" t="s">
        <v>3240</v>
      </c>
      <c r="R186" s="4555" t="s">
        <v>2640</v>
      </c>
      <c r="S186" s="4555" t="s">
        <v>3241</v>
      </c>
      <c r="T186" s="4555" t="s">
        <v>2639</v>
      </c>
    </row>
    <row r="187" spans="13:20" s="74" customFormat="1" ht="22.5">
      <c r="M187" s="4473">
        <v>38</v>
      </c>
      <c r="N187" s="4490" t="s">
        <v>25</v>
      </c>
      <c r="O187" s="4491" t="s">
        <v>4</v>
      </c>
      <c r="P187" s="4518" t="s">
        <v>3359</v>
      </c>
      <c r="Q187" s="4520" t="s">
        <v>3360</v>
      </c>
      <c r="R187" s="4491"/>
      <c r="S187" s="4491" t="s">
        <v>3361</v>
      </c>
      <c r="T187" s="4490"/>
    </row>
    <row r="188" spans="13:20" s="74" customFormat="1" ht="12.75">
      <c r="M188" s="4473">
        <v>39</v>
      </c>
      <c r="N188" s="4490" t="s">
        <v>25</v>
      </c>
      <c r="O188" s="4556" t="s">
        <v>41</v>
      </c>
      <c r="P188" s="4478" t="s">
        <v>2654</v>
      </c>
      <c r="Q188" s="4557" t="s">
        <v>3362</v>
      </c>
      <c r="R188" s="4556" t="s">
        <v>75</v>
      </c>
      <c r="S188" s="4558" t="s">
        <v>2031</v>
      </c>
      <c r="T188" s="4491"/>
    </row>
    <row r="189" spans="13:20" s="74" customFormat="1" ht="22.5">
      <c r="M189" s="4473">
        <v>40</v>
      </c>
      <c r="N189" s="4490" t="s">
        <v>25</v>
      </c>
      <c r="O189" s="4491" t="s">
        <v>16</v>
      </c>
      <c r="P189" s="4518" t="s">
        <v>3363</v>
      </c>
      <c r="Q189" s="4518" t="s">
        <v>3364</v>
      </c>
      <c r="R189" s="4490" t="s">
        <v>3365</v>
      </c>
      <c r="S189" s="4491" t="s">
        <v>3366</v>
      </c>
      <c r="T189" s="4491"/>
    </row>
    <row r="190" spans="13:20" s="74" customFormat="1" ht="22.5">
      <c r="M190" s="4473">
        <v>41</v>
      </c>
      <c r="N190" s="4490" t="s">
        <v>25</v>
      </c>
      <c r="O190" s="4491" t="s">
        <v>16</v>
      </c>
      <c r="P190" s="4518" t="s">
        <v>3367</v>
      </c>
      <c r="Q190" s="4518" t="s">
        <v>3368</v>
      </c>
      <c r="R190" s="4490" t="s">
        <v>3369</v>
      </c>
      <c r="S190" s="4491" t="s">
        <v>3370</v>
      </c>
      <c r="T190" s="4491"/>
    </row>
    <row r="191" spans="13:20" s="74" customFormat="1" ht="22.5">
      <c r="M191" s="4473">
        <v>42</v>
      </c>
      <c r="N191" s="4490" t="s">
        <v>25</v>
      </c>
      <c r="O191" s="4491" t="s">
        <v>16</v>
      </c>
      <c r="P191" s="4518" t="s">
        <v>3371</v>
      </c>
      <c r="Q191" s="4518" t="s">
        <v>3372</v>
      </c>
      <c r="R191" s="4490" t="s">
        <v>3373</v>
      </c>
      <c r="S191" s="4491" t="s">
        <v>3374</v>
      </c>
      <c r="T191" s="4491"/>
    </row>
    <row r="192" spans="13:20" s="74" customFormat="1" ht="22.5">
      <c r="M192" s="4473">
        <v>43</v>
      </c>
      <c r="N192" s="4490" t="s">
        <v>25</v>
      </c>
      <c r="O192" s="4491" t="s">
        <v>16</v>
      </c>
      <c r="P192" s="4518" t="s">
        <v>3375</v>
      </c>
      <c r="Q192" s="4518" t="s">
        <v>3372</v>
      </c>
      <c r="R192" s="4490" t="s">
        <v>3376</v>
      </c>
      <c r="S192" s="4491" t="s">
        <v>3377</v>
      </c>
      <c r="T192" s="4491"/>
    </row>
    <row r="193" spans="13:20" s="74" customFormat="1" ht="12.75">
      <c r="M193" s="4473">
        <v>44</v>
      </c>
      <c r="N193" s="4490" t="s">
        <v>25</v>
      </c>
      <c r="O193" s="4491" t="s">
        <v>16</v>
      </c>
      <c r="P193" s="4518" t="s">
        <v>3378</v>
      </c>
      <c r="Q193" s="4518" t="s">
        <v>3379</v>
      </c>
      <c r="R193" s="4490" t="s">
        <v>3373</v>
      </c>
      <c r="S193" s="4491" t="s">
        <v>3380</v>
      </c>
      <c r="T193" s="4491"/>
    </row>
    <row r="194" spans="13:20" s="74" customFormat="1" ht="33.75">
      <c r="M194" s="4473">
        <v>45</v>
      </c>
      <c r="N194" s="4490" t="s">
        <v>25</v>
      </c>
      <c r="O194" s="4491" t="s">
        <v>16</v>
      </c>
      <c r="P194" s="4518" t="s">
        <v>3381</v>
      </c>
      <c r="Q194" s="4518" t="s">
        <v>3382</v>
      </c>
      <c r="R194" s="4490" t="s">
        <v>2647</v>
      </c>
      <c r="S194" s="4491" t="s">
        <v>3383</v>
      </c>
      <c r="T194" s="4491"/>
    </row>
    <row r="195" spans="13:20" s="74" customFormat="1" ht="22.5">
      <c r="M195" s="4473">
        <v>46</v>
      </c>
      <c r="N195" s="4490" t="s">
        <v>25</v>
      </c>
      <c r="O195" s="4491" t="s">
        <v>16</v>
      </c>
      <c r="P195" s="4518" t="s">
        <v>3384</v>
      </c>
      <c r="Q195" s="4518" t="s">
        <v>3385</v>
      </c>
      <c r="R195" s="4490" t="s">
        <v>75</v>
      </c>
      <c r="S195" s="4491" t="s">
        <v>3386</v>
      </c>
      <c r="T195" s="4491"/>
    </row>
    <row r="196" spans="13:20" s="74" customFormat="1" ht="33.75">
      <c r="M196" s="4473">
        <v>47</v>
      </c>
      <c r="N196" s="4490" t="s">
        <v>25</v>
      </c>
      <c r="O196" s="4491" t="s">
        <v>16</v>
      </c>
      <c r="P196" s="4518" t="s">
        <v>3387</v>
      </c>
      <c r="Q196" s="4518" t="s">
        <v>3388</v>
      </c>
      <c r="R196" s="4490" t="s">
        <v>3389</v>
      </c>
      <c r="S196" s="4491" t="s">
        <v>3390</v>
      </c>
      <c r="T196" s="4491"/>
    </row>
    <row r="197" spans="13:20" s="74" customFormat="1" ht="22.5">
      <c r="M197" s="4473">
        <v>48</v>
      </c>
      <c r="N197" s="4490" t="s">
        <v>25</v>
      </c>
      <c r="O197" s="4491" t="s">
        <v>16</v>
      </c>
      <c r="P197" s="4518" t="s">
        <v>3391</v>
      </c>
      <c r="Q197" s="4518" t="s">
        <v>3392</v>
      </c>
      <c r="R197" s="4490" t="s">
        <v>3393</v>
      </c>
      <c r="S197" s="4491" t="s">
        <v>3394</v>
      </c>
      <c r="T197" s="4491"/>
    </row>
    <row r="198" spans="13:20" s="74" customFormat="1" ht="22.5">
      <c r="M198" s="4473">
        <v>49</v>
      </c>
      <c r="N198" s="4490" t="s">
        <v>25</v>
      </c>
      <c r="O198" s="4491" t="s">
        <v>16</v>
      </c>
      <c r="P198" s="4518" t="s">
        <v>3395</v>
      </c>
      <c r="Q198" s="4518" t="s">
        <v>3396</v>
      </c>
      <c r="R198" s="4490" t="s">
        <v>75</v>
      </c>
      <c r="S198" s="4491" t="s">
        <v>3394</v>
      </c>
      <c r="T198" s="4491"/>
    </row>
    <row r="199" spans="13:20" s="74" customFormat="1" ht="22.5">
      <c r="M199" s="4473">
        <v>50</v>
      </c>
      <c r="N199" s="4490" t="s">
        <v>25</v>
      </c>
      <c r="O199" s="4491" t="s">
        <v>16</v>
      </c>
      <c r="P199" s="4518" t="s">
        <v>3397</v>
      </c>
      <c r="Q199" s="4518" t="s">
        <v>3398</v>
      </c>
      <c r="R199" s="4490" t="s">
        <v>3399</v>
      </c>
      <c r="S199" s="4491" t="s">
        <v>3394</v>
      </c>
      <c r="T199" s="4491"/>
    </row>
    <row r="200" spans="13:20" s="74" customFormat="1" ht="12.75">
      <c r="M200" s="4473">
        <v>51</v>
      </c>
      <c r="N200" s="4490" t="s">
        <v>25</v>
      </c>
      <c r="O200" s="4491" t="s">
        <v>16</v>
      </c>
      <c r="P200" s="4518" t="s">
        <v>2661</v>
      </c>
      <c r="Q200" s="4518" t="s">
        <v>3400</v>
      </c>
      <c r="R200" s="4491" t="s">
        <v>75</v>
      </c>
      <c r="S200" s="4491" t="s">
        <v>2662</v>
      </c>
      <c r="T200" s="4490"/>
    </row>
    <row r="201" spans="13:20" s="74" customFormat="1" ht="22.5">
      <c r="M201" s="4473">
        <v>52</v>
      </c>
      <c r="N201" s="4490" t="s">
        <v>25</v>
      </c>
      <c r="O201" s="4556" t="s">
        <v>16</v>
      </c>
      <c r="P201" s="4518" t="s">
        <v>3401</v>
      </c>
      <c r="Q201" s="4557" t="s">
        <v>3402</v>
      </c>
      <c r="R201" s="4556" t="s">
        <v>75</v>
      </c>
      <c r="S201" s="4558" t="s">
        <v>2657</v>
      </c>
      <c r="T201" s="4491"/>
    </row>
    <row r="202" spans="13:20" s="74" customFormat="1" ht="12.75">
      <c r="M202" s="4473">
        <v>53</v>
      </c>
      <c r="N202" s="4490" t="s">
        <v>25</v>
      </c>
      <c r="O202" s="4556" t="s">
        <v>16</v>
      </c>
      <c r="P202" s="4478" t="s">
        <v>3403</v>
      </c>
      <c r="Q202" s="4557" t="s">
        <v>3404</v>
      </c>
      <c r="R202" s="4556" t="s">
        <v>75</v>
      </c>
      <c r="S202" s="4558" t="s">
        <v>3405</v>
      </c>
      <c r="T202" s="4491"/>
    </row>
    <row r="203" spans="13:20" s="74" customFormat="1" ht="22.5">
      <c r="M203" s="4473">
        <v>54</v>
      </c>
      <c r="N203" s="4490" t="s">
        <v>25</v>
      </c>
      <c r="O203" s="4556" t="s">
        <v>16</v>
      </c>
      <c r="P203" s="4518" t="s">
        <v>3406</v>
      </c>
      <c r="Q203" s="4557" t="s">
        <v>3407</v>
      </c>
      <c r="R203" s="4556" t="s">
        <v>3408</v>
      </c>
      <c r="S203" s="4558" t="s">
        <v>3409</v>
      </c>
      <c r="T203" s="4491"/>
    </row>
    <row r="204" spans="13:20" s="74" customFormat="1" ht="33.75">
      <c r="M204" s="4473">
        <v>55</v>
      </c>
      <c r="N204" s="4490" t="s">
        <v>25</v>
      </c>
      <c r="O204" s="4491" t="s">
        <v>16</v>
      </c>
      <c r="P204" s="4518" t="s">
        <v>3410</v>
      </c>
      <c r="Q204" s="4518" t="s">
        <v>3411</v>
      </c>
      <c r="R204" s="4491" t="s">
        <v>3412</v>
      </c>
      <c r="S204" s="4491" t="s">
        <v>3413</v>
      </c>
      <c r="T204" s="4491"/>
    </row>
    <row r="205" spans="13:20" s="74" customFormat="1" ht="45">
      <c r="M205" s="4473">
        <v>56</v>
      </c>
      <c r="N205" s="4490" t="s">
        <v>25</v>
      </c>
      <c r="O205" s="4491" t="s">
        <v>16</v>
      </c>
      <c r="P205" s="4518" t="s">
        <v>3414</v>
      </c>
      <c r="Q205" s="4518" t="s">
        <v>3415</v>
      </c>
      <c r="R205" s="4491" t="s">
        <v>75</v>
      </c>
      <c r="S205" s="4491" t="s">
        <v>3416</v>
      </c>
      <c r="T205" s="4491"/>
    </row>
    <row r="206" spans="13:20" s="74" customFormat="1" ht="33.75">
      <c r="M206" s="4473">
        <v>57</v>
      </c>
      <c r="N206" s="4490" t="s">
        <v>25</v>
      </c>
      <c r="O206" s="4559" t="s">
        <v>16</v>
      </c>
      <c r="P206" s="4560" t="s">
        <v>3417</v>
      </c>
      <c r="Q206" s="4560" t="s">
        <v>3418</v>
      </c>
      <c r="R206" s="4561" t="s">
        <v>3419</v>
      </c>
      <c r="S206" s="4559" t="s">
        <v>3420</v>
      </c>
      <c r="T206" s="4491"/>
    </row>
    <row r="207" spans="13:20" s="74" customFormat="1" ht="12.75">
      <c r="M207" s="54"/>
      <c r="N207" s="54"/>
      <c r="O207" s="54"/>
      <c r="P207" s="54"/>
      <c r="Q207" s="54"/>
      <c r="R207" s="54"/>
      <c r="S207" s="54"/>
      <c r="T207" s="54"/>
    </row>
    <row r="208" spans="13:20" s="74" customFormat="1" ht="12.75">
      <c r="M208" s="54"/>
      <c r="N208" s="54"/>
      <c r="O208" s="54"/>
      <c r="P208" s="54"/>
      <c r="Q208" s="54"/>
      <c r="R208" s="54"/>
      <c r="S208" s="54"/>
      <c r="T208" s="54"/>
    </row>
    <row r="209" spans="13:20" s="74" customFormat="1" ht="12.75">
      <c r="M209" s="4562" t="s">
        <v>331</v>
      </c>
      <c r="N209" s="4562" t="s">
        <v>68</v>
      </c>
      <c r="O209" s="4562" t="s">
        <v>2175</v>
      </c>
      <c r="P209" s="4562" t="s">
        <v>543</v>
      </c>
      <c r="Q209" s="4562" t="s">
        <v>544</v>
      </c>
      <c r="R209" s="4563" t="s">
        <v>545</v>
      </c>
      <c r="S209" s="4563" t="s">
        <v>337</v>
      </c>
      <c r="T209" s="4563" t="s">
        <v>2618</v>
      </c>
    </row>
    <row r="210" spans="13:20" s="74" customFormat="1" ht="22.5">
      <c r="M210" s="4543">
        <v>1</v>
      </c>
      <c r="N210" s="4482" t="s">
        <v>249</v>
      </c>
      <c r="O210" s="4482" t="s">
        <v>16</v>
      </c>
      <c r="P210" s="4483" t="s">
        <v>3421</v>
      </c>
      <c r="Q210" s="4483" t="s">
        <v>3422</v>
      </c>
      <c r="R210" s="4481" t="s">
        <v>2649</v>
      </c>
      <c r="S210" s="4481" t="s">
        <v>3423</v>
      </c>
      <c r="T210" s="4480" t="s">
        <v>17</v>
      </c>
    </row>
    <row r="211" spans="13:20" s="74" customFormat="1" ht="22.5">
      <c r="M211" s="4543">
        <v>2</v>
      </c>
      <c r="N211" s="4482" t="s">
        <v>249</v>
      </c>
      <c r="O211" s="4482" t="s">
        <v>21</v>
      </c>
      <c r="P211" s="4483" t="s">
        <v>3424</v>
      </c>
      <c r="Q211" s="4483" t="s">
        <v>3425</v>
      </c>
      <c r="R211" s="4481" t="s">
        <v>3426</v>
      </c>
      <c r="S211" s="4481" t="s">
        <v>3427</v>
      </c>
      <c r="T211" s="4480" t="s">
        <v>2663</v>
      </c>
    </row>
    <row r="212" spans="13:20" s="74" customFormat="1" ht="22.5">
      <c r="M212" s="4543">
        <v>3</v>
      </c>
      <c r="N212" s="4482" t="s">
        <v>249</v>
      </c>
      <c r="O212" s="4482" t="s">
        <v>21</v>
      </c>
      <c r="P212" s="4483" t="s">
        <v>3428</v>
      </c>
      <c r="Q212" s="4483" t="s">
        <v>3429</v>
      </c>
      <c r="R212" s="4480" t="s">
        <v>3426</v>
      </c>
      <c r="S212" s="4480" t="s">
        <v>3430</v>
      </c>
      <c r="T212" s="4486" t="s">
        <v>2663</v>
      </c>
    </row>
    <row r="213" spans="13:20" s="74" customFormat="1" ht="22.5">
      <c r="M213" s="4543">
        <v>4</v>
      </c>
      <c r="N213" s="4482" t="s">
        <v>249</v>
      </c>
      <c r="O213" s="4482" t="s">
        <v>16</v>
      </c>
      <c r="P213" s="4483" t="s">
        <v>3431</v>
      </c>
      <c r="Q213" s="4483" t="s">
        <v>3432</v>
      </c>
      <c r="R213" s="4480" t="s">
        <v>2649</v>
      </c>
      <c r="S213" s="4480" t="s">
        <v>3433</v>
      </c>
      <c r="T213" s="4486" t="s">
        <v>3268</v>
      </c>
    </row>
    <row r="214" spans="13:20" s="74" customFormat="1" ht="22.5">
      <c r="M214" s="4543">
        <v>5</v>
      </c>
      <c r="N214" s="4482" t="s">
        <v>249</v>
      </c>
      <c r="O214" s="4482" t="s">
        <v>16</v>
      </c>
      <c r="P214" s="4483" t="s">
        <v>3434</v>
      </c>
      <c r="Q214" s="4483" t="s">
        <v>3435</v>
      </c>
      <c r="R214" s="4480" t="s">
        <v>2649</v>
      </c>
      <c r="S214" s="4480" t="s">
        <v>3436</v>
      </c>
      <c r="T214" s="4486" t="s">
        <v>19</v>
      </c>
    </row>
    <row r="215" spans="13:20" s="74" customFormat="1" ht="12.75">
      <c r="M215" s="4543">
        <v>6</v>
      </c>
      <c r="N215" s="4473" t="s">
        <v>249</v>
      </c>
      <c r="O215" s="4473" t="s">
        <v>16</v>
      </c>
      <c r="P215" s="4518" t="s">
        <v>3437</v>
      </c>
      <c r="Q215" s="4518" t="s">
        <v>3438</v>
      </c>
      <c r="R215" s="4490" t="s">
        <v>3439</v>
      </c>
      <c r="S215" s="4490" t="s">
        <v>3440</v>
      </c>
      <c r="T215" s="4490" t="s">
        <v>20</v>
      </c>
    </row>
    <row r="216" spans="13:20" s="74" customFormat="1" ht="22.5">
      <c r="M216" s="4543">
        <v>7</v>
      </c>
      <c r="N216" s="4564" t="s">
        <v>249</v>
      </c>
      <c r="O216" s="4565" t="s">
        <v>16</v>
      </c>
      <c r="P216" s="4560" t="s">
        <v>3441</v>
      </c>
      <c r="Q216" s="4560" t="s">
        <v>3442</v>
      </c>
      <c r="R216" s="4561" t="s">
        <v>3443</v>
      </c>
      <c r="S216" s="4561" t="s">
        <v>3444</v>
      </c>
      <c r="T216" s="4561" t="s">
        <v>20</v>
      </c>
    </row>
    <row r="217" spans="13:20" s="74" customFormat="1" ht="33.75">
      <c r="M217" s="4543">
        <v>8</v>
      </c>
      <c r="N217" s="4473" t="s">
        <v>249</v>
      </c>
      <c r="O217" s="4564" t="s">
        <v>4</v>
      </c>
      <c r="P217" s="4516" t="s">
        <v>3445</v>
      </c>
      <c r="Q217" s="4516" t="s">
        <v>3446</v>
      </c>
      <c r="R217" s="4515" t="s">
        <v>3447</v>
      </c>
      <c r="S217" s="4515" t="s">
        <v>3448</v>
      </c>
      <c r="T217" s="4515" t="s">
        <v>3449</v>
      </c>
    </row>
    <row r="218" spans="13:20" s="74" customFormat="1" ht="22.5">
      <c r="M218" s="4543">
        <v>9</v>
      </c>
      <c r="N218" s="4473" t="s">
        <v>249</v>
      </c>
      <c r="O218" s="4564" t="s">
        <v>4</v>
      </c>
      <c r="P218" s="4516" t="s">
        <v>3450</v>
      </c>
      <c r="Q218" s="4516" t="s">
        <v>3446</v>
      </c>
      <c r="R218" s="4515" t="s">
        <v>3447</v>
      </c>
      <c r="S218" s="4515" t="s">
        <v>3451</v>
      </c>
      <c r="T218" s="4515" t="s">
        <v>3449</v>
      </c>
    </row>
    <row r="219" spans="13:20" s="74" customFormat="1" ht="33.75">
      <c r="M219" s="4543">
        <v>10</v>
      </c>
      <c r="N219" s="4473" t="s">
        <v>249</v>
      </c>
      <c r="O219" s="4473" t="s">
        <v>16</v>
      </c>
      <c r="P219" s="4518" t="s">
        <v>3452</v>
      </c>
      <c r="Q219" s="4518" t="s">
        <v>3453</v>
      </c>
      <c r="R219" s="4490" t="s">
        <v>3439</v>
      </c>
      <c r="S219" s="4490" t="s">
        <v>3454</v>
      </c>
      <c r="T219" s="4490"/>
    </row>
    <row r="220" spans="13:20" s="74" customFormat="1" ht="33.75">
      <c r="M220" s="4543">
        <v>11</v>
      </c>
      <c r="N220" s="4473" t="s">
        <v>249</v>
      </c>
      <c r="O220" s="4473" t="s">
        <v>16</v>
      </c>
      <c r="P220" s="4518" t="s">
        <v>3455</v>
      </c>
      <c r="Q220" s="4518" t="s">
        <v>3456</v>
      </c>
      <c r="R220" s="4490" t="s">
        <v>3439</v>
      </c>
      <c r="S220" s="4490" t="s">
        <v>3457</v>
      </c>
      <c r="T220" s="4490"/>
    </row>
    <row r="221" spans="13:20" s="74" customFormat="1" ht="33.75">
      <c r="M221" s="4543">
        <v>12</v>
      </c>
      <c r="N221" s="4473" t="s">
        <v>249</v>
      </c>
      <c r="O221" s="4473" t="s">
        <v>16</v>
      </c>
      <c r="P221" s="4518" t="s">
        <v>3458</v>
      </c>
      <c r="Q221" s="4518" t="s">
        <v>3459</v>
      </c>
      <c r="R221" s="4490" t="s">
        <v>3439</v>
      </c>
      <c r="S221" s="4490" t="s">
        <v>3460</v>
      </c>
      <c r="T221" s="4490"/>
    </row>
    <row r="222" spans="13:20" s="74" customFormat="1" ht="12.75">
      <c r="M222" s="4543">
        <v>13</v>
      </c>
      <c r="N222" s="4473" t="s">
        <v>249</v>
      </c>
      <c r="O222" s="4564" t="s">
        <v>16</v>
      </c>
      <c r="P222" s="4516" t="s">
        <v>3461</v>
      </c>
      <c r="Q222" s="4516" t="s">
        <v>3462</v>
      </c>
      <c r="R222" s="4515" t="s">
        <v>3447</v>
      </c>
      <c r="S222" s="4515" t="s">
        <v>3463</v>
      </c>
      <c r="T222" s="4515"/>
    </row>
    <row r="223" spans="13:20" s="74" customFormat="1" ht="12.75">
      <c r="M223" s="4543">
        <v>14</v>
      </c>
      <c r="N223" s="4473" t="s">
        <v>249</v>
      </c>
      <c r="O223" s="4564" t="s">
        <v>16</v>
      </c>
      <c r="P223" s="4516" t="s">
        <v>3464</v>
      </c>
      <c r="Q223" s="4516" t="s">
        <v>3465</v>
      </c>
      <c r="R223" s="4515" t="s">
        <v>3466</v>
      </c>
      <c r="S223" s="4515" t="s">
        <v>3467</v>
      </c>
      <c r="T223" s="4515"/>
    </row>
    <row r="224" spans="13:20" s="74" customFormat="1" ht="12.75">
      <c r="M224" s="4543">
        <v>15</v>
      </c>
      <c r="N224" s="4473" t="s">
        <v>249</v>
      </c>
      <c r="O224" s="4473" t="s">
        <v>16</v>
      </c>
      <c r="P224" s="4518" t="s">
        <v>3468</v>
      </c>
      <c r="Q224" s="4518" t="s">
        <v>3469</v>
      </c>
      <c r="R224" s="4490" t="s">
        <v>3470</v>
      </c>
      <c r="S224" s="4490" t="s">
        <v>3471</v>
      </c>
      <c r="T224" s="4491"/>
    </row>
    <row r="225" spans="13:20" s="74" customFormat="1" ht="12.75">
      <c r="M225" s="4566"/>
      <c r="N225" s="4567"/>
      <c r="O225" s="4567"/>
      <c r="P225" s="4502"/>
      <c r="Q225" s="4502"/>
      <c r="R225" s="4503"/>
      <c r="S225" s="4568"/>
      <c r="T225" s="4567"/>
    </row>
    <row r="226" spans="13:20" s="74" customFormat="1" ht="12.75">
      <c r="M226" s="54"/>
      <c r="N226" s="54"/>
      <c r="O226" s="54"/>
      <c r="P226" s="54"/>
      <c r="Q226" s="54"/>
      <c r="R226" s="54"/>
      <c r="S226" s="54"/>
      <c r="T226" s="54"/>
    </row>
    <row r="227" spans="13:20" s="74" customFormat="1" ht="12.75">
      <c r="M227" s="4569" t="s">
        <v>331</v>
      </c>
      <c r="N227" s="4569" t="s">
        <v>68</v>
      </c>
      <c r="O227" s="4569" t="s">
        <v>69</v>
      </c>
      <c r="P227" s="4569" t="s">
        <v>543</v>
      </c>
      <c r="Q227" s="4570" t="s">
        <v>544</v>
      </c>
      <c r="R227" s="4571" t="s">
        <v>545</v>
      </c>
      <c r="S227" s="4571" t="s">
        <v>337</v>
      </c>
      <c r="T227" s="4571" t="s">
        <v>2618</v>
      </c>
    </row>
    <row r="228" spans="13:20" s="74" customFormat="1" ht="22.5">
      <c r="M228" s="4473">
        <v>1</v>
      </c>
      <c r="N228" s="4482" t="s">
        <v>48</v>
      </c>
      <c r="O228" s="4482" t="s">
        <v>21</v>
      </c>
      <c r="P228" s="4500" t="s">
        <v>3472</v>
      </c>
      <c r="Q228" s="4500" t="s">
        <v>3473</v>
      </c>
      <c r="R228" s="4481" t="s">
        <v>3474</v>
      </c>
      <c r="S228" s="4482" t="s">
        <v>3475</v>
      </c>
      <c r="T228" s="4486" t="s">
        <v>22</v>
      </c>
    </row>
    <row r="229" spans="13:20" s="74" customFormat="1" ht="22.5">
      <c r="M229" s="4473">
        <v>2</v>
      </c>
      <c r="N229" s="4482" t="s">
        <v>48</v>
      </c>
      <c r="O229" s="4482" t="s">
        <v>21</v>
      </c>
      <c r="P229" s="4500" t="s">
        <v>3476</v>
      </c>
      <c r="Q229" s="4500" t="s">
        <v>3477</v>
      </c>
      <c r="R229" s="4481" t="s">
        <v>3478</v>
      </c>
      <c r="S229" s="4482" t="s">
        <v>2675</v>
      </c>
      <c r="T229" s="4486" t="s">
        <v>22</v>
      </c>
    </row>
    <row r="230" spans="13:20" s="74" customFormat="1" ht="22.5">
      <c r="M230" s="4473">
        <v>3</v>
      </c>
      <c r="N230" s="4482" t="s">
        <v>48</v>
      </c>
      <c r="O230" s="4482" t="s">
        <v>21</v>
      </c>
      <c r="P230" s="4500" t="s">
        <v>3479</v>
      </c>
      <c r="Q230" s="4500" t="s">
        <v>3480</v>
      </c>
      <c r="R230" s="4481" t="s">
        <v>3478</v>
      </c>
      <c r="S230" s="4482" t="s">
        <v>2677</v>
      </c>
      <c r="T230" s="4486" t="s">
        <v>22</v>
      </c>
    </row>
    <row r="231" spans="13:20" s="74" customFormat="1" ht="22.5">
      <c r="M231" s="4473">
        <v>4</v>
      </c>
      <c r="N231" s="4482" t="s">
        <v>48</v>
      </c>
      <c r="O231" s="4482" t="s">
        <v>21</v>
      </c>
      <c r="P231" s="4572" t="s">
        <v>3481</v>
      </c>
      <c r="Q231" s="4573" t="s">
        <v>3482</v>
      </c>
      <c r="R231" s="4553" t="s">
        <v>2961</v>
      </c>
      <c r="S231" s="4574" t="s">
        <v>3483</v>
      </c>
      <c r="T231" s="4575" t="s">
        <v>22</v>
      </c>
    </row>
    <row r="232" spans="13:20" s="74" customFormat="1" ht="22.5">
      <c r="M232" s="4473">
        <v>5</v>
      </c>
      <c r="N232" s="4482" t="s">
        <v>48</v>
      </c>
      <c r="O232" s="4482" t="s">
        <v>41</v>
      </c>
      <c r="P232" s="4500" t="s">
        <v>3484</v>
      </c>
      <c r="Q232" s="4500" t="s">
        <v>3485</v>
      </c>
      <c r="R232" s="4486" t="s">
        <v>2961</v>
      </c>
      <c r="S232" s="4482" t="s">
        <v>3486</v>
      </c>
      <c r="T232" s="4480" t="s">
        <v>2665</v>
      </c>
    </row>
    <row r="233" spans="13:20" s="74" customFormat="1" ht="22.5">
      <c r="M233" s="4473">
        <v>6</v>
      </c>
      <c r="N233" s="4482" t="s">
        <v>48</v>
      </c>
      <c r="O233" s="4482" t="s">
        <v>41</v>
      </c>
      <c r="P233" s="4572" t="s">
        <v>3487</v>
      </c>
      <c r="Q233" s="4576" t="s">
        <v>3488</v>
      </c>
      <c r="R233" s="4575" t="s">
        <v>3489</v>
      </c>
      <c r="S233" s="4507" t="s">
        <v>3490</v>
      </c>
      <c r="T233" s="4508" t="s">
        <v>2668</v>
      </c>
    </row>
    <row r="234" spans="13:20" s="74" customFormat="1" ht="22.5">
      <c r="M234" s="4473">
        <v>7</v>
      </c>
      <c r="N234" s="4482" t="s">
        <v>48</v>
      </c>
      <c r="O234" s="4482" t="s">
        <v>16</v>
      </c>
      <c r="P234" s="4500" t="s">
        <v>3491</v>
      </c>
      <c r="Q234" s="4500" t="s">
        <v>3492</v>
      </c>
      <c r="R234" s="4481" t="s">
        <v>3493</v>
      </c>
      <c r="S234" s="4482" t="s">
        <v>3494</v>
      </c>
      <c r="T234" s="4508" t="s">
        <v>3268</v>
      </c>
    </row>
    <row r="235" spans="13:20" s="74" customFormat="1" ht="22.5">
      <c r="M235" s="4473">
        <v>8</v>
      </c>
      <c r="N235" s="4482" t="s">
        <v>48</v>
      </c>
      <c r="O235" s="4482" t="s">
        <v>16</v>
      </c>
      <c r="P235" s="4500" t="s">
        <v>3495</v>
      </c>
      <c r="Q235" s="4500" t="s">
        <v>3496</v>
      </c>
      <c r="R235" s="4481" t="s">
        <v>2961</v>
      </c>
      <c r="S235" s="4482" t="s">
        <v>2686</v>
      </c>
      <c r="T235" s="4480" t="s">
        <v>3268</v>
      </c>
    </row>
    <row r="236" spans="13:20" s="74" customFormat="1" ht="12.75">
      <c r="M236" s="4473">
        <v>9</v>
      </c>
      <c r="N236" s="4481" t="s">
        <v>48</v>
      </c>
      <c r="O236" s="4481" t="s">
        <v>21</v>
      </c>
      <c r="P236" s="4500" t="s">
        <v>2672</v>
      </c>
      <c r="Q236" s="4501" t="s">
        <v>3497</v>
      </c>
      <c r="R236" s="4480" t="s">
        <v>3498</v>
      </c>
      <c r="S236" s="4482" t="s">
        <v>2673</v>
      </c>
      <c r="T236" s="4480" t="s">
        <v>62</v>
      </c>
    </row>
    <row r="237" spans="13:20" s="74" customFormat="1" ht="22.5">
      <c r="M237" s="4473">
        <v>10</v>
      </c>
      <c r="N237" s="4481" t="s">
        <v>48</v>
      </c>
      <c r="O237" s="4481" t="s">
        <v>16</v>
      </c>
      <c r="P237" s="4500" t="s">
        <v>3499</v>
      </c>
      <c r="Q237" s="4501" t="s">
        <v>3500</v>
      </c>
      <c r="R237" s="4486" t="s">
        <v>2664</v>
      </c>
      <c r="S237" s="4481" t="s">
        <v>3501</v>
      </c>
      <c r="T237" s="4480" t="s">
        <v>19</v>
      </c>
    </row>
    <row r="238" spans="13:20" s="74" customFormat="1" ht="22.5">
      <c r="M238" s="4473">
        <v>11</v>
      </c>
      <c r="N238" s="4481" t="s">
        <v>48</v>
      </c>
      <c r="O238" s="4481" t="s">
        <v>16</v>
      </c>
      <c r="P238" s="4500" t="s">
        <v>3502</v>
      </c>
      <c r="Q238" s="4501" t="s">
        <v>3503</v>
      </c>
      <c r="R238" s="4486" t="s">
        <v>3504</v>
      </c>
      <c r="S238" s="4481" t="s">
        <v>3505</v>
      </c>
      <c r="T238" s="4480" t="s">
        <v>19</v>
      </c>
    </row>
    <row r="239" spans="13:20" s="74" customFormat="1" ht="22.5">
      <c r="M239" s="4473">
        <v>12</v>
      </c>
      <c r="N239" s="4481" t="s">
        <v>48</v>
      </c>
      <c r="O239" s="4481" t="s">
        <v>16</v>
      </c>
      <c r="P239" s="4500" t="s">
        <v>3506</v>
      </c>
      <c r="Q239" s="4501" t="s">
        <v>3507</v>
      </c>
      <c r="R239" s="4486" t="s">
        <v>3508</v>
      </c>
      <c r="S239" s="4481" t="s">
        <v>2683</v>
      </c>
      <c r="T239" s="4480" t="s">
        <v>19</v>
      </c>
    </row>
    <row r="240" spans="13:20" s="74" customFormat="1" ht="22.5">
      <c r="M240" s="4473">
        <v>13</v>
      </c>
      <c r="N240" s="4481" t="s">
        <v>48</v>
      </c>
      <c r="O240" s="4481" t="s">
        <v>16</v>
      </c>
      <c r="P240" s="4500" t="s">
        <v>3509</v>
      </c>
      <c r="Q240" s="4501" t="s">
        <v>3510</v>
      </c>
      <c r="R240" s="4486" t="s">
        <v>2669</v>
      </c>
      <c r="S240" s="4481" t="s">
        <v>2678</v>
      </c>
      <c r="T240" s="4480" t="s">
        <v>19</v>
      </c>
    </row>
    <row r="241" spans="13:20" s="74" customFormat="1" ht="12.75">
      <c r="M241" s="4473">
        <v>14</v>
      </c>
      <c r="N241" s="4481" t="s">
        <v>48</v>
      </c>
      <c r="O241" s="4481" t="s">
        <v>16</v>
      </c>
      <c r="P241" s="4500" t="s">
        <v>3511</v>
      </c>
      <c r="Q241" s="4500" t="s">
        <v>3512</v>
      </c>
      <c r="R241" s="4480" t="s">
        <v>3474</v>
      </c>
      <c r="S241" s="4481" t="s">
        <v>2681</v>
      </c>
      <c r="T241" s="4480" t="s">
        <v>2624</v>
      </c>
    </row>
    <row r="242" spans="13:20" s="74" customFormat="1" ht="22.5">
      <c r="M242" s="4473">
        <v>15</v>
      </c>
      <c r="N242" s="4481" t="s">
        <v>48</v>
      </c>
      <c r="O242" s="4481" t="s">
        <v>16</v>
      </c>
      <c r="P242" s="4500" t="s">
        <v>3513</v>
      </c>
      <c r="Q242" s="4500" t="s">
        <v>3514</v>
      </c>
      <c r="R242" s="4480" t="s">
        <v>3515</v>
      </c>
      <c r="S242" s="4481" t="s">
        <v>2667</v>
      </c>
      <c r="T242" s="4480" t="s">
        <v>2624</v>
      </c>
    </row>
    <row r="243" spans="13:20" s="74" customFormat="1" ht="22.5">
      <c r="M243" s="4473">
        <v>16</v>
      </c>
      <c r="N243" s="4481" t="s">
        <v>48</v>
      </c>
      <c r="O243" s="4481" t="s">
        <v>16</v>
      </c>
      <c r="P243" s="4500" t="s">
        <v>3516</v>
      </c>
      <c r="Q243" s="4500" t="s">
        <v>3517</v>
      </c>
      <c r="R243" s="4480" t="s">
        <v>3508</v>
      </c>
      <c r="S243" s="4481" t="s">
        <v>3518</v>
      </c>
      <c r="T243" s="4480" t="s">
        <v>2624</v>
      </c>
    </row>
    <row r="244" spans="13:20" s="74" customFormat="1" ht="22.5">
      <c r="M244" s="4473">
        <v>17</v>
      </c>
      <c r="N244" s="4481" t="s">
        <v>48</v>
      </c>
      <c r="O244" s="4481" t="s">
        <v>16</v>
      </c>
      <c r="P244" s="4500" t="s">
        <v>3519</v>
      </c>
      <c r="Q244" s="4500" t="s">
        <v>3520</v>
      </c>
      <c r="R244" s="4480" t="s">
        <v>3493</v>
      </c>
      <c r="S244" s="4481" t="s">
        <v>3521</v>
      </c>
      <c r="T244" s="4480" t="s">
        <v>2634</v>
      </c>
    </row>
    <row r="245" spans="13:20" s="74" customFormat="1" ht="33.75">
      <c r="M245" s="4473">
        <v>18</v>
      </c>
      <c r="N245" s="4481" t="s">
        <v>48</v>
      </c>
      <c r="O245" s="4481" t="s">
        <v>16</v>
      </c>
      <c r="P245" s="4500" t="s">
        <v>3522</v>
      </c>
      <c r="Q245" s="4500" t="s">
        <v>3523</v>
      </c>
      <c r="R245" s="4486" t="s">
        <v>3524</v>
      </c>
      <c r="S245" s="4481" t="s">
        <v>3525</v>
      </c>
      <c r="T245" s="4480" t="s">
        <v>35</v>
      </c>
    </row>
    <row r="246" spans="13:20" s="74" customFormat="1" ht="12.75">
      <c r="M246" s="4473">
        <v>19</v>
      </c>
      <c r="N246" s="4481" t="s">
        <v>48</v>
      </c>
      <c r="O246" s="4481" t="s">
        <v>16</v>
      </c>
      <c r="P246" s="4500" t="s">
        <v>3526</v>
      </c>
      <c r="Q246" s="4500" t="s">
        <v>3527</v>
      </c>
      <c r="R246" s="4480" t="s">
        <v>2961</v>
      </c>
      <c r="S246" s="4481" t="s">
        <v>2674</v>
      </c>
      <c r="T246" s="4480" t="s">
        <v>35</v>
      </c>
    </row>
    <row r="247" spans="13:20" s="74" customFormat="1" ht="12.75">
      <c r="M247" s="4473">
        <v>20</v>
      </c>
      <c r="N247" s="4481" t="s">
        <v>48</v>
      </c>
      <c r="O247" s="4481" t="s">
        <v>16</v>
      </c>
      <c r="P247" s="4500" t="s">
        <v>3528</v>
      </c>
      <c r="Q247" s="4500" t="s">
        <v>3529</v>
      </c>
      <c r="R247" s="4480" t="s">
        <v>3530</v>
      </c>
      <c r="S247" s="4481" t="s">
        <v>3531</v>
      </c>
      <c r="T247" s="4480" t="s">
        <v>35</v>
      </c>
    </row>
    <row r="248" spans="13:20" s="74" customFormat="1" ht="22.5">
      <c r="M248" s="4473">
        <v>21</v>
      </c>
      <c r="N248" s="4481" t="s">
        <v>48</v>
      </c>
      <c r="O248" s="4481" t="s">
        <v>16</v>
      </c>
      <c r="P248" s="4500" t="s">
        <v>3532</v>
      </c>
      <c r="Q248" s="4500" t="s">
        <v>3533</v>
      </c>
      <c r="R248" s="4480" t="s">
        <v>3534</v>
      </c>
      <c r="S248" s="4481" t="s">
        <v>3535</v>
      </c>
      <c r="T248" s="4480" t="s">
        <v>35</v>
      </c>
    </row>
    <row r="249" spans="13:20" s="74" customFormat="1" ht="22.5">
      <c r="M249" s="4473">
        <v>22</v>
      </c>
      <c r="N249" s="4481" t="s">
        <v>48</v>
      </c>
      <c r="O249" s="4481" t="s">
        <v>21</v>
      </c>
      <c r="P249" s="4500" t="s">
        <v>3536</v>
      </c>
      <c r="Q249" s="4500" t="s">
        <v>3537</v>
      </c>
      <c r="R249" s="4480" t="s">
        <v>3474</v>
      </c>
      <c r="S249" s="4481" t="s">
        <v>2666</v>
      </c>
      <c r="T249" s="4480" t="s">
        <v>2623</v>
      </c>
    </row>
    <row r="250" spans="13:20" s="74" customFormat="1" ht="22.5">
      <c r="M250" s="4473">
        <v>23</v>
      </c>
      <c r="N250" s="4481" t="s">
        <v>48</v>
      </c>
      <c r="O250" s="4481" t="s">
        <v>16</v>
      </c>
      <c r="P250" s="4500" t="s">
        <v>3538</v>
      </c>
      <c r="Q250" s="4501" t="s">
        <v>3539</v>
      </c>
      <c r="R250" s="4480" t="s">
        <v>3540</v>
      </c>
      <c r="S250" s="4482" t="s">
        <v>2671</v>
      </c>
      <c r="T250" s="4480" t="s">
        <v>2676</v>
      </c>
    </row>
    <row r="251" spans="13:20" s="74" customFormat="1" ht="22.5">
      <c r="M251" s="4473">
        <v>24</v>
      </c>
      <c r="N251" s="4481" t="s">
        <v>48</v>
      </c>
      <c r="O251" s="4481" t="s">
        <v>16</v>
      </c>
      <c r="P251" s="4500" t="s">
        <v>3541</v>
      </c>
      <c r="Q251" s="4500" t="s">
        <v>1817</v>
      </c>
      <c r="R251" s="4480" t="s">
        <v>2961</v>
      </c>
      <c r="S251" s="4486" t="s">
        <v>3542</v>
      </c>
      <c r="T251" s="4480" t="s">
        <v>36</v>
      </c>
    </row>
    <row r="252" spans="13:20" s="74" customFormat="1" ht="12.75">
      <c r="M252" s="4473">
        <v>25</v>
      </c>
      <c r="N252" s="4481" t="s">
        <v>48</v>
      </c>
      <c r="O252" s="4481" t="s">
        <v>16</v>
      </c>
      <c r="P252" s="4500" t="s">
        <v>3543</v>
      </c>
      <c r="Q252" s="4500" t="s">
        <v>3544</v>
      </c>
      <c r="R252" s="4486" t="s">
        <v>2664</v>
      </c>
      <c r="S252" s="4480" t="s">
        <v>3545</v>
      </c>
      <c r="T252" s="4480" t="s">
        <v>560</v>
      </c>
    </row>
    <row r="253" spans="13:20" s="74" customFormat="1" ht="22.5">
      <c r="M253" s="4473">
        <v>26</v>
      </c>
      <c r="N253" s="4481" t="s">
        <v>48</v>
      </c>
      <c r="O253" s="4481" t="s">
        <v>16</v>
      </c>
      <c r="P253" s="4500" t="s">
        <v>3546</v>
      </c>
      <c r="Q253" s="4500" t="s">
        <v>3547</v>
      </c>
      <c r="R253" s="4480" t="s">
        <v>3548</v>
      </c>
      <c r="S253" s="4480" t="s">
        <v>3549</v>
      </c>
      <c r="T253" s="4486" t="s">
        <v>2637</v>
      </c>
    </row>
    <row r="254" spans="13:20" s="74" customFormat="1" ht="22.5">
      <c r="M254" s="4473">
        <v>27</v>
      </c>
      <c r="N254" s="4481" t="s">
        <v>48</v>
      </c>
      <c r="O254" s="4481" t="s">
        <v>41</v>
      </c>
      <c r="P254" s="4500" t="s">
        <v>3550</v>
      </c>
      <c r="Q254" s="4500" t="s">
        <v>3551</v>
      </c>
      <c r="R254" s="4480" t="s">
        <v>3552</v>
      </c>
      <c r="S254" s="4480" t="s">
        <v>3553</v>
      </c>
      <c r="T254" s="4486" t="s">
        <v>2637</v>
      </c>
    </row>
    <row r="255" spans="13:20" s="74" customFormat="1" ht="22.5">
      <c r="M255" s="4473">
        <v>28</v>
      </c>
      <c r="N255" s="4481" t="s">
        <v>48</v>
      </c>
      <c r="O255" s="4481" t="s">
        <v>16</v>
      </c>
      <c r="P255" s="4500" t="s">
        <v>3554</v>
      </c>
      <c r="Q255" s="4500" t="s">
        <v>3555</v>
      </c>
      <c r="R255" s="4486" t="s">
        <v>3556</v>
      </c>
      <c r="S255" s="4480" t="s">
        <v>3557</v>
      </c>
      <c r="T255" s="4486" t="s">
        <v>2680</v>
      </c>
    </row>
    <row r="256" spans="13:20" s="74" customFormat="1" ht="22.5">
      <c r="M256" s="4473">
        <v>29</v>
      </c>
      <c r="N256" s="4481" t="s">
        <v>48</v>
      </c>
      <c r="O256" s="4481" t="s">
        <v>16</v>
      </c>
      <c r="P256" s="4500" t="s">
        <v>3558</v>
      </c>
      <c r="Q256" s="4500" t="s">
        <v>3559</v>
      </c>
      <c r="R256" s="4481" t="s">
        <v>3560</v>
      </c>
      <c r="S256" s="4480" t="s">
        <v>3561</v>
      </c>
      <c r="T256" s="4486" t="s">
        <v>2630</v>
      </c>
    </row>
    <row r="257" spans="13:20" s="74" customFormat="1" ht="22.5">
      <c r="M257" s="4473">
        <v>30</v>
      </c>
      <c r="N257" s="4481" t="s">
        <v>48</v>
      </c>
      <c r="O257" s="4481" t="s">
        <v>16</v>
      </c>
      <c r="P257" s="4500" t="s">
        <v>3562</v>
      </c>
      <c r="Q257" s="4501" t="s">
        <v>3563</v>
      </c>
      <c r="R257" s="4480" t="s">
        <v>3564</v>
      </c>
      <c r="S257" s="4480" t="s">
        <v>3565</v>
      </c>
      <c r="T257" s="4486" t="s">
        <v>2630</v>
      </c>
    </row>
    <row r="258" spans="13:20" s="74" customFormat="1" ht="12.75">
      <c r="M258" s="4473">
        <v>31</v>
      </c>
      <c r="N258" s="4481" t="s">
        <v>48</v>
      </c>
      <c r="O258" s="4481" t="s">
        <v>16</v>
      </c>
      <c r="P258" s="4500" t="s">
        <v>3566</v>
      </c>
      <c r="Q258" s="4500" t="s">
        <v>3567</v>
      </c>
      <c r="R258" s="4486" t="s">
        <v>2961</v>
      </c>
      <c r="S258" s="4480" t="s">
        <v>3568</v>
      </c>
      <c r="T258" s="4486" t="s">
        <v>2630</v>
      </c>
    </row>
    <row r="259" spans="13:20" s="74" customFormat="1" ht="12.75">
      <c r="M259" s="4473">
        <v>32</v>
      </c>
      <c r="N259" s="4481" t="s">
        <v>48</v>
      </c>
      <c r="O259" s="4481" t="s">
        <v>16</v>
      </c>
      <c r="P259" s="4500" t="s">
        <v>3569</v>
      </c>
      <c r="Q259" s="4501" t="s">
        <v>3570</v>
      </c>
      <c r="R259" s="4480" t="s">
        <v>3474</v>
      </c>
      <c r="S259" s="4480" t="s">
        <v>3571</v>
      </c>
      <c r="T259" s="4486" t="s">
        <v>2630</v>
      </c>
    </row>
    <row r="260" spans="13:20" s="74" customFormat="1" ht="33.75">
      <c r="M260" s="4473">
        <v>33</v>
      </c>
      <c r="N260" s="4481" t="s">
        <v>48</v>
      </c>
      <c r="O260" s="4481" t="s">
        <v>16</v>
      </c>
      <c r="P260" s="4572" t="s">
        <v>3572</v>
      </c>
      <c r="Q260" s="4500" t="s">
        <v>3573</v>
      </c>
      <c r="R260" s="4480" t="s">
        <v>2961</v>
      </c>
      <c r="S260" s="4480" t="s">
        <v>3574</v>
      </c>
      <c r="T260" s="4486" t="s">
        <v>2630</v>
      </c>
    </row>
    <row r="261" spans="13:20" s="74" customFormat="1" ht="22.5">
      <c r="M261" s="4473">
        <v>34</v>
      </c>
      <c r="N261" s="4481" t="s">
        <v>48</v>
      </c>
      <c r="O261" s="4481" t="s">
        <v>16</v>
      </c>
      <c r="P261" s="4500" t="s">
        <v>3575</v>
      </c>
      <c r="Q261" s="4500" t="s">
        <v>3576</v>
      </c>
      <c r="R261" s="4480" t="s">
        <v>2961</v>
      </c>
      <c r="S261" s="4480" t="s">
        <v>3577</v>
      </c>
      <c r="T261" s="4486" t="s">
        <v>2630</v>
      </c>
    </row>
    <row r="262" spans="13:20" s="74" customFormat="1" ht="22.5">
      <c r="M262" s="4473">
        <v>35</v>
      </c>
      <c r="N262" s="4481" t="s">
        <v>48</v>
      </c>
      <c r="O262" s="4481" t="s">
        <v>16</v>
      </c>
      <c r="P262" s="4500" t="s">
        <v>3578</v>
      </c>
      <c r="Q262" s="4500" t="s">
        <v>3579</v>
      </c>
      <c r="R262" s="4480" t="s">
        <v>3580</v>
      </c>
      <c r="S262" s="4480" t="s">
        <v>3581</v>
      </c>
      <c r="T262" s="4486" t="s">
        <v>2630</v>
      </c>
    </row>
    <row r="263" spans="13:20" s="74" customFormat="1" ht="12.75">
      <c r="M263" s="4473">
        <v>36</v>
      </c>
      <c r="N263" s="4481" t="s">
        <v>48</v>
      </c>
      <c r="O263" s="4481" t="s">
        <v>16</v>
      </c>
      <c r="P263" s="4500" t="s">
        <v>3582</v>
      </c>
      <c r="Q263" s="4500" t="s">
        <v>3583</v>
      </c>
      <c r="R263" s="4480" t="s">
        <v>3508</v>
      </c>
      <c r="S263" s="4480" t="s">
        <v>3584</v>
      </c>
      <c r="T263" s="4486" t="s">
        <v>2630</v>
      </c>
    </row>
    <row r="264" spans="13:20" s="74" customFormat="1" ht="12.75">
      <c r="M264" s="4473">
        <v>37</v>
      </c>
      <c r="N264" s="4481" t="s">
        <v>48</v>
      </c>
      <c r="O264" s="4481" t="s">
        <v>16</v>
      </c>
      <c r="P264" s="4500" t="s">
        <v>3585</v>
      </c>
      <c r="Q264" s="4500" t="s">
        <v>3586</v>
      </c>
      <c r="R264" s="4481" t="s">
        <v>3508</v>
      </c>
      <c r="S264" s="4480" t="s">
        <v>2690</v>
      </c>
      <c r="T264" s="4486" t="s">
        <v>2630</v>
      </c>
    </row>
    <row r="265" spans="13:20" s="74" customFormat="1" ht="22.5">
      <c r="M265" s="4473">
        <v>38</v>
      </c>
      <c r="N265" s="4481" t="s">
        <v>48</v>
      </c>
      <c r="O265" s="4481" t="s">
        <v>16</v>
      </c>
      <c r="P265" s="4500" t="s">
        <v>3587</v>
      </c>
      <c r="Q265" s="4500" t="s">
        <v>3588</v>
      </c>
      <c r="R265" s="4480" t="s">
        <v>2961</v>
      </c>
      <c r="S265" s="4480" t="s">
        <v>3589</v>
      </c>
      <c r="T265" s="4480" t="s">
        <v>50</v>
      </c>
    </row>
    <row r="266" spans="13:20" s="74" customFormat="1" ht="22.5">
      <c r="M266" s="4473">
        <v>39</v>
      </c>
      <c r="N266" s="4481" t="s">
        <v>48</v>
      </c>
      <c r="O266" s="4481" t="s">
        <v>16</v>
      </c>
      <c r="P266" s="4500" t="s">
        <v>3590</v>
      </c>
      <c r="Q266" s="4501" t="s">
        <v>3591</v>
      </c>
      <c r="R266" s="4480" t="s">
        <v>3474</v>
      </c>
      <c r="S266" s="4480" t="s">
        <v>3592</v>
      </c>
      <c r="T266" s="4480" t="s">
        <v>20</v>
      </c>
    </row>
    <row r="267" spans="13:20" s="74" customFormat="1" ht="22.5">
      <c r="M267" s="4473">
        <v>40</v>
      </c>
      <c r="N267" s="4481" t="s">
        <v>48</v>
      </c>
      <c r="O267" s="4481" t="s">
        <v>16</v>
      </c>
      <c r="P267" s="4500" t="s">
        <v>3593</v>
      </c>
      <c r="Q267" s="4500" t="s">
        <v>3594</v>
      </c>
      <c r="R267" s="4480" t="s">
        <v>3493</v>
      </c>
      <c r="S267" s="4480" t="s">
        <v>3595</v>
      </c>
      <c r="T267" s="4480" t="s">
        <v>20</v>
      </c>
    </row>
    <row r="268" spans="13:20" s="74" customFormat="1" ht="22.5">
      <c r="M268" s="4473">
        <v>41</v>
      </c>
      <c r="N268" s="4481" t="s">
        <v>48</v>
      </c>
      <c r="O268" s="4481" t="s">
        <v>16</v>
      </c>
      <c r="P268" s="4500" t="s">
        <v>3596</v>
      </c>
      <c r="Q268" s="4500" t="s">
        <v>3597</v>
      </c>
      <c r="R268" s="4480" t="s">
        <v>2640</v>
      </c>
      <c r="S268" s="4480" t="s">
        <v>3598</v>
      </c>
      <c r="T268" s="4480" t="s">
        <v>20</v>
      </c>
    </row>
    <row r="269" spans="13:20" s="74" customFormat="1" ht="12.75">
      <c r="M269" s="4473">
        <v>42</v>
      </c>
      <c r="N269" s="4481" t="s">
        <v>48</v>
      </c>
      <c r="O269" s="4481" t="s">
        <v>16</v>
      </c>
      <c r="P269" s="4500" t="s">
        <v>2688</v>
      </c>
      <c r="Q269" s="4501" t="s">
        <v>3599</v>
      </c>
      <c r="R269" s="4486" t="s">
        <v>3474</v>
      </c>
      <c r="S269" s="4480" t="s">
        <v>3600</v>
      </c>
      <c r="T269" s="4480" t="s">
        <v>20</v>
      </c>
    </row>
    <row r="270" spans="13:20" s="74" customFormat="1" ht="22.5">
      <c r="M270" s="4473">
        <v>43</v>
      </c>
      <c r="N270" s="4481" t="s">
        <v>48</v>
      </c>
      <c r="O270" s="4481" t="s">
        <v>16</v>
      </c>
      <c r="P270" s="4500" t="s">
        <v>3601</v>
      </c>
      <c r="Q270" s="4500" t="s">
        <v>3602</v>
      </c>
      <c r="R270" s="4480" t="s">
        <v>3474</v>
      </c>
      <c r="S270" s="4480" t="s">
        <v>3603</v>
      </c>
      <c r="T270" s="4480" t="s">
        <v>20</v>
      </c>
    </row>
    <row r="271" spans="13:20" s="74" customFormat="1" ht="33.75">
      <c r="M271" s="4473">
        <v>44</v>
      </c>
      <c r="N271" s="4481" t="s">
        <v>48</v>
      </c>
      <c r="O271" s="4481" t="s">
        <v>16</v>
      </c>
      <c r="P271" s="4500" t="s">
        <v>3604</v>
      </c>
      <c r="Q271" s="4501" t="s">
        <v>3605</v>
      </c>
      <c r="R271" s="4480" t="s">
        <v>3606</v>
      </c>
      <c r="S271" s="4480" t="s">
        <v>3607</v>
      </c>
      <c r="T271" s="4480" t="s">
        <v>2622</v>
      </c>
    </row>
    <row r="272" spans="13:20" s="74" customFormat="1" ht="22.5">
      <c r="M272" s="4473">
        <v>45</v>
      </c>
      <c r="N272" s="4481" t="s">
        <v>48</v>
      </c>
      <c r="O272" s="4481" t="s">
        <v>21</v>
      </c>
      <c r="P272" s="4500" t="s">
        <v>3608</v>
      </c>
      <c r="Q272" s="4501" t="s">
        <v>3609</v>
      </c>
      <c r="R272" s="4480" t="s">
        <v>3474</v>
      </c>
      <c r="S272" s="4480" t="s">
        <v>3610</v>
      </c>
      <c r="T272" s="4480" t="s">
        <v>2622</v>
      </c>
    </row>
    <row r="273" spans="13:20" s="74" customFormat="1" ht="22.5">
      <c r="M273" s="4473">
        <v>46</v>
      </c>
      <c r="N273" s="4490" t="s">
        <v>48</v>
      </c>
      <c r="O273" s="4490" t="s">
        <v>16</v>
      </c>
      <c r="P273" s="4500" t="s">
        <v>3611</v>
      </c>
      <c r="Q273" s="4500" t="s">
        <v>3612</v>
      </c>
      <c r="R273" s="4486" t="s">
        <v>3474</v>
      </c>
      <c r="S273" s="4480" t="s">
        <v>3613</v>
      </c>
      <c r="T273" s="4480" t="s">
        <v>2622</v>
      </c>
    </row>
    <row r="274" spans="13:20" s="74" customFormat="1" ht="33.75">
      <c r="M274" s="4473">
        <v>47</v>
      </c>
      <c r="N274" s="4490" t="s">
        <v>48</v>
      </c>
      <c r="O274" s="4490" t="s">
        <v>16</v>
      </c>
      <c r="P274" s="4500" t="s">
        <v>3614</v>
      </c>
      <c r="Q274" s="4501" t="s">
        <v>3615</v>
      </c>
      <c r="R274" s="4486" t="s">
        <v>3474</v>
      </c>
      <c r="S274" s="4480" t="s">
        <v>3616</v>
      </c>
      <c r="T274" s="4480" t="s">
        <v>2622</v>
      </c>
    </row>
    <row r="275" spans="13:20" s="74" customFormat="1" ht="22.5">
      <c r="M275" s="4473">
        <v>48</v>
      </c>
      <c r="N275" s="4515" t="s">
        <v>48</v>
      </c>
      <c r="O275" s="4515" t="s">
        <v>16</v>
      </c>
      <c r="P275" s="4577" t="s">
        <v>3516</v>
      </c>
      <c r="Q275" s="4578" t="s">
        <v>3617</v>
      </c>
      <c r="R275" s="4515" t="s">
        <v>3508</v>
      </c>
      <c r="S275" s="4555" t="s">
        <v>2679</v>
      </c>
      <c r="T275" s="4555" t="s">
        <v>17</v>
      </c>
    </row>
    <row r="276" spans="13:20" s="74" customFormat="1" ht="22.5">
      <c r="M276" s="4473">
        <v>49</v>
      </c>
      <c r="N276" s="4515" t="s">
        <v>48</v>
      </c>
      <c r="O276" s="4515" t="s">
        <v>16</v>
      </c>
      <c r="P276" s="4577" t="s">
        <v>3618</v>
      </c>
      <c r="Q276" s="4578" t="s">
        <v>3619</v>
      </c>
      <c r="R276" s="4515" t="s">
        <v>3620</v>
      </c>
      <c r="S276" s="4555" t="s">
        <v>3621</v>
      </c>
      <c r="T276" s="4555" t="s">
        <v>2639</v>
      </c>
    </row>
    <row r="277" spans="13:20" s="74" customFormat="1" ht="22.5">
      <c r="M277" s="4473">
        <v>50</v>
      </c>
      <c r="N277" s="4515" t="s">
        <v>48</v>
      </c>
      <c r="O277" s="4515" t="s">
        <v>16</v>
      </c>
      <c r="P277" s="4577" t="s">
        <v>3622</v>
      </c>
      <c r="Q277" s="4577" t="s">
        <v>3623</v>
      </c>
      <c r="R277" s="4515" t="s">
        <v>3620</v>
      </c>
      <c r="S277" s="4555" t="s">
        <v>3624</v>
      </c>
      <c r="T277" s="4555" t="s">
        <v>2639</v>
      </c>
    </row>
    <row r="278" spans="13:20" s="74" customFormat="1" ht="22.5">
      <c r="M278" s="4473">
        <v>51</v>
      </c>
      <c r="N278" s="4515" t="s">
        <v>48</v>
      </c>
      <c r="O278" s="4515" t="s">
        <v>21</v>
      </c>
      <c r="P278" s="4577" t="s">
        <v>3625</v>
      </c>
      <c r="Q278" s="4577" t="s">
        <v>3626</v>
      </c>
      <c r="R278" s="4555" t="s">
        <v>3474</v>
      </c>
      <c r="S278" s="4555" t="s">
        <v>3627</v>
      </c>
      <c r="T278" s="4555" t="s">
        <v>22</v>
      </c>
    </row>
    <row r="279" spans="13:20" s="74" customFormat="1" ht="33.75">
      <c r="M279" s="4473">
        <v>52</v>
      </c>
      <c r="N279" s="4515" t="s">
        <v>48</v>
      </c>
      <c r="O279" s="4515" t="s">
        <v>41</v>
      </c>
      <c r="P279" s="4577" t="s">
        <v>3628</v>
      </c>
      <c r="Q279" s="4577" t="s">
        <v>3629</v>
      </c>
      <c r="R279" s="4515" t="s">
        <v>3630</v>
      </c>
      <c r="S279" s="4555" t="s">
        <v>3631</v>
      </c>
      <c r="T279" s="4555" t="s">
        <v>42</v>
      </c>
    </row>
    <row r="280" spans="13:20" s="74" customFormat="1" ht="22.5">
      <c r="M280" s="4473">
        <v>53</v>
      </c>
      <c r="N280" s="4515" t="s">
        <v>48</v>
      </c>
      <c r="O280" s="4515" t="s">
        <v>41</v>
      </c>
      <c r="P280" s="4577" t="s">
        <v>3632</v>
      </c>
      <c r="Q280" s="4577" t="s">
        <v>3633</v>
      </c>
      <c r="R280" s="4515" t="s">
        <v>2640</v>
      </c>
      <c r="S280" s="4515" t="s">
        <v>2682</v>
      </c>
      <c r="T280" s="4555" t="s">
        <v>42</v>
      </c>
    </row>
    <row r="281" spans="13:20" s="74" customFormat="1" ht="22.5">
      <c r="M281" s="4473">
        <v>54</v>
      </c>
      <c r="N281" s="4515" t="s">
        <v>48</v>
      </c>
      <c r="O281" s="4515" t="s">
        <v>41</v>
      </c>
      <c r="P281" s="4577" t="s">
        <v>3634</v>
      </c>
      <c r="Q281" s="4577" t="s">
        <v>3635</v>
      </c>
      <c r="R281" s="4515" t="s">
        <v>3636</v>
      </c>
      <c r="S281" s="4515" t="s">
        <v>3637</v>
      </c>
      <c r="T281" s="4555" t="s">
        <v>42</v>
      </c>
    </row>
    <row r="282" spans="13:20" s="74" customFormat="1" ht="22.5">
      <c r="M282" s="4473">
        <v>55</v>
      </c>
      <c r="N282" s="4515" t="s">
        <v>48</v>
      </c>
      <c r="O282" s="4515" t="s">
        <v>41</v>
      </c>
      <c r="P282" s="4577" t="s">
        <v>3638</v>
      </c>
      <c r="Q282" s="4577" t="s">
        <v>3639</v>
      </c>
      <c r="R282" s="4515" t="s">
        <v>3640</v>
      </c>
      <c r="S282" s="4515" t="s">
        <v>3641</v>
      </c>
      <c r="T282" s="4515" t="s">
        <v>2665</v>
      </c>
    </row>
    <row r="283" spans="13:20" s="74" customFormat="1" ht="22.5">
      <c r="M283" s="4473">
        <v>56</v>
      </c>
      <c r="N283" s="4515" t="s">
        <v>48</v>
      </c>
      <c r="O283" s="4515" t="s">
        <v>41</v>
      </c>
      <c r="P283" s="4577" t="s">
        <v>3642</v>
      </c>
      <c r="Q283" s="4577" t="s">
        <v>3643</v>
      </c>
      <c r="R283" s="4515" t="s">
        <v>3644</v>
      </c>
      <c r="S283" s="4515" t="s">
        <v>3631</v>
      </c>
      <c r="T283" s="4515" t="s">
        <v>2665</v>
      </c>
    </row>
    <row r="284" spans="13:20" s="74" customFormat="1" ht="22.5">
      <c r="M284" s="4473">
        <v>57</v>
      </c>
      <c r="N284" s="4515" t="s">
        <v>48</v>
      </c>
      <c r="O284" s="4515" t="s">
        <v>41</v>
      </c>
      <c r="P284" s="4577" t="s">
        <v>3645</v>
      </c>
      <c r="Q284" s="4577" t="s">
        <v>3646</v>
      </c>
      <c r="R284" s="4515" t="s">
        <v>2961</v>
      </c>
      <c r="S284" s="4515" t="s">
        <v>3647</v>
      </c>
      <c r="T284" s="4515" t="s">
        <v>2665</v>
      </c>
    </row>
    <row r="285" spans="13:20" s="74" customFormat="1" ht="22.5">
      <c r="M285" s="4473">
        <v>58</v>
      </c>
      <c r="N285" s="4515" t="s">
        <v>48</v>
      </c>
      <c r="O285" s="4515" t="s">
        <v>41</v>
      </c>
      <c r="P285" s="4577" t="s">
        <v>3648</v>
      </c>
      <c r="Q285" s="4577" t="s">
        <v>3649</v>
      </c>
      <c r="R285" s="4515" t="s">
        <v>3650</v>
      </c>
      <c r="S285" s="4515" t="s">
        <v>3651</v>
      </c>
      <c r="T285" s="4515" t="s">
        <v>2665</v>
      </c>
    </row>
    <row r="286" spans="13:20" s="74" customFormat="1" ht="22.5">
      <c r="M286" s="4473">
        <v>59</v>
      </c>
      <c r="N286" s="4515" t="s">
        <v>48</v>
      </c>
      <c r="O286" s="4515" t="s">
        <v>41</v>
      </c>
      <c r="P286" s="4577" t="s">
        <v>3652</v>
      </c>
      <c r="Q286" s="4577" t="s">
        <v>3653</v>
      </c>
      <c r="R286" s="4515" t="s">
        <v>2961</v>
      </c>
      <c r="S286" s="4515" t="s">
        <v>3654</v>
      </c>
      <c r="T286" s="4515" t="s">
        <v>2665</v>
      </c>
    </row>
    <row r="287" spans="13:20" s="74" customFormat="1" ht="22.5">
      <c r="M287" s="4473">
        <v>60</v>
      </c>
      <c r="N287" s="4515" t="s">
        <v>48</v>
      </c>
      <c r="O287" s="4515" t="s">
        <v>41</v>
      </c>
      <c r="P287" s="4577" t="s">
        <v>3655</v>
      </c>
      <c r="Q287" s="4577" t="s">
        <v>3656</v>
      </c>
      <c r="R287" s="4515" t="s">
        <v>3657</v>
      </c>
      <c r="S287" s="4515" t="s">
        <v>3658</v>
      </c>
      <c r="T287" s="4515" t="s">
        <v>2668</v>
      </c>
    </row>
    <row r="288" spans="13:20" s="74" customFormat="1" ht="22.5">
      <c r="M288" s="4473">
        <v>61</v>
      </c>
      <c r="N288" s="4515" t="s">
        <v>48</v>
      </c>
      <c r="O288" s="4515" t="s">
        <v>41</v>
      </c>
      <c r="P288" s="4577" t="s">
        <v>3659</v>
      </c>
      <c r="Q288" s="4577" t="s">
        <v>3488</v>
      </c>
      <c r="R288" s="4515" t="s">
        <v>3660</v>
      </c>
      <c r="S288" s="4515" t="s">
        <v>3490</v>
      </c>
      <c r="T288" s="4515" t="s">
        <v>2668</v>
      </c>
    </row>
    <row r="289" spans="13:20" s="74" customFormat="1" ht="33.75">
      <c r="M289" s="4473">
        <v>62</v>
      </c>
      <c r="N289" s="4515" t="s">
        <v>48</v>
      </c>
      <c r="O289" s="4515" t="s">
        <v>41</v>
      </c>
      <c r="P289" s="4577" t="s">
        <v>3661</v>
      </c>
      <c r="Q289" s="4577" t="s">
        <v>3662</v>
      </c>
      <c r="R289" s="4515" t="s">
        <v>3663</v>
      </c>
      <c r="S289" s="4515" t="s">
        <v>3664</v>
      </c>
      <c r="T289" s="4515" t="s">
        <v>2668</v>
      </c>
    </row>
    <row r="290" spans="13:20" s="74" customFormat="1" ht="22.5">
      <c r="M290" s="4473">
        <v>63</v>
      </c>
      <c r="N290" s="4515" t="s">
        <v>48</v>
      </c>
      <c r="O290" s="4515" t="s">
        <v>16</v>
      </c>
      <c r="P290" s="4577" t="s">
        <v>3665</v>
      </c>
      <c r="Q290" s="4577" t="s">
        <v>3666</v>
      </c>
      <c r="R290" s="4515" t="s">
        <v>3667</v>
      </c>
      <c r="S290" s="4515" t="s">
        <v>3668</v>
      </c>
      <c r="T290" s="4517" t="s">
        <v>19</v>
      </c>
    </row>
    <row r="291" spans="13:20" s="74" customFormat="1" ht="22.5">
      <c r="M291" s="4473">
        <v>64</v>
      </c>
      <c r="N291" s="4515" t="s">
        <v>48</v>
      </c>
      <c r="O291" s="4515" t="s">
        <v>16</v>
      </c>
      <c r="P291" s="4577" t="s">
        <v>3669</v>
      </c>
      <c r="Q291" s="4577" t="s">
        <v>3670</v>
      </c>
      <c r="R291" s="4515" t="s">
        <v>3474</v>
      </c>
      <c r="S291" s="4515" t="s">
        <v>2684</v>
      </c>
      <c r="T291" s="4517" t="s">
        <v>2624</v>
      </c>
    </row>
    <row r="292" spans="13:20" s="74" customFormat="1" ht="22.5">
      <c r="M292" s="4473">
        <v>65</v>
      </c>
      <c r="N292" s="4515" t="s">
        <v>48</v>
      </c>
      <c r="O292" s="4515" t="s">
        <v>16</v>
      </c>
      <c r="P292" s="4577" t="s">
        <v>3538</v>
      </c>
      <c r="Q292" s="4577" t="s">
        <v>3671</v>
      </c>
      <c r="R292" s="4515" t="s">
        <v>3540</v>
      </c>
      <c r="S292" s="4515" t="s">
        <v>2671</v>
      </c>
      <c r="T292" s="4517" t="s">
        <v>2676</v>
      </c>
    </row>
    <row r="293" spans="13:20" s="74" customFormat="1" ht="22.5">
      <c r="M293" s="4473">
        <v>66</v>
      </c>
      <c r="N293" s="4515" t="s">
        <v>48</v>
      </c>
      <c r="O293" s="4515" t="s">
        <v>16</v>
      </c>
      <c r="P293" s="4577" t="s">
        <v>3546</v>
      </c>
      <c r="Q293" s="4577" t="s">
        <v>3547</v>
      </c>
      <c r="R293" s="4515" t="s">
        <v>3548</v>
      </c>
      <c r="S293" s="4515" t="s">
        <v>3549</v>
      </c>
      <c r="T293" s="4517" t="s">
        <v>2637</v>
      </c>
    </row>
    <row r="294" spans="13:20" s="74" customFormat="1" ht="22.5">
      <c r="M294" s="4473">
        <v>67</v>
      </c>
      <c r="N294" s="4515" t="s">
        <v>48</v>
      </c>
      <c r="O294" s="4515" t="s">
        <v>16</v>
      </c>
      <c r="P294" s="4577" t="s">
        <v>3562</v>
      </c>
      <c r="Q294" s="4577" t="s">
        <v>3563</v>
      </c>
      <c r="R294" s="4515" t="s">
        <v>3564</v>
      </c>
      <c r="S294" s="4515" t="s">
        <v>3672</v>
      </c>
      <c r="T294" s="4517" t="s">
        <v>2630</v>
      </c>
    </row>
    <row r="295" spans="13:20" s="74" customFormat="1" ht="12.75">
      <c r="M295" s="4473">
        <v>68</v>
      </c>
      <c r="N295" s="4515" t="s">
        <v>48</v>
      </c>
      <c r="O295" s="4515" t="s">
        <v>16</v>
      </c>
      <c r="P295" s="4577" t="s">
        <v>3566</v>
      </c>
      <c r="Q295" s="4577" t="s">
        <v>3567</v>
      </c>
      <c r="R295" s="4515" t="s">
        <v>2961</v>
      </c>
      <c r="S295" s="4515" t="s">
        <v>3568</v>
      </c>
      <c r="T295" s="4517" t="s">
        <v>2630</v>
      </c>
    </row>
    <row r="296" spans="13:20" s="74" customFormat="1" ht="12.75">
      <c r="M296" s="4473">
        <v>69</v>
      </c>
      <c r="N296" s="4515" t="s">
        <v>48</v>
      </c>
      <c r="O296" s="4515" t="s">
        <v>16</v>
      </c>
      <c r="P296" s="4577" t="s">
        <v>3569</v>
      </c>
      <c r="Q296" s="4577" t="s">
        <v>3570</v>
      </c>
      <c r="R296" s="4515" t="s">
        <v>3474</v>
      </c>
      <c r="S296" s="4515" t="s">
        <v>3673</v>
      </c>
      <c r="T296" s="4517" t="s">
        <v>2630</v>
      </c>
    </row>
    <row r="297" spans="13:20" s="74" customFormat="1" ht="33.75">
      <c r="M297" s="4473">
        <v>70</v>
      </c>
      <c r="N297" s="4515" t="s">
        <v>48</v>
      </c>
      <c r="O297" s="4515" t="s">
        <v>41</v>
      </c>
      <c r="P297" s="4577" t="s">
        <v>3674</v>
      </c>
      <c r="Q297" s="4577" t="s">
        <v>3675</v>
      </c>
      <c r="R297" s="4515" t="s">
        <v>2961</v>
      </c>
      <c r="S297" s="4515" t="s">
        <v>3676</v>
      </c>
      <c r="T297" s="4517" t="s">
        <v>31</v>
      </c>
    </row>
    <row r="298" spans="13:20" s="74" customFormat="1" ht="33.75">
      <c r="M298" s="4473">
        <v>71</v>
      </c>
      <c r="N298" s="4515" t="s">
        <v>48</v>
      </c>
      <c r="O298" s="4515" t="s">
        <v>41</v>
      </c>
      <c r="P298" s="4577" t="s">
        <v>3677</v>
      </c>
      <c r="Q298" s="4577" t="s">
        <v>3675</v>
      </c>
      <c r="R298" s="4515" t="s">
        <v>2961</v>
      </c>
      <c r="S298" s="4515" t="s">
        <v>3678</v>
      </c>
      <c r="T298" s="4517" t="s">
        <v>31</v>
      </c>
    </row>
    <row r="299" spans="13:20" s="74" customFormat="1" ht="33.75">
      <c r="M299" s="4473">
        <v>72</v>
      </c>
      <c r="N299" s="4515" t="s">
        <v>48</v>
      </c>
      <c r="O299" s="4515" t="s">
        <v>41</v>
      </c>
      <c r="P299" s="4577" t="s">
        <v>3679</v>
      </c>
      <c r="Q299" s="4577" t="s">
        <v>3675</v>
      </c>
      <c r="R299" s="4515" t="s">
        <v>2961</v>
      </c>
      <c r="S299" s="4515" t="s">
        <v>3680</v>
      </c>
      <c r="T299" s="4517" t="s">
        <v>31</v>
      </c>
    </row>
    <row r="300" spans="13:20" s="74" customFormat="1" ht="22.5">
      <c r="M300" s="4473">
        <v>73</v>
      </c>
      <c r="N300" s="4515" t="s">
        <v>48</v>
      </c>
      <c r="O300" s="4515" t="s">
        <v>16</v>
      </c>
      <c r="P300" s="4577" t="s">
        <v>3681</v>
      </c>
      <c r="Q300" s="4577" t="s">
        <v>3682</v>
      </c>
      <c r="R300" s="4515" t="s">
        <v>2961</v>
      </c>
      <c r="S300" s="4515" t="s">
        <v>3683</v>
      </c>
      <c r="T300" s="4517" t="s">
        <v>20</v>
      </c>
    </row>
    <row r="301" spans="13:20" s="74" customFormat="1" ht="33.75">
      <c r="M301" s="4473">
        <v>74</v>
      </c>
      <c r="N301" s="4515" t="s">
        <v>48</v>
      </c>
      <c r="O301" s="4515" t="s">
        <v>16</v>
      </c>
      <c r="P301" s="4577" t="s">
        <v>3684</v>
      </c>
      <c r="Q301" s="4577" t="s">
        <v>3685</v>
      </c>
      <c r="R301" s="4515" t="s">
        <v>3686</v>
      </c>
      <c r="S301" s="4515" t="s">
        <v>2685</v>
      </c>
      <c r="T301" s="4517" t="s">
        <v>20</v>
      </c>
    </row>
    <row r="302" spans="13:20" s="74" customFormat="1" ht="12.75">
      <c r="M302" s="4473">
        <v>75</v>
      </c>
      <c r="N302" s="4515" t="s">
        <v>48</v>
      </c>
      <c r="O302" s="4515" t="s">
        <v>21</v>
      </c>
      <c r="P302" s="4577" t="s">
        <v>3687</v>
      </c>
      <c r="Q302" s="4577" t="s">
        <v>3688</v>
      </c>
      <c r="R302" s="4515" t="s">
        <v>3474</v>
      </c>
      <c r="S302" s="4515" t="s">
        <v>2689</v>
      </c>
      <c r="T302" s="4517" t="s">
        <v>2622</v>
      </c>
    </row>
    <row r="303" spans="13:20" s="74" customFormat="1" ht="12.75">
      <c r="M303" s="4473">
        <v>76</v>
      </c>
      <c r="N303" s="4490" t="s">
        <v>48</v>
      </c>
      <c r="O303" s="4543" t="s">
        <v>41</v>
      </c>
      <c r="P303" s="4579" t="s">
        <v>3689</v>
      </c>
      <c r="Q303" s="4580" t="s">
        <v>3690</v>
      </c>
      <c r="R303" s="4543" t="s">
        <v>75</v>
      </c>
      <c r="S303" s="4543" t="s">
        <v>3691</v>
      </c>
      <c r="T303" s="4491"/>
    </row>
    <row r="304" spans="13:20" s="74" customFormat="1" ht="22.5">
      <c r="M304" s="4473">
        <v>77</v>
      </c>
      <c r="N304" s="4561" t="s">
        <v>48</v>
      </c>
      <c r="O304" s="4543" t="s">
        <v>41</v>
      </c>
      <c r="P304" s="4577" t="s">
        <v>3692</v>
      </c>
      <c r="Q304" s="4577" t="s">
        <v>3693</v>
      </c>
      <c r="R304" s="4564" t="s">
        <v>75</v>
      </c>
      <c r="S304" s="4564" t="s">
        <v>3694</v>
      </c>
      <c r="T304" s="4491"/>
    </row>
    <row r="305" spans="13:20" s="74" customFormat="1" ht="22.5">
      <c r="M305" s="4473">
        <v>78</v>
      </c>
      <c r="N305" s="4490" t="s">
        <v>48</v>
      </c>
      <c r="O305" s="4543" t="s">
        <v>41</v>
      </c>
      <c r="P305" s="4579" t="s">
        <v>3695</v>
      </c>
      <c r="Q305" s="4579" t="s">
        <v>3696</v>
      </c>
      <c r="R305" s="4543" t="s">
        <v>3697</v>
      </c>
      <c r="S305" s="4543" t="s">
        <v>3698</v>
      </c>
      <c r="T305" s="4490"/>
    </row>
    <row r="306" spans="13:20" s="74" customFormat="1" ht="12.75">
      <c r="M306" s="4473">
        <v>79</v>
      </c>
      <c r="N306" s="4490" t="s">
        <v>48</v>
      </c>
      <c r="O306" s="4543" t="s">
        <v>41</v>
      </c>
      <c r="P306" s="4579" t="s">
        <v>3699</v>
      </c>
      <c r="Q306" s="4579" t="s">
        <v>3700</v>
      </c>
      <c r="R306" s="4543" t="s">
        <v>75</v>
      </c>
      <c r="S306" s="4543" t="s">
        <v>3701</v>
      </c>
      <c r="T306" s="4491"/>
    </row>
    <row r="307" spans="13:20" s="74" customFormat="1" ht="12.75">
      <c r="M307" s="4473">
        <v>80</v>
      </c>
      <c r="N307" s="4490" t="s">
        <v>48</v>
      </c>
      <c r="O307" s="4543" t="s">
        <v>41</v>
      </c>
      <c r="P307" s="4579" t="s">
        <v>3702</v>
      </c>
      <c r="Q307" s="4579" t="s">
        <v>3703</v>
      </c>
      <c r="R307" s="4543" t="s">
        <v>75</v>
      </c>
      <c r="S307" s="4543" t="s">
        <v>3704</v>
      </c>
      <c r="T307" s="4490"/>
    </row>
    <row r="308" spans="13:20" s="74" customFormat="1" ht="22.5">
      <c r="M308" s="4473">
        <v>81</v>
      </c>
      <c r="N308" s="4561" t="s">
        <v>48</v>
      </c>
      <c r="O308" s="4543" t="s">
        <v>41</v>
      </c>
      <c r="P308" s="4577" t="s">
        <v>3705</v>
      </c>
      <c r="Q308" s="4577" t="s">
        <v>3706</v>
      </c>
      <c r="R308" s="4564" t="s">
        <v>75</v>
      </c>
      <c r="S308" s="4564" t="s">
        <v>3707</v>
      </c>
      <c r="T308" s="4490"/>
    </row>
    <row r="309" spans="13:20" s="74" customFormat="1" ht="33.75">
      <c r="M309" s="4473">
        <v>82</v>
      </c>
      <c r="N309" s="4490" t="s">
        <v>48</v>
      </c>
      <c r="O309" s="4543" t="s">
        <v>41</v>
      </c>
      <c r="P309" s="4579" t="s">
        <v>3708</v>
      </c>
      <c r="Q309" s="4579" t="s">
        <v>3709</v>
      </c>
      <c r="R309" s="4543" t="s">
        <v>75</v>
      </c>
      <c r="S309" s="4543" t="s">
        <v>3710</v>
      </c>
      <c r="T309" s="4490"/>
    </row>
    <row r="310" spans="13:20" s="74" customFormat="1" ht="22.5">
      <c r="M310" s="4473">
        <v>83</v>
      </c>
      <c r="N310" s="4490" t="s">
        <v>48</v>
      </c>
      <c r="O310" s="4543" t="s">
        <v>41</v>
      </c>
      <c r="P310" s="4579" t="s">
        <v>3711</v>
      </c>
      <c r="Q310" s="4579" t="s">
        <v>3712</v>
      </c>
      <c r="R310" s="4543" t="s">
        <v>75</v>
      </c>
      <c r="S310" s="4543" t="s">
        <v>3713</v>
      </c>
      <c r="T310" s="4490"/>
    </row>
    <row r="311" spans="13:20" s="74" customFormat="1" ht="33.75">
      <c r="M311" s="4473">
        <v>84</v>
      </c>
      <c r="N311" s="4490" t="s">
        <v>48</v>
      </c>
      <c r="O311" s="4543" t="s">
        <v>41</v>
      </c>
      <c r="P311" s="4579" t="s">
        <v>3714</v>
      </c>
      <c r="Q311" s="4579" t="s">
        <v>3715</v>
      </c>
      <c r="R311" s="4543" t="s">
        <v>75</v>
      </c>
      <c r="S311" s="4543" t="s">
        <v>3680</v>
      </c>
      <c r="T311" s="4490"/>
    </row>
    <row r="312" spans="13:20" s="74" customFormat="1" ht="12.75">
      <c r="M312" s="4473">
        <v>85</v>
      </c>
      <c r="N312" s="4490" t="s">
        <v>48</v>
      </c>
      <c r="O312" s="4543" t="s">
        <v>41</v>
      </c>
      <c r="P312" s="4579" t="s">
        <v>3716</v>
      </c>
      <c r="Q312" s="4579" t="s">
        <v>3717</v>
      </c>
      <c r="R312" s="4543" t="s">
        <v>75</v>
      </c>
      <c r="S312" s="4543" t="s">
        <v>3718</v>
      </c>
      <c r="T312" s="4490"/>
    </row>
    <row r="313" spans="13:20" s="74" customFormat="1" ht="22.5">
      <c r="M313" s="4473">
        <v>86</v>
      </c>
      <c r="N313" s="4490" t="s">
        <v>48</v>
      </c>
      <c r="O313" s="4543" t="s">
        <v>41</v>
      </c>
      <c r="P313" s="4579" t="s">
        <v>3719</v>
      </c>
      <c r="Q313" s="4579" t="s">
        <v>3720</v>
      </c>
      <c r="R313" s="4543" t="s">
        <v>3721</v>
      </c>
      <c r="S313" s="4543" t="s">
        <v>3722</v>
      </c>
      <c r="T313" s="4490"/>
    </row>
    <row r="314" spans="13:20" s="74" customFormat="1" ht="45">
      <c r="M314" s="4473">
        <v>87</v>
      </c>
      <c r="N314" s="4490" t="s">
        <v>48</v>
      </c>
      <c r="O314" s="4543" t="s">
        <v>41</v>
      </c>
      <c r="P314" s="4579" t="s">
        <v>3723</v>
      </c>
      <c r="Q314" s="4579" t="s">
        <v>3724</v>
      </c>
      <c r="R314" s="4543" t="s">
        <v>75</v>
      </c>
      <c r="S314" s="4543" t="s">
        <v>3725</v>
      </c>
      <c r="T314" s="4490"/>
    </row>
    <row r="315" spans="13:20" s="74" customFormat="1" ht="22.5">
      <c r="M315" s="4473">
        <v>88</v>
      </c>
      <c r="N315" s="4561" t="s">
        <v>48</v>
      </c>
      <c r="O315" s="4564" t="s">
        <v>16</v>
      </c>
      <c r="P315" s="4577" t="s">
        <v>3726</v>
      </c>
      <c r="Q315" s="4577" t="s">
        <v>3727</v>
      </c>
      <c r="R315" s="4515" t="s">
        <v>3728</v>
      </c>
      <c r="S315" s="4515" t="s">
        <v>3729</v>
      </c>
      <c r="T315" s="4490"/>
    </row>
    <row r="316" spans="13:20" s="74" customFormat="1" ht="12.75">
      <c r="M316" s="4473">
        <v>89</v>
      </c>
      <c r="N316" s="4490" t="s">
        <v>48</v>
      </c>
      <c r="O316" s="4543" t="s">
        <v>16</v>
      </c>
      <c r="P316" s="4500" t="s">
        <v>3239</v>
      </c>
      <c r="Q316" s="4500" t="s">
        <v>3730</v>
      </c>
      <c r="R316" s="4481" t="s">
        <v>3731</v>
      </c>
      <c r="S316" s="4481" t="s">
        <v>3241</v>
      </c>
      <c r="T316" s="4490"/>
    </row>
    <row r="317" spans="13:20" s="74" customFormat="1" ht="12.75">
      <c r="M317" s="4473">
        <v>90</v>
      </c>
      <c r="N317" s="4490" t="s">
        <v>48</v>
      </c>
      <c r="O317" s="4543" t="s">
        <v>16</v>
      </c>
      <c r="P317" s="4500" t="s">
        <v>3732</v>
      </c>
      <c r="Q317" s="4500" t="s">
        <v>3733</v>
      </c>
      <c r="R317" s="4481" t="s">
        <v>3728</v>
      </c>
      <c r="S317" s="4481" t="s">
        <v>3734</v>
      </c>
      <c r="T317" s="4490"/>
    </row>
    <row r="318" spans="13:20" s="74" customFormat="1" ht="12.75">
      <c r="M318" s="4473">
        <v>91</v>
      </c>
      <c r="N318" s="4490" t="s">
        <v>48</v>
      </c>
      <c r="O318" s="4543" t="s">
        <v>16</v>
      </c>
      <c r="P318" s="4500" t="s">
        <v>3735</v>
      </c>
      <c r="Q318" s="4500" t="s">
        <v>3736</v>
      </c>
      <c r="R318" s="4481" t="s">
        <v>3737</v>
      </c>
      <c r="S318" s="4481" t="s">
        <v>3738</v>
      </c>
      <c r="T318" s="4473"/>
    </row>
    <row r="319" spans="13:20" s="74" customFormat="1" ht="22.5">
      <c r="M319" s="4473">
        <v>92</v>
      </c>
      <c r="N319" s="4561" t="s">
        <v>48</v>
      </c>
      <c r="O319" s="4564" t="s">
        <v>16</v>
      </c>
      <c r="P319" s="4577" t="s">
        <v>3739</v>
      </c>
      <c r="Q319" s="4577" t="s">
        <v>3740</v>
      </c>
      <c r="R319" s="4515" t="s">
        <v>3741</v>
      </c>
      <c r="S319" s="4515" t="s">
        <v>3742</v>
      </c>
      <c r="T319" s="4473"/>
    </row>
    <row r="320" spans="13:20" s="74" customFormat="1" ht="22.5">
      <c r="M320" s="4473">
        <v>93</v>
      </c>
      <c r="N320" s="4490" t="s">
        <v>48</v>
      </c>
      <c r="O320" s="4543" t="s">
        <v>16</v>
      </c>
      <c r="P320" s="4500" t="s">
        <v>3743</v>
      </c>
      <c r="Q320" s="4500" t="s">
        <v>3744</v>
      </c>
      <c r="R320" s="4481" t="s">
        <v>3728</v>
      </c>
      <c r="S320" s="4481" t="s">
        <v>3745</v>
      </c>
      <c r="T320" s="4473"/>
    </row>
    <row r="321" spans="13:20" ht="22.5">
      <c r="M321" s="4473">
        <v>94</v>
      </c>
      <c r="N321" s="4490" t="s">
        <v>48</v>
      </c>
      <c r="O321" s="4543" t="s">
        <v>16</v>
      </c>
      <c r="P321" s="4500" t="s">
        <v>3746</v>
      </c>
      <c r="Q321" s="4500" t="s">
        <v>3747</v>
      </c>
      <c r="R321" s="4481" t="s">
        <v>3728</v>
      </c>
      <c r="S321" s="4481" t="s">
        <v>3748</v>
      </c>
      <c r="T321" s="4473"/>
    </row>
    <row r="322" spans="13:20" ht="33.75">
      <c r="M322" s="4473">
        <v>95</v>
      </c>
      <c r="N322" s="4490" t="s">
        <v>48</v>
      </c>
      <c r="O322" s="4543" t="s">
        <v>16</v>
      </c>
      <c r="P322" s="4500" t="s">
        <v>3749</v>
      </c>
      <c r="Q322" s="4500" t="s">
        <v>3750</v>
      </c>
      <c r="R322" s="4481" t="s">
        <v>3728</v>
      </c>
      <c r="S322" s="4481" t="s">
        <v>3751</v>
      </c>
      <c r="T322" s="4473"/>
    </row>
    <row r="323" spans="13:20" ht="22.5">
      <c r="M323" s="4473">
        <v>96</v>
      </c>
      <c r="N323" s="4561" t="s">
        <v>48</v>
      </c>
      <c r="O323" s="4564" t="s">
        <v>16</v>
      </c>
      <c r="P323" s="4577" t="s">
        <v>3752</v>
      </c>
      <c r="Q323" s="4577" t="s">
        <v>3753</v>
      </c>
      <c r="R323" s="4515" t="s">
        <v>3728</v>
      </c>
      <c r="S323" s="4515" t="s">
        <v>3754</v>
      </c>
      <c r="T323" s="4473"/>
    </row>
    <row r="324" spans="13:20">
      <c r="M324" s="4473">
        <v>97</v>
      </c>
      <c r="N324" s="4561" t="s">
        <v>48</v>
      </c>
      <c r="O324" s="4564" t="s">
        <v>16</v>
      </c>
      <c r="P324" s="4577" t="s">
        <v>3755</v>
      </c>
      <c r="Q324" s="4577" t="s">
        <v>3756</v>
      </c>
      <c r="R324" s="4515" t="s">
        <v>75</v>
      </c>
      <c r="S324" s="4515" t="s">
        <v>3757</v>
      </c>
      <c r="T324" s="4473"/>
    </row>
    <row r="325" spans="13:20">
      <c r="M325" s="4473">
        <v>98</v>
      </c>
      <c r="N325" s="4490" t="s">
        <v>48</v>
      </c>
      <c r="O325" s="4543" t="s">
        <v>16</v>
      </c>
      <c r="P325" s="4500" t="s">
        <v>3758</v>
      </c>
      <c r="Q325" s="4500" t="s">
        <v>3759</v>
      </c>
      <c r="R325" s="4481" t="s">
        <v>3760</v>
      </c>
      <c r="S325" s="4481" t="s">
        <v>3761</v>
      </c>
      <c r="T325" s="4473"/>
    </row>
    <row r="326" spans="13:20" ht="22.5">
      <c r="M326" s="4473">
        <v>99</v>
      </c>
      <c r="N326" s="4490" t="s">
        <v>48</v>
      </c>
      <c r="O326" s="4543" t="s">
        <v>16</v>
      </c>
      <c r="P326" s="4500" t="s">
        <v>3762</v>
      </c>
      <c r="Q326" s="4500" t="s">
        <v>3763</v>
      </c>
      <c r="R326" s="4481" t="s">
        <v>3728</v>
      </c>
      <c r="S326" s="4481" t="s">
        <v>3764</v>
      </c>
      <c r="T326" s="4473"/>
    </row>
    <row r="327" spans="13:20">
      <c r="M327" s="4473">
        <v>100</v>
      </c>
      <c r="N327" s="4490" t="s">
        <v>48</v>
      </c>
      <c r="O327" s="4543" t="s">
        <v>16</v>
      </c>
      <c r="P327" s="4500" t="s">
        <v>3765</v>
      </c>
      <c r="Q327" s="4500" t="s">
        <v>3766</v>
      </c>
      <c r="R327" s="4481" t="s">
        <v>3767</v>
      </c>
      <c r="S327" s="4481" t="s">
        <v>3768</v>
      </c>
      <c r="T327" s="4473"/>
    </row>
    <row r="328" spans="13:20" ht="22.5">
      <c r="M328" s="4473">
        <v>101</v>
      </c>
      <c r="N328" s="4490" t="s">
        <v>48</v>
      </c>
      <c r="O328" s="4543" t="s">
        <v>16</v>
      </c>
      <c r="P328" s="4500" t="s">
        <v>3769</v>
      </c>
      <c r="Q328" s="4500" t="s">
        <v>3770</v>
      </c>
      <c r="R328" s="4481" t="s">
        <v>3767</v>
      </c>
      <c r="S328" s="4481" t="s">
        <v>3771</v>
      </c>
      <c r="T328" s="4473"/>
    </row>
    <row r="329" spans="13:20">
      <c r="M329" s="4473">
        <v>102</v>
      </c>
      <c r="N329" s="4561" t="s">
        <v>48</v>
      </c>
      <c r="O329" s="4564" t="s">
        <v>16</v>
      </c>
      <c r="P329" s="4577" t="s">
        <v>3772</v>
      </c>
      <c r="Q329" s="4577" t="s">
        <v>3773</v>
      </c>
      <c r="R329" s="4515" t="s">
        <v>3728</v>
      </c>
      <c r="S329" s="4515" t="s">
        <v>3774</v>
      </c>
      <c r="T329" s="4473"/>
    </row>
    <row r="330" spans="13:20">
      <c r="M330" s="4473">
        <v>103</v>
      </c>
      <c r="N330" s="4490" t="s">
        <v>48</v>
      </c>
      <c r="O330" s="4543" t="s">
        <v>16</v>
      </c>
      <c r="P330" s="4500" t="s">
        <v>3775</v>
      </c>
      <c r="Q330" s="4500" t="s">
        <v>3776</v>
      </c>
      <c r="R330" s="4481" t="s">
        <v>3728</v>
      </c>
      <c r="S330" s="4481" t="s">
        <v>3777</v>
      </c>
      <c r="T330" s="4473"/>
    </row>
    <row r="331" spans="13:20" ht="33.75">
      <c r="M331" s="4473">
        <v>104</v>
      </c>
      <c r="N331" s="4490" t="s">
        <v>48</v>
      </c>
      <c r="O331" s="4543" t="s">
        <v>16</v>
      </c>
      <c r="P331" s="4500" t="s">
        <v>3778</v>
      </c>
      <c r="Q331" s="4500" t="s">
        <v>3779</v>
      </c>
      <c r="R331" s="4481" t="s">
        <v>3728</v>
      </c>
      <c r="S331" s="4481" t="s">
        <v>3780</v>
      </c>
      <c r="T331" s="4473"/>
    </row>
    <row r="332" spans="13:20" ht="33.75">
      <c r="M332" s="4473">
        <v>105</v>
      </c>
      <c r="N332" s="4490" t="s">
        <v>48</v>
      </c>
      <c r="O332" s="4543" t="s">
        <v>16</v>
      </c>
      <c r="P332" s="4500" t="s">
        <v>3781</v>
      </c>
      <c r="Q332" s="4500" t="s">
        <v>3782</v>
      </c>
      <c r="R332" s="4481" t="s">
        <v>75</v>
      </c>
      <c r="S332" s="4481" t="s">
        <v>3783</v>
      </c>
      <c r="T332" s="4473"/>
    </row>
    <row r="333" spans="13:20" ht="22.5">
      <c r="M333" s="4473">
        <v>106</v>
      </c>
      <c r="N333" s="4490" t="s">
        <v>48</v>
      </c>
      <c r="O333" s="4543" t="s">
        <v>16</v>
      </c>
      <c r="P333" s="4500" t="s">
        <v>3784</v>
      </c>
      <c r="Q333" s="4500" t="s">
        <v>3785</v>
      </c>
      <c r="R333" s="4481" t="s">
        <v>3728</v>
      </c>
      <c r="S333" s="4481" t="s">
        <v>3786</v>
      </c>
      <c r="T333" s="4473"/>
    </row>
    <row r="334" spans="13:20" ht="22.5">
      <c r="M334" s="4473">
        <v>107</v>
      </c>
      <c r="N334" s="4490" t="s">
        <v>48</v>
      </c>
      <c r="O334" s="4543" t="s">
        <v>16</v>
      </c>
      <c r="P334" s="4500" t="s">
        <v>3787</v>
      </c>
      <c r="Q334" s="4500" t="s">
        <v>3788</v>
      </c>
      <c r="R334" s="4481" t="s">
        <v>3789</v>
      </c>
      <c r="S334" s="4481" t="s">
        <v>3790</v>
      </c>
      <c r="T334" s="4473"/>
    </row>
    <row r="335" spans="13:20" ht="22.5">
      <c r="M335" s="4473">
        <v>108</v>
      </c>
      <c r="N335" s="4561" t="s">
        <v>48</v>
      </c>
      <c r="O335" s="4564" t="s">
        <v>16</v>
      </c>
      <c r="P335" s="4577" t="s">
        <v>3791</v>
      </c>
      <c r="Q335" s="4577" t="s">
        <v>3792</v>
      </c>
      <c r="R335" s="4515" t="s">
        <v>3793</v>
      </c>
      <c r="S335" s="4515" t="s">
        <v>3794</v>
      </c>
      <c r="T335" s="4473"/>
    </row>
    <row r="336" spans="13:20" ht="33.75">
      <c r="M336" s="4473">
        <v>109</v>
      </c>
      <c r="N336" s="4490" t="s">
        <v>48</v>
      </c>
      <c r="O336" s="4543" t="s">
        <v>16</v>
      </c>
      <c r="P336" s="4500" t="s">
        <v>3795</v>
      </c>
      <c r="Q336" s="4500" t="s">
        <v>3796</v>
      </c>
      <c r="R336" s="4481" t="s">
        <v>3797</v>
      </c>
      <c r="S336" s="4481" t="s">
        <v>3798</v>
      </c>
      <c r="T336" s="4473"/>
    </row>
    <row r="337" spans="13:20">
      <c r="M337" s="4473">
        <v>110</v>
      </c>
      <c r="N337" s="4490" t="s">
        <v>48</v>
      </c>
      <c r="O337" s="4543" t="s">
        <v>16</v>
      </c>
      <c r="P337" s="4500" t="s">
        <v>3799</v>
      </c>
      <c r="Q337" s="4500" t="s">
        <v>3800</v>
      </c>
      <c r="R337" s="4481" t="s">
        <v>3801</v>
      </c>
      <c r="S337" s="4481" t="s">
        <v>3802</v>
      </c>
      <c r="T337" s="4473"/>
    </row>
    <row r="338" spans="13:20">
      <c r="M338" s="4473">
        <v>111</v>
      </c>
      <c r="N338" s="4490" t="s">
        <v>48</v>
      </c>
      <c r="O338" s="4543" t="s">
        <v>16</v>
      </c>
      <c r="P338" s="4500" t="s">
        <v>3803</v>
      </c>
      <c r="Q338" s="4500" t="s">
        <v>3804</v>
      </c>
      <c r="R338" s="4481" t="s">
        <v>3805</v>
      </c>
      <c r="S338" s="4481" t="s">
        <v>3806</v>
      </c>
      <c r="T338" s="4473"/>
    </row>
    <row r="339" spans="13:20">
      <c r="M339" s="4473">
        <v>112</v>
      </c>
      <c r="N339" s="4490" t="s">
        <v>48</v>
      </c>
      <c r="O339" s="4543" t="s">
        <v>16</v>
      </c>
      <c r="P339" s="4500" t="s">
        <v>3807</v>
      </c>
      <c r="Q339" s="4500" t="s">
        <v>3808</v>
      </c>
      <c r="R339" s="4481" t="s">
        <v>3728</v>
      </c>
      <c r="S339" s="4481" t="s">
        <v>3809</v>
      </c>
      <c r="T339" s="4473"/>
    </row>
    <row r="340" spans="13:20" ht="22.5">
      <c r="M340" s="4473">
        <v>113</v>
      </c>
      <c r="N340" s="4490" t="s">
        <v>48</v>
      </c>
      <c r="O340" s="4543" t="s">
        <v>16</v>
      </c>
      <c r="P340" s="4500" t="s">
        <v>3810</v>
      </c>
      <c r="Q340" s="4500" t="s">
        <v>3811</v>
      </c>
      <c r="R340" s="4481" t="s">
        <v>3728</v>
      </c>
      <c r="S340" s="4481" t="s">
        <v>3812</v>
      </c>
      <c r="T340" s="4473"/>
    </row>
    <row r="341" spans="13:20">
      <c r="M341" s="4473">
        <v>114</v>
      </c>
      <c r="N341" s="4561" t="s">
        <v>48</v>
      </c>
      <c r="O341" s="4564" t="s">
        <v>16</v>
      </c>
      <c r="P341" s="4577" t="s">
        <v>3813</v>
      </c>
      <c r="Q341" s="4577" t="s">
        <v>3814</v>
      </c>
      <c r="R341" s="4515" t="s">
        <v>3728</v>
      </c>
      <c r="S341" s="4515" t="s">
        <v>3815</v>
      </c>
      <c r="T341" s="4473"/>
    </row>
    <row r="342" spans="13:20">
      <c r="M342" s="4473">
        <v>115</v>
      </c>
      <c r="N342" s="4490" t="s">
        <v>48</v>
      </c>
      <c r="O342" s="4543" t="s">
        <v>16</v>
      </c>
      <c r="P342" s="4500" t="s">
        <v>3816</v>
      </c>
      <c r="Q342" s="4500" t="s">
        <v>3817</v>
      </c>
      <c r="R342" s="4481" t="s">
        <v>3728</v>
      </c>
      <c r="S342" s="4481" t="s">
        <v>3818</v>
      </c>
      <c r="T342" s="4473"/>
    </row>
    <row r="343" spans="13:20" ht="33.75">
      <c r="M343" s="4473">
        <v>116</v>
      </c>
      <c r="N343" s="4561" t="s">
        <v>48</v>
      </c>
      <c r="O343" s="4564" t="s">
        <v>16</v>
      </c>
      <c r="P343" s="4577" t="s">
        <v>3819</v>
      </c>
      <c r="Q343" s="4577" t="s">
        <v>3820</v>
      </c>
      <c r="R343" s="4515" t="s">
        <v>3821</v>
      </c>
      <c r="S343" s="4515" t="s">
        <v>3822</v>
      </c>
      <c r="T343" s="4473"/>
    </row>
    <row r="344" spans="13:20">
      <c r="M344" s="4473">
        <v>117</v>
      </c>
      <c r="N344" s="4490" t="s">
        <v>48</v>
      </c>
      <c r="O344" s="4543" t="s">
        <v>16</v>
      </c>
      <c r="P344" s="4500" t="s">
        <v>3823</v>
      </c>
      <c r="Q344" s="4500" t="s">
        <v>3824</v>
      </c>
      <c r="R344" s="4481" t="s">
        <v>3825</v>
      </c>
      <c r="S344" s="4481" t="s">
        <v>3826</v>
      </c>
      <c r="T344" s="4473"/>
    </row>
    <row r="345" spans="13:20">
      <c r="M345" s="4473">
        <v>118</v>
      </c>
      <c r="N345" s="4490" t="s">
        <v>48</v>
      </c>
      <c r="O345" s="4543" t="s">
        <v>16</v>
      </c>
      <c r="P345" s="4500" t="s">
        <v>3827</v>
      </c>
      <c r="Q345" s="4500" t="s">
        <v>3828</v>
      </c>
      <c r="R345" s="4481" t="s">
        <v>3829</v>
      </c>
      <c r="S345" s="4481" t="s">
        <v>3830</v>
      </c>
      <c r="T345" s="4491"/>
    </row>
    <row r="346" spans="13:20">
      <c r="M346" s="4473">
        <v>119</v>
      </c>
      <c r="N346" s="4490" t="s">
        <v>48</v>
      </c>
      <c r="O346" s="4543" t="s">
        <v>16</v>
      </c>
      <c r="P346" s="4500" t="s">
        <v>3831</v>
      </c>
      <c r="Q346" s="4500" t="s">
        <v>3832</v>
      </c>
      <c r="R346" s="4481" t="s">
        <v>3728</v>
      </c>
      <c r="S346" s="4481" t="s">
        <v>3833</v>
      </c>
      <c r="T346" s="4491"/>
    </row>
    <row r="347" spans="13:20" ht="22.5">
      <c r="M347" s="4473">
        <v>120</v>
      </c>
      <c r="N347" s="4490" t="s">
        <v>48</v>
      </c>
      <c r="O347" s="4543" t="s">
        <v>16</v>
      </c>
      <c r="P347" s="4500" t="s">
        <v>3834</v>
      </c>
      <c r="Q347" s="4500" t="s">
        <v>3835</v>
      </c>
      <c r="R347" s="4481" t="s">
        <v>3728</v>
      </c>
      <c r="S347" s="4481" t="s">
        <v>3833</v>
      </c>
      <c r="T347" s="4490"/>
    </row>
    <row r="348" spans="13:20" ht="22.5">
      <c r="M348" s="4473">
        <v>121</v>
      </c>
      <c r="N348" s="4561" t="s">
        <v>48</v>
      </c>
      <c r="O348" s="4543" t="s">
        <v>16</v>
      </c>
      <c r="P348" s="4577" t="s">
        <v>3836</v>
      </c>
      <c r="Q348" s="4577" t="s">
        <v>3837</v>
      </c>
      <c r="R348" s="4515" t="s">
        <v>3728</v>
      </c>
      <c r="S348" s="4515" t="s">
        <v>3838</v>
      </c>
      <c r="T348" s="4491"/>
    </row>
    <row r="349" spans="13:20" ht="22.5">
      <c r="M349" s="4473">
        <v>122</v>
      </c>
      <c r="N349" s="4561" t="s">
        <v>48</v>
      </c>
      <c r="O349" s="4543" t="s">
        <v>16</v>
      </c>
      <c r="P349" s="4577" t="s">
        <v>3839</v>
      </c>
      <c r="Q349" s="4577" t="s">
        <v>3840</v>
      </c>
      <c r="R349" s="4515" t="s">
        <v>3728</v>
      </c>
      <c r="S349" s="4515" t="s">
        <v>3841</v>
      </c>
      <c r="T349" s="4490"/>
    </row>
    <row r="350" spans="13:20">
      <c r="M350" s="4473">
        <v>123</v>
      </c>
      <c r="N350" s="4561" t="s">
        <v>48</v>
      </c>
      <c r="O350" s="4543" t="s">
        <v>16</v>
      </c>
      <c r="P350" s="4577" t="s">
        <v>3842</v>
      </c>
      <c r="Q350" s="4577" t="s">
        <v>3843</v>
      </c>
      <c r="R350" s="4515" t="s">
        <v>3728</v>
      </c>
      <c r="S350" s="4515" t="s">
        <v>3844</v>
      </c>
      <c r="T350" s="4490"/>
    </row>
    <row r="351" spans="13:20" ht="22.5">
      <c r="M351" s="4473">
        <v>124</v>
      </c>
      <c r="N351" s="4561" t="s">
        <v>48</v>
      </c>
      <c r="O351" s="4543" t="s">
        <v>16</v>
      </c>
      <c r="P351" s="4577" t="s">
        <v>3845</v>
      </c>
      <c r="Q351" s="4577" t="s">
        <v>3846</v>
      </c>
      <c r="R351" s="4515" t="s">
        <v>3728</v>
      </c>
      <c r="S351" s="4515" t="s">
        <v>3847</v>
      </c>
      <c r="T351" s="4490"/>
    </row>
    <row r="352" spans="13:20">
      <c r="M352" s="4473">
        <v>125</v>
      </c>
      <c r="N352" s="4561" t="s">
        <v>48</v>
      </c>
      <c r="O352" s="4564" t="s">
        <v>16</v>
      </c>
      <c r="P352" s="4577" t="s">
        <v>3848</v>
      </c>
      <c r="Q352" s="4577" t="s">
        <v>3849</v>
      </c>
      <c r="R352" s="4515" t="s">
        <v>3728</v>
      </c>
      <c r="S352" s="4515" t="s">
        <v>3850</v>
      </c>
      <c r="T352" s="4490"/>
    </row>
    <row r="353" spans="13:20" ht="22.5">
      <c r="M353" s="4473">
        <v>126</v>
      </c>
      <c r="N353" s="4490" t="s">
        <v>48</v>
      </c>
      <c r="O353" s="4543" t="s">
        <v>16</v>
      </c>
      <c r="P353" s="4500" t="s">
        <v>3851</v>
      </c>
      <c r="Q353" s="4500" t="s">
        <v>3852</v>
      </c>
      <c r="R353" s="4481" t="s">
        <v>3728</v>
      </c>
      <c r="S353" s="4481" t="s">
        <v>3853</v>
      </c>
      <c r="T353" s="4491"/>
    </row>
    <row r="354" spans="13:20" ht="22.5">
      <c r="M354" s="4473">
        <v>127</v>
      </c>
      <c r="N354" s="4561" t="s">
        <v>48</v>
      </c>
      <c r="O354" s="4581" t="s">
        <v>16</v>
      </c>
      <c r="P354" s="4582" t="s">
        <v>3854</v>
      </c>
      <c r="Q354" s="4583" t="s">
        <v>3854</v>
      </c>
      <c r="R354" s="4515" t="s">
        <v>3855</v>
      </c>
      <c r="S354" s="4584" t="s">
        <v>3856</v>
      </c>
      <c r="T354" s="4473"/>
    </row>
    <row r="355" spans="13:20" ht="22.5">
      <c r="M355" s="4473">
        <v>128</v>
      </c>
      <c r="N355" s="4490" t="s">
        <v>48</v>
      </c>
      <c r="O355" s="4585" t="s">
        <v>21</v>
      </c>
      <c r="P355" s="4586" t="s">
        <v>3857</v>
      </c>
      <c r="Q355" s="4587" t="s">
        <v>3858</v>
      </c>
      <c r="R355" s="4543" t="s">
        <v>75</v>
      </c>
      <c r="S355" s="4588" t="s">
        <v>3859</v>
      </c>
      <c r="T355" s="4490"/>
    </row>
    <row r="356" spans="13:20" ht="22.5">
      <c r="M356" s="4473">
        <v>129</v>
      </c>
      <c r="N356" s="4490" t="s">
        <v>48</v>
      </c>
      <c r="O356" s="4585" t="s">
        <v>21</v>
      </c>
      <c r="P356" s="4586" t="s">
        <v>3860</v>
      </c>
      <c r="Q356" s="4587" t="s">
        <v>3861</v>
      </c>
      <c r="R356" s="4543" t="s">
        <v>75</v>
      </c>
      <c r="S356" s="4588" t="s">
        <v>3862</v>
      </c>
      <c r="T356" s="4542"/>
    </row>
    <row r="357" spans="13:20">
      <c r="M357" s="4473">
        <v>130</v>
      </c>
      <c r="N357" s="4490" t="s">
        <v>48</v>
      </c>
      <c r="O357" s="4585" t="s">
        <v>21</v>
      </c>
      <c r="P357" s="4586" t="s">
        <v>3863</v>
      </c>
      <c r="Q357" s="4587" t="s">
        <v>3864</v>
      </c>
      <c r="R357" s="4543" t="s">
        <v>75</v>
      </c>
      <c r="S357" s="4588" t="s">
        <v>3865</v>
      </c>
      <c r="T357" s="4490"/>
    </row>
    <row r="358" spans="13:20" ht="22.5">
      <c r="M358" s="4473">
        <v>131</v>
      </c>
      <c r="N358" s="4490" t="s">
        <v>48</v>
      </c>
      <c r="O358" s="4585" t="s">
        <v>21</v>
      </c>
      <c r="P358" s="4586" t="s">
        <v>3866</v>
      </c>
      <c r="Q358" s="4587" t="s">
        <v>3867</v>
      </c>
      <c r="R358" s="4543" t="s">
        <v>75</v>
      </c>
      <c r="S358" s="4588" t="s">
        <v>3868</v>
      </c>
      <c r="T358" s="4490"/>
    </row>
    <row r="359" spans="13:20">
      <c r="M359" s="4473">
        <v>132</v>
      </c>
      <c r="N359" s="4490" t="s">
        <v>48</v>
      </c>
      <c r="O359" s="4585" t="s">
        <v>21</v>
      </c>
      <c r="P359" s="4589" t="s">
        <v>3869</v>
      </c>
      <c r="Q359" s="4590" t="s">
        <v>3870</v>
      </c>
      <c r="R359" s="4543" t="s">
        <v>75</v>
      </c>
      <c r="S359" s="4588" t="s">
        <v>3871</v>
      </c>
      <c r="T359" s="4490"/>
    </row>
    <row r="360" spans="13:20">
      <c r="M360" s="4473">
        <v>133</v>
      </c>
      <c r="N360" s="4490" t="s">
        <v>48</v>
      </c>
      <c r="O360" s="4585" t="s">
        <v>21</v>
      </c>
      <c r="P360" s="4500" t="s">
        <v>3872</v>
      </c>
      <c r="Q360" s="4500" t="s">
        <v>3873</v>
      </c>
      <c r="R360" s="4543" t="s">
        <v>75</v>
      </c>
      <c r="S360" s="4588" t="s">
        <v>3874</v>
      </c>
      <c r="T360" s="4490"/>
    </row>
    <row r="361" spans="13:20">
      <c r="M361" s="4473">
        <v>134</v>
      </c>
      <c r="N361" s="4490" t="s">
        <v>48</v>
      </c>
      <c r="O361" s="4543" t="s">
        <v>16</v>
      </c>
      <c r="P361" s="4500" t="s">
        <v>3831</v>
      </c>
      <c r="Q361" s="4500" t="s">
        <v>3832</v>
      </c>
      <c r="R361" s="4481" t="s">
        <v>3728</v>
      </c>
      <c r="S361" s="4481" t="s">
        <v>3833</v>
      </c>
      <c r="T361" s="4481"/>
    </row>
    <row r="362" spans="13:20" ht="22.5">
      <c r="M362" s="4473">
        <v>135</v>
      </c>
      <c r="N362" s="4490" t="s">
        <v>48</v>
      </c>
      <c r="O362" s="4543" t="s">
        <v>16</v>
      </c>
      <c r="P362" s="4500" t="s">
        <v>3834</v>
      </c>
      <c r="Q362" s="4500" t="s">
        <v>3835</v>
      </c>
      <c r="R362" s="4481" t="s">
        <v>3728</v>
      </c>
      <c r="S362" s="4481" t="s">
        <v>3833</v>
      </c>
      <c r="T362" s="4481"/>
    </row>
    <row r="363" spans="13:20">
      <c r="M363" s="4545"/>
      <c r="N363" s="4545"/>
      <c r="O363" s="4572"/>
      <c r="P363" s="4572"/>
      <c r="Q363" s="4572"/>
      <c r="R363" s="4591"/>
      <c r="S363" s="4591"/>
      <c r="T363" s="4592"/>
    </row>
    <row r="364" spans="13:20">
      <c r="M364" s="4567"/>
      <c r="N364" s="4567"/>
      <c r="O364" s="4567"/>
      <c r="P364" s="4567"/>
      <c r="Q364" s="4567"/>
      <c r="R364" s="4567"/>
      <c r="S364" s="4567"/>
      <c r="T364" s="4567"/>
    </row>
    <row r="365" spans="13:20">
      <c r="M365" s="3190" t="s">
        <v>331</v>
      </c>
      <c r="N365" s="3191" t="s">
        <v>68</v>
      </c>
      <c r="O365" s="3191" t="s">
        <v>69</v>
      </c>
      <c r="P365" s="3191" t="s">
        <v>543</v>
      </c>
      <c r="Q365" s="3191" t="s">
        <v>544</v>
      </c>
      <c r="R365" s="3192" t="s">
        <v>545</v>
      </c>
      <c r="S365" s="3192" t="s">
        <v>337</v>
      </c>
      <c r="T365" s="3193" t="s">
        <v>2618</v>
      </c>
    </row>
    <row r="366" spans="13:20" ht="33.75">
      <c r="M366" s="4543">
        <v>1</v>
      </c>
      <c r="N366" s="4481" t="s">
        <v>2691</v>
      </c>
      <c r="O366" s="4482"/>
      <c r="P366" s="4483" t="s">
        <v>3875</v>
      </c>
      <c r="Q366" s="4483" t="s">
        <v>3876</v>
      </c>
      <c r="R366" s="4481" t="s">
        <v>3877</v>
      </c>
      <c r="S366" s="4481" t="s">
        <v>3878</v>
      </c>
      <c r="T366" s="4480" t="s">
        <v>2663</v>
      </c>
    </row>
    <row r="367" spans="13:20" ht="33.75">
      <c r="M367" s="4543">
        <v>2</v>
      </c>
      <c r="N367" s="4553" t="s">
        <v>2691</v>
      </c>
      <c r="O367" s="4574"/>
      <c r="P367" s="4502" t="s">
        <v>3879</v>
      </c>
      <c r="Q367" s="4593" t="s">
        <v>3880</v>
      </c>
      <c r="R367" s="4553" t="s">
        <v>3881</v>
      </c>
      <c r="S367" s="4503" t="s">
        <v>3882</v>
      </c>
      <c r="T367" s="4594" t="s">
        <v>2663</v>
      </c>
    </row>
    <row r="368" spans="13:20">
      <c r="M368" s="4543">
        <v>3</v>
      </c>
      <c r="N368" s="4481" t="s">
        <v>2691</v>
      </c>
      <c r="O368" s="4481"/>
      <c r="P368" s="4506" t="s">
        <v>3883</v>
      </c>
      <c r="Q368" s="4485" t="s">
        <v>3884</v>
      </c>
      <c r="R368" s="4480" t="s">
        <v>2640</v>
      </c>
      <c r="S368" s="4482" t="s">
        <v>3885</v>
      </c>
      <c r="T368" s="4480" t="s">
        <v>2624</v>
      </c>
    </row>
    <row r="369" spans="13:20" ht="33.75">
      <c r="M369" s="4543">
        <v>4</v>
      </c>
      <c r="N369" s="4481" t="s">
        <v>2691</v>
      </c>
      <c r="O369" s="4481"/>
      <c r="P369" s="4483" t="s">
        <v>3886</v>
      </c>
      <c r="Q369" s="4483" t="s">
        <v>3887</v>
      </c>
      <c r="R369" s="4480" t="s">
        <v>3888</v>
      </c>
      <c r="S369" s="4481" t="s">
        <v>3889</v>
      </c>
      <c r="T369" s="4480" t="s">
        <v>2624</v>
      </c>
    </row>
    <row r="370" spans="13:20" ht="22.5">
      <c r="M370" s="4543">
        <v>5</v>
      </c>
      <c r="N370" s="4481" t="s">
        <v>2691</v>
      </c>
      <c r="O370" s="4481"/>
      <c r="P370" s="4483" t="s">
        <v>3890</v>
      </c>
      <c r="Q370" s="4483" t="s">
        <v>3891</v>
      </c>
      <c r="R370" s="4486" t="s">
        <v>3892</v>
      </c>
      <c r="S370" s="4481" t="s">
        <v>3893</v>
      </c>
      <c r="T370" s="4480" t="s">
        <v>2634</v>
      </c>
    </row>
    <row r="371" spans="13:20" ht="22.5">
      <c r="M371" s="4543">
        <v>6</v>
      </c>
      <c r="N371" s="4481" t="s">
        <v>2691</v>
      </c>
      <c r="O371" s="4481"/>
      <c r="P371" s="4483" t="s">
        <v>3894</v>
      </c>
      <c r="Q371" s="4485" t="s">
        <v>3895</v>
      </c>
      <c r="R371" s="4480" t="s">
        <v>3896</v>
      </c>
      <c r="S371" s="4481" t="s">
        <v>3897</v>
      </c>
      <c r="T371" s="4480" t="s">
        <v>2634</v>
      </c>
    </row>
    <row r="372" spans="13:20" ht="22.5">
      <c r="M372" s="4543">
        <v>7</v>
      </c>
      <c r="N372" s="4481" t="s">
        <v>2691</v>
      </c>
      <c r="O372" s="4481"/>
      <c r="P372" s="4483" t="s">
        <v>3898</v>
      </c>
      <c r="Q372" s="4483" t="s">
        <v>3899</v>
      </c>
      <c r="R372" s="4480" t="s">
        <v>3900</v>
      </c>
      <c r="S372" s="4481" t="s">
        <v>3901</v>
      </c>
      <c r="T372" s="4480" t="s">
        <v>2634</v>
      </c>
    </row>
    <row r="373" spans="13:20" ht="22.5">
      <c r="M373" s="4543">
        <v>8</v>
      </c>
      <c r="N373" s="4481" t="s">
        <v>2691</v>
      </c>
      <c r="O373" s="4481"/>
      <c r="P373" s="4483" t="s">
        <v>3902</v>
      </c>
      <c r="Q373" s="4483" t="s">
        <v>3903</v>
      </c>
      <c r="R373" s="4480" t="s">
        <v>3904</v>
      </c>
      <c r="S373" s="4481" t="s">
        <v>3905</v>
      </c>
      <c r="T373" s="4480" t="s">
        <v>2634</v>
      </c>
    </row>
    <row r="374" spans="13:20">
      <c r="M374" s="4543">
        <v>9</v>
      </c>
      <c r="N374" s="4481" t="s">
        <v>2691</v>
      </c>
      <c r="O374" s="4481"/>
      <c r="P374" s="4483" t="s">
        <v>3906</v>
      </c>
      <c r="Q374" s="4483" t="s">
        <v>3907</v>
      </c>
      <c r="R374" s="4480" t="s">
        <v>3908</v>
      </c>
      <c r="S374" s="4481" t="s">
        <v>3909</v>
      </c>
      <c r="T374" s="4480" t="s">
        <v>35</v>
      </c>
    </row>
    <row r="375" spans="13:20" ht="22.5">
      <c r="M375" s="4543">
        <v>10</v>
      </c>
      <c r="N375" s="4481" t="s">
        <v>2691</v>
      </c>
      <c r="O375" s="4481"/>
      <c r="P375" s="4483" t="s">
        <v>3910</v>
      </c>
      <c r="Q375" s="4483" t="s">
        <v>3911</v>
      </c>
      <c r="R375" s="4480" t="s">
        <v>3912</v>
      </c>
      <c r="S375" s="4480" t="s">
        <v>3913</v>
      </c>
      <c r="T375" s="4480" t="s">
        <v>36</v>
      </c>
    </row>
    <row r="376" spans="13:20" ht="22.5">
      <c r="M376" s="4543">
        <v>11</v>
      </c>
      <c r="N376" s="4481" t="s">
        <v>2691</v>
      </c>
      <c r="O376" s="4481"/>
      <c r="P376" s="4483" t="s">
        <v>3914</v>
      </c>
      <c r="Q376" s="4485" t="s">
        <v>3915</v>
      </c>
      <c r="R376" s="4486" t="s">
        <v>3916</v>
      </c>
      <c r="S376" s="4480" t="s">
        <v>3917</v>
      </c>
      <c r="T376" s="4486" t="s">
        <v>2680</v>
      </c>
    </row>
    <row r="377" spans="13:20" ht="22.5">
      <c r="M377" s="4543">
        <v>12</v>
      </c>
      <c r="N377" s="4481" t="s">
        <v>2691</v>
      </c>
      <c r="O377" s="4481"/>
      <c r="P377" s="4483" t="s">
        <v>3918</v>
      </c>
      <c r="Q377" s="4485" t="s">
        <v>3919</v>
      </c>
      <c r="R377" s="4486" t="s">
        <v>3920</v>
      </c>
      <c r="S377" s="4480" t="s">
        <v>3921</v>
      </c>
      <c r="T377" s="4486" t="s">
        <v>2638</v>
      </c>
    </row>
    <row r="378" spans="13:20" ht="22.5">
      <c r="M378" s="4543">
        <v>13</v>
      </c>
      <c r="N378" s="4481" t="s">
        <v>2691</v>
      </c>
      <c r="O378" s="4481"/>
      <c r="P378" s="4483" t="s">
        <v>3922</v>
      </c>
      <c r="Q378" s="4485" t="s">
        <v>3923</v>
      </c>
      <c r="R378" s="4486" t="s">
        <v>3924</v>
      </c>
      <c r="S378" s="4480" t="s">
        <v>3925</v>
      </c>
      <c r="T378" s="4486" t="s">
        <v>2638</v>
      </c>
    </row>
    <row r="379" spans="13:20" ht="22.5">
      <c r="M379" s="4543">
        <v>14</v>
      </c>
      <c r="N379" s="4481" t="s">
        <v>2691</v>
      </c>
      <c r="O379" s="4481"/>
      <c r="P379" s="4483" t="s">
        <v>3926</v>
      </c>
      <c r="Q379" s="4485" t="s">
        <v>3927</v>
      </c>
      <c r="R379" s="4486" t="s">
        <v>3928</v>
      </c>
      <c r="S379" s="4480" t="s">
        <v>3929</v>
      </c>
      <c r="T379" s="4486" t="s">
        <v>2638</v>
      </c>
    </row>
    <row r="380" spans="13:20" ht="22.5">
      <c r="M380" s="4543">
        <v>15</v>
      </c>
      <c r="N380" s="4481" t="s">
        <v>2691</v>
      </c>
      <c r="O380" s="4481"/>
      <c r="P380" s="4483" t="s">
        <v>3930</v>
      </c>
      <c r="Q380" s="4483" t="s">
        <v>3931</v>
      </c>
      <c r="R380" s="4480" t="s">
        <v>3932</v>
      </c>
      <c r="S380" s="4480" t="s">
        <v>3933</v>
      </c>
      <c r="T380" s="4486" t="s">
        <v>2630</v>
      </c>
    </row>
    <row r="381" spans="13:20" ht="56.25">
      <c r="M381" s="4543">
        <v>16</v>
      </c>
      <c r="N381" s="4515" t="s">
        <v>2691</v>
      </c>
      <c r="O381" s="4515"/>
      <c r="P381" s="4577" t="s">
        <v>3934</v>
      </c>
      <c r="Q381" s="4516" t="s">
        <v>3935</v>
      </c>
      <c r="R381" s="4515" t="s">
        <v>3900</v>
      </c>
      <c r="S381" s="4555" t="s">
        <v>3936</v>
      </c>
      <c r="T381" s="4555" t="s">
        <v>2663</v>
      </c>
    </row>
    <row r="382" spans="13:20" ht="22.5">
      <c r="M382" s="4543">
        <v>17</v>
      </c>
      <c r="N382" s="4595" t="s">
        <v>2691</v>
      </c>
      <c r="O382" s="4595"/>
      <c r="P382" s="4596" t="s">
        <v>3937</v>
      </c>
      <c r="Q382" s="4597" t="s">
        <v>3938</v>
      </c>
      <c r="R382" s="4595" t="s">
        <v>3939</v>
      </c>
      <c r="S382" s="4598" t="s">
        <v>3940</v>
      </c>
      <c r="T382" s="4599" t="s">
        <v>3941</v>
      </c>
    </row>
    <row r="383" spans="13:20" ht="22.5">
      <c r="M383" s="4543">
        <v>18</v>
      </c>
      <c r="N383" s="4595" t="s">
        <v>2691</v>
      </c>
      <c r="O383" s="4595"/>
      <c r="P383" s="4596" t="s">
        <v>3942</v>
      </c>
      <c r="Q383" s="4597" t="s">
        <v>3938</v>
      </c>
      <c r="R383" s="4595"/>
      <c r="S383" s="4598" t="s">
        <v>3943</v>
      </c>
      <c r="T383" s="4599" t="s">
        <v>3941</v>
      </c>
    </row>
    <row r="384" spans="13:20" ht="22.5">
      <c r="M384" s="4543">
        <v>19</v>
      </c>
      <c r="N384" s="4595" t="s">
        <v>2691</v>
      </c>
      <c r="O384" s="4595"/>
      <c r="P384" s="4600" t="s">
        <v>3942</v>
      </c>
      <c r="Q384" s="4601" t="s">
        <v>3938</v>
      </c>
      <c r="R384" s="4595" t="s">
        <v>3939</v>
      </c>
      <c r="S384" s="4598" t="s">
        <v>3944</v>
      </c>
      <c r="T384" s="4599" t="s">
        <v>3941</v>
      </c>
    </row>
    <row r="385" spans="13:20" ht="22.5">
      <c r="M385" s="4543">
        <v>20</v>
      </c>
      <c r="N385" s="4561" t="s">
        <v>2691</v>
      </c>
      <c r="O385" s="4565"/>
      <c r="P385" s="4560" t="s">
        <v>3930</v>
      </c>
      <c r="Q385" s="4560" t="s">
        <v>3931</v>
      </c>
      <c r="R385" s="4559" t="s">
        <v>3932</v>
      </c>
      <c r="S385" s="4561" t="s">
        <v>3945</v>
      </c>
      <c r="T385" s="4561" t="s">
        <v>2630</v>
      </c>
    </row>
  </sheetData>
  <pageMargins left="0.7" right="0.7" top="0.75" bottom="0.75" header="0.3" footer="0.3"/>
  <pageSetup paperSize="9" orientation="portrait" r:id="rId1"/>
  <ignoredErrors>
    <ignoredError sqref="C8:E8 F8:K8" formulaRange="1"/>
  </ignoredErrors>
  <drawing r:id="rId2"/>
</worksheet>
</file>

<file path=xl/worksheets/sheet42.xml><?xml version="1.0" encoding="utf-8"?>
<worksheet xmlns="http://schemas.openxmlformats.org/spreadsheetml/2006/main" xmlns:r="http://schemas.openxmlformats.org/officeDocument/2006/relationships">
  <sheetPr>
    <tabColor theme="6" tint="-0.499984740745262"/>
  </sheetPr>
  <dimension ref="B1:K14"/>
  <sheetViews>
    <sheetView showGridLines="0" workbookViewId="0">
      <selection activeCell="H10" sqref="H10"/>
    </sheetView>
  </sheetViews>
  <sheetFormatPr baseColWidth="10" defaultRowHeight="14.25"/>
  <cols>
    <col min="1" max="2" width="11.42578125" style="42"/>
    <col min="3" max="3" width="27" style="42" customWidth="1"/>
    <col min="4" max="4" width="22.140625" style="42" customWidth="1"/>
    <col min="5" max="16384" width="11.42578125" style="42"/>
  </cols>
  <sheetData>
    <row r="1" spans="2:11" ht="15">
      <c r="B1" s="363"/>
      <c r="C1" s="363"/>
      <c r="D1" s="363"/>
    </row>
    <row r="2" spans="2:11" s="1404" customFormat="1" ht="29.25" customHeight="1">
      <c r="B2" s="5263" t="s">
        <v>1503</v>
      </c>
      <c r="C2" s="5263"/>
      <c r="D2" s="5263"/>
    </row>
    <row r="3" spans="2:11" s="1404" customFormat="1" ht="15">
      <c r="B3" s="1432"/>
      <c r="C3" s="1432"/>
      <c r="D3" s="1432"/>
    </row>
    <row r="4" spans="2:11" ht="28.5" customHeight="1" thickBot="1">
      <c r="B4" s="4757" t="s">
        <v>349</v>
      </c>
      <c r="C4" s="4758" t="s">
        <v>1922</v>
      </c>
      <c r="D4" s="4758" t="s">
        <v>1212</v>
      </c>
    </row>
    <row r="5" spans="2:11" ht="24" customHeight="1">
      <c r="B5" s="4154">
        <v>2011</v>
      </c>
      <c r="C5" s="4756">
        <v>2240</v>
      </c>
      <c r="D5" s="4154"/>
      <c r="I5" s="1538"/>
      <c r="J5" s="1538"/>
      <c r="K5" s="1538"/>
    </row>
    <row r="6" spans="2:11" ht="24" customHeight="1">
      <c r="B6" s="4077">
        <v>2012</v>
      </c>
      <c r="C6" s="4752">
        <v>2591</v>
      </c>
      <c r="D6" s="4753">
        <f>+C6/C5-1</f>
        <v>0.15669642857142851</v>
      </c>
    </row>
    <row r="7" spans="2:11" ht="24" customHeight="1">
      <c r="B7" s="4077">
        <v>2013</v>
      </c>
      <c r="C7" s="4752">
        <v>2599</v>
      </c>
      <c r="D7" s="4753">
        <f t="shared" ref="D7:D10" si="0">+C7/C6-1</f>
        <v>3.0876109610189495E-3</v>
      </c>
    </row>
    <row r="8" spans="2:11" ht="24" customHeight="1">
      <c r="B8" s="4077">
        <v>2014</v>
      </c>
      <c r="C8" s="4752">
        <v>2622</v>
      </c>
      <c r="D8" s="4753">
        <f t="shared" si="0"/>
        <v>8.8495575221239076E-3</v>
      </c>
    </row>
    <row r="9" spans="2:11" ht="24" customHeight="1">
      <c r="B9" s="4077">
        <v>2015</v>
      </c>
      <c r="C9" s="4752">
        <v>2635</v>
      </c>
      <c r="D9" s="4753">
        <f t="shared" si="0"/>
        <v>4.9580472921433305E-3</v>
      </c>
    </row>
    <row r="10" spans="2:11" ht="24" customHeight="1">
      <c r="B10" s="4077">
        <v>2016</v>
      </c>
      <c r="C10" s="4752">
        <v>2650</v>
      </c>
      <c r="D10" s="4753">
        <f t="shared" si="0"/>
        <v>5.6925996204932883E-3</v>
      </c>
    </row>
    <row r="11" spans="2:11" ht="24" customHeight="1">
      <c r="B11" s="4077">
        <v>2017</v>
      </c>
      <c r="C11" s="4752">
        <v>2660</v>
      </c>
      <c r="D11" s="4753">
        <f>+C11/C10-1</f>
        <v>3.7735849056603765E-3</v>
      </c>
    </row>
    <row r="12" spans="2:11" ht="24" customHeight="1">
      <c r="B12" s="4078">
        <v>2018</v>
      </c>
      <c r="C12" s="4754">
        <v>2687</v>
      </c>
      <c r="D12" s="4755">
        <f>+C12/C11-1</f>
        <v>1.0150375939849576E-2</v>
      </c>
      <c r="I12" s="1431"/>
    </row>
    <row r="14" spans="2:11" ht="27.75" customHeight="1">
      <c r="B14" s="5286" t="s">
        <v>2850</v>
      </c>
      <c r="C14" s="5286"/>
      <c r="D14" s="5286"/>
    </row>
  </sheetData>
  <mergeCells count="2">
    <mergeCell ref="B2:D2"/>
    <mergeCell ref="B14:D1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sheetPr>
    <tabColor theme="7" tint="-0.499984740745262"/>
  </sheetPr>
  <dimension ref="B1:I22"/>
  <sheetViews>
    <sheetView showGridLines="0" zoomScale="110" zoomScaleNormal="110" workbookViewId="0"/>
  </sheetViews>
  <sheetFormatPr baseColWidth="10" defaultRowHeight="15"/>
  <cols>
    <col min="2" max="2" width="8.42578125" style="191" customWidth="1"/>
    <col min="3" max="3" width="25" customWidth="1"/>
    <col min="4" max="4" width="19" customWidth="1"/>
    <col min="5" max="5" width="12.7109375" customWidth="1"/>
    <col min="6" max="6" width="21.85546875" customWidth="1"/>
    <col min="7" max="7" width="15.28515625" customWidth="1"/>
  </cols>
  <sheetData>
    <row r="1" spans="2:9">
      <c r="D1" s="64"/>
      <c r="E1" s="10"/>
    </row>
    <row r="2" spans="2:9" ht="15.75">
      <c r="B2" s="5287" t="s">
        <v>528</v>
      </c>
      <c r="C2" s="5287"/>
      <c r="D2" s="5287"/>
      <c r="E2" s="5287"/>
      <c r="F2" s="5287"/>
      <c r="G2" s="5287"/>
    </row>
    <row r="3" spans="2:9">
      <c r="B3" s="5288" t="s">
        <v>722</v>
      </c>
      <c r="C3" s="5288"/>
      <c r="D3" s="5288"/>
      <c r="E3" s="5288"/>
      <c r="F3" s="5288"/>
      <c r="G3" s="5288"/>
    </row>
    <row r="4" spans="2:9">
      <c r="G4" s="125"/>
    </row>
    <row r="5" spans="2:9" ht="45.75" thickBot="1">
      <c r="B5" s="3502" t="s">
        <v>349</v>
      </c>
      <c r="C5" s="3502" t="s">
        <v>350</v>
      </c>
      <c r="D5" s="3502" t="s">
        <v>351</v>
      </c>
      <c r="E5" s="3502" t="s">
        <v>2748</v>
      </c>
      <c r="F5" s="3502" t="s">
        <v>2749</v>
      </c>
      <c r="G5" s="3502" t="s">
        <v>352</v>
      </c>
    </row>
    <row r="6" spans="2:9">
      <c r="B6" s="3503"/>
      <c r="C6" s="3504"/>
      <c r="D6" s="3504"/>
      <c r="E6" s="3504"/>
      <c r="F6" s="3504"/>
      <c r="G6" s="3504"/>
    </row>
    <row r="7" spans="2:9" ht="20.100000000000001" customHeight="1">
      <c r="B7" s="3505">
        <v>2006</v>
      </c>
      <c r="C7" s="3506">
        <v>3321048</v>
      </c>
      <c r="D7" s="3506">
        <v>0</v>
      </c>
      <c r="E7" s="3507">
        <v>83.451138863411998</v>
      </c>
      <c r="F7" s="3506">
        <f>(C7/E7)*100</f>
        <v>3979631.7284964789</v>
      </c>
      <c r="G7" s="3508">
        <v>0</v>
      </c>
      <c r="I7" s="85"/>
    </row>
    <row r="8" spans="2:9" ht="20.100000000000001" customHeight="1">
      <c r="B8" s="3509">
        <v>2007</v>
      </c>
      <c r="C8" s="3510">
        <v>3445051</v>
      </c>
      <c r="D8" s="3511">
        <f t="shared" ref="D8:D20" si="0">(+C8-C7)/C7</f>
        <v>3.73385148302584E-2</v>
      </c>
      <c r="E8" s="3512">
        <v>86.588098998020996</v>
      </c>
      <c r="F8" s="3510">
        <f t="shared" ref="F8:F20" si="1">(C8/E8)*100</f>
        <v>3978665.7056401456</v>
      </c>
      <c r="G8" s="3513">
        <f t="shared" ref="G8:G17" si="2">(+F8-F7)/F7</f>
        <v>-2.4274177166093216E-4</v>
      </c>
      <c r="I8" s="85"/>
    </row>
    <row r="9" spans="2:9" ht="20.100000000000001" customHeight="1">
      <c r="B9" s="3509">
        <v>2008</v>
      </c>
      <c r="C9" s="3510">
        <v>3866003</v>
      </c>
      <c r="D9" s="3511">
        <f t="shared" si="0"/>
        <v>0.12219035364062825</v>
      </c>
      <c r="E9" s="3512">
        <v>92.240695661768001</v>
      </c>
      <c r="F9" s="3510">
        <f t="shared" si="1"/>
        <v>4191211.8856692272</v>
      </c>
      <c r="G9" s="3513">
        <f t="shared" si="2"/>
        <v>5.3421472361394114E-2</v>
      </c>
      <c r="I9" s="85"/>
    </row>
    <row r="10" spans="2:9" ht="20.100000000000001" customHeight="1">
      <c r="B10" s="3509">
        <v>2009</v>
      </c>
      <c r="C10" s="3510">
        <v>4465920</v>
      </c>
      <c r="D10" s="3511">
        <f t="shared" si="0"/>
        <v>0.15517758263508849</v>
      </c>
      <c r="E10" s="3512">
        <v>95.536951859487999</v>
      </c>
      <c r="F10" s="3510">
        <f t="shared" si="1"/>
        <v>4674547.296179493</v>
      </c>
      <c r="G10" s="3513">
        <f t="shared" si="2"/>
        <v>0.11532115858014887</v>
      </c>
      <c r="I10" s="85"/>
    </row>
    <row r="11" spans="2:9" ht="20.100000000000001" customHeight="1">
      <c r="B11" s="3509">
        <v>2010</v>
      </c>
      <c r="C11" s="3510">
        <v>4244093.0660000006</v>
      </c>
      <c r="D11" s="3511">
        <f t="shared" si="0"/>
        <v>-4.9671049638148342E-2</v>
      </c>
      <c r="E11" s="3512">
        <v>99.742092088296005</v>
      </c>
      <c r="F11" s="3510">
        <f t="shared" si="1"/>
        <v>4255067.2210113127</v>
      </c>
      <c r="G11" s="3513">
        <f t="shared" si="2"/>
        <v>-8.9737048015541804E-2</v>
      </c>
      <c r="I11" s="85"/>
    </row>
    <row r="12" spans="2:9" ht="20.100000000000001" customHeight="1">
      <c r="B12" s="3509">
        <v>2011</v>
      </c>
      <c r="C12" s="3510">
        <f>4415905.946+70000</f>
        <v>4485905.9460000005</v>
      </c>
      <c r="D12" s="3511">
        <f t="shared" si="0"/>
        <v>5.6976337756868563E-2</v>
      </c>
      <c r="E12" s="3512">
        <v>103.551</v>
      </c>
      <c r="F12" s="3510">
        <f t="shared" si="1"/>
        <v>4332073.9983196687</v>
      </c>
      <c r="G12" s="3513">
        <f t="shared" si="2"/>
        <v>1.8097664104599884E-2</v>
      </c>
      <c r="I12" s="85"/>
    </row>
    <row r="13" spans="2:9" ht="20.100000000000001" customHeight="1">
      <c r="B13" s="3509">
        <v>2012</v>
      </c>
      <c r="C13" s="3510">
        <v>5095787.4400000004</v>
      </c>
      <c r="D13" s="3511">
        <f t="shared" si="0"/>
        <v>0.13595503368585335</v>
      </c>
      <c r="E13" s="3512">
        <v>107.246</v>
      </c>
      <c r="F13" s="3510">
        <f t="shared" si="1"/>
        <v>4751494.1722768219</v>
      </c>
      <c r="G13" s="3513">
        <f t="shared" si="2"/>
        <v>9.6817407578872972E-2</v>
      </c>
      <c r="I13" s="85"/>
    </row>
    <row r="14" spans="2:9" ht="20.100000000000001" customHeight="1">
      <c r="B14" s="3509">
        <v>2013</v>
      </c>
      <c r="C14" s="3510">
        <v>5445070.1430000002</v>
      </c>
      <c r="D14" s="3511">
        <f t="shared" si="0"/>
        <v>6.8543420837820446E-2</v>
      </c>
      <c r="E14" s="3512">
        <v>111.508</v>
      </c>
      <c r="F14" s="3510">
        <f t="shared" si="1"/>
        <v>4883120.6218387922</v>
      </c>
      <c r="G14" s="3513">
        <f t="shared" si="2"/>
        <v>2.7702117437070857E-2</v>
      </c>
    </row>
    <row r="15" spans="2:9" ht="20.100000000000001" customHeight="1">
      <c r="B15" s="3509">
        <v>2014</v>
      </c>
      <c r="C15" s="3510">
        <v>5773895</v>
      </c>
      <c r="D15" s="3511">
        <f t="shared" si="0"/>
        <v>6.0389462094023905E-2</v>
      </c>
      <c r="E15" s="3512">
        <v>116.059</v>
      </c>
      <c r="F15" s="3510">
        <f t="shared" si="1"/>
        <v>4974965.3193634273</v>
      </c>
      <c r="G15" s="3513">
        <f t="shared" si="2"/>
        <v>1.8808607166875595E-2</v>
      </c>
    </row>
    <row r="16" spans="2:9" ht="20.100000000000001" customHeight="1">
      <c r="B16" s="3514">
        <v>2015</v>
      </c>
      <c r="C16" s="3510">
        <v>6499319.2779999999</v>
      </c>
      <c r="D16" s="3511">
        <f t="shared" si="0"/>
        <v>0.12563863353940449</v>
      </c>
      <c r="E16" s="3512">
        <v>118.532</v>
      </c>
      <c r="F16" s="3510">
        <f t="shared" si="1"/>
        <v>5483176.9294367768</v>
      </c>
      <c r="G16" s="3515">
        <f t="shared" si="2"/>
        <v>0.10215379956425058</v>
      </c>
    </row>
    <row r="17" spans="2:7" ht="20.100000000000001" customHeight="1">
      <c r="B17" s="3509">
        <v>2016</v>
      </c>
      <c r="C17" s="3510">
        <v>6588615.4670000002</v>
      </c>
      <c r="D17" s="3511">
        <f t="shared" si="0"/>
        <v>1.3739314100518981E-2</v>
      </c>
      <c r="E17" s="3512">
        <v>122.515</v>
      </c>
      <c r="F17" s="3510">
        <f t="shared" si="1"/>
        <v>5377803.099212341</v>
      </c>
      <c r="G17" s="3516">
        <f t="shared" si="2"/>
        <v>-1.921766005009428E-2</v>
      </c>
    </row>
    <row r="18" spans="2:7" ht="20.100000000000001" customHeight="1">
      <c r="B18" s="3509">
        <v>2017</v>
      </c>
      <c r="C18" s="3510">
        <v>6554708.7079999996</v>
      </c>
      <c r="D18" s="3511">
        <f t="shared" si="0"/>
        <v>-5.1462646696908143E-3</v>
      </c>
      <c r="E18" s="3512">
        <v>130.812999999998</v>
      </c>
      <c r="F18" s="3510">
        <f t="shared" si="1"/>
        <v>5010747.1795617407</v>
      </c>
      <c r="G18" s="3516">
        <f>(+F18-F17)/F17</f>
        <v>-6.8253878559510872E-2</v>
      </c>
    </row>
    <row r="19" spans="2:7" ht="20.100000000000001" customHeight="1">
      <c r="B19" s="3517">
        <v>2018</v>
      </c>
      <c r="C19" s="3518">
        <f>6978162+50000</f>
        <v>7028162</v>
      </c>
      <c r="D19" s="3519">
        <f t="shared" si="0"/>
        <v>7.2231019423052656E-2</v>
      </c>
      <c r="E19" s="3520">
        <f>+E18*1.0483</f>
        <v>137.13126789999791</v>
      </c>
      <c r="F19" s="3518">
        <f t="shared" si="1"/>
        <v>5125134.5572953075</v>
      </c>
      <c r="G19" s="3521">
        <f>(+F19-F18)/F18</f>
        <v>2.2828407348137559E-2</v>
      </c>
    </row>
    <row r="20" spans="2:7" ht="20.100000000000001" hidden="1" customHeight="1">
      <c r="B20" s="4726">
        <v>2019</v>
      </c>
      <c r="C20" s="4727">
        <v>7299503</v>
      </c>
      <c r="D20" s="4728">
        <f t="shared" si="0"/>
        <v>3.8607675804854809E-2</v>
      </c>
      <c r="E20" s="4729">
        <f>+E19*1.039</f>
        <v>142.47938734809782</v>
      </c>
      <c r="F20" s="4727">
        <f t="shared" si="1"/>
        <v>5123199.3173624864</v>
      </c>
      <c r="G20" s="4730">
        <f>(+F20-F19)/F19</f>
        <v>-3.7759787790672531E-4</v>
      </c>
    </row>
    <row r="22" spans="2:7">
      <c r="B22" s="3405" t="s">
        <v>353</v>
      </c>
    </row>
  </sheetData>
  <mergeCells count="2">
    <mergeCell ref="B2:G2"/>
    <mergeCell ref="B3:G3"/>
  </mergeCells>
  <pageMargins left="0.70866141732283472" right="0.70866141732283472" top="0.74803149606299213" bottom="0.74803149606299213" header="0.31496062992125984" footer="0.31496062992125984"/>
  <pageSetup orientation="landscape" r:id="rId1"/>
  <drawing r:id="rId2"/>
</worksheet>
</file>

<file path=xl/worksheets/sheet44.xml><?xml version="1.0" encoding="utf-8"?>
<worksheet xmlns="http://schemas.openxmlformats.org/spreadsheetml/2006/main" xmlns:r="http://schemas.openxmlformats.org/officeDocument/2006/relationships">
  <sheetPr>
    <tabColor theme="7" tint="-0.499984740745262"/>
    <pageSetUpPr fitToPage="1"/>
  </sheetPr>
  <dimension ref="A2:J37"/>
  <sheetViews>
    <sheetView showGridLines="0" workbookViewId="0">
      <selection activeCell="E19" sqref="E19"/>
    </sheetView>
  </sheetViews>
  <sheetFormatPr baseColWidth="10" defaultRowHeight="15"/>
  <cols>
    <col min="1" max="1" width="27.42578125" customWidth="1"/>
    <col min="2" max="7" width="15.7109375" customWidth="1"/>
    <col min="8" max="8" width="16.85546875" bestFit="1" customWidth="1"/>
    <col min="9" max="10" width="15.7109375" customWidth="1"/>
  </cols>
  <sheetData>
    <row r="2" spans="1:10" ht="15.75">
      <c r="B2" s="228" t="s">
        <v>487</v>
      </c>
      <c r="C2" s="228"/>
      <c r="D2" s="228"/>
      <c r="E2" s="9"/>
      <c r="F2" s="9"/>
    </row>
    <row r="3" spans="1:10">
      <c r="B3" t="s">
        <v>99</v>
      </c>
    </row>
    <row r="5" spans="1:10" ht="19.899999999999999" customHeight="1" thickBot="1">
      <c r="A5" s="3522" t="s">
        <v>100</v>
      </c>
      <c r="B5" s="3522">
        <v>2010</v>
      </c>
      <c r="C5" s="3522">
        <v>2011</v>
      </c>
      <c r="D5" s="3522">
        <v>2012</v>
      </c>
      <c r="E5" s="3522">
        <v>2013</v>
      </c>
      <c r="F5" s="3522">
        <v>2014</v>
      </c>
      <c r="G5" s="3522">
        <v>2015</v>
      </c>
      <c r="H5" s="3522">
        <v>2016</v>
      </c>
      <c r="I5" s="3522">
        <v>2017</v>
      </c>
      <c r="J5" s="3522">
        <v>2018</v>
      </c>
    </row>
    <row r="6" spans="1:10" ht="15.75">
      <c r="A6" s="11"/>
      <c r="B6" s="11"/>
      <c r="C6" s="11"/>
    </row>
    <row r="7" spans="1:10" ht="35.1" customHeight="1">
      <c r="A7" s="3523" t="s">
        <v>101</v>
      </c>
      <c r="B7" s="3524">
        <v>4244093</v>
      </c>
      <c r="C7" s="3524">
        <f>4415906 +70000</f>
        <v>4485906</v>
      </c>
      <c r="D7" s="3524">
        <v>5095787.4400000004</v>
      </c>
      <c r="E7" s="3524">
        <f>+A.34.!C14</f>
        <v>5445070.1430000002</v>
      </c>
      <c r="F7" s="3524">
        <f>+A.34.!$C$15</f>
        <v>5773895</v>
      </c>
      <c r="G7" s="3524">
        <v>6499319.2779999999</v>
      </c>
      <c r="H7" s="3524">
        <v>6588615.4670000002</v>
      </c>
      <c r="I7" s="3525">
        <f>+A.34.!C18</f>
        <v>6554708.7079999996</v>
      </c>
      <c r="J7" s="3525">
        <v>7028162</v>
      </c>
    </row>
    <row r="8" spans="1:10" ht="35.1" customHeight="1">
      <c r="A8" s="3526" t="s">
        <v>102</v>
      </c>
      <c r="B8" s="3527">
        <v>321965.00799999997</v>
      </c>
      <c r="C8" s="3527">
        <v>252343.76449</v>
      </c>
      <c r="D8" s="3527">
        <v>484457.45</v>
      </c>
      <c r="E8" s="3527">
        <f>213281.95287</f>
        <v>213281.95287000001</v>
      </c>
      <c r="F8" s="3527">
        <v>266440.15999999997</v>
      </c>
      <c r="G8" s="3527">
        <v>334269.39</v>
      </c>
      <c r="H8" s="3527">
        <v>290714.88938000001</v>
      </c>
      <c r="I8" s="3528">
        <v>223280.75</v>
      </c>
      <c r="J8" s="3528">
        <v>187344.94</v>
      </c>
    </row>
    <row r="9" spans="1:10" ht="35.1" customHeight="1">
      <c r="A9" s="3529" t="s">
        <v>103</v>
      </c>
      <c r="B9" s="3530">
        <f t="shared" ref="B9:H9" si="0">+B8/B7</f>
        <v>7.5861911602785326E-2</v>
      </c>
      <c r="C9" s="3530">
        <f t="shared" si="0"/>
        <v>5.6252575174334907E-2</v>
      </c>
      <c r="D9" s="3530">
        <f t="shared" si="0"/>
        <v>9.5070184089154228E-2</v>
      </c>
      <c r="E9" s="3530">
        <f t="shared" si="0"/>
        <v>3.9169734690045845E-2</v>
      </c>
      <c r="F9" s="3530">
        <f t="shared" si="0"/>
        <v>4.6145653843722476E-2</v>
      </c>
      <c r="G9" s="3530">
        <f t="shared" si="0"/>
        <v>5.1431446233375831E-2</v>
      </c>
      <c r="H9" s="3530">
        <f t="shared" si="0"/>
        <v>4.4123820981219211E-2</v>
      </c>
      <c r="I9" s="3531">
        <f t="shared" ref="I9:J9" si="1">+I8/I7</f>
        <v>3.4064175838582518E-2</v>
      </c>
      <c r="J9" s="3531">
        <f t="shared" si="1"/>
        <v>2.6656320671037462E-2</v>
      </c>
    </row>
    <row r="11" spans="1:10">
      <c r="A11" s="74" t="s">
        <v>3977</v>
      </c>
    </row>
    <row r="18" spans="6:9" ht="18.75">
      <c r="I18" s="3333"/>
    </row>
    <row r="32" spans="6:9">
      <c r="F32" s="12"/>
    </row>
    <row r="33" spans="6:6">
      <c r="F33" s="12"/>
    </row>
    <row r="34" spans="6:6">
      <c r="F34" s="12"/>
    </row>
    <row r="35" spans="6:6">
      <c r="F35" s="12"/>
    </row>
    <row r="36" spans="6:6">
      <c r="F36" s="12"/>
    </row>
    <row r="37" spans="6:6">
      <c r="F37" s="12"/>
    </row>
  </sheetData>
  <pageMargins left="0.7" right="0.7" top="0.75" bottom="0.75" header="0.3" footer="0.3"/>
  <pageSetup scale="79" orientation="landscape" r:id="rId1"/>
  <drawing r:id="rId2"/>
</worksheet>
</file>

<file path=xl/worksheets/sheet45.xml><?xml version="1.0" encoding="utf-8"?>
<worksheet xmlns="http://schemas.openxmlformats.org/spreadsheetml/2006/main" xmlns:r="http://schemas.openxmlformats.org/officeDocument/2006/relationships">
  <sheetPr>
    <tabColor theme="7" tint="-0.499984740745262"/>
  </sheetPr>
  <dimension ref="A2:Z299"/>
  <sheetViews>
    <sheetView showGridLines="0" workbookViewId="0"/>
  </sheetViews>
  <sheetFormatPr baseColWidth="10" defaultRowHeight="15"/>
  <cols>
    <col min="1" max="1" width="23.7109375" customWidth="1"/>
    <col min="3" max="3" width="14.28515625" customWidth="1"/>
    <col min="4" max="4" width="13.85546875" customWidth="1"/>
    <col min="5" max="5" width="14" customWidth="1"/>
    <col min="6" max="6" width="15" customWidth="1"/>
    <col min="7" max="7" width="14.42578125" customWidth="1"/>
    <col min="8" max="8" width="7.7109375" customWidth="1"/>
    <col min="9" max="9" width="14.28515625" customWidth="1"/>
  </cols>
  <sheetData>
    <row r="2" spans="1:8" ht="15.75" customHeight="1">
      <c r="A2" s="5289" t="s">
        <v>442</v>
      </c>
      <c r="B2" s="5289"/>
      <c r="C2" s="5289"/>
      <c r="D2" s="5289"/>
      <c r="E2" s="5289"/>
      <c r="F2" s="5289"/>
      <c r="G2" s="5289"/>
      <c r="H2" s="364"/>
    </row>
    <row r="3" spans="1:8">
      <c r="A3" s="5290" t="s">
        <v>364</v>
      </c>
      <c r="B3" s="5290"/>
      <c r="C3" s="5290"/>
      <c r="D3" s="5290"/>
      <c r="E3" s="5290"/>
      <c r="F3" s="5290"/>
      <c r="G3" s="5290"/>
      <c r="H3" s="150"/>
    </row>
    <row r="4" spans="1:8">
      <c r="A4" s="150"/>
      <c r="B4" s="150"/>
      <c r="C4" s="150"/>
      <c r="D4" s="150"/>
      <c r="E4" s="150"/>
      <c r="F4" s="150"/>
      <c r="G4" s="150"/>
      <c r="H4" s="150"/>
    </row>
    <row r="5" spans="1:8" ht="15.75">
      <c r="A5" s="5291">
        <v>2018</v>
      </c>
      <c r="B5" s="5291"/>
      <c r="C5" s="5291"/>
      <c r="D5" s="5291"/>
      <c r="E5" s="5291"/>
      <c r="F5" s="5291"/>
      <c r="G5" s="5291"/>
      <c r="H5" s="150"/>
    </row>
    <row r="6" spans="1:8" ht="20.100000000000001" customHeight="1">
      <c r="A6" s="5292" t="s">
        <v>0</v>
      </c>
      <c r="B6" s="5292" t="s">
        <v>163</v>
      </c>
      <c r="C6" s="5294" t="s">
        <v>522</v>
      </c>
      <c r="D6" s="5294"/>
      <c r="E6" s="5294"/>
      <c r="F6" s="5292" t="s">
        <v>521</v>
      </c>
      <c r="G6" s="5292" t="s">
        <v>1818</v>
      </c>
      <c r="H6" s="150"/>
    </row>
    <row r="7" spans="1:8" ht="20.100000000000001" customHeight="1" thickBot="1">
      <c r="A7" s="5293"/>
      <c r="B7" s="5293"/>
      <c r="C7" s="4609" t="s">
        <v>524</v>
      </c>
      <c r="D7" s="4609" t="s">
        <v>525</v>
      </c>
      <c r="E7" s="4609" t="s">
        <v>15</v>
      </c>
      <c r="F7" s="5293"/>
      <c r="G7" s="5293"/>
      <c r="H7" s="150"/>
    </row>
    <row r="8" spans="1:8">
      <c r="A8" s="4605" t="s">
        <v>3</v>
      </c>
      <c r="B8" s="4606">
        <v>610</v>
      </c>
      <c r="C8" s="4606">
        <v>123</v>
      </c>
      <c r="D8" s="4606">
        <v>16</v>
      </c>
      <c r="E8" s="4606">
        <f>SUM(C8:D8)</f>
        <v>139</v>
      </c>
      <c r="F8" s="4606">
        <v>1290</v>
      </c>
      <c r="G8" s="4607">
        <f t="shared" ref="G8:G13" si="0">B8/F8</f>
        <v>0.47286821705426357</v>
      </c>
      <c r="H8" s="150"/>
    </row>
    <row r="9" spans="1:8">
      <c r="A9" s="4605" t="s">
        <v>59</v>
      </c>
      <c r="B9" s="4606">
        <v>564</v>
      </c>
      <c r="C9" s="4606">
        <v>82</v>
      </c>
      <c r="D9" s="4606">
        <v>34</v>
      </c>
      <c r="E9" s="4606">
        <f>SUM(C9:D9)</f>
        <v>116</v>
      </c>
      <c r="F9" s="4606">
        <v>333</v>
      </c>
      <c r="G9" s="4607">
        <f t="shared" si="0"/>
        <v>1.6936936936936937</v>
      </c>
      <c r="H9" s="150"/>
    </row>
    <row r="10" spans="1:8">
      <c r="A10" s="4605" t="s">
        <v>25</v>
      </c>
      <c r="B10" s="4608">
        <v>1826</v>
      </c>
      <c r="C10" s="4608">
        <v>184</v>
      </c>
      <c r="D10" s="4608">
        <v>134</v>
      </c>
      <c r="E10" s="4606">
        <f t="shared" ref="E10:E13" si="1">SUM(C10:D10)</f>
        <v>318</v>
      </c>
      <c r="F10" s="4606">
        <v>1175</v>
      </c>
      <c r="G10" s="4607">
        <f t="shared" si="0"/>
        <v>1.5540425531914894</v>
      </c>
      <c r="H10" s="150"/>
    </row>
    <row r="11" spans="1:8">
      <c r="A11" s="4605" t="s">
        <v>249</v>
      </c>
      <c r="B11" s="4606">
        <v>36</v>
      </c>
      <c r="C11" s="4606">
        <v>11</v>
      </c>
      <c r="D11" s="4606">
        <v>73</v>
      </c>
      <c r="E11" s="4606">
        <f t="shared" si="1"/>
        <v>84</v>
      </c>
      <c r="F11" s="4606">
        <v>135</v>
      </c>
      <c r="G11" s="4607">
        <f t="shared" si="0"/>
        <v>0.26666666666666666</v>
      </c>
      <c r="H11" s="150"/>
    </row>
    <row r="12" spans="1:8">
      <c r="A12" s="4605" t="s">
        <v>48</v>
      </c>
      <c r="B12" s="4606">
        <v>472</v>
      </c>
      <c r="C12" s="4606">
        <v>193</v>
      </c>
      <c r="D12" s="4606">
        <v>46</v>
      </c>
      <c r="E12" s="4606">
        <f>SUM(C12:D12)</f>
        <v>239</v>
      </c>
      <c r="F12" s="4606">
        <v>1340</v>
      </c>
      <c r="G12" s="4607">
        <f t="shared" si="0"/>
        <v>0.35223880597014923</v>
      </c>
      <c r="H12" s="150"/>
    </row>
    <row r="13" spans="1:8">
      <c r="A13" s="4605" t="s">
        <v>87</v>
      </c>
      <c r="B13" s="4606">
        <v>2214</v>
      </c>
      <c r="C13" s="4606">
        <v>1380</v>
      </c>
      <c r="D13" s="4606">
        <v>19</v>
      </c>
      <c r="E13" s="4606">
        <f t="shared" si="1"/>
        <v>1399</v>
      </c>
      <c r="F13" s="4606">
        <v>1219</v>
      </c>
      <c r="G13" s="4607">
        <f t="shared" si="0"/>
        <v>1.8162428219852338</v>
      </c>
      <c r="H13" s="150"/>
    </row>
    <row r="14" spans="1:8">
      <c r="A14" s="4610" t="s">
        <v>114</v>
      </c>
      <c r="B14" s="4611">
        <f>SUM(B8:B13)</f>
        <v>5722</v>
      </c>
      <c r="C14" s="4611">
        <f>SUM(C8:C13)</f>
        <v>1973</v>
      </c>
      <c r="D14" s="4611">
        <f>SUM(D8:D13)</f>
        <v>322</v>
      </c>
      <c r="E14" s="4611">
        <f>SUM(E8:E13)</f>
        <v>2295</v>
      </c>
      <c r="F14" s="4611">
        <f>SUM(F8:F13)</f>
        <v>5492</v>
      </c>
      <c r="G14" s="4612">
        <f>B14/F14</f>
        <v>1.0418790968681719</v>
      </c>
      <c r="H14" s="150"/>
    </row>
    <row r="15" spans="1:8">
      <c r="A15" s="150"/>
      <c r="B15" s="150"/>
      <c r="C15" s="150"/>
      <c r="D15" s="150"/>
      <c r="E15" s="150"/>
      <c r="F15" s="150"/>
      <c r="G15" s="150"/>
      <c r="H15" s="150"/>
    </row>
    <row r="16" spans="1:8">
      <c r="A16" s="150"/>
      <c r="B16" s="150"/>
      <c r="C16" s="150"/>
      <c r="D16" s="150"/>
      <c r="E16" s="150"/>
      <c r="F16" s="150"/>
      <c r="G16" s="150"/>
      <c r="H16" s="150"/>
    </row>
    <row r="17" spans="1:8" ht="15.75">
      <c r="A17" s="5291">
        <v>2017</v>
      </c>
      <c r="B17" s="5291"/>
      <c r="C17" s="5291"/>
      <c r="D17" s="5291"/>
      <c r="E17" s="5291"/>
      <c r="F17" s="5291"/>
      <c r="G17" s="5291"/>
      <c r="H17" s="150"/>
    </row>
    <row r="18" spans="1:8" ht="15" customHeight="1">
      <c r="A18" s="5292" t="s">
        <v>0</v>
      </c>
      <c r="B18" s="5292" t="s">
        <v>163</v>
      </c>
      <c r="C18" s="5294" t="s">
        <v>522</v>
      </c>
      <c r="D18" s="5294"/>
      <c r="E18" s="5294"/>
      <c r="F18" s="5292" t="s">
        <v>521</v>
      </c>
      <c r="G18" s="5292" t="s">
        <v>1818</v>
      </c>
      <c r="H18" s="150"/>
    </row>
    <row r="19" spans="1:8" ht="21.75" customHeight="1" thickBot="1">
      <c r="A19" s="5293"/>
      <c r="B19" s="5293"/>
      <c r="C19" s="4609" t="s">
        <v>524</v>
      </c>
      <c r="D19" s="4609" t="s">
        <v>525</v>
      </c>
      <c r="E19" s="4609" t="s">
        <v>15</v>
      </c>
      <c r="F19" s="5293"/>
      <c r="G19" s="5293"/>
      <c r="H19" s="150"/>
    </row>
    <row r="20" spans="1:8">
      <c r="A20" s="4605" t="s">
        <v>3</v>
      </c>
      <c r="B20" s="4606">
        <v>989</v>
      </c>
      <c r="C20" s="4606">
        <v>420</v>
      </c>
      <c r="D20" s="4606">
        <v>52</v>
      </c>
      <c r="E20" s="4606">
        <f>SUM(C20:D20)</f>
        <v>472</v>
      </c>
      <c r="F20" s="4606">
        <v>1297</v>
      </c>
      <c r="G20" s="4607">
        <f t="shared" ref="G20:G25" si="2">B20/F20</f>
        <v>0.76252891287586744</v>
      </c>
      <c r="H20" s="150"/>
    </row>
    <row r="21" spans="1:8">
      <c r="A21" s="4605" t="s">
        <v>59</v>
      </c>
      <c r="B21" s="4606">
        <v>1214</v>
      </c>
      <c r="C21" s="4606">
        <v>285</v>
      </c>
      <c r="D21" s="4606">
        <v>27</v>
      </c>
      <c r="E21" s="4606">
        <f>SUM(C21:D21)</f>
        <v>312</v>
      </c>
      <c r="F21" s="4606">
        <v>318</v>
      </c>
      <c r="G21" s="4607">
        <f t="shared" si="2"/>
        <v>3.8176100628930816</v>
      </c>
      <c r="H21" s="150"/>
    </row>
    <row r="22" spans="1:8">
      <c r="A22" s="4605" t="s">
        <v>25</v>
      </c>
      <c r="B22" s="4608">
        <v>1019</v>
      </c>
      <c r="C22" s="4608">
        <v>293</v>
      </c>
      <c r="D22" s="4608">
        <v>194</v>
      </c>
      <c r="E22" s="4606">
        <f t="shared" ref="E22:E25" si="3">SUM(C22:D22)</f>
        <v>487</v>
      </c>
      <c r="F22" s="4606">
        <v>1161</v>
      </c>
      <c r="G22" s="4607">
        <f t="shared" si="2"/>
        <v>0.87769164513350562</v>
      </c>
      <c r="H22" s="150"/>
    </row>
    <row r="23" spans="1:8">
      <c r="A23" s="4605" t="s">
        <v>249</v>
      </c>
      <c r="B23" s="4606">
        <v>182</v>
      </c>
      <c r="C23" s="4606">
        <v>0</v>
      </c>
      <c r="D23" s="4606">
        <v>47</v>
      </c>
      <c r="E23" s="4606">
        <f t="shared" si="3"/>
        <v>47</v>
      </c>
      <c r="F23" s="4606">
        <v>118</v>
      </c>
      <c r="G23" s="4607">
        <f t="shared" si="2"/>
        <v>1.5423728813559323</v>
      </c>
      <c r="H23" s="3023"/>
    </row>
    <row r="24" spans="1:8">
      <c r="A24" s="4605" t="s">
        <v>48</v>
      </c>
      <c r="B24" s="4606">
        <v>702</v>
      </c>
      <c r="C24" s="4606">
        <v>298</v>
      </c>
      <c r="D24" s="4606">
        <v>121</v>
      </c>
      <c r="E24" s="4606">
        <f t="shared" si="3"/>
        <v>419</v>
      </c>
      <c r="F24" s="4606">
        <v>1331</v>
      </c>
      <c r="G24" s="4607">
        <f t="shared" si="2"/>
        <v>0.52742299023290762</v>
      </c>
      <c r="H24" s="150"/>
    </row>
    <row r="25" spans="1:8">
      <c r="A25" s="4605" t="s">
        <v>87</v>
      </c>
      <c r="B25" s="4606">
        <v>2953.5</v>
      </c>
      <c r="C25" s="4606">
        <v>1394</v>
      </c>
      <c r="D25" s="4606"/>
      <c r="E25" s="4606">
        <f t="shared" si="3"/>
        <v>1394</v>
      </c>
      <c r="F25" s="4606">
        <v>1238</v>
      </c>
      <c r="G25" s="4607">
        <f t="shared" si="2"/>
        <v>2.385702746365105</v>
      </c>
      <c r="H25" s="3023"/>
    </row>
    <row r="26" spans="1:8">
      <c r="A26" s="4610" t="s">
        <v>114</v>
      </c>
      <c r="B26" s="4611">
        <f>SUM(B20:B25)</f>
        <v>7059.5</v>
      </c>
      <c r="C26" s="4611">
        <f>SUM(C20:C25)</f>
        <v>2690</v>
      </c>
      <c r="D26" s="4611">
        <f t="shared" ref="D26:E26" si="4">SUM(D20:D25)</f>
        <v>441</v>
      </c>
      <c r="E26" s="4611">
        <f t="shared" si="4"/>
        <v>3131</v>
      </c>
      <c r="F26" s="4611">
        <f>SUM(F20:F25)</f>
        <v>5463</v>
      </c>
      <c r="G26" s="4612">
        <f>B26/F26</f>
        <v>1.292238696686802</v>
      </c>
      <c r="H26" s="150"/>
    </row>
    <row r="27" spans="1:8">
      <c r="A27" s="150"/>
      <c r="B27" s="150"/>
      <c r="C27" s="150"/>
      <c r="D27" s="150"/>
      <c r="E27" s="150"/>
      <c r="F27" s="150"/>
      <c r="G27" s="150"/>
      <c r="H27" s="150"/>
    </row>
    <row r="28" spans="1:8" ht="15.75">
      <c r="A28" s="5291">
        <v>2016</v>
      </c>
      <c r="B28" s="5291"/>
      <c r="C28" s="5291"/>
      <c r="D28" s="5291"/>
      <c r="E28" s="5291"/>
      <c r="F28" s="5291"/>
      <c r="G28" s="5291"/>
      <c r="H28" s="150"/>
    </row>
    <row r="29" spans="1:8" ht="16.5" customHeight="1">
      <c r="A29" s="5292" t="s">
        <v>0</v>
      </c>
      <c r="B29" s="5292" t="s">
        <v>163</v>
      </c>
      <c r="C29" s="5294" t="s">
        <v>522</v>
      </c>
      <c r="D29" s="5294"/>
      <c r="E29" s="5294"/>
      <c r="F29" s="5292" t="s">
        <v>521</v>
      </c>
      <c r="G29" s="5292" t="s">
        <v>1818</v>
      </c>
      <c r="H29" s="150"/>
    </row>
    <row r="30" spans="1:8" ht="21.75" customHeight="1" thickBot="1">
      <c r="A30" s="5293"/>
      <c r="B30" s="5293"/>
      <c r="C30" s="4609" t="s">
        <v>524</v>
      </c>
      <c r="D30" s="4609" t="s">
        <v>525</v>
      </c>
      <c r="E30" s="4609" t="s">
        <v>15</v>
      </c>
      <c r="F30" s="5293"/>
      <c r="G30" s="5293"/>
      <c r="H30" s="150"/>
    </row>
    <row r="31" spans="1:8">
      <c r="A31" s="4605" t="s">
        <v>3</v>
      </c>
      <c r="B31" s="4606">
        <v>948.5</v>
      </c>
      <c r="C31" s="4606">
        <v>535</v>
      </c>
      <c r="D31" s="4606">
        <v>184</v>
      </c>
      <c r="E31" s="4606">
        <v>719</v>
      </c>
      <c r="F31" s="4606">
        <v>1312</v>
      </c>
      <c r="G31" s="4607">
        <f t="shared" ref="G31" si="5">B31/F31</f>
        <v>0.72294207317073167</v>
      </c>
      <c r="H31" s="150"/>
    </row>
    <row r="32" spans="1:8">
      <c r="A32" s="4605" t="s">
        <v>59</v>
      </c>
      <c r="B32" s="4606">
        <v>1577</v>
      </c>
      <c r="C32" s="4606">
        <v>159</v>
      </c>
      <c r="D32" s="4606">
        <v>163</v>
      </c>
      <c r="E32" s="4606">
        <f>SUM(C32:D32)</f>
        <v>322</v>
      </c>
      <c r="F32" s="4606">
        <v>322</v>
      </c>
      <c r="G32" s="4607">
        <f t="shared" ref="G32:G37" si="6">B32/F32</f>
        <v>4.8975155279503104</v>
      </c>
      <c r="H32" s="150"/>
    </row>
    <row r="33" spans="1:8">
      <c r="A33" s="4605" t="s">
        <v>25</v>
      </c>
      <c r="B33" s="4608">
        <v>1458</v>
      </c>
      <c r="C33" s="4608">
        <v>399</v>
      </c>
      <c r="D33" s="4608">
        <v>141</v>
      </c>
      <c r="E33" s="4606">
        <f t="shared" ref="E33:E36" si="7">SUM(C33:D33)</f>
        <v>540</v>
      </c>
      <c r="F33" s="4606">
        <v>1157</v>
      </c>
      <c r="G33" s="4607">
        <f t="shared" si="6"/>
        <v>1.2601555747623163</v>
      </c>
      <c r="H33" s="3023"/>
    </row>
    <row r="34" spans="1:8">
      <c r="A34" s="4605" t="s">
        <v>249</v>
      </c>
      <c r="B34" s="4606">
        <v>182</v>
      </c>
      <c r="C34" s="4606">
        <v>0</v>
      </c>
      <c r="D34" s="4606">
        <v>47</v>
      </c>
      <c r="E34" s="4606">
        <f t="shared" si="7"/>
        <v>47</v>
      </c>
      <c r="F34" s="4606">
        <v>118</v>
      </c>
      <c r="G34" s="4607">
        <f t="shared" si="6"/>
        <v>1.5423728813559323</v>
      </c>
      <c r="H34" s="3023"/>
    </row>
    <row r="35" spans="1:8">
      <c r="A35" s="4605" t="s">
        <v>48</v>
      </c>
      <c r="B35" s="4606">
        <v>670</v>
      </c>
      <c r="C35" s="4606">
        <v>365</v>
      </c>
      <c r="D35" s="4606">
        <v>77</v>
      </c>
      <c r="E35" s="4606">
        <f t="shared" si="7"/>
        <v>442</v>
      </c>
      <c r="F35" s="4606">
        <v>1342</v>
      </c>
      <c r="G35" s="4607">
        <f t="shared" si="6"/>
        <v>0.49925484351713861</v>
      </c>
      <c r="H35" s="3023"/>
    </row>
    <row r="36" spans="1:8">
      <c r="A36" s="4605" t="s">
        <v>87</v>
      </c>
      <c r="B36" s="4606">
        <v>2953.5</v>
      </c>
      <c r="C36" s="4606">
        <v>1394</v>
      </c>
      <c r="D36" s="4606"/>
      <c r="E36" s="4606">
        <f t="shared" si="7"/>
        <v>1394</v>
      </c>
      <c r="F36" s="4606">
        <v>1260</v>
      </c>
      <c r="G36" s="4607">
        <f t="shared" si="6"/>
        <v>2.3440476190476192</v>
      </c>
      <c r="H36" s="150"/>
    </row>
    <row r="37" spans="1:8">
      <c r="A37" s="4610" t="s">
        <v>114</v>
      </c>
      <c r="B37" s="4611">
        <f>SUM(B31:B36)</f>
        <v>7789</v>
      </c>
      <c r="C37" s="4611">
        <f>SUM(C31:C36)</f>
        <v>2852</v>
      </c>
      <c r="D37" s="4611">
        <f t="shared" ref="D37" si="8">SUM(D31:D36)</f>
        <v>612</v>
      </c>
      <c r="E37" s="4611">
        <f t="shared" ref="E37" si="9">SUM(E31:E36)</f>
        <v>3464</v>
      </c>
      <c r="F37" s="4611">
        <f>SUM(F31:F36)</f>
        <v>5511</v>
      </c>
      <c r="G37" s="4612">
        <f t="shared" si="6"/>
        <v>1.4133551079658864</v>
      </c>
      <c r="H37" s="150"/>
    </row>
    <row r="38" spans="1:8">
      <c r="A38" s="150"/>
      <c r="B38" s="150"/>
      <c r="C38" s="150"/>
      <c r="D38" s="150"/>
      <c r="E38" s="150"/>
      <c r="F38" s="150"/>
      <c r="G38" s="150"/>
      <c r="H38" s="150"/>
    </row>
    <row r="39" spans="1:8" ht="15.75">
      <c r="A39" s="5291">
        <v>2015</v>
      </c>
      <c r="B39" s="5291"/>
      <c r="C39" s="5291"/>
      <c r="D39" s="5291"/>
      <c r="E39" s="5291"/>
      <c r="F39" s="5291"/>
      <c r="G39" s="5291"/>
      <c r="H39" s="150"/>
    </row>
    <row r="40" spans="1:8" ht="15.75" customHeight="1">
      <c r="A40" s="5292" t="s">
        <v>0</v>
      </c>
      <c r="B40" s="5292" t="s">
        <v>163</v>
      </c>
      <c r="C40" s="5294" t="s">
        <v>522</v>
      </c>
      <c r="D40" s="5294"/>
      <c r="E40" s="5294"/>
      <c r="F40" s="5292" t="s">
        <v>521</v>
      </c>
      <c r="G40" s="5292" t="s">
        <v>1818</v>
      </c>
      <c r="H40" s="150"/>
    </row>
    <row r="41" spans="1:8" ht="23.25" customHeight="1" thickBot="1">
      <c r="A41" s="5293"/>
      <c r="B41" s="5293"/>
      <c r="C41" s="4609" t="s">
        <v>524</v>
      </c>
      <c r="D41" s="4609" t="s">
        <v>525</v>
      </c>
      <c r="E41" s="4609" t="s">
        <v>15</v>
      </c>
      <c r="F41" s="5293"/>
      <c r="G41" s="5293"/>
      <c r="H41" s="150"/>
    </row>
    <row r="42" spans="1:8">
      <c r="A42" s="4605" t="s">
        <v>3</v>
      </c>
      <c r="B42" s="4606">
        <v>873</v>
      </c>
      <c r="C42" s="4606">
        <v>586</v>
      </c>
      <c r="D42" s="4606">
        <v>222</v>
      </c>
      <c r="E42" s="4606">
        <f>SUM(C42:D42)</f>
        <v>808</v>
      </c>
      <c r="F42" s="4606">
        <v>1307</v>
      </c>
      <c r="G42" s="4607">
        <f t="shared" ref="G42" si="10">B42/F42</f>
        <v>0.66794185156847741</v>
      </c>
      <c r="H42" s="150"/>
    </row>
    <row r="43" spans="1:8">
      <c r="A43" s="4605" t="s">
        <v>59</v>
      </c>
      <c r="B43" s="4606">
        <v>131</v>
      </c>
      <c r="C43" s="4606">
        <v>90</v>
      </c>
      <c r="D43" s="4606">
        <v>228</v>
      </c>
      <c r="E43" s="4606">
        <f t="shared" ref="E43:E47" si="11">SUM(C43:D43)</f>
        <v>318</v>
      </c>
      <c r="F43" s="4606">
        <v>286</v>
      </c>
      <c r="G43" s="4607">
        <f t="shared" ref="G43:G47" si="12">B43/F43</f>
        <v>0.45804195804195802</v>
      </c>
      <c r="H43" s="150"/>
    </row>
    <row r="44" spans="1:8">
      <c r="A44" s="4605" t="s">
        <v>25</v>
      </c>
      <c r="B44" s="4608">
        <v>1458</v>
      </c>
      <c r="C44" s="4608">
        <v>399</v>
      </c>
      <c r="D44" s="4608">
        <v>141</v>
      </c>
      <c r="E44" s="4606">
        <f t="shared" si="11"/>
        <v>540</v>
      </c>
      <c r="F44" s="4606">
        <v>1177</v>
      </c>
      <c r="G44" s="4607">
        <f t="shared" si="12"/>
        <v>1.2387425658453697</v>
      </c>
      <c r="H44" s="150"/>
    </row>
    <row r="45" spans="1:8">
      <c r="A45" s="4605" t="s">
        <v>249</v>
      </c>
      <c r="B45" s="4606">
        <v>182</v>
      </c>
      <c r="C45" s="4606">
        <v>0</v>
      </c>
      <c r="D45" s="4606">
        <v>47</v>
      </c>
      <c r="E45" s="4606">
        <f t="shared" si="11"/>
        <v>47</v>
      </c>
      <c r="F45" s="4606">
        <v>81</v>
      </c>
      <c r="G45" s="4607">
        <f t="shared" si="12"/>
        <v>2.2469135802469138</v>
      </c>
      <c r="H45" s="150"/>
    </row>
    <row r="46" spans="1:8">
      <c r="A46" s="4605" t="s">
        <v>48</v>
      </c>
      <c r="B46" s="4606">
        <v>670</v>
      </c>
      <c r="C46" s="4606">
        <v>365</v>
      </c>
      <c r="D46" s="4606">
        <v>77</v>
      </c>
      <c r="E46" s="4606">
        <f t="shared" si="11"/>
        <v>442</v>
      </c>
      <c r="F46" s="4606">
        <v>1371</v>
      </c>
      <c r="G46" s="4607">
        <f t="shared" si="12"/>
        <v>0.48869438366156093</v>
      </c>
      <c r="H46" s="150"/>
    </row>
    <row r="47" spans="1:8">
      <c r="A47" s="4605" t="s">
        <v>87</v>
      </c>
      <c r="B47" s="4606">
        <v>460</v>
      </c>
      <c r="C47" s="4606"/>
      <c r="D47" s="4606"/>
      <c r="E47" s="4606">
        <f t="shared" si="11"/>
        <v>0</v>
      </c>
      <c r="F47" s="4606">
        <v>1225</v>
      </c>
      <c r="G47" s="4607">
        <f t="shared" si="12"/>
        <v>0.37551020408163266</v>
      </c>
      <c r="H47" s="3023"/>
    </row>
    <row r="48" spans="1:8">
      <c r="A48" s="4610" t="s">
        <v>114</v>
      </c>
      <c r="B48" s="4611">
        <f>SUM(B42:B47)</f>
        <v>3774</v>
      </c>
      <c r="C48" s="4611">
        <f>SUM(C42:C47)</f>
        <v>1440</v>
      </c>
      <c r="D48" s="4611">
        <f t="shared" ref="D48:E48" si="13">SUM(D42:D47)</f>
        <v>715</v>
      </c>
      <c r="E48" s="4611">
        <f t="shared" si="13"/>
        <v>2155</v>
      </c>
      <c r="F48" s="4611">
        <f>SUM(F42:F47)</f>
        <v>5447</v>
      </c>
      <c r="G48" s="4612">
        <f t="shared" ref="G48" si="14">B48/F48</f>
        <v>0.69285845419496972</v>
      </c>
      <c r="H48" s="150"/>
    </row>
    <row r="49" spans="1:8">
      <c r="A49" s="150"/>
      <c r="B49" s="150"/>
      <c r="C49" s="150"/>
      <c r="D49" s="150"/>
      <c r="E49" s="150"/>
      <c r="F49" s="150"/>
      <c r="G49" s="150"/>
      <c r="H49" s="150"/>
    </row>
    <row r="50" spans="1:8">
      <c r="A50" s="150"/>
      <c r="B50" s="150"/>
      <c r="C50" s="150"/>
      <c r="D50" s="150"/>
      <c r="E50" s="150"/>
      <c r="F50" s="150"/>
      <c r="G50" s="150"/>
      <c r="H50" s="150"/>
    </row>
    <row r="51" spans="1:8" ht="15.75">
      <c r="A51" s="5291">
        <v>2014</v>
      </c>
      <c r="B51" s="5291"/>
      <c r="C51" s="5291"/>
      <c r="D51" s="5291"/>
      <c r="E51" s="5291"/>
      <c r="F51" s="5291"/>
      <c r="G51" s="5291"/>
      <c r="H51" s="150"/>
    </row>
    <row r="52" spans="1:8" ht="24" customHeight="1">
      <c r="A52" s="5292" t="s">
        <v>0</v>
      </c>
      <c r="B52" s="5292" t="s">
        <v>163</v>
      </c>
      <c r="C52" s="5294" t="s">
        <v>522</v>
      </c>
      <c r="D52" s="5294"/>
      <c r="E52" s="5294"/>
      <c r="F52" s="5292" t="s">
        <v>521</v>
      </c>
      <c r="G52" s="5292" t="s">
        <v>1818</v>
      </c>
      <c r="H52" s="150"/>
    </row>
    <row r="53" spans="1:8" ht="24" customHeight="1" thickBot="1">
      <c r="A53" s="5293"/>
      <c r="B53" s="5293"/>
      <c r="C53" s="4609" t="s">
        <v>524</v>
      </c>
      <c r="D53" s="4609" t="s">
        <v>525</v>
      </c>
      <c r="E53" s="4609" t="s">
        <v>15</v>
      </c>
      <c r="F53" s="5293"/>
      <c r="G53" s="5293"/>
      <c r="H53" s="150"/>
    </row>
    <row r="54" spans="1:8">
      <c r="A54" s="4605" t="s">
        <v>3</v>
      </c>
      <c r="B54" s="4606">
        <v>1238</v>
      </c>
      <c r="C54" s="4606">
        <v>452</v>
      </c>
      <c r="D54" s="4606">
        <v>213</v>
      </c>
      <c r="E54" s="4606">
        <f>SUM(C54:D54)</f>
        <v>665</v>
      </c>
      <c r="F54" s="4606">
        <v>1313</v>
      </c>
      <c r="G54" s="4607">
        <f t="shared" ref="G54:G60" si="15">B54/F54</f>
        <v>0.94287890327494284</v>
      </c>
      <c r="H54" s="150"/>
    </row>
    <row r="55" spans="1:8">
      <c r="A55" s="4605" t="s">
        <v>59</v>
      </c>
      <c r="B55" s="4606">
        <v>48</v>
      </c>
      <c r="C55" s="4606">
        <v>4</v>
      </c>
      <c r="D55" s="4606">
        <v>4</v>
      </c>
      <c r="E55" s="4606">
        <f t="shared" ref="E55:E57" si="16">SUM(C55:D55)</f>
        <v>8</v>
      </c>
      <c r="F55" s="4606">
        <v>271</v>
      </c>
      <c r="G55" s="4607">
        <f t="shared" si="15"/>
        <v>0.17712177121771217</v>
      </c>
      <c r="H55" s="150"/>
    </row>
    <row r="56" spans="1:8">
      <c r="A56" s="4605" t="s">
        <v>25</v>
      </c>
      <c r="B56" s="4608">
        <v>1011</v>
      </c>
      <c r="C56" s="4608">
        <v>248</v>
      </c>
      <c r="D56" s="4608">
        <v>142</v>
      </c>
      <c r="E56" s="4606">
        <f t="shared" si="16"/>
        <v>390</v>
      </c>
      <c r="F56" s="4606">
        <v>1189</v>
      </c>
      <c r="G56" s="4607">
        <f t="shared" si="15"/>
        <v>0.85029436501261568</v>
      </c>
      <c r="H56" s="150"/>
    </row>
    <row r="57" spans="1:8">
      <c r="A57" s="4605" t="s">
        <v>249</v>
      </c>
      <c r="B57" s="4606">
        <v>144</v>
      </c>
      <c r="C57" s="4606">
        <v>0</v>
      </c>
      <c r="D57" s="4606">
        <v>26</v>
      </c>
      <c r="E57" s="4606">
        <f t="shared" si="16"/>
        <v>26</v>
      </c>
      <c r="F57" s="4606">
        <v>80</v>
      </c>
      <c r="G57" s="4607">
        <f t="shared" si="15"/>
        <v>1.8</v>
      </c>
      <c r="H57" s="150"/>
    </row>
    <row r="58" spans="1:8">
      <c r="A58" s="4605" t="s">
        <v>48</v>
      </c>
      <c r="B58" s="4606">
        <v>526</v>
      </c>
      <c r="C58" s="4606"/>
      <c r="D58" s="4606"/>
      <c r="E58" s="4606">
        <v>377</v>
      </c>
      <c r="F58" s="4606">
        <v>1379</v>
      </c>
      <c r="G58" s="4607">
        <f t="shared" si="15"/>
        <v>0.38143582306018853</v>
      </c>
      <c r="H58" s="150"/>
    </row>
    <row r="59" spans="1:8">
      <c r="A59" s="4605" t="s">
        <v>87</v>
      </c>
      <c r="B59" s="4606">
        <v>460</v>
      </c>
      <c r="C59" s="4606"/>
      <c r="D59" s="4606"/>
      <c r="E59" s="4606">
        <v>375</v>
      </c>
      <c r="F59" s="4606">
        <v>1248</v>
      </c>
      <c r="G59" s="4607">
        <f t="shared" si="15"/>
        <v>0.36858974358974361</v>
      </c>
      <c r="H59" s="150"/>
    </row>
    <row r="60" spans="1:8">
      <c r="A60" s="4610" t="s">
        <v>114</v>
      </c>
      <c r="B60" s="4611">
        <f>SUM(B54:B59)</f>
        <v>3427</v>
      </c>
      <c r="C60" s="4611">
        <f>SUM(C54:C59)</f>
        <v>704</v>
      </c>
      <c r="D60" s="4611">
        <f>SUM(D54:D59)</f>
        <v>385</v>
      </c>
      <c r="E60" s="4611">
        <f>SUM(E54:E59)</f>
        <v>1841</v>
      </c>
      <c r="F60" s="4611">
        <f>SUM(F54:F59)</f>
        <v>5480</v>
      </c>
      <c r="G60" s="4612">
        <f t="shared" si="15"/>
        <v>0.62536496350364967</v>
      </c>
      <c r="H60" s="150"/>
    </row>
    <row r="61" spans="1:8">
      <c r="A61" s="150"/>
      <c r="B61" s="150"/>
      <c r="C61" s="150"/>
      <c r="D61" s="150"/>
      <c r="E61" s="150"/>
      <c r="F61" s="150"/>
      <c r="G61" s="150"/>
      <c r="H61" s="150"/>
    </row>
    <row r="62" spans="1:8">
      <c r="A62" s="150"/>
      <c r="B62" s="150"/>
      <c r="C62" s="150"/>
      <c r="D62" s="150"/>
      <c r="E62" s="150"/>
      <c r="F62" s="150"/>
      <c r="G62" s="150"/>
      <c r="H62" s="150"/>
    </row>
    <row r="63" spans="1:8" ht="15.75">
      <c r="A63" s="5291">
        <v>2013</v>
      </c>
      <c r="B63" s="5291"/>
      <c r="C63" s="5291"/>
      <c r="D63" s="5291"/>
      <c r="E63" s="5291"/>
      <c r="F63" s="5291"/>
      <c r="G63" s="5291"/>
      <c r="H63" s="150"/>
    </row>
    <row r="64" spans="1:8" ht="18.75" customHeight="1">
      <c r="A64" s="5292" t="s">
        <v>0</v>
      </c>
      <c r="B64" s="5292" t="s">
        <v>163</v>
      </c>
      <c r="C64" s="5294" t="s">
        <v>522</v>
      </c>
      <c r="D64" s="5294"/>
      <c r="E64" s="5294"/>
      <c r="F64" s="5292" t="s">
        <v>521</v>
      </c>
      <c r="G64" s="5292" t="s">
        <v>1818</v>
      </c>
      <c r="H64" s="150"/>
    </row>
    <row r="65" spans="1:8" ht="18.75" customHeight="1" thickBot="1">
      <c r="A65" s="5293"/>
      <c r="B65" s="5293"/>
      <c r="C65" s="4609" t="s">
        <v>524</v>
      </c>
      <c r="D65" s="4609" t="s">
        <v>525</v>
      </c>
      <c r="E65" s="4609" t="s">
        <v>15</v>
      </c>
      <c r="F65" s="5293"/>
      <c r="G65" s="5293"/>
      <c r="H65" s="150"/>
    </row>
    <row r="66" spans="1:8">
      <c r="A66" s="4605" t="s">
        <v>3</v>
      </c>
      <c r="B66" s="4606">
        <v>1056</v>
      </c>
      <c r="C66" s="4606">
        <v>175</v>
      </c>
      <c r="D66" s="4606">
        <v>698</v>
      </c>
      <c r="E66" s="4606">
        <f>SUM(C66:D66)</f>
        <v>873</v>
      </c>
      <c r="F66" s="4606">
        <v>1329</v>
      </c>
      <c r="G66" s="4607">
        <f t="shared" ref="G66:G72" si="17">B66/F66</f>
        <v>0.79458239277652365</v>
      </c>
      <c r="H66" s="150"/>
    </row>
    <row r="67" spans="1:8">
      <c r="A67" s="4605" t="s">
        <v>59</v>
      </c>
      <c r="B67" s="4606">
        <v>745</v>
      </c>
      <c r="C67" s="4606">
        <v>6</v>
      </c>
      <c r="D67" s="4606">
        <v>56</v>
      </c>
      <c r="E67" s="4606">
        <f t="shared" ref="E67:E70" si="18">SUM(C67:D67)</f>
        <v>62</v>
      </c>
      <c r="F67" s="4606">
        <v>216</v>
      </c>
      <c r="G67" s="4607">
        <f t="shared" si="17"/>
        <v>3.449074074074074</v>
      </c>
      <c r="H67" s="203"/>
    </row>
    <row r="68" spans="1:8">
      <c r="A68" s="4605" t="s">
        <v>25</v>
      </c>
      <c r="B68" s="4608">
        <v>3076</v>
      </c>
      <c r="C68" s="4608">
        <v>272</v>
      </c>
      <c r="D68" s="4608">
        <v>159</v>
      </c>
      <c r="E68" s="4606">
        <f t="shared" si="18"/>
        <v>431</v>
      </c>
      <c r="F68" s="4606">
        <v>1198</v>
      </c>
      <c r="G68" s="4607">
        <f t="shared" si="17"/>
        <v>2.5676126878130217</v>
      </c>
      <c r="H68" s="150"/>
    </row>
    <row r="69" spans="1:8">
      <c r="A69" s="4605" t="s">
        <v>249</v>
      </c>
      <c r="B69" s="4606">
        <v>144</v>
      </c>
      <c r="C69" s="4606">
        <v>0</v>
      </c>
      <c r="D69" s="4606">
        <v>26</v>
      </c>
      <c r="E69" s="4606">
        <f t="shared" si="18"/>
        <v>26</v>
      </c>
      <c r="F69" s="4606">
        <v>56</v>
      </c>
      <c r="G69" s="4607">
        <f t="shared" si="17"/>
        <v>2.5714285714285716</v>
      </c>
      <c r="H69" s="150"/>
    </row>
    <row r="70" spans="1:8">
      <c r="A70" s="4605" t="s">
        <v>48</v>
      </c>
      <c r="B70" s="4606">
        <v>291</v>
      </c>
      <c r="C70" s="4606">
        <v>118</v>
      </c>
      <c r="D70" s="4606">
        <v>142</v>
      </c>
      <c r="E70" s="4606">
        <f t="shared" si="18"/>
        <v>260</v>
      </c>
      <c r="F70" s="4606">
        <v>1346</v>
      </c>
      <c r="G70" s="4607">
        <f t="shared" si="17"/>
        <v>0.2161961367013373</v>
      </c>
      <c r="H70" s="150"/>
    </row>
    <row r="71" spans="1:8">
      <c r="A71" s="4605" t="s">
        <v>87</v>
      </c>
      <c r="B71" s="4606">
        <v>369</v>
      </c>
      <c r="C71" s="4606"/>
      <c r="D71" s="4606"/>
      <c r="E71" s="4606">
        <v>534</v>
      </c>
      <c r="F71" s="4606">
        <v>1211</v>
      </c>
      <c r="G71" s="4607">
        <f t="shared" si="17"/>
        <v>0.30470685383980184</v>
      </c>
      <c r="H71" s="150"/>
    </row>
    <row r="72" spans="1:8">
      <c r="A72" s="4610" t="s">
        <v>114</v>
      </c>
      <c r="B72" s="4611">
        <f>SUM(B66:B71)</f>
        <v>5681</v>
      </c>
      <c r="C72" s="4611">
        <f>SUM(C66:C71)</f>
        <v>571</v>
      </c>
      <c r="D72" s="4611">
        <f>SUM(D66:D71)</f>
        <v>1081</v>
      </c>
      <c r="E72" s="4611">
        <f>SUM(E66:E71)</f>
        <v>2186</v>
      </c>
      <c r="F72" s="4611">
        <f>SUM(F66:F71)</f>
        <v>5356</v>
      </c>
      <c r="G72" s="4612">
        <f t="shared" si="17"/>
        <v>1.0606796116504855</v>
      </c>
      <c r="H72" s="150"/>
    </row>
    <row r="73" spans="1:8">
      <c r="A73" s="19" t="s">
        <v>165</v>
      </c>
      <c r="B73" s="20"/>
      <c r="C73" s="5"/>
      <c r="D73" s="5"/>
      <c r="E73" s="5"/>
      <c r="F73" s="5"/>
      <c r="H73" s="150"/>
    </row>
    <row r="74" spans="1:8">
      <c r="H74" s="150"/>
    </row>
    <row r="75" spans="1:8" ht="15.75">
      <c r="A75" s="5291">
        <v>2012</v>
      </c>
      <c r="B75" s="5291"/>
      <c r="C75" s="5291"/>
      <c r="D75" s="5291"/>
      <c r="E75" s="5291"/>
      <c r="F75" s="5291"/>
      <c r="G75" s="5291"/>
      <c r="H75" s="150"/>
    </row>
    <row r="76" spans="1:8" ht="15" customHeight="1">
      <c r="A76" s="5292" t="s">
        <v>0</v>
      </c>
      <c r="B76" s="5292" t="s">
        <v>163</v>
      </c>
      <c r="C76" s="5294" t="s">
        <v>522</v>
      </c>
      <c r="D76" s="5294"/>
      <c r="E76" s="5294"/>
      <c r="F76" s="5292" t="s">
        <v>521</v>
      </c>
      <c r="G76" s="5292" t="s">
        <v>1818</v>
      </c>
      <c r="H76" s="150"/>
    </row>
    <row r="77" spans="1:8" ht="30" customHeight="1" thickBot="1">
      <c r="A77" s="5293"/>
      <c r="B77" s="5293"/>
      <c r="C77" s="4609" t="s">
        <v>524</v>
      </c>
      <c r="D77" s="4609" t="s">
        <v>525</v>
      </c>
      <c r="E77" s="4609" t="s">
        <v>15</v>
      </c>
      <c r="F77" s="5293"/>
      <c r="G77" s="5293"/>
      <c r="H77" s="150"/>
    </row>
    <row r="78" spans="1:8">
      <c r="A78" s="4605" t="s">
        <v>3</v>
      </c>
      <c r="B78" s="4606">
        <v>711</v>
      </c>
      <c r="C78" s="4606">
        <v>240</v>
      </c>
      <c r="D78" s="4606">
        <v>315</v>
      </c>
      <c r="E78" s="4606">
        <f>SUM(C78:D78)</f>
        <v>555</v>
      </c>
      <c r="F78" s="4606">
        <v>1334</v>
      </c>
      <c r="G78" s="4607">
        <f t="shared" ref="G78:G84" si="19">B78/F78</f>
        <v>0.53298350824587704</v>
      </c>
      <c r="H78" s="150"/>
    </row>
    <row r="79" spans="1:8">
      <c r="A79" s="4605" t="s">
        <v>59</v>
      </c>
      <c r="B79" s="4606">
        <v>462</v>
      </c>
      <c r="C79" s="4606">
        <v>4</v>
      </c>
      <c r="D79" s="4606">
        <v>47</v>
      </c>
      <c r="E79" s="4606">
        <f t="shared" ref="E79:E82" si="20">SUM(C79:D79)</f>
        <v>51</v>
      </c>
      <c r="F79" s="4606">
        <v>218</v>
      </c>
      <c r="G79" s="4607">
        <f t="shared" si="19"/>
        <v>2.1192660550458715</v>
      </c>
      <c r="H79" s="150"/>
    </row>
    <row r="80" spans="1:8">
      <c r="A80" s="4605" t="s">
        <v>25</v>
      </c>
      <c r="B80" s="4608">
        <v>1560</v>
      </c>
      <c r="C80" s="4608">
        <v>267</v>
      </c>
      <c r="D80" s="4608">
        <v>137</v>
      </c>
      <c r="E80" s="4606">
        <f t="shared" si="20"/>
        <v>404</v>
      </c>
      <c r="F80" s="4606">
        <v>1199</v>
      </c>
      <c r="G80" s="4607">
        <f t="shared" si="19"/>
        <v>1.3010842368640534</v>
      </c>
      <c r="H80" s="150"/>
    </row>
    <row r="81" spans="1:8">
      <c r="A81" s="4605" t="s">
        <v>249</v>
      </c>
      <c r="B81" s="4606">
        <v>148</v>
      </c>
      <c r="C81" s="4606">
        <v>0</v>
      </c>
      <c r="D81" s="4606">
        <v>62</v>
      </c>
      <c r="E81" s="4606">
        <f t="shared" si="20"/>
        <v>62</v>
      </c>
      <c r="F81" s="4606">
        <v>50</v>
      </c>
      <c r="G81" s="4607">
        <f t="shared" si="19"/>
        <v>2.96</v>
      </c>
      <c r="H81" s="150"/>
    </row>
    <row r="82" spans="1:8">
      <c r="A82" s="4605" t="s">
        <v>48</v>
      </c>
      <c r="B82" s="4606">
        <v>679</v>
      </c>
      <c r="C82" s="4606">
        <v>353</v>
      </c>
      <c r="D82" s="4606">
        <v>82</v>
      </c>
      <c r="E82" s="4606">
        <f t="shared" si="20"/>
        <v>435</v>
      </c>
      <c r="F82" s="4606">
        <v>1363</v>
      </c>
      <c r="G82" s="4607">
        <f t="shared" si="19"/>
        <v>0.49816581071166544</v>
      </c>
      <c r="H82" s="150"/>
    </row>
    <row r="83" spans="1:8">
      <c r="A83" s="4605" t="s">
        <v>87</v>
      </c>
      <c r="B83" s="4606">
        <v>835</v>
      </c>
      <c r="C83" s="4606">
        <v>499</v>
      </c>
      <c r="D83" s="4606">
        <v>19</v>
      </c>
      <c r="E83" s="4606">
        <f>SUM(C83:D83)</f>
        <v>518</v>
      </c>
      <c r="F83" s="4606">
        <v>1219</v>
      </c>
      <c r="G83" s="4607">
        <f t="shared" si="19"/>
        <v>0.68498769483182942</v>
      </c>
      <c r="H83" s="150"/>
    </row>
    <row r="84" spans="1:8">
      <c r="A84" s="4610" t="s">
        <v>114</v>
      </c>
      <c r="B84" s="4611">
        <f>SUM(B78:B83)</f>
        <v>4395</v>
      </c>
      <c r="C84" s="4611">
        <f>SUM(C78:C83)</f>
        <v>1363</v>
      </c>
      <c r="D84" s="4611">
        <f>SUM(D78:D83)</f>
        <v>662</v>
      </c>
      <c r="E84" s="4611">
        <f>SUM(E78:E83)</f>
        <v>2025</v>
      </c>
      <c r="F84" s="4611">
        <f>SUM(F78:F83)</f>
        <v>5383</v>
      </c>
      <c r="G84" s="4612">
        <f t="shared" si="19"/>
        <v>0.81645922348133015</v>
      </c>
      <c r="H84" s="150"/>
    </row>
    <row r="85" spans="1:8">
      <c r="A85" s="19" t="s">
        <v>165</v>
      </c>
      <c r="B85" s="20"/>
      <c r="C85" s="5"/>
      <c r="D85" s="5"/>
      <c r="E85" s="5"/>
      <c r="F85" s="5"/>
      <c r="H85" s="150"/>
    </row>
    <row r="86" spans="1:8">
      <c r="A86" s="526"/>
      <c r="B86" s="526"/>
      <c r="C86" s="526"/>
      <c r="D86" s="526"/>
      <c r="E86" s="526"/>
      <c r="F86" s="526"/>
      <c r="G86" s="526"/>
      <c r="H86" s="150"/>
    </row>
    <row r="87" spans="1:8" ht="15.75">
      <c r="A87" s="5291">
        <v>2011</v>
      </c>
      <c r="B87" s="5291"/>
      <c r="C87" s="5291"/>
      <c r="D87" s="5291"/>
      <c r="E87" s="5291"/>
      <c r="F87" s="5291"/>
      <c r="G87" s="5291"/>
      <c r="H87" s="150"/>
    </row>
    <row r="88" spans="1:8" ht="15.75" customHeight="1">
      <c r="A88" s="5292" t="s">
        <v>0</v>
      </c>
      <c r="B88" s="5292" t="s">
        <v>163</v>
      </c>
      <c r="C88" s="5294" t="s">
        <v>522</v>
      </c>
      <c r="D88" s="5294"/>
      <c r="E88" s="5294"/>
      <c r="F88" s="5292" t="s">
        <v>521</v>
      </c>
      <c r="G88" s="5292" t="s">
        <v>523</v>
      </c>
      <c r="H88" s="150"/>
    </row>
    <row r="89" spans="1:8" ht="20.25" customHeight="1" thickBot="1">
      <c r="A89" s="5293"/>
      <c r="B89" s="5293"/>
      <c r="C89" s="4609" t="s">
        <v>524</v>
      </c>
      <c r="D89" s="4609" t="s">
        <v>525</v>
      </c>
      <c r="E89" s="4609" t="s">
        <v>15</v>
      </c>
      <c r="F89" s="5293"/>
      <c r="G89" s="5293"/>
      <c r="H89" s="150"/>
    </row>
    <row r="90" spans="1:8">
      <c r="A90" s="4605" t="s">
        <v>3</v>
      </c>
      <c r="B90" s="4606">
        <v>456</v>
      </c>
      <c r="C90" s="4606">
        <v>59</v>
      </c>
      <c r="D90" s="4606">
        <v>64</v>
      </c>
      <c r="E90" s="4606">
        <v>123</v>
      </c>
      <c r="F90" s="4606">
        <v>1340</v>
      </c>
      <c r="G90" s="4607">
        <f t="shared" ref="G90:G96" si="21">B90/F90</f>
        <v>0.34029850746268658</v>
      </c>
      <c r="H90" s="150"/>
    </row>
    <row r="91" spans="1:8">
      <c r="A91" s="4605" t="s">
        <v>59</v>
      </c>
      <c r="B91" s="4606">
        <v>440</v>
      </c>
      <c r="C91" s="4606">
        <v>3</v>
      </c>
      <c r="D91" s="4606">
        <v>8</v>
      </c>
      <c r="E91" s="4606">
        <v>62</v>
      </c>
      <c r="F91" s="4606">
        <v>188</v>
      </c>
      <c r="G91" s="4607">
        <f>B91/F91</f>
        <v>2.3404255319148937</v>
      </c>
      <c r="H91" s="150"/>
    </row>
    <row r="92" spans="1:8" ht="15.75" customHeight="1">
      <c r="A92" s="4605" t="s">
        <v>25</v>
      </c>
      <c r="B92" s="4608">
        <v>1708</v>
      </c>
      <c r="C92" s="4608">
        <v>126</v>
      </c>
      <c r="D92" s="4608">
        <v>35</v>
      </c>
      <c r="E92" s="4606">
        <f>SUM(C92:D92)</f>
        <v>161</v>
      </c>
      <c r="F92" s="4606">
        <v>1200</v>
      </c>
      <c r="G92" s="4607">
        <f t="shared" si="21"/>
        <v>1.4233333333333333</v>
      </c>
      <c r="H92" s="150"/>
    </row>
    <row r="93" spans="1:8">
      <c r="A93" s="4605" t="s">
        <v>249</v>
      </c>
      <c r="B93" s="4606">
        <v>546</v>
      </c>
      <c r="C93" s="4606">
        <v>0</v>
      </c>
      <c r="D93" s="4606">
        <v>35</v>
      </c>
      <c r="E93" s="4606">
        <f>SUM(C93:D93)</f>
        <v>35</v>
      </c>
      <c r="F93" s="4606">
        <v>41</v>
      </c>
      <c r="G93" s="4607">
        <f>B93/F93</f>
        <v>13.317073170731707</v>
      </c>
      <c r="H93" s="150"/>
    </row>
    <row r="94" spans="1:8">
      <c r="A94" s="4605" t="s">
        <v>48</v>
      </c>
      <c r="B94" s="4606">
        <v>497</v>
      </c>
      <c r="C94" s="4606">
        <v>225</v>
      </c>
      <c r="D94" s="4606">
        <v>158</v>
      </c>
      <c r="E94" s="4606">
        <f>SUM(C94:D94)</f>
        <v>383</v>
      </c>
      <c r="F94" s="4606">
        <v>1368</v>
      </c>
      <c r="G94" s="4607">
        <f>B94/F94</f>
        <v>0.36330409356725146</v>
      </c>
      <c r="H94" s="150"/>
    </row>
    <row r="95" spans="1:8">
      <c r="A95" s="4605" t="s">
        <v>87</v>
      </c>
      <c r="B95" s="4606">
        <v>490</v>
      </c>
      <c r="C95" s="4606">
        <v>447</v>
      </c>
      <c r="D95" s="4606">
        <v>108</v>
      </c>
      <c r="E95" s="4606">
        <v>555</v>
      </c>
      <c r="F95" s="4606">
        <v>1195</v>
      </c>
      <c r="G95" s="4607">
        <f t="shared" si="21"/>
        <v>0.41004184100418412</v>
      </c>
      <c r="H95" s="150"/>
    </row>
    <row r="96" spans="1:8">
      <c r="A96" s="4610" t="s">
        <v>114</v>
      </c>
      <c r="B96" s="4611">
        <f>SUM(B90:B95)</f>
        <v>4137</v>
      </c>
      <c r="C96" s="4611">
        <f>SUM(C90:C95)</f>
        <v>860</v>
      </c>
      <c r="D96" s="4611">
        <f>SUM(D90:D95)</f>
        <v>408</v>
      </c>
      <c r="E96" s="4611">
        <f>SUM(E90:E95)</f>
        <v>1319</v>
      </c>
      <c r="F96" s="4611">
        <f>SUM(F90:F95)</f>
        <v>5332</v>
      </c>
      <c r="G96" s="4612">
        <f t="shared" si="21"/>
        <v>0.77588147036759192</v>
      </c>
      <c r="H96" s="150"/>
    </row>
    <row r="97" spans="1:8">
      <c r="A97" s="19" t="s">
        <v>165</v>
      </c>
      <c r="B97" s="20"/>
      <c r="C97" s="5"/>
      <c r="D97" s="5"/>
      <c r="E97" s="5"/>
      <c r="F97" s="5"/>
      <c r="H97" s="150"/>
    </row>
    <row r="98" spans="1:8">
      <c r="H98" s="150"/>
    </row>
    <row r="99" spans="1:8">
      <c r="E99" s="89"/>
      <c r="F99" s="89"/>
      <c r="H99" s="150"/>
    </row>
    <row r="100" spans="1:8" ht="15.75">
      <c r="A100" s="5291">
        <v>2010</v>
      </c>
      <c r="B100" s="5291"/>
      <c r="C100" s="5291"/>
      <c r="D100" s="5291"/>
      <c r="E100" s="5291"/>
      <c r="F100" s="5291"/>
      <c r="G100" s="5291"/>
      <c r="H100" s="150"/>
    </row>
    <row r="101" spans="1:8" ht="15" customHeight="1">
      <c r="A101" s="5292" t="s">
        <v>0</v>
      </c>
      <c r="B101" s="5292" t="s">
        <v>163</v>
      </c>
      <c r="C101" s="5294" t="s">
        <v>522</v>
      </c>
      <c r="D101" s="5294"/>
      <c r="E101" s="5294"/>
      <c r="F101" s="5292" t="s">
        <v>521</v>
      </c>
      <c r="G101" s="5292" t="s">
        <v>523</v>
      </c>
      <c r="H101" s="150"/>
    </row>
    <row r="102" spans="1:8" ht="21" customHeight="1" thickBot="1">
      <c r="A102" s="5293"/>
      <c r="B102" s="5293"/>
      <c r="C102" s="4609" t="s">
        <v>524</v>
      </c>
      <c r="D102" s="4609" t="s">
        <v>525</v>
      </c>
      <c r="E102" s="4609" t="s">
        <v>15</v>
      </c>
      <c r="F102" s="5293"/>
      <c r="G102" s="5293"/>
      <c r="H102" s="150"/>
    </row>
    <row r="103" spans="1:8">
      <c r="A103" s="4605" t="s">
        <v>3</v>
      </c>
      <c r="B103" s="4606">
        <v>1364</v>
      </c>
      <c r="C103" s="4606">
        <v>599</v>
      </c>
      <c r="D103" s="4606">
        <v>305</v>
      </c>
      <c r="E103" s="4606">
        <v>904</v>
      </c>
      <c r="F103" s="4606">
        <v>1309</v>
      </c>
      <c r="G103" s="4607">
        <f t="shared" ref="G103:G109" si="22">B103/F103</f>
        <v>1.0420168067226891</v>
      </c>
      <c r="H103" s="150"/>
    </row>
    <row r="104" spans="1:8">
      <c r="A104" s="4605" t="s">
        <v>59</v>
      </c>
      <c r="B104" s="4606"/>
      <c r="C104" s="4606"/>
      <c r="D104" s="4606"/>
      <c r="E104" s="4606"/>
      <c r="F104" s="4606">
        <v>146</v>
      </c>
      <c r="G104" s="4607">
        <f>B104/F104</f>
        <v>0</v>
      </c>
      <c r="H104" s="150"/>
    </row>
    <row r="105" spans="1:8">
      <c r="A105" s="4605" t="s">
        <v>25</v>
      </c>
      <c r="B105" s="4608">
        <v>2268</v>
      </c>
      <c r="C105" s="4608">
        <v>376</v>
      </c>
      <c r="D105" s="4608">
        <v>167</v>
      </c>
      <c r="E105" s="4606">
        <v>543</v>
      </c>
      <c r="F105" s="4606">
        <v>1187</v>
      </c>
      <c r="G105" s="4607">
        <f t="shared" si="22"/>
        <v>1.9106992417860151</v>
      </c>
      <c r="H105" s="150"/>
    </row>
    <row r="106" spans="1:8">
      <c r="A106" s="4605" t="s">
        <v>249</v>
      </c>
      <c r="B106" s="4606"/>
      <c r="C106" s="4606"/>
      <c r="D106" s="4606"/>
      <c r="E106" s="4606"/>
      <c r="F106" s="4606">
        <v>32</v>
      </c>
      <c r="G106" s="4607">
        <f>B106/F106</f>
        <v>0</v>
      </c>
      <c r="H106" s="150"/>
    </row>
    <row r="107" spans="1:8">
      <c r="A107" s="4605" t="s">
        <v>48</v>
      </c>
      <c r="B107" s="4606">
        <v>667</v>
      </c>
      <c r="C107" s="4606">
        <v>310</v>
      </c>
      <c r="D107" s="4606">
        <v>87</v>
      </c>
      <c r="E107" s="4606">
        <v>397</v>
      </c>
      <c r="F107" s="4606">
        <v>1355</v>
      </c>
      <c r="G107" s="4607">
        <f>B107/F107</f>
        <v>0.49225092250922509</v>
      </c>
      <c r="H107" s="150"/>
    </row>
    <row r="108" spans="1:8" ht="15.75" customHeight="1">
      <c r="A108" s="4605" t="s">
        <v>87</v>
      </c>
      <c r="B108" s="4606">
        <v>540</v>
      </c>
      <c r="C108" s="4606"/>
      <c r="D108" s="4606"/>
      <c r="E108" s="4606">
        <v>557</v>
      </c>
      <c r="F108" s="4606">
        <v>1176</v>
      </c>
      <c r="G108" s="4607">
        <f t="shared" si="22"/>
        <v>0.45918367346938777</v>
      </c>
      <c r="H108" s="150"/>
    </row>
    <row r="109" spans="1:8">
      <c r="A109" s="4610" t="s">
        <v>114</v>
      </c>
      <c r="B109" s="4611">
        <f>SUM(B103:B108)</f>
        <v>4839</v>
      </c>
      <c r="C109" s="4611">
        <v>1285</v>
      </c>
      <c r="D109" s="4611">
        <v>559</v>
      </c>
      <c r="E109" s="4611">
        <v>2401</v>
      </c>
      <c r="F109" s="4611">
        <f>SUM(F103:F108)</f>
        <v>5205</v>
      </c>
      <c r="G109" s="4612">
        <f t="shared" si="22"/>
        <v>0.92968299711815561</v>
      </c>
      <c r="H109" s="150"/>
    </row>
    <row r="110" spans="1:8">
      <c r="A110" s="54"/>
      <c r="H110" s="150"/>
    </row>
    <row r="111" spans="1:8" ht="15" customHeight="1">
      <c r="A111" s="54"/>
      <c r="H111" s="150"/>
    </row>
    <row r="112" spans="1:8">
      <c r="H112" s="150"/>
    </row>
    <row r="113" spans="8:8">
      <c r="H113" s="150"/>
    </row>
    <row r="114" spans="8:8">
      <c r="H114" s="150"/>
    </row>
    <row r="115" spans="8:8">
      <c r="H115" s="150"/>
    </row>
    <row r="116" spans="8:8">
      <c r="H116" s="150"/>
    </row>
    <row r="117" spans="8:8">
      <c r="H117" s="150"/>
    </row>
    <row r="118" spans="8:8">
      <c r="H118" s="150"/>
    </row>
    <row r="119" spans="8:8">
      <c r="H119" s="150"/>
    </row>
    <row r="120" spans="8:8">
      <c r="H120" s="150"/>
    </row>
    <row r="121" spans="8:8">
      <c r="H121" s="150"/>
    </row>
    <row r="122" spans="8:8">
      <c r="H122" s="150"/>
    </row>
    <row r="123" spans="8:8">
      <c r="H123" s="150"/>
    </row>
    <row r="124" spans="8:8">
      <c r="H124" s="150"/>
    </row>
    <row r="125" spans="8:8">
      <c r="H125" s="150"/>
    </row>
    <row r="126" spans="8:8">
      <c r="H126" s="150"/>
    </row>
    <row r="127" spans="8:8">
      <c r="H127" s="150"/>
    </row>
    <row r="128" spans="8:8">
      <c r="H128" s="150"/>
    </row>
    <row r="129" spans="8:8">
      <c r="H129" s="150"/>
    </row>
    <row r="130" spans="8:8">
      <c r="H130" s="150"/>
    </row>
    <row r="164" ht="24" customHeight="1"/>
    <row r="182" spans="9:26">
      <c r="I182" s="301" t="s">
        <v>25</v>
      </c>
      <c r="J182" s="531" t="s">
        <v>367</v>
      </c>
      <c r="K182" s="303">
        <v>20</v>
      </c>
      <c r="L182" s="303">
        <v>17</v>
      </c>
      <c r="M182" s="303">
        <v>0</v>
      </c>
      <c r="N182" s="530">
        <f t="shared" ref="N182" si="23">SUM(L182:M182)</f>
        <v>17</v>
      </c>
    </row>
    <row r="183" spans="9:26">
      <c r="I183" s="301" t="s">
        <v>25</v>
      </c>
      <c r="J183" s="531" t="s">
        <v>368</v>
      </c>
      <c r="K183" s="303">
        <v>20</v>
      </c>
      <c r="L183" s="303">
        <v>13</v>
      </c>
      <c r="M183" s="303"/>
      <c r="N183" s="530">
        <f t="shared" ref="N183:Z189" si="24">SUM(L183:M183)</f>
        <v>13</v>
      </c>
    </row>
    <row r="184" spans="9:26" ht="15" customHeight="1">
      <c r="I184" s="73"/>
      <c r="J184" s="73"/>
      <c r="K184" s="73"/>
      <c r="L184" s="73"/>
      <c r="M184" s="73"/>
      <c r="N184" s="352" t="s">
        <v>61</v>
      </c>
      <c r="O184" s="533" t="s">
        <v>561</v>
      </c>
      <c r="P184" s="534" t="s">
        <v>271</v>
      </c>
      <c r="Q184" s="534" t="s">
        <v>271</v>
      </c>
      <c r="R184" s="530" t="s">
        <v>271</v>
      </c>
      <c r="S184" s="530">
        <f>SUM(Q184:R184)</f>
        <v>0</v>
      </c>
      <c r="U184" s="301" t="s">
        <v>25</v>
      </c>
      <c r="V184" s="531" t="s">
        <v>369</v>
      </c>
      <c r="W184" s="303">
        <v>30</v>
      </c>
      <c r="X184" s="303">
        <v>2</v>
      </c>
      <c r="Y184" s="303">
        <v>3</v>
      </c>
      <c r="Z184" s="530">
        <f t="shared" si="24"/>
        <v>5</v>
      </c>
    </row>
    <row r="185" spans="9:26">
      <c r="I185" s="73"/>
      <c r="J185" s="73"/>
      <c r="K185" s="73"/>
      <c r="L185" s="73"/>
      <c r="M185" s="73"/>
      <c r="N185" s="352" t="s">
        <v>61</v>
      </c>
      <c r="O185" s="533" t="s">
        <v>562</v>
      </c>
      <c r="P185" s="534" t="s">
        <v>271</v>
      </c>
      <c r="Q185" s="534" t="s">
        <v>271</v>
      </c>
      <c r="R185" s="530" t="s">
        <v>271</v>
      </c>
      <c r="S185" s="530">
        <f>SUM(Q185:R185)</f>
        <v>0</v>
      </c>
      <c r="U185" s="301" t="s">
        <v>25</v>
      </c>
      <c r="V185" s="531" t="s">
        <v>370</v>
      </c>
      <c r="W185" s="303">
        <v>20</v>
      </c>
      <c r="X185" s="303">
        <v>1</v>
      </c>
      <c r="Y185" s="303">
        <v>0</v>
      </c>
      <c r="Z185" s="530">
        <f t="shared" si="24"/>
        <v>1</v>
      </c>
    </row>
    <row r="186" spans="9:26">
      <c r="I186" s="73"/>
      <c r="J186" s="73"/>
      <c r="K186" s="73"/>
      <c r="L186" s="73"/>
      <c r="M186" s="73"/>
      <c r="N186" s="213"/>
      <c r="O186" s="535" t="s">
        <v>563</v>
      </c>
      <c r="P186" s="536" t="e">
        <f>SUM(#REF!)</f>
        <v>#REF!</v>
      </c>
      <c r="Q186" s="536" t="e">
        <f>SUM(#REF!)</f>
        <v>#REF!</v>
      </c>
      <c r="R186" s="537" t="e">
        <f>SUM(#REF!)</f>
        <v>#REF!</v>
      </c>
      <c r="S186" s="537" t="e">
        <f>SUM(#REF!)</f>
        <v>#REF!</v>
      </c>
      <c r="U186" s="301" t="s">
        <v>25</v>
      </c>
      <c r="V186" s="531" t="s">
        <v>371</v>
      </c>
      <c r="W186" s="303">
        <v>20</v>
      </c>
      <c r="X186" s="303">
        <v>1</v>
      </c>
      <c r="Y186" s="303">
        <v>0</v>
      </c>
      <c r="Z186" s="530">
        <f t="shared" si="24"/>
        <v>1</v>
      </c>
    </row>
    <row r="187" spans="9:26" ht="18.75">
      <c r="I187" s="73"/>
      <c r="J187" s="73"/>
      <c r="K187" s="73"/>
      <c r="L187" s="73"/>
      <c r="M187" s="73"/>
      <c r="N187" s="213"/>
      <c r="O187" s="213"/>
      <c r="P187" s="213"/>
      <c r="Q187" s="213"/>
      <c r="R187" s="369"/>
      <c r="S187" s="369"/>
      <c r="U187" s="301" t="s">
        <v>25</v>
      </c>
      <c r="V187" s="531" t="s">
        <v>372</v>
      </c>
      <c r="W187" s="303">
        <v>42</v>
      </c>
      <c r="X187" s="303">
        <v>1</v>
      </c>
      <c r="Y187" s="303">
        <v>0</v>
      </c>
      <c r="Z187" s="530">
        <f t="shared" si="24"/>
        <v>1</v>
      </c>
    </row>
    <row r="188" spans="9:26">
      <c r="I188" s="73"/>
      <c r="J188" s="73"/>
      <c r="K188" s="73"/>
      <c r="L188" s="73"/>
      <c r="M188" s="73"/>
      <c r="N188" s="73"/>
      <c r="O188" s="73"/>
      <c r="P188" s="73"/>
      <c r="Q188" s="5295" t="s">
        <v>546</v>
      </c>
      <c r="R188" s="5296"/>
      <c r="S188" s="5297"/>
      <c r="U188" s="301" t="s">
        <v>25</v>
      </c>
      <c r="V188" s="531" t="s">
        <v>373</v>
      </c>
      <c r="W188" s="301">
        <v>20</v>
      </c>
      <c r="X188" s="303">
        <v>1</v>
      </c>
      <c r="Y188" s="303">
        <v>7</v>
      </c>
      <c r="Z188" s="530">
        <f t="shared" si="24"/>
        <v>8</v>
      </c>
    </row>
    <row r="189" spans="9:26" ht="25.5" customHeight="1">
      <c r="I189" s="73"/>
      <c r="J189" s="73"/>
      <c r="K189" s="73"/>
      <c r="L189" s="73"/>
      <c r="M189" s="73"/>
      <c r="N189" s="538" t="s">
        <v>547</v>
      </c>
      <c r="O189" s="538" t="s">
        <v>162</v>
      </c>
      <c r="P189" s="538" t="s">
        <v>163</v>
      </c>
      <c r="Q189" s="538" t="s">
        <v>219</v>
      </c>
      <c r="R189" s="529" t="s">
        <v>220</v>
      </c>
      <c r="S189" s="529" t="s">
        <v>71</v>
      </c>
      <c r="U189" s="301" t="s">
        <v>25</v>
      </c>
      <c r="V189" s="531" t="s">
        <v>374</v>
      </c>
      <c r="W189" s="303">
        <v>10</v>
      </c>
      <c r="X189" s="303">
        <v>1</v>
      </c>
      <c r="Y189" s="303">
        <v>7</v>
      </c>
      <c r="Z189" s="530">
        <f t="shared" si="24"/>
        <v>8</v>
      </c>
    </row>
    <row r="190" spans="9:26" ht="24">
      <c r="I190" s="73"/>
      <c r="J190" s="73"/>
      <c r="K190" s="73"/>
      <c r="L190" s="73"/>
      <c r="M190" s="73"/>
      <c r="N190" s="532" t="s">
        <v>566</v>
      </c>
      <c r="O190" s="539" t="s">
        <v>567</v>
      </c>
      <c r="P190" s="540">
        <v>20</v>
      </c>
      <c r="Q190" s="540">
        <v>10</v>
      </c>
      <c r="R190" s="541">
        <v>0</v>
      </c>
      <c r="S190" s="542">
        <v>10</v>
      </c>
      <c r="U190" t="s">
        <v>375</v>
      </c>
      <c r="W190" s="543" t="e">
        <f>SUM(#REF!)</f>
        <v>#REF!</v>
      </c>
      <c r="X190" s="543" t="e">
        <f>SUM(#REF!)</f>
        <v>#REF!</v>
      </c>
      <c r="Y190" s="543" t="e">
        <f>SUM(#REF!)</f>
        <v>#REF!</v>
      </c>
      <c r="Z190" s="543" t="e">
        <f>SUM(#REF!)</f>
        <v>#REF!</v>
      </c>
    </row>
    <row r="191" spans="9:26">
      <c r="I191" s="73"/>
      <c r="J191" s="73"/>
      <c r="K191" s="73"/>
      <c r="L191" s="73"/>
      <c r="M191" s="73"/>
      <c r="N191" s="532" t="s">
        <v>566</v>
      </c>
      <c r="O191" s="539" t="s">
        <v>568</v>
      </c>
      <c r="P191" s="540">
        <v>20</v>
      </c>
      <c r="Q191" s="540">
        <v>8</v>
      </c>
      <c r="R191" s="541">
        <v>0</v>
      </c>
      <c r="S191" s="542">
        <v>8</v>
      </c>
      <c r="U191" s="21"/>
      <c r="V191" s="22"/>
    </row>
    <row r="192" spans="9:26" ht="36">
      <c r="I192" s="73"/>
      <c r="J192" s="73"/>
      <c r="K192" s="73"/>
      <c r="L192" s="73"/>
      <c r="M192" s="73"/>
      <c r="N192" s="532" t="s">
        <v>566</v>
      </c>
      <c r="O192" s="539" t="s">
        <v>569</v>
      </c>
      <c r="P192" s="540">
        <v>20</v>
      </c>
      <c r="Q192" s="540">
        <v>13</v>
      </c>
      <c r="R192" s="541">
        <v>0</v>
      </c>
      <c r="S192" s="542">
        <v>13</v>
      </c>
      <c r="U192" s="5"/>
      <c r="V192" s="20"/>
      <c r="W192" s="20"/>
      <c r="X192" s="20"/>
      <c r="Y192" s="20"/>
      <c r="Z192" s="20"/>
    </row>
    <row r="193" spans="9:26" ht="51">
      <c r="I193" s="73"/>
      <c r="J193" s="73"/>
      <c r="K193" s="73"/>
      <c r="L193" s="73"/>
      <c r="M193" s="73"/>
      <c r="N193" s="532" t="s">
        <v>566</v>
      </c>
      <c r="O193" s="539" t="s">
        <v>570</v>
      </c>
      <c r="P193" s="540">
        <v>20</v>
      </c>
      <c r="Q193" s="540">
        <v>8</v>
      </c>
      <c r="R193" s="541">
        <v>0</v>
      </c>
      <c r="S193" s="542">
        <v>8</v>
      </c>
      <c r="U193" s="544" t="s">
        <v>0</v>
      </c>
      <c r="V193" s="544" t="s">
        <v>162</v>
      </c>
      <c r="W193" s="544" t="s">
        <v>163</v>
      </c>
      <c r="X193" s="544" t="s">
        <v>354</v>
      </c>
      <c r="Y193" s="544" t="s">
        <v>355</v>
      </c>
      <c r="Z193" s="544" t="s">
        <v>164</v>
      </c>
    </row>
    <row r="194" spans="9:26" ht="60">
      <c r="I194" s="73"/>
      <c r="J194" s="73"/>
      <c r="K194" s="73"/>
      <c r="L194" s="73"/>
      <c r="M194" s="73"/>
      <c r="N194" s="532" t="s">
        <v>566</v>
      </c>
      <c r="O194" s="539" t="s">
        <v>571</v>
      </c>
      <c r="P194" s="540">
        <v>20</v>
      </c>
      <c r="Q194" s="540">
        <v>14</v>
      </c>
      <c r="R194" s="541">
        <v>0</v>
      </c>
      <c r="S194" s="542">
        <v>14</v>
      </c>
      <c r="U194" s="545" t="s">
        <v>48</v>
      </c>
      <c r="V194" s="527" t="s">
        <v>356</v>
      </c>
      <c r="W194" s="304">
        <v>20</v>
      </c>
      <c r="X194" s="304">
        <v>9</v>
      </c>
      <c r="Y194" s="304">
        <v>0</v>
      </c>
      <c r="Z194" s="304">
        <v>9</v>
      </c>
    </row>
    <row r="195" spans="9:26">
      <c r="I195" s="545" t="s">
        <v>48</v>
      </c>
      <c r="J195" s="527" t="s">
        <v>357</v>
      </c>
      <c r="K195" s="304">
        <v>20</v>
      </c>
      <c r="L195" s="304">
        <v>30</v>
      </c>
      <c r="M195" s="304">
        <v>0</v>
      </c>
      <c r="N195" s="304">
        <v>30</v>
      </c>
    </row>
    <row r="196" spans="9:26">
      <c r="I196" s="545" t="s">
        <v>48</v>
      </c>
      <c r="J196" s="527" t="s">
        <v>358</v>
      </c>
      <c r="K196" s="304">
        <v>20</v>
      </c>
      <c r="L196" s="304">
        <v>7</v>
      </c>
      <c r="M196" s="304">
        <v>0</v>
      </c>
      <c r="N196" s="304">
        <v>7</v>
      </c>
    </row>
    <row r="197" spans="9:26">
      <c r="I197" s="545" t="s">
        <v>48</v>
      </c>
      <c r="J197" s="527" t="s">
        <v>359</v>
      </c>
      <c r="K197" s="304">
        <v>50</v>
      </c>
      <c r="L197" s="304">
        <v>18</v>
      </c>
      <c r="M197" s="304">
        <v>6</v>
      </c>
      <c r="N197" s="304">
        <v>26</v>
      </c>
    </row>
    <row r="206" spans="9:26" ht="24" customHeight="1"/>
    <row r="221" ht="15" customHeight="1"/>
    <row r="247" ht="24.75" customHeight="1"/>
    <row r="258" ht="15" customHeight="1"/>
    <row r="271" ht="15" customHeight="1"/>
    <row r="278" ht="15" customHeight="1"/>
    <row r="293" ht="15" customHeight="1"/>
    <row r="299" ht="15" customHeight="1"/>
  </sheetData>
  <mergeCells count="57">
    <mergeCell ref="A5:G5"/>
    <mergeCell ref="A6:A7"/>
    <mergeCell ref="B6:B7"/>
    <mergeCell ref="C6:E6"/>
    <mergeCell ref="F6:F7"/>
    <mergeCell ref="G6:G7"/>
    <mergeCell ref="A17:G17"/>
    <mergeCell ref="A18:A19"/>
    <mergeCell ref="B18:B19"/>
    <mergeCell ref="C18:E18"/>
    <mergeCell ref="F18:F19"/>
    <mergeCell ref="G18:G19"/>
    <mergeCell ref="Q188:S188"/>
    <mergeCell ref="B29:B30"/>
    <mergeCell ref="C29:E29"/>
    <mergeCell ref="F29:F30"/>
    <mergeCell ref="G29:G30"/>
    <mergeCell ref="A100:G100"/>
    <mergeCell ref="A101:A102"/>
    <mergeCell ref="B101:B102"/>
    <mergeCell ref="C101:E101"/>
    <mergeCell ref="F101:F102"/>
    <mergeCell ref="G101:G102"/>
    <mergeCell ref="A87:G87"/>
    <mergeCell ref="A88:A89"/>
    <mergeCell ref="B88:B89"/>
    <mergeCell ref="C88:E88"/>
    <mergeCell ref="F88:F89"/>
    <mergeCell ref="G88:G89"/>
    <mergeCell ref="A75:G75"/>
    <mergeCell ref="A76:A77"/>
    <mergeCell ref="B76:B77"/>
    <mergeCell ref="C76:E76"/>
    <mergeCell ref="F76:F77"/>
    <mergeCell ref="G76:G77"/>
    <mergeCell ref="A63:G63"/>
    <mergeCell ref="A64:A65"/>
    <mergeCell ref="B64:B65"/>
    <mergeCell ref="C64:E64"/>
    <mergeCell ref="F64:F65"/>
    <mergeCell ref="G64:G65"/>
    <mergeCell ref="A2:G2"/>
    <mergeCell ref="A3:G3"/>
    <mergeCell ref="A51:G51"/>
    <mergeCell ref="A52:A53"/>
    <mergeCell ref="B52:B53"/>
    <mergeCell ref="C52:E52"/>
    <mergeCell ref="F52:F53"/>
    <mergeCell ref="G52:G53"/>
    <mergeCell ref="A39:G39"/>
    <mergeCell ref="A40:A41"/>
    <mergeCell ref="B40:B41"/>
    <mergeCell ref="C40:E40"/>
    <mergeCell ref="F40:F41"/>
    <mergeCell ref="G40:G41"/>
    <mergeCell ref="A28:G28"/>
    <mergeCell ref="A29:A30"/>
  </mergeCells>
  <pageMargins left="0.7" right="0.7" top="0.75" bottom="0.75" header="0.3" footer="0.3"/>
  <pageSetup orientation="portrait" r:id="rId1"/>
  <ignoredErrors>
    <ignoredError sqref="E54:E57 E42:E47 E32:E36 E66:E70 E92:E94 E78:E83 E20:E25 E8:E13" formulaRange="1"/>
  </ignoredErrors>
  <drawing r:id="rId2"/>
</worksheet>
</file>

<file path=xl/worksheets/sheet46.xml><?xml version="1.0" encoding="utf-8"?>
<worksheet xmlns="http://schemas.openxmlformats.org/spreadsheetml/2006/main" xmlns:r="http://schemas.openxmlformats.org/officeDocument/2006/relationships">
  <sheetPr>
    <tabColor theme="7" tint="-0.499984740745262"/>
  </sheetPr>
  <dimension ref="B2:R192"/>
  <sheetViews>
    <sheetView showGridLines="0" workbookViewId="0"/>
  </sheetViews>
  <sheetFormatPr baseColWidth="10" defaultColWidth="11.5703125" defaultRowHeight="15"/>
  <cols>
    <col min="1" max="1" width="4.42578125" customWidth="1"/>
    <col min="2" max="2" width="29.7109375" customWidth="1"/>
    <col min="3" max="3" width="1.28515625" customWidth="1"/>
    <col min="4" max="6" width="10.7109375" customWidth="1"/>
    <col min="7" max="7" width="9.7109375" customWidth="1"/>
    <col min="8" max="8" width="1.28515625" customWidth="1"/>
    <col min="9" max="10" width="13.7109375" customWidth="1"/>
    <col min="11" max="11" width="9.7109375" customWidth="1"/>
    <col min="12" max="12" width="1.28515625" customWidth="1"/>
    <col min="13" max="13" width="10.7109375" customWidth="1"/>
    <col min="14" max="14" width="4.42578125" customWidth="1"/>
  </cols>
  <sheetData>
    <row r="2" spans="2:18">
      <c r="B2" s="5318" t="s">
        <v>484</v>
      </c>
      <c r="C2" s="5318"/>
      <c r="D2" s="5318"/>
      <c r="E2" s="5318"/>
      <c r="F2" s="5318"/>
      <c r="G2" s="5318"/>
      <c r="H2" s="5318"/>
      <c r="I2" s="5318"/>
      <c r="J2" s="5318"/>
      <c r="K2" s="5318"/>
      <c r="L2" s="5318"/>
      <c r="M2" s="5318"/>
    </row>
    <row r="3" spans="2:18" ht="20.25" customHeight="1">
      <c r="B3" s="5319" t="s">
        <v>458</v>
      </c>
      <c r="C3" s="5319"/>
      <c r="D3" s="5319"/>
      <c r="E3" s="5319"/>
      <c r="F3" s="5319"/>
      <c r="G3" s="5319"/>
      <c r="H3" s="5319"/>
      <c r="I3" s="5319"/>
      <c r="J3" s="5319"/>
      <c r="K3" s="5319"/>
      <c r="L3" s="5319"/>
      <c r="M3" s="5319"/>
    </row>
    <row r="4" spans="2:18" ht="20.25" customHeight="1">
      <c r="B4" s="2090"/>
      <c r="C4" s="2090"/>
      <c r="D4" s="2090"/>
      <c r="E4" s="2090"/>
      <c r="F4" s="2090"/>
      <c r="G4" s="2090"/>
      <c r="H4" s="2090"/>
      <c r="I4" s="2090"/>
      <c r="J4" s="2090"/>
      <c r="K4" s="2090"/>
      <c r="L4" s="2090"/>
      <c r="M4" s="2090"/>
    </row>
    <row r="5" spans="2:18" ht="20.25" customHeight="1">
      <c r="C5" s="4732"/>
      <c r="D5" s="280"/>
      <c r="E5" s="280"/>
      <c r="F5" s="280"/>
      <c r="G5" s="280">
        <v>2018</v>
      </c>
      <c r="H5" s="280"/>
      <c r="I5" s="280"/>
      <c r="J5" s="280"/>
      <c r="K5" s="280"/>
      <c r="L5" s="280"/>
      <c r="M5" s="280"/>
    </row>
    <row r="6" spans="2:18" ht="20.25" customHeight="1">
      <c r="C6" s="4732"/>
      <c r="D6" s="5305" t="s">
        <v>216</v>
      </c>
      <c r="E6" s="5305"/>
      <c r="F6" s="5305"/>
      <c r="G6" s="5305"/>
      <c r="H6" s="280"/>
      <c r="I6" s="5305" t="s">
        <v>217</v>
      </c>
      <c r="J6" s="5305"/>
      <c r="K6" s="5305"/>
      <c r="L6" s="280"/>
      <c r="M6" s="5300" t="s">
        <v>644</v>
      </c>
    </row>
    <row r="7" spans="2:18" ht="20.25" customHeight="1">
      <c r="B7" s="5298" t="s">
        <v>68</v>
      </c>
      <c r="C7" s="4732"/>
      <c r="D7" s="5306" t="s">
        <v>218</v>
      </c>
      <c r="E7" s="5306"/>
      <c r="F7" s="5306"/>
      <c r="G7" s="5303" t="s">
        <v>645</v>
      </c>
      <c r="H7" s="280"/>
      <c r="I7" s="5298" t="s">
        <v>219</v>
      </c>
      <c r="J7" s="5298" t="s">
        <v>220</v>
      </c>
      <c r="K7" s="5303" t="s">
        <v>646</v>
      </c>
      <c r="L7" s="280"/>
      <c r="M7" s="5301"/>
    </row>
    <row r="8" spans="2:18" ht="20.25" customHeight="1" thickBot="1">
      <c r="B8" s="5299"/>
      <c r="C8" s="4732"/>
      <c r="D8" s="4762" t="s">
        <v>221</v>
      </c>
      <c r="E8" s="4762" t="s">
        <v>222</v>
      </c>
      <c r="F8" s="4762" t="s">
        <v>223</v>
      </c>
      <c r="G8" s="5304"/>
      <c r="H8" s="280"/>
      <c r="I8" s="5299"/>
      <c r="J8" s="5299"/>
      <c r="K8" s="5304"/>
      <c r="L8" s="280"/>
      <c r="M8" s="5302"/>
    </row>
    <row r="9" spans="2:18" ht="20.25" customHeight="1">
      <c r="B9" s="4759"/>
      <c r="C9" s="4732"/>
      <c r="D9" s="4759"/>
      <c r="E9" s="4759"/>
      <c r="F9" s="4759"/>
      <c r="G9" s="4759"/>
      <c r="H9" s="280"/>
      <c r="I9" s="4759"/>
      <c r="J9" s="4759"/>
      <c r="K9" s="4759"/>
      <c r="L9" s="280"/>
      <c r="M9" s="4759"/>
    </row>
    <row r="10" spans="2:18" ht="20.25" customHeight="1">
      <c r="B10" s="4766" t="s">
        <v>70</v>
      </c>
      <c r="C10" s="4732"/>
      <c r="D10" s="4767">
        <v>1021</v>
      </c>
      <c r="E10" s="4767">
        <v>356</v>
      </c>
      <c r="F10" s="4767">
        <v>58</v>
      </c>
      <c r="G10" s="4768">
        <f>SUM(D10:F10)</f>
        <v>1435</v>
      </c>
      <c r="H10" s="280"/>
      <c r="I10" s="4767">
        <v>1106</v>
      </c>
      <c r="J10" s="4767">
        <v>184</v>
      </c>
      <c r="K10" s="4768">
        <f>SUM(I10:J10)</f>
        <v>1290</v>
      </c>
      <c r="L10" s="280"/>
      <c r="M10" s="4769">
        <f>+G10/K10</f>
        <v>1.1124031007751938</v>
      </c>
      <c r="P10" s="189"/>
      <c r="Q10" s="189"/>
      <c r="R10" s="85"/>
    </row>
    <row r="11" spans="2:18" ht="20.25" customHeight="1">
      <c r="B11" s="4759"/>
      <c r="C11" s="4732"/>
      <c r="D11" s="4760"/>
      <c r="E11" s="4760"/>
      <c r="F11" s="4760"/>
      <c r="G11" s="4760"/>
      <c r="H11" s="280"/>
      <c r="I11" s="4760"/>
      <c r="J11" s="4760"/>
      <c r="K11" s="4760"/>
      <c r="L11" s="280"/>
      <c r="M11" s="4761"/>
    </row>
    <row r="12" spans="2:18" ht="20.25" customHeight="1">
      <c r="B12" s="4766" t="s">
        <v>72</v>
      </c>
      <c r="C12" s="4732"/>
      <c r="D12" s="4767">
        <v>213</v>
      </c>
      <c r="E12" s="4767">
        <v>21</v>
      </c>
      <c r="F12" s="4767">
        <v>13</v>
      </c>
      <c r="G12" s="4768">
        <f>SUM(D12:F12)</f>
        <v>247</v>
      </c>
      <c r="H12" s="280"/>
      <c r="I12" s="4767">
        <v>215</v>
      </c>
      <c r="J12" s="4767">
        <v>118</v>
      </c>
      <c r="K12" s="4768">
        <f>SUM(I12:J12)</f>
        <v>333</v>
      </c>
      <c r="L12" s="280"/>
      <c r="M12" s="4769">
        <f>+G12/K12</f>
        <v>0.74174174174174179</v>
      </c>
    </row>
    <row r="13" spans="2:18" ht="20.25" customHeight="1">
      <c r="B13" s="4759"/>
      <c r="C13" s="4732"/>
      <c r="D13" s="4760"/>
      <c r="E13" s="4760"/>
      <c r="F13" s="4760"/>
      <c r="G13" s="4760"/>
      <c r="H13" s="280"/>
      <c r="I13" s="4760"/>
      <c r="J13" s="4760"/>
      <c r="K13" s="4760"/>
      <c r="L13" s="280"/>
      <c r="M13" s="4761"/>
    </row>
    <row r="14" spans="2:18" ht="20.25" customHeight="1">
      <c r="B14" s="4766" t="s">
        <v>73</v>
      </c>
      <c r="C14" s="4732"/>
      <c r="D14" s="4767">
        <v>896</v>
      </c>
      <c r="E14" s="4767">
        <v>241</v>
      </c>
      <c r="F14" s="4767">
        <v>107</v>
      </c>
      <c r="G14" s="4768">
        <f>SUM(D14:F14)</f>
        <v>1244</v>
      </c>
      <c r="H14" s="280"/>
      <c r="I14" s="4767">
        <v>967</v>
      </c>
      <c r="J14" s="4767">
        <v>208</v>
      </c>
      <c r="K14" s="4768">
        <f>SUM(I14:J14)</f>
        <v>1175</v>
      </c>
      <c r="L14" s="280"/>
      <c r="M14" s="4769">
        <f>+G14/K14</f>
        <v>1.0587234042553191</v>
      </c>
    </row>
    <row r="15" spans="2:18" ht="20.25" customHeight="1">
      <c r="B15" s="4759"/>
      <c r="C15" s="4732"/>
      <c r="D15" s="4760"/>
      <c r="E15" s="4760"/>
      <c r="F15" s="4760"/>
      <c r="G15" s="4760"/>
      <c r="H15" s="280"/>
      <c r="I15" s="4760"/>
      <c r="J15" s="4760"/>
      <c r="K15" s="4760"/>
      <c r="L15" s="280"/>
      <c r="M15" s="4761"/>
    </row>
    <row r="16" spans="2:18" ht="20.25" customHeight="1">
      <c r="B16" s="4766" t="s">
        <v>82</v>
      </c>
      <c r="C16" s="4732"/>
      <c r="D16" s="4767">
        <v>82</v>
      </c>
      <c r="E16" s="4767">
        <v>3</v>
      </c>
      <c r="F16" s="4767"/>
      <c r="G16" s="4768">
        <f>SUM(D16:F16)</f>
        <v>85</v>
      </c>
      <c r="H16" s="280"/>
      <c r="I16" s="4767">
        <v>81</v>
      </c>
      <c r="J16" s="4767">
        <v>54</v>
      </c>
      <c r="K16" s="4768">
        <f>SUM(I16:J16)</f>
        <v>135</v>
      </c>
      <c r="L16" s="280"/>
      <c r="M16" s="4769">
        <f>+G16/K16</f>
        <v>0.62962962962962965</v>
      </c>
    </row>
    <row r="17" spans="2:16" ht="20.25" customHeight="1">
      <c r="B17" s="4759"/>
      <c r="C17" s="4732"/>
      <c r="D17" s="4760"/>
      <c r="E17" s="4760"/>
      <c r="F17" s="4760"/>
      <c r="G17" s="4760"/>
      <c r="H17" s="280"/>
      <c r="I17" s="4760"/>
      <c r="J17" s="4760"/>
      <c r="K17" s="4760"/>
      <c r="L17" s="280"/>
      <c r="M17" s="4761"/>
    </row>
    <row r="18" spans="2:16" ht="20.25" customHeight="1">
      <c r="B18" s="4766" t="s">
        <v>74</v>
      </c>
      <c r="C18" s="4732"/>
      <c r="D18" s="4767">
        <v>958</v>
      </c>
      <c r="E18" s="4767">
        <v>281</v>
      </c>
      <c r="F18" s="4767">
        <v>169</v>
      </c>
      <c r="G18" s="4768">
        <f>SUM(D18:F18)</f>
        <v>1408</v>
      </c>
      <c r="H18" s="280"/>
      <c r="I18" s="4767">
        <v>1104</v>
      </c>
      <c r="J18" s="4767">
        <v>236</v>
      </c>
      <c r="K18" s="4768">
        <f>SUM(I18:J18)</f>
        <v>1340</v>
      </c>
      <c r="L18" s="280"/>
      <c r="M18" s="4769">
        <f>+G18/K18</f>
        <v>1.0507462686567164</v>
      </c>
    </row>
    <row r="19" spans="2:16" ht="20.25" customHeight="1">
      <c r="B19" s="4759"/>
      <c r="C19" s="4732"/>
      <c r="D19" s="4760"/>
      <c r="E19" s="4760"/>
      <c r="F19" s="4760"/>
      <c r="G19" s="4760"/>
      <c r="H19" s="280"/>
      <c r="I19" s="4760"/>
      <c r="J19" s="4760"/>
      <c r="K19" s="4760"/>
      <c r="L19" s="280"/>
      <c r="M19" s="4761"/>
    </row>
    <row r="20" spans="2:16" ht="20.25" customHeight="1">
      <c r="B20" s="4766" t="s">
        <v>192</v>
      </c>
      <c r="C20" s="4732"/>
      <c r="D20" s="4767">
        <v>7</v>
      </c>
      <c r="E20" s="4767"/>
      <c r="F20" s="4767"/>
      <c r="G20" s="4768">
        <f>SUM(D20:F20)</f>
        <v>7</v>
      </c>
      <c r="H20" s="280"/>
      <c r="I20" s="4767">
        <v>673</v>
      </c>
      <c r="J20" s="4767">
        <v>546</v>
      </c>
      <c r="K20" s="4768">
        <f>SUM(I20:J20)</f>
        <v>1219</v>
      </c>
      <c r="L20" s="280"/>
      <c r="M20" s="4769">
        <f>+G20/K20</f>
        <v>5.742411812961444E-3</v>
      </c>
    </row>
    <row r="21" spans="2:16" ht="20.25" customHeight="1">
      <c r="B21" s="4759"/>
      <c r="C21" s="4732"/>
      <c r="D21" s="4760"/>
      <c r="E21" s="4760"/>
      <c r="F21" s="4760"/>
      <c r="G21" s="4760"/>
      <c r="H21" s="280"/>
      <c r="I21" s="4760"/>
      <c r="J21" s="4760"/>
      <c r="K21" s="4760"/>
      <c r="L21" s="280"/>
      <c r="M21" s="4761"/>
    </row>
    <row r="22" spans="2:16" ht="20.25" customHeight="1">
      <c r="B22" s="4763" t="s">
        <v>67</v>
      </c>
      <c r="C22" s="4732"/>
      <c r="D22" s="4764">
        <f>SUM(D10,D12,D14,D16,D18,D20)</f>
        <v>3177</v>
      </c>
      <c r="E22" s="4764">
        <f>SUM(E10,E12,E14,E16,E18,E20)</f>
        <v>902</v>
      </c>
      <c r="F22" s="4764">
        <f>SUM(F10,F12,F14,F16,F18,F20)</f>
        <v>347</v>
      </c>
      <c r="G22" s="4764">
        <f>SUM(G10,G12,G14,G16,G18,G20)</f>
        <v>4426</v>
      </c>
      <c r="H22" s="280"/>
      <c r="I22" s="4764">
        <f>SUM(I10,I12,I14,I16,I18,I20)</f>
        <v>4146</v>
      </c>
      <c r="J22" s="4764">
        <f>SUM(J10,J12,J14,J16,J18,J20)</f>
        <v>1346</v>
      </c>
      <c r="K22" s="4764">
        <f>SUM(I22:J22)</f>
        <v>5492</v>
      </c>
      <c r="L22" s="280"/>
      <c r="M22" s="4765">
        <f>+G22/K22</f>
        <v>0.80589949016751639</v>
      </c>
    </row>
    <row r="23" spans="2:16" ht="20.25" customHeight="1">
      <c r="B23" s="73" t="s">
        <v>2764</v>
      </c>
      <c r="C23" s="6"/>
      <c r="D23" s="6"/>
      <c r="E23" s="6"/>
      <c r="F23" s="6"/>
      <c r="G23" s="6"/>
      <c r="H23" s="280"/>
      <c r="I23" s="6"/>
      <c r="J23" s="6"/>
      <c r="K23" s="6"/>
      <c r="L23" s="280"/>
      <c r="M23" s="6"/>
    </row>
    <row r="24" spans="2:16" ht="20.25" customHeight="1">
      <c r="B24" s="80" t="s">
        <v>224</v>
      </c>
      <c r="C24" s="75"/>
      <c r="D24" s="75"/>
      <c r="E24" s="75"/>
      <c r="F24" s="75"/>
      <c r="G24" s="75"/>
      <c r="H24" s="75"/>
      <c r="I24" s="75"/>
      <c r="J24" s="75"/>
      <c r="K24" s="75"/>
      <c r="L24" s="75"/>
      <c r="M24" s="75"/>
    </row>
    <row r="25" spans="2:16" ht="20.25" customHeight="1">
      <c r="B25" s="2090"/>
      <c r="C25" s="2090"/>
      <c r="D25" s="2090"/>
      <c r="E25" s="2090"/>
      <c r="F25" s="2090"/>
      <c r="G25" s="2090"/>
      <c r="H25" s="2090"/>
      <c r="I25" s="2090"/>
      <c r="J25" s="2090"/>
      <c r="K25" s="2090"/>
      <c r="L25" s="2090"/>
      <c r="M25" s="2090"/>
    </row>
    <row r="26" spans="2:16" ht="20.25" customHeight="1">
      <c r="C26" s="280"/>
      <c r="D26" s="280"/>
      <c r="E26" s="280"/>
      <c r="F26" s="280"/>
      <c r="G26" s="280">
        <v>2017</v>
      </c>
      <c r="H26" s="280"/>
      <c r="I26" s="280"/>
      <c r="J26" s="280"/>
      <c r="K26" s="280"/>
      <c r="L26" s="280"/>
      <c r="M26" s="280"/>
    </row>
    <row r="27" spans="2:16" ht="20.25" customHeight="1">
      <c r="B27" s="5307" t="s">
        <v>68</v>
      </c>
      <c r="C27" s="72"/>
      <c r="D27" s="1941" t="s">
        <v>216</v>
      </c>
      <c r="E27" s="1942"/>
      <c r="F27" s="1943"/>
      <c r="G27" s="5310" t="s">
        <v>645</v>
      </c>
      <c r="H27" s="72"/>
      <c r="I27" s="1941" t="s">
        <v>217</v>
      </c>
      <c r="J27" s="1942"/>
      <c r="K27" s="5310" t="s">
        <v>646</v>
      </c>
      <c r="L27" s="72"/>
      <c r="M27" s="5313" t="s">
        <v>644</v>
      </c>
    </row>
    <row r="28" spans="2:16" ht="20.25" customHeight="1">
      <c r="B28" s="5308"/>
      <c r="C28" s="65"/>
      <c r="D28" s="1944" t="s">
        <v>218</v>
      </c>
      <c r="E28" s="1945"/>
      <c r="F28" s="1946"/>
      <c r="G28" s="5311"/>
      <c r="H28" s="65"/>
      <c r="I28" s="5314" t="s">
        <v>219</v>
      </c>
      <c r="J28" s="5316" t="s">
        <v>220</v>
      </c>
      <c r="K28" s="5311"/>
      <c r="L28" s="65"/>
      <c r="M28" s="5311"/>
    </row>
    <row r="29" spans="2:16" ht="20.25" customHeight="1">
      <c r="B29" s="5309"/>
      <c r="C29" s="65"/>
      <c r="D29" s="66" t="s">
        <v>221</v>
      </c>
      <c r="E29" s="1947" t="s">
        <v>222</v>
      </c>
      <c r="F29" s="1948" t="s">
        <v>223</v>
      </c>
      <c r="G29" s="5312"/>
      <c r="H29" s="65"/>
      <c r="I29" s="5315"/>
      <c r="J29" s="5317"/>
      <c r="K29" s="5312"/>
      <c r="L29" s="65"/>
      <c r="M29" s="5312"/>
    </row>
    <row r="30" spans="2:16" ht="20.25" customHeight="1">
      <c r="B30" s="74"/>
      <c r="C30" s="74"/>
      <c r="D30" s="74"/>
      <c r="E30" s="74"/>
      <c r="F30" s="74"/>
      <c r="G30" s="74"/>
      <c r="H30" s="74"/>
      <c r="I30" s="74"/>
      <c r="J30" s="74"/>
      <c r="K30" s="74"/>
      <c r="L30" s="74"/>
      <c r="M30" s="74"/>
    </row>
    <row r="31" spans="2:16" ht="20.25" customHeight="1">
      <c r="B31" s="1949" t="s">
        <v>70</v>
      </c>
      <c r="C31" s="76"/>
      <c r="D31" s="1950">
        <v>1024</v>
      </c>
      <c r="E31" s="1950">
        <v>318</v>
      </c>
      <c r="F31" s="1950">
        <v>60</v>
      </c>
      <c r="G31" s="1951">
        <f>SUM(D31:F31)</f>
        <v>1402</v>
      </c>
      <c r="H31" s="69"/>
      <c r="I31" s="1950">
        <v>1114</v>
      </c>
      <c r="J31" s="1950">
        <v>183</v>
      </c>
      <c r="K31" s="1951">
        <f>SUM(I31:J31)</f>
        <v>1297</v>
      </c>
      <c r="L31" s="69"/>
      <c r="M31" s="1952">
        <f>+G31/K31</f>
        <v>1.0809560524286816</v>
      </c>
      <c r="P31" s="189"/>
    </row>
    <row r="32" spans="2:16" ht="20.25" customHeight="1">
      <c r="B32" s="74"/>
      <c r="C32" s="71"/>
      <c r="D32" s="68"/>
      <c r="E32" s="68"/>
      <c r="F32" s="68"/>
      <c r="G32" s="68"/>
      <c r="H32" s="68"/>
      <c r="I32" s="68"/>
      <c r="J32" s="68"/>
      <c r="K32" s="68"/>
      <c r="L32" s="68"/>
      <c r="M32" s="67"/>
    </row>
    <row r="33" spans="2:13" ht="20.25" customHeight="1">
      <c r="B33" s="1949" t="s">
        <v>72</v>
      </c>
      <c r="C33" s="76"/>
      <c r="D33" s="1950">
        <v>202</v>
      </c>
      <c r="E33" s="1950">
        <v>26</v>
      </c>
      <c r="F33" s="1950">
        <v>9</v>
      </c>
      <c r="G33" s="1951">
        <f>SUM(D33:F33)</f>
        <v>237</v>
      </c>
      <c r="H33" s="69"/>
      <c r="I33" s="1950">
        <v>209</v>
      </c>
      <c r="J33" s="1950">
        <v>109</v>
      </c>
      <c r="K33" s="1951">
        <f>SUM(I33:J33)</f>
        <v>318</v>
      </c>
      <c r="L33" s="69"/>
      <c r="M33" s="1952">
        <f>+G33/K33</f>
        <v>0.74528301886792447</v>
      </c>
    </row>
    <row r="34" spans="2:13" ht="20.25" customHeight="1">
      <c r="B34" s="74"/>
      <c r="C34" s="71"/>
      <c r="D34" s="68"/>
      <c r="E34" s="68"/>
      <c r="F34" s="68"/>
      <c r="G34" s="68"/>
      <c r="H34" s="68"/>
      <c r="I34" s="68"/>
      <c r="J34" s="68"/>
      <c r="K34" s="68"/>
      <c r="L34" s="68"/>
      <c r="M34" s="67"/>
    </row>
    <row r="35" spans="2:13" ht="20.25" customHeight="1">
      <c r="B35" s="1949" t="s">
        <v>73</v>
      </c>
      <c r="C35" s="76"/>
      <c r="D35" s="1950">
        <v>917</v>
      </c>
      <c r="E35" s="1950">
        <v>219</v>
      </c>
      <c r="F35" s="1950">
        <v>115</v>
      </c>
      <c r="G35" s="1951">
        <f>SUM(D35:F35)</f>
        <v>1251</v>
      </c>
      <c r="H35" s="69"/>
      <c r="I35" s="1950">
        <v>950</v>
      </c>
      <c r="J35" s="1950">
        <v>211</v>
      </c>
      <c r="K35" s="1951">
        <f>SUM(I35:J35)</f>
        <v>1161</v>
      </c>
      <c r="L35" s="69"/>
      <c r="M35" s="1952">
        <f>+G35/K35</f>
        <v>1.0775193798449612</v>
      </c>
    </row>
    <row r="36" spans="2:13" ht="20.25" customHeight="1">
      <c r="B36" s="74"/>
      <c r="C36" s="71"/>
      <c r="D36" s="68"/>
      <c r="E36" s="68"/>
      <c r="F36" s="68"/>
      <c r="G36" s="68"/>
      <c r="H36" s="68"/>
      <c r="I36" s="68"/>
      <c r="J36" s="68"/>
      <c r="K36" s="68"/>
      <c r="L36" s="68"/>
      <c r="M36" s="67"/>
    </row>
    <row r="37" spans="2:13" ht="20.25" customHeight="1">
      <c r="B37" s="1949" t="s">
        <v>82</v>
      </c>
      <c r="C37" s="76"/>
      <c r="D37" s="1950">
        <v>86</v>
      </c>
      <c r="E37" s="1950">
        <v>2</v>
      </c>
      <c r="F37" s="1950"/>
      <c r="G37" s="1951">
        <f>SUM(D37:F37)</f>
        <v>88</v>
      </c>
      <c r="H37" s="69"/>
      <c r="I37" s="1950">
        <v>63</v>
      </c>
      <c r="J37" s="1950">
        <v>55</v>
      </c>
      <c r="K37" s="1951">
        <f>SUM(I37:J37)</f>
        <v>118</v>
      </c>
      <c r="L37" s="69"/>
      <c r="M37" s="1952">
        <f>+G37/K37</f>
        <v>0.74576271186440679</v>
      </c>
    </row>
    <row r="38" spans="2:13" ht="20.25" customHeight="1">
      <c r="B38" s="74"/>
      <c r="C38" s="71"/>
      <c r="D38" s="68"/>
      <c r="E38" s="68"/>
      <c r="F38" s="68"/>
      <c r="G38" s="68"/>
      <c r="H38" s="68"/>
      <c r="I38" s="68"/>
      <c r="J38" s="68"/>
      <c r="K38" s="68"/>
      <c r="L38" s="68"/>
      <c r="M38" s="67"/>
    </row>
    <row r="39" spans="2:13" ht="20.25" customHeight="1">
      <c r="B39" s="1949" t="s">
        <v>74</v>
      </c>
      <c r="C39" s="76"/>
      <c r="D39" s="1950">
        <v>991</v>
      </c>
      <c r="E39" s="1950">
        <v>271</v>
      </c>
      <c r="F39" s="1950">
        <v>158</v>
      </c>
      <c r="G39" s="1951">
        <f>SUM(D39:F39)</f>
        <v>1420</v>
      </c>
      <c r="H39" s="69"/>
      <c r="I39" s="1950">
        <v>1089</v>
      </c>
      <c r="J39" s="1950">
        <v>242</v>
      </c>
      <c r="K39" s="1951">
        <f>SUM(I39:J39)</f>
        <v>1331</v>
      </c>
      <c r="L39" s="69"/>
      <c r="M39" s="1952">
        <f>+G39/K39</f>
        <v>1.0668670172802404</v>
      </c>
    </row>
    <row r="40" spans="2:13" ht="20.25" customHeight="1">
      <c r="B40" s="74"/>
      <c r="C40" s="71"/>
      <c r="D40" s="68"/>
      <c r="E40" s="68"/>
      <c r="F40" s="68"/>
      <c r="G40" s="68"/>
      <c r="H40" s="68"/>
      <c r="I40" s="68"/>
      <c r="J40" s="68"/>
      <c r="K40" s="68"/>
      <c r="L40" s="68"/>
      <c r="M40" s="67"/>
    </row>
    <row r="41" spans="2:13" ht="20.25" customHeight="1">
      <c r="B41" s="1949" t="s">
        <v>192</v>
      </c>
      <c r="C41" s="76"/>
      <c r="D41" s="1950">
        <v>6</v>
      </c>
      <c r="E41" s="1950"/>
      <c r="F41" s="1950"/>
      <c r="G41" s="1951">
        <f>SUM(D41:F41)</f>
        <v>6</v>
      </c>
      <c r="H41" s="69"/>
      <c r="I41" s="1950">
        <v>664</v>
      </c>
      <c r="J41" s="1950">
        <v>574</v>
      </c>
      <c r="K41" s="1951">
        <f>SUM(I41:J41)</f>
        <v>1238</v>
      </c>
      <c r="L41" s="69"/>
      <c r="M41" s="1952">
        <f>+G41/K41</f>
        <v>4.8465266558966073E-3</v>
      </c>
    </row>
    <row r="42" spans="2:13" ht="20.25" customHeight="1">
      <c r="B42" s="74"/>
      <c r="C42" s="71"/>
      <c r="D42" s="68"/>
      <c r="E42" s="68"/>
      <c r="F42" s="68"/>
      <c r="G42" s="68"/>
      <c r="H42" s="68"/>
      <c r="I42" s="68"/>
      <c r="J42" s="68"/>
      <c r="K42" s="68"/>
      <c r="L42" s="68"/>
      <c r="M42" s="67"/>
    </row>
    <row r="43" spans="2:13" ht="20.25" customHeight="1">
      <c r="B43" s="1953" t="s">
        <v>67</v>
      </c>
      <c r="C43" s="70"/>
      <c r="D43" s="1954">
        <f>SUM(D31,D33,D35,D37,D39,D41)</f>
        <v>3226</v>
      </c>
      <c r="E43" s="1954">
        <f>SUM(E31,E33,E35,E37,E39,E41)</f>
        <v>836</v>
      </c>
      <c r="F43" s="1954">
        <f>SUM(F31,F33,F35,F37,F39,F41)</f>
        <v>342</v>
      </c>
      <c r="G43" s="1955">
        <f>SUM(G31,G33,G35,G37,G39,G41)</f>
        <v>4404</v>
      </c>
      <c r="H43" s="70"/>
      <c r="I43" s="1954">
        <f>SUM(I31,I33,I35,I37,I39,I41)</f>
        <v>4089</v>
      </c>
      <c r="J43" s="1954">
        <f>SUM(J31,J33,J35,J37,J39,J41)</f>
        <v>1374</v>
      </c>
      <c r="K43" s="1955">
        <f>SUM(I43:J43)</f>
        <v>5463</v>
      </c>
      <c r="L43" s="70"/>
      <c r="M43" s="1956">
        <f>+G43/K43</f>
        <v>0.80615046677649638</v>
      </c>
    </row>
    <row r="44" spans="2:13" ht="20.25" customHeight="1">
      <c r="B44" s="6" t="s">
        <v>2481</v>
      </c>
      <c r="C44" s="6"/>
      <c r="D44" s="6"/>
      <c r="E44" s="6"/>
      <c r="F44" s="6"/>
      <c r="G44" s="6"/>
      <c r="H44" s="6"/>
      <c r="I44" s="6"/>
      <c r="J44" s="6"/>
      <c r="K44" s="6"/>
      <c r="L44" s="6"/>
      <c r="M44" s="6"/>
    </row>
    <row r="45" spans="2:13" ht="20.25" customHeight="1">
      <c r="B45" s="83" t="s">
        <v>224</v>
      </c>
      <c r="C45" s="75"/>
      <c r="D45" s="75"/>
      <c r="E45" s="75"/>
      <c r="F45" s="75"/>
      <c r="G45" s="75"/>
      <c r="H45" s="75"/>
      <c r="I45" s="75"/>
      <c r="J45" s="75"/>
      <c r="K45" s="75"/>
      <c r="L45" s="75"/>
      <c r="M45" s="75"/>
    </row>
    <row r="46" spans="2:13" ht="20.25" customHeight="1">
      <c r="B46" s="2090"/>
      <c r="C46" s="2090"/>
      <c r="D46" s="2090"/>
      <c r="E46" s="2090"/>
      <c r="F46" s="2090"/>
      <c r="G46" s="2090"/>
      <c r="H46" s="2090"/>
      <c r="I46" s="2090"/>
      <c r="J46" s="2090"/>
      <c r="K46" s="2090"/>
      <c r="L46" s="2090"/>
      <c r="M46" s="2090"/>
    </row>
    <row r="47" spans="2:13" ht="20.25" customHeight="1">
      <c r="C47" s="280"/>
      <c r="D47" s="280"/>
      <c r="E47" s="280"/>
      <c r="F47" s="280"/>
      <c r="G47" s="280">
        <v>2016</v>
      </c>
      <c r="H47" s="280"/>
      <c r="I47" s="280"/>
      <c r="J47" s="280"/>
      <c r="K47" s="280"/>
      <c r="L47" s="280"/>
      <c r="M47" s="280"/>
    </row>
    <row r="48" spans="2:13" ht="20.25" customHeight="1">
      <c r="B48" s="5307" t="s">
        <v>68</v>
      </c>
      <c r="C48" s="72"/>
      <c r="D48" s="1941" t="s">
        <v>216</v>
      </c>
      <c r="E48" s="1942"/>
      <c r="F48" s="1943"/>
      <c r="G48" s="5310" t="s">
        <v>645</v>
      </c>
      <c r="H48" s="72"/>
      <c r="I48" s="1941" t="s">
        <v>217</v>
      </c>
      <c r="J48" s="1942"/>
      <c r="K48" s="5310" t="s">
        <v>646</v>
      </c>
      <c r="L48" s="72"/>
      <c r="M48" s="5313" t="s">
        <v>644</v>
      </c>
    </row>
    <row r="49" spans="2:13" ht="20.25" customHeight="1">
      <c r="B49" s="5308"/>
      <c r="C49" s="65"/>
      <c r="D49" s="1944" t="s">
        <v>218</v>
      </c>
      <c r="E49" s="1945"/>
      <c r="F49" s="1946"/>
      <c r="G49" s="5311"/>
      <c r="H49" s="65"/>
      <c r="I49" s="5314" t="s">
        <v>219</v>
      </c>
      <c r="J49" s="5316" t="s">
        <v>220</v>
      </c>
      <c r="K49" s="5311"/>
      <c r="L49" s="65"/>
      <c r="M49" s="5311"/>
    </row>
    <row r="50" spans="2:13" ht="20.25" customHeight="1">
      <c r="B50" s="5309"/>
      <c r="C50" s="65"/>
      <c r="D50" s="66" t="s">
        <v>221</v>
      </c>
      <c r="E50" s="1947" t="s">
        <v>222</v>
      </c>
      <c r="F50" s="1948" t="s">
        <v>223</v>
      </c>
      <c r="G50" s="5312"/>
      <c r="H50" s="65"/>
      <c r="I50" s="5315"/>
      <c r="J50" s="5317"/>
      <c r="K50" s="5312"/>
      <c r="L50" s="65"/>
      <c r="M50" s="5312"/>
    </row>
    <row r="51" spans="2:13" ht="20.25" customHeight="1">
      <c r="B51" s="74"/>
      <c r="C51" s="74"/>
      <c r="D51" s="74"/>
      <c r="E51" s="74"/>
      <c r="F51" s="74"/>
      <c r="G51" s="74"/>
      <c r="H51" s="74"/>
      <c r="I51" s="74"/>
      <c r="J51" s="74"/>
      <c r="K51" s="74"/>
      <c r="L51" s="74"/>
      <c r="M51" s="74"/>
    </row>
    <row r="52" spans="2:13" ht="20.25" customHeight="1">
      <c r="B52" s="1949" t="s">
        <v>70</v>
      </c>
      <c r="C52" s="76"/>
      <c r="D52" s="1950">
        <v>1023</v>
      </c>
      <c r="E52" s="1950">
        <v>331</v>
      </c>
      <c r="F52" s="1950">
        <v>62</v>
      </c>
      <c r="G52" s="1951">
        <f>SUM(D52:F52)</f>
        <v>1416</v>
      </c>
      <c r="H52" s="69"/>
      <c r="I52" s="1950">
        <v>1128</v>
      </c>
      <c r="J52" s="1950">
        <v>184</v>
      </c>
      <c r="K52" s="1951">
        <f>SUM(I52:J52)</f>
        <v>1312</v>
      </c>
      <c r="L52" s="69"/>
      <c r="M52" s="1952">
        <f>+G52/K52</f>
        <v>1.0792682926829269</v>
      </c>
    </row>
    <row r="53" spans="2:13" ht="20.25" customHeight="1">
      <c r="B53" s="74"/>
      <c r="C53" s="71"/>
      <c r="D53" s="68"/>
      <c r="E53" s="68"/>
      <c r="F53" s="68"/>
      <c r="G53" s="68"/>
      <c r="H53" s="68"/>
      <c r="I53" s="68"/>
      <c r="J53" s="68"/>
      <c r="K53" s="68"/>
      <c r="L53" s="68"/>
      <c r="M53" s="67"/>
    </row>
    <row r="54" spans="2:13" ht="20.25" customHeight="1">
      <c r="B54" s="1949" t="s">
        <v>72</v>
      </c>
      <c r="C54" s="76"/>
      <c r="D54" s="1950">
        <v>209</v>
      </c>
      <c r="E54" s="1950">
        <v>21</v>
      </c>
      <c r="F54" s="1950">
        <v>13</v>
      </c>
      <c r="G54" s="1951">
        <f>SUM(D54:F54)</f>
        <v>243</v>
      </c>
      <c r="H54" s="69"/>
      <c r="I54" s="1950">
        <v>212</v>
      </c>
      <c r="J54" s="1950">
        <v>110</v>
      </c>
      <c r="K54" s="1951">
        <f>SUM(I54:J54)</f>
        <v>322</v>
      </c>
      <c r="L54" s="69"/>
      <c r="M54" s="1952">
        <f>+G54/K54</f>
        <v>0.75465838509316774</v>
      </c>
    </row>
    <row r="55" spans="2:13" ht="20.25" customHeight="1">
      <c r="B55" s="74"/>
      <c r="C55" s="71"/>
      <c r="D55" s="68"/>
      <c r="E55" s="68"/>
      <c r="F55" s="68"/>
      <c r="G55" s="68"/>
      <c r="H55" s="68"/>
      <c r="I55" s="68"/>
      <c r="J55" s="68"/>
      <c r="K55" s="68"/>
      <c r="L55" s="68"/>
      <c r="M55" s="67"/>
    </row>
    <row r="56" spans="2:13" ht="20.25" customHeight="1">
      <c r="B56" s="1949" t="s">
        <v>73</v>
      </c>
      <c r="C56" s="76"/>
      <c r="D56" s="1950">
        <v>931</v>
      </c>
      <c r="E56" s="1950">
        <v>230</v>
      </c>
      <c r="F56" s="1950">
        <v>133</v>
      </c>
      <c r="G56" s="1951">
        <f>SUM(D56:F56)</f>
        <v>1294</v>
      </c>
      <c r="H56" s="69"/>
      <c r="I56" s="1950">
        <v>954</v>
      </c>
      <c r="J56" s="1950">
        <v>203</v>
      </c>
      <c r="K56" s="1951">
        <f>SUM(I56:J56)</f>
        <v>1157</v>
      </c>
      <c r="L56" s="69"/>
      <c r="M56" s="1952">
        <f>+G56/K56</f>
        <v>1.118409680207433</v>
      </c>
    </row>
    <row r="57" spans="2:13" ht="20.25" customHeight="1">
      <c r="B57" s="74"/>
      <c r="C57" s="71"/>
      <c r="D57" s="68"/>
      <c r="E57" s="68"/>
      <c r="F57" s="68"/>
      <c r="G57" s="68"/>
      <c r="H57" s="68"/>
      <c r="I57" s="68"/>
      <c r="J57" s="68"/>
      <c r="K57" s="68"/>
      <c r="L57" s="68"/>
      <c r="M57" s="67"/>
    </row>
    <row r="58" spans="2:13" ht="20.25" customHeight="1">
      <c r="B58" s="1949" t="s">
        <v>82</v>
      </c>
      <c r="C58" s="76"/>
      <c r="D58" s="1950">
        <v>73</v>
      </c>
      <c r="E58" s="1950">
        <v>5</v>
      </c>
      <c r="F58" s="1950"/>
      <c r="G58" s="1951">
        <f>SUM(D58:F58)</f>
        <v>78</v>
      </c>
      <c r="H58" s="69"/>
      <c r="I58" s="1950">
        <v>64</v>
      </c>
      <c r="J58" s="1950">
        <v>54</v>
      </c>
      <c r="K58" s="1951">
        <f>SUM(I58:J58)</f>
        <v>118</v>
      </c>
      <c r="L58" s="69"/>
      <c r="M58" s="1952">
        <f>+G58/K58</f>
        <v>0.66101694915254239</v>
      </c>
    </row>
    <row r="59" spans="2:13" ht="20.25" customHeight="1">
      <c r="B59" s="74"/>
      <c r="C59" s="71"/>
      <c r="D59" s="68"/>
      <c r="E59" s="68"/>
      <c r="F59" s="68"/>
      <c r="G59" s="68"/>
      <c r="H59" s="68"/>
      <c r="I59" s="68"/>
      <c r="J59" s="68"/>
      <c r="K59" s="68"/>
      <c r="L59" s="68"/>
      <c r="M59" s="67"/>
    </row>
    <row r="60" spans="2:13" ht="20.25" customHeight="1">
      <c r="B60" s="1949" t="s">
        <v>74</v>
      </c>
      <c r="C60" s="76"/>
      <c r="D60" s="1950">
        <v>991</v>
      </c>
      <c r="E60" s="1950">
        <v>248</v>
      </c>
      <c r="F60" s="1950">
        <v>166</v>
      </c>
      <c r="G60" s="1951">
        <f>SUM(D60:F60)</f>
        <v>1405</v>
      </c>
      <c r="H60" s="69"/>
      <c r="I60" s="1950">
        <v>1104</v>
      </c>
      <c r="J60" s="1950">
        <v>238</v>
      </c>
      <c r="K60" s="1951">
        <f>SUM(I60:J60)</f>
        <v>1342</v>
      </c>
      <c r="L60" s="69"/>
      <c r="M60" s="1952">
        <f>+G60/K60</f>
        <v>1.0469448584202683</v>
      </c>
    </row>
    <row r="61" spans="2:13" ht="20.25" customHeight="1">
      <c r="B61" s="74"/>
      <c r="C61" s="71"/>
      <c r="D61" s="68"/>
      <c r="E61" s="68"/>
      <c r="F61" s="68"/>
      <c r="G61" s="68"/>
      <c r="H61" s="68"/>
      <c r="I61" s="68"/>
      <c r="J61" s="68"/>
      <c r="K61" s="68"/>
      <c r="L61" s="68"/>
      <c r="M61" s="67"/>
    </row>
    <row r="62" spans="2:13" ht="20.25" customHeight="1">
      <c r="B62" s="1949" t="s">
        <v>192</v>
      </c>
      <c r="C62" s="76"/>
      <c r="D62" s="1950">
        <v>5</v>
      </c>
      <c r="E62" s="1950"/>
      <c r="F62" s="1950"/>
      <c r="G62" s="1951">
        <f>SUM(D62:F62)</f>
        <v>5</v>
      </c>
      <c r="H62" s="69"/>
      <c r="I62" s="1950">
        <v>676</v>
      </c>
      <c r="J62" s="1950">
        <v>584</v>
      </c>
      <c r="K62" s="1951">
        <f>SUM(I62:J62)</f>
        <v>1260</v>
      </c>
      <c r="L62" s="69"/>
      <c r="M62" s="1952">
        <f>+G62/K62</f>
        <v>3.968253968253968E-3</v>
      </c>
    </row>
    <row r="63" spans="2:13" ht="20.25" customHeight="1">
      <c r="B63" s="74"/>
      <c r="C63" s="71"/>
      <c r="D63" s="68"/>
      <c r="E63" s="68"/>
      <c r="F63" s="68"/>
      <c r="G63" s="68"/>
      <c r="H63" s="68"/>
      <c r="I63" s="68"/>
      <c r="J63" s="68"/>
      <c r="K63" s="68"/>
      <c r="L63" s="68"/>
      <c r="M63" s="67"/>
    </row>
    <row r="64" spans="2:13" ht="20.25" customHeight="1">
      <c r="B64" s="1953" t="s">
        <v>67</v>
      </c>
      <c r="C64" s="70"/>
      <c r="D64" s="1954">
        <f>SUM(D52,D54,D56,D58,D60,D62)</f>
        <v>3232</v>
      </c>
      <c r="E64" s="1954">
        <f>SUM(E52,E54,E56,E58,E60,E62)</f>
        <v>835</v>
      </c>
      <c r="F64" s="1954">
        <f>SUM(F52,F54,F56,F58,F60,F62)</f>
        <v>374</v>
      </c>
      <c r="G64" s="1955">
        <f>SUM(G52,G54,G56,G58,G60,G62)</f>
        <v>4441</v>
      </c>
      <c r="H64" s="70"/>
      <c r="I64" s="1954">
        <f>SUM(I52,I54,I56,I58,I60,I62)</f>
        <v>4138</v>
      </c>
      <c r="J64" s="1954">
        <f>SUM(J52,J54,J56,J58,J60,J62)</f>
        <v>1373</v>
      </c>
      <c r="K64" s="1955">
        <f>SUM(I64:J64)</f>
        <v>5511</v>
      </c>
      <c r="L64" s="70"/>
      <c r="M64" s="1956">
        <f>+G64/K64</f>
        <v>0.8058428597350753</v>
      </c>
    </row>
    <row r="65" spans="2:13" ht="20.25" customHeight="1">
      <c r="B65" s="6" t="s">
        <v>2480</v>
      </c>
      <c r="C65" s="6"/>
      <c r="D65" s="6"/>
      <c r="E65" s="6"/>
      <c r="F65" s="6"/>
      <c r="G65" s="6"/>
      <c r="H65" s="6"/>
      <c r="I65" s="6"/>
      <c r="J65" s="6"/>
      <c r="K65" s="6"/>
      <c r="L65" s="6"/>
      <c r="M65" s="6"/>
    </row>
    <row r="66" spans="2:13" ht="20.25" customHeight="1">
      <c r="B66" s="83" t="s">
        <v>224</v>
      </c>
      <c r="C66" s="75"/>
      <c r="D66" s="75"/>
      <c r="E66" s="75"/>
      <c r="F66" s="75"/>
      <c r="G66" s="75"/>
      <c r="H66" s="75"/>
      <c r="I66" s="75"/>
      <c r="J66" s="75"/>
      <c r="K66" s="75"/>
      <c r="L66" s="75"/>
      <c r="M66" s="75"/>
    </row>
    <row r="67" spans="2:13" ht="20.25" customHeight="1">
      <c r="B67" s="2090"/>
      <c r="C67" s="2090"/>
      <c r="D67" s="2090"/>
      <c r="E67" s="2090"/>
      <c r="F67" s="2090"/>
      <c r="G67" s="2090"/>
      <c r="H67" s="2090"/>
      <c r="I67" s="2090"/>
      <c r="J67" s="2090"/>
      <c r="K67" s="2090"/>
      <c r="L67" s="2090"/>
      <c r="M67" s="2090"/>
    </row>
    <row r="68" spans="2:13" ht="20.25" customHeight="1">
      <c r="C68" s="280"/>
      <c r="D68" s="280"/>
      <c r="E68" s="280"/>
      <c r="F68" s="280"/>
      <c r="G68" s="280">
        <v>2015</v>
      </c>
      <c r="H68" s="280"/>
      <c r="I68" s="280"/>
      <c r="J68" s="280"/>
      <c r="K68" s="280"/>
      <c r="L68" s="280"/>
      <c r="M68" s="280"/>
    </row>
    <row r="69" spans="2:13" ht="20.25" customHeight="1">
      <c r="B69" s="5307" t="s">
        <v>68</v>
      </c>
      <c r="C69" s="72"/>
      <c r="D69" s="1941" t="s">
        <v>216</v>
      </c>
      <c r="E69" s="1942"/>
      <c r="F69" s="1943"/>
      <c r="G69" s="5310" t="s">
        <v>645</v>
      </c>
      <c r="H69" s="72"/>
      <c r="I69" s="1941" t="s">
        <v>217</v>
      </c>
      <c r="J69" s="1942"/>
      <c r="K69" s="5310" t="s">
        <v>646</v>
      </c>
      <c r="L69" s="72"/>
      <c r="M69" s="5313" t="s">
        <v>644</v>
      </c>
    </row>
    <row r="70" spans="2:13" ht="20.25" customHeight="1">
      <c r="B70" s="5308"/>
      <c r="C70" s="65"/>
      <c r="D70" s="1944" t="s">
        <v>218</v>
      </c>
      <c r="E70" s="1945"/>
      <c r="F70" s="1946"/>
      <c r="G70" s="5311"/>
      <c r="H70" s="65"/>
      <c r="I70" s="5314" t="s">
        <v>219</v>
      </c>
      <c r="J70" s="5316" t="s">
        <v>220</v>
      </c>
      <c r="K70" s="5311"/>
      <c r="L70" s="65"/>
      <c r="M70" s="5311"/>
    </row>
    <row r="71" spans="2:13" ht="20.25" customHeight="1">
      <c r="B71" s="5309"/>
      <c r="C71" s="65"/>
      <c r="D71" s="66" t="s">
        <v>221</v>
      </c>
      <c r="E71" s="1947" t="s">
        <v>222</v>
      </c>
      <c r="F71" s="1948" t="s">
        <v>223</v>
      </c>
      <c r="G71" s="5312"/>
      <c r="H71" s="65"/>
      <c r="I71" s="5315"/>
      <c r="J71" s="5317"/>
      <c r="K71" s="5312"/>
      <c r="L71" s="65"/>
      <c r="M71" s="5312"/>
    </row>
    <row r="72" spans="2:13" ht="20.25" customHeight="1">
      <c r="B72" s="74"/>
      <c r="C72" s="74"/>
      <c r="D72" s="74"/>
      <c r="E72" s="74"/>
      <c r="F72" s="74"/>
      <c r="G72" s="74"/>
      <c r="H72" s="74"/>
      <c r="I72" s="74"/>
      <c r="J72" s="74"/>
      <c r="K72" s="74"/>
      <c r="L72" s="74"/>
      <c r="M72" s="74"/>
    </row>
    <row r="73" spans="2:13" ht="20.25" customHeight="1">
      <c r="B73" s="1949" t="s">
        <v>70</v>
      </c>
      <c r="C73" s="76"/>
      <c r="D73" s="1950">
        <v>1045</v>
      </c>
      <c r="E73" s="1950">
        <v>345</v>
      </c>
      <c r="F73" s="1950">
        <v>64</v>
      </c>
      <c r="G73" s="1951">
        <f>SUM(D73:F73)</f>
        <v>1454</v>
      </c>
      <c r="H73" s="69"/>
      <c r="I73" s="1950">
        <v>1125</v>
      </c>
      <c r="J73" s="1950">
        <v>182</v>
      </c>
      <c r="K73" s="1951">
        <f>SUM(I73:J73)</f>
        <v>1307</v>
      </c>
      <c r="L73" s="69"/>
      <c r="M73" s="1952">
        <f>+G73/K73</f>
        <v>1.1124713083397093</v>
      </c>
    </row>
    <row r="74" spans="2:13" ht="20.25" customHeight="1">
      <c r="B74" s="74"/>
      <c r="C74" s="71"/>
      <c r="D74" s="68"/>
      <c r="E74" s="68"/>
      <c r="F74" s="68"/>
      <c r="G74" s="68"/>
      <c r="H74" s="68"/>
      <c r="I74" s="68"/>
      <c r="J74" s="68"/>
      <c r="K74" s="68"/>
      <c r="L74" s="68"/>
      <c r="M74" s="67"/>
    </row>
    <row r="75" spans="2:13" ht="20.25" customHeight="1">
      <c r="B75" s="1949" t="s">
        <v>72</v>
      </c>
      <c r="C75" s="76"/>
      <c r="D75" s="1950">
        <v>207</v>
      </c>
      <c r="E75" s="1950">
        <v>16</v>
      </c>
      <c r="F75" s="1950">
        <v>16</v>
      </c>
      <c r="G75" s="1951">
        <f>SUM(D75:F75)</f>
        <v>239</v>
      </c>
      <c r="H75" s="69"/>
      <c r="I75" s="1950">
        <v>181</v>
      </c>
      <c r="J75" s="1950">
        <v>105</v>
      </c>
      <c r="K75" s="1951">
        <f>SUM(I75:J75)</f>
        <v>286</v>
      </c>
      <c r="L75" s="69"/>
      <c r="M75" s="1952">
        <f>+G75/K75</f>
        <v>0.83566433566433562</v>
      </c>
    </row>
    <row r="76" spans="2:13" ht="20.25" customHeight="1">
      <c r="B76" s="74"/>
      <c r="C76" s="71"/>
      <c r="D76" s="68"/>
      <c r="E76" s="68"/>
      <c r="F76" s="68"/>
      <c r="G76" s="68"/>
      <c r="H76" s="68"/>
      <c r="I76" s="68"/>
      <c r="J76" s="68"/>
      <c r="K76" s="68"/>
      <c r="L76" s="68"/>
      <c r="M76" s="67"/>
    </row>
    <row r="77" spans="2:13" ht="20.25" customHeight="1">
      <c r="B77" s="1949" t="s">
        <v>73</v>
      </c>
      <c r="C77" s="76"/>
      <c r="D77" s="1950">
        <v>924</v>
      </c>
      <c r="E77" s="1950">
        <v>200</v>
      </c>
      <c r="F77" s="1950">
        <v>149</v>
      </c>
      <c r="G77" s="1951">
        <f>SUM(D77:F77)</f>
        <v>1273</v>
      </c>
      <c r="H77" s="69"/>
      <c r="I77" s="1950">
        <v>967</v>
      </c>
      <c r="J77" s="1950">
        <v>210</v>
      </c>
      <c r="K77" s="1951">
        <f>SUM(I77:J77)</f>
        <v>1177</v>
      </c>
      <c r="L77" s="69"/>
      <c r="M77" s="1952">
        <f>+G77/K77</f>
        <v>1.0815632965165676</v>
      </c>
    </row>
    <row r="78" spans="2:13" ht="20.25" customHeight="1">
      <c r="B78" s="74"/>
      <c r="C78" s="71"/>
      <c r="D78" s="68"/>
      <c r="E78" s="68"/>
      <c r="F78" s="68"/>
      <c r="G78" s="68"/>
      <c r="H78" s="68"/>
      <c r="I78" s="68"/>
      <c r="J78" s="68"/>
      <c r="K78" s="68"/>
      <c r="L78" s="68"/>
      <c r="M78" s="67"/>
    </row>
    <row r="79" spans="2:13" ht="20.25" customHeight="1">
      <c r="B79" s="1949" t="s">
        <v>82</v>
      </c>
      <c r="C79" s="76"/>
      <c r="D79" s="1950">
        <v>64</v>
      </c>
      <c r="E79" s="1950"/>
      <c r="F79" s="1950"/>
      <c r="G79" s="1951">
        <f>SUM(D79:F79)</f>
        <v>64</v>
      </c>
      <c r="H79" s="69"/>
      <c r="I79" s="1950">
        <v>29</v>
      </c>
      <c r="J79" s="1950">
        <v>52</v>
      </c>
      <c r="K79" s="1951">
        <f>SUM(I79:J79)</f>
        <v>81</v>
      </c>
      <c r="L79" s="69"/>
      <c r="M79" s="1952">
        <f>+G79/K79</f>
        <v>0.79012345679012341</v>
      </c>
    </row>
    <row r="80" spans="2:13" ht="20.25" customHeight="1">
      <c r="B80" s="74"/>
      <c r="C80" s="71"/>
      <c r="D80" s="68"/>
      <c r="E80" s="68"/>
      <c r="F80" s="68"/>
      <c r="G80" s="68"/>
      <c r="H80" s="68"/>
      <c r="I80" s="68"/>
      <c r="J80" s="68"/>
      <c r="K80" s="68"/>
      <c r="L80" s="68"/>
      <c r="M80" s="67"/>
    </row>
    <row r="81" spans="2:13" ht="20.25" customHeight="1">
      <c r="B81" s="1949" t="s">
        <v>74</v>
      </c>
      <c r="C81" s="76"/>
      <c r="D81" s="1950">
        <v>1008</v>
      </c>
      <c r="E81" s="1950">
        <v>244</v>
      </c>
      <c r="F81" s="1950">
        <v>158</v>
      </c>
      <c r="G81" s="1951">
        <f>SUM(D81:F81)</f>
        <v>1410</v>
      </c>
      <c r="H81" s="69"/>
      <c r="I81" s="1950">
        <v>1133</v>
      </c>
      <c r="J81" s="1950">
        <v>238</v>
      </c>
      <c r="K81" s="1951">
        <f>SUM(I81:J81)</f>
        <v>1371</v>
      </c>
      <c r="L81" s="69"/>
      <c r="M81" s="1952">
        <f>+G81/K81</f>
        <v>1.0284463894967177</v>
      </c>
    </row>
    <row r="82" spans="2:13" ht="20.25" customHeight="1">
      <c r="B82" s="74"/>
      <c r="C82" s="71"/>
      <c r="D82" s="68"/>
      <c r="E82" s="68"/>
      <c r="F82" s="68"/>
      <c r="G82" s="68"/>
      <c r="H82" s="68"/>
      <c r="I82" s="68"/>
      <c r="J82" s="68"/>
      <c r="K82" s="68"/>
      <c r="L82" s="68"/>
      <c r="M82" s="67"/>
    </row>
    <row r="83" spans="2:13" ht="20.25" customHeight="1">
      <c r="B83" s="1949" t="s">
        <v>192</v>
      </c>
      <c r="C83" s="76"/>
      <c r="D83" s="1950">
        <v>5</v>
      </c>
      <c r="E83" s="1950"/>
      <c r="F83" s="1950"/>
      <c r="G83" s="1951">
        <f>SUM(D83:F83)</f>
        <v>5</v>
      </c>
      <c r="H83" s="69"/>
      <c r="I83" s="1950">
        <v>667</v>
      </c>
      <c r="J83" s="1950">
        <v>558</v>
      </c>
      <c r="K83" s="1951">
        <f>SUM(I83:J83)</f>
        <v>1225</v>
      </c>
      <c r="L83" s="69"/>
      <c r="M83" s="1952">
        <f>+G83/K83</f>
        <v>4.0816326530612249E-3</v>
      </c>
    </row>
    <row r="84" spans="2:13" ht="20.25" customHeight="1">
      <c r="B84" s="74"/>
      <c r="C84" s="71"/>
      <c r="D84" s="68"/>
      <c r="E84" s="68"/>
      <c r="F84" s="68"/>
      <c r="G84" s="68"/>
      <c r="H84" s="68"/>
      <c r="I84" s="68"/>
      <c r="J84" s="68"/>
      <c r="K84" s="68"/>
      <c r="L84" s="68"/>
      <c r="M84" s="67"/>
    </row>
    <row r="85" spans="2:13" ht="20.25" customHeight="1">
      <c r="B85" s="1953" t="s">
        <v>67</v>
      </c>
      <c r="C85" s="70"/>
      <c r="D85" s="1954">
        <f>SUM(D73,D75,D77,D79,D81,D83)</f>
        <v>3253</v>
      </c>
      <c r="E85" s="1954">
        <f>SUM(E73,E75,E77,E79,E81,E83)</f>
        <v>805</v>
      </c>
      <c r="F85" s="1954">
        <f>SUM(F73,F75,F77,F79,F81,F83)</f>
        <v>387</v>
      </c>
      <c r="G85" s="1955">
        <f>SUM(G73,G75,G77,G79,G81,G83)</f>
        <v>4445</v>
      </c>
      <c r="H85" s="70"/>
      <c r="I85" s="1954">
        <f>SUM(I73,I75,I77,I79,I81,I83)</f>
        <v>4102</v>
      </c>
      <c r="J85" s="1954">
        <f>SUM(J73,J75,J77,J79,J81,J83)</f>
        <v>1345</v>
      </c>
      <c r="K85" s="1955">
        <f>SUM(I85:J85)</f>
        <v>5447</v>
      </c>
      <c r="L85" s="70"/>
      <c r="M85" s="1956">
        <f>+G85/K85</f>
        <v>0.81604552964934829</v>
      </c>
    </row>
    <row r="86" spans="2:13" ht="20.25" customHeight="1">
      <c r="B86" s="6" t="s">
        <v>1819</v>
      </c>
      <c r="C86" s="6"/>
      <c r="D86" s="6"/>
      <c r="E86" s="6"/>
      <c r="F86" s="6"/>
      <c r="G86" s="6"/>
      <c r="H86" s="6"/>
      <c r="I86" s="6"/>
      <c r="J86" s="6"/>
      <c r="K86" s="6"/>
      <c r="L86" s="6"/>
      <c r="M86" s="6"/>
    </row>
    <row r="87" spans="2:13" ht="20.25" customHeight="1">
      <c r="B87" s="83" t="s">
        <v>224</v>
      </c>
      <c r="C87" s="75"/>
      <c r="D87" s="75"/>
      <c r="E87" s="75"/>
      <c r="F87" s="75"/>
      <c r="G87" s="75"/>
      <c r="H87" s="75"/>
      <c r="I87" s="75"/>
      <c r="J87" s="75"/>
      <c r="K87" s="75"/>
      <c r="L87" s="75"/>
      <c r="M87" s="75"/>
    </row>
    <row r="88" spans="2:13" ht="20.25" customHeight="1">
      <c r="C88" s="280"/>
      <c r="D88" s="280"/>
      <c r="E88" s="280"/>
      <c r="F88" s="280"/>
      <c r="G88" s="280">
        <v>2014</v>
      </c>
      <c r="H88" s="280"/>
      <c r="I88" s="280"/>
      <c r="J88" s="280"/>
      <c r="K88" s="280"/>
      <c r="L88" s="280"/>
      <c r="M88" s="280"/>
    </row>
    <row r="89" spans="2:13" ht="20.25" customHeight="1">
      <c r="B89" s="5320" t="s">
        <v>68</v>
      </c>
      <c r="C89" s="72"/>
      <c r="D89" s="548" t="s">
        <v>216</v>
      </c>
      <c r="E89" s="549"/>
      <c r="F89" s="550"/>
      <c r="G89" s="5322" t="s">
        <v>645</v>
      </c>
      <c r="H89" s="72"/>
      <c r="I89" s="548" t="s">
        <v>217</v>
      </c>
      <c r="J89" s="549"/>
      <c r="K89" s="5322" t="s">
        <v>646</v>
      </c>
      <c r="L89" s="72"/>
      <c r="M89" s="5323" t="s">
        <v>644</v>
      </c>
    </row>
    <row r="90" spans="2:13" ht="20.25" customHeight="1">
      <c r="B90" s="5308"/>
      <c r="C90" s="65"/>
      <c r="D90" s="551" t="s">
        <v>218</v>
      </c>
      <c r="E90" s="552"/>
      <c r="F90" s="553"/>
      <c r="G90" s="5311"/>
      <c r="H90" s="65"/>
      <c r="I90" s="5324" t="s">
        <v>219</v>
      </c>
      <c r="J90" s="5325" t="s">
        <v>220</v>
      </c>
      <c r="K90" s="5311"/>
      <c r="L90" s="65"/>
      <c r="M90" s="5311"/>
    </row>
    <row r="91" spans="2:13" ht="20.25" customHeight="1">
      <c r="B91" s="5321"/>
      <c r="C91" s="65"/>
      <c r="D91" s="66" t="s">
        <v>221</v>
      </c>
      <c r="E91" s="218" t="s">
        <v>222</v>
      </c>
      <c r="F91" s="554" t="s">
        <v>223</v>
      </c>
      <c r="G91" s="5312"/>
      <c r="H91" s="65"/>
      <c r="I91" s="5315"/>
      <c r="J91" s="5326"/>
      <c r="K91" s="5312"/>
      <c r="L91" s="65"/>
      <c r="M91" s="5312"/>
    </row>
    <row r="92" spans="2:13" ht="20.25" customHeight="1">
      <c r="B92" s="74"/>
      <c r="C92" s="74"/>
      <c r="D92" s="74"/>
      <c r="E92" s="74"/>
      <c r="F92" s="74"/>
      <c r="G92" s="74"/>
      <c r="H92" s="74"/>
      <c r="I92" s="74"/>
      <c r="J92" s="74"/>
      <c r="K92" s="74"/>
      <c r="L92" s="74"/>
      <c r="M92" s="74"/>
    </row>
    <row r="93" spans="2:13" ht="20.25" customHeight="1">
      <c r="B93" s="555" t="s">
        <v>70</v>
      </c>
      <c r="C93" s="76"/>
      <c r="D93" s="556">
        <v>1046</v>
      </c>
      <c r="E93" s="556">
        <v>333</v>
      </c>
      <c r="F93" s="556">
        <v>77</v>
      </c>
      <c r="G93" s="557">
        <f>SUM(D93:F93)</f>
        <v>1456</v>
      </c>
      <c r="H93" s="69"/>
      <c r="I93" s="556">
        <v>1133</v>
      </c>
      <c r="J93" s="556">
        <v>180</v>
      </c>
      <c r="K93" s="557">
        <f>SUM(I93:J93)</f>
        <v>1313</v>
      </c>
      <c r="L93" s="69"/>
      <c r="M93" s="558">
        <f>+G93/K93</f>
        <v>1.108910891089109</v>
      </c>
    </row>
    <row r="94" spans="2:13" ht="20.25" customHeight="1">
      <c r="B94" s="74"/>
      <c r="C94" s="71"/>
      <c r="D94" s="68"/>
      <c r="E94" s="68"/>
      <c r="F94" s="68"/>
      <c r="G94" s="68"/>
      <c r="H94" s="68"/>
      <c r="I94" s="68"/>
      <c r="J94" s="68"/>
      <c r="K94" s="68"/>
      <c r="L94" s="68"/>
      <c r="M94" s="67"/>
    </row>
    <row r="95" spans="2:13" ht="20.25" customHeight="1">
      <c r="B95" s="555" t="s">
        <v>72</v>
      </c>
      <c r="C95" s="76"/>
      <c r="D95" s="556">
        <v>195</v>
      </c>
      <c r="E95" s="556">
        <v>18</v>
      </c>
      <c r="F95" s="556">
        <v>15</v>
      </c>
      <c r="G95" s="557">
        <f>SUM(D95:F95)</f>
        <v>228</v>
      </c>
      <c r="H95" s="69"/>
      <c r="I95" s="556">
        <v>169</v>
      </c>
      <c r="J95" s="556">
        <v>102</v>
      </c>
      <c r="K95" s="557">
        <f>SUM(I95:J95)</f>
        <v>271</v>
      </c>
      <c r="L95" s="69"/>
      <c r="M95" s="558">
        <f>+G95/K95</f>
        <v>0.84132841328413288</v>
      </c>
    </row>
    <row r="96" spans="2:13" ht="20.25" customHeight="1">
      <c r="B96" s="74"/>
      <c r="C96" s="71"/>
      <c r="D96" s="68"/>
      <c r="E96" s="68"/>
      <c r="F96" s="68"/>
      <c r="G96" s="68"/>
      <c r="H96" s="68"/>
      <c r="I96" s="68"/>
      <c r="J96" s="68"/>
      <c r="K96" s="68"/>
      <c r="L96" s="68"/>
      <c r="M96" s="67"/>
    </row>
    <row r="97" spans="2:15" ht="20.25" customHeight="1">
      <c r="B97" s="555" t="s">
        <v>73</v>
      </c>
      <c r="C97" s="76"/>
      <c r="D97" s="556">
        <v>922</v>
      </c>
      <c r="E97" s="556">
        <v>193</v>
      </c>
      <c r="F97" s="556">
        <v>180</v>
      </c>
      <c r="G97" s="557">
        <f>SUM(D97:F97)</f>
        <v>1295</v>
      </c>
      <c r="H97" s="69"/>
      <c r="I97" s="556">
        <v>979</v>
      </c>
      <c r="J97" s="556">
        <v>210</v>
      </c>
      <c r="K97" s="557">
        <f>SUM(I97:J97)</f>
        <v>1189</v>
      </c>
      <c r="L97" s="69"/>
      <c r="M97" s="558">
        <f>+G97/K97</f>
        <v>1.0891505466778806</v>
      </c>
    </row>
    <row r="98" spans="2:15" ht="20.25" customHeight="1">
      <c r="B98" s="74"/>
      <c r="C98" s="71"/>
      <c r="D98" s="68"/>
      <c r="E98" s="68"/>
      <c r="F98" s="68"/>
      <c r="G98" s="68"/>
      <c r="H98" s="68"/>
      <c r="I98" s="68"/>
      <c r="J98" s="68"/>
      <c r="K98" s="68"/>
      <c r="L98" s="68"/>
      <c r="M98" s="67"/>
    </row>
    <row r="99" spans="2:15" ht="20.25" customHeight="1">
      <c r="B99" s="555" t="s">
        <v>82</v>
      </c>
      <c r="C99" s="76"/>
      <c r="D99" s="556">
        <v>72</v>
      </c>
      <c r="E99" s="556"/>
      <c r="F99" s="556"/>
      <c r="G99" s="557">
        <f>SUM(D99:F99)</f>
        <v>72</v>
      </c>
      <c r="H99" s="69"/>
      <c r="I99" s="556">
        <v>28</v>
      </c>
      <c r="J99" s="556">
        <v>52</v>
      </c>
      <c r="K99" s="557">
        <f>SUM(I99:J99)</f>
        <v>80</v>
      </c>
      <c r="L99" s="69"/>
      <c r="M99" s="558">
        <f>+G99/K99</f>
        <v>0.9</v>
      </c>
    </row>
    <row r="100" spans="2:15" ht="20.25" customHeight="1">
      <c r="B100" s="74"/>
      <c r="C100" s="71"/>
      <c r="D100" s="68"/>
      <c r="E100" s="68"/>
      <c r="F100" s="68"/>
      <c r="G100" s="68"/>
      <c r="H100" s="68"/>
      <c r="I100" s="68"/>
      <c r="J100" s="68"/>
      <c r="K100" s="68"/>
      <c r="L100" s="68"/>
      <c r="M100" s="67"/>
    </row>
    <row r="101" spans="2:15" ht="20.25" customHeight="1">
      <c r="B101" s="555" t="s">
        <v>74</v>
      </c>
      <c r="C101" s="76"/>
      <c r="D101" s="556">
        <v>989</v>
      </c>
      <c r="E101" s="556">
        <v>230</v>
      </c>
      <c r="F101" s="556">
        <v>179</v>
      </c>
      <c r="G101" s="557">
        <f>SUM(D101:F101)</f>
        <v>1398</v>
      </c>
      <c r="H101" s="69"/>
      <c r="I101" s="556">
        <v>1142</v>
      </c>
      <c r="J101" s="556">
        <v>237</v>
      </c>
      <c r="K101" s="557">
        <f>SUM(I101:J101)</f>
        <v>1379</v>
      </c>
      <c r="L101" s="69"/>
      <c r="M101" s="558">
        <f>+G101/K101</f>
        <v>1.0137781000725163</v>
      </c>
    </row>
    <row r="102" spans="2:15" ht="20.25" customHeight="1">
      <c r="B102" s="74"/>
      <c r="C102" s="71"/>
      <c r="D102" s="68"/>
      <c r="E102" s="68"/>
      <c r="F102" s="68"/>
      <c r="G102" s="68"/>
      <c r="H102" s="68"/>
      <c r="I102" s="68"/>
      <c r="J102" s="68"/>
      <c r="K102" s="68"/>
      <c r="L102" s="68"/>
      <c r="M102" s="67"/>
    </row>
    <row r="103" spans="2:15" ht="20.25" customHeight="1">
      <c r="B103" s="555" t="s">
        <v>192</v>
      </c>
      <c r="C103" s="76"/>
      <c r="D103" s="556">
        <v>5</v>
      </c>
      <c r="E103" s="556"/>
      <c r="F103" s="556"/>
      <c r="G103" s="557">
        <f>SUM(D103:F103)</f>
        <v>5</v>
      </c>
      <c r="H103" s="69"/>
      <c r="I103" s="556">
        <v>691</v>
      </c>
      <c r="J103" s="556">
        <v>557</v>
      </c>
      <c r="K103" s="557">
        <f>SUM(I103:J103)</f>
        <v>1248</v>
      </c>
      <c r="L103" s="69"/>
      <c r="M103" s="558">
        <f>+G103/K103</f>
        <v>4.0064102564102561E-3</v>
      </c>
    </row>
    <row r="104" spans="2:15" ht="20.25" customHeight="1">
      <c r="B104" s="74"/>
      <c r="C104" s="71"/>
      <c r="D104" s="68"/>
      <c r="E104" s="68"/>
      <c r="F104" s="68"/>
      <c r="G104" s="68"/>
      <c r="H104" s="68"/>
      <c r="I104" s="68"/>
      <c r="J104" s="68"/>
      <c r="K104" s="68"/>
      <c r="L104" s="68"/>
      <c r="M104" s="67"/>
    </row>
    <row r="105" spans="2:15" ht="20.25" customHeight="1">
      <c r="B105" s="559" t="s">
        <v>67</v>
      </c>
      <c r="C105" s="70"/>
      <c r="D105" s="560">
        <f>SUM(D93,D95,D97,D99,D101,D103)</f>
        <v>3229</v>
      </c>
      <c r="E105" s="560">
        <f>SUM(E93,E95,E97,E99,E101,E103)</f>
        <v>774</v>
      </c>
      <c r="F105" s="560">
        <f>SUM(F93,F95,F97,F99,F101,F103)</f>
        <v>451</v>
      </c>
      <c r="G105" s="561">
        <f>SUM(G93,G95,G97,G99,G101,G103)</f>
        <v>4454</v>
      </c>
      <c r="H105" s="70"/>
      <c r="I105" s="560">
        <f>SUM(I93,I95,I97,I99,I101,I103)</f>
        <v>4142</v>
      </c>
      <c r="J105" s="560">
        <f>SUM(J93,J95,J97,J99,J101,J103)</f>
        <v>1338</v>
      </c>
      <c r="K105" s="561">
        <f>SUM(I105:J105)</f>
        <v>5480</v>
      </c>
      <c r="L105" s="70"/>
      <c r="M105" s="562">
        <f>+G105/K105</f>
        <v>0.81277372262773717</v>
      </c>
      <c r="O105" s="287"/>
    </row>
    <row r="106" spans="2:15" ht="20.25" customHeight="1">
      <c r="B106" s="6" t="s">
        <v>839</v>
      </c>
      <c r="C106" s="6"/>
      <c r="D106" s="6"/>
      <c r="E106" s="6"/>
      <c r="F106" s="6"/>
      <c r="G106" s="6"/>
      <c r="H106" s="6"/>
      <c r="I106" s="6"/>
      <c r="J106" s="6"/>
      <c r="K106" s="6"/>
      <c r="L106" s="6"/>
      <c r="M106" s="6"/>
    </row>
    <row r="107" spans="2:15" ht="20.25" customHeight="1">
      <c r="B107" s="83" t="s">
        <v>224</v>
      </c>
      <c r="C107" s="75"/>
      <c r="D107" s="75"/>
      <c r="E107" s="75"/>
      <c r="F107" s="75"/>
      <c r="G107" s="75"/>
      <c r="H107" s="75"/>
      <c r="I107" s="75"/>
      <c r="J107" s="75"/>
      <c r="K107" s="75"/>
      <c r="L107" s="75"/>
      <c r="M107" s="75"/>
    </row>
    <row r="108" spans="2:15" ht="20.25" customHeight="1">
      <c r="C108" s="280"/>
      <c r="D108" s="280"/>
      <c r="E108" s="280"/>
      <c r="F108" s="280"/>
      <c r="G108" s="280">
        <v>2013</v>
      </c>
      <c r="H108" s="280"/>
      <c r="I108" s="280"/>
      <c r="J108" s="280"/>
      <c r="K108" s="280"/>
      <c r="L108" s="280"/>
      <c r="M108" s="280"/>
    </row>
    <row r="109" spans="2:15" ht="20.25" customHeight="1">
      <c r="B109" s="5320" t="s">
        <v>68</v>
      </c>
      <c r="C109" s="72"/>
      <c r="D109" s="548" t="s">
        <v>216</v>
      </c>
      <c r="E109" s="549"/>
      <c r="F109" s="550"/>
      <c r="G109" s="5322" t="s">
        <v>645</v>
      </c>
      <c r="H109" s="72"/>
      <c r="I109" s="548" t="s">
        <v>217</v>
      </c>
      <c r="J109" s="549"/>
      <c r="K109" s="5322" t="s">
        <v>646</v>
      </c>
      <c r="L109" s="72"/>
      <c r="M109" s="5323" t="s">
        <v>644</v>
      </c>
    </row>
    <row r="110" spans="2:15" ht="20.25" customHeight="1">
      <c r="B110" s="5308"/>
      <c r="C110" s="65"/>
      <c r="D110" s="551" t="s">
        <v>218</v>
      </c>
      <c r="E110" s="552"/>
      <c r="F110" s="553"/>
      <c r="G110" s="5311"/>
      <c r="H110" s="65"/>
      <c r="I110" s="5324" t="s">
        <v>219</v>
      </c>
      <c r="J110" s="5325" t="s">
        <v>220</v>
      </c>
      <c r="K110" s="5311"/>
      <c r="L110" s="65"/>
      <c r="M110" s="5311"/>
    </row>
    <row r="111" spans="2:15" ht="20.25" customHeight="1">
      <c r="B111" s="5309"/>
      <c r="C111" s="65"/>
      <c r="D111" s="66" t="s">
        <v>221</v>
      </c>
      <c r="E111" s="218" t="s">
        <v>222</v>
      </c>
      <c r="F111" s="554" t="s">
        <v>223</v>
      </c>
      <c r="G111" s="5312"/>
      <c r="H111" s="65"/>
      <c r="I111" s="5315"/>
      <c r="J111" s="5326"/>
      <c r="K111" s="5312"/>
      <c r="L111" s="65"/>
      <c r="M111" s="5312"/>
    </row>
    <row r="112" spans="2:15" ht="20.25" customHeight="1">
      <c r="B112" s="74"/>
      <c r="C112" s="74"/>
      <c r="D112" s="74"/>
      <c r="E112" s="74"/>
      <c r="F112" s="74"/>
      <c r="G112" s="74"/>
      <c r="H112" s="74"/>
      <c r="I112" s="74"/>
      <c r="J112" s="74"/>
      <c r="K112" s="74"/>
      <c r="L112" s="74"/>
      <c r="M112" s="74"/>
    </row>
    <row r="113" spans="2:18" ht="20.25" customHeight="1">
      <c r="B113" s="555" t="s">
        <v>70</v>
      </c>
      <c r="C113" s="76"/>
      <c r="D113" s="556">
        <f>870+140</f>
        <v>1010</v>
      </c>
      <c r="E113" s="556">
        <v>340</v>
      </c>
      <c r="F113" s="556">
        <v>80</v>
      </c>
      <c r="G113" s="557">
        <f>SUM(D113:F113)</f>
        <v>1430</v>
      </c>
      <c r="H113" s="69"/>
      <c r="I113" s="556">
        <v>1143</v>
      </c>
      <c r="J113" s="556">
        <v>186</v>
      </c>
      <c r="K113" s="557">
        <f>SUM(I113:J113)</f>
        <v>1329</v>
      </c>
      <c r="L113" s="69"/>
      <c r="M113" s="558">
        <f>+G113/K113</f>
        <v>1.0759969902182092</v>
      </c>
    </row>
    <row r="114" spans="2:18" ht="20.25" customHeight="1">
      <c r="B114" s="74"/>
      <c r="C114" s="71"/>
      <c r="D114" s="68"/>
      <c r="E114" s="68"/>
      <c r="F114" s="68"/>
      <c r="G114" s="68"/>
      <c r="H114" s="68"/>
      <c r="I114" s="68"/>
      <c r="J114" s="68"/>
      <c r="K114" s="68"/>
      <c r="L114" s="68"/>
      <c r="M114" s="67"/>
    </row>
    <row r="115" spans="2:18" ht="20.25" customHeight="1">
      <c r="B115" s="555" t="s">
        <v>72</v>
      </c>
      <c r="C115" s="76"/>
      <c r="D115" s="556">
        <f>148+30</f>
        <v>178</v>
      </c>
      <c r="E115" s="556">
        <v>14</v>
      </c>
      <c r="F115" s="556">
        <v>15</v>
      </c>
      <c r="G115" s="557">
        <f>SUM(D115:F115)</f>
        <v>207</v>
      </c>
      <c r="H115" s="69"/>
      <c r="I115" s="556">
        <v>118</v>
      </c>
      <c r="J115" s="556">
        <v>98</v>
      </c>
      <c r="K115" s="557">
        <f>SUM(I115:J115)</f>
        <v>216</v>
      </c>
      <c r="L115" s="69"/>
      <c r="M115" s="558">
        <f>+G115/K115</f>
        <v>0.95833333333333337</v>
      </c>
      <c r="R115" s="189"/>
    </row>
    <row r="116" spans="2:18" ht="20.25" customHeight="1">
      <c r="B116" s="74"/>
      <c r="C116" s="71"/>
      <c r="D116" s="68"/>
      <c r="E116" s="68"/>
      <c r="F116" s="68"/>
      <c r="G116" s="68"/>
      <c r="H116" s="68"/>
      <c r="I116" s="68"/>
      <c r="J116" s="68"/>
      <c r="K116" s="68"/>
      <c r="L116" s="68"/>
      <c r="M116" s="67"/>
    </row>
    <row r="117" spans="2:18" ht="20.25" customHeight="1">
      <c r="B117" s="555" t="s">
        <v>73</v>
      </c>
      <c r="C117" s="76"/>
      <c r="D117" s="556">
        <f>758 +165</f>
        <v>923</v>
      </c>
      <c r="E117" s="556">
        <v>188</v>
      </c>
      <c r="F117" s="556">
        <v>181</v>
      </c>
      <c r="G117" s="557">
        <f>SUM(D117:F117)</f>
        <v>1292</v>
      </c>
      <c r="H117" s="69"/>
      <c r="I117" s="556">
        <v>985</v>
      </c>
      <c r="J117" s="556">
        <v>213</v>
      </c>
      <c r="K117" s="557">
        <f>SUM(I117:J117)</f>
        <v>1198</v>
      </c>
      <c r="L117" s="69"/>
      <c r="M117" s="558">
        <f>+G117/K117</f>
        <v>1.0784641068447411</v>
      </c>
    </row>
    <row r="118" spans="2:18" ht="20.25" customHeight="1">
      <c r="B118" s="74"/>
      <c r="C118" s="71"/>
      <c r="D118" s="68"/>
      <c r="E118" s="68"/>
      <c r="F118" s="68"/>
      <c r="G118" s="68"/>
      <c r="H118" s="68"/>
      <c r="I118" s="68"/>
      <c r="J118" s="68"/>
      <c r="K118" s="68"/>
      <c r="L118" s="68"/>
      <c r="M118" s="67"/>
    </row>
    <row r="119" spans="2:18" ht="20.25" customHeight="1">
      <c r="B119" s="555" t="s">
        <v>82</v>
      </c>
      <c r="C119" s="76"/>
      <c r="D119" s="556">
        <f>43+20</f>
        <v>63</v>
      </c>
      <c r="E119" s="556"/>
      <c r="F119" s="556"/>
      <c r="G119" s="557">
        <f>SUM(D119:F119)</f>
        <v>63</v>
      </c>
      <c r="H119" s="69"/>
      <c r="I119" s="556">
        <v>5</v>
      </c>
      <c r="J119" s="556">
        <v>51</v>
      </c>
      <c r="K119" s="557">
        <f>SUM(I119:J119)</f>
        <v>56</v>
      </c>
      <c r="L119" s="69"/>
      <c r="M119" s="558">
        <f>+G119/K119</f>
        <v>1.125</v>
      </c>
    </row>
    <row r="120" spans="2:18" ht="20.25" customHeight="1">
      <c r="B120" s="74"/>
      <c r="C120" s="71"/>
      <c r="D120" s="68"/>
      <c r="E120" s="68"/>
      <c r="F120" s="68"/>
      <c r="G120" s="68"/>
      <c r="H120" s="68"/>
      <c r="I120" s="68"/>
      <c r="J120" s="68"/>
      <c r="K120" s="68"/>
      <c r="L120" s="68"/>
      <c r="M120" s="67"/>
    </row>
    <row r="121" spans="2:18" ht="20.25" customHeight="1">
      <c r="B121" s="555" t="s">
        <v>74</v>
      </c>
      <c r="C121" s="76"/>
      <c r="D121" s="556">
        <f>825+137</f>
        <v>962</v>
      </c>
      <c r="E121" s="556">
        <v>235</v>
      </c>
      <c r="F121" s="556">
        <v>194</v>
      </c>
      <c r="G121" s="557">
        <f>SUM(D121:F121)</f>
        <v>1391</v>
      </c>
      <c r="H121" s="69"/>
      <c r="I121" s="556">
        <v>1117</v>
      </c>
      <c r="J121" s="556">
        <v>229</v>
      </c>
      <c r="K121" s="557">
        <f>SUM(I121:J121)</f>
        <v>1346</v>
      </c>
      <c r="L121" s="69"/>
      <c r="M121" s="558">
        <f>+G121/K121</f>
        <v>1.0334323922734028</v>
      </c>
    </row>
    <row r="122" spans="2:18" ht="20.25" customHeight="1">
      <c r="B122" s="74"/>
      <c r="C122" s="71"/>
      <c r="D122" s="68"/>
      <c r="E122" s="68"/>
      <c r="F122" s="68"/>
      <c r="G122" s="68"/>
      <c r="H122" s="68"/>
      <c r="I122" s="68"/>
      <c r="J122" s="68"/>
      <c r="K122" s="68"/>
      <c r="L122" s="68"/>
      <c r="M122" s="67"/>
    </row>
    <row r="123" spans="2:18" ht="20.25" customHeight="1">
      <c r="B123" s="555" t="s">
        <v>192</v>
      </c>
      <c r="C123" s="76"/>
      <c r="D123" s="556">
        <v>5</v>
      </c>
      <c r="E123" s="556"/>
      <c r="F123" s="556"/>
      <c r="G123" s="557">
        <f>SUM(D123:F123)</f>
        <v>5</v>
      </c>
      <c r="H123" s="69"/>
      <c r="I123" s="556">
        <v>676</v>
      </c>
      <c r="J123" s="556">
        <v>535</v>
      </c>
      <c r="K123" s="557">
        <f>SUM(I123:J123)</f>
        <v>1211</v>
      </c>
      <c r="L123" s="69"/>
      <c r="M123" s="558">
        <f>+G123/K123</f>
        <v>4.1288191577208916E-3</v>
      </c>
    </row>
    <row r="124" spans="2:18" ht="20.25" customHeight="1">
      <c r="B124" s="74"/>
      <c r="C124" s="71"/>
      <c r="D124" s="68"/>
      <c r="E124" s="68"/>
      <c r="F124" s="68"/>
      <c r="G124" s="68"/>
      <c r="H124" s="68"/>
      <c r="I124" s="68"/>
      <c r="J124" s="68"/>
      <c r="K124" s="68"/>
      <c r="L124" s="68"/>
      <c r="M124" s="67"/>
    </row>
    <row r="125" spans="2:18" ht="20.25" customHeight="1">
      <c r="B125" s="559" t="s">
        <v>67</v>
      </c>
      <c r="C125" s="70"/>
      <c r="D125" s="560">
        <f>SUM(D113,D115,D117,D119,D121,D123)</f>
        <v>3141</v>
      </c>
      <c r="E125" s="560">
        <f>SUM(E113,E115,E117,E119,E121,E123)</f>
        <v>777</v>
      </c>
      <c r="F125" s="560">
        <f>SUM(F113,F115,F117,F119,F121,F123)</f>
        <v>470</v>
      </c>
      <c r="G125" s="561">
        <f>SUM(G113,G115,G117,G119,G121,G123)</f>
        <v>4388</v>
      </c>
      <c r="H125" s="70"/>
      <c r="I125" s="560">
        <f>SUM(I113,I115,I117,I119,I121,I123)</f>
        <v>4044</v>
      </c>
      <c r="J125" s="560">
        <f>SUM(J113,J115,J117,J119,J121,J123)</f>
        <v>1312</v>
      </c>
      <c r="K125" s="561">
        <f>SUM(I125:J125)</f>
        <v>5356</v>
      </c>
      <c r="L125" s="70"/>
      <c r="M125" s="562">
        <f>+G125/K125</f>
        <v>0.81926811053024651</v>
      </c>
      <c r="O125" s="287">
        <f>SUM(G125,K125)</f>
        <v>9744</v>
      </c>
    </row>
    <row r="126" spans="2:18" ht="20.25" customHeight="1">
      <c r="B126" s="6" t="s">
        <v>647</v>
      </c>
      <c r="C126" s="6"/>
      <c r="D126" s="6"/>
      <c r="E126" s="6"/>
      <c r="F126" s="6"/>
      <c r="G126" s="6"/>
      <c r="H126" s="6"/>
      <c r="I126" s="6"/>
      <c r="J126" s="6"/>
      <c r="K126" s="6"/>
      <c r="L126" s="6"/>
      <c r="M126" s="6"/>
    </row>
    <row r="127" spans="2:18" ht="20.25" customHeight="1">
      <c r="B127" s="83" t="s">
        <v>224</v>
      </c>
      <c r="C127" s="75"/>
      <c r="D127" s="75"/>
      <c r="E127" s="75"/>
      <c r="F127" s="75"/>
      <c r="G127" s="75"/>
      <c r="H127" s="75"/>
      <c r="I127" s="75"/>
      <c r="J127" s="75"/>
      <c r="K127" s="75"/>
      <c r="L127" s="75"/>
      <c r="M127" s="75"/>
    </row>
    <row r="128" spans="2:18" ht="20.25" customHeight="1">
      <c r="B128" s="140"/>
      <c r="C128" s="140"/>
      <c r="D128" s="140"/>
      <c r="E128" s="140"/>
      <c r="F128" s="140"/>
      <c r="G128" s="140"/>
      <c r="H128" s="140"/>
      <c r="I128" s="140"/>
      <c r="J128" s="140"/>
      <c r="K128" s="140"/>
      <c r="L128" s="140"/>
      <c r="M128" s="140"/>
    </row>
    <row r="129" spans="2:13" ht="20.25" customHeight="1">
      <c r="G129" s="280">
        <v>2012</v>
      </c>
    </row>
    <row r="130" spans="2:13" ht="20.25" customHeight="1">
      <c r="B130" s="5320" t="s">
        <v>68</v>
      </c>
      <c r="C130" s="72"/>
      <c r="D130" s="548" t="s">
        <v>216</v>
      </c>
      <c r="E130" s="549"/>
      <c r="F130" s="550"/>
      <c r="G130" s="5322" t="s">
        <v>648</v>
      </c>
      <c r="H130" s="72"/>
      <c r="I130" s="548" t="s">
        <v>217</v>
      </c>
      <c r="J130" s="549"/>
      <c r="K130" s="5322" t="s">
        <v>649</v>
      </c>
      <c r="L130" s="72"/>
      <c r="M130" s="5323" t="s">
        <v>644</v>
      </c>
    </row>
    <row r="131" spans="2:13" ht="20.25" customHeight="1">
      <c r="B131" s="5308"/>
      <c r="C131" s="65"/>
      <c r="D131" s="551" t="s">
        <v>218</v>
      </c>
      <c r="E131" s="552"/>
      <c r="F131" s="553"/>
      <c r="G131" s="5311"/>
      <c r="H131" s="65"/>
      <c r="I131" s="5324" t="s">
        <v>219</v>
      </c>
      <c r="J131" s="5325" t="s">
        <v>220</v>
      </c>
      <c r="K131" s="5311"/>
      <c r="L131" s="65"/>
      <c r="M131" s="5311"/>
    </row>
    <row r="132" spans="2:13" ht="20.25" customHeight="1">
      <c r="B132" s="5309"/>
      <c r="C132" s="65"/>
      <c r="D132" s="66" t="s">
        <v>221</v>
      </c>
      <c r="E132" s="218" t="s">
        <v>222</v>
      </c>
      <c r="F132" s="554" t="s">
        <v>223</v>
      </c>
      <c r="G132" s="5327"/>
      <c r="H132" s="65"/>
      <c r="I132" s="5328"/>
      <c r="J132" s="5326"/>
      <c r="K132" s="5327"/>
      <c r="L132" s="65"/>
      <c r="M132" s="5327"/>
    </row>
    <row r="133" spans="2:13" ht="20.25" customHeight="1">
      <c r="B133" s="74"/>
      <c r="C133" s="74"/>
      <c r="D133" s="74"/>
      <c r="E133" s="74"/>
      <c r="F133" s="74"/>
      <c r="G133" s="74"/>
      <c r="H133" s="74"/>
      <c r="I133" s="74"/>
      <c r="J133" s="74"/>
      <c r="K133" s="74"/>
      <c r="L133" s="74"/>
      <c r="M133" s="74"/>
    </row>
    <row r="134" spans="2:13" ht="20.25" customHeight="1">
      <c r="B134" s="555" t="s">
        <v>70</v>
      </c>
      <c r="C134" s="76"/>
      <c r="D134" s="556">
        <v>984</v>
      </c>
      <c r="E134" s="556">
        <v>381</v>
      </c>
      <c r="F134" s="556">
        <v>115</v>
      </c>
      <c r="G134" s="557">
        <f>SUM(D134:F134)</f>
        <v>1480</v>
      </c>
      <c r="H134" s="69"/>
      <c r="I134" s="556">
        <v>1152</v>
      </c>
      <c r="J134" s="556">
        <v>182</v>
      </c>
      <c r="K134" s="557">
        <f>SUM(I134:J134)</f>
        <v>1334</v>
      </c>
      <c r="L134" s="69"/>
      <c r="M134" s="558">
        <f>+G134/K134</f>
        <v>1.1094452773613193</v>
      </c>
    </row>
    <row r="135" spans="2:13" ht="20.25" customHeight="1">
      <c r="B135" s="74"/>
      <c r="C135" s="71"/>
      <c r="D135" s="68"/>
      <c r="E135" s="68"/>
      <c r="F135" s="68"/>
      <c r="G135" s="68"/>
      <c r="H135" s="68"/>
      <c r="I135" s="68"/>
      <c r="J135" s="68"/>
      <c r="K135" s="68"/>
      <c r="L135" s="68"/>
      <c r="M135" s="67"/>
    </row>
    <row r="136" spans="2:13" ht="20.25" customHeight="1">
      <c r="B136" s="555" t="s">
        <v>72</v>
      </c>
      <c r="C136" s="76"/>
      <c r="D136" s="556">
        <v>184</v>
      </c>
      <c r="E136" s="556">
        <v>20</v>
      </c>
      <c r="F136" s="556">
        <v>10</v>
      </c>
      <c r="G136" s="557">
        <f>SUM(D136:F136)</f>
        <v>214</v>
      </c>
      <c r="H136" s="69"/>
      <c r="I136" s="556">
        <v>123</v>
      </c>
      <c r="J136" s="556">
        <v>95</v>
      </c>
      <c r="K136" s="557">
        <f>SUM(I136:J136)</f>
        <v>218</v>
      </c>
      <c r="L136" s="69"/>
      <c r="M136" s="558">
        <f>+G136/K136</f>
        <v>0.98165137614678899</v>
      </c>
    </row>
    <row r="137" spans="2:13" ht="20.25" customHeight="1">
      <c r="B137" s="74"/>
      <c r="C137" s="71"/>
      <c r="D137" s="68"/>
      <c r="E137" s="68"/>
      <c r="F137" s="68"/>
      <c r="G137" s="68"/>
      <c r="H137" s="68"/>
      <c r="I137" s="68"/>
      <c r="J137" s="68"/>
      <c r="K137" s="68"/>
      <c r="L137" s="68"/>
      <c r="M137" s="67"/>
    </row>
    <row r="138" spans="2:13" ht="20.25" customHeight="1">
      <c r="B138" s="555" t="s">
        <v>73</v>
      </c>
      <c r="C138" s="76"/>
      <c r="D138" s="556">
        <v>901</v>
      </c>
      <c r="E138" s="556">
        <v>189</v>
      </c>
      <c r="F138" s="556">
        <v>200</v>
      </c>
      <c r="G138" s="557">
        <f>SUM(D138:F138)</f>
        <v>1290</v>
      </c>
      <c r="H138" s="69"/>
      <c r="I138" s="556">
        <v>996</v>
      </c>
      <c r="J138" s="556">
        <v>203</v>
      </c>
      <c r="K138" s="557">
        <f>SUM(I138:J138)</f>
        <v>1199</v>
      </c>
      <c r="L138" s="69"/>
      <c r="M138" s="558">
        <f>+G138/K138</f>
        <v>1.0758965804837364</v>
      </c>
    </row>
    <row r="139" spans="2:13" ht="20.25" customHeight="1">
      <c r="B139" s="74"/>
      <c r="C139" s="71"/>
      <c r="D139" s="68"/>
      <c r="E139" s="68"/>
      <c r="F139" s="68"/>
      <c r="G139" s="68"/>
      <c r="H139" s="68"/>
      <c r="I139" s="68"/>
      <c r="J139" s="68"/>
      <c r="K139" s="68"/>
      <c r="L139" s="68"/>
      <c r="M139" s="67"/>
    </row>
    <row r="140" spans="2:13" ht="20.25" customHeight="1">
      <c r="B140" s="555" t="s">
        <v>82</v>
      </c>
      <c r="C140" s="76"/>
      <c r="D140" s="556">
        <v>46</v>
      </c>
      <c r="E140" s="556"/>
      <c r="F140" s="556"/>
      <c r="G140" s="557">
        <f>SUM(D140:F140)</f>
        <v>46</v>
      </c>
      <c r="H140" s="69"/>
      <c r="I140" s="556">
        <v>3</v>
      </c>
      <c r="J140" s="556">
        <v>47</v>
      </c>
      <c r="K140" s="557">
        <f>SUM(I140:J140)</f>
        <v>50</v>
      </c>
      <c r="L140" s="69"/>
      <c r="M140" s="558">
        <f>+G140/K140</f>
        <v>0.92</v>
      </c>
    </row>
    <row r="141" spans="2:13" ht="20.25" customHeight="1">
      <c r="B141" s="74"/>
      <c r="C141" s="71"/>
      <c r="D141" s="68"/>
      <c r="E141" s="68"/>
      <c r="F141" s="68"/>
      <c r="G141" s="68"/>
      <c r="H141" s="68"/>
      <c r="I141" s="68"/>
      <c r="J141" s="68"/>
      <c r="K141" s="68"/>
      <c r="L141" s="68"/>
      <c r="M141" s="67"/>
    </row>
    <row r="142" spans="2:13" ht="20.25" customHeight="1">
      <c r="B142" s="555" t="s">
        <v>74</v>
      </c>
      <c r="C142" s="76"/>
      <c r="D142" s="556">
        <v>959</v>
      </c>
      <c r="E142" s="556">
        <v>223</v>
      </c>
      <c r="F142" s="556">
        <v>196</v>
      </c>
      <c r="G142" s="557">
        <f>SUM(D142:F142)</f>
        <v>1378</v>
      </c>
      <c r="H142" s="69"/>
      <c r="I142" s="556">
        <v>1135</v>
      </c>
      <c r="J142" s="556">
        <v>228</v>
      </c>
      <c r="K142" s="557">
        <f>SUM(I142:J142)</f>
        <v>1363</v>
      </c>
      <c r="L142" s="69"/>
      <c r="M142" s="558">
        <f>+G142/K142</f>
        <v>1.0110051357300074</v>
      </c>
    </row>
    <row r="143" spans="2:13" ht="20.25" customHeight="1">
      <c r="B143" s="74"/>
      <c r="C143" s="71"/>
      <c r="D143" s="68"/>
      <c r="E143" s="68"/>
      <c r="F143" s="68"/>
      <c r="G143" s="68"/>
      <c r="H143" s="68"/>
      <c r="I143" s="68"/>
      <c r="J143" s="68"/>
      <c r="K143" s="68"/>
      <c r="L143" s="68"/>
      <c r="M143" s="67"/>
    </row>
    <row r="144" spans="2:13" ht="20.25" customHeight="1">
      <c r="B144" s="555" t="s">
        <v>192</v>
      </c>
      <c r="C144" s="76"/>
      <c r="D144" s="556">
        <v>4</v>
      </c>
      <c r="E144" s="556"/>
      <c r="F144" s="556"/>
      <c r="G144" s="557">
        <f>SUM(D144:F144)</f>
        <v>4</v>
      </c>
      <c r="H144" s="69"/>
      <c r="I144" s="556">
        <v>689</v>
      </c>
      <c r="J144" s="556">
        <v>530</v>
      </c>
      <c r="K144" s="557">
        <f>SUM(I144:J144)</f>
        <v>1219</v>
      </c>
      <c r="L144" s="69"/>
      <c r="M144" s="558">
        <f>+G144/K144</f>
        <v>3.2813781788351109E-3</v>
      </c>
    </row>
    <row r="145" spans="2:15" ht="20.25" customHeight="1">
      <c r="B145" s="74"/>
      <c r="C145" s="71"/>
      <c r="D145" s="68"/>
      <c r="E145" s="68"/>
      <c r="F145" s="68"/>
      <c r="G145" s="68"/>
      <c r="H145" s="68"/>
      <c r="I145" s="68"/>
      <c r="J145" s="68"/>
      <c r="K145" s="68"/>
      <c r="L145" s="68"/>
      <c r="M145" s="67"/>
    </row>
    <row r="146" spans="2:15" ht="20.25" customHeight="1">
      <c r="B146" s="559" t="s">
        <v>67</v>
      </c>
      <c r="C146" s="70"/>
      <c r="D146" s="560">
        <f>SUM(D134,D136,D138,D140,D142,D144)</f>
        <v>3078</v>
      </c>
      <c r="E146" s="560">
        <f>SUM(E134,E136,E138,E140,E142,E144)</f>
        <v>813</v>
      </c>
      <c r="F146" s="560">
        <f>SUM(F134,F136,F138,F140,F142,F144)</f>
        <v>521</v>
      </c>
      <c r="G146" s="561">
        <f>SUM(D146:F146)</f>
        <v>4412</v>
      </c>
      <c r="H146" s="70"/>
      <c r="I146" s="560">
        <f>SUM(I134,I136,I138,I140,I142,I144)</f>
        <v>4098</v>
      </c>
      <c r="J146" s="560">
        <f>SUM(J134,J136,J138,J140,J142,J144)</f>
        <v>1285</v>
      </c>
      <c r="K146" s="561">
        <f>SUM(I146:J146)</f>
        <v>5383</v>
      </c>
      <c r="L146" s="70"/>
      <c r="M146" s="562">
        <f>+G146/K146</f>
        <v>0.81961731376555824</v>
      </c>
      <c r="O146" s="189">
        <f>SUM(G146,K146)</f>
        <v>9795</v>
      </c>
    </row>
    <row r="147" spans="2:15" ht="20.25" customHeight="1">
      <c r="B147" s="6" t="s">
        <v>527</v>
      </c>
      <c r="C147" s="6"/>
      <c r="D147" s="6"/>
      <c r="E147" s="6"/>
      <c r="F147" s="6"/>
      <c r="G147" s="6"/>
      <c r="H147" s="6"/>
      <c r="I147" s="6"/>
      <c r="J147" s="6"/>
      <c r="K147" s="6"/>
      <c r="L147" s="6"/>
      <c r="M147" s="6"/>
    </row>
    <row r="148" spans="2:15" ht="20.25" customHeight="1">
      <c r="B148" s="83" t="s">
        <v>224</v>
      </c>
      <c r="C148" s="75"/>
      <c r="D148" s="75"/>
      <c r="E148" s="75"/>
      <c r="F148" s="75"/>
      <c r="G148" s="75"/>
      <c r="H148" s="75"/>
      <c r="I148" s="75"/>
      <c r="J148" s="75"/>
      <c r="K148" s="75"/>
      <c r="L148" s="75"/>
      <c r="M148" s="75"/>
    </row>
    <row r="149" spans="2:15" ht="20.25" customHeight="1"/>
    <row r="150" spans="2:15" ht="15.75">
      <c r="G150" s="280">
        <v>2011</v>
      </c>
    </row>
    <row r="151" spans="2:15" ht="17.25" customHeight="1">
      <c r="B151" s="5320" t="s">
        <v>68</v>
      </c>
      <c r="C151" s="72"/>
      <c r="D151" s="548" t="s">
        <v>216</v>
      </c>
      <c r="E151" s="549"/>
      <c r="F151" s="550"/>
      <c r="G151" s="5322" t="s">
        <v>645</v>
      </c>
      <c r="H151" s="72"/>
      <c r="I151" s="548" t="s">
        <v>217</v>
      </c>
      <c r="J151" s="549"/>
      <c r="K151" s="5322" t="s">
        <v>649</v>
      </c>
      <c r="L151" s="72"/>
      <c r="M151" s="5323" t="s">
        <v>644</v>
      </c>
    </row>
    <row r="152" spans="2:15" ht="17.25" customHeight="1">
      <c r="B152" s="5308"/>
      <c r="C152" s="65"/>
      <c r="D152" s="551" t="s">
        <v>218</v>
      </c>
      <c r="E152" s="552"/>
      <c r="F152" s="553"/>
      <c r="G152" s="5311"/>
      <c r="H152" s="65"/>
      <c r="I152" s="5324" t="s">
        <v>219</v>
      </c>
      <c r="J152" s="5325" t="s">
        <v>220</v>
      </c>
      <c r="K152" s="5311"/>
      <c r="L152" s="65"/>
      <c r="M152" s="5311"/>
      <c r="N152" s="125"/>
    </row>
    <row r="153" spans="2:15" ht="17.25" customHeight="1">
      <c r="B153" s="5309"/>
      <c r="C153" s="65"/>
      <c r="D153" s="66" t="s">
        <v>221</v>
      </c>
      <c r="E153" s="563" t="s">
        <v>222</v>
      </c>
      <c r="F153" s="554" t="s">
        <v>223</v>
      </c>
      <c r="G153" s="5341"/>
      <c r="H153" s="65"/>
      <c r="I153" s="5342"/>
      <c r="J153" s="5326"/>
      <c r="K153" s="5341"/>
      <c r="L153" s="65"/>
      <c r="M153" s="5341"/>
    </row>
    <row r="154" spans="2:15" ht="7.5" customHeight="1">
      <c r="B154" s="74"/>
      <c r="C154" s="74"/>
      <c r="D154" s="74"/>
      <c r="E154" s="74"/>
      <c r="F154" s="74"/>
      <c r="G154" s="74"/>
      <c r="H154" s="74"/>
      <c r="I154" s="74"/>
      <c r="J154" s="74"/>
      <c r="K154" s="74"/>
      <c r="L154" s="74"/>
      <c r="M154" s="74"/>
    </row>
    <row r="155" spans="2:15" ht="24.95" customHeight="1">
      <c r="B155" s="555" t="s">
        <v>70</v>
      </c>
      <c r="C155" s="76"/>
      <c r="D155" s="556">
        <v>942</v>
      </c>
      <c r="E155" s="556">
        <v>375</v>
      </c>
      <c r="F155" s="556">
        <v>153</v>
      </c>
      <c r="G155" s="557">
        <f>SUM(D155:F155)</f>
        <v>1470</v>
      </c>
      <c r="H155" s="69"/>
      <c r="I155" s="556">
        <v>1156</v>
      </c>
      <c r="J155" s="556">
        <v>184</v>
      </c>
      <c r="K155" s="557">
        <f>SUM(I155:J155)</f>
        <v>1340</v>
      </c>
      <c r="L155" s="69"/>
      <c r="M155" s="558">
        <f>+G155/K155</f>
        <v>1.0970149253731343</v>
      </c>
    </row>
    <row r="156" spans="2:15" ht="7.5" customHeight="1">
      <c r="B156" s="74"/>
      <c r="C156" s="71"/>
      <c r="D156" s="68"/>
      <c r="E156" s="68"/>
      <c r="F156" s="68"/>
      <c r="G156" s="68"/>
      <c r="H156" s="68"/>
      <c r="I156" s="68"/>
      <c r="J156" s="68"/>
      <c r="K156" s="68"/>
      <c r="L156" s="68"/>
      <c r="M156" s="67"/>
    </row>
    <row r="157" spans="2:15" ht="24.95" customHeight="1">
      <c r="B157" s="555" t="s">
        <v>72</v>
      </c>
      <c r="C157" s="76"/>
      <c r="D157" s="556">
        <v>177</v>
      </c>
      <c r="E157" s="556">
        <v>19</v>
      </c>
      <c r="F157" s="556">
        <v>9</v>
      </c>
      <c r="G157" s="557">
        <f>SUM(D157:F157)</f>
        <v>205</v>
      </c>
      <c r="H157" s="69"/>
      <c r="I157" s="556">
        <v>101</v>
      </c>
      <c r="J157" s="556">
        <v>87</v>
      </c>
      <c r="K157" s="557">
        <f>SUM(I157:J157)</f>
        <v>188</v>
      </c>
      <c r="L157" s="69"/>
      <c r="M157" s="558">
        <f>+G157/K157</f>
        <v>1.0904255319148937</v>
      </c>
    </row>
    <row r="158" spans="2:15" ht="7.5" customHeight="1">
      <c r="B158" s="74"/>
      <c r="C158" s="71"/>
      <c r="D158" s="68"/>
      <c r="E158" s="68"/>
      <c r="F158" s="68"/>
      <c r="G158" s="68"/>
      <c r="H158" s="68"/>
      <c r="I158" s="68"/>
      <c r="J158" s="68"/>
      <c r="K158" s="68"/>
      <c r="L158" s="68"/>
      <c r="M158" s="67"/>
    </row>
    <row r="159" spans="2:15" ht="24.95" customHeight="1">
      <c r="B159" s="555" t="s">
        <v>73</v>
      </c>
      <c r="C159" s="76"/>
      <c r="D159" s="556">
        <v>881</v>
      </c>
      <c r="E159" s="556">
        <v>184</v>
      </c>
      <c r="F159" s="556">
        <v>220</v>
      </c>
      <c r="G159" s="557">
        <f>SUM(D159:F159)</f>
        <v>1285</v>
      </c>
      <c r="H159" s="69"/>
      <c r="I159" s="556">
        <v>1000</v>
      </c>
      <c r="J159" s="556">
        <v>200</v>
      </c>
      <c r="K159" s="557">
        <f>SUM(I159:J159)</f>
        <v>1200</v>
      </c>
      <c r="L159" s="69"/>
      <c r="M159" s="558">
        <f>+G159/K159</f>
        <v>1.0708333333333333</v>
      </c>
    </row>
    <row r="160" spans="2:15" ht="7.5" customHeight="1">
      <c r="B160" s="74"/>
      <c r="C160" s="71"/>
      <c r="D160" s="68"/>
      <c r="E160" s="68"/>
      <c r="F160" s="68"/>
      <c r="G160" s="68"/>
      <c r="H160" s="68"/>
      <c r="I160" s="68"/>
      <c r="J160" s="68"/>
      <c r="K160" s="68"/>
      <c r="L160" s="68"/>
      <c r="M160" s="67"/>
    </row>
    <row r="161" spans="2:13" ht="24.95" customHeight="1">
      <c r="B161" s="555" t="s">
        <v>82</v>
      </c>
      <c r="C161" s="76"/>
      <c r="D161" s="556">
        <v>27</v>
      </c>
      <c r="E161" s="556">
        <v>0</v>
      </c>
      <c r="F161" s="556">
        <v>0</v>
      </c>
      <c r="G161" s="557">
        <f>SUM(D161:F161)</f>
        <v>27</v>
      </c>
      <c r="H161" s="69"/>
      <c r="I161" s="556">
        <v>0</v>
      </c>
      <c r="J161" s="556">
        <v>41</v>
      </c>
      <c r="K161" s="557">
        <f>SUM(I161:J161)</f>
        <v>41</v>
      </c>
      <c r="L161" s="69"/>
      <c r="M161" s="558">
        <f>+G161/K161</f>
        <v>0.65853658536585369</v>
      </c>
    </row>
    <row r="162" spans="2:13" ht="7.5" customHeight="1">
      <c r="B162" s="74"/>
      <c r="C162" s="71"/>
      <c r="D162" s="68"/>
      <c r="E162" s="68"/>
      <c r="F162" s="68"/>
      <c r="G162" s="68"/>
      <c r="H162" s="68"/>
      <c r="I162" s="68"/>
      <c r="J162" s="68"/>
      <c r="K162" s="68"/>
      <c r="L162" s="68"/>
      <c r="M162" s="67"/>
    </row>
    <row r="163" spans="2:13" ht="24.95" customHeight="1">
      <c r="B163" s="555" t="s">
        <v>74</v>
      </c>
      <c r="C163" s="76"/>
      <c r="D163" s="556">
        <v>910</v>
      </c>
      <c r="E163" s="556">
        <v>233</v>
      </c>
      <c r="F163" s="556">
        <v>246</v>
      </c>
      <c r="G163" s="557">
        <f>SUM(D163:F163)</f>
        <v>1389</v>
      </c>
      <c r="H163" s="69"/>
      <c r="I163" s="556">
        <v>1144</v>
      </c>
      <c r="J163" s="556">
        <v>224</v>
      </c>
      <c r="K163" s="557">
        <f>SUM(I163:J163)</f>
        <v>1368</v>
      </c>
      <c r="L163" s="69"/>
      <c r="M163" s="558">
        <f>+G163/K163</f>
        <v>1.0153508771929824</v>
      </c>
    </row>
    <row r="164" spans="2:13" ht="8.25" customHeight="1">
      <c r="B164" s="74"/>
      <c r="C164" s="71"/>
      <c r="D164" s="68"/>
      <c r="E164" s="68"/>
      <c r="F164" s="68"/>
      <c r="G164" s="68"/>
      <c r="H164" s="68"/>
      <c r="I164" s="68"/>
      <c r="J164" s="68"/>
      <c r="K164" s="68"/>
      <c r="L164" s="68"/>
      <c r="M164" s="67"/>
    </row>
    <row r="165" spans="2:13" ht="24.95" customHeight="1">
      <c r="B165" s="555" t="s">
        <v>192</v>
      </c>
      <c r="C165" s="76"/>
      <c r="D165" s="556">
        <f>0+5</f>
        <v>5</v>
      </c>
      <c r="E165" s="556">
        <v>0</v>
      </c>
      <c r="F165" s="556">
        <v>0</v>
      </c>
      <c r="G165" s="557">
        <f>SUM(D165:F165)</f>
        <v>5</v>
      </c>
      <c r="H165" s="69"/>
      <c r="I165" s="556">
        <v>683</v>
      </c>
      <c r="J165" s="556">
        <v>512</v>
      </c>
      <c r="K165" s="557">
        <f>SUM(I165:J165)</f>
        <v>1195</v>
      </c>
      <c r="L165" s="69"/>
      <c r="M165" s="558">
        <f>+G165/K165</f>
        <v>4.1841004184100415E-3</v>
      </c>
    </row>
    <row r="166" spans="2:13" ht="7.5" customHeight="1">
      <c r="B166" s="74"/>
      <c r="C166" s="71"/>
      <c r="D166" s="68"/>
      <c r="E166" s="68"/>
      <c r="F166" s="68"/>
      <c r="G166" s="68"/>
      <c r="H166" s="68"/>
      <c r="I166" s="68"/>
      <c r="J166" s="68"/>
      <c r="K166" s="68"/>
      <c r="L166" s="68"/>
      <c r="M166" s="67"/>
    </row>
    <row r="167" spans="2:13" ht="24.95" customHeight="1">
      <c r="B167" s="559" t="s">
        <v>67</v>
      </c>
      <c r="C167" s="70"/>
      <c r="D167" s="560">
        <f>SUM(D155,D157,D159,D161,D163,D165)</f>
        <v>2942</v>
      </c>
      <c r="E167" s="560">
        <f>SUM(E155,E157,E159,E161,E163,E165)</f>
        <v>811</v>
      </c>
      <c r="F167" s="560">
        <f>SUM(F155,F157,F159,F161,F163,F165)</f>
        <v>628</v>
      </c>
      <c r="G167" s="561">
        <f>SUM(D167:F167)</f>
        <v>4381</v>
      </c>
      <c r="H167" s="70"/>
      <c r="I167" s="560">
        <f>SUM(I155,I157,I159,I161,I163,I165)</f>
        <v>4084</v>
      </c>
      <c r="J167" s="560">
        <f>SUM(J155,J157,J159,J161,J163,J165)</f>
        <v>1248</v>
      </c>
      <c r="K167" s="561">
        <f>SUM(I167:J167)</f>
        <v>5332</v>
      </c>
      <c r="L167" s="70"/>
      <c r="M167" s="562">
        <f>+G167/K167</f>
        <v>0.82164291072768192</v>
      </c>
    </row>
    <row r="168" spans="2:13">
      <c r="B168" s="6" t="s">
        <v>361</v>
      </c>
      <c r="C168" s="6"/>
      <c r="D168" s="6"/>
      <c r="E168" s="6"/>
      <c r="F168" s="6"/>
      <c r="G168" s="6"/>
      <c r="H168" s="6"/>
      <c r="I168" s="6"/>
      <c r="J168" s="6"/>
      <c r="K168" s="6"/>
      <c r="L168" s="6"/>
      <c r="M168" s="6"/>
    </row>
    <row r="169" spans="2:13">
      <c r="B169" s="83" t="s">
        <v>224</v>
      </c>
      <c r="C169" s="75"/>
      <c r="D169" s="75"/>
      <c r="E169" s="75"/>
      <c r="F169" s="75"/>
      <c r="G169" s="75"/>
      <c r="H169" s="75"/>
      <c r="I169" s="75"/>
      <c r="J169" s="75"/>
      <c r="K169" s="75"/>
      <c r="L169" s="75"/>
      <c r="M169" s="75"/>
    </row>
    <row r="170" spans="2:13">
      <c r="B170" s="83"/>
      <c r="C170" s="75"/>
      <c r="D170" s="75"/>
      <c r="E170" s="75"/>
      <c r="F170" s="75"/>
      <c r="G170" s="75"/>
      <c r="H170" s="75"/>
      <c r="I170" s="75"/>
      <c r="J170" s="75"/>
      <c r="K170" s="75"/>
      <c r="L170" s="75"/>
      <c r="M170" s="75"/>
    </row>
    <row r="171" spans="2:13">
      <c r="B171" s="83"/>
      <c r="C171" s="75"/>
      <c r="D171" s="75"/>
      <c r="E171" s="75"/>
      <c r="F171" s="75"/>
      <c r="G171" s="75"/>
      <c r="H171" s="75"/>
      <c r="I171" s="75"/>
      <c r="J171" s="75"/>
      <c r="K171" s="75"/>
      <c r="L171" s="75"/>
      <c r="M171" s="75"/>
    </row>
    <row r="172" spans="2:13" ht="16.5" thickBot="1">
      <c r="G172" s="280">
        <v>2010</v>
      </c>
    </row>
    <row r="173" spans="2:13">
      <c r="B173" s="5329" t="s">
        <v>68</v>
      </c>
      <c r="C173" s="72"/>
      <c r="D173" s="281" t="s">
        <v>216</v>
      </c>
      <c r="E173" s="282"/>
      <c r="F173" s="283"/>
      <c r="G173" s="5332" t="s">
        <v>648</v>
      </c>
      <c r="H173" s="72"/>
      <c r="I173" s="281" t="s">
        <v>217</v>
      </c>
      <c r="J173" s="282"/>
      <c r="K173" s="5332" t="s">
        <v>649</v>
      </c>
      <c r="L173" s="72"/>
      <c r="M173" s="5335" t="s">
        <v>644</v>
      </c>
    </row>
    <row r="174" spans="2:13">
      <c r="B174" s="5330"/>
      <c r="C174" s="94"/>
      <c r="D174" s="95" t="s">
        <v>218</v>
      </c>
      <c r="E174" s="284"/>
      <c r="F174" s="564"/>
      <c r="G174" s="5333"/>
      <c r="H174" s="94"/>
      <c r="I174" s="5338" t="s">
        <v>219</v>
      </c>
      <c r="J174" s="5325" t="s">
        <v>220</v>
      </c>
      <c r="K174" s="5333"/>
      <c r="L174" s="94"/>
      <c r="M174" s="5336"/>
    </row>
    <row r="175" spans="2:13" ht="15.75" thickBot="1">
      <c r="B175" s="5331"/>
      <c r="C175" s="94"/>
      <c r="D175" s="96" t="s">
        <v>221</v>
      </c>
      <c r="E175" s="97" t="s">
        <v>222</v>
      </c>
      <c r="F175" s="98" t="s">
        <v>223</v>
      </c>
      <c r="G175" s="5334"/>
      <c r="H175" s="94"/>
      <c r="I175" s="5339"/>
      <c r="J175" s="5340"/>
      <c r="K175" s="5334"/>
      <c r="L175" s="94"/>
      <c r="M175" s="5337"/>
    </row>
    <row r="176" spans="2:13">
      <c r="B176" s="99"/>
      <c r="C176" s="99"/>
      <c r="D176" s="99"/>
      <c r="E176" s="99"/>
      <c r="F176" s="99"/>
      <c r="G176" s="99"/>
      <c r="H176" s="99"/>
      <c r="I176" s="99"/>
      <c r="J176" s="99"/>
      <c r="K176" s="99"/>
      <c r="L176" s="99"/>
      <c r="M176" s="99"/>
    </row>
    <row r="177" spans="2:13">
      <c r="B177" s="555" t="s">
        <v>70</v>
      </c>
      <c r="C177" s="69"/>
      <c r="D177" s="557">
        <f>785+130</f>
        <v>915</v>
      </c>
      <c r="E177" s="557">
        <v>378</v>
      </c>
      <c r="F177" s="557">
        <v>173</v>
      </c>
      <c r="G177" s="557">
        <f>SUM(D177:F177)</f>
        <v>1466</v>
      </c>
      <c r="H177" s="69"/>
      <c r="I177" s="557">
        <v>1123</v>
      </c>
      <c r="J177" s="557">
        <v>186</v>
      </c>
      <c r="K177" s="557">
        <f>SUM(I177:J177)</f>
        <v>1309</v>
      </c>
      <c r="L177" s="69"/>
      <c r="M177" s="558">
        <f>+G177/K177</f>
        <v>1.1199388846447671</v>
      </c>
    </row>
    <row r="178" spans="2:13">
      <c r="B178" s="99"/>
      <c r="C178" s="68"/>
      <c r="D178" s="68"/>
      <c r="E178" s="68"/>
      <c r="F178" s="68"/>
      <c r="G178" s="68"/>
      <c r="H178" s="68"/>
      <c r="I178" s="68"/>
      <c r="J178" s="68"/>
      <c r="K178" s="68"/>
      <c r="L178" s="68"/>
      <c r="M178" s="67"/>
    </row>
    <row r="179" spans="2:13">
      <c r="B179" s="555" t="s">
        <v>72</v>
      </c>
      <c r="C179" s="69"/>
      <c r="D179" s="557">
        <f>130+27</f>
        <v>157</v>
      </c>
      <c r="E179" s="557">
        <v>18</v>
      </c>
      <c r="F179" s="557">
        <v>5</v>
      </c>
      <c r="G179" s="557">
        <f>SUM(D179:F179)</f>
        <v>180</v>
      </c>
      <c r="H179" s="69"/>
      <c r="I179" s="557">
        <v>63</v>
      </c>
      <c r="J179" s="557">
        <v>83</v>
      </c>
      <c r="K179" s="557">
        <f>SUM(I179:J179)</f>
        <v>146</v>
      </c>
      <c r="L179" s="69"/>
      <c r="M179" s="558">
        <f>+G179/K179</f>
        <v>1.2328767123287672</v>
      </c>
    </row>
    <row r="180" spans="2:13">
      <c r="B180" s="99"/>
      <c r="C180" s="68"/>
      <c r="D180" s="68"/>
      <c r="E180" s="68"/>
      <c r="F180" s="68"/>
      <c r="G180" s="68"/>
      <c r="H180" s="68"/>
      <c r="I180" s="68"/>
      <c r="J180" s="68"/>
      <c r="K180" s="68"/>
      <c r="L180" s="68"/>
      <c r="M180" s="67"/>
    </row>
    <row r="181" spans="2:13">
      <c r="B181" s="555" t="s">
        <v>73</v>
      </c>
      <c r="C181" s="69"/>
      <c r="D181" s="557">
        <f>718+156</f>
        <v>874</v>
      </c>
      <c r="E181" s="557">
        <v>189</v>
      </c>
      <c r="F181" s="557">
        <v>238</v>
      </c>
      <c r="G181" s="557">
        <f>SUM(D181:F181)</f>
        <v>1301</v>
      </c>
      <c r="H181" s="69"/>
      <c r="I181" s="557">
        <v>984</v>
      </c>
      <c r="J181" s="557">
        <v>203</v>
      </c>
      <c r="K181" s="557">
        <f>SUM(I181:J181)</f>
        <v>1187</v>
      </c>
      <c r="L181" s="69"/>
      <c r="M181" s="558">
        <f>+G181/K181</f>
        <v>1.0960404380791913</v>
      </c>
    </row>
    <row r="182" spans="2:13">
      <c r="B182" s="99"/>
      <c r="C182" s="68"/>
      <c r="D182" s="68"/>
      <c r="E182" s="68"/>
      <c r="F182" s="68"/>
      <c r="G182" s="68"/>
      <c r="H182" s="68"/>
      <c r="I182" s="68"/>
      <c r="J182" s="68"/>
      <c r="K182" s="68"/>
      <c r="L182" s="68"/>
      <c r="M182" s="67"/>
    </row>
    <row r="183" spans="2:13">
      <c r="B183" s="555" t="s">
        <v>82</v>
      </c>
      <c r="C183" s="69"/>
      <c r="D183" s="557">
        <f>0+10</f>
        <v>10</v>
      </c>
      <c r="E183" s="557">
        <v>0</v>
      </c>
      <c r="F183" s="557">
        <v>0</v>
      </c>
      <c r="G183" s="557">
        <f>SUM(D183:F183)</f>
        <v>10</v>
      </c>
      <c r="H183" s="69"/>
      <c r="I183" s="557">
        <v>0</v>
      </c>
      <c r="J183" s="557">
        <v>32</v>
      </c>
      <c r="K183" s="557">
        <f>SUM(I183:J183)</f>
        <v>32</v>
      </c>
      <c r="L183" s="69"/>
      <c r="M183" s="558">
        <f>+G183/K183</f>
        <v>0.3125</v>
      </c>
    </row>
    <row r="184" spans="2:13">
      <c r="B184" s="99"/>
      <c r="C184" s="68"/>
      <c r="D184" s="68"/>
      <c r="E184" s="68"/>
      <c r="F184" s="68"/>
      <c r="G184" s="68"/>
      <c r="H184" s="68"/>
      <c r="I184" s="68"/>
      <c r="J184" s="68"/>
      <c r="K184" s="68"/>
      <c r="L184" s="68"/>
      <c r="M184" s="67"/>
    </row>
    <row r="185" spans="2:13">
      <c r="B185" s="555" t="s">
        <v>74</v>
      </c>
      <c r="C185" s="69"/>
      <c r="D185" s="557">
        <f>767+131</f>
        <v>898</v>
      </c>
      <c r="E185" s="557">
        <f>205+1</f>
        <v>206</v>
      </c>
      <c r="F185" s="557">
        <v>245</v>
      </c>
      <c r="G185" s="557">
        <f>SUM(D185:F185)</f>
        <v>1349</v>
      </c>
      <c r="H185" s="69"/>
      <c r="I185" s="557">
        <v>1127</v>
      </c>
      <c r="J185" s="557">
        <v>228</v>
      </c>
      <c r="K185" s="557">
        <f>SUM(I185:J185)</f>
        <v>1355</v>
      </c>
      <c r="L185" s="69"/>
      <c r="M185" s="558">
        <f>+G185/K185</f>
        <v>0.99557195571955714</v>
      </c>
    </row>
    <row r="186" spans="2:13">
      <c r="B186" s="99"/>
      <c r="C186" s="68"/>
      <c r="D186" s="68"/>
      <c r="E186" s="68"/>
      <c r="F186" s="68"/>
      <c r="G186" s="68"/>
      <c r="H186" s="68"/>
      <c r="I186" s="68"/>
      <c r="J186" s="68"/>
      <c r="K186" s="68"/>
      <c r="L186" s="68"/>
      <c r="M186" s="67"/>
    </row>
    <row r="187" spans="2:13">
      <c r="B187" s="555" t="s">
        <v>192</v>
      </c>
      <c r="C187" s="69"/>
      <c r="D187" s="557">
        <f>0+5</f>
        <v>5</v>
      </c>
      <c r="E187" s="557">
        <v>0</v>
      </c>
      <c r="F187" s="557">
        <v>0</v>
      </c>
      <c r="G187" s="557">
        <f>SUM(D187:F187)</f>
        <v>5</v>
      </c>
      <c r="H187" s="69"/>
      <c r="I187" s="557">
        <v>682</v>
      </c>
      <c r="J187" s="557">
        <v>494</v>
      </c>
      <c r="K187" s="557">
        <f>SUM(I187:J187)</f>
        <v>1176</v>
      </c>
      <c r="L187" s="69"/>
      <c r="M187" s="558">
        <f>+G187/K187</f>
        <v>4.2517006802721092E-3</v>
      </c>
    </row>
    <row r="188" spans="2:13" ht="15.75" thickBot="1">
      <c r="B188" s="99"/>
      <c r="C188" s="68"/>
      <c r="D188" s="68"/>
      <c r="E188" s="68"/>
      <c r="F188" s="68"/>
      <c r="G188" s="68"/>
      <c r="H188" s="68"/>
      <c r="I188" s="68"/>
      <c r="J188" s="68"/>
      <c r="K188" s="68"/>
      <c r="L188" s="68"/>
      <c r="M188" s="67"/>
    </row>
    <row r="189" spans="2:13" ht="15.75" thickBot="1">
      <c r="B189" s="100" t="s">
        <v>67</v>
      </c>
      <c r="C189" s="70"/>
      <c r="D189" s="101">
        <f>SUM(D177,D179,D181,D183,D185,D187)</f>
        <v>2859</v>
      </c>
      <c r="E189" s="102">
        <f>SUM(E177,E179,E181,E183,E185,E187)</f>
        <v>791</v>
      </c>
      <c r="F189" s="102">
        <f>SUM(F177,F179,F181,F183,F185,F187)</f>
        <v>661</v>
      </c>
      <c r="G189" s="103">
        <f>SUM(D189:F189)</f>
        <v>4311</v>
      </c>
      <c r="H189" s="70"/>
      <c r="I189" s="101">
        <f>SUM(I177,I179,I181,I183,I185,I187)</f>
        <v>3979</v>
      </c>
      <c r="J189" s="102">
        <f>SUM(J177,J179,J181,J183,J185,J187)</f>
        <v>1226</v>
      </c>
      <c r="K189" s="103">
        <f>SUM(I189:J189)</f>
        <v>5205</v>
      </c>
      <c r="L189" s="70"/>
      <c r="M189" s="279">
        <f>+G189/K189</f>
        <v>0.82824207492795388</v>
      </c>
    </row>
    <row r="190" spans="2:13">
      <c r="B190" s="99"/>
      <c r="C190" s="99"/>
      <c r="D190" s="99"/>
      <c r="E190" s="99"/>
      <c r="F190" s="99"/>
      <c r="G190" s="99"/>
      <c r="H190" s="99"/>
      <c r="I190" s="99"/>
      <c r="J190" s="99"/>
      <c r="K190" s="99"/>
      <c r="L190" s="99"/>
      <c r="M190" s="99"/>
    </row>
    <row r="191" spans="2:13">
      <c r="B191" s="75" t="s">
        <v>443</v>
      </c>
      <c r="C191" s="99"/>
      <c r="D191" s="99"/>
      <c r="E191" s="99"/>
      <c r="F191" s="99"/>
      <c r="G191" s="99"/>
      <c r="H191" s="99"/>
      <c r="I191" s="99"/>
      <c r="J191" s="99"/>
      <c r="K191" s="99"/>
      <c r="L191" s="99"/>
      <c r="M191" s="99"/>
    </row>
    <row r="192" spans="2:13">
      <c r="B192" s="75" t="s">
        <v>224</v>
      </c>
      <c r="C192" s="99"/>
      <c r="D192" s="99"/>
      <c r="E192" s="99"/>
      <c r="F192" s="99"/>
      <c r="G192" s="99"/>
      <c r="H192" s="99"/>
      <c r="I192" s="99"/>
      <c r="J192" s="99"/>
      <c r="K192" s="99"/>
      <c r="L192" s="99"/>
      <c r="M192" s="99"/>
    </row>
  </sheetData>
  <mergeCells count="59">
    <mergeCell ref="K48:K50"/>
    <mergeCell ref="M48:M50"/>
    <mergeCell ref="I49:I50"/>
    <mergeCell ref="J49:J50"/>
    <mergeCell ref="B173:B175"/>
    <mergeCell ref="G173:G175"/>
    <mergeCell ref="K173:K175"/>
    <mergeCell ref="M173:M175"/>
    <mergeCell ref="I174:I175"/>
    <mergeCell ref="J174:J175"/>
    <mergeCell ref="B151:B153"/>
    <mergeCell ref="G151:G153"/>
    <mergeCell ref="K151:K153"/>
    <mergeCell ref="M151:M153"/>
    <mergeCell ref="I152:I153"/>
    <mergeCell ref="J152:J153"/>
    <mergeCell ref="B130:B132"/>
    <mergeCell ref="G130:G132"/>
    <mergeCell ref="K130:K132"/>
    <mergeCell ref="M130:M132"/>
    <mergeCell ref="I131:I132"/>
    <mergeCell ref="J131:J132"/>
    <mergeCell ref="B109:B111"/>
    <mergeCell ref="G109:G111"/>
    <mergeCell ref="K109:K111"/>
    <mergeCell ref="M109:M111"/>
    <mergeCell ref="I110:I111"/>
    <mergeCell ref="J110:J111"/>
    <mergeCell ref="B2:M2"/>
    <mergeCell ref="B3:M3"/>
    <mergeCell ref="B89:B91"/>
    <mergeCell ref="G89:G91"/>
    <mergeCell ref="K89:K91"/>
    <mergeCell ref="M89:M91"/>
    <mergeCell ref="I90:I91"/>
    <mergeCell ref="J90:J91"/>
    <mergeCell ref="B69:B71"/>
    <mergeCell ref="G69:G71"/>
    <mergeCell ref="K69:K71"/>
    <mergeCell ref="M69:M71"/>
    <mergeCell ref="I70:I71"/>
    <mergeCell ref="J70:J71"/>
    <mergeCell ref="B48:B50"/>
    <mergeCell ref="G48:G50"/>
    <mergeCell ref="B27:B29"/>
    <mergeCell ref="G27:G29"/>
    <mergeCell ref="K27:K29"/>
    <mergeCell ref="M27:M29"/>
    <mergeCell ref="I28:I29"/>
    <mergeCell ref="J28:J29"/>
    <mergeCell ref="B7:B8"/>
    <mergeCell ref="M6:M8"/>
    <mergeCell ref="I7:I8"/>
    <mergeCell ref="J7:J8"/>
    <mergeCell ref="K7:K8"/>
    <mergeCell ref="G7:G8"/>
    <mergeCell ref="I6:K6"/>
    <mergeCell ref="D6:G6"/>
    <mergeCell ref="D7:F7"/>
  </mergeCells>
  <printOptions horizontalCentered="1" verticalCentered="1"/>
  <pageMargins left="0.19685039370078741" right="0.19685039370078741" top="0.19685039370078741" bottom="0.19685039370078741" header="0.31496062992125984" footer="0.31496062992125984"/>
  <pageSetup scale="85" orientation="landscape" r:id="rId1"/>
  <drawing r:id="rId2"/>
</worksheet>
</file>

<file path=xl/worksheets/sheet47.xml><?xml version="1.0" encoding="utf-8"?>
<worksheet xmlns="http://schemas.openxmlformats.org/spreadsheetml/2006/main" xmlns:r="http://schemas.openxmlformats.org/officeDocument/2006/relationships">
  <sheetPr>
    <tabColor theme="7" tint="-0.499984740745262"/>
  </sheetPr>
  <dimension ref="B2:AN57"/>
  <sheetViews>
    <sheetView showGridLines="0" workbookViewId="0"/>
  </sheetViews>
  <sheetFormatPr baseColWidth="10" defaultRowHeight="15"/>
  <cols>
    <col min="1" max="1" width="3.7109375" customWidth="1"/>
    <col min="2" max="2" width="15.5703125" bestFit="1" customWidth="1"/>
    <col min="3" max="3" width="1.7109375" customWidth="1"/>
    <col min="4" max="4" width="15.7109375" customWidth="1"/>
    <col min="5" max="5" width="19.7109375" customWidth="1"/>
    <col min="6" max="6" width="12.7109375" customWidth="1"/>
    <col min="7" max="7" width="1.7109375" customWidth="1"/>
    <col min="8" max="8" width="15.7109375" customWidth="1"/>
    <col min="9" max="9" width="19.28515625" customWidth="1"/>
    <col min="10" max="10" width="15.7109375" customWidth="1"/>
    <col min="11" max="11" width="1.7109375" customWidth="1"/>
    <col min="12" max="12" width="13.85546875" customWidth="1"/>
    <col min="13" max="13" width="21.5703125" customWidth="1"/>
    <col min="14" max="14" width="12.7109375" customWidth="1"/>
    <col min="15" max="15" width="1.7109375" customWidth="1"/>
    <col min="16" max="16" width="15.7109375" customWidth="1"/>
    <col min="17" max="17" width="21.7109375" customWidth="1"/>
    <col min="18" max="18" width="8.7109375" customWidth="1"/>
    <col min="19" max="19" width="1.7109375" customWidth="1"/>
    <col min="20" max="20" width="15.7109375" customWidth="1"/>
    <col min="21" max="21" width="22.5703125" bestFit="1" customWidth="1"/>
    <col min="22" max="22" width="9.7109375" customWidth="1"/>
    <col min="23" max="23" width="1.7109375" customWidth="1"/>
    <col min="24" max="24" width="18.140625" customWidth="1"/>
    <col min="25" max="25" width="23.7109375" customWidth="1"/>
    <col min="26" max="26" width="8.7109375" customWidth="1"/>
    <col min="27" max="27" width="1.7109375" customWidth="1"/>
    <col min="28" max="28" width="14.140625" customWidth="1"/>
    <col min="29" max="29" width="23.28515625" customWidth="1"/>
    <col min="31" max="31" width="1.7109375" customWidth="1"/>
    <col min="32" max="32" width="14" customWidth="1"/>
    <col min="33" max="33" width="24.42578125" customWidth="1"/>
    <col min="35" max="35" width="1.7109375" customWidth="1"/>
    <col min="36" max="36" width="14" customWidth="1"/>
    <col min="37" max="37" width="24.28515625" customWidth="1"/>
    <col min="38" max="38" width="13.140625" style="3" customWidth="1"/>
  </cols>
  <sheetData>
    <row r="2" spans="2:40" ht="15.75" customHeight="1">
      <c r="B2" s="142" t="s">
        <v>485</v>
      </c>
      <c r="C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2:40">
      <c r="AH3" s="125"/>
      <c r="AJ3" s="20"/>
      <c r="AK3" s="20"/>
      <c r="AL3" s="20"/>
    </row>
    <row r="4" spans="2:40" ht="15.75">
      <c r="D4" s="3359"/>
      <c r="E4" s="3533">
        <v>2018</v>
      </c>
      <c r="F4" s="3359"/>
      <c r="H4" s="219">
        <v>2017</v>
      </c>
      <c r="L4" s="219">
        <v>2016</v>
      </c>
      <c r="P4" s="219">
        <v>2015</v>
      </c>
      <c r="T4" s="219">
        <v>2014</v>
      </c>
      <c r="V4" s="86" t="s">
        <v>97</v>
      </c>
      <c r="X4" s="219">
        <v>2013</v>
      </c>
      <c r="Z4" s="86" t="s">
        <v>97</v>
      </c>
      <c r="AB4" s="219">
        <v>2012</v>
      </c>
      <c r="AD4" s="86" t="s">
        <v>97</v>
      </c>
      <c r="AF4" s="219">
        <v>2011</v>
      </c>
      <c r="AH4" s="86" t="s">
        <v>97</v>
      </c>
      <c r="AJ4" s="219">
        <v>2010</v>
      </c>
      <c r="AL4" s="86" t="s">
        <v>97</v>
      </c>
    </row>
    <row r="5" spans="2:40" ht="77.25" thickBot="1">
      <c r="B5" s="3532" t="s">
        <v>2763</v>
      </c>
      <c r="D5" s="3532" t="s">
        <v>167</v>
      </c>
      <c r="E5" s="88" t="s">
        <v>2747</v>
      </c>
      <c r="F5" s="3532" t="s">
        <v>76</v>
      </c>
      <c r="H5" s="3372" t="s">
        <v>167</v>
      </c>
      <c r="I5" s="3373" t="s">
        <v>2747</v>
      </c>
      <c r="J5" s="3372" t="s">
        <v>76</v>
      </c>
      <c r="L5" s="3372" t="s">
        <v>167</v>
      </c>
      <c r="M5" s="3373" t="s">
        <v>2025</v>
      </c>
      <c r="N5" s="3372" t="s">
        <v>76</v>
      </c>
      <c r="P5" s="294" t="s">
        <v>167</v>
      </c>
      <c r="Q5" s="565" t="s">
        <v>872</v>
      </c>
      <c r="R5" s="294" t="s">
        <v>76</v>
      </c>
      <c r="T5" s="294" t="s">
        <v>167</v>
      </c>
      <c r="U5" s="565" t="s">
        <v>872</v>
      </c>
      <c r="V5" s="294" t="s">
        <v>76</v>
      </c>
      <c r="X5" s="294" t="s">
        <v>167</v>
      </c>
      <c r="Y5" s="565" t="s">
        <v>731</v>
      </c>
      <c r="Z5" s="294" t="s">
        <v>76</v>
      </c>
      <c r="AB5" s="294" t="s">
        <v>167</v>
      </c>
      <c r="AC5" s="565" t="s">
        <v>529</v>
      </c>
      <c r="AD5" s="294" t="s">
        <v>76</v>
      </c>
      <c r="AF5" s="294" t="s">
        <v>167</v>
      </c>
      <c r="AG5" s="565" t="s">
        <v>470</v>
      </c>
      <c r="AH5" s="294" t="s">
        <v>76</v>
      </c>
      <c r="AJ5" s="294" t="s">
        <v>167</v>
      </c>
      <c r="AK5" s="565" t="s">
        <v>166</v>
      </c>
      <c r="AL5" s="294" t="s">
        <v>76</v>
      </c>
    </row>
    <row r="6" spans="2:40">
      <c r="B6" s="191"/>
      <c r="J6" s="3"/>
      <c r="N6" s="3"/>
      <c r="R6" s="3"/>
      <c r="V6" s="3"/>
      <c r="Z6" s="3"/>
      <c r="AD6" s="3"/>
      <c r="AH6" s="3"/>
    </row>
    <row r="7" spans="2:40">
      <c r="B7" s="4193" t="s">
        <v>4</v>
      </c>
      <c r="D7" s="4184">
        <v>8463372</v>
      </c>
      <c r="E7" s="4185">
        <v>33802020</v>
      </c>
      <c r="F7" s="4181">
        <f>D7/E7</f>
        <v>0.25038065772400586</v>
      </c>
      <c r="H7" s="3364">
        <v>7403263</v>
      </c>
      <c r="I7" s="3364">
        <v>32452357</v>
      </c>
      <c r="J7" s="3374">
        <f t="shared" ref="J7:J12" si="0">H7/I7</f>
        <v>0.22812712802339749</v>
      </c>
      <c r="L7" s="3364">
        <v>11225115</v>
      </c>
      <c r="M7" s="3364">
        <v>38662409</v>
      </c>
      <c r="N7" s="3374">
        <f t="shared" ref="N7:N44" si="1">L7/M7</f>
        <v>0.29033666784705525</v>
      </c>
      <c r="P7" s="2023">
        <v>11806286</v>
      </c>
      <c r="Q7" s="2023">
        <v>35715205.930000007</v>
      </c>
      <c r="R7" s="2024">
        <f t="shared" ref="R7:R12" si="2">P7/Q7</f>
        <v>0.33056749058481483</v>
      </c>
      <c r="T7" s="246">
        <v>9273454.1799999997</v>
      </c>
      <c r="U7" s="246">
        <v>37607483.199999996</v>
      </c>
      <c r="V7" s="566">
        <f t="shared" ref="V7:V12" si="3">T7/U7</f>
        <v>0.24658534395090817</v>
      </c>
      <c r="X7" s="246">
        <v>10924304.41</v>
      </c>
      <c r="Y7" s="246">
        <v>36111059.99000001</v>
      </c>
      <c r="Z7" s="566">
        <f t="shared" ref="Z7:Z12" si="4">X7/Y7</f>
        <v>0.3025196273115548</v>
      </c>
      <c r="AB7" s="246">
        <v>10148.535</v>
      </c>
      <c r="AC7" s="246">
        <v>35928.148999999998</v>
      </c>
      <c r="AD7" s="566">
        <f t="shared" ref="AD7:AD12" si="5">AB7/AC7</f>
        <v>0.28246751593019725</v>
      </c>
      <c r="AF7" s="246">
        <v>14913.53908</v>
      </c>
      <c r="AG7" s="246">
        <v>45371.399960000002</v>
      </c>
      <c r="AH7" s="566">
        <f t="shared" ref="AH7:AH44" si="6">AF7/AG7</f>
        <v>0.32869911647310784</v>
      </c>
      <c r="AJ7" s="567">
        <v>14152.976000000001</v>
      </c>
      <c r="AK7" s="567">
        <v>42459.078999999998</v>
      </c>
      <c r="AL7" s="568">
        <f>AJ7/AK7</f>
        <v>0.33333214787819587</v>
      </c>
      <c r="AN7" s="8"/>
    </row>
    <row r="8" spans="2:40">
      <c r="B8" s="4070" t="s">
        <v>16</v>
      </c>
      <c r="D8" s="4186">
        <v>1260760</v>
      </c>
      <c r="E8" s="4187">
        <v>19917073</v>
      </c>
      <c r="F8" s="4181">
        <f t="shared" ref="F8:F44" si="7">D8/E8</f>
        <v>6.330046588672944E-2</v>
      </c>
      <c r="H8" s="3364">
        <v>750179</v>
      </c>
      <c r="I8" s="3364">
        <v>20794595</v>
      </c>
      <c r="J8" s="3374">
        <f t="shared" si="0"/>
        <v>3.6075672548563704E-2</v>
      </c>
      <c r="L8" s="3364">
        <v>1463053</v>
      </c>
      <c r="M8" s="3364">
        <v>23187494</v>
      </c>
      <c r="N8" s="3374">
        <f t="shared" si="1"/>
        <v>6.3096641663821021E-2</v>
      </c>
      <c r="P8" s="2023">
        <v>1513276</v>
      </c>
      <c r="Q8" s="2023">
        <v>23696879.060000002</v>
      </c>
      <c r="R8" s="2024">
        <f t="shared" si="2"/>
        <v>6.3859717398583024E-2</v>
      </c>
      <c r="T8" s="246">
        <v>1784131.55</v>
      </c>
      <c r="U8" s="246">
        <v>25487518.180000003</v>
      </c>
      <c r="V8" s="566">
        <f t="shared" si="3"/>
        <v>7.0000207058214248E-2</v>
      </c>
      <c r="X8" s="246">
        <v>1717018.5</v>
      </c>
      <c r="Y8" s="246">
        <v>24015302</v>
      </c>
      <c r="Z8" s="566">
        <f t="shared" si="4"/>
        <v>7.1496852298588626E-2</v>
      </c>
      <c r="AB8" s="246">
        <v>2363.6819999999998</v>
      </c>
      <c r="AC8" s="246">
        <v>26088.303</v>
      </c>
      <c r="AD8" s="566">
        <f t="shared" si="5"/>
        <v>9.0603133519263399E-2</v>
      </c>
      <c r="AF8" s="246">
        <v>5938.9283599999999</v>
      </c>
      <c r="AG8" s="246">
        <v>37181.375359999998</v>
      </c>
      <c r="AH8" s="566">
        <f t="shared" si="6"/>
        <v>0.15972858191763242</v>
      </c>
      <c r="AJ8" s="567">
        <v>3677.0079999999998</v>
      </c>
      <c r="AK8" s="567">
        <v>28403.235000000001</v>
      </c>
      <c r="AL8" s="568">
        <f t="shared" ref="AL8:AL44" si="8">AJ8/AK8</f>
        <v>0.12945736638801883</v>
      </c>
      <c r="AN8" s="8"/>
    </row>
    <row r="9" spans="2:40">
      <c r="B9" s="4070" t="s">
        <v>21</v>
      </c>
      <c r="D9" s="4186">
        <v>2315900</v>
      </c>
      <c r="E9" s="4187">
        <v>15600288</v>
      </c>
      <c r="F9" s="4181">
        <f t="shared" si="7"/>
        <v>0.14845238754566584</v>
      </c>
      <c r="H9" s="3364">
        <v>1887438</v>
      </c>
      <c r="I9" s="3364">
        <v>14137835</v>
      </c>
      <c r="J9" s="3374">
        <f t="shared" si="0"/>
        <v>0.13350261903608296</v>
      </c>
      <c r="L9" s="3364">
        <v>2897637</v>
      </c>
      <c r="M9" s="3364">
        <v>16297355.749999998</v>
      </c>
      <c r="N9" s="3374">
        <f t="shared" si="1"/>
        <v>0.17779798419139253</v>
      </c>
      <c r="P9" s="2023">
        <v>2987584</v>
      </c>
      <c r="Q9" s="2023">
        <v>18678800.340000004</v>
      </c>
      <c r="R9" s="2024">
        <f t="shared" si="2"/>
        <v>0.15994517557972887</v>
      </c>
      <c r="T9" s="246">
        <v>2670191.16</v>
      </c>
      <c r="U9" s="246">
        <v>19022996.799999997</v>
      </c>
      <c r="V9" s="566">
        <f t="shared" si="3"/>
        <v>0.14036648316105488</v>
      </c>
      <c r="X9" s="246">
        <v>4530047.09</v>
      </c>
      <c r="Y9" s="246">
        <v>20500302</v>
      </c>
      <c r="Z9" s="566">
        <f t="shared" si="4"/>
        <v>0.22097465149537796</v>
      </c>
      <c r="AB9" s="246">
        <v>4749.3509999999997</v>
      </c>
      <c r="AC9" s="246">
        <v>22281.187000000002</v>
      </c>
      <c r="AD9" s="566">
        <f t="shared" si="5"/>
        <v>0.21315520577965613</v>
      </c>
      <c r="AF9" s="246">
        <v>6137.9798499999997</v>
      </c>
      <c r="AG9" s="246">
        <v>31158.618259999999</v>
      </c>
      <c r="AH9" s="566">
        <f t="shared" si="6"/>
        <v>0.19699140054229092</v>
      </c>
      <c r="AJ9" s="567">
        <v>6246.49</v>
      </c>
      <c r="AK9" s="567">
        <v>24270.187999999998</v>
      </c>
      <c r="AL9" s="568">
        <f t="shared" si="8"/>
        <v>0.2573729548366086</v>
      </c>
      <c r="AN9" s="8"/>
    </row>
    <row r="10" spans="2:40">
      <c r="B10" s="4070" t="s">
        <v>85</v>
      </c>
      <c r="D10" s="4186">
        <v>6959522</v>
      </c>
      <c r="E10" s="4187">
        <v>96482393</v>
      </c>
      <c r="F10" s="4181">
        <f t="shared" si="7"/>
        <v>7.2132559979104172E-2</v>
      </c>
      <c r="H10" s="3364">
        <v>3950952</v>
      </c>
      <c r="I10" s="3364">
        <v>96078043</v>
      </c>
      <c r="J10" s="3374">
        <f t="shared" si="0"/>
        <v>4.1122319695874737E-2</v>
      </c>
      <c r="L10" s="3364">
        <v>5682242</v>
      </c>
      <c r="M10" s="3364">
        <v>85962666.520000026</v>
      </c>
      <c r="N10" s="3374">
        <f t="shared" si="1"/>
        <v>6.6101276635921621E-2</v>
      </c>
      <c r="P10" s="2023">
        <v>4200061</v>
      </c>
      <c r="Q10" s="2023">
        <v>128673263.84999999</v>
      </c>
      <c r="R10" s="2024">
        <f t="shared" si="2"/>
        <v>3.2641287508617126E-2</v>
      </c>
      <c r="T10" s="246">
        <v>3555410.9799999995</v>
      </c>
      <c r="U10" s="246">
        <v>90021246.810000017</v>
      </c>
      <c r="V10" s="566">
        <f t="shared" si="3"/>
        <v>3.94952425787225E-2</v>
      </c>
      <c r="X10" s="246">
        <v>5975805.6400000006</v>
      </c>
      <c r="Y10" s="246">
        <v>100390131</v>
      </c>
      <c r="Z10" s="566">
        <f t="shared" si="4"/>
        <v>5.9525827693162392E-2</v>
      </c>
      <c r="AB10" s="246">
        <v>4626.0230000000001</v>
      </c>
      <c r="AC10" s="246">
        <v>83313.448000000004</v>
      </c>
      <c r="AD10" s="566">
        <f t="shared" si="5"/>
        <v>5.5525525723050133E-2</v>
      </c>
      <c r="AF10" s="246">
        <v>14034.823259999999</v>
      </c>
      <c r="AG10" s="246">
        <v>126742.96192</v>
      </c>
      <c r="AH10" s="566">
        <f t="shared" si="6"/>
        <v>0.11073453742432469</v>
      </c>
      <c r="AJ10" s="567">
        <v>17614.782999999999</v>
      </c>
      <c r="AK10" s="567">
        <v>140759.179</v>
      </c>
      <c r="AL10" s="568">
        <f t="shared" si="8"/>
        <v>0.12514127409055148</v>
      </c>
      <c r="AN10" s="8"/>
    </row>
    <row r="11" spans="2:40">
      <c r="B11" s="4070" t="s">
        <v>86</v>
      </c>
      <c r="D11" s="4186">
        <v>739779</v>
      </c>
      <c r="E11" s="4187">
        <v>8803828</v>
      </c>
      <c r="F11" s="4181">
        <f t="shared" si="7"/>
        <v>8.4029242733956178E-2</v>
      </c>
      <c r="H11" s="3364">
        <v>347199</v>
      </c>
      <c r="I11" s="3364">
        <v>8142229</v>
      </c>
      <c r="J11" s="3374">
        <f t="shared" si="0"/>
        <v>4.2641763084776907E-2</v>
      </c>
      <c r="L11" s="3364">
        <v>650623</v>
      </c>
      <c r="M11" s="3364">
        <v>10383302.360000005</v>
      </c>
      <c r="N11" s="3374">
        <f t="shared" si="1"/>
        <v>6.2660507942677274E-2</v>
      </c>
      <c r="P11" s="2023">
        <v>2365874</v>
      </c>
      <c r="Q11" s="2023">
        <v>16039235.569999998</v>
      </c>
      <c r="R11" s="2024">
        <f t="shared" si="2"/>
        <v>0.14750540882541574</v>
      </c>
      <c r="T11" s="246">
        <v>477517.96</v>
      </c>
      <c r="U11" s="246">
        <v>9978778.1999999974</v>
      </c>
      <c r="V11" s="566">
        <f t="shared" si="3"/>
        <v>4.7853349421074429E-2</v>
      </c>
      <c r="X11" s="246">
        <v>647546.6</v>
      </c>
      <c r="Y11" s="246">
        <v>13516515</v>
      </c>
      <c r="Z11" s="566">
        <f t="shared" si="4"/>
        <v>4.790780759685466E-2</v>
      </c>
      <c r="AB11" s="246">
        <v>830.52</v>
      </c>
      <c r="AC11" s="246">
        <v>13079.763999999999</v>
      </c>
      <c r="AD11" s="566">
        <f t="shared" si="5"/>
        <v>6.3496558500596809E-2</v>
      </c>
      <c r="AF11" s="246">
        <v>2689.7519900000002</v>
      </c>
      <c r="AG11" s="246">
        <v>22491.557959999998</v>
      </c>
      <c r="AH11" s="566">
        <f t="shared" si="6"/>
        <v>0.11958940304551496</v>
      </c>
      <c r="AJ11" s="567">
        <v>838.78300000000002</v>
      </c>
      <c r="AK11" s="567">
        <v>26597.09</v>
      </c>
      <c r="AL11" s="568">
        <f t="shared" si="8"/>
        <v>3.1536645550321485E-2</v>
      </c>
      <c r="AN11" s="8"/>
    </row>
    <row r="12" spans="2:40">
      <c r="B12" s="4194" t="s">
        <v>3</v>
      </c>
      <c r="D12" s="4188">
        <v>19739333</v>
      </c>
      <c r="E12" s="4189">
        <v>174605602</v>
      </c>
      <c r="F12" s="4182">
        <f t="shared" si="7"/>
        <v>0.11305097186973417</v>
      </c>
      <c r="H12" s="3367">
        <f>SUM(H7:H11)</f>
        <v>14339031</v>
      </c>
      <c r="I12" s="3367">
        <f>SUM(I7:I11)</f>
        <v>171605059</v>
      </c>
      <c r="J12" s="3375">
        <f t="shared" si="0"/>
        <v>8.3558323300946508E-2</v>
      </c>
      <c r="L12" s="3367">
        <f>SUM(L7:L11)</f>
        <v>21918670</v>
      </c>
      <c r="M12" s="3367">
        <f>SUM(M7:M11)</f>
        <v>174493227.63000005</v>
      </c>
      <c r="N12" s="3375">
        <f t="shared" si="1"/>
        <v>0.12561329913890362</v>
      </c>
      <c r="P12" s="2025">
        <f>SUM(P7:P11)</f>
        <v>22873081</v>
      </c>
      <c r="Q12" s="2025">
        <f>SUM(Q7:Q11)</f>
        <v>222803384.75</v>
      </c>
      <c r="R12" s="2026">
        <f t="shared" si="2"/>
        <v>0.10266038384320371</v>
      </c>
      <c r="T12" s="247">
        <f>SUM(T7:T11)</f>
        <v>17760705.830000002</v>
      </c>
      <c r="U12" s="247">
        <f>SUM(U7:U11)</f>
        <v>182118023.19</v>
      </c>
      <c r="V12" s="325">
        <f t="shared" si="3"/>
        <v>9.7523054110194365E-2</v>
      </c>
      <c r="X12" s="249">
        <f>SUM(X7:X11)</f>
        <v>23794722.240000002</v>
      </c>
      <c r="Y12" s="249">
        <f>SUM(Y7:Y11)</f>
        <v>194533309.99000001</v>
      </c>
      <c r="Z12" s="325">
        <f t="shared" si="4"/>
        <v>0.12231695559605278</v>
      </c>
      <c r="AB12" s="247">
        <f>SUM(AB7:AB11)</f>
        <v>22718.111000000001</v>
      </c>
      <c r="AC12" s="247">
        <f>SUM(AC7:AC11)</f>
        <v>180690.851</v>
      </c>
      <c r="AD12" s="325">
        <f t="shared" si="5"/>
        <v>0.125729171533981</v>
      </c>
      <c r="AF12" s="247">
        <f>SUM(AF7:AF11)</f>
        <v>43715.022539999998</v>
      </c>
      <c r="AG12" s="247">
        <f>SUM(AG7:AG11)</f>
        <v>262945.91346000001</v>
      </c>
      <c r="AH12" s="325">
        <f t="shared" si="6"/>
        <v>0.16625100563371195</v>
      </c>
      <c r="AJ12" s="247">
        <f>SUM(AJ7:AJ11)</f>
        <v>42530.04</v>
      </c>
      <c r="AK12" s="247">
        <f>SUM(AK7:AK11)</f>
        <v>262488.77100000001</v>
      </c>
      <c r="AL12" s="569">
        <f t="shared" si="8"/>
        <v>0.16202613101495303</v>
      </c>
      <c r="AN12" s="8"/>
    </row>
    <row r="13" spans="2:40">
      <c r="B13" s="191"/>
      <c r="D13" s="4190"/>
      <c r="E13" s="4190"/>
      <c r="F13" s="4183"/>
      <c r="J13" s="2647"/>
      <c r="N13" s="2647"/>
      <c r="R13" s="46"/>
      <c r="V13" s="46"/>
      <c r="Z13" s="46"/>
      <c r="AD13" s="46"/>
      <c r="AH13" s="46"/>
      <c r="AL13" s="46"/>
      <c r="AN13" s="8"/>
    </row>
    <row r="14" spans="2:40">
      <c r="B14" s="4193" t="s">
        <v>16</v>
      </c>
      <c r="D14" s="4184">
        <v>256736</v>
      </c>
      <c r="E14" s="4185">
        <v>7221030</v>
      </c>
      <c r="F14" s="4181">
        <f t="shared" si="7"/>
        <v>3.5553930671940154E-2</v>
      </c>
      <c r="H14" s="3364">
        <v>564628</v>
      </c>
      <c r="I14" s="3364">
        <v>4974441</v>
      </c>
      <c r="J14" s="3374">
        <f t="shared" ref="J14:J19" si="9">H14/I14</f>
        <v>0.11350581904579832</v>
      </c>
      <c r="L14" s="3364">
        <v>436536</v>
      </c>
      <c r="M14" s="3364">
        <v>5396492</v>
      </c>
      <c r="N14" s="3374">
        <f t="shared" si="1"/>
        <v>8.0892550197424543E-2</v>
      </c>
      <c r="P14" s="2023">
        <v>685780</v>
      </c>
      <c r="Q14" s="2023">
        <v>5391953.2400000002</v>
      </c>
      <c r="R14" s="2024">
        <f t="shared" ref="R14:R19" si="10">P14/Q14</f>
        <v>0.12718582106991713</v>
      </c>
      <c r="T14" s="246">
        <v>128511</v>
      </c>
      <c r="U14" s="246">
        <v>4098987</v>
      </c>
      <c r="V14" s="566">
        <f t="shared" ref="V14:V19" si="11">T14/U14</f>
        <v>3.1351892552964916E-2</v>
      </c>
      <c r="X14" s="246">
        <v>335779.00999999995</v>
      </c>
      <c r="Y14" s="246">
        <v>3884636</v>
      </c>
      <c r="Z14" s="566">
        <f t="shared" ref="Z14:Z19" si="12">X14/Y14</f>
        <v>8.6437702271203773E-2</v>
      </c>
      <c r="AB14" s="246">
        <v>203.08099999999999</v>
      </c>
      <c r="AC14" s="246">
        <v>4332.6840000000002</v>
      </c>
      <c r="AD14" s="566">
        <f t="shared" ref="AD14:AD19" si="13">AB14/AC14</f>
        <v>4.6871869723247757E-2</v>
      </c>
      <c r="AF14" s="246">
        <v>466.66224999999997</v>
      </c>
      <c r="AG14" s="246">
        <v>4328.61516999999</v>
      </c>
      <c r="AH14" s="566">
        <f t="shared" si="6"/>
        <v>0.10780867128920611</v>
      </c>
      <c r="AJ14" s="570">
        <v>1201.1990000000001</v>
      </c>
      <c r="AK14" s="570">
        <v>4511.2169999999996</v>
      </c>
      <c r="AL14" s="566">
        <f t="shared" si="8"/>
        <v>0.26626939027761248</v>
      </c>
      <c r="AN14" s="8"/>
    </row>
    <row r="15" spans="2:40">
      <c r="B15" s="4070" t="s">
        <v>61</v>
      </c>
      <c r="D15" s="4186">
        <v>1006239</v>
      </c>
      <c r="E15" s="4187">
        <v>4933074</v>
      </c>
      <c r="F15" s="4181">
        <f t="shared" si="7"/>
        <v>0.20397808749676166</v>
      </c>
      <c r="H15" s="3364">
        <v>1512152</v>
      </c>
      <c r="I15" s="3364">
        <v>4688458</v>
      </c>
      <c r="J15" s="3374">
        <f t="shared" si="9"/>
        <v>0.32252651084855616</v>
      </c>
      <c r="L15" s="3364">
        <v>364936</v>
      </c>
      <c r="M15" s="3364">
        <v>4584419.5599999987</v>
      </c>
      <c r="N15" s="3374">
        <f t="shared" si="1"/>
        <v>7.9603534367609252E-2</v>
      </c>
      <c r="P15" s="2023">
        <v>773891</v>
      </c>
      <c r="Q15" s="2023">
        <v>4426369.57</v>
      </c>
      <c r="R15" s="2024">
        <f t="shared" si="10"/>
        <v>0.17483650828550223</v>
      </c>
      <c r="T15" s="246">
        <v>548010.38</v>
      </c>
      <c r="U15" s="246">
        <v>3636230.34</v>
      </c>
      <c r="V15" s="566">
        <f t="shared" si="11"/>
        <v>0.15070837894169267</v>
      </c>
      <c r="X15" s="246">
        <v>1304835.8500000001</v>
      </c>
      <c r="Y15" s="246">
        <v>3689660.8699999996</v>
      </c>
      <c r="Z15" s="566">
        <f t="shared" si="12"/>
        <v>0.35364655342971946</v>
      </c>
      <c r="AB15" s="246">
        <v>773.49800000000005</v>
      </c>
      <c r="AC15" s="246">
        <v>3588.306</v>
      </c>
      <c r="AD15" s="566">
        <f t="shared" si="13"/>
        <v>0.21556076878616262</v>
      </c>
      <c r="AF15" s="246">
        <v>732.75877000000003</v>
      </c>
      <c r="AG15" s="246">
        <v>3717.9780500000002</v>
      </c>
      <c r="AH15" s="566">
        <f t="shared" si="6"/>
        <v>0.19708528671921557</v>
      </c>
      <c r="AJ15" s="570">
        <v>1324.3330000000001</v>
      </c>
      <c r="AK15" s="570">
        <v>3833.855</v>
      </c>
      <c r="AL15" s="566">
        <f t="shared" si="8"/>
        <v>0.34543116523707862</v>
      </c>
      <c r="AN15" s="8"/>
    </row>
    <row r="16" spans="2:40">
      <c r="B16" s="4070" t="s">
        <v>64</v>
      </c>
      <c r="D16" s="4186">
        <v>1493322</v>
      </c>
      <c r="E16" s="4187">
        <v>5581029</v>
      </c>
      <c r="F16" s="4181">
        <f t="shared" si="7"/>
        <v>0.26757108769726873</v>
      </c>
      <c r="H16" s="3364">
        <v>2126193</v>
      </c>
      <c r="I16" s="3364">
        <v>6320284</v>
      </c>
      <c r="J16" s="3374">
        <f t="shared" si="9"/>
        <v>0.33640782597744023</v>
      </c>
      <c r="L16" s="3364">
        <v>1037992</v>
      </c>
      <c r="M16" s="3364">
        <v>4963842.76</v>
      </c>
      <c r="N16" s="3374">
        <f t="shared" si="1"/>
        <v>0.20911057222932664</v>
      </c>
      <c r="P16" s="2023">
        <v>1351580</v>
      </c>
      <c r="Q16" s="2023">
        <v>5423995.9500000011</v>
      </c>
      <c r="R16" s="2024">
        <f t="shared" si="10"/>
        <v>0.24918528930686235</v>
      </c>
      <c r="T16" s="246">
        <v>702990.68</v>
      </c>
      <c r="U16" s="246">
        <v>3682705.1599999997</v>
      </c>
      <c r="V16" s="566">
        <f t="shared" si="11"/>
        <v>0.19088975344417747</v>
      </c>
      <c r="X16" s="246">
        <v>690451.43</v>
      </c>
      <c r="Y16" s="246">
        <v>3581257</v>
      </c>
      <c r="Z16" s="566">
        <f t="shared" si="12"/>
        <v>0.19279583397672942</v>
      </c>
      <c r="AB16" s="246">
        <v>754.46100000000001</v>
      </c>
      <c r="AC16" s="246">
        <v>3791.2420000000002</v>
      </c>
      <c r="AD16" s="566">
        <f t="shared" si="13"/>
        <v>0.19900101338822476</v>
      </c>
      <c r="AF16" s="246">
        <v>2056.5882099999999</v>
      </c>
      <c r="AG16" s="246">
        <v>5489.5613600000197</v>
      </c>
      <c r="AH16" s="566">
        <f t="shared" si="6"/>
        <v>0.37463616400855615</v>
      </c>
      <c r="AJ16" s="570">
        <v>982.09900000000005</v>
      </c>
      <c r="AK16" s="570">
        <v>3406.6129999999998</v>
      </c>
      <c r="AL16" s="566">
        <f t="shared" si="8"/>
        <v>0.28829191927583209</v>
      </c>
      <c r="AN16" s="8"/>
    </row>
    <row r="17" spans="2:40">
      <c r="B17" s="4070" t="s">
        <v>85</v>
      </c>
      <c r="D17" s="4186">
        <v>2468888</v>
      </c>
      <c r="E17" s="4187">
        <v>53811692</v>
      </c>
      <c r="F17" s="4181">
        <f t="shared" si="7"/>
        <v>4.588014069507422E-2</v>
      </c>
      <c r="H17" s="3364">
        <v>6813584</v>
      </c>
      <c r="I17" s="3364">
        <v>47277331</v>
      </c>
      <c r="J17" s="3374">
        <f t="shared" si="9"/>
        <v>0.14411947239576617</v>
      </c>
      <c r="L17" s="3364">
        <v>6832862</v>
      </c>
      <c r="M17" s="3364">
        <v>55514815.25999999</v>
      </c>
      <c r="N17" s="3374">
        <f t="shared" si="1"/>
        <v>0.12308177498202488</v>
      </c>
      <c r="P17" s="2023">
        <v>9019047</v>
      </c>
      <c r="Q17" s="2023">
        <v>73980290.639999986</v>
      </c>
      <c r="R17" s="2024">
        <f t="shared" si="10"/>
        <v>0.12191148374758537</v>
      </c>
      <c r="T17" s="246">
        <v>15978059.989999998</v>
      </c>
      <c r="U17" s="246">
        <v>74673293.629999995</v>
      </c>
      <c r="V17" s="566">
        <f t="shared" si="11"/>
        <v>0.21397288392246319</v>
      </c>
      <c r="X17" s="246">
        <v>24285229.34</v>
      </c>
      <c r="Y17" s="246">
        <v>104640749</v>
      </c>
      <c r="Z17" s="566">
        <f t="shared" si="12"/>
        <v>0.23208195250972449</v>
      </c>
      <c r="AB17" s="246">
        <v>4897.7979999999998</v>
      </c>
      <c r="AC17" s="246">
        <v>674991.34299999999</v>
      </c>
      <c r="AD17" s="566">
        <f t="shared" si="13"/>
        <v>7.2560900977362607E-3</v>
      </c>
      <c r="AF17" s="246">
        <v>7666.4898400000002</v>
      </c>
      <c r="AG17" s="246">
        <v>127420.00512</v>
      </c>
      <c r="AH17" s="566">
        <f t="shared" si="6"/>
        <v>6.0167081556620171E-2</v>
      </c>
      <c r="AJ17" s="570">
        <v>13367.171</v>
      </c>
      <c r="AK17" s="570">
        <v>72636.747000000003</v>
      </c>
      <c r="AL17" s="566">
        <f t="shared" si="8"/>
        <v>0.18402766577638727</v>
      </c>
      <c r="AN17" s="8"/>
    </row>
    <row r="18" spans="2:40">
      <c r="B18" s="4070" t="s">
        <v>86</v>
      </c>
      <c r="D18" s="4186">
        <v>2319164</v>
      </c>
      <c r="E18" s="4187">
        <v>17565055</v>
      </c>
      <c r="F18" s="4181">
        <f t="shared" si="7"/>
        <v>0.13203283451147749</v>
      </c>
      <c r="H18" s="3364">
        <v>869931</v>
      </c>
      <c r="I18" s="3364">
        <v>13599521</v>
      </c>
      <c r="J18" s="3374">
        <f t="shared" si="9"/>
        <v>6.3967767688288435E-2</v>
      </c>
      <c r="L18" s="3364">
        <v>907607</v>
      </c>
      <c r="M18" s="3364">
        <v>14500829.620000001</v>
      </c>
      <c r="N18" s="3374">
        <f t="shared" si="1"/>
        <v>6.2590005108962857E-2</v>
      </c>
      <c r="P18" s="2023">
        <v>4276903</v>
      </c>
      <c r="Q18" s="2023">
        <v>18186990.669999998</v>
      </c>
      <c r="R18" s="2024">
        <f t="shared" si="10"/>
        <v>0.23516276428595101</v>
      </c>
      <c r="T18" s="246">
        <v>556249.53</v>
      </c>
      <c r="U18" s="246">
        <v>10616492.68</v>
      </c>
      <c r="V18" s="566">
        <f t="shared" si="11"/>
        <v>5.2394848917279149E-2</v>
      </c>
      <c r="X18" s="246">
        <v>1178594.73</v>
      </c>
      <c r="Y18" s="246">
        <v>9479603</v>
      </c>
      <c r="Z18" s="566">
        <f t="shared" si="12"/>
        <v>0.12432954523517493</v>
      </c>
      <c r="AB18" s="246">
        <v>184.20500000000001</v>
      </c>
      <c r="AC18" s="246">
        <v>10196.973</v>
      </c>
      <c r="AD18" s="566">
        <f t="shared" si="13"/>
        <v>1.8064674683359466E-2</v>
      </c>
      <c r="AF18" s="246">
        <v>299.40325999999999</v>
      </c>
      <c r="AG18" s="246">
        <v>70651.988769999996</v>
      </c>
      <c r="AH18" s="566">
        <f t="shared" si="6"/>
        <v>4.2377187848834002E-3</v>
      </c>
      <c r="AJ18" s="570">
        <v>417.61099999999999</v>
      </c>
      <c r="AK18" s="570">
        <v>63720.667000000001</v>
      </c>
      <c r="AL18" s="566">
        <f t="shared" si="8"/>
        <v>6.5537763438665827E-3</v>
      </c>
      <c r="AN18" s="8"/>
    </row>
    <row r="19" spans="2:40">
      <c r="B19" s="4194" t="s">
        <v>59</v>
      </c>
      <c r="D19" s="4188">
        <v>7544349</v>
      </c>
      <c r="E19" s="4189">
        <v>89111880</v>
      </c>
      <c r="F19" s="4182">
        <f t="shared" si="7"/>
        <v>8.4661540077484623E-2</v>
      </c>
      <c r="H19" s="3367">
        <f>SUM(H14:H18)</f>
        <v>11886488</v>
      </c>
      <c r="I19" s="3367">
        <f>SUM(I14:I18)</f>
        <v>76860035</v>
      </c>
      <c r="J19" s="3375">
        <f t="shared" si="9"/>
        <v>0.15465108752552612</v>
      </c>
      <c r="L19" s="3367">
        <f>SUM(L14:L18)</f>
        <v>9579933</v>
      </c>
      <c r="M19" s="3367">
        <f>SUM(M14:M18)</f>
        <v>84960399.199999988</v>
      </c>
      <c r="N19" s="3375">
        <f t="shared" si="1"/>
        <v>0.11275762696745899</v>
      </c>
      <c r="P19" s="2025">
        <f>SUM(P14:P18)</f>
        <v>16107201</v>
      </c>
      <c r="Q19" s="2025">
        <f>SUM(Q14:Q18)</f>
        <v>107409600.06999999</v>
      </c>
      <c r="R19" s="2026">
        <f t="shared" si="10"/>
        <v>0.14996053415619054</v>
      </c>
      <c r="T19" s="247">
        <f>SUM(T14:T18)</f>
        <v>17913821.579999998</v>
      </c>
      <c r="U19" s="247">
        <f>SUM(U14:U18)</f>
        <v>96707708.810000002</v>
      </c>
      <c r="V19" s="325">
        <f t="shared" si="11"/>
        <v>0.18523674896687894</v>
      </c>
      <c r="X19" s="249">
        <f>SUM(X14:X18)</f>
        <v>27794890.359999999</v>
      </c>
      <c r="Y19" s="249">
        <f>SUM(Y14:Y18)</f>
        <v>125275905.87</v>
      </c>
      <c r="Z19" s="325">
        <f t="shared" si="12"/>
        <v>0.22186940231622049</v>
      </c>
      <c r="AB19" s="247">
        <f>SUM(AB14:AB18)</f>
        <v>6813.0429999999997</v>
      </c>
      <c r="AC19" s="247">
        <f>SUM(AC14:AC18)</f>
        <v>696900.54799999995</v>
      </c>
      <c r="AD19" s="325">
        <f t="shared" si="13"/>
        <v>9.776205542602041E-3</v>
      </c>
      <c r="AF19" s="247">
        <f>SUM(AF14:AF18)</f>
        <v>11221.902329999999</v>
      </c>
      <c r="AG19" s="247">
        <f>SUM(AG14:AG18)</f>
        <v>211608.14847000001</v>
      </c>
      <c r="AH19" s="325">
        <f t="shared" si="6"/>
        <v>5.3031522704292004E-2</v>
      </c>
      <c r="AJ19" s="247">
        <f>SUM(AJ14:AJ18)</f>
        <v>17292.413</v>
      </c>
      <c r="AK19" s="247">
        <f>SUM(AK14:AK18)</f>
        <v>148109.09899999999</v>
      </c>
      <c r="AL19" s="569">
        <f t="shared" si="8"/>
        <v>0.11675456212180456</v>
      </c>
      <c r="AN19" s="8"/>
    </row>
    <row r="20" spans="2:40">
      <c r="B20" s="191"/>
      <c r="D20" s="4190"/>
      <c r="E20" s="4190"/>
      <c r="F20" s="4183"/>
      <c r="J20" s="2647"/>
      <c r="N20" s="2647"/>
      <c r="R20" s="46"/>
      <c r="V20" s="46"/>
      <c r="Z20" s="46"/>
      <c r="AD20" s="46"/>
      <c r="AH20" s="46"/>
      <c r="AL20" s="46"/>
      <c r="AN20" s="8"/>
    </row>
    <row r="21" spans="2:40">
      <c r="B21" s="4193" t="s">
        <v>4</v>
      </c>
      <c r="D21" s="4184">
        <v>4208673</v>
      </c>
      <c r="E21" s="4185">
        <v>25445653</v>
      </c>
      <c r="F21" s="4181">
        <f t="shared" si="7"/>
        <v>0.16539850637749404</v>
      </c>
      <c r="H21" s="3364">
        <v>3910872</v>
      </c>
      <c r="I21" s="3364">
        <v>29002754</v>
      </c>
      <c r="J21" s="3376">
        <f t="shared" ref="J21:J26" si="14">H21/I21</f>
        <v>0.13484484956152784</v>
      </c>
      <c r="L21" s="3364">
        <v>2453027</v>
      </c>
      <c r="M21" s="3364">
        <v>28037771.640000001</v>
      </c>
      <c r="N21" s="3376">
        <f t="shared" si="1"/>
        <v>8.7490084144219105E-2</v>
      </c>
      <c r="P21" s="2023">
        <v>2598733</v>
      </c>
      <c r="Q21" s="2023">
        <v>26536484.91</v>
      </c>
      <c r="R21" s="2027">
        <f t="shared" ref="R21:R26" si="15">P21/Q21</f>
        <v>9.7930566494158933E-2</v>
      </c>
      <c r="T21" s="246">
        <v>2493196.5699999998</v>
      </c>
      <c r="U21" s="246">
        <v>23517971.870000001</v>
      </c>
      <c r="V21" s="568">
        <f t="shared" ref="V21:V26" si="16">T21/U21</f>
        <v>0.10601239697800521</v>
      </c>
      <c r="X21" s="246">
        <v>4057112.1500000004</v>
      </c>
      <c r="Y21" s="246">
        <v>30922524</v>
      </c>
      <c r="Z21" s="568">
        <f t="shared" ref="Z21:Z26" si="17">X21/Y21</f>
        <v>0.1312024901330823</v>
      </c>
      <c r="AB21" s="246">
        <v>3250.1930000000002</v>
      </c>
      <c r="AC21" s="246">
        <v>24122.48</v>
      </c>
      <c r="AD21" s="568">
        <f t="shared" ref="AD21:AD26" si="18">AB21/AC21</f>
        <v>0.13473709999966837</v>
      </c>
      <c r="AF21" s="246">
        <v>6482.3054199999997</v>
      </c>
      <c r="AG21" s="246">
        <v>36910.90797</v>
      </c>
      <c r="AH21" s="568">
        <f t="shared" si="6"/>
        <v>0.17562031866754968</v>
      </c>
      <c r="AJ21" s="567">
        <v>6022.6589999999997</v>
      </c>
      <c r="AK21" s="567">
        <v>31868.187000000002</v>
      </c>
      <c r="AL21" s="568">
        <f t="shared" si="8"/>
        <v>0.18898655891532201</v>
      </c>
      <c r="AN21" s="8"/>
    </row>
    <row r="22" spans="2:40">
      <c r="B22" s="4070" t="s">
        <v>16</v>
      </c>
      <c r="D22" s="4186">
        <v>2732689</v>
      </c>
      <c r="E22" s="4187">
        <v>23924755</v>
      </c>
      <c r="F22" s="4181">
        <f t="shared" si="7"/>
        <v>0.11422014561904605</v>
      </c>
      <c r="H22" s="3364">
        <v>851706</v>
      </c>
      <c r="I22" s="3364">
        <v>21808783</v>
      </c>
      <c r="J22" s="3376">
        <f t="shared" si="14"/>
        <v>3.9053348368865884E-2</v>
      </c>
      <c r="L22" s="3364">
        <v>1677469</v>
      </c>
      <c r="M22" s="3364">
        <v>24199854</v>
      </c>
      <c r="N22" s="3376">
        <f t="shared" si="1"/>
        <v>6.931731902184203E-2</v>
      </c>
      <c r="P22" s="2023">
        <v>2072259</v>
      </c>
      <c r="Q22" s="2023">
        <v>22582558</v>
      </c>
      <c r="R22" s="2027">
        <f t="shared" si="15"/>
        <v>9.1763696566172878E-2</v>
      </c>
      <c r="T22" s="246">
        <v>1585557.3299999998</v>
      </c>
      <c r="U22" s="246">
        <v>26538805.379999995</v>
      </c>
      <c r="V22" s="568">
        <f t="shared" si="16"/>
        <v>5.9744864446494544E-2</v>
      </c>
      <c r="X22" s="246">
        <v>2182283.46</v>
      </c>
      <c r="Y22" s="246">
        <v>28058499</v>
      </c>
      <c r="Z22" s="568">
        <f t="shared" si="17"/>
        <v>7.7776201071910508E-2</v>
      </c>
      <c r="AB22" s="246">
        <v>2350.9209999999998</v>
      </c>
      <c r="AC22" s="246">
        <v>22154.499</v>
      </c>
      <c r="AD22" s="568">
        <f t="shared" si="18"/>
        <v>0.10611483473401948</v>
      </c>
      <c r="AF22" s="246">
        <v>1146.60447</v>
      </c>
      <c r="AG22" s="246">
        <v>22781.2382</v>
      </c>
      <c r="AH22" s="568">
        <f t="shared" si="6"/>
        <v>5.0331086481506526E-2</v>
      </c>
      <c r="AJ22" s="567">
        <v>1546.241</v>
      </c>
      <c r="AK22" s="567">
        <v>20467.61</v>
      </c>
      <c r="AL22" s="568">
        <f t="shared" si="8"/>
        <v>7.5545752532904423E-2</v>
      </c>
      <c r="AN22" s="8"/>
    </row>
    <row r="23" spans="2:40">
      <c r="B23" s="4070" t="s">
        <v>41</v>
      </c>
      <c r="D23" s="4186">
        <v>2150371</v>
      </c>
      <c r="E23" s="4187">
        <v>20142528</v>
      </c>
      <c r="F23" s="4181">
        <f t="shared" si="7"/>
        <v>0.10675775155928789</v>
      </c>
      <c r="H23" s="3364">
        <v>1351840</v>
      </c>
      <c r="I23" s="3364">
        <v>16956795</v>
      </c>
      <c r="J23" s="3376">
        <f t="shared" si="14"/>
        <v>7.9722612675331636E-2</v>
      </c>
      <c r="L23" s="3364">
        <v>2115684</v>
      </c>
      <c r="M23" s="3364">
        <v>20150357</v>
      </c>
      <c r="N23" s="3376">
        <f t="shared" si="1"/>
        <v>0.10499486435897885</v>
      </c>
      <c r="P23" s="2023">
        <v>2637431</v>
      </c>
      <c r="Q23" s="2023">
        <v>19517343.690000005</v>
      </c>
      <c r="R23" s="2027">
        <f t="shared" si="15"/>
        <v>0.13513268208477192</v>
      </c>
      <c r="T23" s="246">
        <v>2581052.42</v>
      </c>
      <c r="U23" s="246">
        <v>21604736.829999998</v>
      </c>
      <c r="V23" s="568">
        <f t="shared" si="16"/>
        <v>0.1194669687628868</v>
      </c>
      <c r="X23" s="246">
        <v>2530619.64</v>
      </c>
      <c r="Y23" s="246">
        <v>22959647</v>
      </c>
      <c r="Z23" s="568">
        <f t="shared" si="17"/>
        <v>0.11022032002495509</v>
      </c>
      <c r="AB23" s="246">
        <v>1489.78</v>
      </c>
      <c r="AC23" s="246">
        <v>17004.931</v>
      </c>
      <c r="AD23" s="568">
        <f t="shared" si="18"/>
        <v>8.7608705968874559E-2</v>
      </c>
      <c r="AF23" s="246">
        <v>7495.9536799999996</v>
      </c>
      <c r="AG23" s="246">
        <v>25082.755579999899</v>
      </c>
      <c r="AH23" s="568">
        <f t="shared" si="6"/>
        <v>0.29884889066881504</v>
      </c>
      <c r="AJ23" s="567">
        <v>3375.8429999999998</v>
      </c>
      <c r="AK23" s="567">
        <v>19824.717000000001</v>
      </c>
      <c r="AL23" s="568">
        <f t="shared" si="8"/>
        <v>0.17028454933303713</v>
      </c>
      <c r="AN23" s="8"/>
    </row>
    <row r="24" spans="2:40">
      <c r="B24" s="4070" t="s">
        <v>85</v>
      </c>
      <c r="D24" s="4186">
        <v>8121306</v>
      </c>
      <c r="E24" s="4187">
        <v>117922375</v>
      </c>
      <c r="F24" s="4181">
        <f t="shared" si="7"/>
        <v>6.8869932444966447E-2</v>
      </c>
      <c r="H24" s="3364">
        <v>5404767</v>
      </c>
      <c r="I24" s="3364">
        <v>106306820</v>
      </c>
      <c r="J24" s="3376">
        <f t="shared" si="14"/>
        <v>5.0841206613084652E-2</v>
      </c>
      <c r="L24" s="3364">
        <v>11205058</v>
      </c>
      <c r="M24" s="3364">
        <v>95624538.019999996</v>
      </c>
      <c r="N24" s="3376">
        <f t="shared" si="1"/>
        <v>0.11717764322852413</v>
      </c>
      <c r="P24" s="2023">
        <v>10493123</v>
      </c>
      <c r="Q24" s="2023">
        <v>85112200.079999998</v>
      </c>
      <c r="R24" s="2027">
        <f t="shared" si="15"/>
        <v>0.12328576855183086</v>
      </c>
      <c r="T24" s="246">
        <v>8567883.5099999998</v>
      </c>
      <c r="U24" s="246">
        <v>105655918.29999998</v>
      </c>
      <c r="V24" s="568">
        <f t="shared" si="16"/>
        <v>8.1092319747506289E-2</v>
      </c>
      <c r="X24" s="246">
        <v>14429569.41</v>
      </c>
      <c r="Y24" s="246">
        <v>96469849</v>
      </c>
      <c r="Z24" s="568">
        <f t="shared" si="17"/>
        <v>0.14957595103108329</v>
      </c>
      <c r="AB24" s="246">
        <v>7389.0789999999997</v>
      </c>
      <c r="AC24" s="246">
        <v>104777.079</v>
      </c>
      <c r="AD24" s="568">
        <f t="shared" si="18"/>
        <v>7.0521902982235263E-2</v>
      </c>
      <c r="AF24" s="246">
        <v>17467.651010000001</v>
      </c>
      <c r="AG24" s="246">
        <v>231812.41046000001</v>
      </c>
      <c r="AH24" s="568">
        <f t="shared" si="6"/>
        <v>7.5352527396345334E-2</v>
      </c>
      <c r="AJ24" s="567">
        <v>14292.633</v>
      </c>
      <c r="AK24" s="567">
        <v>245882.73300000001</v>
      </c>
      <c r="AL24" s="568">
        <f t="shared" si="8"/>
        <v>5.8127843405742521E-2</v>
      </c>
      <c r="AN24" s="8"/>
    </row>
    <row r="25" spans="2:40">
      <c r="B25" s="4070" t="s">
        <v>86</v>
      </c>
      <c r="D25" s="4186">
        <v>762129</v>
      </c>
      <c r="E25" s="4187">
        <v>8847844</v>
      </c>
      <c r="F25" s="4181">
        <f t="shared" si="7"/>
        <v>8.6137255584524314E-2</v>
      </c>
      <c r="H25" s="3364">
        <v>152415</v>
      </c>
      <c r="I25" s="3364">
        <v>7383186</v>
      </c>
      <c r="J25" s="3376">
        <f t="shared" si="14"/>
        <v>2.0643527062707074E-2</v>
      </c>
      <c r="L25" s="3364">
        <v>931917</v>
      </c>
      <c r="M25" s="3364">
        <v>10675982</v>
      </c>
      <c r="N25" s="3376">
        <f t="shared" si="1"/>
        <v>8.729098644040427E-2</v>
      </c>
      <c r="P25" s="2023">
        <v>1348504</v>
      </c>
      <c r="Q25" s="2023">
        <v>18769750.039999995</v>
      </c>
      <c r="R25" s="2027">
        <f t="shared" si="15"/>
        <v>7.184453693449401E-2</v>
      </c>
      <c r="T25" s="246">
        <v>25617.93</v>
      </c>
      <c r="U25" s="246">
        <v>9684062.7300000004</v>
      </c>
      <c r="V25" s="568">
        <f t="shared" si="16"/>
        <v>2.6453701007779409E-3</v>
      </c>
      <c r="X25" s="246">
        <v>829007.50000000012</v>
      </c>
      <c r="Y25" s="246">
        <v>17062916</v>
      </c>
      <c r="Z25" s="568">
        <f t="shared" si="17"/>
        <v>4.8585335589766729E-2</v>
      </c>
      <c r="AB25" s="246">
        <v>650.46</v>
      </c>
      <c r="AC25" s="246">
        <v>18896.394</v>
      </c>
      <c r="AD25" s="568">
        <f t="shared" si="18"/>
        <v>3.4422440598984125E-2</v>
      </c>
      <c r="AF25" s="246">
        <v>15043.332560000001</v>
      </c>
      <c r="AG25" s="246">
        <v>43411.862000000001</v>
      </c>
      <c r="AH25" s="568">
        <f t="shared" si="6"/>
        <v>0.34652585415479298</v>
      </c>
      <c r="AJ25" s="567">
        <v>1659.4559999999999</v>
      </c>
      <c r="AK25" s="567">
        <v>20053.233</v>
      </c>
      <c r="AL25" s="568">
        <f t="shared" si="8"/>
        <v>8.275254169739113E-2</v>
      </c>
      <c r="AN25" s="8"/>
    </row>
    <row r="26" spans="2:40">
      <c r="B26" s="4194" t="s">
        <v>25</v>
      </c>
      <c r="D26" s="4188">
        <v>17975168</v>
      </c>
      <c r="E26" s="4189">
        <v>196283155</v>
      </c>
      <c r="F26" s="4182">
        <f t="shared" si="7"/>
        <v>9.1577741350244754E-2</v>
      </c>
      <c r="H26" s="3367">
        <f>SUM(H21:H25)</f>
        <v>11671600</v>
      </c>
      <c r="I26" s="3377">
        <f>SUM(I21:I25)</f>
        <v>181458338</v>
      </c>
      <c r="J26" s="3375">
        <f t="shared" si="14"/>
        <v>6.4321100527218539E-2</v>
      </c>
      <c r="L26" s="3367">
        <f>SUM(L21:L25)</f>
        <v>18383155</v>
      </c>
      <c r="M26" s="3367">
        <f>SUM(M21:M25)</f>
        <v>178688502.66</v>
      </c>
      <c r="N26" s="3375">
        <f t="shared" si="1"/>
        <v>0.10287821950681737</v>
      </c>
      <c r="P26" s="2025">
        <f>SUM(P21:P25)</f>
        <v>19150050</v>
      </c>
      <c r="Q26" s="2025">
        <f>SUM(Q21:Q25)</f>
        <v>172518336.72</v>
      </c>
      <c r="R26" s="2026">
        <f t="shared" si="15"/>
        <v>0.11100298301090646</v>
      </c>
      <c r="T26" s="247">
        <f>SUM(T21:T25)</f>
        <v>15253307.759999998</v>
      </c>
      <c r="U26" s="247">
        <f>SUM(U21:U25)</f>
        <v>187001495.10999998</v>
      </c>
      <c r="V26" s="325">
        <f t="shared" si="16"/>
        <v>8.15678385406894E-2</v>
      </c>
      <c r="X26" s="249">
        <f>SUM(X21:X25)</f>
        <v>24028592.16</v>
      </c>
      <c r="Y26" s="249">
        <f>SUM(Y21:Y25)</f>
        <v>195473435</v>
      </c>
      <c r="Z26" s="325">
        <f t="shared" si="17"/>
        <v>0.12292510314764767</v>
      </c>
      <c r="AB26" s="247">
        <f>SUM(AB21:AB25)</f>
        <v>15130.432999999997</v>
      </c>
      <c r="AC26" s="247">
        <f>SUM(AC21:AC25)</f>
        <v>186955.383</v>
      </c>
      <c r="AD26" s="325">
        <f t="shared" si="18"/>
        <v>8.0930715966600425E-2</v>
      </c>
      <c r="AF26" s="247">
        <f>SUM(AF21:AF25)</f>
        <v>47635.847140000005</v>
      </c>
      <c r="AG26" s="247">
        <f>SUM(AG21:AG25)</f>
        <v>359999.17420999991</v>
      </c>
      <c r="AH26" s="325">
        <f t="shared" si="6"/>
        <v>0.13232210113963311</v>
      </c>
      <c r="AJ26" s="247">
        <f>SUM(AJ21:AJ25)</f>
        <v>26896.831999999995</v>
      </c>
      <c r="AK26" s="247">
        <f>SUM(AK21:AK25)</f>
        <v>338096.48000000004</v>
      </c>
      <c r="AL26" s="569">
        <f t="shared" si="8"/>
        <v>7.9553717920991043E-2</v>
      </c>
      <c r="AN26" s="8"/>
    </row>
    <row r="27" spans="2:40">
      <c r="B27" s="191"/>
      <c r="D27" s="4190"/>
      <c r="E27" s="4190"/>
      <c r="F27" s="4183"/>
      <c r="J27" s="2647"/>
      <c r="N27" s="2647"/>
      <c r="Q27" s="64"/>
      <c r="R27" s="46"/>
      <c r="U27" s="64"/>
      <c r="V27" s="46"/>
      <c r="Y27" s="64"/>
      <c r="Z27" s="46"/>
      <c r="AD27" s="46"/>
      <c r="AH27" s="46"/>
      <c r="AL27" s="46"/>
      <c r="AN27" s="8"/>
    </row>
    <row r="28" spans="2:40">
      <c r="B28" s="4193" t="s">
        <v>4</v>
      </c>
      <c r="D28" s="4184">
        <v>2518511</v>
      </c>
      <c r="E28" s="4185">
        <v>5213826</v>
      </c>
      <c r="F28" s="4181">
        <f t="shared" si="7"/>
        <v>0.48304469692697838</v>
      </c>
      <c r="H28" s="3364">
        <v>1417698</v>
      </c>
      <c r="I28" s="3364">
        <v>3852775</v>
      </c>
      <c r="J28" s="3376">
        <f t="shared" ref="J28:J33" si="19">H28/I28</f>
        <v>0.36796802304832232</v>
      </c>
      <c r="L28" s="3364">
        <v>2926354</v>
      </c>
      <c r="M28" s="3364">
        <v>5243822.2699999996</v>
      </c>
      <c r="N28" s="3376">
        <f t="shared" si="1"/>
        <v>0.55805743393358753</v>
      </c>
      <c r="P28" s="2023">
        <v>2943846</v>
      </c>
      <c r="Q28" s="2023">
        <v>4164198.2900000005</v>
      </c>
      <c r="R28" s="2027">
        <f t="shared" ref="R28:R33" si="20">P28/Q28</f>
        <v>0.70694183969803215</v>
      </c>
      <c r="T28" s="246">
        <v>2617648.29</v>
      </c>
      <c r="U28" s="246">
        <v>4691826.17</v>
      </c>
      <c r="V28" s="568">
        <f t="shared" ref="V28:V33" si="21">T28/U28</f>
        <v>0.5579167247792558</v>
      </c>
      <c r="X28" s="246">
        <v>1711014.7700000003</v>
      </c>
      <c r="Y28" s="246">
        <v>3824228</v>
      </c>
      <c r="Z28" s="568">
        <f t="shared" ref="Z28:Z33" si="22">X28/Y28</f>
        <v>0.44741442455836844</v>
      </c>
      <c r="AB28" s="246">
        <v>1192.297</v>
      </c>
      <c r="AC28" s="246">
        <v>2489.7330000000002</v>
      </c>
      <c r="AD28" s="568">
        <f t="shared" ref="AD28:AD33" si="23">AB28/AC28</f>
        <v>0.47888548691767346</v>
      </c>
      <c r="AF28" s="246">
        <v>1340.00008</v>
      </c>
      <c r="AG28" s="246">
        <v>3136.3728599999999</v>
      </c>
      <c r="AH28" s="568">
        <f t="shared" si="6"/>
        <v>0.42724514584659429</v>
      </c>
      <c r="AJ28" s="567">
        <v>1363.4169999999999</v>
      </c>
      <c r="AK28" s="567">
        <v>2335.6149999999998</v>
      </c>
      <c r="AL28" s="568">
        <f t="shared" si="8"/>
        <v>0.58375074659136894</v>
      </c>
      <c r="AN28" s="8"/>
    </row>
    <row r="29" spans="2:40">
      <c r="B29" s="4070" t="s">
        <v>16</v>
      </c>
      <c r="D29" s="4186">
        <v>1193141</v>
      </c>
      <c r="E29" s="4187">
        <v>4651537</v>
      </c>
      <c r="F29" s="4181">
        <f t="shared" si="7"/>
        <v>0.25650467791613824</v>
      </c>
      <c r="H29" s="3364">
        <v>1305802</v>
      </c>
      <c r="I29" s="3364">
        <v>3971316</v>
      </c>
      <c r="J29" s="3376">
        <f t="shared" si="19"/>
        <v>0.32880838492832098</v>
      </c>
      <c r="L29" s="3364">
        <v>2384388</v>
      </c>
      <c r="M29" s="3364">
        <v>5446345.1199999992</v>
      </c>
      <c r="N29" s="3376">
        <f t="shared" si="1"/>
        <v>0.43779598014163312</v>
      </c>
      <c r="P29" s="2023">
        <v>2166878</v>
      </c>
      <c r="Q29" s="2023">
        <v>5055249.99</v>
      </c>
      <c r="R29" s="2027">
        <f t="shared" si="20"/>
        <v>0.42863913837819917</v>
      </c>
      <c r="T29" s="246">
        <v>1441431.1500000001</v>
      </c>
      <c r="U29" s="246">
        <v>3434016.69</v>
      </c>
      <c r="V29" s="568">
        <f t="shared" si="21"/>
        <v>0.41975077005231448</v>
      </c>
      <c r="X29" s="246">
        <v>2020993.82</v>
      </c>
      <c r="Y29" s="246">
        <v>3917399</v>
      </c>
      <c r="Z29" s="568">
        <f t="shared" si="22"/>
        <v>0.5159019594378822</v>
      </c>
      <c r="AB29" s="246">
        <v>906.07899999999995</v>
      </c>
      <c r="AC29" s="246">
        <v>2555.3200000000002</v>
      </c>
      <c r="AD29" s="568">
        <f t="shared" si="23"/>
        <v>0.35458533569181155</v>
      </c>
      <c r="AF29" s="246">
        <v>2229.7894999999999</v>
      </c>
      <c r="AG29" s="246">
        <v>3758.67002</v>
      </c>
      <c r="AH29" s="568">
        <f t="shared" si="6"/>
        <v>0.59323896168996493</v>
      </c>
      <c r="AJ29" s="567">
        <v>3648.54</v>
      </c>
      <c r="AK29" s="567">
        <v>4608.7749999999996</v>
      </c>
      <c r="AL29" s="568">
        <f t="shared" si="8"/>
        <v>0.791650709787308</v>
      </c>
      <c r="AN29" s="8"/>
    </row>
    <row r="30" spans="2:40">
      <c r="B30" s="4070" t="s">
        <v>41</v>
      </c>
      <c r="D30" s="4186">
        <v>2403882</v>
      </c>
      <c r="E30" s="4187">
        <v>5432221</v>
      </c>
      <c r="F30" s="4181">
        <f t="shared" si="7"/>
        <v>0.44252286495707743</v>
      </c>
      <c r="H30" s="3364">
        <v>2775663</v>
      </c>
      <c r="I30" s="3364">
        <v>5910032</v>
      </c>
      <c r="J30" s="3376">
        <f t="shared" si="19"/>
        <v>0.46965278698998586</v>
      </c>
      <c r="L30" s="3364">
        <v>2705382</v>
      </c>
      <c r="M30" s="3364">
        <v>6472217.3600000003</v>
      </c>
      <c r="N30" s="3376">
        <f t="shared" si="1"/>
        <v>0.41799924964201141</v>
      </c>
      <c r="P30" s="2023">
        <v>2234326</v>
      </c>
      <c r="Q30" s="2023">
        <v>4170625.1899999995</v>
      </c>
      <c r="R30" s="2027">
        <f t="shared" si="20"/>
        <v>0.53572927276162163</v>
      </c>
      <c r="T30" s="246">
        <v>2236780.9500000002</v>
      </c>
      <c r="U30" s="246">
        <v>4864582.6100000003</v>
      </c>
      <c r="V30" s="568">
        <f t="shared" si="21"/>
        <v>0.45980942854211287</v>
      </c>
      <c r="X30" s="246">
        <v>1045131.9</v>
      </c>
      <c r="Y30" s="246">
        <v>3735070.4200000013</v>
      </c>
      <c r="Z30" s="568">
        <f t="shared" si="22"/>
        <v>0.27981584882675375</v>
      </c>
      <c r="AB30" s="246">
        <v>950.29399999999998</v>
      </c>
      <c r="AC30" s="246">
        <v>2913.1759999999999</v>
      </c>
      <c r="AD30" s="568">
        <f t="shared" si="23"/>
        <v>0.32620548844285413</v>
      </c>
      <c r="AF30" s="246">
        <v>2949.33052</v>
      </c>
      <c r="AG30" s="246">
        <v>4800.2083599999996</v>
      </c>
      <c r="AH30" s="568">
        <f t="shared" si="6"/>
        <v>0.61441718750725238</v>
      </c>
      <c r="AJ30" s="567">
        <v>4359.1880000000001</v>
      </c>
      <c r="AK30" s="567">
        <v>5232.0860000000002</v>
      </c>
      <c r="AL30" s="568">
        <f t="shared" si="8"/>
        <v>0.83316443957534336</v>
      </c>
      <c r="AN30" s="8"/>
    </row>
    <row r="31" spans="2:40">
      <c r="B31" s="4070" t="s">
        <v>85</v>
      </c>
      <c r="D31" s="4186">
        <v>2151443</v>
      </c>
      <c r="E31" s="4187">
        <v>21102578</v>
      </c>
      <c r="F31" s="4181">
        <f t="shared" si="7"/>
        <v>0.1019516667584406</v>
      </c>
      <c r="H31" s="3364">
        <v>969316</v>
      </c>
      <c r="I31" s="3364">
        <v>18881978</v>
      </c>
      <c r="J31" s="3376">
        <f t="shared" si="19"/>
        <v>5.1335511565578563E-2</v>
      </c>
      <c r="L31" s="3364">
        <v>4651904</v>
      </c>
      <c r="M31" s="3364">
        <v>19246642.990000002</v>
      </c>
      <c r="N31" s="3376">
        <f t="shared" si="1"/>
        <v>0.24169950065665968</v>
      </c>
      <c r="P31" s="2023">
        <v>5151345</v>
      </c>
      <c r="Q31" s="2023">
        <v>20819366.740000002</v>
      </c>
      <c r="R31" s="2027">
        <f t="shared" si="20"/>
        <v>0.24743043649367019</v>
      </c>
      <c r="T31" s="246">
        <v>5967898.9800000004</v>
      </c>
      <c r="U31" s="246">
        <v>21781328.02</v>
      </c>
      <c r="V31" s="568">
        <f t="shared" si="21"/>
        <v>0.27399151119344839</v>
      </c>
      <c r="X31" s="246">
        <v>6820884.7299999995</v>
      </c>
      <c r="Y31" s="246">
        <v>22819202.310000002</v>
      </c>
      <c r="Z31" s="568">
        <f t="shared" si="22"/>
        <v>0.29890986710832129</v>
      </c>
      <c r="AB31" s="246">
        <v>2884.3220000000001</v>
      </c>
      <c r="AC31" s="246">
        <v>19065.144</v>
      </c>
      <c r="AD31" s="568">
        <f t="shared" si="23"/>
        <v>0.1512877112284072</v>
      </c>
      <c r="AF31" s="246">
        <v>3281.7864199999999</v>
      </c>
      <c r="AG31" s="246">
        <v>20081.92368</v>
      </c>
      <c r="AH31" s="568">
        <f t="shared" si="6"/>
        <v>0.16341992292642754</v>
      </c>
      <c r="AJ31" s="567">
        <v>2084.3159999999998</v>
      </c>
      <c r="AK31" s="567">
        <v>14247.491</v>
      </c>
      <c r="AL31" s="568">
        <f t="shared" si="8"/>
        <v>0.14629354740424119</v>
      </c>
      <c r="AN31" s="8"/>
    </row>
    <row r="32" spans="2:40">
      <c r="B32" s="4070" t="s">
        <v>86</v>
      </c>
      <c r="D32" s="4186">
        <v>1323921</v>
      </c>
      <c r="E32" s="4187">
        <v>4193085</v>
      </c>
      <c r="F32" s="4181">
        <f t="shared" si="7"/>
        <v>0.31573912763514217</v>
      </c>
      <c r="H32" s="3364">
        <v>48286</v>
      </c>
      <c r="I32" s="3364">
        <v>17277501</v>
      </c>
      <c r="J32" s="3376">
        <f t="shared" si="19"/>
        <v>2.7947328725375273E-3</v>
      </c>
      <c r="L32" s="3364">
        <v>336488</v>
      </c>
      <c r="M32" s="3364">
        <v>3024873.38</v>
      </c>
      <c r="N32" s="3376">
        <f t="shared" si="1"/>
        <v>0.11124035876172775</v>
      </c>
      <c r="P32" s="2023">
        <v>2240750</v>
      </c>
      <c r="Q32" s="2023">
        <v>14075306.51</v>
      </c>
      <c r="R32" s="2027">
        <f t="shared" si="20"/>
        <v>0.15919724365561969</v>
      </c>
      <c r="T32" s="246">
        <v>630296.37</v>
      </c>
      <c r="U32" s="246">
        <v>2668364.21</v>
      </c>
      <c r="V32" s="568">
        <f t="shared" si="21"/>
        <v>0.23621077199202878</v>
      </c>
      <c r="X32" s="246">
        <v>33264.15</v>
      </c>
      <c r="Y32" s="246">
        <v>102293735.47</v>
      </c>
      <c r="Z32" s="568">
        <f t="shared" si="22"/>
        <v>3.2518266976139004E-4</v>
      </c>
      <c r="AB32" s="246">
        <v>944.29399999999998</v>
      </c>
      <c r="AC32" s="246">
        <v>40805.379000000001</v>
      </c>
      <c r="AD32" s="568">
        <f t="shared" si="23"/>
        <v>2.3141409861675344E-2</v>
      </c>
      <c r="AF32" s="246">
        <v>2022.5329200000001</v>
      </c>
      <c r="AG32" s="246">
        <v>374097.53360999998</v>
      </c>
      <c r="AH32" s="568">
        <f t="shared" si="6"/>
        <v>5.4064321153972344E-3</v>
      </c>
      <c r="AJ32" s="567">
        <v>377.935</v>
      </c>
      <c r="AK32" s="567">
        <v>63335.339</v>
      </c>
      <c r="AL32" s="568">
        <f t="shared" si="8"/>
        <v>5.9672057648574358E-3</v>
      </c>
      <c r="AN32" s="23"/>
    </row>
    <row r="33" spans="2:40">
      <c r="B33" s="4194" t="s">
        <v>249</v>
      </c>
      <c r="D33" s="4188">
        <v>9590898</v>
      </c>
      <c r="E33" s="4189">
        <v>40593247</v>
      </c>
      <c r="F33" s="4182">
        <f t="shared" si="7"/>
        <v>0.23626831329851489</v>
      </c>
      <c r="H33" s="3367">
        <f>SUM(H28:H32)</f>
        <v>6516765</v>
      </c>
      <c r="I33" s="3367">
        <f>SUM(I28:I32)</f>
        <v>49893602</v>
      </c>
      <c r="J33" s="3375">
        <f t="shared" si="19"/>
        <v>0.13061323974965769</v>
      </c>
      <c r="L33" s="3367">
        <f>SUM(L28:L32)</f>
        <v>13004516</v>
      </c>
      <c r="M33" s="3367">
        <f>SUM(M28:M32)</f>
        <v>39433901.120000005</v>
      </c>
      <c r="N33" s="3375">
        <f t="shared" si="1"/>
        <v>0.32978010368353833</v>
      </c>
      <c r="P33" s="2025">
        <f>SUM(P28:P32)</f>
        <v>14737145</v>
      </c>
      <c r="Q33" s="2025">
        <f>SUM(Q28:Q32)</f>
        <v>48284746.719999999</v>
      </c>
      <c r="R33" s="2026">
        <f t="shared" si="20"/>
        <v>0.30521326093848467</v>
      </c>
      <c r="T33" s="247">
        <f>SUM(T28:T32)</f>
        <v>12894055.74</v>
      </c>
      <c r="U33" s="247">
        <v>37440117.699999996</v>
      </c>
      <c r="V33" s="325">
        <f t="shared" si="21"/>
        <v>0.34439143176091036</v>
      </c>
      <c r="X33" s="249">
        <f>SUM(X28:X32)</f>
        <v>11631289.369999999</v>
      </c>
      <c r="Y33" s="249">
        <f>SUM(Y28:Y32)</f>
        <v>136589635.19999999</v>
      </c>
      <c r="Z33" s="325">
        <f t="shared" si="22"/>
        <v>8.5154992565643808E-2</v>
      </c>
      <c r="AB33" s="247">
        <f>SUM(AB28:AB32)</f>
        <v>6877.2860000000001</v>
      </c>
      <c r="AC33" s="247">
        <f>SUM(AC28:AC32)</f>
        <v>67828.752000000008</v>
      </c>
      <c r="AD33" s="325">
        <f t="shared" si="23"/>
        <v>0.10139189941162413</v>
      </c>
      <c r="AF33" s="247">
        <f>SUM(AF28:AF32)</f>
        <v>11823.43944</v>
      </c>
      <c r="AG33" s="247">
        <f>SUM(AG28:AG32)</f>
        <v>405874.70853</v>
      </c>
      <c r="AH33" s="325">
        <f t="shared" si="6"/>
        <v>2.9130761763457053E-2</v>
      </c>
      <c r="AJ33" s="247">
        <f>SUM(AJ28:AJ32)</f>
        <v>11833.395999999999</v>
      </c>
      <c r="AK33" s="247">
        <f>SUM(AK28:AK32)</f>
        <v>89759.305999999997</v>
      </c>
      <c r="AL33" s="569">
        <f t="shared" si="8"/>
        <v>0.13183475371344783</v>
      </c>
      <c r="AN33" s="23"/>
    </row>
    <row r="34" spans="2:40">
      <c r="B34" s="191"/>
      <c r="D34" s="4190"/>
      <c r="E34" s="4190"/>
      <c r="F34" s="4183"/>
      <c r="J34" s="2647"/>
      <c r="N34" s="2647"/>
      <c r="R34" s="46"/>
      <c r="V34" s="46"/>
      <c r="Z34" s="46"/>
      <c r="AD34" s="46"/>
      <c r="AH34" s="46"/>
      <c r="AL34" s="46"/>
      <c r="AN34" s="23"/>
    </row>
    <row r="35" spans="2:40">
      <c r="B35" s="4193" t="s">
        <v>16</v>
      </c>
      <c r="D35" s="4184">
        <v>803891</v>
      </c>
      <c r="E35" s="4185">
        <v>19144574</v>
      </c>
      <c r="F35" s="4181">
        <f t="shared" si="7"/>
        <v>4.1990539982764828E-2</v>
      </c>
      <c r="H35" s="3364">
        <v>514144</v>
      </c>
      <c r="I35" s="3364">
        <v>19372984</v>
      </c>
      <c r="J35" s="3376">
        <f t="shared" ref="J35:J40" si="24">H35/I35</f>
        <v>2.6539225965395936E-2</v>
      </c>
      <c r="L35" s="3364">
        <v>1249322</v>
      </c>
      <c r="M35" s="3364">
        <v>21682031</v>
      </c>
      <c r="N35" s="3376">
        <f t="shared" si="1"/>
        <v>5.7620155602581692E-2</v>
      </c>
      <c r="P35" s="2023">
        <v>769039</v>
      </c>
      <c r="Q35" s="2023">
        <v>18147907.109999999</v>
      </c>
      <c r="R35" s="2027">
        <f t="shared" ref="R35:R40" si="25">P35/Q35</f>
        <v>4.2376181194813269E-2</v>
      </c>
      <c r="T35" s="246">
        <v>946290.4</v>
      </c>
      <c r="U35" s="246">
        <v>22428255.450000003</v>
      </c>
      <c r="V35" s="568">
        <f t="shared" ref="V35:V40" si="26">T35/U35</f>
        <v>4.2191886128174087E-2</v>
      </c>
      <c r="X35" s="246">
        <v>2799601.07</v>
      </c>
      <c r="Y35" s="246">
        <v>24622486.720000003</v>
      </c>
      <c r="Z35" s="568">
        <f t="shared" ref="Z35:Z40" si="27">X35/Y35</f>
        <v>0.11370098811855506</v>
      </c>
      <c r="AB35" s="246">
        <v>657.97400000000005</v>
      </c>
      <c r="AC35" s="246">
        <v>21557.43</v>
      </c>
      <c r="AD35" s="568">
        <f t="shared" ref="AD35:AD40" si="28">AB35/AC35</f>
        <v>3.0521912862525823E-2</v>
      </c>
      <c r="AF35" s="246">
        <v>4465.4868100000003</v>
      </c>
      <c r="AG35" s="246">
        <v>33605.041790000003</v>
      </c>
      <c r="AH35" s="568">
        <f t="shared" si="6"/>
        <v>0.13288145385758202</v>
      </c>
      <c r="AJ35" s="567">
        <v>1404.47</v>
      </c>
      <c r="AK35" s="567">
        <v>22352.589</v>
      </c>
      <c r="AL35" s="568">
        <f t="shared" si="8"/>
        <v>6.2832542574822098E-2</v>
      </c>
      <c r="AN35" s="23"/>
    </row>
    <row r="36" spans="2:40">
      <c r="B36" s="4070" t="s">
        <v>41</v>
      </c>
      <c r="D36" s="4186">
        <v>2836168</v>
      </c>
      <c r="E36" s="4187">
        <v>27066559</v>
      </c>
      <c r="F36" s="4181">
        <f t="shared" si="7"/>
        <v>0.10478494883668071</v>
      </c>
      <c r="H36" s="3364">
        <v>1610251</v>
      </c>
      <c r="I36" s="3364">
        <v>22560915</v>
      </c>
      <c r="J36" s="3376">
        <f t="shared" si="24"/>
        <v>7.1373479311455226E-2</v>
      </c>
      <c r="L36" s="3364">
        <v>8533529</v>
      </c>
      <c r="M36" s="3364">
        <v>33033756</v>
      </c>
      <c r="N36" s="3376">
        <f t="shared" si="1"/>
        <v>0.25832754228734994</v>
      </c>
      <c r="P36" s="2023">
        <v>4422325</v>
      </c>
      <c r="Q36" s="2023">
        <v>26966160.77</v>
      </c>
      <c r="R36" s="2027">
        <f t="shared" si="25"/>
        <v>0.16399535097780255</v>
      </c>
      <c r="T36" s="246">
        <v>2425865.6100000003</v>
      </c>
      <c r="U36" s="246">
        <v>25115423.980000004</v>
      </c>
      <c r="V36" s="568">
        <f t="shared" si="26"/>
        <v>9.6588678412587156E-2</v>
      </c>
      <c r="X36" s="246">
        <v>4359280.3599999994</v>
      </c>
      <c r="Y36" s="246">
        <v>25412030.869999997</v>
      </c>
      <c r="Z36" s="568">
        <f t="shared" si="27"/>
        <v>0.17154395814725373</v>
      </c>
      <c r="AB36" s="246">
        <v>2243.2890000000002</v>
      </c>
      <c r="AC36" s="246">
        <v>23737.074000000001</v>
      </c>
      <c r="AD36" s="568">
        <f t="shared" si="28"/>
        <v>9.4505708664850613E-2</v>
      </c>
      <c r="AF36" s="246">
        <v>18981.408009999999</v>
      </c>
      <c r="AG36" s="246">
        <v>47855.210240000102</v>
      </c>
      <c r="AH36" s="568">
        <f t="shared" si="6"/>
        <v>0.39664245365981615</v>
      </c>
      <c r="AJ36" s="567">
        <v>10205.030000000001</v>
      </c>
      <c r="AK36" s="567">
        <v>37177.546999999999</v>
      </c>
      <c r="AL36" s="568">
        <f t="shared" si="8"/>
        <v>0.27449444149717572</v>
      </c>
      <c r="AN36" s="23"/>
    </row>
    <row r="37" spans="2:40">
      <c r="B37" s="4070" t="s">
        <v>21</v>
      </c>
      <c r="D37" s="4186">
        <v>911647</v>
      </c>
      <c r="E37" s="4187">
        <v>8324527</v>
      </c>
      <c r="F37" s="4181">
        <f t="shared" si="7"/>
        <v>0.10951336934819239</v>
      </c>
      <c r="H37" s="3364">
        <v>716001</v>
      </c>
      <c r="I37" s="3364">
        <v>8347434</v>
      </c>
      <c r="J37" s="3376">
        <f t="shared" si="24"/>
        <v>8.5774981868679642E-2</v>
      </c>
      <c r="L37" s="3364">
        <v>2222242</v>
      </c>
      <c r="M37" s="3364">
        <v>9629343</v>
      </c>
      <c r="N37" s="3376">
        <f t="shared" si="1"/>
        <v>0.23077815381589378</v>
      </c>
      <c r="P37" s="2023">
        <v>1125974</v>
      </c>
      <c r="Q37" s="2023">
        <v>8354540.75</v>
      </c>
      <c r="R37" s="2027">
        <f t="shared" si="25"/>
        <v>0.13477389526168748</v>
      </c>
      <c r="T37" s="246">
        <v>572329.55000000005</v>
      </c>
      <c r="U37" s="246">
        <v>8512811.1599999983</v>
      </c>
      <c r="V37" s="568">
        <f t="shared" si="26"/>
        <v>6.7231557148743348E-2</v>
      </c>
      <c r="X37" s="246">
        <v>2205726.7199999997</v>
      </c>
      <c r="Y37" s="246">
        <v>11755729.889999999</v>
      </c>
      <c r="Z37" s="568">
        <f t="shared" si="27"/>
        <v>0.18762992520577554</v>
      </c>
      <c r="AB37" s="246">
        <v>458.38299999999998</v>
      </c>
      <c r="AC37" s="246">
        <v>8285.6290000000008</v>
      </c>
      <c r="AD37" s="568">
        <f t="shared" si="28"/>
        <v>5.5322655648714171E-2</v>
      </c>
      <c r="AF37" s="246">
        <v>3345.7326800000001</v>
      </c>
      <c r="AG37" s="246">
        <v>14017.052530000001</v>
      </c>
      <c r="AH37" s="568">
        <f t="shared" si="6"/>
        <v>0.23869017204860257</v>
      </c>
      <c r="AJ37" s="567">
        <v>2070.1930000000002</v>
      </c>
      <c r="AK37" s="567">
        <v>10637.235000000001</v>
      </c>
      <c r="AL37" s="568">
        <f t="shared" si="8"/>
        <v>0.19461758624304154</v>
      </c>
      <c r="AN37" s="23"/>
    </row>
    <row r="38" spans="2:40">
      <c r="B38" s="4070" t="s">
        <v>85</v>
      </c>
      <c r="D38" s="4186">
        <v>9014224</v>
      </c>
      <c r="E38" s="4187">
        <v>117061346</v>
      </c>
      <c r="F38" s="4181">
        <f t="shared" si="7"/>
        <v>7.7004274322969093E-2</v>
      </c>
      <c r="H38" s="3364">
        <v>6689382</v>
      </c>
      <c r="I38" s="3364">
        <v>99701583</v>
      </c>
      <c r="J38" s="3376">
        <f t="shared" si="24"/>
        <v>6.7094040021410686E-2</v>
      </c>
      <c r="L38" s="3364">
        <v>11495481</v>
      </c>
      <c r="M38" s="3364">
        <v>100014616</v>
      </c>
      <c r="N38" s="3376">
        <f t="shared" si="1"/>
        <v>0.11493801066036188</v>
      </c>
      <c r="P38" s="2023">
        <v>15331829</v>
      </c>
      <c r="Q38" s="2023">
        <v>141706982.87</v>
      </c>
      <c r="R38" s="2027">
        <f t="shared" si="25"/>
        <v>0.10819388494119027</v>
      </c>
      <c r="T38" s="246">
        <v>10534989.420000002</v>
      </c>
      <c r="U38" s="246">
        <v>107382374.99000004</v>
      </c>
      <c r="V38" s="568">
        <f t="shared" si="26"/>
        <v>9.8107249173629008E-2</v>
      </c>
      <c r="X38" s="246">
        <v>13828394.439999999</v>
      </c>
      <c r="Y38" s="246">
        <v>122362059</v>
      </c>
      <c r="Z38" s="568">
        <f t="shared" si="27"/>
        <v>0.11301210974228539</v>
      </c>
      <c r="AB38" s="246">
        <v>12542.671</v>
      </c>
      <c r="AC38" s="246">
        <v>99945.835999999996</v>
      </c>
      <c r="AD38" s="568">
        <f t="shared" si="28"/>
        <v>0.12549468294006766</v>
      </c>
      <c r="AF38" s="246">
        <v>24573.869269999999</v>
      </c>
      <c r="AG38" s="246">
        <v>173213.75023000001</v>
      </c>
      <c r="AH38" s="568">
        <f t="shared" si="6"/>
        <v>0.14187019931945272</v>
      </c>
      <c r="AJ38" s="567">
        <v>20190.496999999999</v>
      </c>
      <c r="AK38" s="567">
        <v>181075.38399999999</v>
      </c>
      <c r="AL38" s="568">
        <f t="shared" si="8"/>
        <v>0.11150326761146065</v>
      </c>
      <c r="AN38" s="23"/>
    </row>
    <row r="39" spans="2:40">
      <c r="B39" s="4070" t="s">
        <v>86</v>
      </c>
      <c r="D39" s="4186">
        <v>1745703</v>
      </c>
      <c r="E39" s="4187">
        <v>13345297</v>
      </c>
      <c r="F39" s="4181">
        <f t="shared" si="7"/>
        <v>0.13081035214128242</v>
      </c>
      <c r="H39" s="3364">
        <v>80049</v>
      </c>
      <c r="I39" s="3364">
        <v>13680271</v>
      </c>
      <c r="J39" s="3376">
        <f t="shared" si="24"/>
        <v>5.8514191714476999E-3</v>
      </c>
      <c r="L39" s="3364">
        <v>1176113</v>
      </c>
      <c r="M39" s="3364">
        <v>17244619</v>
      </c>
      <c r="N39" s="3376">
        <f t="shared" si="1"/>
        <v>6.8201738756884109E-2</v>
      </c>
      <c r="P39" s="2023">
        <v>7701497</v>
      </c>
      <c r="Q39" s="2023">
        <v>27328570.91</v>
      </c>
      <c r="R39" s="2027">
        <f t="shared" si="25"/>
        <v>0.28181118673797495</v>
      </c>
      <c r="T39" s="246">
        <v>4647901.47</v>
      </c>
      <c r="U39" s="246">
        <v>23994530.239999998</v>
      </c>
      <c r="V39" s="568">
        <f t="shared" si="26"/>
        <v>0.19370670830019968</v>
      </c>
      <c r="X39" s="246">
        <v>2465409.5</v>
      </c>
      <c r="Y39" s="246">
        <v>28787836.789999995</v>
      </c>
      <c r="Z39" s="568">
        <f t="shared" si="27"/>
        <v>8.5640665465228943E-2</v>
      </c>
      <c r="AB39" s="246">
        <v>2353.7669999999998</v>
      </c>
      <c r="AC39" s="246">
        <v>32351.325000000001</v>
      </c>
      <c r="AD39" s="568">
        <f t="shared" si="28"/>
        <v>7.275643269634241E-2</v>
      </c>
      <c r="AF39" s="246">
        <v>4420.9780199999996</v>
      </c>
      <c r="AG39" s="246">
        <v>34200.820679999997</v>
      </c>
      <c r="AH39" s="568">
        <f t="shared" si="6"/>
        <v>0.12926526124518717</v>
      </c>
      <c r="AJ39" s="567">
        <v>1538.1089999999999</v>
      </c>
      <c r="AK39" s="567">
        <v>27559.028999999999</v>
      </c>
      <c r="AL39" s="568">
        <f t="shared" si="8"/>
        <v>5.5811436607581491E-2</v>
      </c>
      <c r="AN39" s="23"/>
    </row>
    <row r="40" spans="2:40">
      <c r="B40" s="4194" t="s">
        <v>48</v>
      </c>
      <c r="D40" s="4188">
        <v>15311633</v>
      </c>
      <c r="E40" s="4189">
        <v>184942303</v>
      </c>
      <c r="F40" s="4182">
        <f t="shared" si="7"/>
        <v>8.2791404408973965E-2</v>
      </c>
      <c r="H40" s="3367">
        <f>SUM(H35:H39)</f>
        <v>9609827</v>
      </c>
      <c r="I40" s="3367">
        <f>SUM(I35:I39)</f>
        <v>163663187</v>
      </c>
      <c r="J40" s="3375">
        <f t="shared" si="24"/>
        <v>5.8717095616621473E-2</v>
      </c>
      <c r="L40" s="3367">
        <f>SUM(L35:L39)</f>
        <v>24676687</v>
      </c>
      <c r="M40" s="3367">
        <f>SUM(M35:M39)</f>
        <v>181604365</v>
      </c>
      <c r="N40" s="3375">
        <f t="shared" si="1"/>
        <v>0.13588157421216168</v>
      </c>
      <c r="P40" s="2025">
        <f>SUM(P35:P39)</f>
        <v>29350664</v>
      </c>
      <c r="Q40" s="2025">
        <f>SUM(Q35:Q39)</f>
        <v>222504162.41</v>
      </c>
      <c r="R40" s="2026">
        <f t="shared" si="25"/>
        <v>0.13191062891631053</v>
      </c>
      <c r="T40" s="247">
        <f>SUM(T35:T39)</f>
        <v>19127376.450000003</v>
      </c>
      <c r="U40" s="247">
        <v>187433395.82000005</v>
      </c>
      <c r="V40" s="325">
        <f t="shared" si="26"/>
        <v>0.10204892445297638</v>
      </c>
      <c r="X40" s="249">
        <f>SUM(X35:X39)</f>
        <v>25658412.089999996</v>
      </c>
      <c r="Y40" s="249">
        <f>SUM(Y35:Y39)</f>
        <v>212940143.27000001</v>
      </c>
      <c r="Z40" s="325">
        <f t="shared" si="27"/>
        <v>0.12049589004674476</v>
      </c>
      <c r="AB40" s="247">
        <f>SUM(AB35:AB39)</f>
        <v>18256.084000000003</v>
      </c>
      <c r="AC40" s="247">
        <f>SUM(AC35:AC39)</f>
        <v>185877.29399999999</v>
      </c>
      <c r="AD40" s="325">
        <f t="shared" si="28"/>
        <v>9.821578314993118E-2</v>
      </c>
      <c r="AF40" s="247">
        <f>SUM(AF35:AF39)</f>
        <v>55787.47479</v>
      </c>
      <c r="AG40" s="247">
        <f>SUM(AG35:AG39)</f>
        <v>302891.87547000009</v>
      </c>
      <c r="AH40" s="325">
        <f t="shared" si="6"/>
        <v>0.18418280352826918</v>
      </c>
      <c r="AJ40" s="247">
        <f>SUM(AJ35:AJ39)</f>
        <v>35408.298999999999</v>
      </c>
      <c r="AK40" s="247">
        <f>SUM(AK35:AK39)</f>
        <v>278801.78399999999</v>
      </c>
      <c r="AL40" s="569">
        <f t="shared" si="8"/>
        <v>0.1270016945085258</v>
      </c>
      <c r="AN40" s="23"/>
    </row>
    <row r="41" spans="2:40">
      <c r="B41" s="191"/>
      <c r="D41" s="4190"/>
      <c r="E41" s="4190"/>
      <c r="F41" s="4183"/>
      <c r="J41" s="2647"/>
      <c r="N41" s="2647"/>
      <c r="R41" s="46"/>
      <c r="V41" s="46"/>
      <c r="Z41" s="46"/>
      <c r="AD41" s="46"/>
      <c r="AH41" s="46"/>
      <c r="AL41" s="46"/>
      <c r="AN41" s="23"/>
    </row>
    <row r="42" spans="2:40">
      <c r="B42" s="3546" t="s">
        <v>87</v>
      </c>
      <c r="D42" s="4191">
        <v>20242847</v>
      </c>
      <c r="E42" s="4192">
        <v>772292925</v>
      </c>
      <c r="F42" s="4182">
        <f t="shared" si="7"/>
        <v>2.6211358857133129E-2</v>
      </c>
      <c r="H42" s="3367">
        <v>22876537</v>
      </c>
      <c r="I42" s="3366">
        <f>1689570389-1030606703</f>
        <v>658963686</v>
      </c>
      <c r="J42" s="3375">
        <f t="shared" ref="J42" si="29">H42/I42</f>
        <v>3.4715929702991248E-2</v>
      </c>
      <c r="L42" s="3367">
        <v>6478793</v>
      </c>
      <c r="M42" s="3366">
        <v>323814823.56999999</v>
      </c>
      <c r="N42" s="3375">
        <f t="shared" si="1"/>
        <v>2.000770974155067E-2</v>
      </c>
      <c r="P42" s="2025">
        <v>14180029.460000001</v>
      </c>
      <c r="Q42" s="2025">
        <v>386904713.12000006</v>
      </c>
      <c r="R42" s="2026">
        <f t="shared" ref="R42" si="30">P42/Q42</f>
        <v>3.6649926917799031E-2</v>
      </c>
      <c r="T42" s="247">
        <v>6207434.8100000005</v>
      </c>
      <c r="U42" s="247">
        <v>348170844.51000005</v>
      </c>
      <c r="V42" s="325">
        <f t="shared" ref="V42" si="31">T42/U42</f>
        <v>1.7828703660514898E-2</v>
      </c>
      <c r="X42" s="249">
        <v>55779082</v>
      </c>
      <c r="Y42" s="250">
        <v>241904405</v>
      </c>
      <c r="Z42" s="325">
        <f t="shared" ref="Z42" si="32">X42/Y42</f>
        <v>0.23058315949227962</v>
      </c>
      <c r="AB42" s="247">
        <v>314.04399999999998</v>
      </c>
      <c r="AC42" s="248">
        <v>215342.73699999999</v>
      </c>
      <c r="AD42" s="325">
        <f t="shared" ref="AD42" si="33">AB42/AC42</f>
        <v>1.4583449823989188E-3</v>
      </c>
      <c r="AF42" s="247">
        <v>54737.291879999997</v>
      </c>
      <c r="AG42" s="248">
        <v>254566.56563</v>
      </c>
      <c r="AH42" s="325">
        <f t="shared" si="6"/>
        <v>0.21502152784493295</v>
      </c>
      <c r="AJ42" s="247">
        <v>88020.993000000002</v>
      </c>
      <c r="AK42" s="247">
        <v>283877.58199999999</v>
      </c>
      <c r="AL42" s="569">
        <f t="shared" si="8"/>
        <v>0.31006672798840451</v>
      </c>
      <c r="AN42" s="23"/>
    </row>
    <row r="43" spans="2:40">
      <c r="B43" s="237"/>
      <c r="D43" s="4190"/>
      <c r="E43" s="4190"/>
      <c r="F43" s="4183"/>
      <c r="J43" s="2647"/>
      <c r="N43" s="2647"/>
      <c r="R43" s="46"/>
      <c r="V43" s="46"/>
      <c r="Z43" s="46"/>
      <c r="AD43" s="46"/>
      <c r="AH43" s="46"/>
      <c r="AL43" s="46"/>
      <c r="AN43" s="23"/>
    </row>
    <row r="44" spans="2:40">
      <c r="B44" s="3547" t="s">
        <v>67</v>
      </c>
      <c r="D44" s="4191">
        <f>SUM(D12,D19,D26,D33,D40,D42)</f>
        <v>90404228</v>
      </c>
      <c r="E44" s="4191">
        <f>SUM(E12,E19,E26,E33,E40,E42)</f>
        <v>1457829112</v>
      </c>
      <c r="F44" s="4195">
        <f t="shared" si="7"/>
        <v>6.2012911702644058E-2</v>
      </c>
      <c r="H44" s="3370">
        <f>+H12+H19+H26+H33+H40+H42</f>
        <v>76900248</v>
      </c>
      <c r="I44" s="3370">
        <f>+I12+I19+I26+I33+I40+I42</f>
        <v>1302443907</v>
      </c>
      <c r="J44" s="3378">
        <f t="shared" ref="J44" si="34">H44/I44</f>
        <v>5.904304023129036E-2</v>
      </c>
      <c r="L44" s="3370">
        <f>+L12+L19+L26+L33+L40+L42</f>
        <v>94041754</v>
      </c>
      <c r="M44" s="3370">
        <f>+M12+M19+M26+M33+M40+M42</f>
        <v>982995219.18000007</v>
      </c>
      <c r="N44" s="3378">
        <f t="shared" si="1"/>
        <v>9.5668577186416248E-2</v>
      </c>
      <c r="P44" s="2028">
        <f>SUM(P12,P19,P26,P33,P40,P42)</f>
        <v>116398170.46000001</v>
      </c>
      <c r="Q44" s="2028">
        <f>SUM(Q12,Q19,Q26,Q33,Q40,Q42)</f>
        <v>1160424943.79</v>
      </c>
      <c r="R44" s="2029">
        <f t="shared" ref="R44" si="35">P44/Q44</f>
        <v>0.10030650502895806</v>
      </c>
      <c r="T44" s="571">
        <f>+T12+T19+T26+T33+T40+T42</f>
        <v>89156702.170000002</v>
      </c>
      <c r="U44" s="571">
        <f>+U12+U19+U26+U33+U40+U42</f>
        <v>1038871585.1400001</v>
      </c>
      <c r="V44" s="326">
        <f t="shared" ref="V44" si="36">T44/U44</f>
        <v>8.5820714942343029E-2</v>
      </c>
      <c r="X44" s="571">
        <f>+X12+X19+X26+X33+X40+X42</f>
        <v>168686988.22</v>
      </c>
      <c r="Y44" s="571">
        <f>+Y12+Y19+Y26+Y33+Y40+Y42</f>
        <v>1106716834.3299999</v>
      </c>
      <c r="Z44" s="326">
        <f t="shared" ref="Z44" si="37">X44/Y44</f>
        <v>0.15242109181624777</v>
      </c>
      <c r="AB44" s="571">
        <f>+AB12+AB19+AB26+AB33+AB40+AB42</f>
        <v>70109.000999999989</v>
      </c>
      <c r="AC44" s="571">
        <f>+AC12+AC19+AC26+AC33+AC40+AC42</f>
        <v>1533595.5649999999</v>
      </c>
      <c r="AD44" s="325">
        <f t="shared" ref="AD44" si="38">AB44/AC44</f>
        <v>4.5715443236822341E-2</v>
      </c>
      <c r="AF44" s="571">
        <f>+AF12+AF19+AF26+AF33+AF40+AF42</f>
        <v>224920.97812000001</v>
      </c>
      <c r="AG44" s="571">
        <f>+AG12+AG19+AG26+AG33+AG40+AG42</f>
        <v>1797886.3857700001</v>
      </c>
      <c r="AH44" s="325">
        <f t="shared" si="6"/>
        <v>0.12510299866566413</v>
      </c>
      <c r="AJ44" s="571">
        <f>+AJ12+AJ19+AJ26+AJ33+AJ40+AJ42</f>
        <v>221981.973</v>
      </c>
      <c r="AK44" s="571">
        <f>+AK12+AK19+AK26+AK33+AK40+AK42</f>
        <v>1401133.0219999999</v>
      </c>
      <c r="AL44" s="325">
        <f t="shared" si="8"/>
        <v>0.15843033424702199</v>
      </c>
    </row>
    <row r="45" spans="2:40">
      <c r="AD45" s="3"/>
      <c r="AH45" s="3"/>
    </row>
    <row r="46" spans="2:40">
      <c r="T46" s="73" t="s">
        <v>881</v>
      </c>
      <c r="AB46" s="73" t="s">
        <v>530</v>
      </c>
      <c r="AC46" s="54"/>
      <c r="AD46" s="181"/>
      <c r="AE46" s="54"/>
      <c r="AF46" s="54" t="s">
        <v>475</v>
      </c>
      <c r="AG46" s="54"/>
      <c r="AH46" s="181"/>
      <c r="AI46" s="54"/>
      <c r="AJ46" s="54" t="s">
        <v>168</v>
      </c>
      <c r="AK46" s="54"/>
    </row>
    <row r="47" spans="2:40">
      <c r="AB47" s="54"/>
      <c r="AC47" s="54"/>
      <c r="AD47" s="54"/>
      <c r="AE47" s="54"/>
      <c r="AF47" s="54"/>
      <c r="AG47" s="54"/>
      <c r="AH47" s="54"/>
      <c r="AI47" s="54"/>
      <c r="AJ47" s="54"/>
      <c r="AK47" s="54"/>
    </row>
    <row r="53" spans="28:28">
      <c r="AB53" s="43"/>
    </row>
    <row r="57" spans="28:28">
      <c r="AB57" s="40"/>
    </row>
  </sheetData>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sheetPr>
    <tabColor theme="7" tint="-0.499984740745262"/>
    <pageSetUpPr fitToPage="1"/>
  </sheetPr>
  <dimension ref="A2:BC53"/>
  <sheetViews>
    <sheetView showGridLines="0" workbookViewId="0"/>
  </sheetViews>
  <sheetFormatPr baseColWidth="10" defaultRowHeight="15"/>
  <cols>
    <col min="1" max="1" width="16.42578125" bestFit="1" customWidth="1"/>
    <col min="2" max="2" width="1.7109375" customWidth="1"/>
    <col min="3" max="3" width="13" bestFit="1" customWidth="1"/>
    <col min="4" max="4" width="15" bestFit="1" customWidth="1"/>
    <col min="5" max="5" width="12.5703125" bestFit="1" customWidth="1"/>
    <col min="6" max="6" width="25.85546875" customWidth="1"/>
    <col min="7" max="7" width="10.7109375" customWidth="1"/>
    <col min="8" max="8" width="1.7109375" customWidth="1"/>
    <col min="9" max="9" width="13" bestFit="1" customWidth="1"/>
    <col min="10" max="10" width="15" bestFit="1" customWidth="1"/>
    <col min="11" max="11" width="12.5703125" bestFit="1" customWidth="1"/>
    <col min="12" max="12" width="26" customWidth="1"/>
    <col min="14" max="14" width="1.85546875" customWidth="1"/>
    <col min="15" max="15" width="13" bestFit="1" customWidth="1"/>
    <col min="16" max="16" width="15" bestFit="1" customWidth="1"/>
    <col min="17" max="17" width="12.5703125" bestFit="1" customWidth="1"/>
    <col min="18" max="18" width="26.85546875" customWidth="1"/>
    <col min="19" max="19" width="9.42578125" customWidth="1"/>
    <col min="20" max="20" width="1.85546875" customWidth="1"/>
    <col min="21" max="21" width="13" bestFit="1" customWidth="1"/>
    <col min="22" max="22" width="15" bestFit="1" customWidth="1"/>
    <col min="23" max="23" width="15.7109375" customWidth="1"/>
    <col min="24" max="24" width="27.28515625" customWidth="1"/>
    <col min="25" max="25" width="9.7109375" customWidth="1"/>
    <col min="26" max="26" width="1.85546875" customWidth="1"/>
    <col min="27" max="29" width="15.7109375" customWidth="1"/>
    <col min="30" max="30" width="26.140625" customWidth="1"/>
    <col min="31" max="31" width="15.7109375" customWidth="1"/>
    <col min="32" max="32" width="1.85546875" customWidth="1"/>
    <col min="33" max="34" width="15.7109375" customWidth="1"/>
    <col min="35" max="35" width="15.28515625" customWidth="1"/>
    <col min="36" max="36" width="26.85546875" customWidth="1"/>
    <col min="37" max="37" width="12.28515625" customWidth="1"/>
    <col min="38" max="38" width="1.7109375" customWidth="1"/>
    <col min="39" max="39" width="13.85546875" customWidth="1"/>
    <col min="40" max="40" width="15.85546875" bestFit="1" customWidth="1"/>
    <col min="41" max="41" width="13.42578125" bestFit="1" customWidth="1"/>
    <col min="42" max="42" width="26.28515625" customWidth="1"/>
    <col min="44" max="44" width="1.7109375" customWidth="1"/>
    <col min="45" max="45" width="14.140625" customWidth="1"/>
    <col min="46" max="46" width="15.28515625" customWidth="1"/>
    <col min="47" max="47" width="13.7109375" customWidth="1"/>
    <col min="48" max="48" width="26.7109375" customWidth="1"/>
    <col min="50" max="50" width="1.7109375" customWidth="1"/>
    <col min="51" max="51" width="13.42578125" bestFit="1" customWidth="1"/>
    <col min="52" max="52" width="15" bestFit="1" customWidth="1"/>
    <col min="53" max="53" width="11.7109375" customWidth="1"/>
    <col min="54" max="54" width="26.28515625" customWidth="1"/>
  </cols>
  <sheetData>
    <row r="2" spans="1:55" ht="15.75">
      <c r="A2" s="142"/>
      <c r="B2" s="142"/>
      <c r="C2" s="9" t="s">
        <v>486</v>
      </c>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S2" s="142"/>
      <c r="AT2" s="142"/>
      <c r="AU2" s="142"/>
      <c r="AV2" s="142"/>
      <c r="AW2" s="142"/>
      <c r="AY2" s="9"/>
      <c r="AZ2" s="9"/>
      <c r="BA2" s="9"/>
      <c r="BB2" s="9"/>
      <c r="BC2" s="9"/>
    </row>
    <row r="3" spans="1:55">
      <c r="AQ3" s="120" t="s">
        <v>98</v>
      </c>
      <c r="AW3" s="120" t="s">
        <v>98</v>
      </c>
      <c r="BC3" s="120" t="s">
        <v>98</v>
      </c>
    </row>
    <row r="4" spans="1:55">
      <c r="A4" s="5260" t="s">
        <v>2763</v>
      </c>
      <c r="C4" s="5354" t="s">
        <v>2766</v>
      </c>
      <c r="D4" s="5354"/>
      <c r="E4" s="5354"/>
      <c r="F4" s="5350" t="s">
        <v>2765</v>
      </c>
      <c r="G4" s="5352" t="s">
        <v>76</v>
      </c>
      <c r="I4" s="5344" t="s">
        <v>2732</v>
      </c>
      <c r="J4" s="5344"/>
      <c r="K4" s="5344"/>
      <c r="L4" s="5348" t="s">
        <v>2733</v>
      </c>
      <c r="M4" s="5355" t="s">
        <v>76</v>
      </c>
      <c r="O4" s="5344" t="s">
        <v>2027</v>
      </c>
      <c r="P4" s="5344"/>
      <c r="Q4" s="5344"/>
      <c r="R4" s="5348" t="s">
        <v>2026</v>
      </c>
      <c r="S4" s="5355" t="s">
        <v>76</v>
      </c>
      <c r="U4" s="5343" t="s">
        <v>1820</v>
      </c>
      <c r="V4" s="5343"/>
      <c r="W4" s="5343"/>
      <c r="X4" s="5346" t="s">
        <v>2028</v>
      </c>
      <c r="Y4" s="5345" t="s">
        <v>76</v>
      </c>
      <c r="AA4" s="5343" t="s">
        <v>873</v>
      </c>
      <c r="AB4" s="5343"/>
      <c r="AC4" s="5343"/>
      <c r="AD4" s="5346" t="s">
        <v>874</v>
      </c>
      <c r="AE4" s="5345" t="s">
        <v>76</v>
      </c>
      <c r="AG4" s="5343" t="s">
        <v>732</v>
      </c>
      <c r="AH4" s="5343"/>
      <c r="AI4" s="5343"/>
      <c r="AJ4" s="5346" t="s">
        <v>733</v>
      </c>
      <c r="AK4" s="5345" t="s">
        <v>76</v>
      </c>
      <c r="AM4" s="5343" t="s">
        <v>532</v>
      </c>
      <c r="AN4" s="5343"/>
      <c r="AO4" s="5343"/>
      <c r="AP4" s="5346" t="s">
        <v>531</v>
      </c>
      <c r="AQ4" s="5345" t="s">
        <v>76</v>
      </c>
      <c r="AS4" s="5343" t="s">
        <v>641</v>
      </c>
      <c r="AT4" s="5343"/>
      <c r="AU4" s="5343"/>
      <c r="AV4" s="5346" t="s">
        <v>471</v>
      </c>
      <c r="AW4" s="5345" t="s">
        <v>76</v>
      </c>
      <c r="AY4" s="5343" t="s">
        <v>749</v>
      </c>
      <c r="AZ4" s="5343"/>
      <c r="BA4" s="5343"/>
      <c r="BB4" s="5346" t="s">
        <v>334</v>
      </c>
      <c r="BC4" s="5345" t="s">
        <v>76</v>
      </c>
    </row>
    <row r="5" spans="1:55" ht="24.75" customHeight="1" thickBot="1">
      <c r="A5" s="5261"/>
      <c r="C5" s="3501" t="s">
        <v>2744</v>
      </c>
      <c r="D5" s="3501" t="s">
        <v>335</v>
      </c>
      <c r="E5" s="3501" t="s">
        <v>15</v>
      </c>
      <c r="F5" s="5351"/>
      <c r="G5" s="5353"/>
      <c r="I5" s="3363" t="s">
        <v>2744</v>
      </c>
      <c r="J5" s="3363" t="s">
        <v>335</v>
      </c>
      <c r="K5" s="3363" t="s">
        <v>15</v>
      </c>
      <c r="L5" s="5349"/>
      <c r="M5" s="5355"/>
      <c r="O5" s="3363" t="s">
        <v>2744</v>
      </c>
      <c r="P5" s="3363" t="s">
        <v>335</v>
      </c>
      <c r="Q5" s="3363" t="s">
        <v>15</v>
      </c>
      <c r="R5" s="5349"/>
      <c r="S5" s="5355"/>
      <c r="U5" s="3361" t="s">
        <v>2744</v>
      </c>
      <c r="V5" s="572" t="s">
        <v>335</v>
      </c>
      <c r="W5" s="572" t="s">
        <v>15</v>
      </c>
      <c r="X5" s="5347"/>
      <c r="Y5" s="5345"/>
      <c r="AA5" s="3361" t="s">
        <v>2744</v>
      </c>
      <c r="AB5" s="572" t="s">
        <v>335</v>
      </c>
      <c r="AC5" s="572" t="s">
        <v>15</v>
      </c>
      <c r="AD5" s="5347"/>
      <c r="AE5" s="5345"/>
      <c r="AG5" s="3361" t="s">
        <v>2744</v>
      </c>
      <c r="AH5" s="572" t="s">
        <v>335</v>
      </c>
      <c r="AI5" s="572" t="s">
        <v>15</v>
      </c>
      <c r="AJ5" s="5347"/>
      <c r="AK5" s="5345"/>
      <c r="AM5" s="3361" t="s">
        <v>2744</v>
      </c>
      <c r="AN5" s="572" t="s">
        <v>335</v>
      </c>
      <c r="AO5" s="572" t="s">
        <v>15</v>
      </c>
      <c r="AP5" s="5347"/>
      <c r="AQ5" s="5345"/>
      <c r="AS5" s="3361" t="s">
        <v>2744</v>
      </c>
      <c r="AT5" s="572" t="s">
        <v>335</v>
      </c>
      <c r="AU5" s="572" t="s">
        <v>15</v>
      </c>
      <c r="AV5" s="5347"/>
      <c r="AW5" s="5345"/>
      <c r="AY5" s="3361" t="s">
        <v>2744</v>
      </c>
      <c r="AZ5" s="572" t="s">
        <v>335</v>
      </c>
      <c r="BA5" s="572" t="s">
        <v>15</v>
      </c>
      <c r="BB5" s="5347"/>
      <c r="BC5" s="5345"/>
    </row>
    <row r="6" spans="1:55">
      <c r="A6" s="191"/>
    </row>
    <row r="7" spans="1:55">
      <c r="A7" s="3536" t="s">
        <v>4</v>
      </c>
      <c r="C7" s="3539">
        <v>0</v>
      </c>
      <c r="D7" s="3534">
        <v>849231</v>
      </c>
      <c r="E7" s="3534">
        <v>849231</v>
      </c>
      <c r="F7" s="4196">
        <v>33138159</v>
      </c>
      <c r="G7" s="4200">
        <f t="shared" ref="G7:G12" si="0">+E7/F7</f>
        <v>2.562698187307267E-2</v>
      </c>
      <c r="I7" s="3364">
        <v>0</v>
      </c>
      <c r="J7" s="3364">
        <v>500899</v>
      </c>
      <c r="K7" s="3364">
        <f>SUM(I7:J7)</f>
        <v>500899</v>
      </c>
      <c r="L7" s="3364">
        <v>31697031</v>
      </c>
      <c r="M7" s="3365">
        <f t="shared" ref="M7:M12" si="1">+K7/L7</f>
        <v>1.5802710354796322E-2</v>
      </c>
      <c r="O7" s="3364">
        <v>1001000</v>
      </c>
      <c r="P7" s="3364">
        <f>5663500-O7</f>
        <v>4662500</v>
      </c>
      <c r="Q7" s="3364">
        <f>SUM(O7:P7)</f>
        <v>5663500</v>
      </c>
      <c r="R7" s="3364">
        <v>38450430.039999999</v>
      </c>
      <c r="S7" s="3365">
        <f t="shared" ref="S7:S12" si="2">+Q7/R7</f>
        <v>0.14729354116737467</v>
      </c>
      <c r="U7" s="2023">
        <v>844970.71</v>
      </c>
      <c r="V7" s="2030">
        <v>3710393.2</v>
      </c>
      <c r="W7" s="2030">
        <f>SUM(U7:V7)</f>
        <v>4555363.91</v>
      </c>
      <c r="X7" s="2023">
        <v>35543810.870000005</v>
      </c>
      <c r="Y7" s="2031">
        <f t="shared" ref="Y7:Y12" si="3">+W7/X7</f>
        <v>0.12816194433008471</v>
      </c>
      <c r="AA7" s="246">
        <v>496211.23</v>
      </c>
      <c r="AB7" s="251">
        <f>443410+3026291</f>
        <v>3469701</v>
      </c>
      <c r="AC7" s="251">
        <f>SUM(AA7:AB7)</f>
        <v>3965912.23</v>
      </c>
      <c r="AD7" s="246">
        <v>37150502.970000006</v>
      </c>
      <c r="AE7" s="573">
        <f t="shared" ref="AE7:AE12" si="4">+AC7/AD7</f>
        <v>0.10675258510504089</v>
      </c>
      <c r="AG7" s="246">
        <v>941049.04</v>
      </c>
      <c r="AH7" s="246">
        <v>2684615.3</v>
      </c>
      <c r="AI7" s="251">
        <f>SUM(AG7:AH7)</f>
        <v>3625664.34</v>
      </c>
      <c r="AJ7" s="246">
        <v>36092182</v>
      </c>
      <c r="AK7" s="573">
        <f t="shared" ref="AK7:AK12" si="5">+AI7/AJ7</f>
        <v>0.10045567042746266</v>
      </c>
      <c r="AM7" s="246">
        <v>466972</v>
      </c>
      <c r="AN7" s="246">
        <v>3574990</v>
      </c>
      <c r="AO7" s="251">
        <f>SUM(AM7:AN7)</f>
        <v>4041962</v>
      </c>
      <c r="AP7" s="246">
        <v>35771043</v>
      </c>
      <c r="AQ7" s="573">
        <f t="shared" ref="AQ7:AQ12" si="6">+AO7/AP7</f>
        <v>0.11299536331663575</v>
      </c>
      <c r="AS7" s="246">
        <v>4595428.1500000004</v>
      </c>
      <c r="AT7" s="246">
        <v>3917091.59</v>
      </c>
      <c r="AU7" s="251">
        <f>SUM(AS7:AT7)</f>
        <v>8512519.7400000002</v>
      </c>
      <c r="AV7" s="246">
        <v>45371399.960000001</v>
      </c>
      <c r="AW7" s="573">
        <f t="shared" ref="AW7:AW12" si="7">+AU7/AV7</f>
        <v>0.1876186264365822</v>
      </c>
      <c r="AY7" s="574">
        <v>3389.4450000000002</v>
      </c>
      <c r="AZ7" s="251">
        <v>0</v>
      </c>
      <c r="BA7" s="251">
        <f>+AY7+AZ7</f>
        <v>3389.4450000000002</v>
      </c>
      <c r="BB7" s="567">
        <v>42459.078999999998</v>
      </c>
      <c r="BC7" s="573">
        <f t="shared" ref="BC7:BC12" si="8">+BA7/BB7</f>
        <v>7.9828509704602882E-2</v>
      </c>
    </row>
    <row r="8" spans="1:55">
      <c r="A8" s="3537" t="s">
        <v>16</v>
      </c>
      <c r="C8" s="3540">
        <v>0</v>
      </c>
      <c r="D8" s="3535">
        <v>273566</v>
      </c>
      <c r="E8" s="3535">
        <v>273566</v>
      </c>
      <c r="F8" s="4197">
        <v>19820196</v>
      </c>
      <c r="G8" s="4201">
        <f t="shared" si="0"/>
        <v>1.3802386212527868E-2</v>
      </c>
      <c r="I8" s="3364">
        <v>0</v>
      </c>
      <c r="J8" s="3364">
        <v>239881</v>
      </c>
      <c r="K8" s="3364">
        <f>SUM(I8:J8)</f>
        <v>239881</v>
      </c>
      <c r="L8" s="3364">
        <v>20637723</v>
      </c>
      <c r="M8" s="3365">
        <f t="shared" si="1"/>
        <v>1.162342376627499E-2</v>
      </c>
      <c r="O8" s="3364">
        <v>59355</v>
      </c>
      <c r="P8" s="3364">
        <f>347635-O8</f>
        <v>288280</v>
      </c>
      <c r="Q8" s="3364">
        <f>SUM(O8:P8)</f>
        <v>347635</v>
      </c>
      <c r="R8" s="3364">
        <v>23150899.690000001</v>
      </c>
      <c r="S8" s="3365">
        <f t="shared" si="2"/>
        <v>1.5016047093416437E-2</v>
      </c>
      <c r="U8" s="2023">
        <v>201168.5</v>
      </c>
      <c r="V8" s="2030">
        <v>421404.2</v>
      </c>
      <c r="W8" s="2030">
        <f t="shared" ref="W8:W10" si="9">SUM(U8:V8)</f>
        <v>622572.69999999995</v>
      </c>
      <c r="X8" s="2023">
        <v>23626185.829999991</v>
      </c>
      <c r="Y8" s="2031">
        <f t="shared" si="3"/>
        <v>2.6350960941375116E-2</v>
      </c>
      <c r="AA8" s="246">
        <v>108612.98</v>
      </c>
      <c r="AB8" s="251">
        <f>46782+287331</f>
        <v>334113</v>
      </c>
      <c r="AC8" s="251">
        <f t="shared" ref="AC8:AC10" si="10">SUM(AA8:AB8)</f>
        <v>442725.98</v>
      </c>
      <c r="AD8" s="246">
        <v>25466266.91</v>
      </c>
      <c r="AE8" s="573">
        <f t="shared" si="4"/>
        <v>1.7384800904059951E-2</v>
      </c>
      <c r="AG8" s="246">
        <v>85434.559999999998</v>
      </c>
      <c r="AH8" s="246">
        <v>551429.96</v>
      </c>
      <c r="AI8" s="251">
        <f t="shared" ref="AI8:AI10" si="11">SUM(AG8:AH8)</f>
        <v>636864.52</v>
      </c>
      <c r="AJ8" s="246">
        <v>23955700</v>
      </c>
      <c r="AK8" s="573">
        <f t="shared" si="5"/>
        <v>2.6585093318082963E-2</v>
      </c>
      <c r="AM8" s="246">
        <v>299160</v>
      </c>
      <c r="AN8" s="246">
        <v>426447</v>
      </c>
      <c r="AO8" s="251">
        <f t="shared" ref="AO8:AO10" si="12">SUM(AM8:AN8)</f>
        <v>725607</v>
      </c>
      <c r="AP8" s="246">
        <v>26090573</v>
      </c>
      <c r="AQ8" s="573">
        <f t="shared" si="6"/>
        <v>2.7811079503696604E-2</v>
      </c>
      <c r="AS8" s="246">
        <v>1070425.6499999999</v>
      </c>
      <c r="AT8" s="246">
        <v>432127.54</v>
      </c>
      <c r="AU8" s="251">
        <f t="shared" ref="AU8:AU10" si="13">SUM(AS8:AT8)</f>
        <v>1502553.19</v>
      </c>
      <c r="AV8" s="246">
        <v>37181375.359999999</v>
      </c>
      <c r="AW8" s="573">
        <f t="shared" si="7"/>
        <v>4.0411447275736277E-2</v>
      </c>
      <c r="AY8" s="574">
        <v>905.68700000000001</v>
      </c>
      <c r="AZ8" s="251">
        <v>5.0129999999999999</v>
      </c>
      <c r="BA8" s="251">
        <f>+AY8+AZ8</f>
        <v>910.7</v>
      </c>
      <c r="BB8" s="567">
        <v>28403.235000000001</v>
      </c>
      <c r="BC8" s="573">
        <f t="shared" si="8"/>
        <v>3.2063249133417376E-2</v>
      </c>
    </row>
    <row r="9" spans="1:55">
      <c r="A9" s="3537" t="s">
        <v>21</v>
      </c>
      <c r="C9" s="3540">
        <v>0</v>
      </c>
      <c r="D9" s="3535">
        <v>895101</v>
      </c>
      <c r="E9" s="3535">
        <v>895101</v>
      </c>
      <c r="F9" s="4197">
        <v>15338599</v>
      </c>
      <c r="G9" s="4201">
        <f t="shared" si="0"/>
        <v>5.8356111923911692E-2</v>
      </c>
      <c r="I9" s="3364">
        <v>0</v>
      </c>
      <c r="J9" s="3364">
        <v>1030674</v>
      </c>
      <c r="K9" s="3364">
        <f>SUM(I9:J9)</f>
        <v>1030674</v>
      </c>
      <c r="L9" s="3364">
        <v>13906313</v>
      </c>
      <c r="M9" s="3365">
        <f t="shared" si="1"/>
        <v>7.4115547377655022E-2</v>
      </c>
      <c r="O9" s="3364">
        <v>1446085</v>
      </c>
      <c r="P9" s="3364">
        <f>2379220-O9</f>
        <v>933135</v>
      </c>
      <c r="Q9" s="3364">
        <f>SUM(O9:P9)</f>
        <v>2379220</v>
      </c>
      <c r="R9" s="3364">
        <v>16257607.659999996</v>
      </c>
      <c r="S9" s="3365">
        <f t="shared" si="2"/>
        <v>0.14634502503426758</v>
      </c>
      <c r="U9" s="2023">
        <v>1454166.25</v>
      </c>
      <c r="V9" s="2030">
        <v>664780.79999999993</v>
      </c>
      <c r="W9" s="2030">
        <f t="shared" si="9"/>
        <v>2118947.0499999998</v>
      </c>
      <c r="X9" s="2023">
        <v>18558757.010000005</v>
      </c>
      <c r="Y9" s="2031">
        <f t="shared" si="3"/>
        <v>0.11417505217931614</v>
      </c>
      <c r="AA9" s="246">
        <v>385124.56</v>
      </c>
      <c r="AB9" s="251">
        <f>235173+832772</f>
        <v>1067945</v>
      </c>
      <c r="AC9" s="251">
        <f t="shared" si="10"/>
        <v>1453069.56</v>
      </c>
      <c r="AD9" s="246">
        <v>18444824.289999999</v>
      </c>
      <c r="AE9" s="573">
        <f t="shared" si="4"/>
        <v>7.8779257376162301E-2</v>
      </c>
      <c r="AG9" s="246">
        <v>413413.85</v>
      </c>
      <c r="AH9" s="246">
        <v>712049.03999999992</v>
      </c>
      <c r="AI9" s="251">
        <f t="shared" si="11"/>
        <v>1125462.8899999999</v>
      </c>
      <c r="AJ9" s="246">
        <v>20111961</v>
      </c>
      <c r="AK9" s="573">
        <f t="shared" si="5"/>
        <v>5.5959878303264404E-2</v>
      </c>
      <c r="AM9" s="246">
        <v>1800524</v>
      </c>
      <c r="AN9" s="246">
        <v>955734</v>
      </c>
      <c r="AO9" s="251">
        <f t="shared" si="12"/>
        <v>2756258</v>
      </c>
      <c r="AP9" s="246">
        <v>22020782</v>
      </c>
      <c r="AQ9" s="573">
        <f t="shared" si="6"/>
        <v>0.1251662179844476</v>
      </c>
      <c r="AS9" s="246">
        <v>7245904.6699999999</v>
      </c>
      <c r="AT9" s="246">
        <v>661886.98</v>
      </c>
      <c r="AU9" s="251">
        <f t="shared" si="13"/>
        <v>7907791.6500000004</v>
      </c>
      <c r="AV9" s="246">
        <v>31158618.260000002</v>
      </c>
      <c r="AW9" s="573">
        <f t="shared" si="7"/>
        <v>0.25379147380715722</v>
      </c>
      <c r="AY9" s="574">
        <v>1272.3240000000001</v>
      </c>
      <c r="AZ9" s="251">
        <v>25.736000000000001</v>
      </c>
      <c r="BA9" s="251">
        <f>+AY9+AZ9</f>
        <v>1298.0600000000002</v>
      </c>
      <c r="BB9" s="567">
        <v>24270.187999999998</v>
      </c>
      <c r="BC9" s="573">
        <f t="shared" si="8"/>
        <v>5.3483722499388972E-2</v>
      </c>
    </row>
    <row r="10" spans="1:55">
      <c r="A10" s="3537" t="s">
        <v>85</v>
      </c>
      <c r="C10" s="3540">
        <v>0</v>
      </c>
      <c r="D10" s="3535">
        <v>10221643</v>
      </c>
      <c r="E10" s="3535">
        <v>10221643</v>
      </c>
      <c r="F10" s="4197">
        <v>96634413</v>
      </c>
      <c r="G10" s="4201">
        <f t="shared" si="0"/>
        <v>0.10577642769972639</v>
      </c>
      <c r="I10" s="3364">
        <v>2560400</v>
      </c>
      <c r="J10" s="3364">
        <v>7539618</v>
      </c>
      <c r="K10" s="3364">
        <f>SUM(I10:J10)</f>
        <v>10100018</v>
      </c>
      <c r="L10" s="3364">
        <v>86767899</v>
      </c>
      <c r="M10" s="3365">
        <f t="shared" si="1"/>
        <v>0.11640270326241275</v>
      </c>
      <c r="O10" s="3364">
        <v>2130912</v>
      </c>
      <c r="P10" s="3364">
        <f>23564309-O10</f>
        <v>21433397</v>
      </c>
      <c r="Q10" s="3364">
        <f>SUM(O10:P10)</f>
        <v>23564309</v>
      </c>
      <c r="R10" s="3364">
        <v>85439785.270000026</v>
      </c>
      <c r="S10" s="3365">
        <f t="shared" si="2"/>
        <v>0.27580018987095933</v>
      </c>
      <c r="U10" s="2023">
        <v>5618754.9800000004</v>
      </c>
      <c r="V10" s="2030">
        <v>18140608.150000002</v>
      </c>
      <c r="W10" s="2030">
        <f t="shared" si="9"/>
        <v>23759363.130000003</v>
      </c>
      <c r="X10" s="2023">
        <v>128224396.61</v>
      </c>
      <c r="Y10" s="2031">
        <f t="shared" si="3"/>
        <v>0.18529518374155524</v>
      </c>
      <c r="AA10" s="246">
        <v>2665192.27</v>
      </c>
      <c r="AB10" s="251">
        <f>5639080+7011200</f>
        <v>12650280</v>
      </c>
      <c r="AC10" s="251">
        <f t="shared" si="10"/>
        <v>15315472.27</v>
      </c>
      <c r="AD10" s="246">
        <v>88658018.520000026</v>
      </c>
      <c r="AE10" s="573">
        <f t="shared" si="4"/>
        <v>0.1727477392983359</v>
      </c>
      <c r="AG10" s="246">
        <v>697347.92</v>
      </c>
      <c r="AH10" s="246">
        <v>12530737.630000001</v>
      </c>
      <c r="AI10" s="251">
        <f t="shared" si="11"/>
        <v>13228085.550000001</v>
      </c>
      <c r="AJ10" s="246">
        <v>79044096</v>
      </c>
      <c r="AK10" s="573">
        <f t="shared" si="5"/>
        <v>0.16735070953306874</v>
      </c>
      <c r="AM10" s="246">
        <v>1405762</v>
      </c>
      <c r="AN10" s="246">
        <v>12264913</v>
      </c>
      <c r="AO10" s="251">
        <f t="shared" si="12"/>
        <v>13670675</v>
      </c>
      <c r="AP10" s="246">
        <v>83099806</v>
      </c>
      <c r="AQ10" s="573">
        <f t="shared" si="6"/>
        <v>0.16450910848095121</v>
      </c>
      <c r="AS10" s="246">
        <v>8413406.75</v>
      </c>
      <c r="AT10" s="246">
        <v>10150534.209999999</v>
      </c>
      <c r="AU10" s="251">
        <f t="shared" si="13"/>
        <v>18563940.960000001</v>
      </c>
      <c r="AV10" s="246">
        <v>126742961.92</v>
      </c>
      <c r="AW10" s="573">
        <f t="shared" si="7"/>
        <v>0.14646920569615168</v>
      </c>
      <c r="AY10" s="251">
        <v>4575.0749999999998</v>
      </c>
      <c r="AZ10" s="251">
        <v>9962.7250000000004</v>
      </c>
      <c r="BA10" s="251">
        <f>+AY10+AZ10</f>
        <v>14537.8</v>
      </c>
      <c r="BB10" s="567">
        <v>140759.179</v>
      </c>
      <c r="BC10" s="573">
        <f t="shared" si="8"/>
        <v>0.10328136398124345</v>
      </c>
    </row>
    <row r="11" spans="1:55">
      <c r="A11" s="3537" t="s">
        <v>86</v>
      </c>
      <c r="C11" s="3540">
        <v>0</v>
      </c>
      <c r="D11" s="3535">
        <v>51519</v>
      </c>
      <c r="E11" s="3535">
        <v>51519</v>
      </c>
      <c r="F11" s="4197">
        <v>8499052</v>
      </c>
      <c r="G11" s="4201">
        <f t="shared" si="0"/>
        <v>6.0617348852554376E-3</v>
      </c>
      <c r="I11" s="3364">
        <v>0</v>
      </c>
      <c r="J11" s="3364">
        <v>110804</v>
      </c>
      <c r="K11" s="3364">
        <f>SUM(I11:J11)</f>
        <v>110804</v>
      </c>
      <c r="L11" s="3364">
        <v>7747367</v>
      </c>
      <c r="M11" s="3365">
        <f t="shared" si="1"/>
        <v>1.4302149362486636E-2</v>
      </c>
      <c r="O11" s="3364">
        <v>113349</v>
      </c>
      <c r="P11" s="3364">
        <f>331819-O11</f>
        <v>218470</v>
      </c>
      <c r="Q11" s="3364">
        <f>SUM(O11:P11)</f>
        <v>331819</v>
      </c>
      <c r="R11" s="3364">
        <v>10139111.500000004</v>
      </c>
      <c r="S11" s="3365">
        <f t="shared" si="2"/>
        <v>3.272663487328252E-2</v>
      </c>
      <c r="U11" s="2023">
        <v>66398.399999999994</v>
      </c>
      <c r="V11" s="2023">
        <v>2355562.0100000002</v>
      </c>
      <c r="W11" s="2030">
        <f>SUM(U11:V11)</f>
        <v>2421960.41</v>
      </c>
      <c r="X11" s="2023">
        <v>15878988.789999999</v>
      </c>
      <c r="Y11" s="2031">
        <f t="shared" si="3"/>
        <v>0.15252611120459139</v>
      </c>
      <c r="AA11" s="246">
        <v>235356.66</v>
      </c>
      <c r="AB11" s="246">
        <v>149063.67999999999</v>
      </c>
      <c r="AC11" s="251">
        <f>SUM(AA11:AB11)</f>
        <v>384420.33999999997</v>
      </c>
      <c r="AD11" s="246">
        <v>9335316.9799999986</v>
      </c>
      <c r="AE11" s="573">
        <f t="shared" si="4"/>
        <v>4.117914162139142E-2</v>
      </c>
      <c r="AG11" s="246">
        <v>241219.22</v>
      </c>
      <c r="AH11" s="246">
        <v>188743.94</v>
      </c>
      <c r="AI11" s="251">
        <f>SUM(AG11:AH11)</f>
        <v>429963.16000000003</v>
      </c>
      <c r="AJ11" s="246">
        <v>10990731</v>
      </c>
      <c r="AK11" s="573">
        <f t="shared" si="5"/>
        <v>3.9120524376404085E-2</v>
      </c>
      <c r="AM11" s="246">
        <v>336245</v>
      </c>
      <c r="AN11" s="246">
        <v>359705</v>
      </c>
      <c r="AO11" s="251">
        <f>SUM(AM11:AN11)</f>
        <v>695950</v>
      </c>
      <c r="AP11" s="246">
        <v>12497667</v>
      </c>
      <c r="AQ11" s="573">
        <f t="shared" si="6"/>
        <v>5.5686393308447088E-2</v>
      </c>
      <c r="AS11" s="246">
        <v>200196.27</v>
      </c>
      <c r="AT11" s="246">
        <v>249587.27</v>
      </c>
      <c r="AU11" s="251">
        <f>SUM(AS11:AT11)</f>
        <v>449783.54</v>
      </c>
      <c r="AV11" s="246">
        <v>22491557.960000001</v>
      </c>
      <c r="AW11" s="573">
        <f t="shared" si="7"/>
        <v>1.9997882796732678E-2</v>
      </c>
      <c r="AY11" s="574">
        <v>103.22799999999999</v>
      </c>
      <c r="AZ11" s="251">
        <v>0</v>
      </c>
      <c r="BA11" s="251">
        <f>+AY11+AZ11</f>
        <v>103.22799999999999</v>
      </c>
      <c r="BB11" s="567">
        <v>26597.09</v>
      </c>
      <c r="BC11" s="573">
        <f t="shared" si="8"/>
        <v>3.88117647456921E-3</v>
      </c>
    </row>
    <row r="12" spans="1:55">
      <c r="A12" s="3538" t="s">
        <v>3</v>
      </c>
      <c r="C12" s="3542">
        <v>0</v>
      </c>
      <c r="D12" s="3543">
        <v>12291060</v>
      </c>
      <c r="E12" s="3543">
        <v>12291060</v>
      </c>
      <c r="F12" s="4198">
        <v>173430419</v>
      </c>
      <c r="G12" s="4203">
        <f t="shared" si="0"/>
        <v>7.0870266420794387E-2</v>
      </c>
      <c r="I12" s="3366">
        <f>SUM(I7:I11)</f>
        <v>2560400</v>
      </c>
      <c r="J12" s="3366">
        <f>SUM(J7:J11)</f>
        <v>9421876</v>
      </c>
      <c r="K12" s="3366">
        <f>SUM(K7:K11)</f>
        <v>11982276</v>
      </c>
      <c r="L12" s="3367">
        <f>SUM(L7:L11)</f>
        <v>160756333</v>
      </c>
      <c r="M12" s="3368">
        <f t="shared" si="1"/>
        <v>7.4536883097476483E-2</v>
      </c>
      <c r="O12" s="3366">
        <f>SUM(O7:O11)</f>
        <v>4750701</v>
      </c>
      <c r="P12" s="3366">
        <f>SUM(P7:P11)</f>
        <v>27535782</v>
      </c>
      <c r="Q12" s="3366">
        <f>SUM(Q7:Q11)</f>
        <v>32286483</v>
      </c>
      <c r="R12" s="3367">
        <f>SUM(R7:R11)</f>
        <v>173437834.16000003</v>
      </c>
      <c r="S12" s="3368">
        <f t="shared" si="2"/>
        <v>0.18615593971390951</v>
      </c>
      <c r="U12" s="2032">
        <f>SUM(U7:U11)</f>
        <v>8185458.8400000008</v>
      </c>
      <c r="V12" s="2032">
        <f>SUM(V7:V11)</f>
        <v>25292748.360000003</v>
      </c>
      <c r="W12" s="2032">
        <f>SUM(W7:W11)</f>
        <v>33478207.200000003</v>
      </c>
      <c r="X12" s="2025">
        <f>SUM(X7:X11)</f>
        <v>221832139.10999998</v>
      </c>
      <c r="Y12" s="2033">
        <f t="shared" si="3"/>
        <v>0.15091684791174084</v>
      </c>
      <c r="AA12" s="248">
        <f>SUM(AA7:AA11)</f>
        <v>3890497.7</v>
      </c>
      <c r="AB12" s="248">
        <f>SUM(AB7:AB11)</f>
        <v>17671102.68</v>
      </c>
      <c r="AC12" s="248">
        <f>SUM(AC7:AC11)</f>
        <v>21561600.379999999</v>
      </c>
      <c r="AD12" s="247">
        <f>SUM(AD7:AD11)</f>
        <v>179054929.67000005</v>
      </c>
      <c r="AE12" s="575">
        <f t="shared" si="4"/>
        <v>0.12041891513256985</v>
      </c>
      <c r="AG12" s="248">
        <f>SUM(AG7:AG11)</f>
        <v>2378464.5900000003</v>
      </c>
      <c r="AH12" s="248">
        <f>SUM(AH7:AH11)</f>
        <v>16667575.869999999</v>
      </c>
      <c r="AI12" s="248">
        <f>SUM(AI7:AI11)</f>
        <v>19046040.460000001</v>
      </c>
      <c r="AJ12" s="247">
        <f>SUM(AJ7:AJ11)</f>
        <v>170194670</v>
      </c>
      <c r="AK12" s="575">
        <f t="shared" si="5"/>
        <v>0.11190738499625165</v>
      </c>
      <c r="AM12" s="248">
        <f>SUM(AM7:AM11)</f>
        <v>4308663</v>
      </c>
      <c r="AN12" s="248">
        <f>SUM(AN7:AN11)</f>
        <v>17581789</v>
      </c>
      <c r="AO12" s="248">
        <f>SUM(AO7:AO11)</f>
        <v>21890452</v>
      </c>
      <c r="AP12" s="247">
        <f>SUM(AP7:AP11)</f>
        <v>179479871</v>
      </c>
      <c r="AQ12" s="575">
        <f t="shared" si="6"/>
        <v>0.12196605601527316</v>
      </c>
      <c r="AS12" s="248">
        <f>SUM(AS7:AS11)</f>
        <v>21525361.489999998</v>
      </c>
      <c r="AT12" s="248">
        <f>SUM(AT7:AT11)</f>
        <v>15411227.589999998</v>
      </c>
      <c r="AU12" s="248">
        <f>SUM(AU7:AU11)</f>
        <v>36936589.079999998</v>
      </c>
      <c r="AV12" s="247">
        <f>SUM(AV7:AV11)</f>
        <v>262945913.46000001</v>
      </c>
      <c r="AW12" s="575">
        <f t="shared" si="7"/>
        <v>0.14047219290829133</v>
      </c>
      <c r="AY12" s="576">
        <f>SUM(AY7:AY11)</f>
        <v>10245.758999999998</v>
      </c>
      <c r="AZ12" s="576">
        <f>SUM(AZ7:AZ11)</f>
        <v>9993.4740000000002</v>
      </c>
      <c r="BA12" s="576">
        <f>SUM(BA7:BA11)</f>
        <v>20239.233</v>
      </c>
      <c r="BB12" s="571">
        <f>SUM(BB7:BB11)</f>
        <v>262488.77100000001</v>
      </c>
      <c r="BC12" s="575">
        <f t="shared" si="8"/>
        <v>7.7105138337517684E-2</v>
      </c>
    </row>
    <row r="13" spans="1:55">
      <c r="A13" s="191"/>
      <c r="G13" s="4204"/>
      <c r="J13" s="38"/>
      <c r="K13" s="38"/>
      <c r="M13" s="53"/>
      <c r="O13" s="38"/>
      <c r="P13" s="38"/>
      <c r="Q13" s="38"/>
      <c r="S13" s="53"/>
      <c r="U13" s="38"/>
      <c r="V13" s="38"/>
      <c r="W13" s="38"/>
      <c r="Y13" s="53"/>
      <c r="AA13" s="38"/>
      <c r="AB13" s="38"/>
      <c r="AC13" s="38"/>
      <c r="AE13" s="53"/>
      <c r="AG13" s="38"/>
      <c r="AH13" s="38"/>
      <c r="AI13" s="38"/>
      <c r="AK13" s="53"/>
      <c r="AM13" s="38"/>
      <c r="AN13" s="38"/>
      <c r="AO13" s="38"/>
      <c r="AQ13" s="53"/>
      <c r="AS13" s="38"/>
      <c r="AT13" s="38"/>
      <c r="AU13" s="38"/>
      <c r="AW13" s="53"/>
      <c r="AY13" s="38"/>
      <c r="AZ13" s="38"/>
      <c r="BA13" s="38"/>
      <c r="BC13" s="53"/>
    </row>
    <row r="14" spans="1:55">
      <c r="A14" s="3536" t="s">
        <v>16</v>
      </c>
      <c r="C14" s="3539">
        <v>0</v>
      </c>
      <c r="D14" s="3534">
        <v>0</v>
      </c>
      <c r="E14" s="3534">
        <v>0</v>
      </c>
      <c r="F14" s="4196">
        <v>7129799</v>
      </c>
      <c r="G14" s="4200">
        <f t="shared" ref="G14:G19" si="14">+E14/F14</f>
        <v>0</v>
      </c>
      <c r="I14" s="3364">
        <v>0</v>
      </c>
      <c r="J14" s="3364">
        <v>0</v>
      </c>
      <c r="K14" s="3364">
        <f t="shared" ref="K14:K18" si="15">SUM(I14:J14)</f>
        <v>0</v>
      </c>
      <c r="L14" s="3364">
        <v>4741403</v>
      </c>
      <c r="M14" s="3365">
        <f t="shared" ref="M14:M19" si="16">+K14/L14</f>
        <v>0</v>
      </c>
      <c r="O14" s="3364">
        <v>0</v>
      </c>
      <c r="P14" s="3364">
        <v>17039</v>
      </c>
      <c r="Q14" s="3364">
        <f>SUM(O14:P14)</f>
        <v>17039</v>
      </c>
      <c r="R14" s="3364">
        <v>4741403</v>
      </c>
      <c r="S14" s="3365">
        <f t="shared" ref="S14:S19" si="17">+Q14/R14</f>
        <v>3.5936620447576382E-3</v>
      </c>
      <c r="U14" s="2023">
        <v>10168.620000000001</v>
      </c>
      <c r="V14" s="2023">
        <v>4856.16</v>
      </c>
      <c r="W14" s="2030">
        <f t="shared" ref="W14:W18" si="18">SUM(U14:V14)</f>
        <v>15024.78</v>
      </c>
      <c r="X14" s="2023">
        <v>5369773.7700000014</v>
      </c>
      <c r="Y14" s="2031">
        <f t="shared" ref="Y14" si="19">+W14/X14</f>
        <v>2.7980284912449854E-3</v>
      </c>
      <c r="AA14" s="246">
        <v>0</v>
      </c>
      <c r="AB14" s="246">
        <v>1610.28</v>
      </c>
      <c r="AC14" s="251">
        <f t="shared" ref="AC14:AC18" si="20">SUM(AA14:AB14)</f>
        <v>1610.28</v>
      </c>
      <c r="AD14" s="246">
        <v>4098987.95</v>
      </c>
      <c r="AE14" s="573">
        <f t="shared" ref="AE14" si="21">+AC14/AD14</f>
        <v>3.928481907344958E-4</v>
      </c>
      <c r="AG14" s="246">
        <v>0</v>
      </c>
      <c r="AH14" s="246">
        <v>6455.02</v>
      </c>
      <c r="AI14" s="251">
        <f t="shared" ref="AI14:AI18" si="22">SUM(AG14:AH14)</f>
        <v>6455.02</v>
      </c>
      <c r="AJ14" s="246">
        <v>3630772</v>
      </c>
      <c r="AK14" s="573">
        <f t="shared" ref="AK14:AK19" si="23">+AI14/AJ14</f>
        <v>1.7778643219678902E-3</v>
      </c>
      <c r="AM14" s="246"/>
      <c r="AN14" s="246">
        <v>380724</v>
      </c>
      <c r="AO14" s="251">
        <f t="shared" ref="AO14:AO18" si="24">SUM(AM14:AN14)</f>
        <v>380724</v>
      </c>
      <c r="AP14" s="246">
        <v>3950426</v>
      </c>
      <c r="AQ14" s="573">
        <f t="shared" ref="AQ14:AQ19" si="25">+AO14/AP14</f>
        <v>9.6375428877796973E-2</v>
      </c>
      <c r="AS14" s="246">
        <v>0</v>
      </c>
      <c r="AT14" s="246">
        <v>0</v>
      </c>
      <c r="AU14" s="251">
        <f t="shared" ref="AU14:AU18" si="26">SUM(AS14:AT14)</f>
        <v>0</v>
      </c>
      <c r="AV14" s="246">
        <v>4328615.1699999897</v>
      </c>
      <c r="AW14" s="573">
        <f t="shared" ref="AW14:AW19" si="27">+AU14/AV14</f>
        <v>0</v>
      </c>
      <c r="AY14" s="577">
        <v>0</v>
      </c>
      <c r="AZ14" s="577">
        <v>0</v>
      </c>
      <c r="BA14" s="577">
        <f>+AY14+AZ14</f>
        <v>0</v>
      </c>
      <c r="BB14" s="570">
        <v>4511.2169999999996</v>
      </c>
      <c r="BC14" s="573">
        <f t="shared" ref="BC14:BC19" si="28">+BA14/BB14</f>
        <v>0</v>
      </c>
    </row>
    <row r="15" spans="1:55">
      <c r="A15" s="3537" t="s">
        <v>61</v>
      </c>
      <c r="C15" s="3540">
        <v>0</v>
      </c>
      <c r="D15" s="3535">
        <v>0</v>
      </c>
      <c r="E15" s="3535">
        <v>0</v>
      </c>
      <c r="F15" s="4197">
        <v>4779988</v>
      </c>
      <c r="G15" s="4201">
        <f t="shared" si="14"/>
        <v>0</v>
      </c>
      <c r="I15" s="3364">
        <v>0</v>
      </c>
      <c r="J15" s="3364">
        <v>0</v>
      </c>
      <c r="K15" s="3364">
        <f t="shared" si="15"/>
        <v>0</v>
      </c>
      <c r="L15" s="3364">
        <v>4623711</v>
      </c>
      <c r="M15" s="3365">
        <f t="shared" si="16"/>
        <v>0</v>
      </c>
      <c r="O15" s="3364">
        <v>19430</v>
      </c>
      <c r="P15" s="3364">
        <f>190588-O15</f>
        <v>171158</v>
      </c>
      <c r="Q15" s="3364">
        <f>SUM(O15:P15)</f>
        <v>190588</v>
      </c>
      <c r="R15" s="3364">
        <v>4623711</v>
      </c>
      <c r="S15" s="3365">
        <f t="shared" si="17"/>
        <v>4.121970425919786E-2</v>
      </c>
      <c r="U15" s="2023">
        <v>69299.56</v>
      </c>
      <c r="V15" s="2023">
        <v>74511.11</v>
      </c>
      <c r="W15" s="2030">
        <f t="shared" si="18"/>
        <v>143810.66999999998</v>
      </c>
      <c r="X15" s="2023">
        <v>5420218.3200000012</v>
      </c>
      <c r="Y15" s="2031">
        <v>0</v>
      </c>
      <c r="AA15" s="246">
        <v>59016</v>
      </c>
      <c r="AB15" s="246">
        <v>87750.51</v>
      </c>
      <c r="AC15" s="251">
        <f t="shared" si="20"/>
        <v>146766.51</v>
      </c>
      <c r="AD15" s="246">
        <v>3635870.35</v>
      </c>
      <c r="AE15" s="573">
        <v>0</v>
      </c>
      <c r="AG15" s="246">
        <v>0</v>
      </c>
      <c r="AH15" s="246">
        <v>44377.69</v>
      </c>
      <c r="AI15" s="251">
        <f t="shared" si="22"/>
        <v>44377.69</v>
      </c>
      <c r="AJ15" s="246">
        <v>3588387</v>
      </c>
      <c r="AK15" s="573">
        <v>0</v>
      </c>
      <c r="AM15" s="246">
        <v>2500</v>
      </c>
      <c r="AN15" s="246">
        <v>372675</v>
      </c>
      <c r="AO15" s="251">
        <f t="shared" si="24"/>
        <v>375175</v>
      </c>
      <c r="AP15" s="246">
        <v>3501061</v>
      </c>
      <c r="AQ15" s="573">
        <f t="shared" si="25"/>
        <v>0.10716037224144338</v>
      </c>
      <c r="AS15" s="246">
        <v>0</v>
      </c>
      <c r="AT15" s="246">
        <v>33421.32</v>
      </c>
      <c r="AU15" s="251">
        <f t="shared" si="26"/>
        <v>33421.32</v>
      </c>
      <c r="AV15" s="246">
        <v>3717978.05</v>
      </c>
      <c r="AW15" s="573">
        <f t="shared" si="27"/>
        <v>8.9891117027977082E-3</v>
      </c>
      <c r="AY15" s="577">
        <v>0</v>
      </c>
      <c r="AZ15" s="577">
        <v>0</v>
      </c>
      <c r="BA15" s="577">
        <f>+AY15+AZ15</f>
        <v>0</v>
      </c>
      <c r="BB15" s="570">
        <v>3833.855</v>
      </c>
      <c r="BC15" s="573">
        <f t="shared" si="28"/>
        <v>0</v>
      </c>
    </row>
    <row r="16" spans="1:55">
      <c r="A16" s="3537" t="s">
        <v>64</v>
      </c>
      <c r="C16" s="3540">
        <v>0</v>
      </c>
      <c r="D16" s="3535">
        <v>0</v>
      </c>
      <c r="E16" s="3535">
        <v>0</v>
      </c>
      <c r="F16" s="4197">
        <v>5614081</v>
      </c>
      <c r="G16" s="4201">
        <f t="shared" si="14"/>
        <v>0</v>
      </c>
      <c r="I16" s="3364">
        <v>0</v>
      </c>
      <c r="J16" s="3364">
        <v>8083</v>
      </c>
      <c r="K16" s="3364">
        <f t="shared" si="15"/>
        <v>8083</v>
      </c>
      <c r="L16" s="3364">
        <v>6109936</v>
      </c>
      <c r="M16" s="3365">
        <f t="shared" si="16"/>
        <v>1.3229271141301643E-3</v>
      </c>
      <c r="O16" s="3364">
        <v>23230</v>
      </c>
      <c r="P16" s="3364">
        <f>531287-O16</f>
        <v>508057</v>
      </c>
      <c r="Q16" s="3364">
        <f>SUM(O16:P16)</f>
        <v>531287</v>
      </c>
      <c r="R16" s="3364">
        <v>6109936</v>
      </c>
      <c r="S16" s="3365">
        <f t="shared" si="17"/>
        <v>8.6954593305068995E-2</v>
      </c>
      <c r="U16" s="2023">
        <v>99858.6</v>
      </c>
      <c r="V16" s="2023">
        <v>548981.41999999993</v>
      </c>
      <c r="W16" s="2030">
        <f t="shared" si="18"/>
        <v>648840.0199999999</v>
      </c>
      <c r="X16" s="2023">
        <v>4418942.5200000005</v>
      </c>
      <c r="Y16" s="2031">
        <f>+W16/X16</f>
        <v>0.14683151388898352</v>
      </c>
      <c r="AA16" s="246">
        <v>0</v>
      </c>
      <c r="AB16" s="246">
        <v>300310.33</v>
      </c>
      <c r="AC16" s="251">
        <f t="shared" si="20"/>
        <v>300310.33</v>
      </c>
      <c r="AD16" s="246">
        <v>3682705.1599999992</v>
      </c>
      <c r="AE16" s="573">
        <f>+AC16/AD16</f>
        <v>8.1546123556630337E-2</v>
      </c>
      <c r="AG16" s="246">
        <v>0</v>
      </c>
      <c r="AH16" s="246">
        <v>241326.46000000002</v>
      </c>
      <c r="AI16" s="251">
        <f t="shared" si="22"/>
        <v>241326.46000000002</v>
      </c>
      <c r="AJ16" s="246">
        <v>3553331</v>
      </c>
      <c r="AK16" s="573">
        <f>+AI16/AJ16</f>
        <v>6.7915558668753359E-2</v>
      </c>
      <c r="AM16" s="246">
        <v>3656</v>
      </c>
      <c r="AN16" s="246">
        <v>15200</v>
      </c>
      <c r="AO16" s="251">
        <f t="shared" si="24"/>
        <v>18856</v>
      </c>
      <c r="AP16" s="246">
        <v>3747160</v>
      </c>
      <c r="AQ16" s="573">
        <f t="shared" si="25"/>
        <v>5.032077626789355E-3</v>
      </c>
      <c r="AS16" s="246">
        <v>1010</v>
      </c>
      <c r="AT16" s="246">
        <v>277605.90999999997</v>
      </c>
      <c r="AU16" s="251">
        <f t="shared" si="26"/>
        <v>278615.90999999997</v>
      </c>
      <c r="AV16" s="246">
        <v>5489561.3600000199</v>
      </c>
      <c r="AW16" s="573">
        <f t="shared" si="27"/>
        <v>5.0753765506685034E-2</v>
      </c>
      <c r="AY16" s="577">
        <v>0</v>
      </c>
      <c r="AZ16" s="577">
        <v>0</v>
      </c>
      <c r="BA16" s="577">
        <f>+AY16+AZ16</f>
        <v>0</v>
      </c>
      <c r="BB16" s="570">
        <v>3406.6129999999998</v>
      </c>
      <c r="BC16" s="573">
        <f t="shared" si="28"/>
        <v>0</v>
      </c>
    </row>
    <row r="17" spans="1:55">
      <c r="A17" s="3537" t="s">
        <v>85</v>
      </c>
      <c r="C17" s="3540">
        <v>0</v>
      </c>
      <c r="D17" s="3535">
        <v>5161210</v>
      </c>
      <c r="E17" s="3535">
        <v>5161210</v>
      </c>
      <c r="F17" s="4197">
        <v>53845098</v>
      </c>
      <c r="G17" s="4201">
        <f t="shared" si="14"/>
        <v>9.5852922396018295E-2</v>
      </c>
      <c r="I17" s="3364">
        <v>0</v>
      </c>
      <c r="J17" s="3364">
        <v>3833289</v>
      </c>
      <c r="K17" s="3364">
        <f t="shared" si="15"/>
        <v>3833289</v>
      </c>
      <c r="L17" s="3364">
        <v>47719757</v>
      </c>
      <c r="M17" s="3365">
        <f t="shared" si="16"/>
        <v>8.0329181055972268E-2</v>
      </c>
      <c r="O17" s="3364">
        <v>6939978</v>
      </c>
      <c r="P17" s="3364">
        <f>14630501-O17</f>
        <v>7690523</v>
      </c>
      <c r="Q17" s="3364">
        <f>SUM(O17:P17)</f>
        <v>14630501</v>
      </c>
      <c r="R17" s="3364">
        <v>47719757</v>
      </c>
      <c r="S17" s="3365">
        <f t="shared" si="17"/>
        <v>0.30659211026577526</v>
      </c>
      <c r="U17" s="2023">
        <v>13329349.83</v>
      </c>
      <c r="V17" s="2023">
        <v>5851613.7200000007</v>
      </c>
      <c r="W17" s="2030">
        <f t="shared" si="18"/>
        <v>19180963.550000001</v>
      </c>
      <c r="X17" s="2023">
        <v>73618269.919999987</v>
      </c>
      <c r="Y17" s="2031">
        <f t="shared" ref="Y17:Y19" si="29">+W17/X17</f>
        <v>0.26054624172564367</v>
      </c>
      <c r="AA17" s="246">
        <v>10160494.9</v>
      </c>
      <c r="AB17" s="246">
        <v>3504537.3</v>
      </c>
      <c r="AC17" s="251">
        <f t="shared" si="20"/>
        <v>13665032.199999999</v>
      </c>
      <c r="AD17" s="246">
        <v>72783581.910000011</v>
      </c>
      <c r="AE17" s="573">
        <f t="shared" ref="AE17:AE19" si="30">+AC17/AD17</f>
        <v>0.1877488279829013</v>
      </c>
      <c r="AG17" s="246">
        <v>469440.69</v>
      </c>
      <c r="AH17" s="246">
        <v>4359789.1400000006</v>
      </c>
      <c r="AI17" s="251">
        <f t="shared" si="22"/>
        <v>4829229.830000001</v>
      </c>
      <c r="AJ17" s="246">
        <v>94412332</v>
      </c>
      <c r="AK17" s="573">
        <f t="shared" si="23"/>
        <v>5.1150413592156593E-2</v>
      </c>
      <c r="AM17" s="246">
        <v>449015</v>
      </c>
      <c r="AN17" s="246">
        <v>5212533</v>
      </c>
      <c r="AO17" s="251">
        <f t="shared" si="24"/>
        <v>5661548</v>
      </c>
      <c r="AP17" s="246">
        <v>670527353</v>
      </c>
      <c r="AQ17" s="573">
        <f t="shared" si="25"/>
        <v>8.4434258716959455E-3</v>
      </c>
      <c r="AS17" s="246">
        <v>7792108.2599999998</v>
      </c>
      <c r="AT17" s="246">
        <v>2653671.58</v>
      </c>
      <c r="AU17" s="251">
        <f t="shared" si="26"/>
        <v>10445779.84</v>
      </c>
      <c r="AV17" s="246">
        <v>127420005.12</v>
      </c>
      <c r="AW17" s="573">
        <f t="shared" si="27"/>
        <v>8.1979119606552409E-2</v>
      </c>
      <c r="AY17" s="577">
        <v>8150.7280000000001</v>
      </c>
      <c r="AZ17" s="577">
        <v>359.47800000000001</v>
      </c>
      <c r="BA17" s="577">
        <f>+AY17+AZ17</f>
        <v>8510.2060000000001</v>
      </c>
      <c r="BB17" s="570">
        <v>72636.747000000003</v>
      </c>
      <c r="BC17" s="573">
        <f t="shared" si="28"/>
        <v>0.11716116637216696</v>
      </c>
    </row>
    <row r="18" spans="1:55">
      <c r="A18" s="3537" t="s">
        <v>86</v>
      </c>
      <c r="C18" s="3540">
        <v>0</v>
      </c>
      <c r="D18" s="3535">
        <v>0</v>
      </c>
      <c r="E18" s="3535">
        <v>0</v>
      </c>
      <c r="F18" s="4197">
        <v>17394009</v>
      </c>
      <c r="G18" s="4202">
        <f t="shared" si="14"/>
        <v>0</v>
      </c>
      <c r="I18" s="3364">
        <v>0</v>
      </c>
      <c r="J18" s="3364">
        <v>22922</v>
      </c>
      <c r="K18" s="3364">
        <f t="shared" si="15"/>
        <v>22922</v>
      </c>
      <c r="L18" s="3364">
        <v>13410049</v>
      </c>
      <c r="M18" s="3369">
        <f t="shared" si="16"/>
        <v>1.7093151561191164E-3</v>
      </c>
      <c r="O18" s="3364">
        <v>0</v>
      </c>
      <c r="P18" s="3364">
        <v>121153</v>
      </c>
      <c r="Q18" s="3364">
        <f>SUM(O18:P18)</f>
        <v>121153</v>
      </c>
      <c r="R18" s="3364">
        <v>13410049</v>
      </c>
      <c r="S18" s="3369">
        <f t="shared" si="17"/>
        <v>9.0344934608367206E-3</v>
      </c>
      <c r="U18" s="2023">
        <v>0</v>
      </c>
      <c r="V18" s="2023">
        <v>38285.800000000003</v>
      </c>
      <c r="W18" s="2030">
        <f t="shared" si="18"/>
        <v>38285.800000000003</v>
      </c>
      <c r="X18" s="2023">
        <v>18049278.059999995</v>
      </c>
      <c r="Y18" s="2034">
        <f t="shared" si="29"/>
        <v>2.1211817931292933E-3</v>
      </c>
      <c r="AA18" s="246">
        <v>0</v>
      </c>
      <c r="AB18" s="246">
        <v>81256.960000000006</v>
      </c>
      <c r="AC18" s="251">
        <f t="shared" si="20"/>
        <v>81256.960000000006</v>
      </c>
      <c r="AD18" s="246">
        <v>10614985.689999999</v>
      </c>
      <c r="AE18" s="578">
        <f t="shared" si="30"/>
        <v>7.654928831091058E-3</v>
      </c>
      <c r="AG18" s="246">
        <v>0</v>
      </c>
      <c r="AH18" s="246">
        <v>0</v>
      </c>
      <c r="AI18" s="251">
        <f t="shared" si="22"/>
        <v>0</v>
      </c>
      <c r="AJ18" s="246">
        <v>9148111</v>
      </c>
      <c r="AK18" s="578">
        <f t="shared" si="23"/>
        <v>0</v>
      </c>
      <c r="AM18" s="246"/>
      <c r="AN18" s="246">
        <v>1400</v>
      </c>
      <c r="AO18" s="251">
        <f t="shared" si="24"/>
        <v>1400</v>
      </c>
      <c r="AP18" s="246">
        <v>7718622</v>
      </c>
      <c r="AQ18" s="578">
        <f t="shared" si="25"/>
        <v>1.8137952603456938E-4</v>
      </c>
      <c r="AS18" s="246">
        <v>0</v>
      </c>
      <c r="AT18" s="246">
        <v>6728.11</v>
      </c>
      <c r="AU18" s="251">
        <f t="shared" si="26"/>
        <v>6728.11</v>
      </c>
      <c r="AV18" s="246">
        <v>70651988.769999996</v>
      </c>
      <c r="AW18" s="578">
        <f t="shared" si="27"/>
        <v>9.5228883392124226E-5</v>
      </c>
      <c r="AY18" s="577">
        <v>0</v>
      </c>
      <c r="AZ18" s="577">
        <v>0</v>
      </c>
      <c r="BA18" s="577">
        <f>+AY18+AZ18</f>
        <v>0</v>
      </c>
      <c r="BB18" s="570">
        <v>63720.667000000001</v>
      </c>
      <c r="BC18" s="573">
        <f t="shared" si="28"/>
        <v>0</v>
      </c>
    </row>
    <row r="19" spans="1:55">
      <c r="A19" s="3538" t="s">
        <v>59</v>
      </c>
      <c r="C19" s="3542">
        <v>0</v>
      </c>
      <c r="D19" s="3543">
        <v>5161210</v>
      </c>
      <c r="E19" s="3543">
        <v>5161210</v>
      </c>
      <c r="F19" s="4198">
        <v>88762975</v>
      </c>
      <c r="G19" s="4203">
        <f t="shared" si="14"/>
        <v>5.8145978095033433E-2</v>
      </c>
      <c r="I19" s="3366">
        <f>SUM(I14:I18)</f>
        <v>0</v>
      </c>
      <c r="J19" s="3366">
        <f>SUM(J14:J18)</f>
        <v>3864294</v>
      </c>
      <c r="K19" s="3366">
        <f>SUM(K14:K18)</f>
        <v>3864294</v>
      </c>
      <c r="L19" s="3367">
        <f>SUM(L14:L18)</f>
        <v>76604856</v>
      </c>
      <c r="M19" s="3368">
        <f t="shared" si="16"/>
        <v>5.0444504458046366E-2</v>
      </c>
      <c r="O19" s="3366">
        <f>SUM(O14:O18)</f>
        <v>6982638</v>
      </c>
      <c r="P19" s="3366">
        <f>SUM(P14:P18)</f>
        <v>8507930</v>
      </c>
      <c r="Q19" s="3366">
        <f>SUM(Q14:Q18)</f>
        <v>15490568</v>
      </c>
      <c r="R19" s="3367">
        <f>SUM(R14:R18)</f>
        <v>76604856</v>
      </c>
      <c r="S19" s="3368">
        <f t="shared" si="17"/>
        <v>0.20221391709162667</v>
      </c>
      <c r="U19" s="2032">
        <f>SUM(U14:U18)</f>
        <v>13508676.609999999</v>
      </c>
      <c r="V19" s="2032">
        <f>SUM(V14:V18)</f>
        <v>6518248.21</v>
      </c>
      <c r="W19" s="2032">
        <f>SUM(W14:W18)</f>
        <v>20026924.82</v>
      </c>
      <c r="X19" s="2032">
        <f>SUM(X14:X18)</f>
        <v>106876482.58999997</v>
      </c>
      <c r="Y19" s="2033">
        <f t="shared" si="29"/>
        <v>0.18738383164074904</v>
      </c>
      <c r="AA19" s="248">
        <f>SUM(AA14:AA18)</f>
        <v>10219510.9</v>
      </c>
      <c r="AB19" s="248">
        <f>SUM(AB14:AB18)</f>
        <v>3975465.38</v>
      </c>
      <c r="AC19" s="248">
        <f>SUM(AC14:AC18)</f>
        <v>14194976.279999999</v>
      </c>
      <c r="AD19" s="248">
        <f>SUM(AD14:AD18)</f>
        <v>94816131.060000002</v>
      </c>
      <c r="AE19" s="575">
        <f t="shared" si="30"/>
        <v>0.14971056213016501</v>
      </c>
      <c r="AG19" s="248">
        <f>SUM(AG14:AG18)</f>
        <v>469440.69</v>
      </c>
      <c r="AH19" s="248">
        <f>SUM(AH14:AH18)</f>
        <v>4651948.3100000005</v>
      </c>
      <c r="AI19" s="248">
        <f>SUM(AI14:AI18)</f>
        <v>5121389.0000000009</v>
      </c>
      <c r="AJ19" s="248">
        <f>SUM(AJ14:AJ18)</f>
        <v>114332933</v>
      </c>
      <c r="AK19" s="575">
        <f t="shared" si="23"/>
        <v>4.4793646638978474E-2</v>
      </c>
      <c r="AM19" s="248">
        <f>SUM(AM14:AM18)</f>
        <v>455171</v>
      </c>
      <c r="AN19" s="248">
        <f>SUM(AN14:AN18)</f>
        <v>5982532</v>
      </c>
      <c r="AO19" s="248">
        <f>SUM(AO14:AO18)</f>
        <v>6437703</v>
      </c>
      <c r="AP19" s="247">
        <f>SUM(AP14:AP18)</f>
        <v>689444622</v>
      </c>
      <c r="AQ19" s="575">
        <f t="shared" si="25"/>
        <v>9.337520077138263E-3</v>
      </c>
      <c r="AS19" s="248">
        <f>SUM(AS14:AS18)</f>
        <v>7793118.2599999998</v>
      </c>
      <c r="AT19" s="248">
        <f>SUM(AT14:AT18)</f>
        <v>2971426.92</v>
      </c>
      <c r="AU19" s="248">
        <f>SUM(AU14:AU18)</f>
        <v>10764545.18</v>
      </c>
      <c r="AV19" s="247">
        <f>SUM(AV14:AV18)</f>
        <v>211608148.47000003</v>
      </c>
      <c r="AW19" s="575">
        <f t="shared" si="27"/>
        <v>5.0870182730822881E-2</v>
      </c>
      <c r="AY19" s="576">
        <f>SUM(AY14:AY18)</f>
        <v>8150.7280000000001</v>
      </c>
      <c r="AZ19" s="576">
        <f>SUM(AZ14:AZ18)</f>
        <v>359.47800000000001</v>
      </c>
      <c r="BA19" s="576">
        <f>SUM(BA14:BA18)</f>
        <v>8510.2060000000001</v>
      </c>
      <c r="BB19" s="571">
        <f>SUM(BB14:BB18)</f>
        <v>148109.09899999999</v>
      </c>
      <c r="BC19" s="575">
        <f t="shared" si="28"/>
        <v>5.745903565317078E-2</v>
      </c>
    </row>
    <row r="20" spans="1:55">
      <c r="A20" s="191"/>
      <c r="G20" s="4205"/>
      <c r="I20" s="38"/>
      <c r="J20" s="38"/>
      <c r="K20" s="38"/>
      <c r="M20" s="53"/>
      <c r="O20" s="38"/>
      <c r="P20" s="38"/>
      <c r="Q20" s="38"/>
      <c r="S20" s="53"/>
      <c r="U20" s="38"/>
      <c r="V20" s="38"/>
      <c r="W20" s="38"/>
      <c r="Y20" s="53"/>
      <c r="AA20" s="38"/>
      <c r="AB20" s="38"/>
      <c r="AC20" s="38"/>
      <c r="AE20" s="53"/>
      <c r="AG20" s="38"/>
      <c r="AH20" s="38"/>
      <c r="AI20" s="38"/>
      <c r="AK20" s="53"/>
      <c r="AM20" s="38"/>
      <c r="AN20" s="38"/>
      <c r="AO20" s="38"/>
      <c r="AQ20" s="53"/>
      <c r="AS20" s="38"/>
      <c r="AT20" s="38"/>
      <c r="AU20" s="38"/>
      <c r="AW20" s="53"/>
      <c r="AY20" s="38"/>
      <c r="AZ20" s="38"/>
      <c r="BA20" s="38"/>
      <c r="BC20" s="53"/>
    </row>
    <row r="21" spans="1:55">
      <c r="A21" s="3536" t="s">
        <v>4</v>
      </c>
      <c r="C21" s="3539">
        <v>1602624</v>
      </c>
      <c r="D21" s="3534">
        <v>18653</v>
      </c>
      <c r="E21" s="3534">
        <v>1621277</v>
      </c>
      <c r="F21" s="4196">
        <v>25198571</v>
      </c>
      <c r="G21" s="4200">
        <f t="shared" ref="G21:G26" si="31">+E21/F21</f>
        <v>6.4340037377516368E-2</v>
      </c>
      <c r="I21" s="3364">
        <v>1290583</v>
      </c>
      <c r="J21" s="3364">
        <v>4350</v>
      </c>
      <c r="K21" s="3364">
        <f t="shared" ref="K21:K25" si="32">SUM(I21:J21)</f>
        <v>1294933</v>
      </c>
      <c r="L21" s="3364">
        <v>26625568</v>
      </c>
      <c r="M21" s="3365">
        <f t="shared" ref="M21:M26" si="33">+K21/L21</f>
        <v>4.8634943675192208E-2</v>
      </c>
      <c r="O21" s="3364">
        <v>100305</v>
      </c>
      <c r="P21" s="3364">
        <f>5738665-O21</f>
        <v>5638360</v>
      </c>
      <c r="Q21" s="3364">
        <f>SUM(O21:P21)</f>
        <v>5738665</v>
      </c>
      <c r="R21" s="3364">
        <v>27984135.899999999</v>
      </c>
      <c r="S21" s="3365">
        <f t="shared" ref="S21:S32" si="34">+Q21/R21</f>
        <v>0.2050685081185587</v>
      </c>
      <c r="U21" s="2023">
        <v>437771.25</v>
      </c>
      <c r="V21" s="2023">
        <v>5553427.3099999996</v>
      </c>
      <c r="W21" s="2030">
        <f t="shared" ref="W21:W25" si="35">SUM(U21:V21)</f>
        <v>5991198.5599999996</v>
      </c>
      <c r="X21" s="2023">
        <v>26535730.349999998</v>
      </c>
      <c r="Y21" s="2031">
        <f t="shared" ref="Y21:Y26" si="36">+W21/X21</f>
        <v>0.22577854390957058</v>
      </c>
      <c r="AA21" s="246">
        <v>924102.75</v>
      </c>
      <c r="AB21" s="246">
        <v>1842597.89</v>
      </c>
      <c r="AC21" s="251">
        <f t="shared" ref="AC21:AC25" si="37">SUM(AA21:AB21)</f>
        <v>2766700.6399999997</v>
      </c>
      <c r="AD21" s="246">
        <v>23375900.210000001</v>
      </c>
      <c r="AE21" s="573">
        <f t="shared" ref="AE21:AE26" si="38">+AC21/AD21</f>
        <v>0.11835696658289249</v>
      </c>
      <c r="AG21" s="246">
        <v>3158442</v>
      </c>
      <c r="AH21" s="246">
        <v>5207207.72</v>
      </c>
      <c r="AI21" s="251">
        <f t="shared" ref="AI21:AI25" si="39">SUM(AG21:AH21)</f>
        <v>8365649.7199999997</v>
      </c>
      <c r="AJ21" s="246">
        <v>30895115</v>
      </c>
      <c r="AK21" s="573">
        <f t="shared" ref="AK21:AK26" si="40">+AI21/AJ21</f>
        <v>0.27077580776119459</v>
      </c>
      <c r="AM21" s="246">
        <v>78245</v>
      </c>
      <c r="AN21" s="246">
        <v>3021309</v>
      </c>
      <c r="AO21" s="251">
        <f t="shared" ref="AO21:AO25" si="41">SUM(AM21:AN21)</f>
        <v>3099554</v>
      </c>
      <c r="AP21" s="246">
        <v>24122480</v>
      </c>
      <c r="AQ21" s="573">
        <f t="shared" ref="AQ21:AQ26" si="42">+AO21/AP21</f>
        <v>0.12849234407075891</v>
      </c>
      <c r="AS21" s="246">
        <v>978990.94</v>
      </c>
      <c r="AT21" s="246">
        <v>2096252.77</v>
      </c>
      <c r="AU21" s="251">
        <f t="shared" ref="AU21:AU25" si="43">SUM(AS21:AT21)</f>
        <v>3075243.71</v>
      </c>
      <c r="AV21" s="246">
        <v>36910907.969999999</v>
      </c>
      <c r="AW21" s="573">
        <f t="shared" ref="AW21:AW26" si="44">+AU21/AV21</f>
        <v>8.331530918988661E-2</v>
      </c>
      <c r="AY21" s="251">
        <v>1247.5170000000001</v>
      </c>
      <c r="AZ21" s="251">
        <v>210.43600000000001</v>
      </c>
      <c r="BA21" s="251">
        <f>+AY21+AZ21</f>
        <v>1457.953</v>
      </c>
      <c r="BB21" s="567">
        <v>31868.187000000002</v>
      </c>
      <c r="BC21" s="573">
        <f t="shared" ref="BC21:BC26" si="45">+BA21/BB21</f>
        <v>4.5749480508571132E-2</v>
      </c>
    </row>
    <row r="22" spans="1:55">
      <c r="A22" s="3537" t="s">
        <v>16</v>
      </c>
      <c r="C22" s="3540">
        <v>0</v>
      </c>
      <c r="D22" s="3535">
        <v>1643560</v>
      </c>
      <c r="E22" s="3535">
        <v>1643560</v>
      </c>
      <c r="F22" s="4197">
        <v>23857759</v>
      </c>
      <c r="G22" s="4201">
        <f t="shared" si="31"/>
        <v>6.8889957350981704E-2</v>
      </c>
      <c r="I22" s="3364">
        <v>0</v>
      </c>
      <c r="J22" s="3364">
        <v>421253</v>
      </c>
      <c r="K22" s="3364">
        <f t="shared" si="32"/>
        <v>421253</v>
      </c>
      <c r="L22" s="3364">
        <v>21183641</v>
      </c>
      <c r="M22" s="3365">
        <f t="shared" si="33"/>
        <v>1.9885769401020343E-2</v>
      </c>
      <c r="O22" s="3364">
        <v>3602</v>
      </c>
      <c r="P22" s="3364">
        <f>173221-O22</f>
        <v>169619</v>
      </c>
      <c r="Q22" s="3364">
        <f>SUM(O22:P22)</f>
        <v>173221</v>
      </c>
      <c r="R22" s="3364">
        <v>24160469.959999997</v>
      </c>
      <c r="S22" s="3365">
        <f t="shared" si="34"/>
        <v>7.1696039144430622E-3</v>
      </c>
      <c r="U22" s="2023">
        <v>123796.11</v>
      </c>
      <c r="V22" s="2023">
        <v>602093.49</v>
      </c>
      <c r="W22" s="2030">
        <f t="shared" si="35"/>
        <v>725889.6</v>
      </c>
      <c r="X22" s="2023">
        <v>22582499.739999998</v>
      </c>
      <c r="Y22" s="2031">
        <f t="shared" si="36"/>
        <v>3.2143899406948472E-2</v>
      </c>
      <c r="AA22" s="246">
        <v>213990.66</v>
      </c>
      <c r="AB22" s="246">
        <v>138474</v>
      </c>
      <c r="AC22" s="251">
        <f t="shared" si="37"/>
        <v>352464.66000000003</v>
      </c>
      <c r="AD22" s="246">
        <v>25985918.109999996</v>
      </c>
      <c r="AE22" s="573">
        <f t="shared" si="38"/>
        <v>1.3563679316928321E-2</v>
      </c>
      <c r="AG22" s="246">
        <v>431826.99</v>
      </c>
      <c r="AH22" s="246">
        <v>463255.86</v>
      </c>
      <c r="AI22" s="251">
        <f t="shared" si="39"/>
        <v>895082.85</v>
      </c>
      <c r="AJ22" s="246">
        <v>28057306</v>
      </c>
      <c r="AK22" s="573">
        <f t="shared" si="40"/>
        <v>3.1901952739154645E-2</v>
      </c>
      <c r="AM22" s="246">
        <v>113414</v>
      </c>
      <c r="AN22" s="246">
        <v>162411</v>
      </c>
      <c r="AO22" s="251">
        <f t="shared" si="41"/>
        <v>275825</v>
      </c>
      <c r="AP22" s="246">
        <v>22154265</v>
      </c>
      <c r="AQ22" s="573">
        <f t="shared" si="42"/>
        <v>1.2450198641209718E-2</v>
      </c>
      <c r="AS22" s="246">
        <v>182730.29</v>
      </c>
      <c r="AT22" s="246">
        <v>504039.89</v>
      </c>
      <c r="AU22" s="251">
        <f t="shared" si="43"/>
        <v>686770.18</v>
      </c>
      <c r="AV22" s="246">
        <v>22781238.199999999</v>
      </c>
      <c r="AW22" s="573">
        <f t="shared" si="44"/>
        <v>3.0146306094986534E-2</v>
      </c>
      <c r="AY22" s="251">
        <v>474.68099999999998</v>
      </c>
      <c r="AZ22" s="251">
        <v>2.0819999999999999</v>
      </c>
      <c r="BA22" s="251">
        <f>+AY22+AZ22</f>
        <v>476.76299999999998</v>
      </c>
      <c r="BB22" s="567">
        <v>20467.61</v>
      </c>
      <c r="BC22" s="573">
        <f t="shared" si="45"/>
        <v>2.3293535493396637E-2</v>
      </c>
    </row>
    <row r="23" spans="1:55">
      <c r="A23" s="3537" t="s">
        <v>41</v>
      </c>
      <c r="C23" s="3540">
        <v>0</v>
      </c>
      <c r="D23" s="3535">
        <v>0</v>
      </c>
      <c r="E23" s="3535">
        <v>0</v>
      </c>
      <c r="F23" s="4197">
        <v>19921064</v>
      </c>
      <c r="G23" s="4201">
        <f t="shared" si="31"/>
        <v>0</v>
      </c>
      <c r="I23" s="3364">
        <v>0</v>
      </c>
      <c r="J23" s="3364">
        <f>2820+472036</f>
        <v>474856</v>
      </c>
      <c r="K23" s="3364">
        <f t="shared" si="32"/>
        <v>474856</v>
      </c>
      <c r="L23" s="3364">
        <v>16865009</v>
      </c>
      <c r="M23" s="3365">
        <f t="shared" si="33"/>
        <v>2.8156285004057809E-2</v>
      </c>
      <c r="O23" s="3364">
        <v>21649</v>
      </c>
      <c r="P23" s="3364">
        <f>2309168-O23</f>
        <v>2287519</v>
      </c>
      <c r="Q23" s="3364">
        <f>SUM(O23:P23)</f>
        <v>2309168</v>
      </c>
      <c r="R23" s="3364">
        <v>18811688.110000003</v>
      </c>
      <c r="S23" s="3365">
        <f t="shared" si="34"/>
        <v>0.12275176935197442</v>
      </c>
      <c r="U23" s="2023">
        <v>862665.61</v>
      </c>
      <c r="V23" s="2023">
        <v>2342903.11</v>
      </c>
      <c r="W23" s="2030">
        <f t="shared" si="35"/>
        <v>3205568.7199999997</v>
      </c>
      <c r="X23" s="2023">
        <v>19516228.950000003</v>
      </c>
      <c r="Y23" s="2031">
        <f t="shared" si="36"/>
        <v>0.16425144059400879</v>
      </c>
      <c r="AA23" s="246">
        <v>1271751.3799999999</v>
      </c>
      <c r="AB23" s="246">
        <f>1463246+1490396</f>
        <v>2953642</v>
      </c>
      <c r="AC23" s="251">
        <f t="shared" si="37"/>
        <v>4225393.38</v>
      </c>
      <c r="AD23" s="246">
        <v>21572732.940000001</v>
      </c>
      <c r="AE23" s="573">
        <f t="shared" si="38"/>
        <v>0.19586731972031726</v>
      </c>
      <c r="AG23" s="246">
        <v>3588757.86</v>
      </c>
      <c r="AH23" s="246">
        <v>1994998.2199999997</v>
      </c>
      <c r="AI23" s="251">
        <f t="shared" si="39"/>
        <v>5583756.0800000001</v>
      </c>
      <c r="AJ23" s="246">
        <v>22959650</v>
      </c>
      <c r="AK23" s="573">
        <f t="shared" si="40"/>
        <v>0.24319865851613592</v>
      </c>
      <c r="AM23" s="246">
        <v>656381</v>
      </c>
      <c r="AN23" s="246">
        <v>745702</v>
      </c>
      <c r="AO23" s="251">
        <f t="shared" si="41"/>
        <v>1402083</v>
      </c>
      <c r="AP23" s="246">
        <v>17002858</v>
      </c>
      <c r="AQ23" s="573">
        <f t="shared" si="42"/>
        <v>8.2461607336837134E-2</v>
      </c>
      <c r="AS23" s="246">
        <v>378037.05</v>
      </c>
      <c r="AT23" s="246">
        <v>853218.65</v>
      </c>
      <c r="AU23" s="251">
        <f t="shared" si="43"/>
        <v>1231255.7</v>
      </c>
      <c r="AV23" s="246">
        <v>25082755.579999901</v>
      </c>
      <c r="AW23" s="573">
        <f t="shared" si="44"/>
        <v>4.9087736635354352E-2</v>
      </c>
      <c r="AY23" s="251">
        <v>56.750999999999998</v>
      </c>
      <c r="AZ23" s="251">
        <v>0</v>
      </c>
      <c r="BA23" s="251">
        <f>+AY23+AZ23</f>
        <v>56.750999999999998</v>
      </c>
      <c r="BB23" s="567">
        <v>19824.717000000001</v>
      </c>
      <c r="BC23" s="573">
        <f t="shared" si="45"/>
        <v>2.8626385940339022E-3</v>
      </c>
    </row>
    <row r="24" spans="1:55">
      <c r="A24" s="3537" t="s">
        <v>85</v>
      </c>
      <c r="C24" s="3540">
        <v>14347349</v>
      </c>
      <c r="D24" s="3535">
        <v>9408094</v>
      </c>
      <c r="E24" s="3535">
        <v>23755443</v>
      </c>
      <c r="F24" s="4197">
        <v>114450122</v>
      </c>
      <c r="G24" s="4201">
        <f t="shared" si="31"/>
        <v>0.20756153497153984</v>
      </c>
      <c r="I24" s="3364">
        <v>6735863</v>
      </c>
      <c r="J24" s="3364">
        <f>387757+9209539</f>
        <v>9597296</v>
      </c>
      <c r="K24" s="3364">
        <f t="shared" si="32"/>
        <v>16333159</v>
      </c>
      <c r="L24" s="3364">
        <v>106923909</v>
      </c>
      <c r="M24" s="3365">
        <f t="shared" si="33"/>
        <v>0.15275497456794251</v>
      </c>
      <c r="O24" s="3364">
        <v>1317571</v>
      </c>
      <c r="P24" s="3364">
        <f>13427054-O24</f>
        <v>12109483</v>
      </c>
      <c r="Q24" s="3364">
        <f>SUM(O24:P24)</f>
        <v>13427054</v>
      </c>
      <c r="R24" s="3364">
        <v>94371458.430000022</v>
      </c>
      <c r="S24" s="3365">
        <f t="shared" si="34"/>
        <v>0.14227875910129661</v>
      </c>
      <c r="U24" s="2023">
        <v>671763.61</v>
      </c>
      <c r="V24" s="2023">
        <v>10473010.830000002</v>
      </c>
      <c r="W24" s="2030">
        <f t="shared" si="35"/>
        <v>11144774.440000001</v>
      </c>
      <c r="X24" s="2023">
        <v>85112196.610000014</v>
      </c>
      <c r="Y24" s="2031">
        <f t="shared" si="36"/>
        <v>0.13094215498945985</v>
      </c>
      <c r="AA24" s="246">
        <v>358123.63</v>
      </c>
      <c r="AB24" s="246">
        <v>10167233.470000001</v>
      </c>
      <c r="AC24" s="251">
        <f t="shared" si="37"/>
        <v>10525357.100000001</v>
      </c>
      <c r="AD24" s="246">
        <v>99216396.299999982</v>
      </c>
      <c r="AE24" s="573">
        <f t="shared" si="38"/>
        <v>0.10608485585562437</v>
      </c>
      <c r="AG24" s="246">
        <v>3476931.57</v>
      </c>
      <c r="AH24" s="246">
        <v>15862669.989999998</v>
      </c>
      <c r="AI24" s="251">
        <f t="shared" si="39"/>
        <v>19339601.559999999</v>
      </c>
      <c r="AJ24" s="246">
        <v>96467524</v>
      </c>
      <c r="AK24" s="573">
        <f t="shared" si="40"/>
        <v>0.20047784744635924</v>
      </c>
      <c r="AM24" s="246">
        <v>7182614</v>
      </c>
      <c r="AN24" s="246">
        <v>14597257</v>
      </c>
      <c r="AO24" s="251">
        <f t="shared" si="41"/>
        <v>21779871</v>
      </c>
      <c r="AP24" s="246">
        <v>104776905</v>
      </c>
      <c r="AQ24" s="573">
        <f t="shared" si="42"/>
        <v>0.20786900510183995</v>
      </c>
      <c r="AS24" s="246">
        <v>3668732.4</v>
      </c>
      <c r="AT24" s="246">
        <v>15049715.870000001</v>
      </c>
      <c r="AU24" s="251">
        <f t="shared" si="43"/>
        <v>18718448.27</v>
      </c>
      <c r="AV24" s="246">
        <v>231812410.46000001</v>
      </c>
      <c r="AW24" s="573">
        <f t="shared" si="44"/>
        <v>8.0748257752273914E-2</v>
      </c>
      <c r="AY24" s="251">
        <v>4050.3</v>
      </c>
      <c r="AZ24" s="251">
        <v>4018.2579999999998</v>
      </c>
      <c r="BA24" s="251">
        <f>+AY24+AZ24</f>
        <v>8068.558</v>
      </c>
      <c r="BB24" s="567">
        <v>245882.73300000001</v>
      </c>
      <c r="BC24" s="573">
        <f t="shared" si="45"/>
        <v>3.2814658847963918E-2</v>
      </c>
    </row>
    <row r="25" spans="1:55">
      <c r="A25" s="3537" t="s">
        <v>86</v>
      </c>
      <c r="C25" s="3540">
        <v>0</v>
      </c>
      <c r="D25" s="3535">
        <v>9940</v>
      </c>
      <c r="E25" s="3535">
        <v>9940</v>
      </c>
      <c r="F25" s="4197">
        <v>8833902</v>
      </c>
      <c r="G25" s="4201">
        <f t="shared" si="31"/>
        <v>1.1252105807829881E-3</v>
      </c>
      <c r="I25" s="3364">
        <v>0</v>
      </c>
      <c r="J25" s="3364">
        <v>0</v>
      </c>
      <c r="K25" s="3364">
        <f t="shared" si="32"/>
        <v>0</v>
      </c>
      <c r="L25" s="3364">
        <v>7315924</v>
      </c>
      <c r="M25" s="3365">
        <f t="shared" si="33"/>
        <v>0</v>
      </c>
      <c r="O25" s="3364">
        <v>0</v>
      </c>
      <c r="P25" s="3364">
        <v>24119</v>
      </c>
      <c r="Q25" s="3364">
        <f>SUM(O25:P25)</f>
        <v>24119</v>
      </c>
      <c r="R25" s="3364">
        <v>10671364.540000001</v>
      </c>
      <c r="S25" s="3365">
        <f t="shared" si="34"/>
        <v>2.2601608172594578E-3</v>
      </c>
      <c r="U25" s="2023">
        <v>1540307.33</v>
      </c>
      <c r="V25" s="2023">
        <v>2761751.2900000005</v>
      </c>
      <c r="W25" s="2030">
        <f t="shared" si="35"/>
        <v>4302058.620000001</v>
      </c>
      <c r="X25" s="2023">
        <v>18764593.199999996</v>
      </c>
      <c r="Y25" s="2031">
        <f t="shared" si="36"/>
        <v>0.22926468877566725</v>
      </c>
      <c r="AA25" s="246">
        <v>12913.75</v>
      </c>
      <c r="AB25" s="246">
        <v>4834.5200000000004</v>
      </c>
      <c r="AC25" s="251">
        <f t="shared" si="37"/>
        <v>17748.27</v>
      </c>
      <c r="AD25" s="246">
        <v>9664062</v>
      </c>
      <c r="AE25" s="573">
        <f t="shared" si="38"/>
        <v>1.8365227789308471E-3</v>
      </c>
      <c r="AG25" s="246">
        <v>0</v>
      </c>
      <c r="AH25" s="246">
        <v>104635.12</v>
      </c>
      <c r="AI25" s="251">
        <f t="shared" si="39"/>
        <v>104635.12</v>
      </c>
      <c r="AJ25" s="246">
        <v>17057145</v>
      </c>
      <c r="AK25" s="573">
        <f t="shared" si="40"/>
        <v>6.1343864990301717E-3</v>
      </c>
      <c r="AM25" s="246">
        <v>55206</v>
      </c>
      <c r="AN25" s="246">
        <v>60890</v>
      </c>
      <c r="AO25" s="251">
        <f t="shared" si="41"/>
        <v>116096</v>
      </c>
      <c r="AP25" s="246">
        <v>18896047</v>
      </c>
      <c r="AQ25" s="573">
        <f t="shared" si="42"/>
        <v>6.1439305268451124E-3</v>
      </c>
      <c r="AS25" s="246">
        <v>1231014.83</v>
      </c>
      <c r="AT25" s="246">
        <v>292561.81</v>
      </c>
      <c r="AU25" s="251">
        <f t="shared" si="43"/>
        <v>1523576.6400000001</v>
      </c>
      <c r="AV25" s="246">
        <v>43411862</v>
      </c>
      <c r="AW25" s="573">
        <f t="shared" si="44"/>
        <v>3.5095860205213041E-2</v>
      </c>
      <c r="AY25" s="251">
        <v>186.36699999999999</v>
      </c>
      <c r="AZ25" s="251">
        <v>1.38</v>
      </c>
      <c r="BA25" s="251">
        <f>+AY25+AZ25</f>
        <v>187.74699999999999</v>
      </c>
      <c r="BB25" s="567">
        <v>20053.233</v>
      </c>
      <c r="BC25" s="573">
        <f t="shared" si="45"/>
        <v>9.3624304868945556E-3</v>
      </c>
    </row>
    <row r="26" spans="1:55">
      <c r="A26" s="3538" t="s">
        <v>25</v>
      </c>
      <c r="C26" s="3542">
        <v>15949973</v>
      </c>
      <c r="D26" s="3543">
        <v>11080247</v>
      </c>
      <c r="E26" s="3543">
        <v>27030220</v>
      </c>
      <c r="F26" s="4198">
        <v>192261418</v>
      </c>
      <c r="G26" s="4203">
        <f t="shared" si="31"/>
        <v>0.14059097389992203</v>
      </c>
      <c r="I26" s="3366">
        <f>SUM(I21:I25)</f>
        <v>8026446</v>
      </c>
      <c r="J26" s="3366">
        <f>SUM(J21:J25)</f>
        <v>10497755</v>
      </c>
      <c r="K26" s="3366">
        <f>SUM(K21:K25)</f>
        <v>18524201</v>
      </c>
      <c r="L26" s="3367">
        <f>SUM(L21:L25)</f>
        <v>178914051</v>
      </c>
      <c r="M26" s="3368">
        <f t="shared" si="33"/>
        <v>0.10353687089674136</v>
      </c>
      <c r="O26" s="3366">
        <f>SUM(O21:O25)</f>
        <v>1443127</v>
      </c>
      <c r="P26" s="3366">
        <f>SUM(P21:P25)</f>
        <v>20229100</v>
      </c>
      <c r="Q26" s="3366">
        <f>SUM(Q21:Q25)</f>
        <v>21672227</v>
      </c>
      <c r="R26" s="3367">
        <f>SUM(R21:R25)</f>
        <v>175999116.94000003</v>
      </c>
      <c r="S26" s="3368">
        <f t="shared" si="34"/>
        <v>0.12313827124137386</v>
      </c>
      <c r="U26" s="2032">
        <f>SUM(U21:U25)</f>
        <v>3636303.91</v>
      </c>
      <c r="V26" s="2032">
        <f>SUM(V21:V25)</f>
        <v>21733186.030000001</v>
      </c>
      <c r="W26" s="2032">
        <f>SUM(W21:W25)</f>
        <v>25369489.940000001</v>
      </c>
      <c r="X26" s="2025">
        <f>SUM(X21:X25)</f>
        <v>172511248.84999999</v>
      </c>
      <c r="Y26" s="2033">
        <f t="shared" si="36"/>
        <v>0.14705991701479704</v>
      </c>
      <c r="AA26" s="248">
        <f>SUM(AA21:AA25)</f>
        <v>2780882.17</v>
      </c>
      <c r="AB26" s="248">
        <f>SUM(AB21:AB25)</f>
        <v>15106781.879999999</v>
      </c>
      <c r="AC26" s="248">
        <f>SUM(AC21:AC25)</f>
        <v>17887664.050000001</v>
      </c>
      <c r="AD26" s="247">
        <f>SUM(AD21:AD25)</f>
        <v>179815009.55999997</v>
      </c>
      <c r="AE26" s="575">
        <f t="shared" si="38"/>
        <v>9.9478147534904832E-2</v>
      </c>
      <c r="AG26" s="248">
        <f>SUM(AG21:AG25)</f>
        <v>10655958.42</v>
      </c>
      <c r="AH26" s="248">
        <f>SUM(AH21:AH25)</f>
        <v>23632766.91</v>
      </c>
      <c r="AI26" s="248">
        <f>SUM(AI21:AI25)</f>
        <v>34288725.329999998</v>
      </c>
      <c r="AJ26" s="247">
        <f>SUM(AJ21:AJ25)</f>
        <v>195436740</v>
      </c>
      <c r="AK26" s="575">
        <f t="shared" si="40"/>
        <v>0.17544667051855245</v>
      </c>
      <c r="AM26" s="248">
        <f>SUM(AM21:AM25)</f>
        <v>8085860</v>
      </c>
      <c r="AN26" s="248">
        <f>SUM(AN21:AN25)</f>
        <v>18587569</v>
      </c>
      <c r="AO26" s="248">
        <f>SUM(AO21:AO25)</f>
        <v>26673429</v>
      </c>
      <c r="AP26" s="247">
        <f>SUM(AP21:AP25)</f>
        <v>186952555</v>
      </c>
      <c r="AQ26" s="575">
        <f t="shared" si="42"/>
        <v>0.14267485673036134</v>
      </c>
      <c r="AS26" s="248">
        <f>SUM(AS21:AS25)</f>
        <v>6439505.5099999998</v>
      </c>
      <c r="AT26" s="248">
        <f>SUM(AT21:AT25)</f>
        <v>18795788.989999998</v>
      </c>
      <c r="AU26" s="248">
        <f>SUM(AU21:AU25)</f>
        <v>25235294.5</v>
      </c>
      <c r="AV26" s="247">
        <f>SUM(AV21:AV25)</f>
        <v>359999174.20999992</v>
      </c>
      <c r="AW26" s="575">
        <f t="shared" si="44"/>
        <v>7.00982010733152E-2</v>
      </c>
      <c r="AY26" s="576">
        <f>SUM(AY21:AY25)</f>
        <v>6015.616</v>
      </c>
      <c r="AZ26" s="576">
        <f>SUM(AZ21:AZ25)</f>
        <v>4232.1559999999999</v>
      </c>
      <c r="BA26" s="576">
        <f>SUM(BA21:BA25)</f>
        <v>10247.771999999999</v>
      </c>
      <c r="BB26" s="571">
        <f>SUM(BB21:BB25)</f>
        <v>338096.48000000004</v>
      </c>
      <c r="BC26" s="575">
        <f t="shared" si="45"/>
        <v>3.0310200212673014E-2</v>
      </c>
    </row>
    <row r="27" spans="1:55">
      <c r="A27" s="191"/>
      <c r="G27" s="4205"/>
      <c r="I27" s="38"/>
      <c r="J27" s="38"/>
      <c r="K27" s="38"/>
      <c r="M27" s="53"/>
      <c r="O27" s="38"/>
      <c r="P27" s="38"/>
      <c r="Q27" s="38"/>
      <c r="S27" s="53"/>
      <c r="U27" s="38"/>
      <c r="V27" s="38"/>
      <c r="W27" s="38"/>
      <c r="Y27" s="53"/>
      <c r="AA27" s="38"/>
      <c r="AB27" s="38"/>
      <c r="AC27" s="38"/>
      <c r="AE27" s="53"/>
      <c r="AG27" s="38"/>
      <c r="AH27" s="38"/>
      <c r="AI27" s="38"/>
      <c r="AK27" s="53"/>
      <c r="AM27" s="38"/>
      <c r="AN27" s="38"/>
      <c r="AO27" s="38"/>
      <c r="AQ27" s="53"/>
      <c r="AS27" s="38"/>
      <c r="AT27" s="38"/>
      <c r="AU27" s="38"/>
      <c r="AW27" s="53"/>
      <c r="AY27" s="38"/>
      <c r="AZ27" s="38"/>
      <c r="BA27" s="38"/>
      <c r="BC27" s="53"/>
    </row>
    <row r="28" spans="1:55">
      <c r="A28" s="3536" t="s">
        <v>4</v>
      </c>
      <c r="C28" s="3539">
        <v>0</v>
      </c>
      <c r="D28" s="3534">
        <v>7864</v>
      </c>
      <c r="E28" s="3534">
        <v>7864</v>
      </c>
      <c r="F28" s="4196">
        <v>5213601</v>
      </c>
      <c r="G28" s="4200">
        <f t="shared" ref="G28:G33" si="46">+E28/F28</f>
        <v>1.5083624542806403E-3</v>
      </c>
      <c r="I28" s="3364">
        <v>0</v>
      </c>
      <c r="J28" s="3364">
        <v>0</v>
      </c>
      <c r="K28" s="3364">
        <f t="shared" ref="K28:K32" si="47">SUM(I28:J28)</f>
        <v>0</v>
      </c>
      <c r="L28" s="3364">
        <v>3841489</v>
      </c>
      <c r="M28" s="3365">
        <f t="shared" ref="M28:M33" si="48">+K28/L28</f>
        <v>0</v>
      </c>
      <c r="O28" s="3364">
        <v>0</v>
      </c>
      <c r="P28" s="3364">
        <v>21940</v>
      </c>
      <c r="Q28" s="3364">
        <f>+O28+P28</f>
        <v>21940</v>
      </c>
      <c r="R28" s="3364">
        <v>5061886.75</v>
      </c>
      <c r="S28" s="3365">
        <f t="shared" si="34"/>
        <v>4.334352205726452E-3</v>
      </c>
      <c r="U28" s="2023">
        <v>63195.93</v>
      </c>
      <c r="V28" s="2023">
        <v>6055.01</v>
      </c>
      <c r="W28" s="2030">
        <f>+U28+V28</f>
        <v>69250.94</v>
      </c>
      <c r="X28" s="2023">
        <v>4156615.81</v>
      </c>
      <c r="Y28" s="2031">
        <v>0</v>
      </c>
      <c r="AA28" s="246">
        <v>0</v>
      </c>
      <c r="AB28" s="246">
        <v>2850</v>
      </c>
      <c r="AC28" s="251">
        <f>+AA28+AB28</f>
        <v>2850</v>
      </c>
      <c r="AD28" s="246">
        <v>4488570.4000000004</v>
      </c>
      <c r="AE28" s="573">
        <v>0</v>
      </c>
      <c r="AG28" s="246">
        <v>0</v>
      </c>
      <c r="AH28" s="246">
        <v>2155.17</v>
      </c>
      <c r="AI28" s="251">
        <f>+AG28+AH28</f>
        <v>2155.17</v>
      </c>
      <c r="AJ28" s="246">
        <v>2979946</v>
      </c>
      <c r="AK28" s="573">
        <v>0</v>
      </c>
      <c r="AM28" s="246"/>
      <c r="AN28" s="246">
        <v>1600</v>
      </c>
      <c r="AO28" s="251">
        <f>+AM28+AN28</f>
        <v>1600</v>
      </c>
      <c r="AP28" s="246">
        <v>2489732</v>
      </c>
      <c r="AQ28" s="573">
        <v>0</v>
      </c>
      <c r="AS28" s="246">
        <v>0</v>
      </c>
      <c r="AT28" s="246">
        <v>0</v>
      </c>
      <c r="AU28" s="251">
        <f>+AS28+AT28</f>
        <v>0</v>
      </c>
      <c r="AV28" s="246">
        <v>3136372.86</v>
      </c>
      <c r="AW28" s="573">
        <v>0</v>
      </c>
      <c r="AY28" s="251">
        <v>0</v>
      </c>
      <c r="AZ28" s="251">
        <v>0</v>
      </c>
      <c r="BA28" s="251">
        <f>+AY28+AZ28</f>
        <v>0</v>
      </c>
      <c r="BB28" s="567">
        <v>2335.6149999999998</v>
      </c>
      <c r="BC28" s="573">
        <v>0</v>
      </c>
    </row>
    <row r="29" spans="1:55">
      <c r="A29" s="3537" t="s">
        <v>16</v>
      </c>
      <c r="C29" s="3540">
        <v>0</v>
      </c>
      <c r="D29" s="3535">
        <v>0</v>
      </c>
      <c r="E29" s="3535">
        <v>0</v>
      </c>
      <c r="F29" s="4197">
        <v>4649649</v>
      </c>
      <c r="G29" s="4201">
        <f t="shared" si="46"/>
        <v>0</v>
      </c>
      <c r="I29" s="3364">
        <v>0</v>
      </c>
      <c r="J29" s="3364">
        <v>0</v>
      </c>
      <c r="K29" s="3364">
        <f t="shared" si="47"/>
        <v>0</v>
      </c>
      <c r="L29" s="3364">
        <v>3994606</v>
      </c>
      <c r="M29" s="3365">
        <f t="shared" si="48"/>
        <v>0</v>
      </c>
      <c r="O29" s="3364">
        <v>0</v>
      </c>
      <c r="P29" s="3364">
        <v>0</v>
      </c>
      <c r="Q29" s="3364">
        <f>+O29+P29</f>
        <v>0</v>
      </c>
      <c r="R29" s="3364">
        <v>5458344.5800000001</v>
      </c>
      <c r="S29" s="3365">
        <f t="shared" si="34"/>
        <v>0</v>
      </c>
      <c r="U29" s="2023">
        <v>0</v>
      </c>
      <c r="V29" s="2023">
        <v>0</v>
      </c>
      <c r="W29" s="2030">
        <f t="shared" ref="W29:W32" si="49">+U29+V29</f>
        <v>0</v>
      </c>
      <c r="X29" s="2023">
        <v>4939159.4700000007</v>
      </c>
      <c r="Y29" s="2031">
        <v>0</v>
      </c>
      <c r="AA29" s="246">
        <v>0</v>
      </c>
      <c r="AB29" s="246">
        <v>0</v>
      </c>
      <c r="AC29" s="251">
        <f t="shared" ref="AC29:AC32" si="50">+AA29+AB29</f>
        <v>0</v>
      </c>
      <c r="AD29" s="246">
        <v>3441881.3600000003</v>
      </c>
      <c r="AE29" s="573">
        <v>0</v>
      </c>
      <c r="AG29" s="246">
        <v>0</v>
      </c>
      <c r="AH29" s="246">
        <v>0</v>
      </c>
      <c r="AI29" s="251">
        <f t="shared" ref="AI29:AI32" si="51">+AG29+AH29</f>
        <v>0</v>
      </c>
      <c r="AJ29" s="246">
        <v>3912518</v>
      </c>
      <c r="AK29" s="573">
        <v>0</v>
      </c>
      <c r="AM29" s="246"/>
      <c r="AN29" s="246">
        <v>2860</v>
      </c>
      <c r="AO29" s="251">
        <f t="shared" ref="AO29:AO32" si="52">+AM29+AN29</f>
        <v>2860</v>
      </c>
      <c r="AP29" s="246">
        <v>2553445</v>
      </c>
      <c r="AQ29" s="573">
        <v>0</v>
      </c>
      <c r="AS29" s="246">
        <v>0</v>
      </c>
      <c r="AT29" s="246">
        <v>0</v>
      </c>
      <c r="AU29" s="251">
        <f t="shared" ref="AU29:AU32" si="53">+AS29+AT29</f>
        <v>0</v>
      </c>
      <c r="AV29" s="246">
        <v>3758670.02</v>
      </c>
      <c r="AW29" s="573">
        <v>0</v>
      </c>
      <c r="AY29" s="251">
        <v>0</v>
      </c>
      <c r="AZ29" s="251">
        <v>0</v>
      </c>
      <c r="BA29" s="251">
        <f>+AY29+AZ29</f>
        <v>0</v>
      </c>
      <c r="BB29" s="567">
        <v>4608.7749999999996</v>
      </c>
      <c r="BC29" s="573">
        <v>0</v>
      </c>
    </row>
    <row r="30" spans="1:55">
      <c r="A30" s="3537" t="s">
        <v>41</v>
      </c>
      <c r="C30" s="3540">
        <v>0</v>
      </c>
      <c r="D30" s="3535">
        <v>0</v>
      </c>
      <c r="E30" s="3535">
        <v>0</v>
      </c>
      <c r="F30" s="4197">
        <v>5380010</v>
      </c>
      <c r="G30" s="4201">
        <f t="shared" si="46"/>
        <v>0</v>
      </c>
      <c r="I30" s="3364">
        <v>0</v>
      </c>
      <c r="J30" s="3364">
        <v>0</v>
      </c>
      <c r="K30" s="3364">
        <f t="shared" si="47"/>
        <v>0</v>
      </c>
      <c r="L30" s="3364">
        <v>5690843</v>
      </c>
      <c r="M30" s="3365">
        <f t="shared" si="48"/>
        <v>0</v>
      </c>
      <c r="O30" s="3364">
        <v>0</v>
      </c>
      <c r="P30" s="3364">
        <v>19418</v>
      </c>
      <c r="Q30" s="3364">
        <f>+O30+P30</f>
        <v>19418</v>
      </c>
      <c r="R30" s="3364">
        <v>4949213.95</v>
      </c>
      <c r="S30" s="3365">
        <f t="shared" si="34"/>
        <v>3.9234513189715711E-3</v>
      </c>
      <c r="U30" s="2023">
        <v>0</v>
      </c>
      <c r="V30" s="2023">
        <v>31784</v>
      </c>
      <c r="W30" s="2030">
        <f t="shared" si="49"/>
        <v>31784</v>
      </c>
      <c r="X30" s="2023">
        <v>4138517.05</v>
      </c>
      <c r="Y30" s="2031">
        <v>0</v>
      </c>
      <c r="AA30" s="246">
        <v>0</v>
      </c>
      <c r="AB30" s="246">
        <v>12910.58</v>
      </c>
      <c r="AC30" s="251">
        <f t="shared" si="50"/>
        <v>12910.58</v>
      </c>
      <c r="AD30" s="246">
        <v>4780957.41</v>
      </c>
      <c r="AE30" s="573">
        <v>0</v>
      </c>
      <c r="AG30" s="246">
        <v>0</v>
      </c>
      <c r="AH30" s="246">
        <v>7452.66</v>
      </c>
      <c r="AI30" s="251">
        <f t="shared" si="51"/>
        <v>7452.66</v>
      </c>
      <c r="AJ30" s="246">
        <v>3564219</v>
      </c>
      <c r="AK30" s="573">
        <v>0</v>
      </c>
      <c r="AM30" s="246"/>
      <c r="AN30" s="246">
        <v>2300</v>
      </c>
      <c r="AO30" s="251">
        <f t="shared" si="52"/>
        <v>2300</v>
      </c>
      <c r="AP30" s="246">
        <v>2913175</v>
      </c>
      <c r="AQ30" s="573">
        <v>0</v>
      </c>
      <c r="AS30" s="246">
        <v>0</v>
      </c>
      <c r="AT30" s="246">
        <v>0</v>
      </c>
      <c r="AU30" s="251">
        <f t="shared" si="53"/>
        <v>0</v>
      </c>
      <c r="AV30" s="246">
        <v>4800208.3600000003</v>
      </c>
      <c r="AW30" s="573">
        <v>0</v>
      </c>
      <c r="AY30" s="251">
        <v>0</v>
      </c>
      <c r="AZ30" s="251">
        <v>0</v>
      </c>
      <c r="BA30" s="251">
        <f>+AY30+AZ30</f>
        <v>0</v>
      </c>
      <c r="BB30" s="567">
        <v>5232.0860000000002</v>
      </c>
      <c r="BC30" s="573">
        <v>0</v>
      </c>
    </row>
    <row r="31" spans="1:55">
      <c r="A31" s="3537" t="s">
        <v>85</v>
      </c>
      <c r="C31" s="3540">
        <v>0</v>
      </c>
      <c r="D31" s="3535">
        <v>1415834</v>
      </c>
      <c r="E31" s="3535">
        <v>1415834</v>
      </c>
      <c r="F31" s="4197">
        <v>21090601</v>
      </c>
      <c r="G31" s="4201">
        <f t="shared" si="46"/>
        <v>6.7131040978870155E-2</v>
      </c>
      <c r="I31" s="3364">
        <v>0</v>
      </c>
      <c r="J31" s="3364">
        <v>960463</v>
      </c>
      <c r="K31" s="3364">
        <f t="shared" si="47"/>
        <v>960463</v>
      </c>
      <c r="L31" s="3364">
        <v>18765109</v>
      </c>
      <c r="M31" s="3365">
        <f t="shared" si="48"/>
        <v>5.1183449027660859E-2</v>
      </c>
      <c r="O31" s="3364">
        <v>1768238</v>
      </c>
      <c r="P31" s="3364">
        <f>3510236-O31</f>
        <v>1741998</v>
      </c>
      <c r="Q31" s="3364">
        <f>+O31+P31</f>
        <v>3510236</v>
      </c>
      <c r="R31" s="3364">
        <v>19196986.920000002</v>
      </c>
      <c r="S31" s="3365">
        <f t="shared" si="34"/>
        <v>0.18285348709296301</v>
      </c>
      <c r="U31" s="2023">
        <v>1989230.48</v>
      </c>
      <c r="V31" s="2023">
        <v>1427117.9800000002</v>
      </c>
      <c r="W31" s="2030">
        <f t="shared" si="49"/>
        <v>3416348.46</v>
      </c>
      <c r="X31" s="2023">
        <v>20633226.120000005</v>
      </c>
      <c r="Y31" s="2031">
        <f>+W31/X31</f>
        <v>0.16557509912075732</v>
      </c>
      <c r="AA31" s="246">
        <v>385129</v>
      </c>
      <c r="AB31" s="246">
        <f>215831+965704</f>
        <v>1181535</v>
      </c>
      <c r="AC31" s="251">
        <f t="shared" si="50"/>
        <v>1566664</v>
      </c>
      <c r="AD31" s="246">
        <v>21348161.84</v>
      </c>
      <c r="AE31" s="573">
        <f>+AC31/AD31</f>
        <v>7.3386365146649091E-2</v>
      </c>
      <c r="AG31" s="246">
        <v>267543.06</v>
      </c>
      <c r="AH31" s="246">
        <v>846789.98</v>
      </c>
      <c r="AI31" s="251">
        <f t="shared" si="51"/>
        <v>1114333.04</v>
      </c>
      <c r="AJ31" s="246">
        <v>20444172</v>
      </c>
      <c r="AK31" s="573">
        <f>+AI31/AJ31</f>
        <v>5.4506146788434379E-2</v>
      </c>
      <c r="AM31" s="246">
        <v>619225</v>
      </c>
      <c r="AN31" s="246">
        <v>944155</v>
      </c>
      <c r="AO31" s="251">
        <f t="shared" si="52"/>
        <v>1563380</v>
      </c>
      <c r="AP31" s="246">
        <v>19064928</v>
      </c>
      <c r="AQ31" s="573">
        <f>+AO31/AP31</f>
        <v>8.2002932295364553E-2</v>
      </c>
      <c r="AS31" s="246">
        <v>491471.12</v>
      </c>
      <c r="AT31" s="246">
        <v>35657.11</v>
      </c>
      <c r="AU31" s="251">
        <f t="shared" si="53"/>
        <v>527128.23</v>
      </c>
      <c r="AV31" s="246">
        <v>20081923.68</v>
      </c>
      <c r="AW31" s="573">
        <f>+AU31/AV31</f>
        <v>2.6248891211800483E-2</v>
      </c>
      <c r="AY31" s="251">
        <v>266.20400000000001</v>
      </c>
      <c r="AZ31" s="251">
        <v>16.149999999999999</v>
      </c>
      <c r="BA31" s="251">
        <f>+AY31+AZ31</f>
        <v>282.35399999999998</v>
      </c>
      <c r="BB31" s="567">
        <v>14247.491</v>
      </c>
      <c r="BC31" s="573">
        <f>+BA31/BB31</f>
        <v>1.9817805113896896E-2</v>
      </c>
    </row>
    <row r="32" spans="1:55">
      <c r="A32" s="3537" t="s">
        <v>86</v>
      </c>
      <c r="C32" s="3540">
        <v>0</v>
      </c>
      <c r="D32" s="3535">
        <v>0</v>
      </c>
      <c r="E32" s="3535">
        <v>0</v>
      </c>
      <c r="F32" s="4197">
        <v>4069001</v>
      </c>
      <c r="G32" s="4201">
        <f t="shared" si="46"/>
        <v>0</v>
      </c>
      <c r="I32" s="3364">
        <v>0</v>
      </c>
      <c r="J32" s="3364">
        <v>0</v>
      </c>
      <c r="K32" s="3364">
        <f t="shared" si="47"/>
        <v>0</v>
      </c>
      <c r="L32" s="3364">
        <v>16912481</v>
      </c>
      <c r="M32" s="3365">
        <f t="shared" si="48"/>
        <v>0</v>
      </c>
      <c r="O32" s="3364">
        <v>0</v>
      </c>
      <c r="P32" s="3364">
        <v>37194</v>
      </c>
      <c r="Q32" s="3364">
        <f>+O32+P32</f>
        <v>37194</v>
      </c>
      <c r="R32" s="3364">
        <v>3012217.26</v>
      </c>
      <c r="S32" s="3365">
        <f t="shared" si="34"/>
        <v>1.234771491881034E-2</v>
      </c>
      <c r="U32" s="2023">
        <v>0</v>
      </c>
      <c r="V32" s="2023">
        <v>67066.42</v>
      </c>
      <c r="W32" s="2030">
        <f t="shared" si="49"/>
        <v>67066.42</v>
      </c>
      <c r="X32" s="2023">
        <v>13940856.409999998</v>
      </c>
      <c r="Y32" s="2031">
        <v>0</v>
      </c>
      <c r="AA32" s="246">
        <v>0</v>
      </c>
      <c r="AB32" s="246">
        <v>12510.8</v>
      </c>
      <c r="AC32" s="251">
        <f t="shared" si="50"/>
        <v>12510.8</v>
      </c>
      <c r="AD32" s="246">
        <v>2564707.16</v>
      </c>
      <c r="AE32" s="573">
        <v>0</v>
      </c>
      <c r="AG32" s="246"/>
      <c r="AH32" s="246">
        <v>27979.85</v>
      </c>
      <c r="AI32" s="251">
        <f t="shared" si="51"/>
        <v>27979.85</v>
      </c>
      <c r="AJ32" s="246">
        <v>99531449</v>
      </c>
      <c r="AK32" s="573">
        <v>0</v>
      </c>
      <c r="AM32" s="246"/>
      <c r="AN32" s="246">
        <v>25380</v>
      </c>
      <c r="AO32" s="251">
        <f t="shared" si="52"/>
        <v>25380</v>
      </c>
      <c r="AP32" s="246">
        <v>39157824</v>
      </c>
      <c r="AQ32" s="573">
        <v>0</v>
      </c>
      <c r="AS32" s="246">
        <v>0</v>
      </c>
      <c r="AT32" s="246">
        <v>12858.65</v>
      </c>
      <c r="AU32" s="251">
        <f t="shared" si="53"/>
        <v>12858.65</v>
      </c>
      <c r="AV32" s="246">
        <v>374097533.61000001</v>
      </c>
      <c r="AW32" s="573">
        <v>0</v>
      </c>
      <c r="AY32" s="251">
        <v>0</v>
      </c>
      <c r="AZ32" s="251">
        <v>0</v>
      </c>
      <c r="BA32" s="251">
        <f>+AY32+AZ32</f>
        <v>0</v>
      </c>
      <c r="BB32" s="567">
        <v>63335.339</v>
      </c>
      <c r="BC32" s="573">
        <v>0</v>
      </c>
    </row>
    <row r="33" spans="1:55">
      <c r="A33" s="3538" t="s">
        <v>249</v>
      </c>
      <c r="C33" s="3542">
        <v>0</v>
      </c>
      <c r="D33" s="3543">
        <v>1423698</v>
      </c>
      <c r="E33" s="3543">
        <v>1423698</v>
      </c>
      <c r="F33" s="4198">
        <v>40402862</v>
      </c>
      <c r="G33" s="4203">
        <f t="shared" si="46"/>
        <v>3.5237553220858461E-2</v>
      </c>
      <c r="I33" s="3366">
        <f>SUM(I28:I32)</f>
        <v>0</v>
      </c>
      <c r="J33" s="3366">
        <f>SUM(J28:J32)</f>
        <v>960463</v>
      </c>
      <c r="K33" s="3366">
        <f>SUM(K28:K32)</f>
        <v>960463</v>
      </c>
      <c r="L33" s="3367">
        <f>SUM(L28:L32)</f>
        <v>49204528</v>
      </c>
      <c r="M33" s="3368">
        <f t="shared" si="48"/>
        <v>1.9519809233816854E-2</v>
      </c>
      <c r="O33" s="3366">
        <f>SUM(O28:O32)</f>
        <v>1768238</v>
      </c>
      <c r="P33" s="3366">
        <f>SUM(P28:P32)</f>
        <v>1820550</v>
      </c>
      <c r="Q33" s="3366">
        <f>SUM(Q28:Q32)</f>
        <v>3588788</v>
      </c>
      <c r="R33" s="3367">
        <f>SUM(R28:R32)</f>
        <v>37678649.460000001</v>
      </c>
      <c r="S33" s="3368">
        <f>+Q33/R33</f>
        <v>9.5247256773624278E-2</v>
      </c>
      <c r="U33" s="2032">
        <f>SUM(U28:U32)</f>
        <v>2052426.41</v>
      </c>
      <c r="V33" s="2032">
        <f>SUM(V28:V32)</f>
        <v>1532023.4100000001</v>
      </c>
      <c r="W33" s="2032">
        <f>SUM(W28:W32)</f>
        <v>3584449.82</v>
      </c>
      <c r="X33" s="2025">
        <f>SUM(X28:X32)</f>
        <v>47808374.859999999</v>
      </c>
      <c r="Y33" s="2033">
        <f>+W33/X33</f>
        <v>7.4975353805615638E-2</v>
      </c>
      <c r="AA33" s="248">
        <f>SUM(AA28:AA32)</f>
        <v>385129</v>
      </c>
      <c r="AB33" s="248">
        <f>SUM(AB28:AB32)</f>
        <v>1209806.3800000001</v>
      </c>
      <c r="AC33" s="248">
        <f>SUM(AC28:AC32)</f>
        <v>1594935.3800000001</v>
      </c>
      <c r="AD33" s="247">
        <f>SUM(AD28:AD32)</f>
        <v>36624278.170000002</v>
      </c>
      <c r="AE33" s="575">
        <f>+AC33/AD33</f>
        <v>4.3548581970591776E-2</v>
      </c>
      <c r="AG33" s="248">
        <f>SUM(AG28:AG32)</f>
        <v>267543.06</v>
      </c>
      <c r="AH33" s="248">
        <f>SUM(AH28:AH32)</f>
        <v>884377.65999999992</v>
      </c>
      <c r="AI33" s="248">
        <f>SUM(AI28:AI32)</f>
        <v>1151920.7200000002</v>
      </c>
      <c r="AJ33" s="247">
        <f>SUM(AJ28:AJ32)</f>
        <v>130432304</v>
      </c>
      <c r="AK33" s="575">
        <f>+AI33/AJ33</f>
        <v>8.8315600098576828E-3</v>
      </c>
      <c r="AM33" s="248">
        <f>SUM(AM28:AM32)</f>
        <v>619225</v>
      </c>
      <c r="AN33" s="248">
        <f>SUM(AN28:AN32)</f>
        <v>976295</v>
      </c>
      <c r="AO33" s="248">
        <f>SUM(AO28:AO32)</f>
        <v>1595520</v>
      </c>
      <c r="AP33" s="247">
        <f>SUM(AP28:AP32)</f>
        <v>66179104</v>
      </c>
      <c r="AQ33" s="575">
        <f>+AO33/AP33</f>
        <v>2.4109120607012147E-2</v>
      </c>
      <c r="AS33" s="248">
        <f>SUM(AS28:AS32)</f>
        <v>491471.12</v>
      </c>
      <c r="AT33" s="248">
        <f>SUM(AT28:AT32)</f>
        <v>48515.76</v>
      </c>
      <c r="AU33" s="248">
        <f>SUM(AU28:AU32)</f>
        <v>539986.88</v>
      </c>
      <c r="AV33" s="247">
        <f>SUM(AV28:AV32)</f>
        <v>405874708.53000003</v>
      </c>
      <c r="AW33" s="575">
        <f>+AU33/AV33</f>
        <v>1.330427515318036E-3</v>
      </c>
      <c r="AY33" s="576">
        <f>SUM(AY28:AY32)</f>
        <v>266.20400000000001</v>
      </c>
      <c r="AZ33" s="576">
        <f>SUM(AZ28:AZ32)</f>
        <v>16.149999999999999</v>
      </c>
      <c r="BA33" s="576">
        <f>SUM(BA28:BA32)</f>
        <v>282.35399999999998</v>
      </c>
      <c r="BB33" s="571">
        <f>SUM(BB28:BB32)</f>
        <v>89759.305999999997</v>
      </c>
      <c r="BC33" s="575">
        <f>+BA33/BB33</f>
        <v>3.145679401754733E-3</v>
      </c>
    </row>
    <row r="34" spans="1:55">
      <c r="A34" s="191"/>
      <c r="G34" s="4205"/>
      <c r="J34" s="38"/>
      <c r="K34" s="38"/>
      <c r="M34" s="53"/>
      <c r="O34" s="38"/>
      <c r="P34" s="38"/>
      <c r="Q34" s="38"/>
      <c r="S34" s="53"/>
      <c r="U34" s="38"/>
      <c r="V34" s="38"/>
      <c r="W34" s="38"/>
      <c r="Y34" s="53"/>
      <c r="AA34" s="38"/>
      <c r="AB34" s="38"/>
      <c r="AC34" s="38"/>
      <c r="AE34" s="53"/>
      <c r="AG34" s="38"/>
      <c r="AH34" s="38"/>
      <c r="AI34" s="38"/>
      <c r="AK34" s="53"/>
      <c r="AM34" s="38"/>
      <c r="AN34" s="38"/>
      <c r="AO34" s="38"/>
      <c r="AQ34" s="53"/>
      <c r="AS34" s="38"/>
      <c r="AT34" s="38"/>
      <c r="AU34" s="38"/>
      <c r="AW34" s="53"/>
      <c r="AY34" s="38"/>
      <c r="AZ34" s="38"/>
      <c r="BA34" s="38"/>
      <c r="BC34" s="53"/>
    </row>
    <row r="35" spans="1:55">
      <c r="A35" s="3536" t="s">
        <v>16</v>
      </c>
      <c r="C35" s="3539">
        <v>0</v>
      </c>
      <c r="D35" s="3534">
        <v>1875</v>
      </c>
      <c r="E35" s="3534">
        <v>1875</v>
      </c>
      <c r="F35" s="4196">
        <v>19049515</v>
      </c>
      <c r="G35" s="4200">
        <f t="shared" ref="G35:G40" si="54">+E35/F35</f>
        <v>9.8427702752537272E-5</v>
      </c>
      <c r="I35" s="3364">
        <v>0</v>
      </c>
      <c r="J35" s="3364">
        <v>1073</v>
      </c>
      <c r="K35" s="3364">
        <f t="shared" ref="K35:K39" si="55">SUM(I35:J35)</f>
        <v>1073</v>
      </c>
      <c r="L35" s="3364">
        <v>18879687</v>
      </c>
      <c r="M35" s="3365">
        <f t="shared" ref="M35:M40" si="56">+K35/L35</f>
        <v>5.6833569327711842E-5</v>
      </c>
      <c r="O35" s="3364">
        <v>44798</v>
      </c>
      <c r="P35" s="3364">
        <f>168837-O35</f>
        <v>124039</v>
      </c>
      <c r="Q35" s="3364">
        <f>+O35+P35</f>
        <v>168837</v>
      </c>
      <c r="R35" s="3364">
        <v>19478020.060000006</v>
      </c>
      <c r="S35" s="3365">
        <f t="shared" ref="S35:S40" si="57">+Q35/R35</f>
        <v>8.6680781455155745E-3</v>
      </c>
      <c r="U35" s="2023">
        <v>23200.35</v>
      </c>
      <c r="V35" s="2023">
        <v>21576</v>
      </c>
      <c r="W35" s="2030">
        <f>+U35+V35</f>
        <v>44776.35</v>
      </c>
      <c r="X35" s="2023">
        <v>17616448.400000006</v>
      </c>
      <c r="Y35" s="2031">
        <f t="shared" ref="Y35:Y40" si="58">+W35/X35</f>
        <v>2.5417353704507194E-3</v>
      </c>
      <c r="AA35" s="246">
        <v>4314.5200000000004</v>
      </c>
      <c r="AB35" s="246">
        <v>23619.84</v>
      </c>
      <c r="AC35" s="251">
        <f>+AA35+AB35</f>
        <v>27934.36</v>
      </c>
      <c r="AD35" s="246">
        <v>21311032.98</v>
      </c>
      <c r="AE35" s="573">
        <f t="shared" ref="AE35:AE40" si="59">+AC35/AD35</f>
        <v>1.3107933353683919E-3</v>
      </c>
      <c r="AG35" s="246">
        <v>60623.89</v>
      </c>
      <c r="AH35" s="246">
        <v>31499.81</v>
      </c>
      <c r="AI35" s="251">
        <f>+AG35+AH35</f>
        <v>92123.7</v>
      </c>
      <c r="AJ35" s="246">
        <v>24160163</v>
      </c>
      <c r="AK35" s="573">
        <f t="shared" ref="AK35:AK40" si="60">+AI35/AJ35</f>
        <v>3.8130413275771356E-3</v>
      </c>
      <c r="AM35" s="246">
        <v>74862</v>
      </c>
      <c r="AN35" s="246">
        <v>57603</v>
      </c>
      <c r="AO35" s="251">
        <f>+AM35+AN35</f>
        <v>132465</v>
      </c>
      <c r="AP35" s="246">
        <v>21506416</v>
      </c>
      <c r="AQ35" s="573">
        <f t="shared" ref="AQ35:AQ40" si="61">+AO35/AP35</f>
        <v>6.1593247336050785E-3</v>
      </c>
      <c r="AS35" s="246">
        <v>621988.28</v>
      </c>
      <c r="AT35" s="246">
        <v>93707.93</v>
      </c>
      <c r="AU35" s="251">
        <f>+AS35+AT35</f>
        <v>715696.21</v>
      </c>
      <c r="AV35" s="246">
        <v>33605041.789999999</v>
      </c>
      <c r="AW35" s="573">
        <f t="shared" ref="AW35:AW40" si="62">+AU35/AV35</f>
        <v>2.1297286712881662E-2</v>
      </c>
      <c r="AY35" s="251">
        <v>528.23199999999997</v>
      </c>
      <c r="AZ35" s="251">
        <v>26.835999999999999</v>
      </c>
      <c r="BA35" s="251">
        <f>+AY35+AZ35</f>
        <v>555.06799999999998</v>
      </c>
      <c r="BB35" s="567">
        <v>22352.589</v>
      </c>
      <c r="BC35" s="573">
        <f t="shared" ref="BC35:BC40" si="63">+BA35/BB35</f>
        <v>2.4832380714377201E-2</v>
      </c>
    </row>
    <row r="36" spans="1:55">
      <c r="A36" s="3537" t="s">
        <v>41</v>
      </c>
      <c r="C36" s="3540">
        <v>86762</v>
      </c>
      <c r="D36" s="3535">
        <v>37377</v>
      </c>
      <c r="E36" s="3535">
        <v>124139</v>
      </c>
      <c r="F36" s="4197">
        <v>26985430</v>
      </c>
      <c r="G36" s="4201">
        <f t="shared" si="54"/>
        <v>4.6002231574594141E-3</v>
      </c>
      <c r="I36" s="3364">
        <v>0</v>
      </c>
      <c r="J36" s="3364">
        <v>51159</v>
      </c>
      <c r="K36" s="3364">
        <f t="shared" si="55"/>
        <v>51159</v>
      </c>
      <c r="L36" s="3364">
        <v>21962210</v>
      </c>
      <c r="M36" s="3365">
        <f t="shared" si="56"/>
        <v>2.3294103826527477E-3</v>
      </c>
      <c r="O36" s="3364">
        <v>53759</v>
      </c>
      <c r="P36" s="3364">
        <f>406351-O36</f>
        <v>352592</v>
      </c>
      <c r="Q36" s="3364">
        <f>+O36+P36</f>
        <v>406351</v>
      </c>
      <c r="R36" s="3364">
        <v>32642382.870000001</v>
      </c>
      <c r="S36" s="3365">
        <f t="shared" si="57"/>
        <v>1.2448570363821604E-2</v>
      </c>
      <c r="U36" s="2023">
        <v>89316.69</v>
      </c>
      <c r="V36" s="2023">
        <v>359347.30000000005</v>
      </c>
      <c r="W36" s="2030">
        <f t="shared" ref="W36:W39" si="64">+U36+V36</f>
        <v>448663.99000000005</v>
      </c>
      <c r="X36" s="2023">
        <v>26656157.239999998</v>
      </c>
      <c r="Y36" s="2031">
        <f t="shared" si="58"/>
        <v>1.6831532991062145E-2</v>
      </c>
      <c r="AA36" s="246">
        <v>410763.73</v>
      </c>
      <c r="AB36" s="246">
        <v>241672.24</v>
      </c>
      <c r="AC36" s="251">
        <f t="shared" ref="AC36:AC39" si="65">+AA36+AB36</f>
        <v>652435.97</v>
      </c>
      <c r="AD36" s="246">
        <v>23886675.709999997</v>
      </c>
      <c r="AE36" s="573">
        <f t="shared" si="59"/>
        <v>2.7313803641871439E-2</v>
      </c>
      <c r="AG36" s="246">
        <v>197296.09</v>
      </c>
      <c r="AH36" s="246">
        <v>297030.87</v>
      </c>
      <c r="AI36" s="251">
        <f t="shared" ref="AI36:AI39" si="66">+AG36+AH36</f>
        <v>494326.95999999996</v>
      </c>
      <c r="AJ36" s="246">
        <v>25310759</v>
      </c>
      <c r="AK36" s="573">
        <f t="shared" si="60"/>
        <v>1.953030962050565E-2</v>
      </c>
      <c r="AM36" s="246">
        <v>477675</v>
      </c>
      <c r="AN36" s="246">
        <v>109987</v>
      </c>
      <c r="AO36" s="251">
        <f t="shared" ref="AO36:AO39" si="67">+AM36+AN36</f>
        <v>587662</v>
      </c>
      <c r="AP36" s="246">
        <v>23583589</v>
      </c>
      <c r="AQ36" s="573">
        <f t="shared" si="61"/>
        <v>2.4918259896744299E-2</v>
      </c>
      <c r="AS36" s="246">
        <v>548827.1</v>
      </c>
      <c r="AT36" s="246">
        <v>482532.49</v>
      </c>
      <c r="AU36" s="251">
        <f t="shared" ref="AU36:AU39" si="68">+AS36+AT36</f>
        <v>1031359.59</v>
      </c>
      <c r="AV36" s="246">
        <v>47855210.240000099</v>
      </c>
      <c r="AW36" s="573">
        <f t="shared" si="62"/>
        <v>2.1551667724947765E-2</v>
      </c>
      <c r="AY36" s="251">
        <v>868.64</v>
      </c>
      <c r="AZ36" s="251">
        <v>7.7990000000000004</v>
      </c>
      <c r="BA36" s="251">
        <f>+AY36+AZ36</f>
        <v>876.43899999999996</v>
      </c>
      <c r="BB36" s="567">
        <v>37177.546999999999</v>
      </c>
      <c r="BC36" s="573">
        <f t="shared" si="63"/>
        <v>2.3574417107185688E-2</v>
      </c>
    </row>
    <row r="37" spans="1:55">
      <c r="A37" s="3537" t="s">
        <v>21</v>
      </c>
      <c r="C37" s="3540">
        <v>0</v>
      </c>
      <c r="D37" s="3535">
        <v>0</v>
      </c>
      <c r="E37" s="3535">
        <v>0</v>
      </c>
      <c r="F37" s="4197">
        <v>8320422</v>
      </c>
      <c r="G37" s="4201">
        <f t="shared" si="54"/>
        <v>0</v>
      </c>
      <c r="I37" s="3364">
        <v>0</v>
      </c>
      <c r="J37" s="3364">
        <v>0</v>
      </c>
      <c r="K37" s="3364">
        <f t="shared" si="55"/>
        <v>0</v>
      </c>
      <c r="L37" s="3364">
        <v>8079415</v>
      </c>
      <c r="M37" s="3365">
        <f t="shared" si="56"/>
        <v>0</v>
      </c>
      <c r="O37" s="3364">
        <v>69634</v>
      </c>
      <c r="P37" s="3364">
        <f>214555-O37</f>
        <v>144921</v>
      </c>
      <c r="Q37" s="3364">
        <f>+O37+P37</f>
        <v>214555</v>
      </c>
      <c r="R37" s="3364">
        <v>9686179.9199999999</v>
      </c>
      <c r="S37" s="3365">
        <f t="shared" si="57"/>
        <v>2.2150631288294302E-2</v>
      </c>
      <c r="U37" s="2023">
        <v>44769.56</v>
      </c>
      <c r="V37" s="2023">
        <v>58301.97</v>
      </c>
      <c r="W37" s="2030">
        <f t="shared" si="64"/>
        <v>103071.53</v>
      </c>
      <c r="X37" s="2023">
        <v>8236932.9500000011</v>
      </c>
      <c r="Y37" s="2031">
        <f t="shared" si="58"/>
        <v>1.251333847509345E-2</v>
      </c>
      <c r="AA37" s="246">
        <v>78188.160000000003</v>
      </c>
      <c r="AB37" s="246">
        <v>56365.91</v>
      </c>
      <c r="AC37" s="251">
        <f t="shared" si="65"/>
        <v>134554.07</v>
      </c>
      <c r="AD37" s="246">
        <v>8340963</v>
      </c>
      <c r="AE37" s="573">
        <f t="shared" si="59"/>
        <v>1.6131718843495652E-2</v>
      </c>
      <c r="AG37" s="246">
        <v>273422.06</v>
      </c>
      <c r="AH37" s="246">
        <v>54399.479999999996</v>
      </c>
      <c r="AI37" s="251">
        <f t="shared" si="66"/>
        <v>327821.53999999998</v>
      </c>
      <c r="AJ37" s="246">
        <v>11732581</v>
      </c>
      <c r="AK37" s="573">
        <f t="shared" si="60"/>
        <v>2.7941127361490195E-2</v>
      </c>
      <c r="AM37" s="246">
        <v>124230</v>
      </c>
      <c r="AN37" s="246">
        <v>103651</v>
      </c>
      <c r="AO37" s="251">
        <f t="shared" si="67"/>
        <v>227881</v>
      </c>
      <c r="AP37" s="246">
        <v>8278046</v>
      </c>
      <c r="AQ37" s="573">
        <f t="shared" si="61"/>
        <v>2.7528356329500948E-2</v>
      </c>
      <c r="AS37" s="246">
        <v>595850.96</v>
      </c>
      <c r="AT37" s="246">
        <v>156453.99</v>
      </c>
      <c r="AU37" s="251">
        <f t="shared" si="68"/>
        <v>752304.95</v>
      </c>
      <c r="AV37" s="246">
        <v>14017052.529999999</v>
      </c>
      <c r="AW37" s="573">
        <f t="shared" si="62"/>
        <v>5.3670694918912458E-2</v>
      </c>
      <c r="AY37" s="251">
        <v>140.614</v>
      </c>
      <c r="AZ37" s="251">
        <v>116.163</v>
      </c>
      <c r="BA37" s="251">
        <f>+AY37+AZ37</f>
        <v>256.77699999999999</v>
      </c>
      <c r="BB37" s="567">
        <v>10637.235000000001</v>
      </c>
      <c r="BC37" s="573">
        <f t="shared" si="63"/>
        <v>2.4139449772426762E-2</v>
      </c>
    </row>
    <row r="38" spans="1:55">
      <c r="A38" s="3537" t="s">
        <v>85</v>
      </c>
      <c r="C38" s="3540">
        <v>7945298</v>
      </c>
      <c r="D38" s="3535">
        <v>5374360</v>
      </c>
      <c r="E38" s="3535">
        <v>13319658</v>
      </c>
      <c r="F38" s="4197">
        <v>116676708</v>
      </c>
      <c r="G38" s="4201">
        <f t="shared" si="54"/>
        <v>0.1141586716690704</v>
      </c>
      <c r="I38" s="3364">
        <v>466079</v>
      </c>
      <c r="J38" s="3364">
        <v>1005828</v>
      </c>
      <c r="K38" s="3364">
        <f t="shared" si="55"/>
        <v>1471907</v>
      </c>
      <c r="L38" s="3364">
        <v>98266177</v>
      </c>
      <c r="M38" s="3365">
        <f t="shared" si="56"/>
        <v>1.4978775453938744E-2</v>
      </c>
      <c r="O38" s="3364">
        <v>4509037</v>
      </c>
      <c r="P38" s="3364">
        <f>24014549-O38</f>
        <v>19505512</v>
      </c>
      <c r="Q38" s="3364">
        <f>+O38+P38</f>
        <v>24014549</v>
      </c>
      <c r="R38" s="3364">
        <v>97869214.650000021</v>
      </c>
      <c r="S38" s="3365">
        <f t="shared" si="57"/>
        <v>0.24537388070274041</v>
      </c>
      <c r="U38" s="2023">
        <v>11981416.470000001</v>
      </c>
      <c r="V38" s="2023">
        <v>17561928.890000001</v>
      </c>
      <c r="W38" s="2030">
        <f t="shared" si="64"/>
        <v>29543345.359999999</v>
      </c>
      <c r="X38" s="2023">
        <v>131602000.14</v>
      </c>
      <c r="Y38" s="2031">
        <f t="shared" si="58"/>
        <v>0.22449009383270305</v>
      </c>
      <c r="AA38" s="246">
        <v>10685050.039999999</v>
      </c>
      <c r="AB38" s="246">
        <v>13581453.59</v>
      </c>
      <c r="AC38" s="251">
        <f t="shared" si="65"/>
        <v>24266503.629999999</v>
      </c>
      <c r="AD38" s="246">
        <v>105214778.08000003</v>
      </c>
      <c r="AE38" s="573">
        <f t="shared" si="59"/>
        <v>0.23063778751259609</v>
      </c>
      <c r="AG38" s="246">
        <v>15595473.17</v>
      </c>
      <c r="AH38" s="246">
        <v>18820799.030000001</v>
      </c>
      <c r="AI38" s="251">
        <f t="shared" si="66"/>
        <v>34416272.200000003</v>
      </c>
      <c r="AJ38" s="246">
        <v>115802283</v>
      </c>
      <c r="AK38" s="573">
        <f t="shared" si="60"/>
        <v>0.29719856386596455</v>
      </c>
      <c r="AM38" s="246">
        <v>11218682</v>
      </c>
      <c r="AN38" s="246">
        <v>13447756</v>
      </c>
      <c r="AO38" s="251">
        <f t="shared" si="67"/>
        <v>24666438</v>
      </c>
      <c r="AP38" s="246">
        <v>99227621</v>
      </c>
      <c r="AQ38" s="573">
        <f t="shared" si="61"/>
        <v>0.24858439365385976</v>
      </c>
      <c r="AS38" s="246">
        <v>10144594.289999999</v>
      </c>
      <c r="AT38" s="246">
        <v>13542936.530000001</v>
      </c>
      <c r="AU38" s="251">
        <f t="shared" si="68"/>
        <v>23687530.82</v>
      </c>
      <c r="AV38" s="246">
        <v>173213750.22999999</v>
      </c>
      <c r="AW38" s="573">
        <f t="shared" si="62"/>
        <v>0.13675317801587214</v>
      </c>
      <c r="AY38" s="251">
        <v>8489.8950000000004</v>
      </c>
      <c r="AZ38" s="251">
        <v>3576.5770000000002</v>
      </c>
      <c r="BA38" s="251">
        <f>+AY38+AZ38</f>
        <v>12066.472000000002</v>
      </c>
      <c r="BB38" s="567">
        <v>181075.38399999999</v>
      </c>
      <c r="BC38" s="573">
        <f t="shared" si="63"/>
        <v>6.6637837421347129E-2</v>
      </c>
    </row>
    <row r="39" spans="1:55">
      <c r="A39" s="3537" t="s">
        <v>86</v>
      </c>
      <c r="C39" s="3540">
        <v>0</v>
      </c>
      <c r="D39" s="3535">
        <v>0</v>
      </c>
      <c r="E39" s="3535">
        <v>0</v>
      </c>
      <c r="F39" s="4197">
        <v>13280830</v>
      </c>
      <c r="G39" s="4201">
        <f t="shared" si="54"/>
        <v>0</v>
      </c>
      <c r="I39" s="3364">
        <v>0</v>
      </c>
      <c r="J39" s="3364">
        <v>0</v>
      </c>
      <c r="K39" s="3364">
        <f t="shared" si="55"/>
        <v>0</v>
      </c>
      <c r="L39" s="3364">
        <v>13070100</v>
      </c>
      <c r="M39" s="3365">
        <f t="shared" si="56"/>
        <v>0</v>
      </c>
      <c r="O39" s="3364">
        <v>104112</v>
      </c>
      <c r="P39" s="3364">
        <f>140505-O39</f>
        <v>36393</v>
      </c>
      <c r="Q39" s="3364">
        <f>+O39+P39</f>
        <v>140505</v>
      </c>
      <c r="R39" s="3364">
        <v>16325811.890000002</v>
      </c>
      <c r="S39" s="3365">
        <f t="shared" si="57"/>
        <v>8.6063101147247131E-3</v>
      </c>
      <c r="U39" s="2023">
        <v>479198.82</v>
      </c>
      <c r="V39" s="2023">
        <v>547104.64</v>
      </c>
      <c r="W39" s="2030">
        <f t="shared" si="64"/>
        <v>1026303.46</v>
      </c>
      <c r="X39" s="2023">
        <v>26148678.91</v>
      </c>
      <c r="Y39" s="2031">
        <f t="shared" si="58"/>
        <v>3.9248769069075692E-2</v>
      </c>
      <c r="AA39" s="246">
        <v>46590.85</v>
      </c>
      <c r="AB39" s="246">
        <v>46813.71</v>
      </c>
      <c r="AC39" s="251">
        <f t="shared" si="65"/>
        <v>93404.56</v>
      </c>
      <c r="AD39" s="246">
        <v>19804409.309999999</v>
      </c>
      <c r="AE39" s="573">
        <f t="shared" si="59"/>
        <v>4.7163517244029332E-3</v>
      </c>
      <c r="AG39" s="246">
        <v>150677</v>
      </c>
      <c r="AH39" s="246">
        <v>58899.740000000005</v>
      </c>
      <c r="AI39" s="251">
        <f t="shared" si="66"/>
        <v>209576.74</v>
      </c>
      <c r="AJ39" s="246">
        <v>21174142</v>
      </c>
      <c r="AK39" s="573">
        <f t="shared" si="60"/>
        <v>9.8977677584291251E-3</v>
      </c>
      <c r="AM39" s="246">
        <v>331645</v>
      </c>
      <c r="AN39" s="246">
        <v>1691974</v>
      </c>
      <c r="AO39" s="251">
        <f t="shared" si="67"/>
        <v>2023619</v>
      </c>
      <c r="AP39" s="246">
        <v>31881056</v>
      </c>
      <c r="AQ39" s="573">
        <f t="shared" si="61"/>
        <v>6.3474026707270925E-2</v>
      </c>
      <c r="AS39" s="246">
        <v>664888.64</v>
      </c>
      <c r="AT39" s="246">
        <v>170580.55</v>
      </c>
      <c r="AU39" s="251">
        <f t="shared" si="68"/>
        <v>835469.19</v>
      </c>
      <c r="AV39" s="246">
        <v>34200820.68</v>
      </c>
      <c r="AW39" s="573">
        <f t="shared" si="62"/>
        <v>2.4428337489824235E-2</v>
      </c>
      <c r="AY39" s="251">
        <v>181.001</v>
      </c>
      <c r="AZ39" s="251">
        <v>0</v>
      </c>
      <c r="BA39" s="251">
        <f>+AY39+AZ39</f>
        <v>181.001</v>
      </c>
      <c r="BB39" s="567">
        <v>27559.028999999999</v>
      </c>
      <c r="BC39" s="573">
        <f t="shared" si="63"/>
        <v>6.5677567957855123E-3</v>
      </c>
    </row>
    <row r="40" spans="1:55">
      <c r="A40" s="3538" t="s">
        <v>48</v>
      </c>
      <c r="C40" s="3542">
        <v>8032060</v>
      </c>
      <c r="D40" s="3543">
        <v>5413612</v>
      </c>
      <c r="E40" s="3543">
        <v>13445672</v>
      </c>
      <c r="F40" s="4198">
        <v>184312905</v>
      </c>
      <c r="G40" s="4207">
        <f t="shared" si="54"/>
        <v>7.2950247298201931E-2</v>
      </c>
      <c r="I40" s="3366">
        <f>SUM(I35:I39)</f>
        <v>466079</v>
      </c>
      <c r="J40" s="3366">
        <f>SUM(J35:J39)</f>
        <v>1058060</v>
      </c>
      <c r="K40" s="3366">
        <f>SUM(K35:K39)</f>
        <v>1524139</v>
      </c>
      <c r="L40" s="3367">
        <f>SUM(L35:L39)</f>
        <v>160257589</v>
      </c>
      <c r="M40" s="3368">
        <f t="shared" si="56"/>
        <v>9.5105574064264752E-3</v>
      </c>
      <c r="O40" s="3366">
        <f>SUM(O35:O39)</f>
        <v>4781340</v>
      </c>
      <c r="P40" s="3366">
        <f>SUM(P35:P39)</f>
        <v>20163457</v>
      </c>
      <c r="Q40" s="3366">
        <f>SUM(Q35:Q39)</f>
        <v>24944797</v>
      </c>
      <c r="R40" s="3367">
        <f>SUM(R35:R39)</f>
        <v>176001609.39000005</v>
      </c>
      <c r="S40" s="3368">
        <f t="shared" si="57"/>
        <v>0.14173050511558163</v>
      </c>
      <c r="U40" s="2032">
        <f>SUM(U35:U39)</f>
        <v>12617901.890000001</v>
      </c>
      <c r="V40" s="2032">
        <f>SUM(V35:V39)</f>
        <v>18548258.800000001</v>
      </c>
      <c r="W40" s="2032">
        <f>SUM(W35:W39)</f>
        <v>31166160.690000001</v>
      </c>
      <c r="X40" s="2025">
        <f>SUM(X35:X39)</f>
        <v>210260217.64000002</v>
      </c>
      <c r="Y40" s="2033">
        <f t="shared" si="58"/>
        <v>0.14822661671244716</v>
      </c>
      <c r="AA40" s="248">
        <f>SUM(AA35:AA39)</f>
        <v>11224907.299999999</v>
      </c>
      <c r="AB40" s="248">
        <f>SUM(AB35:AB39)</f>
        <v>13949925.290000001</v>
      </c>
      <c r="AC40" s="248">
        <f>SUM(AC35:AC39)</f>
        <v>25174832.589999996</v>
      </c>
      <c r="AD40" s="247">
        <f>SUM(AD35:AD39)</f>
        <v>178557859.08000004</v>
      </c>
      <c r="AE40" s="575">
        <f t="shared" si="59"/>
        <v>0.14098977619753386</v>
      </c>
      <c r="AG40" s="248">
        <f>SUM(AG35:AG39)</f>
        <v>16277492.210000001</v>
      </c>
      <c r="AH40" s="248">
        <f>SUM(AH35:AH39)</f>
        <v>19262628.93</v>
      </c>
      <c r="AI40" s="248">
        <f>SUM(AI35:AI39)</f>
        <v>35540121.140000008</v>
      </c>
      <c r="AJ40" s="247">
        <f>SUM(AJ35:AJ39)</f>
        <v>198179928</v>
      </c>
      <c r="AK40" s="575">
        <f t="shared" si="60"/>
        <v>0.17933259689144709</v>
      </c>
      <c r="AM40" s="248">
        <f>SUM(AM35:AM39)</f>
        <v>12227094</v>
      </c>
      <c r="AN40" s="248">
        <f>SUM(AN35:AN39)</f>
        <v>15410971</v>
      </c>
      <c r="AO40" s="248">
        <f>SUM(AO35:AO39)</f>
        <v>27638065</v>
      </c>
      <c r="AP40" s="247">
        <f>SUM(AP35:AP39)</f>
        <v>184476728</v>
      </c>
      <c r="AQ40" s="575">
        <f t="shared" si="61"/>
        <v>0.14981870775591813</v>
      </c>
      <c r="AS40" s="248">
        <f>SUM(AS35:AS39)</f>
        <v>12576149.27</v>
      </c>
      <c r="AT40" s="248">
        <f>SUM(AT35:AT39)</f>
        <v>14446211.490000002</v>
      </c>
      <c r="AU40" s="248">
        <f>SUM(AU35:AU39)</f>
        <v>27022360.760000002</v>
      </c>
      <c r="AV40" s="247">
        <f>SUM(AV35:AV39)</f>
        <v>302891875.47000009</v>
      </c>
      <c r="AW40" s="575">
        <f t="shared" si="62"/>
        <v>8.921454468882388E-2</v>
      </c>
      <c r="AY40" s="576">
        <f>SUM(AY35:AY39)</f>
        <v>10208.382000000001</v>
      </c>
      <c r="AZ40" s="576">
        <f>SUM(AZ35:AZ39)</f>
        <v>3727.375</v>
      </c>
      <c r="BA40" s="576">
        <f>SUM(BA35:BA39)</f>
        <v>13935.757000000001</v>
      </c>
      <c r="BB40" s="571">
        <f>SUM(BB35:BB39)</f>
        <v>278801.78399999999</v>
      </c>
      <c r="BC40" s="575">
        <f t="shared" si="63"/>
        <v>4.9984461361983257E-2</v>
      </c>
    </row>
    <row r="41" spans="1:55">
      <c r="A41" s="191"/>
      <c r="G41" s="4206"/>
      <c r="M41" s="53"/>
      <c r="S41" s="53"/>
      <c r="Y41" s="53"/>
      <c r="AE41" s="53"/>
      <c r="AK41" s="53"/>
      <c r="AQ41" s="53"/>
      <c r="AW41" s="53"/>
      <c r="BC41" s="53"/>
    </row>
    <row r="42" spans="1:55">
      <c r="A42" s="3546" t="s">
        <v>87</v>
      </c>
      <c r="C42" s="3544">
        <v>15321452</v>
      </c>
      <c r="D42" s="3545">
        <v>45733605</v>
      </c>
      <c r="E42" s="3545">
        <v>61055057</v>
      </c>
      <c r="F42" s="4199">
        <v>707699250</v>
      </c>
      <c r="G42" s="4207">
        <f>+E42/F42</f>
        <v>8.627260379320735E-2</v>
      </c>
      <c r="I42" s="3367">
        <v>112536098</v>
      </c>
      <c r="J42" s="3367">
        <v>21046347</v>
      </c>
      <c r="K42" s="3367">
        <f>+I42+J42</f>
        <v>133582445</v>
      </c>
      <c r="L42" s="3366">
        <v>556909198</v>
      </c>
      <c r="M42" s="3368">
        <f>+K42/L42</f>
        <v>0.23986395893572582</v>
      </c>
      <c r="O42" s="3367">
        <v>109222</v>
      </c>
      <c r="P42" s="3367">
        <f>19653887-O42</f>
        <v>19544665</v>
      </c>
      <c r="Q42" s="3367">
        <f>+O42+P42</f>
        <v>19653887</v>
      </c>
      <c r="R42" s="3366">
        <v>325469341.47000009</v>
      </c>
      <c r="S42" s="3368">
        <f>+Q42/R42</f>
        <v>6.038629294922878E-2</v>
      </c>
      <c r="U42" s="2025">
        <v>589916.41</v>
      </c>
      <c r="V42" s="2025">
        <v>19184756.859999996</v>
      </c>
      <c r="W42" s="2025">
        <f>+U42+V42</f>
        <v>19774673.269999996</v>
      </c>
      <c r="X42" s="2032">
        <v>323078400</v>
      </c>
      <c r="Y42" s="2033">
        <f>+W42/X42</f>
        <v>6.1207042222568876E-2</v>
      </c>
      <c r="AA42" s="247">
        <v>-570666</v>
      </c>
      <c r="AB42" s="247">
        <f>7979206+11642627</f>
        <v>19621833</v>
      </c>
      <c r="AC42" s="247">
        <f>+AA42+AB42</f>
        <v>19051167</v>
      </c>
      <c r="AD42" s="248">
        <v>265915195.31999999</v>
      </c>
      <c r="AE42" s="575">
        <f>+AC42/AD42</f>
        <v>7.1643769650222483E-2</v>
      </c>
      <c r="AG42" s="247">
        <v>620275.91</v>
      </c>
      <c r="AH42" s="247">
        <v>19616829.849999998</v>
      </c>
      <c r="AI42" s="247">
        <f>+AG42+AH42</f>
        <v>20237105.759999998</v>
      </c>
      <c r="AJ42" s="248">
        <v>220803552</v>
      </c>
      <c r="AK42" s="575">
        <f>+AI42/AJ42</f>
        <v>9.1652084292557029E-2</v>
      </c>
      <c r="AM42" s="247">
        <v>1816143</v>
      </c>
      <c r="AN42" s="247">
        <v>18216090</v>
      </c>
      <c r="AO42" s="247">
        <f>+AM42+AN42</f>
        <v>20032233</v>
      </c>
      <c r="AP42" s="248">
        <v>206655328</v>
      </c>
      <c r="AQ42" s="575">
        <f>+AO42/AP42</f>
        <v>9.6935477995515315E-2</v>
      </c>
      <c r="AS42" s="247">
        <v>7239593</v>
      </c>
      <c r="AT42" s="247">
        <v>12146263.699999999</v>
      </c>
      <c r="AU42" s="247">
        <f>+AS42+AT42</f>
        <v>19385856.699999999</v>
      </c>
      <c r="AV42" s="248">
        <v>254566565.63</v>
      </c>
      <c r="AW42" s="575">
        <f>+AU42/AV42</f>
        <v>7.6152406943244821E-2</v>
      </c>
      <c r="AY42" s="571">
        <v>12853.49</v>
      </c>
      <c r="AZ42" s="571">
        <v>14326.8</v>
      </c>
      <c r="BA42" s="571">
        <f>+AY42+AZ42</f>
        <v>27180.29</v>
      </c>
      <c r="BB42" s="571">
        <v>283877.58199999999</v>
      </c>
      <c r="BC42" s="579">
        <f>+BA42/BB42</f>
        <v>9.5746517948007606E-2</v>
      </c>
    </row>
    <row r="43" spans="1:55">
      <c r="A43" s="237"/>
      <c r="G43" s="4206"/>
      <c r="M43" s="53"/>
      <c r="S43" s="53"/>
      <c r="Y43" s="53"/>
      <c r="AE43" s="53"/>
      <c r="AK43" s="53"/>
      <c r="AQ43" s="53"/>
      <c r="AW43" s="53"/>
      <c r="BC43" s="53"/>
    </row>
    <row r="44" spans="1:55">
      <c r="A44" s="3547" t="s">
        <v>67</v>
      </c>
      <c r="C44" s="3541">
        <f>SUM(C12,C19,C26,C33,C40,C42)</f>
        <v>39303485</v>
      </c>
      <c r="D44" s="3541">
        <f t="shared" ref="D44:F44" si="69">SUM(D12,D19,D26,D33,D40,D42)</f>
        <v>81103432</v>
      </c>
      <c r="E44" s="3541">
        <f t="shared" si="69"/>
        <v>120406917</v>
      </c>
      <c r="F44" s="3541">
        <f t="shared" si="69"/>
        <v>1386869829</v>
      </c>
      <c r="G44" s="4208">
        <f>+E44/F44</f>
        <v>8.6819191305660737E-2</v>
      </c>
      <c r="I44" s="3370">
        <f>+I12+I19+I26+I33+I40+I42</f>
        <v>123589023</v>
      </c>
      <c r="J44" s="3370">
        <f>+J12+J19+J26+J33+J40+J42</f>
        <v>46848795</v>
      </c>
      <c r="K44" s="3370">
        <f>+K12+K19+K26+K33+K40+K42</f>
        <v>170437818</v>
      </c>
      <c r="L44" s="3370">
        <f>+L12+L19+L26+L33+L40+L42</f>
        <v>1182646555</v>
      </c>
      <c r="M44" s="3371">
        <f>+K44/L44</f>
        <v>0.14411560011689206</v>
      </c>
      <c r="O44" s="3370">
        <f>+O12+O19+O26+O33+O40+O42</f>
        <v>19835266</v>
      </c>
      <c r="P44" s="3370">
        <f>+P12+P19+P26+P33+P40+P42</f>
        <v>97801484</v>
      </c>
      <c r="Q44" s="3370">
        <f>+Q12+Q19+Q26+Q33+Q40+Q42</f>
        <v>117636750</v>
      </c>
      <c r="R44" s="3370">
        <f>+R12+R19+R26+R33+R40+R42</f>
        <v>965191407.42000008</v>
      </c>
      <c r="S44" s="3371">
        <f>+Q44/R44</f>
        <v>0.12187919317935943</v>
      </c>
      <c r="U44" s="2028">
        <f>+U12+U19+U26+U33+U40+U42</f>
        <v>40590684.069999993</v>
      </c>
      <c r="V44" s="2028">
        <f>+V12+V19+V26+V33+V40+V42</f>
        <v>92809221.670000002</v>
      </c>
      <c r="W44" s="2028">
        <f>+W12+W19+W26+W33+W40+W42</f>
        <v>133399905.73999999</v>
      </c>
      <c r="X44" s="2028">
        <f>+X12+X19+X26+X33+X40+X42</f>
        <v>1082366863.05</v>
      </c>
      <c r="Y44" s="2035">
        <f>+W44/X44</f>
        <v>0.12324832761795072</v>
      </c>
      <c r="AA44" s="571">
        <f>+AA12+AA19+AA26+AA33+AA40+AA42</f>
        <v>27930261.07</v>
      </c>
      <c r="AB44" s="571">
        <f>+AB12+AB19+AB26+AB33+AB40+AB42</f>
        <v>71534914.609999999</v>
      </c>
      <c r="AC44" s="571">
        <f>+AC12+AC19+AC26+AC33+AC40+AC42</f>
        <v>99465175.679999992</v>
      </c>
      <c r="AD44" s="571">
        <f>+AD12+AD19+AD26+AD33+AD40+AD42</f>
        <v>934783402.8599999</v>
      </c>
      <c r="AE44" s="580">
        <f>+AC44/AD44</f>
        <v>0.10640451614318684</v>
      </c>
      <c r="AG44" s="571">
        <f>+AG12+AG19+AG26+AG33+AG40+AG42</f>
        <v>30669174.879999999</v>
      </c>
      <c r="AH44" s="571">
        <f>+AH12+AH19+AH26+AH33+AH40+AH42</f>
        <v>84716127.530000001</v>
      </c>
      <c r="AI44" s="571">
        <f>+AI12+AI19+AI26+AI33+AI40+AI42</f>
        <v>115385302.41</v>
      </c>
      <c r="AJ44" s="571">
        <f>+AJ12+AJ19+AJ26+AJ33+AJ40+AJ42</f>
        <v>1029380127</v>
      </c>
      <c r="AK44" s="580">
        <f>+AI44/AJ44</f>
        <v>0.11209202449465978</v>
      </c>
      <c r="AM44" s="571">
        <f>+AM12+AM19+AM26+AM33+AM40+AM42</f>
        <v>27512156</v>
      </c>
      <c r="AN44" s="571">
        <f>+AN12+AN19+AN26+AN33+AN40+AN42</f>
        <v>76755246</v>
      </c>
      <c r="AO44" s="571">
        <f>+AO12+AO19+AO26+AO33+AO40+AO42</f>
        <v>104267402</v>
      </c>
      <c r="AP44" s="571">
        <f>+AP12+AP19+AP26+AP33+AP40+AP42</f>
        <v>1513188208</v>
      </c>
      <c r="AQ44" s="579">
        <f>+AO44/AP44</f>
        <v>6.8905772228962547E-2</v>
      </c>
      <c r="AS44" s="571">
        <f>+AS12+AS19+AS26+AS33+AS40+AS42</f>
        <v>56065198.649999991</v>
      </c>
      <c r="AT44" s="571">
        <f>+AT12+AT19+AT26+AT33+AT40+AT42</f>
        <v>63819434.450000003</v>
      </c>
      <c r="AU44" s="571">
        <f>+AU12+AU19+AU26+AU33+AU40+AU42</f>
        <v>119884633.09999999</v>
      </c>
      <c r="AV44" s="571">
        <f>+AV12+AV19+AV26+AV33+AV40+AV42</f>
        <v>1797886385.77</v>
      </c>
      <c r="AW44" s="579">
        <f>+AU44/AV44</f>
        <v>6.6680872634037838E-2</v>
      </c>
      <c r="AY44" s="571">
        <f>+AY12+AY19+AY26+AY33+AY40+AY42</f>
        <v>47740.178999999996</v>
      </c>
      <c r="AZ44" s="571">
        <f>+AZ12+AZ19+AZ26+AZ33+AZ40+AZ42</f>
        <v>32655.433000000001</v>
      </c>
      <c r="BA44" s="571">
        <f>+BA12+BA19+BA26+BA33+BA40+BA42</f>
        <v>80395.611999999994</v>
      </c>
      <c r="BB44" s="571">
        <f>+BB12+BB19+BB26+BB33+BB40+BB42</f>
        <v>1401133.0219999999</v>
      </c>
      <c r="BC44" s="581">
        <f>+BA44/BB44</f>
        <v>5.7379000235996153E-2</v>
      </c>
    </row>
    <row r="46" spans="1:55">
      <c r="AA46" s="74" t="s">
        <v>882</v>
      </c>
      <c r="AM46" s="74" t="s">
        <v>643</v>
      </c>
      <c r="AS46" s="74" t="s">
        <v>474</v>
      </c>
      <c r="AY46" s="77" t="s">
        <v>316</v>
      </c>
    </row>
    <row r="49" spans="40:40">
      <c r="AN49" s="182"/>
    </row>
    <row r="52" spans="40:40">
      <c r="AN52" s="182"/>
    </row>
    <row r="53" spans="40:40">
      <c r="AN53" s="64"/>
    </row>
  </sheetData>
  <mergeCells count="28">
    <mergeCell ref="F4:F5"/>
    <mergeCell ref="G4:G5"/>
    <mergeCell ref="C4:E4"/>
    <mergeCell ref="A4:A5"/>
    <mergeCell ref="AV4:AV5"/>
    <mergeCell ref="U4:W4"/>
    <mergeCell ref="S4:S5"/>
    <mergeCell ref="L4:L5"/>
    <mergeCell ref="M4:M5"/>
    <mergeCell ref="Y4:Y5"/>
    <mergeCell ref="AJ4:AJ5"/>
    <mergeCell ref="AK4:AK5"/>
    <mergeCell ref="AY4:BA4"/>
    <mergeCell ref="I4:K4"/>
    <mergeCell ref="BC4:BC5"/>
    <mergeCell ref="AQ4:AQ5"/>
    <mergeCell ref="AS4:AU4"/>
    <mergeCell ref="BB4:BB5"/>
    <mergeCell ref="AM4:AO4"/>
    <mergeCell ref="AP4:AP5"/>
    <mergeCell ref="AG4:AI4"/>
    <mergeCell ref="AA4:AC4"/>
    <mergeCell ref="AD4:AD5"/>
    <mergeCell ref="AE4:AE5"/>
    <mergeCell ref="R4:R5"/>
    <mergeCell ref="X4:X5"/>
    <mergeCell ref="O4:Q4"/>
    <mergeCell ref="AW4:AW5"/>
  </mergeCells>
  <pageMargins left="0.70866141732283472" right="0.70866141732283472" top="0.74803149606299213" bottom="0.74803149606299213" header="0.31496062992125984" footer="0.31496062992125984"/>
  <pageSetup scale="73" orientation="landscape" r:id="rId1"/>
  <drawing r:id="rId2"/>
</worksheet>
</file>

<file path=xl/worksheets/sheet49.xml><?xml version="1.0" encoding="utf-8"?>
<worksheet xmlns="http://schemas.openxmlformats.org/spreadsheetml/2006/main" xmlns:r="http://schemas.openxmlformats.org/officeDocument/2006/relationships">
  <sheetPr>
    <tabColor theme="7" tint="-0.499984740745262"/>
    <pageSetUpPr fitToPage="1"/>
  </sheetPr>
  <dimension ref="A1:AO49"/>
  <sheetViews>
    <sheetView workbookViewId="0">
      <pane xSplit="13" topLeftCell="AF1" activePane="topRight" state="frozen"/>
      <selection pane="topRight" activeCell="AF45" sqref="AF45"/>
    </sheetView>
  </sheetViews>
  <sheetFormatPr baseColWidth="10" defaultRowHeight="15"/>
  <cols>
    <col min="1" max="1" width="43.7109375" bestFit="1" customWidth="1"/>
    <col min="2" max="2" width="12.28515625" hidden="1" customWidth="1"/>
    <col min="3" max="3" width="7" hidden="1" customWidth="1"/>
    <col min="4" max="4" width="9.42578125" hidden="1" customWidth="1"/>
    <col min="5" max="5" width="8.140625" hidden="1" customWidth="1"/>
    <col min="6" max="6" width="12.28515625" hidden="1" customWidth="1"/>
    <col min="7" max="7" width="7" hidden="1" customWidth="1"/>
    <col min="8" max="8" width="9.42578125" hidden="1" customWidth="1"/>
    <col min="9" max="9" width="8.140625" hidden="1" customWidth="1"/>
    <col min="10" max="10" width="12.28515625" hidden="1" customWidth="1"/>
    <col min="11" max="11" width="7" hidden="1" customWidth="1"/>
    <col min="12" max="12" width="9.42578125" hidden="1" customWidth="1"/>
    <col min="13" max="13" width="8.140625" hidden="1" customWidth="1"/>
    <col min="14" max="14" width="18" customWidth="1"/>
    <col min="15" max="15" width="11.140625" customWidth="1"/>
    <col min="16" max="16" width="5.28515625" hidden="1" customWidth="1"/>
    <col min="17" max="17" width="11.42578125" customWidth="1"/>
    <col min="18" max="18" width="17.42578125" customWidth="1"/>
    <col min="21" max="21" width="16.28515625" bestFit="1" customWidth="1"/>
    <col min="22" max="22" width="9" bestFit="1" customWidth="1"/>
    <col min="23" max="23" width="9.85546875" bestFit="1" customWidth="1"/>
    <col min="24" max="24" width="16.28515625" bestFit="1" customWidth="1"/>
    <col min="25" max="25" width="9" bestFit="1" customWidth="1"/>
    <col min="26" max="26" width="9.85546875" bestFit="1" customWidth="1"/>
    <col min="27" max="27" width="16.28515625" bestFit="1" customWidth="1"/>
    <col min="28" max="28" width="9" bestFit="1" customWidth="1"/>
    <col min="29" max="29" width="9.85546875" bestFit="1" customWidth="1"/>
    <col min="30" max="30" width="16.28515625" bestFit="1" customWidth="1"/>
    <col min="31" max="31" width="9" bestFit="1" customWidth="1"/>
    <col min="32" max="32" width="9.85546875" bestFit="1" customWidth="1"/>
    <col min="33" max="33" width="16.28515625" bestFit="1" customWidth="1"/>
    <col min="34" max="34" width="9" bestFit="1" customWidth="1"/>
    <col min="35" max="35" width="9.85546875" bestFit="1" customWidth="1"/>
    <col min="36" max="36" width="16.85546875" customWidth="1"/>
    <col min="39" max="39" width="16.28515625" bestFit="1" customWidth="1"/>
  </cols>
  <sheetData>
    <row r="1" spans="1:41">
      <c r="B1" s="25"/>
      <c r="C1" s="25"/>
      <c r="D1" s="24"/>
      <c r="E1" s="30"/>
      <c r="F1" s="25"/>
      <c r="G1" s="25"/>
      <c r="H1" s="24"/>
      <c r="I1" s="30"/>
      <c r="J1" s="25"/>
      <c r="K1" s="25"/>
      <c r="L1" s="24"/>
      <c r="M1" s="30"/>
      <c r="N1" s="25"/>
      <c r="O1" s="25"/>
      <c r="P1" s="24"/>
      <c r="Q1" s="30"/>
    </row>
    <row r="2" spans="1:41" ht="15" customHeight="1">
      <c r="A2" s="1714" t="s">
        <v>491</v>
      </c>
      <c r="B2" s="2037"/>
      <c r="C2" s="2037"/>
      <c r="D2" s="2037"/>
      <c r="E2" s="2037"/>
      <c r="F2" s="2037"/>
      <c r="G2" s="2037"/>
      <c r="H2" s="2037"/>
      <c r="I2" s="204"/>
      <c r="J2" s="204"/>
      <c r="K2" s="204"/>
      <c r="L2" s="204"/>
      <c r="M2" s="204"/>
      <c r="V2" s="204"/>
    </row>
    <row r="3" spans="1:41">
      <c r="V3" s="118"/>
    </row>
    <row r="4" spans="1:41">
      <c r="A4" s="60" t="s">
        <v>329</v>
      </c>
    </row>
    <row r="5" spans="1:41">
      <c r="A5" s="5370" t="s">
        <v>430</v>
      </c>
      <c r="B5" s="5372">
        <v>2007</v>
      </c>
      <c r="C5" s="5373"/>
      <c r="D5" s="5373"/>
      <c r="E5" s="5374"/>
      <c r="F5" s="5372">
        <v>2008</v>
      </c>
      <c r="G5" s="5373"/>
      <c r="H5" s="5373"/>
      <c r="I5" s="5374"/>
      <c r="J5" s="5372">
        <v>2009</v>
      </c>
      <c r="K5" s="5373"/>
      <c r="L5" s="5373"/>
      <c r="M5" s="5374"/>
      <c r="N5" s="5356">
        <v>2010</v>
      </c>
      <c r="O5" s="5357"/>
      <c r="P5" s="5357"/>
      <c r="Q5" s="5358"/>
      <c r="R5" s="5356">
        <v>2011</v>
      </c>
      <c r="S5" s="5357"/>
      <c r="T5" s="5358"/>
      <c r="U5" s="5356">
        <v>2012</v>
      </c>
      <c r="V5" s="5357"/>
      <c r="W5" s="5358"/>
      <c r="X5" s="5356">
        <v>2013</v>
      </c>
      <c r="Y5" s="5357"/>
      <c r="Z5" s="5358"/>
      <c r="AA5" s="5356">
        <v>2014</v>
      </c>
      <c r="AB5" s="5357"/>
      <c r="AC5" s="5358"/>
      <c r="AD5" s="5359">
        <v>2015</v>
      </c>
      <c r="AE5" s="5360"/>
      <c r="AF5" s="5361"/>
      <c r="AG5" s="5359">
        <v>2016</v>
      </c>
      <c r="AH5" s="5360"/>
      <c r="AI5" s="5361"/>
      <c r="AJ5" s="5359">
        <v>2017</v>
      </c>
      <c r="AK5" s="5360"/>
      <c r="AL5" s="5361"/>
      <c r="AM5" s="5359">
        <v>2018</v>
      </c>
      <c r="AN5" s="5360"/>
      <c r="AO5" s="5361"/>
    </row>
    <row r="6" spans="1:41" ht="19.5" customHeight="1">
      <c r="A6" s="5371"/>
      <c r="B6" s="104" t="s">
        <v>225</v>
      </c>
      <c r="C6" s="293" t="s">
        <v>228</v>
      </c>
      <c r="D6" s="293" t="s">
        <v>226</v>
      </c>
      <c r="E6" s="293" t="s">
        <v>229</v>
      </c>
      <c r="F6" s="104" t="s">
        <v>225</v>
      </c>
      <c r="G6" s="293" t="s">
        <v>228</v>
      </c>
      <c r="H6" s="293" t="s">
        <v>226</v>
      </c>
      <c r="I6" s="293" t="s">
        <v>229</v>
      </c>
      <c r="J6" s="104" t="s">
        <v>225</v>
      </c>
      <c r="K6" s="293" t="s">
        <v>228</v>
      </c>
      <c r="L6" s="293" t="s">
        <v>226</v>
      </c>
      <c r="M6" s="293" t="s">
        <v>229</v>
      </c>
      <c r="N6" s="183" t="s">
        <v>623</v>
      </c>
      <c r="O6" s="582" t="s">
        <v>228</v>
      </c>
      <c r="P6" s="582" t="s">
        <v>226</v>
      </c>
      <c r="Q6" s="582" t="s">
        <v>229</v>
      </c>
      <c r="R6" s="183" t="s">
        <v>623</v>
      </c>
      <c r="S6" s="582" t="s">
        <v>228</v>
      </c>
      <c r="T6" s="582" t="s">
        <v>229</v>
      </c>
      <c r="U6" s="183" t="s">
        <v>623</v>
      </c>
      <c r="V6" s="582" t="s">
        <v>228</v>
      </c>
      <c r="W6" s="582" t="s">
        <v>229</v>
      </c>
      <c r="X6" s="183" t="s">
        <v>623</v>
      </c>
      <c r="Y6" s="582" t="s">
        <v>228</v>
      </c>
      <c r="Z6" s="582" t="s">
        <v>229</v>
      </c>
      <c r="AA6" s="183" t="s">
        <v>623</v>
      </c>
      <c r="AB6" s="582" t="s">
        <v>228</v>
      </c>
      <c r="AC6" s="582" t="s">
        <v>229</v>
      </c>
      <c r="AD6" s="183" t="s">
        <v>623</v>
      </c>
      <c r="AE6" s="1957" t="s">
        <v>228</v>
      </c>
      <c r="AF6" s="1957" t="s">
        <v>229</v>
      </c>
      <c r="AG6" s="183" t="s">
        <v>623</v>
      </c>
      <c r="AH6" s="1957" t="s">
        <v>228</v>
      </c>
      <c r="AI6" s="1957" t="s">
        <v>229</v>
      </c>
      <c r="AJ6" s="183" t="s">
        <v>623</v>
      </c>
      <c r="AK6" s="1957" t="s">
        <v>228</v>
      </c>
      <c r="AL6" s="1957" t="s">
        <v>229</v>
      </c>
      <c r="AM6" s="183" t="s">
        <v>623</v>
      </c>
      <c r="AN6" s="1957" t="s">
        <v>228</v>
      </c>
      <c r="AO6" s="1957" t="s">
        <v>229</v>
      </c>
    </row>
    <row r="7" spans="1:41" ht="17.25">
      <c r="A7" s="583" t="s">
        <v>841</v>
      </c>
      <c r="B7" s="584">
        <v>1120</v>
      </c>
      <c r="C7" s="585">
        <f>13271+365</f>
        <v>13636</v>
      </c>
      <c r="D7" s="586">
        <f>+B7/C7</f>
        <v>8.2135523613963035E-2</v>
      </c>
      <c r="E7" s="587">
        <f>+C7/B7</f>
        <v>12.175000000000001</v>
      </c>
      <c r="F7" s="584">
        <v>1350</v>
      </c>
      <c r="G7" s="585">
        <f>13426+365</f>
        <v>13791</v>
      </c>
      <c r="H7" s="586">
        <f>+F7/G7</f>
        <v>9.7889928214052638E-2</v>
      </c>
      <c r="I7" s="587">
        <f>+G7/F7</f>
        <v>10.215555555555556</v>
      </c>
      <c r="J7" s="584">
        <v>1510</v>
      </c>
      <c r="K7" s="585">
        <f>13765+469</f>
        <v>14234</v>
      </c>
      <c r="L7" s="586">
        <f>+J7/K7</f>
        <v>0.1060840241674863</v>
      </c>
      <c r="M7" s="587">
        <f>+K7/J7</f>
        <v>9.4264900662251652</v>
      </c>
      <c r="N7" s="584">
        <v>1638</v>
      </c>
      <c r="O7" s="585">
        <f>14704+519</f>
        <v>15223</v>
      </c>
      <c r="P7" s="586">
        <f>+N7/O7</f>
        <v>0.10760034158838599</v>
      </c>
      <c r="Q7" s="587">
        <f>+O7/N7</f>
        <v>9.2936507936507944</v>
      </c>
      <c r="R7" s="584">
        <v>1101</v>
      </c>
      <c r="S7" s="585">
        <f>14648+416</f>
        <v>15064</v>
      </c>
      <c r="T7" s="587">
        <f>+S7/R7</f>
        <v>13.682107175295187</v>
      </c>
      <c r="U7" s="584">
        <v>911</v>
      </c>
      <c r="V7" s="585">
        <f>15525</f>
        <v>15525</v>
      </c>
      <c r="W7" s="587">
        <f>+V7/U7</f>
        <v>17.041712403951703</v>
      </c>
      <c r="X7" s="584">
        <v>1296</v>
      </c>
      <c r="Y7" s="585">
        <v>15683</v>
      </c>
      <c r="Z7" s="587">
        <f>+Y7/X7</f>
        <v>12.101080246913581</v>
      </c>
      <c r="AA7" s="584">
        <v>1300</v>
      </c>
      <c r="AB7" s="585">
        <v>15805</v>
      </c>
      <c r="AC7" s="587">
        <f>+AB7/AA7</f>
        <v>12.157692307692308</v>
      </c>
      <c r="AD7" s="1958">
        <v>1048</v>
      </c>
      <c r="AE7" s="1959">
        <v>15629</v>
      </c>
      <c r="AF7" s="1960">
        <f>+AE7/AD7</f>
        <v>14.913167938931299</v>
      </c>
      <c r="AG7" s="1958">
        <v>1484</v>
      </c>
      <c r="AH7" s="1959">
        <v>15471</v>
      </c>
      <c r="AI7" s="1960">
        <f>+AH7/AG7</f>
        <v>10.425202156334231</v>
      </c>
      <c r="AJ7" s="1958">
        <v>1370</v>
      </c>
      <c r="AK7" s="1959">
        <v>15162</v>
      </c>
      <c r="AL7" s="1960">
        <f>+AK7/AJ7</f>
        <v>11.067153284671534</v>
      </c>
      <c r="AM7" s="1958">
        <v>1266</v>
      </c>
      <c r="AN7" s="1959">
        <v>15429</v>
      </c>
      <c r="AO7" s="1960">
        <f>+AN7/AM7</f>
        <v>12.187203791469194</v>
      </c>
    </row>
    <row r="8" spans="1:41">
      <c r="A8" s="26" t="s">
        <v>227</v>
      </c>
      <c r="B8" s="27">
        <v>1068</v>
      </c>
      <c r="C8" s="28">
        <v>836</v>
      </c>
      <c r="D8" s="55">
        <f>+B8/C8</f>
        <v>1.2775119617224879</v>
      </c>
      <c r="E8" s="29">
        <f>+C8/B8</f>
        <v>0.78277153558052437</v>
      </c>
      <c r="F8" s="27">
        <v>1111</v>
      </c>
      <c r="G8" s="28">
        <v>838</v>
      </c>
      <c r="H8" s="55">
        <f>+F8/G8</f>
        <v>1.3257756563245824</v>
      </c>
      <c r="I8" s="29">
        <f>+G8/F8</f>
        <v>0.75427542754275423</v>
      </c>
      <c r="J8" s="27">
        <v>1156</v>
      </c>
      <c r="K8" s="28">
        <v>846</v>
      </c>
      <c r="L8" s="55">
        <f>+J8/K8</f>
        <v>1.3664302600472813</v>
      </c>
      <c r="M8" s="29">
        <f>+K8/J8</f>
        <v>0.73183391003460208</v>
      </c>
      <c r="N8" s="27">
        <v>1200</v>
      </c>
      <c r="O8" s="28">
        <v>1466</v>
      </c>
      <c r="P8" s="55">
        <f>+N8/O8</f>
        <v>0.81855388813096863</v>
      </c>
      <c r="Q8" s="29">
        <f>+O8/N8</f>
        <v>1.2216666666666667</v>
      </c>
      <c r="R8" s="27">
        <v>1153</v>
      </c>
      <c r="S8" s="28">
        <v>1470</v>
      </c>
      <c r="T8" s="29">
        <f>+S8/R8</f>
        <v>1.2749349522983522</v>
      </c>
      <c r="U8" s="27">
        <v>826</v>
      </c>
      <c r="V8" s="28">
        <v>1480</v>
      </c>
      <c r="W8" s="29">
        <f>+V8/U8</f>
        <v>1.7917675544794189</v>
      </c>
      <c r="X8" s="27">
        <v>3312</v>
      </c>
      <c r="Y8" s="28">
        <v>1439</v>
      </c>
      <c r="Z8" s="29">
        <f>+Y8/X8</f>
        <v>0.4344806763285024</v>
      </c>
      <c r="AA8" s="27">
        <v>3320</v>
      </c>
      <c r="AB8" s="28">
        <v>1456</v>
      </c>
      <c r="AC8" s="29">
        <f>+AB8/AA8</f>
        <v>0.43855421686746987</v>
      </c>
      <c r="AD8" s="27">
        <v>1198</v>
      </c>
      <c r="AE8" s="28">
        <v>1454</v>
      </c>
      <c r="AF8" s="29">
        <f>+AE8/AD8</f>
        <v>1.2136894824707847</v>
      </c>
      <c r="AG8" s="27">
        <v>1655</v>
      </c>
      <c r="AH8" s="28">
        <v>1416</v>
      </c>
      <c r="AI8" s="29">
        <f>+AH8/AG8</f>
        <v>0.85558912386706953</v>
      </c>
      <c r="AJ8" s="27">
        <v>1776</v>
      </c>
      <c r="AK8" s="28">
        <v>1402</v>
      </c>
      <c r="AL8" s="29">
        <f>+AK8/AJ8</f>
        <v>0.7894144144144144</v>
      </c>
      <c r="AM8" s="27">
        <v>1680</v>
      </c>
      <c r="AN8" s="28">
        <v>1435</v>
      </c>
      <c r="AO8" s="29">
        <f>+AN8/AM8</f>
        <v>0.85416666666666663</v>
      </c>
    </row>
    <row r="9" spans="1:41" ht="17.25">
      <c r="A9" s="588" t="s">
        <v>842</v>
      </c>
      <c r="B9" s="589">
        <v>480</v>
      </c>
      <c r="C9" s="590">
        <v>175</v>
      </c>
      <c r="D9" s="591">
        <f>+B9/C9</f>
        <v>2.7428571428571429</v>
      </c>
      <c r="E9" s="592">
        <f>+C9/B9</f>
        <v>0.36458333333333331</v>
      </c>
      <c r="F9" s="589">
        <v>502</v>
      </c>
      <c r="G9" s="590">
        <v>181</v>
      </c>
      <c r="H9" s="591">
        <f>+F9/G9</f>
        <v>2.7734806629834252</v>
      </c>
      <c r="I9" s="592">
        <f>+G9/F9</f>
        <v>0.3605577689243028</v>
      </c>
      <c r="J9" s="589">
        <v>524</v>
      </c>
      <c r="K9" s="590">
        <v>181</v>
      </c>
      <c r="L9" s="591">
        <f>+J9/K9</f>
        <v>2.8950276243093924</v>
      </c>
      <c r="M9" s="592">
        <f>+K9/J9</f>
        <v>0.34541984732824427</v>
      </c>
      <c r="N9" s="589">
        <v>538</v>
      </c>
      <c r="O9" s="590">
        <v>1309</v>
      </c>
      <c r="P9" s="591">
        <f>+N9/O9</f>
        <v>0.41100076394194041</v>
      </c>
      <c r="Q9" s="592">
        <f>+O9/N9</f>
        <v>2.4330855018587361</v>
      </c>
      <c r="R9" s="589">
        <v>544</v>
      </c>
      <c r="S9" s="590">
        <v>1340</v>
      </c>
      <c r="T9" s="592">
        <f>+S9/R9</f>
        <v>2.4632352941176472</v>
      </c>
      <c r="U9" s="589">
        <v>331</v>
      </c>
      <c r="V9" s="590">
        <v>1334</v>
      </c>
      <c r="W9" s="592">
        <f>+V9/U9</f>
        <v>4.0302114803625377</v>
      </c>
      <c r="X9" s="589">
        <v>2592</v>
      </c>
      <c r="Y9" s="590">
        <v>1347</v>
      </c>
      <c r="Z9" s="592">
        <f>+Y9/X9</f>
        <v>0.51967592592592593</v>
      </c>
      <c r="AA9" s="589">
        <v>2620</v>
      </c>
      <c r="AB9" s="590">
        <v>1313</v>
      </c>
      <c r="AC9" s="592">
        <f>+AB9/AA9</f>
        <v>0.50114503816793898</v>
      </c>
      <c r="AD9" s="1961">
        <v>339</v>
      </c>
      <c r="AE9" s="1962">
        <v>1307</v>
      </c>
      <c r="AF9" s="1963">
        <f>+AE9/AD9</f>
        <v>3.8554572271386429</v>
      </c>
      <c r="AG9" s="1961">
        <v>807</v>
      </c>
      <c r="AH9" s="1962">
        <v>1312</v>
      </c>
      <c r="AI9" s="1963">
        <f>+AH9/AG9</f>
        <v>1.6257744733581165</v>
      </c>
      <c r="AJ9" s="1961">
        <v>828</v>
      </c>
      <c r="AK9" s="1962">
        <v>1297</v>
      </c>
      <c r="AL9" s="1963">
        <f>+AK9/AJ9</f>
        <v>1.5664251207729469</v>
      </c>
      <c r="AM9" s="1961">
        <v>898</v>
      </c>
      <c r="AN9" s="1962">
        <v>1290</v>
      </c>
      <c r="AO9" s="1963">
        <f>+AN9/AM9</f>
        <v>1.4365256124721604</v>
      </c>
    </row>
    <row r="10" spans="1:41">
      <c r="R10" s="122"/>
      <c r="U10" s="122"/>
      <c r="X10" s="122"/>
      <c r="AA10" s="122"/>
      <c r="AD10" s="122"/>
      <c r="AG10" s="122"/>
      <c r="AJ10" s="122"/>
      <c r="AM10" s="122"/>
    </row>
    <row r="11" spans="1:41">
      <c r="A11" s="5365" t="s">
        <v>230</v>
      </c>
      <c r="B11" s="5367">
        <v>2007</v>
      </c>
      <c r="C11" s="5368"/>
      <c r="D11" s="5368"/>
      <c r="E11" s="5369"/>
      <c r="F11" s="5367">
        <v>2008</v>
      </c>
      <c r="G11" s="5368"/>
      <c r="H11" s="5368"/>
      <c r="I11" s="5369"/>
      <c r="J11" s="5367">
        <v>2009</v>
      </c>
      <c r="K11" s="5368"/>
      <c r="L11" s="5368"/>
      <c r="M11" s="5369"/>
      <c r="N11" s="5356">
        <v>2010</v>
      </c>
      <c r="O11" s="5357"/>
      <c r="P11" s="5357"/>
      <c r="Q11" s="5358"/>
      <c r="R11" s="5356">
        <v>2011</v>
      </c>
      <c r="S11" s="5357"/>
      <c r="T11" s="5357"/>
      <c r="U11" s="5356">
        <v>2012</v>
      </c>
      <c r="V11" s="5357"/>
      <c r="W11" s="5357"/>
      <c r="X11" s="5356">
        <v>2013</v>
      </c>
      <c r="Y11" s="5357"/>
      <c r="Z11" s="5358"/>
      <c r="AA11" s="5356">
        <v>2014</v>
      </c>
      <c r="AB11" s="5357"/>
      <c r="AC11" s="5358"/>
      <c r="AD11" s="5359">
        <v>2015</v>
      </c>
      <c r="AE11" s="5360"/>
      <c r="AF11" s="5361"/>
      <c r="AG11" s="5359">
        <v>2016</v>
      </c>
      <c r="AH11" s="5360"/>
      <c r="AI11" s="5361"/>
      <c r="AJ11" s="5359">
        <v>2017</v>
      </c>
      <c r="AK11" s="5360"/>
      <c r="AL11" s="5361"/>
      <c r="AM11" s="5359">
        <v>2018</v>
      </c>
      <c r="AN11" s="5360"/>
      <c r="AO11" s="5361"/>
    </row>
    <row r="12" spans="1:41" ht="21" customHeight="1">
      <c r="A12" s="5366"/>
      <c r="B12" s="61" t="s">
        <v>225</v>
      </c>
      <c r="C12" s="593" t="s">
        <v>228</v>
      </c>
      <c r="D12" s="593" t="s">
        <v>226</v>
      </c>
      <c r="E12" s="593" t="s">
        <v>229</v>
      </c>
      <c r="F12" s="61" t="s">
        <v>225</v>
      </c>
      <c r="G12" s="593" t="s">
        <v>228</v>
      </c>
      <c r="H12" s="593" t="s">
        <v>226</v>
      </c>
      <c r="I12" s="593" t="s">
        <v>229</v>
      </c>
      <c r="J12" s="61" t="s">
        <v>225</v>
      </c>
      <c r="K12" s="593" t="s">
        <v>228</v>
      </c>
      <c r="L12" s="593" t="s">
        <v>226</v>
      </c>
      <c r="M12" s="593" t="s">
        <v>229</v>
      </c>
      <c r="N12" s="184" t="s">
        <v>623</v>
      </c>
      <c r="O12" s="594" t="s">
        <v>228</v>
      </c>
      <c r="P12" s="594" t="s">
        <v>226</v>
      </c>
      <c r="Q12" s="594" t="s">
        <v>229</v>
      </c>
      <c r="R12" s="184" t="s">
        <v>623</v>
      </c>
      <c r="S12" s="594" t="s">
        <v>228</v>
      </c>
      <c r="T12" s="594" t="s">
        <v>229</v>
      </c>
      <c r="U12" s="184" t="s">
        <v>623</v>
      </c>
      <c r="V12" s="594" t="s">
        <v>228</v>
      </c>
      <c r="W12" s="594" t="s">
        <v>229</v>
      </c>
      <c r="X12" s="184" t="s">
        <v>623</v>
      </c>
      <c r="Y12" s="594" t="s">
        <v>228</v>
      </c>
      <c r="Z12" s="594" t="s">
        <v>229</v>
      </c>
      <c r="AA12" s="184" t="s">
        <v>623</v>
      </c>
      <c r="AB12" s="594" t="s">
        <v>228</v>
      </c>
      <c r="AC12" s="594" t="s">
        <v>229</v>
      </c>
      <c r="AD12" s="184" t="s">
        <v>623</v>
      </c>
      <c r="AE12" s="1964" t="s">
        <v>228</v>
      </c>
      <c r="AF12" s="1964" t="s">
        <v>229</v>
      </c>
      <c r="AG12" s="184" t="s">
        <v>623</v>
      </c>
      <c r="AH12" s="1964" t="s">
        <v>228</v>
      </c>
      <c r="AI12" s="1964" t="s">
        <v>229</v>
      </c>
      <c r="AJ12" s="184" t="s">
        <v>623</v>
      </c>
      <c r="AK12" s="1964" t="s">
        <v>228</v>
      </c>
      <c r="AL12" s="1964" t="s">
        <v>229</v>
      </c>
      <c r="AM12" s="184" t="s">
        <v>623</v>
      </c>
      <c r="AN12" s="1964" t="s">
        <v>228</v>
      </c>
      <c r="AO12" s="1964" t="s">
        <v>229</v>
      </c>
    </row>
    <row r="13" spans="1:41" ht="17.25">
      <c r="A13" s="583" t="s">
        <v>841</v>
      </c>
      <c r="B13" s="584">
        <v>107</v>
      </c>
      <c r="C13" s="585">
        <v>546</v>
      </c>
      <c r="D13" s="586">
        <f>+B13/C13</f>
        <v>0.19597069597069597</v>
      </c>
      <c r="E13" s="587">
        <f>+C13/B13</f>
        <v>5.1028037383177569</v>
      </c>
      <c r="F13" s="584">
        <v>162</v>
      </c>
      <c r="G13" s="585">
        <v>825</v>
      </c>
      <c r="H13" s="586">
        <f>+F13/G13</f>
        <v>0.19636363636363635</v>
      </c>
      <c r="I13" s="587">
        <f>+G13/F13</f>
        <v>5.0925925925925926</v>
      </c>
      <c r="J13" s="584">
        <v>255</v>
      </c>
      <c r="K13" s="585">
        <v>969</v>
      </c>
      <c r="L13" s="586">
        <f>+J13/K13</f>
        <v>0.26315789473684209</v>
      </c>
      <c r="M13" s="587">
        <f>+K13/J13</f>
        <v>3.8</v>
      </c>
      <c r="N13" s="584">
        <v>321</v>
      </c>
      <c r="O13" s="585">
        <v>1124</v>
      </c>
      <c r="P13" s="586">
        <f>+N13/O13</f>
        <v>0.28558718861209964</v>
      </c>
      <c r="Q13" s="587">
        <f>+O13/N13</f>
        <v>3.5015576323987538</v>
      </c>
      <c r="R13" s="584">
        <v>567</v>
      </c>
      <c r="S13" s="585">
        <f>1227+30</f>
        <v>1257</v>
      </c>
      <c r="T13" s="587">
        <f>+S13/R13</f>
        <v>2.2169312169312168</v>
      </c>
      <c r="U13" s="584">
        <v>344</v>
      </c>
      <c r="V13" s="585">
        <v>1427</v>
      </c>
      <c r="W13" s="587">
        <f>+V13/U13</f>
        <v>4.1482558139534884</v>
      </c>
      <c r="X13" s="584">
        <v>344</v>
      </c>
      <c r="Y13" s="585">
        <v>1613</v>
      </c>
      <c r="Z13" s="587">
        <f>+Y13/X13</f>
        <v>4.6889534883720927</v>
      </c>
      <c r="AA13" s="584">
        <v>195</v>
      </c>
      <c r="AB13" s="585">
        <v>1942</v>
      </c>
      <c r="AC13" s="587">
        <f>+AB13/AA13</f>
        <v>9.9589743589743591</v>
      </c>
      <c r="AD13" s="1958">
        <v>279</v>
      </c>
      <c r="AE13" s="1959">
        <v>2290</v>
      </c>
      <c r="AF13" s="1960">
        <f>+AE13/AD13</f>
        <v>8.2078853046594986</v>
      </c>
      <c r="AG13" s="1958">
        <v>289</v>
      </c>
      <c r="AH13" s="1959">
        <v>2511</v>
      </c>
      <c r="AI13" s="1960">
        <f>+AH13/AG13</f>
        <v>8.688581314878892</v>
      </c>
      <c r="AJ13" s="1958">
        <v>269</v>
      </c>
      <c r="AK13" s="1959">
        <v>2900</v>
      </c>
      <c r="AL13" s="1960">
        <f>+AK13/AJ13</f>
        <v>10.780669144981413</v>
      </c>
      <c r="AM13" s="1958">
        <v>315</v>
      </c>
      <c r="AN13" s="1959">
        <v>3125</v>
      </c>
      <c r="AO13" s="1960">
        <f>+AN13/AM13</f>
        <v>9.9206349206349209</v>
      </c>
    </row>
    <row r="14" spans="1:41">
      <c r="A14" s="26" t="s">
        <v>227</v>
      </c>
      <c r="B14" s="27">
        <v>85</v>
      </c>
      <c r="C14" s="28">
        <v>52</v>
      </c>
      <c r="D14" s="55">
        <f>+B14/C14</f>
        <v>1.6346153846153846</v>
      </c>
      <c r="E14" s="29">
        <f>+C14/B14</f>
        <v>0.61176470588235299</v>
      </c>
      <c r="F14" s="27">
        <v>104</v>
      </c>
      <c r="G14" s="28">
        <v>70</v>
      </c>
      <c r="H14" s="55">
        <f>+F14/G14</f>
        <v>1.4857142857142858</v>
      </c>
      <c r="I14" s="29">
        <f>+G14/F14</f>
        <v>0.67307692307692313</v>
      </c>
      <c r="J14" s="27">
        <v>119</v>
      </c>
      <c r="K14" s="28">
        <v>82</v>
      </c>
      <c r="L14" s="55">
        <f>+J14/K14</f>
        <v>1.4512195121951219</v>
      </c>
      <c r="M14" s="29">
        <f>+K14/J14</f>
        <v>0.68907563025210083</v>
      </c>
      <c r="N14" s="27">
        <v>132</v>
      </c>
      <c r="O14" s="28">
        <v>180</v>
      </c>
      <c r="P14" s="55">
        <f>+N14/O14</f>
        <v>0.73333333333333328</v>
      </c>
      <c r="Q14" s="29">
        <f>+O14/N14</f>
        <v>1.3636363636363635</v>
      </c>
      <c r="R14" s="27">
        <v>305</v>
      </c>
      <c r="S14" s="28">
        <v>205</v>
      </c>
      <c r="T14" s="29">
        <f>+S14/R14</f>
        <v>0.67213114754098358</v>
      </c>
      <c r="U14" s="27">
        <v>549</v>
      </c>
      <c r="V14" s="28">
        <v>214</v>
      </c>
      <c r="W14" s="29">
        <f>+V14/U14</f>
        <v>0.38979963570127507</v>
      </c>
      <c r="X14" s="27">
        <v>442</v>
      </c>
      <c r="Y14" s="28">
        <v>209</v>
      </c>
      <c r="Z14" s="29">
        <f>+Y14/X14</f>
        <v>0.47285067873303166</v>
      </c>
      <c r="AA14" s="27">
        <v>606</v>
      </c>
      <c r="AB14" s="28">
        <v>228</v>
      </c>
      <c r="AC14" s="29">
        <f>+AB14/AA14</f>
        <v>0.37623762376237624</v>
      </c>
      <c r="AD14" s="27">
        <v>516</v>
      </c>
      <c r="AE14" s="28">
        <v>239</v>
      </c>
      <c r="AF14" s="29">
        <f>+AE14/AD14</f>
        <v>0.4631782945736434</v>
      </c>
      <c r="AG14" s="27">
        <v>530</v>
      </c>
      <c r="AH14" s="28">
        <v>243</v>
      </c>
      <c r="AI14" s="29">
        <f>+AH14/AG14</f>
        <v>0.45849056603773586</v>
      </c>
      <c r="AJ14" s="27">
        <v>616</v>
      </c>
      <c r="AK14" s="28">
        <v>237</v>
      </c>
      <c r="AL14" s="29">
        <f>+AK14/AJ14</f>
        <v>0.38474025974025972</v>
      </c>
      <c r="AM14" s="27">
        <v>440</v>
      </c>
      <c r="AN14" s="28">
        <v>247</v>
      </c>
      <c r="AO14" s="29">
        <f>+AN14/AM14</f>
        <v>0.5613636363636364</v>
      </c>
    </row>
    <row r="15" spans="1:41" ht="17.25">
      <c r="A15" s="588" t="s">
        <v>842</v>
      </c>
      <c r="B15" s="589">
        <v>30</v>
      </c>
      <c r="C15" s="590">
        <v>52</v>
      </c>
      <c r="D15" s="591">
        <f>+B15/C15</f>
        <v>0.57692307692307687</v>
      </c>
      <c r="E15" s="592">
        <f>+C15/B15</f>
        <v>1.7333333333333334</v>
      </c>
      <c r="F15" s="589">
        <v>30</v>
      </c>
      <c r="G15" s="590">
        <v>66</v>
      </c>
      <c r="H15" s="591">
        <f>+F15/G15</f>
        <v>0.45454545454545453</v>
      </c>
      <c r="I15" s="592">
        <f>+G15/F15</f>
        <v>2.2000000000000002</v>
      </c>
      <c r="J15" s="589">
        <v>13</v>
      </c>
      <c r="K15" s="590">
        <v>80</v>
      </c>
      <c r="L15" s="591">
        <f>+J15/K15</f>
        <v>0.16250000000000001</v>
      </c>
      <c r="M15" s="592">
        <f>+K15/J15</f>
        <v>6.1538461538461542</v>
      </c>
      <c r="N15" s="589">
        <v>45</v>
      </c>
      <c r="O15" s="590">
        <v>146</v>
      </c>
      <c r="P15" s="591">
        <f>+N15/O15</f>
        <v>0.30821917808219179</v>
      </c>
      <c r="Q15" s="592">
        <f>+O15/N15</f>
        <v>3.2444444444444445</v>
      </c>
      <c r="R15" s="589">
        <v>76</v>
      </c>
      <c r="S15" s="590">
        <v>188</v>
      </c>
      <c r="T15" s="592">
        <f>+S15/R15</f>
        <v>2.4736842105263159</v>
      </c>
      <c r="U15" s="589">
        <v>231</v>
      </c>
      <c r="V15" s="590">
        <v>218</v>
      </c>
      <c r="W15" s="592">
        <f>+V15/U15</f>
        <v>0.94372294372294374</v>
      </c>
      <c r="X15" s="589">
        <v>249</v>
      </c>
      <c r="Y15" s="590">
        <v>220</v>
      </c>
      <c r="Z15" s="592">
        <f>+Y15/X15</f>
        <v>0.88353413654618473</v>
      </c>
      <c r="AA15" s="589">
        <v>193</v>
      </c>
      <c r="AB15" s="590">
        <v>271</v>
      </c>
      <c r="AC15" s="592">
        <f>+AB15/AA15</f>
        <v>1.4041450777202074</v>
      </c>
      <c r="AD15" s="1961">
        <v>195</v>
      </c>
      <c r="AE15" s="1962">
        <v>286</v>
      </c>
      <c r="AF15" s="1963">
        <f>+AE15/AD15</f>
        <v>1.4666666666666666</v>
      </c>
      <c r="AG15" s="1961">
        <v>313</v>
      </c>
      <c r="AH15" s="1962">
        <v>322</v>
      </c>
      <c r="AI15" s="1963">
        <f>+AH15/AG15</f>
        <v>1.0287539936102237</v>
      </c>
      <c r="AJ15" s="1961">
        <v>297</v>
      </c>
      <c r="AK15" s="1962">
        <v>318</v>
      </c>
      <c r="AL15" s="1963">
        <f>+AK15/AJ15</f>
        <v>1.0707070707070707</v>
      </c>
      <c r="AM15" s="1961">
        <v>253</v>
      </c>
      <c r="AN15" s="1962">
        <v>333</v>
      </c>
      <c r="AO15" s="1963">
        <f>+AN15/AM15</f>
        <v>1.3162055335968379</v>
      </c>
    </row>
    <row r="16" spans="1:41">
      <c r="R16" s="122"/>
      <c r="U16" s="122"/>
      <c r="X16" s="122"/>
      <c r="AA16" s="122"/>
      <c r="AD16" s="122"/>
      <c r="AG16" s="122"/>
      <c r="AJ16" s="122"/>
      <c r="AM16" s="122"/>
    </row>
    <row r="17" spans="1:41">
      <c r="A17" s="5375" t="s">
        <v>231</v>
      </c>
      <c r="B17" s="5377">
        <v>2007</v>
      </c>
      <c r="C17" s="5378"/>
      <c r="D17" s="5378"/>
      <c r="E17" s="5379"/>
      <c r="F17" s="5377">
        <v>2008</v>
      </c>
      <c r="G17" s="5378"/>
      <c r="H17" s="5378"/>
      <c r="I17" s="5379"/>
      <c r="J17" s="5377">
        <v>2009</v>
      </c>
      <c r="K17" s="5378"/>
      <c r="L17" s="5378"/>
      <c r="M17" s="5379"/>
      <c r="N17" s="5356">
        <v>2010</v>
      </c>
      <c r="O17" s="5357"/>
      <c r="P17" s="5357"/>
      <c r="Q17" s="5358"/>
      <c r="R17" s="5356">
        <v>2011</v>
      </c>
      <c r="S17" s="5357"/>
      <c r="T17" s="5357"/>
      <c r="U17" s="5356">
        <v>2012</v>
      </c>
      <c r="V17" s="5357"/>
      <c r="W17" s="5357"/>
      <c r="X17" s="5356">
        <v>2013</v>
      </c>
      <c r="Y17" s="5357"/>
      <c r="Z17" s="5358"/>
      <c r="AA17" s="5356">
        <v>2014</v>
      </c>
      <c r="AB17" s="5357"/>
      <c r="AC17" s="5358"/>
      <c r="AD17" s="5359">
        <v>2015</v>
      </c>
      <c r="AE17" s="5360"/>
      <c r="AF17" s="5361"/>
      <c r="AG17" s="5359">
        <v>2016</v>
      </c>
      <c r="AH17" s="5360"/>
      <c r="AI17" s="5361"/>
      <c r="AJ17" s="5359">
        <v>2017</v>
      </c>
      <c r="AK17" s="5360"/>
      <c r="AL17" s="5361"/>
      <c r="AM17" s="5359">
        <v>2018</v>
      </c>
      <c r="AN17" s="5360"/>
      <c r="AO17" s="5361"/>
    </row>
    <row r="18" spans="1:41" ht="19.5" customHeight="1">
      <c r="A18" s="5376"/>
      <c r="B18" s="62" t="s">
        <v>225</v>
      </c>
      <c r="C18" s="595" t="s">
        <v>228</v>
      </c>
      <c r="D18" s="595" t="s">
        <v>226</v>
      </c>
      <c r="E18" s="595" t="s">
        <v>229</v>
      </c>
      <c r="F18" s="62" t="s">
        <v>225</v>
      </c>
      <c r="G18" s="595" t="s">
        <v>228</v>
      </c>
      <c r="H18" s="595" t="s">
        <v>226</v>
      </c>
      <c r="I18" s="595" t="s">
        <v>229</v>
      </c>
      <c r="J18" s="62" t="s">
        <v>225</v>
      </c>
      <c r="K18" s="595" t="s">
        <v>228</v>
      </c>
      <c r="L18" s="595" t="s">
        <v>226</v>
      </c>
      <c r="M18" s="595" t="s">
        <v>229</v>
      </c>
      <c r="N18" s="185" t="s">
        <v>623</v>
      </c>
      <c r="O18" s="596" t="s">
        <v>228</v>
      </c>
      <c r="P18" s="596" t="s">
        <v>226</v>
      </c>
      <c r="Q18" s="596" t="s">
        <v>229</v>
      </c>
      <c r="R18" s="185" t="s">
        <v>623</v>
      </c>
      <c r="S18" s="596" t="s">
        <v>228</v>
      </c>
      <c r="T18" s="596" t="s">
        <v>229</v>
      </c>
      <c r="U18" s="185" t="s">
        <v>623</v>
      </c>
      <c r="V18" s="596" t="s">
        <v>228</v>
      </c>
      <c r="W18" s="596" t="s">
        <v>229</v>
      </c>
      <c r="X18" s="185" t="s">
        <v>623</v>
      </c>
      <c r="Y18" s="596" t="s">
        <v>228</v>
      </c>
      <c r="Z18" s="596" t="s">
        <v>229</v>
      </c>
      <c r="AA18" s="185" t="s">
        <v>623</v>
      </c>
      <c r="AB18" s="596" t="s">
        <v>228</v>
      </c>
      <c r="AC18" s="596" t="s">
        <v>229</v>
      </c>
      <c r="AD18" s="185" t="s">
        <v>623</v>
      </c>
      <c r="AE18" s="1965" t="s">
        <v>228</v>
      </c>
      <c r="AF18" s="1965" t="s">
        <v>229</v>
      </c>
      <c r="AG18" s="185" t="s">
        <v>623</v>
      </c>
      <c r="AH18" s="1965" t="s">
        <v>228</v>
      </c>
      <c r="AI18" s="1965" t="s">
        <v>229</v>
      </c>
      <c r="AJ18" s="185" t="s">
        <v>623</v>
      </c>
      <c r="AK18" s="1965" t="s">
        <v>228</v>
      </c>
      <c r="AL18" s="1965" t="s">
        <v>229</v>
      </c>
      <c r="AM18" s="185" t="s">
        <v>623</v>
      </c>
      <c r="AN18" s="1965" t="s">
        <v>228</v>
      </c>
      <c r="AO18" s="1965" t="s">
        <v>229</v>
      </c>
    </row>
    <row r="19" spans="1:41" ht="17.25">
      <c r="A19" s="583" t="s">
        <v>841</v>
      </c>
      <c r="B19" s="584">
        <v>651</v>
      </c>
      <c r="C19" s="585">
        <f>10243+1091</f>
        <v>11334</v>
      </c>
      <c r="D19" s="586">
        <f>+B19/C19</f>
        <v>5.7437797776601379E-2</v>
      </c>
      <c r="E19" s="587">
        <f>+C19/B19</f>
        <v>17.410138248847925</v>
      </c>
      <c r="F19" s="584">
        <v>696</v>
      </c>
      <c r="G19" s="585">
        <f>10369+1252</f>
        <v>11621</v>
      </c>
      <c r="H19" s="586">
        <f>+F19/G19</f>
        <v>5.9891575595903968E-2</v>
      </c>
      <c r="I19" s="587">
        <f>+G19/F19</f>
        <v>16.696839080459771</v>
      </c>
      <c r="J19" s="584">
        <v>720</v>
      </c>
      <c r="K19" s="585">
        <f>10789+1303</f>
        <v>12092</v>
      </c>
      <c r="L19" s="586">
        <f>+J19/K19</f>
        <v>5.9543499834601388E-2</v>
      </c>
      <c r="M19" s="587">
        <f>+K19/J19</f>
        <v>16.794444444444444</v>
      </c>
      <c r="N19" s="584">
        <v>743</v>
      </c>
      <c r="O19" s="585">
        <f>11399+1434</f>
        <v>12833</v>
      </c>
      <c r="P19" s="586">
        <f>+N19/O19</f>
        <v>5.789760773007091E-2</v>
      </c>
      <c r="Q19" s="587">
        <f>+O19/N19</f>
        <v>17.271870794078062</v>
      </c>
      <c r="R19" s="584">
        <v>982</v>
      </c>
      <c r="S19" s="585">
        <f>11743+1552</f>
        <v>13295</v>
      </c>
      <c r="T19" s="587">
        <f>+S19/R19</f>
        <v>13.538696537678208</v>
      </c>
      <c r="U19" s="584">
        <v>1604</v>
      </c>
      <c r="V19" s="585">
        <v>13690</v>
      </c>
      <c r="W19" s="587">
        <f>+V19/U19</f>
        <v>8.5349127182044882</v>
      </c>
      <c r="X19" s="584">
        <v>1604</v>
      </c>
      <c r="Y19" s="585">
        <v>14791</v>
      </c>
      <c r="Z19" s="587">
        <f>+Y19/X19</f>
        <v>9.221321695760599</v>
      </c>
      <c r="AA19" s="584">
        <v>1770</v>
      </c>
      <c r="AB19" s="585">
        <v>15007</v>
      </c>
      <c r="AC19" s="587">
        <f>+AB19/AA19</f>
        <v>8.4785310734463284</v>
      </c>
      <c r="AD19" s="1958">
        <v>1840</v>
      </c>
      <c r="AE19" s="1959">
        <v>15041</v>
      </c>
      <c r="AF19" s="1960">
        <f>+AE19/AD19</f>
        <v>8.1744565217391312</v>
      </c>
      <c r="AG19" s="1958">
        <v>1840</v>
      </c>
      <c r="AH19" s="1959">
        <v>15153</v>
      </c>
      <c r="AI19" s="1960">
        <f>+AH19/AG19</f>
        <v>8.2353260869565226</v>
      </c>
      <c r="AJ19" s="1958">
        <v>1892</v>
      </c>
      <c r="AK19" s="1959">
        <v>14674</v>
      </c>
      <c r="AL19" s="1960">
        <f>+AK19/AJ19</f>
        <v>7.7558139534883717</v>
      </c>
      <c r="AM19" s="1958">
        <v>2026</v>
      </c>
      <c r="AN19" s="1959">
        <v>14350</v>
      </c>
      <c r="AO19" s="1960">
        <f>+AN19/AM19</f>
        <v>7.0829220138203359</v>
      </c>
    </row>
    <row r="20" spans="1:41">
      <c r="A20" s="26" t="s">
        <v>227</v>
      </c>
      <c r="B20" s="27">
        <v>800</v>
      </c>
      <c r="C20" s="28">
        <v>791</v>
      </c>
      <c r="D20" s="55">
        <f>+B20/C20</f>
        <v>1.0113780025284449</v>
      </c>
      <c r="E20" s="29">
        <f>+C20/B20</f>
        <v>0.98875000000000002</v>
      </c>
      <c r="F20" s="27">
        <v>814</v>
      </c>
      <c r="G20" s="28">
        <v>793</v>
      </c>
      <c r="H20" s="55">
        <f>+F20/G20</f>
        <v>1.0264817150063053</v>
      </c>
      <c r="I20" s="29">
        <f>+G20/F20</f>
        <v>0.97420147420147418</v>
      </c>
      <c r="J20" s="27">
        <v>819</v>
      </c>
      <c r="K20" s="28">
        <v>789</v>
      </c>
      <c r="L20" s="55">
        <f>+J20/K20</f>
        <v>1.038022813688213</v>
      </c>
      <c r="M20" s="29">
        <f>+K20/J20</f>
        <v>0.96336996336996339</v>
      </c>
      <c r="N20" s="27">
        <v>830</v>
      </c>
      <c r="O20" s="28">
        <v>1301</v>
      </c>
      <c r="P20" s="55">
        <f>+N20/O20</f>
        <v>0.63797079169869331</v>
      </c>
      <c r="Q20" s="29">
        <f>+O20/N20</f>
        <v>1.5674698795180724</v>
      </c>
      <c r="R20" s="27">
        <v>1501</v>
      </c>
      <c r="S20" s="28">
        <v>1285</v>
      </c>
      <c r="T20" s="29">
        <f>+S20/R20</f>
        <v>0.85609593604263823</v>
      </c>
      <c r="U20" s="27">
        <v>1515</v>
      </c>
      <c r="V20" s="28">
        <v>1290</v>
      </c>
      <c r="W20" s="29">
        <f>+V20/U20</f>
        <v>0.85148514851485146</v>
      </c>
      <c r="X20" s="27">
        <v>1515</v>
      </c>
      <c r="Y20" s="28">
        <v>1301</v>
      </c>
      <c r="Z20" s="29">
        <f>+Y20/X20</f>
        <v>0.85874587458745877</v>
      </c>
      <c r="AA20" s="27">
        <v>1668</v>
      </c>
      <c r="AB20" s="28">
        <v>1295</v>
      </c>
      <c r="AC20" s="29">
        <f>+AB20/AA20</f>
        <v>0.77637889688249395</v>
      </c>
      <c r="AD20" s="27">
        <v>1776</v>
      </c>
      <c r="AE20" s="28">
        <v>1273</v>
      </c>
      <c r="AF20" s="29">
        <f>+AE20/AD20</f>
        <v>0.71677927927927931</v>
      </c>
      <c r="AG20" s="27">
        <v>1776</v>
      </c>
      <c r="AH20" s="28">
        <v>1294</v>
      </c>
      <c r="AI20" s="29">
        <f>+AH20/AG20</f>
        <v>0.72860360360360366</v>
      </c>
      <c r="AJ20" s="27">
        <v>1950</v>
      </c>
      <c r="AK20" s="28">
        <v>1251</v>
      </c>
      <c r="AL20" s="29">
        <f>+AK20/AJ20</f>
        <v>0.6415384615384615</v>
      </c>
      <c r="AM20" s="27">
        <v>2031</v>
      </c>
      <c r="AN20" s="28">
        <v>1244</v>
      </c>
      <c r="AO20" s="29">
        <f>+AN20/AM20</f>
        <v>0.61250615460364355</v>
      </c>
    </row>
    <row r="21" spans="1:41" ht="17.25">
      <c r="A21" s="588" t="s">
        <v>842</v>
      </c>
      <c r="B21" s="589">
        <v>158</v>
      </c>
      <c r="C21" s="590">
        <v>179</v>
      </c>
      <c r="D21" s="591">
        <f>+B21/C21</f>
        <v>0.88268156424581001</v>
      </c>
      <c r="E21" s="592">
        <f>+C21/B21</f>
        <v>1.1329113924050633</v>
      </c>
      <c r="F21" s="589">
        <v>170</v>
      </c>
      <c r="G21" s="590">
        <v>194</v>
      </c>
      <c r="H21" s="591">
        <f>+F21/G21</f>
        <v>0.87628865979381443</v>
      </c>
      <c r="I21" s="592">
        <f>+G21/F21</f>
        <v>1.1411764705882352</v>
      </c>
      <c r="J21" s="589">
        <v>176</v>
      </c>
      <c r="K21" s="590">
        <v>202</v>
      </c>
      <c r="L21" s="591">
        <f>+J21/K21</f>
        <v>0.87128712871287128</v>
      </c>
      <c r="M21" s="592">
        <f>+K21/J21</f>
        <v>1.1477272727272727</v>
      </c>
      <c r="N21" s="589">
        <v>175</v>
      </c>
      <c r="O21" s="590">
        <v>1187</v>
      </c>
      <c r="P21" s="591">
        <f>+N21/O21</f>
        <v>0.14743049705139005</v>
      </c>
      <c r="Q21" s="592">
        <f>+O21/N21</f>
        <v>6.7828571428571429</v>
      </c>
      <c r="R21" s="589">
        <v>473</v>
      </c>
      <c r="S21" s="590">
        <v>1200</v>
      </c>
      <c r="T21" s="592">
        <f>+S21/R21</f>
        <v>2.536997885835095</v>
      </c>
      <c r="U21" s="589">
        <v>737</v>
      </c>
      <c r="V21" s="590">
        <v>1199</v>
      </c>
      <c r="W21" s="592">
        <f>+V21/U21</f>
        <v>1.6268656716417911</v>
      </c>
      <c r="X21" s="589">
        <v>737</v>
      </c>
      <c r="Y21" s="590">
        <v>1224</v>
      </c>
      <c r="Z21" s="592">
        <f>+Y21/X21</f>
        <v>1.66078697421981</v>
      </c>
      <c r="AA21" s="589">
        <v>805</v>
      </c>
      <c r="AB21" s="590">
        <v>1189</v>
      </c>
      <c r="AC21" s="592">
        <f>+AB21/AA21</f>
        <v>1.4770186335403728</v>
      </c>
      <c r="AD21" s="1961">
        <v>867</v>
      </c>
      <c r="AE21" s="1962">
        <v>1177</v>
      </c>
      <c r="AF21" s="1963">
        <f>+AE21/AD21</f>
        <v>1.3575547866205306</v>
      </c>
      <c r="AG21" s="1961">
        <v>867</v>
      </c>
      <c r="AH21" s="1962">
        <v>1157</v>
      </c>
      <c r="AI21" s="1963">
        <f>+AH21/AG21</f>
        <v>1.334486735870819</v>
      </c>
      <c r="AJ21" s="1961">
        <v>952</v>
      </c>
      <c r="AK21" s="1962">
        <v>1161</v>
      </c>
      <c r="AL21" s="1963">
        <f>+AK21/AJ21</f>
        <v>1.2195378151260505</v>
      </c>
      <c r="AM21" s="1961">
        <v>2584</v>
      </c>
      <c r="AN21" s="1962">
        <v>1175</v>
      </c>
      <c r="AO21" s="1963">
        <f>+AN21/AM21</f>
        <v>0.45472136222910214</v>
      </c>
    </row>
    <row r="22" spans="1:41">
      <c r="R22" s="122"/>
      <c r="U22" s="122"/>
      <c r="X22" s="122"/>
      <c r="AA22" s="122"/>
      <c r="AD22" s="122"/>
      <c r="AG22" s="2649"/>
      <c r="AJ22" s="2649"/>
      <c r="AM22" s="2649"/>
    </row>
    <row r="23" spans="1:41">
      <c r="A23" s="5380" t="s">
        <v>365</v>
      </c>
      <c r="B23" s="5382">
        <v>2007</v>
      </c>
      <c r="C23" s="5383"/>
      <c r="D23" s="5383"/>
      <c r="E23" s="5384"/>
      <c r="F23" s="5382">
        <v>2008</v>
      </c>
      <c r="G23" s="5383"/>
      <c r="H23" s="5383"/>
      <c r="I23" s="5384"/>
      <c r="J23" s="5382">
        <v>2009</v>
      </c>
      <c r="K23" s="5383"/>
      <c r="L23" s="5383"/>
      <c r="M23" s="5384"/>
      <c r="N23" s="5356">
        <v>2010</v>
      </c>
      <c r="O23" s="5357"/>
      <c r="P23" s="5357"/>
      <c r="Q23" s="5358"/>
      <c r="R23" s="5356">
        <v>2011</v>
      </c>
      <c r="S23" s="5357"/>
      <c r="T23" s="5357"/>
      <c r="U23" s="5356">
        <v>2012</v>
      </c>
      <c r="V23" s="5357"/>
      <c r="W23" s="5357"/>
      <c r="X23" s="5356">
        <v>2013</v>
      </c>
      <c r="Y23" s="5357"/>
      <c r="Z23" s="5358"/>
      <c r="AA23" s="5356">
        <v>2014</v>
      </c>
      <c r="AB23" s="5357"/>
      <c r="AC23" s="5358"/>
      <c r="AD23" s="5359">
        <v>2015</v>
      </c>
      <c r="AE23" s="5360"/>
      <c r="AF23" s="5361"/>
      <c r="AG23" s="5359">
        <v>2016</v>
      </c>
      <c r="AH23" s="5360"/>
      <c r="AI23" s="5361"/>
      <c r="AJ23" s="5359">
        <v>2017</v>
      </c>
      <c r="AK23" s="5360"/>
      <c r="AL23" s="5361"/>
      <c r="AM23" s="5359">
        <v>2018</v>
      </c>
      <c r="AN23" s="5360"/>
      <c r="AO23" s="5361"/>
    </row>
    <row r="24" spans="1:41" ht="18.75" customHeight="1">
      <c r="A24" s="5381"/>
      <c r="B24" s="106" t="s">
        <v>225</v>
      </c>
      <c r="C24" s="597" t="s">
        <v>228</v>
      </c>
      <c r="D24" s="597" t="s">
        <v>226</v>
      </c>
      <c r="E24" s="597" t="s">
        <v>229</v>
      </c>
      <c r="F24" s="106" t="s">
        <v>225</v>
      </c>
      <c r="G24" s="597" t="s">
        <v>228</v>
      </c>
      <c r="H24" s="597" t="s">
        <v>226</v>
      </c>
      <c r="I24" s="597" t="s">
        <v>229</v>
      </c>
      <c r="J24" s="106" t="s">
        <v>225</v>
      </c>
      <c r="K24" s="597" t="s">
        <v>228</v>
      </c>
      <c r="L24" s="597" t="s">
        <v>226</v>
      </c>
      <c r="M24" s="597" t="s">
        <v>229</v>
      </c>
      <c r="N24" s="186" t="s">
        <v>623</v>
      </c>
      <c r="O24" s="598" t="s">
        <v>228</v>
      </c>
      <c r="P24" s="598" t="s">
        <v>226</v>
      </c>
      <c r="Q24" s="598" t="s">
        <v>229</v>
      </c>
      <c r="R24" s="186" t="s">
        <v>623</v>
      </c>
      <c r="S24" s="598" t="s">
        <v>228</v>
      </c>
      <c r="T24" s="598" t="s">
        <v>229</v>
      </c>
      <c r="U24" s="186" t="s">
        <v>623</v>
      </c>
      <c r="V24" s="598" t="s">
        <v>228</v>
      </c>
      <c r="W24" s="598" t="s">
        <v>229</v>
      </c>
      <c r="X24" s="186" t="s">
        <v>623</v>
      </c>
      <c r="Y24" s="598" t="s">
        <v>228</v>
      </c>
      <c r="Z24" s="598" t="s">
        <v>229</v>
      </c>
      <c r="AA24" s="186" t="s">
        <v>623</v>
      </c>
      <c r="AB24" s="598" t="s">
        <v>228</v>
      </c>
      <c r="AC24" s="598" t="s">
        <v>229</v>
      </c>
      <c r="AD24" s="186" t="s">
        <v>623</v>
      </c>
      <c r="AE24" s="1966" t="s">
        <v>228</v>
      </c>
      <c r="AF24" s="1966" t="s">
        <v>229</v>
      </c>
      <c r="AG24" s="186" t="s">
        <v>623</v>
      </c>
      <c r="AH24" s="1966" t="s">
        <v>228</v>
      </c>
      <c r="AI24" s="1966" t="s">
        <v>229</v>
      </c>
      <c r="AJ24" s="186" t="s">
        <v>623</v>
      </c>
      <c r="AK24" s="1966" t="s">
        <v>228</v>
      </c>
      <c r="AL24" s="1966" t="s">
        <v>229</v>
      </c>
      <c r="AM24" s="186" t="s">
        <v>623</v>
      </c>
      <c r="AN24" s="1966" t="s">
        <v>228</v>
      </c>
      <c r="AO24" s="1966" t="s">
        <v>229</v>
      </c>
    </row>
    <row r="25" spans="1:41" ht="17.25">
      <c r="A25" s="583" t="s">
        <v>841</v>
      </c>
      <c r="B25" s="584">
        <v>651</v>
      </c>
      <c r="C25" s="585">
        <f>10243+1091</f>
        <v>11334</v>
      </c>
      <c r="D25" s="586">
        <f>+B25/C25</f>
        <v>5.7437797776601379E-2</v>
      </c>
      <c r="E25" s="587">
        <f>+C25/B25</f>
        <v>17.410138248847925</v>
      </c>
      <c r="F25" s="584">
        <v>696</v>
      </c>
      <c r="G25" s="585">
        <f>10369+1252</f>
        <v>11621</v>
      </c>
      <c r="H25" s="586">
        <f>+F25/G25</f>
        <v>5.9891575595903968E-2</v>
      </c>
      <c r="I25" s="587">
        <f>+G25/F25</f>
        <v>16.696839080459771</v>
      </c>
      <c r="J25" s="584">
        <v>720</v>
      </c>
      <c r="K25" s="585">
        <f>10789+1303</f>
        <v>12092</v>
      </c>
      <c r="L25" s="586">
        <f>+J25/K25</f>
        <v>5.9543499834601388E-2</v>
      </c>
      <c r="M25" s="587">
        <f>+K25/J25</f>
        <v>16.794444444444444</v>
      </c>
      <c r="N25" s="584"/>
      <c r="O25" s="585"/>
      <c r="P25" s="586"/>
      <c r="Q25" s="587"/>
      <c r="R25" s="584">
        <v>200</v>
      </c>
      <c r="S25" s="585">
        <v>161</v>
      </c>
      <c r="T25" s="587">
        <f>+S25/R25</f>
        <v>0.80500000000000005</v>
      </c>
      <c r="U25" s="584">
        <v>119</v>
      </c>
      <c r="V25" s="585">
        <v>220</v>
      </c>
      <c r="W25" s="587">
        <f>+V25/U25</f>
        <v>1.8487394957983194</v>
      </c>
      <c r="X25" s="584">
        <v>129</v>
      </c>
      <c r="Y25" s="585">
        <v>348</v>
      </c>
      <c r="Z25" s="587">
        <f>+Y25/X25</f>
        <v>2.6976744186046511</v>
      </c>
      <c r="AA25" s="584">
        <v>200</v>
      </c>
      <c r="AB25" s="585">
        <v>416</v>
      </c>
      <c r="AC25" s="587">
        <f>+AB25/AA25</f>
        <v>2.08</v>
      </c>
      <c r="AD25" s="1958">
        <v>205</v>
      </c>
      <c r="AE25" s="1959">
        <v>495</v>
      </c>
      <c r="AF25" s="1960">
        <f>+AE25/AD25</f>
        <v>2.4146341463414633</v>
      </c>
      <c r="AG25" s="1958">
        <v>205</v>
      </c>
      <c r="AH25" s="1959">
        <v>598</v>
      </c>
      <c r="AI25" s="1960">
        <f>+AH25/AG25</f>
        <v>2.9170731707317072</v>
      </c>
      <c r="AJ25" s="1958">
        <v>255</v>
      </c>
      <c r="AK25" s="1959">
        <v>738</v>
      </c>
      <c r="AL25" s="1960">
        <f>+AK25/AJ25</f>
        <v>2.8941176470588235</v>
      </c>
      <c r="AM25" s="1958">
        <v>264</v>
      </c>
      <c r="AN25" s="1959">
        <v>934</v>
      </c>
      <c r="AO25" s="1960">
        <f>+AN25/AM25</f>
        <v>3.5378787878787881</v>
      </c>
    </row>
    <row r="26" spans="1:41">
      <c r="A26" s="26" t="s">
        <v>227</v>
      </c>
      <c r="B26" s="27">
        <v>800</v>
      </c>
      <c r="C26" s="28">
        <v>791</v>
      </c>
      <c r="D26" s="55">
        <f>+B26/C26</f>
        <v>1.0113780025284449</v>
      </c>
      <c r="E26" s="29">
        <f>+C26/B26</f>
        <v>0.98875000000000002</v>
      </c>
      <c r="F26" s="27">
        <v>814</v>
      </c>
      <c r="G26" s="28">
        <v>793</v>
      </c>
      <c r="H26" s="55">
        <f>+F26/G26</f>
        <v>1.0264817150063053</v>
      </c>
      <c r="I26" s="29">
        <f>+G26/F26</f>
        <v>0.97420147420147418</v>
      </c>
      <c r="J26" s="27">
        <v>819</v>
      </c>
      <c r="K26" s="28">
        <v>789</v>
      </c>
      <c r="L26" s="55">
        <f>+J26/K26</f>
        <v>1.038022813688213</v>
      </c>
      <c r="M26" s="29">
        <f>+K26/J26</f>
        <v>0.96336996336996339</v>
      </c>
      <c r="N26" s="27"/>
      <c r="O26" s="28"/>
      <c r="P26" s="55"/>
      <c r="Q26" s="29"/>
      <c r="R26" s="27">
        <v>36</v>
      </c>
      <c r="S26" s="28">
        <v>27</v>
      </c>
      <c r="T26" s="29">
        <f>+S26/R26</f>
        <v>0.75</v>
      </c>
      <c r="U26" s="27">
        <v>36</v>
      </c>
      <c r="V26" s="28">
        <v>46</v>
      </c>
      <c r="W26" s="29">
        <f>+V26/U26</f>
        <v>1.2777777777777777</v>
      </c>
      <c r="X26" s="27">
        <v>66</v>
      </c>
      <c r="Y26" s="28">
        <v>64</v>
      </c>
      <c r="Z26" s="29">
        <f>+Y26/X26</f>
        <v>0.96969696969696972</v>
      </c>
      <c r="AA26" s="27">
        <v>72</v>
      </c>
      <c r="AB26" s="28">
        <v>72</v>
      </c>
      <c r="AC26" s="29">
        <f>+AB26/AA26</f>
        <v>1</v>
      </c>
      <c r="AD26" s="27">
        <v>108</v>
      </c>
      <c r="AE26" s="28">
        <v>64</v>
      </c>
      <c r="AF26" s="29">
        <f>+AE26/AD26</f>
        <v>0.59259259259259256</v>
      </c>
      <c r="AG26" s="27">
        <v>108</v>
      </c>
      <c r="AH26" s="28">
        <v>78</v>
      </c>
      <c r="AI26" s="29">
        <f>+AH26/AG26</f>
        <v>0.72222222222222221</v>
      </c>
      <c r="AJ26" s="27">
        <v>157</v>
      </c>
      <c r="AK26" s="28">
        <v>88</v>
      </c>
      <c r="AL26" s="29">
        <f>+AK26/AJ26</f>
        <v>0.56050955414012738</v>
      </c>
      <c r="AM26" s="27">
        <v>174</v>
      </c>
      <c r="AN26" s="28">
        <v>85</v>
      </c>
      <c r="AO26" s="29">
        <f>+AN26/AM26</f>
        <v>0.4885057471264368</v>
      </c>
    </row>
    <row r="27" spans="1:41" ht="17.25">
      <c r="A27" s="588" t="s">
        <v>842</v>
      </c>
      <c r="B27" s="589">
        <v>158</v>
      </c>
      <c r="C27" s="590">
        <v>179</v>
      </c>
      <c r="D27" s="591">
        <f>+B27/C27</f>
        <v>0.88268156424581001</v>
      </c>
      <c r="E27" s="592">
        <f>+C27/B27</f>
        <v>1.1329113924050633</v>
      </c>
      <c r="F27" s="589">
        <v>170</v>
      </c>
      <c r="G27" s="590">
        <v>194</v>
      </c>
      <c r="H27" s="591">
        <f>+F27/G27</f>
        <v>0.87628865979381443</v>
      </c>
      <c r="I27" s="592">
        <f>+G27/F27</f>
        <v>1.1411764705882352</v>
      </c>
      <c r="J27" s="589">
        <v>176</v>
      </c>
      <c r="K27" s="590">
        <v>202</v>
      </c>
      <c r="L27" s="591">
        <f>+J27/K27</f>
        <v>0.87128712871287128</v>
      </c>
      <c r="M27" s="592">
        <f>+K27/J27</f>
        <v>1.1477272727272727</v>
      </c>
      <c r="N27" s="589"/>
      <c r="O27" s="590"/>
      <c r="P27" s="591"/>
      <c r="Q27" s="592"/>
      <c r="R27" s="589">
        <v>46</v>
      </c>
      <c r="S27" s="590">
        <v>41</v>
      </c>
      <c r="T27" s="592">
        <f>+S27/R27</f>
        <v>0.89130434782608692</v>
      </c>
      <c r="U27" s="589">
        <v>13</v>
      </c>
      <c r="V27" s="590">
        <v>50</v>
      </c>
      <c r="W27" s="592">
        <f>+V27/U27</f>
        <v>3.8461538461538463</v>
      </c>
      <c r="X27" s="589">
        <v>16</v>
      </c>
      <c r="Y27" s="590">
        <v>56</v>
      </c>
      <c r="Z27" s="592">
        <f>+Y27/X27</f>
        <v>3.5</v>
      </c>
      <c r="AA27" s="589">
        <v>79</v>
      </c>
      <c r="AB27" s="590">
        <v>80</v>
      </c>
      <c r="AC27" s="592">
        <f>+AB27/AA27</f>
        <v>1.0126582278481013</v>
      </c>
      <c r="AD27" s="1961">
        <v>89</v>
      </c>
      <c r="AE27" s="1962">
        <v>81</v>
      </c>
      <c r="AF27" s="1963">
        <f>+AE27/AD27</f>
        <v>0.9101123595505618</v>
      </c>
      <c r="AG27" s="1961">
        <v>89</v>
      </c>
      <c r="AH27" s="1962">
        <v>118</v>
      </c>
      <c r="AI27" s="1963">
        <f>+AH27/AG27</f>
        <v>1.3258426966292134</v>
      </c>
      <c r="AJ27" s="1961">
        <v>88</v>
      </c>
      <c r="AK27" s="1962">
        <v>118</v>
      </c>
      <c r="AL27" s="1963">
        <f>+AK27/AJ27</f>
        <v>1.3409090909090908</v>
      </c>
      <c r="AM27" s="1961">
        <v>136</v>
      </c>
      <c r="AN27" s="1962">
        <v>135</v>
      </c>
      <c r="AO27" s="1963">
        <f>+AN27/AM27</f>
        <v>0.99264705882352944</v>
      </c>
    </row>
    <row r="28" spans="1:41">
      <c r="R28" s="122">
        <f>SUM(R25:R27)</f>
        <v>282</v>
      </c>
      <c r="U28" s="122">
        <f>SUM(U25:U27)</f>
        <v>168</v>
      </c>
      <c r="X28" s="122"/>
      <c r="AA28" s="122"/>
      <c r="AD28" s="122"/>
      <c r="AG28" s="2650" t="s">
        <v>2731</v>
      </c>
      <c r="AJ28" s="2650"/>
      <c r="AM28" s="2650"/>
    </row>
    <row r="29" spans="1:41" ht="14.45" customHeight="1">
      <c r="A29" s="5390" t="s">
        <v>232</v>
      </c>
      <c r="B29" s="5392">
        <v>2007</v>
      </c>
      <c r="C29" s="5393"/>
      <c r="D29" s="5393"/>
      <c r="E29" s="5394"/>
      <c r="F29" s="5392">
        <v>2008</v>
      </c>
      <c r="G29" s="5393"/>
      <c r="H29" s="5393"/>
      <c r="I29" s="5394"/>
      <c r="J29" s="5392">
        <v>2009</v>
      </c>
      <c r="K29" s="5393"/>
      <c r="L29" s="5393"/>
      <c r="M29" s="5394"/>
      <c r="N29" s="5356">
        <v>2010</v>
      </c>
      <c r="O29" s="5357"/>
      <c r="P29" s="5357"/>
      <c r="Q29" s="5358"/>
      <c r="R29" s="5356">
        <v>2011</v>
      </c>
      <c r="S29" s="5357"/>
      <c r="T29" s="5357"/>
      <c r="U29" s="5356">
        <v>2012</v>
      </c>
      <c r="V29" s="5357"/>
      <c r="W29" s="5357"/>
      <c r="X29" s="5356">
        <v>2013</v>
      </c>
      <c r="Y29" s="5357"/>
      <c r="Z29" s="5358"/>
      <c r="AA29" s="5356">
        <v>2014</v>
      </c>
      <c r="AB29" s="5357"/>
      <c r="AC29" s="5358"/>
      <c r="AD29" s="5359">
        <v>2015</v>
      </c>
      <c r="AE29" s="5360"/>
      <c r="AF29" s="5361"/>
      <c r="AG29" s="5359">
        <v>2016</v>
      </c>
      <c r="AH29" s="5360"/>
      <c r="AI29" s="5361"/>
      <c r="AJ29" s="5359">
        <v>2017</v>
      </c>
      <c r="AK29" s="5360"/>
      <c r="AL29" s="5361"/>
      <c r="AM29" s="5359">
        <v>2018</v>
      </c>
      <c r="AN29" s="5360"/>
      <c r="AO29" s="5361"/>
    </row>
    <row r="30" spans="1:41" ht="14.45" customHeight="1">
      <c r="A30" s="5391"/>
      <c r="B30" s="599" t="s">
        <v>225</v>
      </c>
      <c r="C30" s="600" t="s">
        <v>228</v>
      </c>
      <c r="D30" s="600" t="s">
        <v>226</v>
      </c>
      <c r="E30" s="600" t="s">
        <v>229</v>
      </c>
      <c r="F30" s="599" t="s">
        <v>225</v>
      </c>
      <c r="G30" s="600" t="s">
        <v>228</v>
      </c>
      <c r="H30" s="600" t="s">
        <v>226</v>
      </c>
      <c r="I30" s="600" t="s">
        <v>229</v>
      </c>
      <c r="J30" s="599" t="s">
        <v>225</v>
      </c>
      <c r="K30" s="600" t="s">
        <v>228</v>
      </c>
      <c r="L30" s="600" t="s">
        <v>226</v>
      </c>
      <c r="M30" s="600" t="s">
        <v>229</v>
      </c>
      <c r="N30" s="601" t="s">
        <v>623</v>
      </c>
      <c r="O30" s="602" t="s">
        <v>228</v>
      </c>
      <c r="P30" s="602" t="s">
        <v>226</v>
      </c>
      <c r="Q30" s="602" t="s">
        <v>229</v>
      </c>
      <c r="R30" s="601" t="s">
        <v>623</v>
      </c>
      <c r="S30" s="602" t="s">
        <v>228</v>
      </c>
      <c r="T30" s="602" t="s">
        <v>229</v>
      </c>
      <c r="U30" s="601" t="s">
        <v>623</v>
      </c>
      <c r="V30" s="602" t="s">
        <v>228</v>
      </c>
      <c r="W30" s="602" t="s">
        <v>229</v>
      </c>
      <c r="X30" s="601" t="s">
        <v>623</v>
      </c>
      <c r="Y30" s="602" t="s">
        <v>228</v>
      </c>
      <c r="Z30" s="602" t="s">
        <v>229</v>
      </c>
      <c r="AA30" s="601" t="s">
        <v>623</v>
      </c>
      <c r="AB30" s="602" t="s">
        <v>228</v>
      </c>
      <c r="AC30" s="602" t="s">
        <v>229</v>
      </c>
      <c r="AD30" s="1967" t="s">
        <v>623</v>
      </c>
      <c r="AE30" s="1968" t="s">
        <v>228</v>
      </c>
      <c r="AF30" s="1968" t="s">
        <v>229</v>
      </c>
      <c r="AG30" s="1967" t="s">
        <v>623</v>
      </c>
      <c r="AH30" s="1968" t="s">
        <v>228</v>
      </c>
      <c r="AI30" s="1968" t="s">
        <v>229</v>
      </c>
      <c r="AJ30" s="1967" t="s">
        <v>623</v>
      </c>
      <c r="AK30" s="1968" t="s">
        <v>228</v>
      </c>
      <c r="AL30" s="1968" t="s">
        <v>229</v>
      </c>
      <c r="AM30" s="1967" t="s">
        <v>623</v>
      </c>
      <c r="AN30" s="1968" t="s">
        <v>228</v>
      </c>
      <c r="AO30" s="1968" t="s">
        <v>229</v>
      </c>
    </row>
    <row r="31" spans="1:41" ht="14.45" customHeight="1">
      <c r="A31" s="583" t="s">
        <v>841</v>
      </c>
      <c r="B31" s="584">
        <v>410</v>
      </c>
      <c r="C31" s="585">
        <f>590+14049</f>
        <v>14639</v>
      </c>
      <c r="D31" s="586">
        <f>+B31/C31</f>
        <v>2.8007377553111553E-2</v>
      </c>
      <c r="E31" s="587">
        <f>+C31/B31</f>
        <v>35.704878048780486</v>
      </c>
      <c r="F31" s="584">
        <v>487</v>
      </c>
      <c r="G31" s="585">
        <f>630+13745</f>
        <v>14375</v>
      </c>
      <c r="H31" s="586">
        <f>+F31/G31</f>
        <v>3.3878260869565219E-2</v>
      </c>
      <c r="I31" s="587">
        <f>+G31/F31</f>
        <v>29.517453798767967</v>
      </c>
      <c r="J31" s="584">
        <v>480</v>
      </c>
      <c r="K31" s="585">
        <f>13387+747</f>
        <v>14134</v>
      </c>
      <c r="L31" s="586">
        <f>+J31/K31</f>
        <v>3.3960662232913545E-2</v>
      </c>
      <c r="M31" s="587">
        <f>+K31/J31</f>
        <v>29.445833333333333</v>
      </c>
      <c r="N31" s="584">
        <v>590</v>
      </c>
      <c r="O31" s="585">
        <f>13485+685</f>
        <v>14170</v>
      </c>
      <c r="P31" s="586">
        <f>+N31/O31</f>
        <v>4.1637261820748062E-2</v>
      </c>
      <c r="Q31" s="587">
        <f>+O31/N31</f>
        <v>24.016949152542374</v>
      </c>
      <c r="R31" s="584">
        <v>906</v>
      </c>
      <c r="S31" s="585">
        <f>13456+687</f>
        <v>14143</v>
      </c>
      <c r="T31" s="587">
        <f>+S31/R31</f>
        <v>15.610375275938189</v>
      </c>
      <c r="U31" s="584">
        <v>1541</v>
      </c>
      <c r="V31" s="585">
        <v>14178</v>
      </c>
      <c r="W31" s="587">
        <f>+V31/U31</f>
        <v>9.2005191434133682</v>
      </c>
      <c r="X31" s="584">
        <v>1651</v>
      </c>
      <c r="Y31" s="585">
        <v>14230</v>
      </c>
      <c r="Z31" s="587">
        <f>+Y31/X31</f>
        <v>8.6190187764990913</v>
      </c>
      <c r="AA31" s="585">
        <v>1651</v>
      </c>
      <c r="AB31" s="585">
        <v>14381</v>
      </c>
      <c r="AC31" s="587">
        <f>+AB31/AA31</f>
        <v>8.7104784978800733</v>
      </c>
      <c r="AD31" s="1958">
        <v>2062</v>
      </c>
      <c r="AE31" s="1959">
        <v>14410</v>
      </c>
      <c r="AF31" s="1960">
        <f>+AE31/AD31</f>
        <v>6.9883608147429683</v>
      </c>
      <c r="AG31" s="1958">
        <v>702</v>
      </c>
      <c r="AH31" s="1959">
        <v>14449</v>
      </c>
      <c r="AI31" s="1960">
        <f>+AH31/AG31</f>
        <v>20.582621082621081</v>
      </c>
      <c r="AJ31" s="1958">
        <v>723</v>
      </c>
      <c r="AK31" s="1959">
        <v>14911</v>
      </c>
      <c r="AL31" s="1960">
        <f>+AK31/AJ31</f>
        <v>20.623789764868604</v>
      </c>
      <c r="AM31" s="1958">
        <v>723</v>
      </c>
      <c r="AN31" s="1959">
        <v>15340</v>
      </c>
      <c r="AO31" s="1960">
        <f>+AN31/AM31</f>
        <v>21.217150760719225</v>
      </c>
    </row>
    <row r="32" spans="1:41" ht="14.45" customHeight="1">
      <c r="A32" s="26" t="s">
        <v>227</v>
      </c>
      <c r="B32" s="27">
        <v>400</v>
      </c>
      <c r="C32" s="28">
        <v>816</v>
      </c>
      <c r="D32" s="55">
        <f>+B32/C32</f>
        <v>0.49019607843137253</v>
      </c>
      <c r="E32" s="29">
        <f>+C32/B32</f>
        <v>2.04</v>
      </c>
      <c r="F32" s="27">
        <v>404</v>
      </c>
      <c r="G32" s="28">
        <v>819</v>
      </c>
      <c r="H32" s="55">
        <f>+F32/G32</f>
        <v>0.49328449328449331</v>
      </c>
      <c r="I32" s="29">
        <f>+G32/F32</f>
        <v>2.027227722772277</v>
      </c>
      <c r="J32" s="27">
        <v>400</v>
      </c>
      <c r="K32" s="28">
        <v>820</v>
      </c>
      <c r="L32" s="55">
        <f>+J32/K32</f>
        <v>0.48780487804878048</v>
      </c>
      <c r="M32" s="29">
        <f>+K32/J32</f>
        <v>2.0499999999999998</v>
      </c>
      <c r="N32" s="27">
        <v>456</v>
      </c>
      <c r="O32" s="28">
        <v>1349</v>
      </c>
      <c r="P32" s="55">
        <f>+N32/O32</f>
        <v>0.3380281690140845</v>
      </c>
      <c r="Q32" s="29">
        <f>+O32/N32</f>
        <v>2.9583333333333335</v>
      </c>
      <c r="R32" s="27">
        <v>1276</v>
      </c>
      <c r="S32" s="28">
        <v>1389</v>
      </c>
      <c r="T32" s="29">
        <f>+S32/R32</f>
        <v>1.0885579937304075</v>
      </c>
      <c r="U32" s="27">
        <v>1253</v>
      </c>
      <c r="V32" s="28">
        <v>1378</v>
      </c>
      <c r="W32" s="29">
        <f>+V32/U32</f>
        <v>1.0997605746209098</v>
      </c>
      <c r="X32" s="27">
        <v>1417</v>
      </c>
      <c r="Y32" s="28">
        <v>1398</v>
      </c>
      <c r="Z32" s="29">
        <f>+Y32/X32</f>
        <v>0.98659139026111509</v>
      </c>
      <c r="AA32" s="28">
        <v>1417</v>
      </c>
      <c r="AB32" s="28">
        <v>1398</v>
      </c>
      <c r="AC32" s="29">
        <f>+AB32/AA32</f>
        <v>0.98659139026111509</v>
      </c>
      <c r="AD32" s="27">
        <v>1497</v>
      </c>
      <c r="AE32" s="28">
        <v>1410</v>
      </c>
      <c r="AF32" s="29">
        <f>+AE32/AD32</f>
        <v>0.94188376753507019</v>
      </c>
      <c r="AG32" s="27">
        <v>1644</v>
      </c>
      <c r="AH32" s="28">
        <v>1405</v>
      </c>
      <c r="AI32" s="29">
        <f>+AH32/AG32</f>
        <v>0.85462287104622869</v>
      </c>
      <c r="AJ32" s="27">
        <v>1740</v>
      </c>
      <c r="AK32" s="28">
        <v>1420</v>
      </c>
      <c r="AL32" s="29">
        <f>+AK32/AJ32</f>
        <v>0.81609195402298851</v>
      </c>
      <c r="AM32" s="27">
        <v>1740</v>
      </c>
      <c r="AN32" s="28">
        <v>1408</v>
      </c>
      <c r="AO32" s="29">
        <f>+AN32/AM32</f>
        <v>0.80919540229885056</v>
      </c>
    </row>
    <row r="33" spans="1:41" ht="17.25">
      <c r="A33" s="588" t="s">
        <v>842</v>
      </c>
      <c r="B33" s="589">
        <v>130</v>
      </c>
      <c r="C33" s="590">
        <v>209</v>
      </c>
      <c r="D33" s="591">
        <f>+B33/C33</f>
        <v>0.62200956937799046</v>
      </c>
      <c r="E33" s="592">
        <f>+C33/B33</f>
        <v>1.6076923076923078</v>
      </c>
      <c r="F33" s="589">
        <v>145</v>
      </c>
      <c r="G33" s="590">
        <v>219</v>
      </c>
      <c r="H33" s="591">
        <f>+F33/G33</f>
        <v>0.66210045662100458</v>
      </c>
      <c r="I33" s="592">
        <f>+G33/F33</f>
        <v>1.5103448275862068</v>
      </c>
      <c r="J33" s="589">
        <v>150</v>
      </c>
      <c r="K33" s="590">
        <v>222</v>
      </c>
      <c r="L33" s="591">
        <f>+J33/K33</f>
        <v>0.67567567567567566</v>
      </c>
      <c r="M33" s="592">
        <f>+K33/J33</f>
        <v>1.48</v>
      </c>
      <c r="N33" s="589">
        <v>150</v>
      </c>
      <c r="O33" s="590">
        <v>1355</v>
      </c>
      <c r="P33" s="591">
        <f>+N33/O33</f>
        <v>0.11070110701107011</v>
      </c>
      <c r="Q33" s="592">
        <f>+O33/N33</f>
        <v>9.0333333333333332</v>
      </c>
      <c r="R33" s="589">
        <v>545</v>
      </c>
      <c r="S33" s="590">
        <v>1368</v>
      </c>
      <c r="T33" s="592">
        <f>+S33/R33</f>
        <v>2.5100917431192662</v>
      </c>
      <c r="U33" s="589">
        <v>850</v>
      </c>
      <c r="V33" s="590">
        <v>1363</v>
      </c>
      <c r="W33" s="592">
        <f>+V33/U33</f>
        <v>1.6035294117647059</v>
      </c>
      <c r="X33" s="589">
        <v>889</v>
      </c>
      <c r="Y33" s="590">
        <v>1354</v>
      </c>
      <c r="Z33" s="592">
        <f>+Y33/X33</f>
        <v>1.5230596175478066</v>
      </c>
      <c r="AA33" s="590">
        <v>889</v>
      </c>
      <c r="AB33" s="590">
        <v>1379</v>
      </c>
      <c r="AC33" s="592">
        <f>+AB33/AA33</f>
        <v>1.5511811023622046</v>
      </c>
      <c r="AD33" s="1961">
        <v>965</v>
      </c>
      <c r="AE33" s="1962">
        <v>1371</v>
      </c>
      <c r="AF33" s="1963">
        <f>+AE33/AD33</f>
        <v>1.4207253886010363</v>
      </c>
      <c r="AG33" s="1961">
        <v>1053</v>
      </c>
      <c r="AH33" s="1962">
        <v>1342</v>
      </c>
      <c r="AI33" s="1963">
        <f>+AH33/AG33</f>
        <v>1.2744539411206077</v>
      </c>
      <c r="AJ33" s="1961">
        <v>1141</v>
      </c>
      <c r="AK33" s="1962">
        <v>1331</v>
      </c>
      <c r="AL33" s="1963">
        <f>+AK33/AJ33</f>
        <v>1.1665205959684488</v>
      </c>
      <c r="AM33" s="1961">
        <v>1141</v>
      </c>
      <c r="AN33" s="1962">
        <v>1340</v>
      </c>
      <c r="AO33" s="1963">
        <f>+AN33/AM33</f>
        <v>1.1744084136722173</v>
      </c>
    </row>
    <row r="34" spans="1:41">
      <c r="R34" s="122"/>
      <c r="U34" s="122"/>
      <c r="X34" s="122"/>
      <c r="AA34" s="122"/>
      <c r="AD34" s="122"/>
      <c r="AG34" s="122"/>
      <c r="AJ34" s="122"/>
      <c r="AM34" s="122" t="s">
        <v>2731</v>
      </c>
    </row>
    <row r="35" spans="1:41" ht="14.45" customHeight="1">
      <c r="A35" s="5385" t="s">
        <v>446</v>
      </c>
      <c r="B35" s="5387">
        <v>2007</v>
      </c>
      <c r="C35" s="5388"/>
      <c r="D35" s="5388"/>
      <c r="E35" s="5389"/>
      <c r="F35" s="5387">
        <v>2008</v>
      </c>
      <c r="G35" s="5388"/>
      <c r="H35" s="5388"/>
      <c r="I35" s="5389"/>
      <c r="J35" s="5387">
        <v>2009</v>
      </c>
      <c r="K35" s="5388"/>
      <c r="L35" s="5388"/>
      <c r="M35" s="5389"/>
      <c r="N35" s="5356">
        <v>2010</v>
      </c>
      <c r="O35" s="5357"/>
      <c r="P35" s="5357"/>
      <c r="Q35" s="5358"/>
      <c r="R35" s="5356">
        <v>2011</v>
      </c>
      <c r="S35" s="5357"/>
      <c r="T35" s="5357"/>
      <c r="U35" s="5356">
        <v>2012</v>
      </c>
      <c r="V35" s="5357"/>
      <c r="W35" s="5357"/>
      <c r="X35" s="5356">
        <v>2013</v>
      </c>
      <c r="Y35" s="5357"/>
      <c r="Z35" s="5358"/>
      <c r="AA35" s="5356">
        <v>2014</v>
      </c>
      <c r="AB35" s="5357"/>
      <c r="AC35" s="5358"/>
      <c r="AD35" s="5359">
        <v>2015</v>
      </c>
      <c r="AE35" s="5360"/>
      <c r="AF35" s="5361"/>
      <c r="AG35" s="5359">
        <v>2016</v>
      </c>
      <c r="AH35" s="5360"/>
      <c r="AI35" s="5361"/>
      <c r="AJ35" s="5359">
        <v>2017</v>
      </c>
      <c r="AK35" s="5360"/>
      <c r="AL35" s="5361"/>
      <c r="AM35" s="5359">
        <v>2018</v>
      </c>
      <c r="AN35" s="5360"/>
      <c r="AO35" s="5361"/>
    </row>
    <row r="36" spans="1:41" ht="14.45" customHeight="1">
      <c r="A36" s="5386"/>
      <c r="B36" s="603" t="s">
        <v>225</v>
      </c>
      <c r="C36" s="362" t="s">
        <v>228</v>
      </c>
      <c r="D36" s="362" t="s">
        <v>226</v>
      </c>
      <c r="E36" s="362" t="s">
        <v>229</v>
      </c>
      <c r="F36" s="603" t="s">
        <v>225</v>
      </c>
      <c r="G36" s="362" t="s">
        <v>228</v>
      </c>
      <c r="H36" s="362" t="s">
        <v>226</v>
      </c>
      <c r="I36" s="362" t="s">
        <v>229</v>
      </c>
      <c r="J36" s="603" t="s">
        <v>225</v>
      </c>
      <c r="K36" s="362" t="s">
        <v>228</v>
      </c>
      <c r="L36" s="362" t="s">
        <v>226</v>
      </c>
      <c r="M36" s="362" t="s">
        <v>229</v>
      </c>
      <c r="N36" s="604" t="s">
        <v>623</v>
      </c>
      <c r="O36" s="297" t="s">
        <v>228</v>
      </c>
      <c r="P36" s="297" t="s">
        <v>226</v>
      </c>
      <c r="Q36" s="297" t="s">
        <v>229</v>
      </c>
      <c r="R36" s="604" t="s">
        <v>623</v>
      </c>
      <c r="S36" s="297" t="s">
        <v>228</v>
      </c>
      <c r="T36" s="297" t="s">
        <v>229</v>
      </c>
      <c r="U36" s="604" t="s">
        <v>623</v>
      </c>
      <c r="V36" s="297" t="s">
        <v>228</v>
      </c>
      <c r="W36" s="297" t="s">
        <v>229</v>
      </c>
      <c r="X36" s="604" t="s">
        <v>623</v>
      </c>
      <c r="Y36" s="297" t="s">
        <v>228</v>
      </c>
      <c r="Z36" s="297" t="s">
        <v>229</v>
      </c>
      <c r="AA36" s="604" t="s">
        <v>623</v>
      </c>
      <c r="AB36" s="297" t="s">
        <v>228</v>
      </c>
      <c r="AC36" s="297" t="s">
        <v>229</v>
      </c>
      <c r="AD36" s="1969" t="s">
        <v>623</v>
      </c>
      <c r="AE36" s="1932" t="s">
        <v>228</v>
      </c>
      <c r="AF36" s="1932" t="s">
        <v>229</v>
      </c>
      <c r="AG36" s="1969" t="s">
        <v>623</v>
      </c>
      <c r="AH36" s="1932" t="s">
        <v>228</v>
      </c>
      <c r="AI36" s="1932" t="s">
        <v>229</v>
      </c>
      <c r="AJ36" s="1969" t="s">
        <v>623</v>
      </c>
      <c r="AK36" s="1932" t="s">
        <v>228</v>
      </c>
      <c r="AL36" s="1932" t="s">
        <v>229</v>
      </c>
      <c r="AM36" s="1969" t="s">
        <v>623</v>
      </c>
      <c r="AN36" s="1932" t="s">
        <v>228</v>
      </c>
      <c r="AO36" s="1932" t="s">
        <v>229</v>
      </c>
    </row>
    <row r="37" spans="1:41" ht="14.45" customHeight="1">
      <c r="A37" s="583" t="s">
        <v>841</v>
      </c>
      <c r="B37" s="584"/>
      <c r="C37" s="585"/>
      <c r="D37" s="586"/>
      <c r="E37" s="587"/>
      <c r="F37" s="584"/>
      <c r="G37" s="585"/>
      <c r="H37" s="586"/>
      <c r="I37" s="587"/>
      <c r="J37" s="584"/>
      <c r="K37" s="585"/>
      <c r="L37" s="586"/>
      <c r="M37" s="587"/>
      <c r="N37" s="584"/>
      <c r="O37" s="585"/>
      <c r="P37" s="586"/>
      <c r="Q37" s="587"/>
      <c r="R37" s="584"/>
      <c r="S37" s="585"/>
      <c r="T37" s="587"/>
      <c r="U37" s="584"/>
      <c r="V37" s="585"/>
      <c r="W37" s="587"/>
      <c r="X37" s="584"/>
      <c r="Y37" s="585"/>
      <c r="Z37" s="587"/>
      <c r="AA37" s="584"/>
      <c r="AB37" s="585"/>
      <c r="AC37" s="587"/>
      <c r="AD37" s="1958"/>
      <c r="AE37" s="1959"/>
      <c r="AF37" s="1960"/>
      <c r="AG37" s="1958"/>
      <c r="AH37" s="1959"/>
      <c r="AI37" s="1960"/>
      <c r="AJ37" s="1958"/>
      <c r="AK37" s="1959"/>
      <c r="AL37" s="1960"/>
      <c r="AM37" s="1958"/>
      <c r="AN37" s="1959"/>
      <c r="AO37" s="1960"/>
    </row>
    <row r="38" spans="1:41" ht="14.45" customHeight="1">
      <c r="A38" s="26" t="s">
        <v>227</v>
      </c>
      <c r="B38" s="27"/>
      <c r="C38" s="28"/>
      <c r="D38" s="55"/>
      <c r="E38" s="29"/>
      <c r="F38" s="27"/>
      <c r="G38" s="28"/>
      <c r="H38" s="55"/>
      <c r="I38" s="29"/>
      <c r="J38" s="27"/>
      <c r="K38" s="28"/>
      <c r="L38" s="55"/>
      <c r="M38" s="29"/>
      <c r="N38" s="27"/>
      <c r="O38" s="28"/>
      <c r="P38" s="55"/>
      <c r="Q38" s="29"/>
      <c r="R38" s="27"/>
      <c r="S38" s="28"/>
      <c r="T38" s="29"/>
      <c r="U38" s="27"/>
      <c r="V38" s="28">
        <v>4</v>
      </c>
      <c r="W38" s="29"/>
      <c r="X38" s="27"/>
      <c r="Y38" s="28">
        <v>5</v>
      </c>
      <c r="Z38" s="29"/>
      <c r="AA38" s="27"/>
      <c r="AB38" s="28">
        <v>5</v>
      </c>
      <c r="AC38" s="29"/>
      <c r="AD38" s="27"/>
      <c r="AE38" s="28">
        <v>5</v>
      </c>
      <c r="AF38" s="29"/>
      <c r="AG38" s="27"/>
      <c r="AH38" s="28">
        <v>5</v>
      </c>
      <c r="AI38" s="29"/>
      <c r="AJ38" s="27"/>
      <c r="AK38" s="28">
        <v>6</v>
      </c>
      <c r="AL38" s="29"/>
      <c r="AM38" s="27"/>
      <c r="AN38" s="28">
        <v>7</v>
      </c>
      <c r="AO38" s="29"/>
    </row>
    <row r="39" spans="1:41" ht="17.25">
      <c r="A39" s="588" t="s">
        <v>842</v>
      </c>
      <c r="B39" s="589"/>
      <c r="C39" s="590"/>
      <c r="D39" s="591"/>
      <c r="E39" s="592"/>
      <c r="F39" s="589"/>
      <c r="G39" s="590"/>
      <c r="H39" s="591"/>
      <c r="I39" s="592"/>
      <c r="J39" s="589"/>
      <c r="K39" s="590"/>
      <c r="L39" s="591"/>
      <c r="M39" s="592"/>
      <c r="N39" s="589">
        <v>790</v>
      </c>
      <c r="O39" s="590">
        <f>1176</f>
        <v>1176</v>
      </c>
      <c r="P39" s="591"/>
      <c r="Q39" s="592">
        <f>O39/N39</f>
        <v>1.4886075949367088</v>
      </c>
      <c r="R39" s="589">
        <v>930</v>
      </c>
      <c r="S39" s="590">
        <v>1195</v>
      </c>
      <c r="T39" s="592">
        <f>S39/R39</f>
        <v>1.2849462365591398</v>
      </c>
      <c r="U39" s="589">
        <v>1050</v>
      </c>
      <c r="V39" s="590">
        <v>1219</v>
      </c>
      <c r="W39" s="592">
        <f>V39/U39</f>
        <v>1.160952380952381</v>
      </c>
      <c r="X39" s="589">
        <v>1330</v>
      </c>
      <c r="Y39" s="590">
        <v>1224</v>
      </c>
      <c r="Z39" s="592">
        <f>Y39/X39</f>
        <v>0.92030075187969929</v>
      </c>
      <c r="AA39" s="589">
        <v>1330</v>
      </c>
      <c r="AB39" s="590">
        <v>1248</v>
      </c>
      <c r="AC39" s="592">
        <f>AB39/AA39</f>
        <v>0.93834586466165415</v>
      </c>
      <c r="AD39" s="1961">
        <v>1324</v>
      </c>
      <c r="AE39" s="1962">
        <v>1225</v>
      </c>
      <c r="AF39" s="1963">
        <f>AE39/AD39</f>
        <v>0.92522658610271902</v>
      </c>
      <c r="AG39" s="1961">
        <v>1356</v>
      </c>
      <c r="AH39" s="1962">
        <v>1260</v>
      </c>
      <c r="AI39" s="1963">
        <f>AH39/AG39</f>
        <v>0.92920353982300885</v>
      </c>
      <c r="AJ39" s="1961">
        <v>1454</v>
      </c>
      <c r="AK39" s="1962">
        <v>1238</v>
      </c>
      <c r="AL39" s="1963">
        <f>AK39/AJ39</f>
        <v>0.85144429160935353</v>
      </c>
      <c r="AM39" s="1961">
        <v>1362</v>
      </c>
      <c r="AN39" s="1962">
        <v>1219</v>
      </c>
      <c r="AO39" s="1963">
        <f>AN39/AM39</f>
        <v>0.89500734214390598</v>
      </c>
    </row>
    <row r="40" spans="1:41" ht="14.45" customHeight="1">
      <c r="A40" s="56"/>
      <c r="B40" s="56"/>
      <c r="C40" s="56"/>
      <c r="D40" s="56"/>
      <c r="E40" s="56"/>
      <c r="N40" s="191"/>
      <c r="O40" s="191"/>
      <c r="Q40" s="191"/>
    </row>
    <row r="41" spans="1:41" ht="14.45" customHeight="1">
      <c r="A41" s="5398" t="s">
        <v>444</v>
      </c>
      <c r="B41" s="5400">
        <v>2007</v>
      </c>
      <c r="C41" s="5401"/>
      <c r="D41" s="5401"/>
      <c r="E41" s="5402"/>
      <c r="F41" s="5400">
        <v>2008</v>
      </c>
      <c r="G41" s="5401"/>
      <c r="H41" s="5401"/>
      <c r="I41" s="5402"/>
      <c r="J41" s="5400">
        <v>2009</v>
      </c>
      <c r="K41" s="5401"/>
      <c r="L41" s="5401"/>
      <c r="M41" s="5402"/>
      <c r="N41" s="5395">
        <v>2010</v>
      </c>
      <c r="O41" s="5396"/>
      <c r="P41" s="5396"/>
      <c r="Q41" s="5397"/>
      <c r="R41" s="5395">
        <v>2011</v>
      </c>
      <c r="S41" s="5396"/>
      <c r="T41" s="5397"/>
      <c r="U41" s="5395">
        <v>2012</v>
      </c>
      <c r="V41" s="5396"/>
      <c r="W41" s="5397"/>
      <c r="X41" s="5395">
        <v>2013</v>
      </c>
      <c r="Y41" s="5396"/>
      <c r="Z41" s="5397"/>
      <c r="AA41" s="5395">
        <v>2014</v>
      </c>
      <c r="AB41" s="5396"/>
      <c r="AC41" s="5397"/>
      <c r="AD41" s="5362">
        <v>2015</v>
      </c>
      <c r="AE41" s="5363"/>
      <c r="AF41" s="5364"/>
      <c r="AG41" s="5362">
        <v>2016</v>
      </c>
      <c r="AH41" s="5363"/>
      <c r="AI41" s="5364"/>
      <c r="AJ41" s="5362">
        <v>2017</v>
      </c>
      <c r="AK41" s="5363"/>
      <c r="AL41" s="5364"/>
      <c r="AM41" s="5362">
        <v>2018</v>
      </c>
      <c r="AN41" s="5363"/>
      <c r="AO41" s="5364"/>
    </row>
    <row r="42" spans="1:41" ht="14.45" customHeight="1">
      <c r="A42" s="5399"/>
      <c r="B42" s="605" t="s">
        <v>225</v>
      </c>
      <c r="C42" s="606" t="s">
        <v>228</v>
      </c>
      <c r="D42" s="606"/>
      <c r="E42" s="606" t="s">
        <v>229</v>
      </c>
      <c r="F42" s="605" t="s">
        <v>225</v>
      </c>
      <c r="G42" s="606" t="s">
        <v>228</v>
      </c>
      <c r="H42" s="606"/>
      <c r="I42" s="606" t="s">
        <v>229</v>
      </c>
      <c r="J42" s="605" t="s">
        <v>225</v>
      </c>
      <c r="K42" s="606" t="s">
        <v>228</v>
      </c>
      <c r="L42" s="606"/>
      <c r="M42" s="606" t="s">
        <v>229</v>
      </c>
      <c r="N42" s="607" t="s">
        <v>623</v>
      </c>
      <c r="O42" s="608" t="s">
        <v>228</v>
      </c>
      <c r="P42" s="608"/>
      <c r="Q42" s="608" t="s">
        <v>229</v>
      </c>
      <c r="R42" s="607" t="s">
        <v>623</v>
      </c>
      <c r="S42" s="608" t="s">
        <v>228</v>
      </c>
      <c r="T42" s="608" t="s">
        <v>229</v>
      </c>
      <c r="U42" s="607" t="s">
        <v>623</v>
      </c>
      <c r="V42" s="608" t="s">
        <v>228</v>
      </c>
      <c r="W42" s="608" t="s">
        <v>229</v>
      </c>
      <c r="X42" s="607" t="s">
        <v>623</v>
      </c>
      <c r="Y42" s="608" t="s">
        <v>228</v>
      </c>
      <c r="Z42" s="608" t="s">
        <v>229</v>
      </c>
      <c r="AA42" s="607" t="s">
        <v>623</v>
      </c>
      <c r="AB42" s="608" t="s">
        <v>228</v>
      </c>
      <c r="AC42" s="608" t="s">
        <v>229</v>
      </c>
      <c r="AD42" s="1970" t="s">
        <v>623</v>
      </c>
      <c r="AE42" s="1971" t="s">
        <v>228</v>
      </c>
      <c r="AF42" s="1971" t="s">
        <v>229</v>
      </c>
      <c r="AG42" s="1970" t="s">
        <v>623</v>
      </c>
      <c r="AH42" s="1971" t="s">
        <v>228</v>
      </c>
      <c r="AI42" s="1971" t="s">
        <v>229</v>
      </c>
      <c r="AJ42" s="1970" t="s">
        <v>623</v>
      </c>
      <c r="AK42" s="1971" t="s">
        <v>228</v>
      </c>
      <c r="AL42" s="1971" t="s">
        <v>229</v>
      </c>
      <c r="AM42" s="1970" t="s">
        <v>623</v>
      </c>
      <c r="AN42" s="1971" t="s">
        <v>228</v>
      </c>
      <c r="AO42" s="1971" t="s">
        <v>229</v>
      </c>
    </row>
    <row r="43" spans="1:41" ht="17.25">
      <c r="A43" s="583" t="s">
        <v>841</v>
      </c>
      <c r="B43" s="609">
        <f t="shared" ref="B43:C45" si="0">SUM(B7,B13,B19,B31)</f>
        <v>2288</v>
      </c>
      <c r="C43" s="610">
        <f t="shared" si="0"/>
        <v>40155</v>
      </c>
      <c r="D43" s="611"/>
      <c r="E43" s="612">
        <f>C43/B43</f>
        <v>17.550262237762237</v>
      </c>
      <c r="F43" s="609">
        <f t="shared" ref="F43:G45" si="1">SUM(F7,F13,F19,F31)</f>
        <v>2695</v>
      </c>
      <c r="G43" s="610">
        <f t="shared" si="1"/>
        <v>40612</v>
      </c>
      <c r="H43" s="610"/>
      <c r="I43" s="613">
        <f>G43/F43</f>
        <v>15.06938775510204</v>
      </c>
      <c r="J43" s="609">
        <f t="shared" ref="J43:K45" si="2">SUM(J7,J13,J19,J31)</f>
        <v>2965</v>
      </c>
      <c r="K43" s="610">
        <f t="shared" si="2"/>
        <v>41429</v>
      </c>
      <c r="L43" s="610"/>
      <c r="M43" s="613">
        <f>K43/J43</f>
        <v>13.972681281618888</v>
      </c>
      <c r="N43" s="609">
        <f>SUM(N7,N13,N19,N31)</f>
        <v>3292</v>
      </c>
      <c r="O43" s="610">
        <f>SUM(O7,O13,O19,O31)</f>
        <v>43350</v>
      </c>
      <c r="P43" s="614"/>
      <c r="Q43" s="119">
        <f>O43/N43</f>
        <v>13.168286755771568</v>
      </c>
      <c r="R43" s="609">
        <f t="shared" ref="R43:S45" si="3">SUM(R7,R13,R19,R25,R31,R37)</f>
        <v>3756</v>
      </c>
      <c r="S43" s="610">
        <f t="shared" si="3"/>
        <v>43920</v>
      </c>
      <c r="T43" s="119">
        <f>S43/R43</f>
        <v>11.693290734824281</v>
      </c>
      <c r="U43" s="609">
        <f t="shared" ref="U43:V45" si="4">SUM(U7,U13,U19,U25,U31,U37)</f>
        <v>4519</v>
      </c>
      <c r="V43" s="610">
        <f t="shared" si="4"/>
        <v>45040</v>
      </c>
      <c r="W43" s="119">
        <f>V43/U43</f>
        <v>9.9668068156671836</v>
      </c>
      <c r="X43" s="609">
        <f t="shared" ref="X43:Y45" si="5">SUM(X7,X13,X19,X25,X31,X37)</f>
        <v>5024</v>
      </c>
      <c r="Y43" s="610">
        <f t="shared" si="5"/>
        <v>46665</v>
      </c>
      <c r="Z43" s="119">
        <f>Y43/X43</f>
        <v>9.2884156050955422</v>
      </c>
      <c r="AA43" s="609">
        <f t="shared" ref="AA43:AB45" si="6">SUM(AA7,AA13,AA19,AA25,AA31,AA37)</f>
        <v>5116</v>
      </c>
      <c r="AB43" s="610">
        <f t="shared" si="6"/>
        <v>47551</v>
      </c>
      <c r="AC43" s="119">
        <f>AB43/AA43</f>
        <v>9.2945660672400319</v>
      </c>
      <c r="AD43" s="1972">
        <f t="shared" ref="AD43:AE45" si="7">SUM(AD7,AD13,AD19,AD25,AD31,AD37)</f>
        <v>5434</v>
      </c>
      <c r="AE43" s="1973">
        <f t="shared" si="7"/>
        <v>47865</v>
      </c>
      <c r="AF43" s="119">
        <f>AE43/AD43</f>
        <v>8.8084284136915709</v>
      </c>
      <c r="AG43" s="2138">
        <f t="shared" ref="AG43:AH43" si="8">SUM(AG7,AG13,AG19,AG25,AG31,AG37)</f>
        <v>4520</v>
      </c>
      <c r="AH43" s="1973">
        <f t="shared" si="8"/>
        <v>48182</v>
      </c>
      <c r="AI43" s="119">
        <f>AH43/AG43</f>
        <v>10.659734513274337</v>
      </c>
      <c r="AJ43" s="2138">
        <f t="shared" ref="AJ43:AK43" si="9">SUM(AJ7,AJ13,AJ19,AJ25,AJ31,AJ37)</f>
        <v>4509</v>
      </c>
      <c r="AK43" s="1973">
        <f t="shared" si="9"/>
        <v>48385</v>
      </c>
      <c r="AL43" s="119">
        <f>AK43/AJ43</f>
        <v>10.73076070082058</v>
      </c>
      <c r="AM43" s="2138">
        <f t="shared" ref="AM43:AN44" si="10">SUM(AM7,AM13,AM19,AM25,AM31,AM37)</f>
        <v>4594</v>
      </c>
      <c r="AN43" s="1973">
        <f t="shared" si="10"/>
        <v>49178</v>
      </c>
      <c r="AO43" s="238">
        <f>AN43/AM43</f>
        <v>10.70483239007401</v>
      </c>
    </row>
    <row r="44" spans="1:41" ht="14.45" customHeight="1">
      <c r="A44" s="26" t="s">
        <v>227</v>
      </c>
      <c r="B44" s="57">
        <f t="shared" si="0"/>
        <v>2353</v>
      </c>
      <c r="C44" s="52">
        <f t="shared" si="0"/>
        <v>2495</v>
      </c>
      <c r="D44" s="33"/>
      <c r="E44" s="58">
        <f t="shared" ref="E44:E45" si="11">C44/B44</f>
        <v>1.0603484912877179</v>
      </c>
      <c r="F44" s="57">
        <f t="shared" si="1"/>
        <v>2433</v>
      </c>
      <c r="G44" s="52">
        <f t="shared" si="1"/>
        <v>2520</v>
      </c>
      <c r="H44" s="52"/>
      <c r="I44" s="59">
        <f t="shared" ref="I44:I45" si="12">G44/F44</f>
        <v>1.0357583230579532</v>
      </c>
      <c r="J44" s="57">
        <f t="shared" si="2"/>
        <v>2494</v>
      </c>
      <c r="K44" s="52">
        <f t="shared" si="2"/>
        <v>2537</v>
      </c>
      <c r="L44" s="52"/>
      <c r="M44" s="59">
        <f t="shared" ref="M44:M45" si="13">K44/J44</f>
        <v>1.0172413793103448</v>
      </c>
      <c r="N44" s="57">
        <f>SUM(N8,N14,N20,N32)</f>
        <v>2618</v>
      </c>
      <c r="O44" s="52">
        <f>SUM(O8,O14,O20,O32)</f>
        <v>4296</v>
      </c>
      <c r="P44" s="105"/>
      <c r="Q44" s="119">
        <f>O44/N44</f>
        <v>1.6409472880061116</v>
      </c>
      <c r="R44" s="57">
        <f t="shared" si="3"/>
        <v>4271</v>
      </c>
      <c r="S44" s="52">
        <f t="shared" si="3"/>
        <v>4376</v>
      </c>
      <c r="T44" s="119">
        <f>S44/R44</f>
        <v>1.0245844064621867</v>
      </c>
      <c r="U44" s="57">
        <f t="shared" si="4"/>
        <v>4179</v>
      </c>
      <c r="V44" s="52">
        <f t="shared" si="4"/>
        <v>4412</v>
      </c>
      <c r="W44" s="119">
        <f>V44/U44</f>
        <v>1.0557549653027041</v>
      </c>
      <c r="X44" s="57">
        <f t="shared" si="5"/>
        <v>6752</v>
      </c>
      <c r="Y44" s="52">
        <f t="shared" si="5"/>
        <v>4416</v>
      </c>
      <c r="Z44" s="119">
        <f>Y44/X44</f>
        <v>0.65402843601895733</v>
      </c>
      <c r="AA44" s="57">
        <f t="shared" si="6"/>
        <v>7083</v>
      </c>
      <c r="AB44" s="52">
        <f t="shared" si="6"/>
        <v>4454</v>
      </c>
      <c r="AC44" s="119">
        <f>AB44/AA44</f>
        <v>0.62882959198079913</v>
      </c>
      <c r="AD44" s="57">
        <f t="shared" si="7"/>
        <v>5095</v>
      </c>
      <c r="AE44" s="52">
        <f t="shared" si="7"/>
        <v>4445</v>
      </c>
      <c r="AF44" s="119">
        <f>AE44/AD44</f>
        <v>0.87242394504416099</v>
      </c>
      <c r="AG44" s="206">
        <f t="shared" ref="AG44:AH44" si="14">SUM(AG8,AG14,AG20,AG26,AG32,AG38)</f>
        <v>5713</v>
      </c>
      <c r="AH44" s="52">
        <f t="shared" si="14"/>
        <v>4441</v>
      </c>
      <c r="AI44" s="119">
        <f>AH44/AG44</f>
        <v>0.7773499037283389</v>
      </c>
      <c r="AJ44" s="206">
        <f t="shared" ref="AJ44" si="15">SUM(AJ8,AJ14,AJ20,AJ26,AJ32,AJ38)</f>
        <v>6239</v>
      </c>
      <c r="AK44" s="52">
        <f>SUM(AK8,AK14,AK20,AK26,AK32,AK38)</f>
        <v>4404</v>
      </c>
      <c r="AL44" s="119">
        <f>AK44/AJ44</f>
        <v>0.70588235294117652</v>
      </c>
      <c r="AM44" s="206">
        <f t="shared" si="10"/>
        <v>6065</v>
      </c>
      <c r="AN44" s="52">
        <f>SUM(AN8,AN14,AN20,AN26,AN32,AN38)</f>
        <v>4426</v>
      </c>
      <c r="AO44" s="238">
        <f>AN44/AM44</f>
        <v>0.72976092333058529</v>
      </c>
    </row>
    <row r="45" spans="1:41" ht="17.25">
      <c r="A45" s="588" t="s">
        <v>842</v>
      </c>
      <c r="B45" s="615">
        <f t="shared" si="0"/>
        <v>798</v>
      </c>
      <c r="C45" s="616">
        <f t="shared" si="0"/>
        <v>615</v>
      </c>
      <c r="D45" s="617"/>
      <c r="E45" s="618">
        <f t="shared" si="11"/>
        <v>0.77067669172932329</v>
      </c>
      <c r="F45" s="615">
        <f t="shared" si="1"/>
        <v>847</v>
      </c>
      <c r="G45" s="616">
        <f t="shared" si="1"/>
        <v>660</v>
      </c>
      <c r="H45" s="616"/>
      <c r="I45" s="619">
        <f t="shared" si="12"/>
        <v>0.77922077922077926</v>
      </c>
      <c r="J45" s="615">
        <f t="shared" si="2"/>
        <v>863</v>
      </c>
      <c r="K45" s="616">
        <f t="shared" si="2"/>
        <v>685</v>
      </c>
      <c r="L45" s="616"/>
      <c r="M45" s="619">
        <f t="shared" si="13"/>
        <v>0.79374275782155268</v>
      </c>
      <c r="N45" s="615">
        <f>SUM(N9,N15,N21,N33,N39)</f>
        <v>1698</v>
      </c>
      <c r="O45" s="616">
        <f>SUM(O9,O15,O21,O33,O39)</f>
        <v>5173</v>
      </c>
      <c r="P45" s="620"/>
      <c r="Q45" s="621">
        <f t="shared" ref="Q45" si="16">O45/N45</f>
        <v>3.0465253239104828</v>
      </c>
      <c r="R45" s="615">
        <f t="shared" si="3"/>
        <v>2614</v>
      </c>
      <c r="S45" s="616">
        <f t="shared" si="3"/>
        <v>5332</v>
      </c>
      <c r="T45" s="621">
        <f>S45/R45</f>
        <v>2.039785768936496</v>
      </c>
      <c r="U45" s="615">
        <f t="shared" si="4"/>
        <v>3212</v>
      </c>
      <c r="V45" s="616">
        <f t="shared" si="4"/>
        <v>5383</v>
      </c>
      <c r="W45" s="621">
        <f>V45/U45</f>
        <v>1.6759028642590286</v>
      </c>
      <c r="X45" s="615">
        <f t="shared" si="5"/>
        <v>5813</v>
      </c>
      <c r="Y45" s="616">
        <f t="shared" si="5"/>
        <v>5425</v>
      </c>
      <c r="Z45" s="621">
        <f>Y45/X45</f>
        <v>0.93325305350077414</v>
      </c>
      <c r="AA45" s="615">
        <f t="shared" si="6"/>
        <v>5916</v>
      </c>
      <c r="AB45" s="616">
        <f t="shared" si="6"/>
        <v>5480</v>
      </c>
      <c r="AC45" s="621">
        <f>AB45/AA45</f>
        <v>0.9263015551048005</v>
      </c>
      <c r="AD45" s="1974">
        <f t="shared" si="7"/>
        <v>3779</v>
      </c>
      <c r="AE45" s="1975">
        <f t="shared" si="7"/>
        <v>5447</v>
      </c>
      <c r="AF45" s="2101">
        <f>AE45/AD45</f>
        <v>1.4413866102143424</v>
      </c>
      <c r="AG45" s="2139">
        <f t="shared" ref="AG45:AH45" si="17">SUM(AG9,AG15,AG21,AG27,AG33,AG39)</f>
        <v>4485</v>
      </c>
      <c r="AH45" s="1975">
        <f t="shared" si="17"/>
        <v>5511</v>
      </c>
      <c r="AI45" s="2101">
        <f>AH45/AG45</f>
        <v>1.22876254180602</v>
      </c>
      <c r="AJ45" s="2139">
        <f t="shared" ref="AJ45:AK45" si="18">SUM(AJ9,AJ15,AJ21,AJ27,AJ33,AJ39)</f>
        <v>4760</v>
      </c>
      <c r="AK45" s="1975">
        <f t="shared" si="18"/>
        <v>5463</v>
      </c>
      <c r="AL45" s="2101">
        <f>AK45/AJ45</f>
        <v>1.147689075630252</v>
      </c>
      <c r="AM45" s="2139">
        <f t="shared" ref="AM45:AN45" si="19">SUM(AM9,AM15,AM21,AM27,AM33,AM39)</f>
        <v>6374</v>
      </c>
      <c r="AN45" s="1975">
        <f t="shared" si="19"/>
        <v>5492</v>
      </c>
      <c r="AO45" s="1976">
        <f>AN45/AM45</f>
        <v>0.86162535299654852</v>
      </c>
    </row>
    <row r="46" spans="1:41" ht="15" customHeight="1">
      <c r="B46" s="622"/>
      <c r="C46" s="622"/>
      <c r="D46" s="622"/>
      <c r="E46" s="622"/>
      <c r="O46" s="2"/>
      <c r="R46" s="122"/>
      <c r="U46" s="122"/>
      <c r="X46" s="252" t="s">
        <v>820</v>
      </c>
    </row>
    <row r="47" spans="1:41" ht="14.45" customHeight="1">
      <c r="A47" s="288" t="s">
        <v>843</v>
      </c>
      <c r="B47" s="288"/>
      <c r="C47" s="288"/>
      <c r="D47" s="288"/>
      <c r="E47" s="288"/>
      <c r="N47" s="2"/>
      <c r="O47" s="2"/>
    </row>
    <row r="48" spans="1:41" ht="14.45" customHeight="1">
      <c r="A48" s="285" t="s">
        <v>844</v>
      </c>
      <c r="B48" s="288"/>
      <c r="C48" s="288"/>
      <c r="D48" s="288"/>
      <c r="E48" s="288"/>
    </row>
    <row r="49" spans="1:1">
      <c r="A49" s="288" t="s">
        <v>233</v>
      </c>
    </row>
  </sheetData>
  <mergeCells count="91">
    <mergeCell ref="AM35:AO35"/>
    <mergeCell ref="AM41:AO41"/>
    <mergeCell ref="AM5:AO5"/>
    <mergeCell ref="AM11:AO11"/>
    <mergeCell ref="AM17:AO17"/>
    <mergeCell ref="AM23:AO23"/>
    <mergeCell ref="AM29:AO29"/>
    <mergeCell ref="AJ35:AL35"/>
    <mergeCell ref="AJ41:AL41"/>
    <mergeCell ref="AJ5:AL5"/>
    <mergeCell ref="AJ11:AL11"/>
    <mergeCell ref="AJ17:AL17"/>
    <mergeCell ref="AJ23:AL23"/>
    <mergeCell ref="AJ29:AL29"/>
    <mergeCell ref="AG35:AI35"/>
    <mergeCell ref="AG41:AI41"/>
    <mergeCell ref="AG5:AI5"/>
    <mergeCell ref="AG11:AI11"/>
    <mergeCell ref="AG17:AI17"/>
    <mergeCell ref="AG23:AI23"/>
    <mergeCell ref="AG29:AI29"/>
    <mergeCell ref="A41:A42"/>
    <mergeCell ref="B41:E41"/>
    <mergeCell ref="F41:I41"/>
    <mergeCell ref="J41:M41"/>
    <mergeCell ref="N41:Q41"/>
    <mergeCell ref="AA35:AC35"/>
    <mergeCell ref="R29:T29"/>
    <mergeCell ref="U29:W29"/>
    <mergeCell ref="R41:T41"/>
    <mergeCell ref="U41:W41"/>
    <mergeCell ref="X41:Z41"/>
    <mergeCell ref="AA41:AC41"/>
    <mergeCell ref="U23:W23"/>
    <mergeCell ref="X23:Z23"/>
    <mergeCell ref="A35:A36"/>
    <mergeCell ref="B35:E35"/>
    <mergeCell ref="F35:I35"/>
    <mergeCell ref="J35:M35"/>
    <mergeCell ref="N35:Q35"/>
    <mergeCell ref="R35:T35"/>
    <mergeCell ref="U35:W35"/>
    <mergeCell ref="X35:Z35"/>
    <mergeCell ref="J23:M23"/>
    <mergeCell ref="N23:Q23"/>
    <mergeCell ref="A29:A30"/>
    <mergeCell ref="B29:E29"/>
    <mergeCell ref="F29:I29"/>
    <mergeCell ref="J29:M29"/>
    <mergeCell ref="AA23:AC23"/>
    <mergeCell ref="R23:T23"/>
    <mergeCell ref="N29:Q29"/>
    <mergeCell ref="AA29:AC29"/>
    <mergeCell ref="A17:A18"/>
    <mergeCell ref="B17:E17"/>
    <mergeCell ref="F17:I17"/>
    <mergeCell ref="J17:M17"/>
    <mergeCell ref="N17:Q17"/>
    <mergeCell ref="R17:T17"/>
    <mergeCell ref="U17:W17"/>
    <mergeCell ref="X17:Z17"/>
    <mergeCell ref="X29:Z29"/>
    <mergeCell ref="A23:A24"/>
    <mergeCell ref="B23:E23"/>
    <mergeCell ref="F23:I23"/>
    <mergeCell ref="A5:A6"/>
    <mergeCell ref="B5:E5"/>
    <mergeCell ref="F5:I5"/>
    <mergeCell ref="J5:M5"/>
    <mergeCell ref="N5:Q5"/>
    <mergeCell ref="A11:A12"/>
    <mergeCell ref="B11:E11"/>
    <mergeCell ref="F11:I11"/>
    <mergeCell ref="J11:M11"/>
    <mergeCell ref="N11:Q11"/>
    <mergeCell ref="R5:T5"/>
    <mergeCell ref="U5:W5"/>
    <mergeCell ref="AD35:AF35"/>
    <mergeCell ref="AD41:AF41"/>
    <mergeCell ref="AD5:AF5"/>
    <mergeCell ref="AD11:AF11"/>
    <mergeCell ref="AD17:AF17"/>
    <mergeCell ref="AD23:AF23"/>
    <mergeCell ref="AD29:AF29"/>
    <mergeCell ref="X5:Z5"/>
    <mergeCell ref="AA5:AC5"/>
    <mergeCell ref="R11:T11"/>
    <mergeCell ref="U11:W11"/>
    <mergeCell ref="X11:Z11"/>
    <mergeCell ref="AA11:AC11"/>
    <mergeCell ref="AA17:AC17"/>
  </mergeCells>
  <dataValidations count="1">
    <dataValidation type="whole" showInputMessage="1" showErrorMessage="1" errorTitle="Validar" error="Se debe declarar valores numéricos que estén en el rango de 0 a 99999999" sqref="K38:K39 R19:R21 S20:S21 K20:K21 N19:N21 O20:O21 F19:F21 B19:B21 J19:J21 G20:G21 C20:C21 R7:R9 S8:S9 K8:K9 N7:N9 O8:O9 F7:F9 B7:B9 J7:J9 G8:G9 C8:C9 N1:O1 F1:G1 B1:C1 J1:K1 C14:C15 N13:N15 G14:G15 F13:F15 B13:B15 J13:J15 K14:K15 O14:O15 R13:R15 S14:S15 R25:R27 S26:S27 K26:K27 N25:N27 O26:O27 F25:F27 B25:B27 J25:J27 G26:G27 C26:C27 R31:R33 S32:S33 N31:N33 G32:G33 F31:F33 B31:B33 J31:J33 O32:O33 K32:K33 C32:C33 C38:C39 N37:N39 G38:G39 F37:F39 B37:B39 J37:J39 O38:O39 R37:R39 S38:S39 U19:U21 V20:V21 U7:U9 V8:V9 U13:U15 V14:V15 U25:U27 V26:V27 U31:U33 V32:V33 U37:U39 V38:V39 X19:X21 Y20:Y21 X7:X9 Y8:Y9 X13:X15 Y14:Y15 X25:X27 Y26:Y27 X31:X33 Y32:Y33 X37:X39 Y38:Y39 AA19:AA21 AB20:AB21 AA37:AA39 AB8:AB9 AB38:AB39 AB14:AB15 AB32:AB33 AB26:AB27 AE26:AE27 AE20:AE21 AD37:AD39 AE8:AE9 AE38:AE39 AE14:AE15 AE32:AE33 AH26:AH27 AH20:AH21 AG37:AG39 AH8:AH9 AH38:AH39 AH14:AH15 AH32:AH33 AK26:AK27 AK20:AK21 AJ37:AJ39 AK8:AK9 AK38:AK39 AK14:AK15 AK32:AK33 AN26:AN27 AN20:AN21 AM37:AM39 AN8:AN9 AN38:AN39 AN14:AN15 AN32:AN33">
      <formula1>0</formula1>
      <formula2>9999999</formula2>
    </dataValidation>
  </dataValidations>
  <pageMargins left="0.31496062992125984" right="0.31496062992125984" top="0.74803149606299213" bottom="0.74803149606299213" header="0.31496062992125984" footer="0.31496062992125984"/>
  <pageSetup scale="73" orientation="portrait" r:id="rId1"/>
  <ignoredErrors>
    <ignoredError sqref="AC43:AC45 AF43:AF45 AI43:AI45 AL43:AL45" formula="1"/>
  </ignoredErrors>
  <drawing r:id="rId2"/>
</worksheet>
</file>

<file path=xl/worksheets/sheet5.xml><?xml version="1.0" encoding="utf-8"?>
<worksheet xmlns="http://schemas.openxmlformats.org/spreadsheetml/2006/main" xmlns:r="http://schemas.openxmlformats.org/officeDocument/2006/relationships">
  <sheetPr>
    <tabColor theme="0"/>
  </sheetPr>
  <dimension ref="A1:FV150"/>
  <sheetViews>
    <sheetView workbookViewId="0">
      <selection activeCell="S7" sqref="S7:S103"/>
    </sheetView>
  </sheetViews>
  <sheetFormatPr baseColWidth="10" defaultRowHeight="15"/>
  <cols>
    <col min="1" max="1" width="11" style="80" bestFit="1" customWidth="1"/>
    <col min="2" max="2" width="6.7109375" style="80" bestFit="1" customWidth="1"/>
    <col min="3" max="3" width="33.42578125" style="80" bestFit="1" customWidth="1"/>
    <col min="4" max="4" width="5.42578125" style="80" bestFit="1" customWidth="1"/>
    <col min="5" max="5" width="10.42578125" style="80" bestFit="1" customWidth="1"/>
    <col min="6" max="6" width="9" style="80" bestFit="1" customWidth="1"/>
    <col min="7" max="7" width="8" style="80" bestFit="1" customWidth="1"/>
    <col min="8" max="8" width="6.7109375" style="80" bestFit="1" customWidth="1"/>
    <col min="9" max="9" width="7.42578125" style="80" bestFit="1" customWidth="1"/>
    <col min="10" max="10" width="11.42578125" style="80"/>
    <col min="11" max="11" width="10.28515625" style="80" bestFit="1" customWidth="1"/>
    <col min="12" max="12" width="7.85546875" style="80" bestFit="1" customWidth="1"/>
    <col min="13" max="13" width="8.7109375" style="80" bestFit="1" customWidth="1"/>
    <col min="14" max="14" width="7.5703125" style="80" bestFit="1" customWidth="1"/>
    <col min="15" max="15" width="9" style="80" bestFit="1" customWidth="1"/>
    <col min="16" max="16" width="8" style="80" bestFit="1" customWidth="1"/>
    <col min="17" max="17" width="8.85546875" style="80" bestFit="1" customWidth="1"/>
    <col min="18" max="18" width="5.28515625" style="80" bestFit="1" customWidth="1"/>
    <col min="19" max="19" width="13.28515625" style="80" customWidth="1"/>
    <col min="20" max="20" width="11.42578125" style="1"/>
    <col min="21" max="21" width="13.140625" style="1" customWidth="1"/>
    <col min="22" max="22" width="8.140625" style="1" bestFit="1" customWidth="1"/>
    <col min="23" max="23" width="31.85546875" style="1" bestFit="1" customWidth="1"/>
    <col min="24" max="24" width="5.42578125" style="1" bestFit="1" customWidth="1"/>
    <col min="25" max="25" width="8" style="1" bestFit="1" customWidth="1"/>
    <col min="26" max="26" width="9" style="1" bestFit="1" customWidth="1"/>
    <col min="27" max="27" width="8" style="1" bestFit="1" customWidth="1"/>
    <col min="28" max="28" width="6.7109375" style="1" bestFit="1" customWidth="1"/>
    <col min="29" max="29" width="7.42578125" style="1" bestFit="1" customWidth="1"/>
    <col min="30" max="30" width="10.5703125" style="1" bestFit="1" customWidth="1"/>
    <col min="31" max="31" width="10.28515625" style="1" bestFit="1" customWidth="1"/>
    <col min="32" max="32" width="7.85546875" style="1" bestFit="1" customWidth="1"/>
    <col min="33" max="33" width="8.7109375" style="1" bestFit="1" customWidth="1"/>
    <col min="34" max="34" width="7.5703125" style="1" bestFit="1" customWidth="1"/>
    <col min="35" max="35" width="9" style="1" bestFit="1" customWidth="1"/>
    <col min="36" max="36" width="8" style="1" bestFit="1" customWidth="1"/>
    <col min="37" max="37" width="8.85546875" style="1" bestFit="1" customWidth="1"/>
    <col min="38" max="38" width="5.28515625" style="1" bestFit="1" customWidth="1"/>
    <col min="39" max="39" width="9.28515625" style="1" bestFit="1" customWidth="1"/>
    <col min="40" max="40" width="11.42578125" style="1"/>
    <col min="41" max="41" width="11.85546875" style="1" customWidth="1"/>
    <col min="42" max="42" width="8.85546875" style="1" customWidth="1"/>
    <col min="43" max="43" width="31.85546875" style="1" bestFit="1" customWidth="1"/>
    <col min="44" max="44" width="5.42578125" style="1" bestFit="1" customWidth="1"/>
    <col min="45" max="45" width="8" style="1" bestFit="1" customWidth="1"/>
    <col min="46" max="46" width="9" style="1" bestFit="1" customWidth="1"/>
    <col min="47" max="47" width="8" style="1" bestFit="1" customWidth="1"/>
    <col min="48" max="48" width="6.7109375" style="1" bestFit="1" customWidth="1"/>
    <col min="49" max="49" width="7.42578125" style="1" bestFit="1" customWidth="1"/>
    <col min="50" max="50" width="11.42578125" style="1" bestFit="1" customWidth="1"/>
    <col min="51" max="51" width="10.28515625" style="1" bestFit="1" customWidth="1"/>
    <col min="52" max="52" width="7.85546875" style="1" bestFit="1" customWidth="1"/>
    <col min="53" max="53" width="8.28515625" style="1" bestFit="1" customWidth="1"/>
    <col min="54" max="54" width="7.5703125" style="1" bestFit="1" customWidth="1"/>
    <col min="55" max="55" width="8.5703125" style="1" bestFit="1" customWidth="1"/>
    <col min="56" max="56" width="8" style="1" bestFit="1" customWidth="1"/>
    <col min="57" max="57" width="8.42578125" style="1" bestFit="1" customWidth="1"/>
    <col min="58" max="58" width="5.28515625" style="1" bestFit="1" customWidth="1"/>
    <col min="59" max="59" width="18.85546875" style="1" customWidth="1"/>
    <col min="60" max="60" width="8.7109375" style="1" customWidth="1"/>
    <col min="61" max="61" width="10.85546875" style="1" customWidth="1"/>
    <col min="62" max="62" width="8.7109375" style="1" customWidth="1"/>
    <col min="63" max="63" width="31.85546875" style="1" bestFit="1" customWidth="1"/>
    <col min="64" max="80" width="8.7109375" style="1" customWidth="1"/>
    <col min="81" max="81" width="11.28515625" style="163" customWidth="1"/>
    <col min="82" max="82" width="6.7109375" style="163" bestFit="1" customWidth="1"/>
    <col min="83" max="83" width="31.85546875" style="80" bestFit="1" customWidth="1"/>
    <col min="84" max="84" width="5.42578125" style="80" bestFit="1" customWidth="1"/>
    <col min="85" max="85" width="8" style="80" bestFit="1" customWidth="1"/>
    <col min="86" max="86" width="9" style="80" bestFit="1" customWidth="1"/>
    <col min="87" max="87" width="8" style="80" bestFit="1" customWidth="1"/>
    <col min="88" max="88" width="6.7109375" style="80" bestFit="1" customWidth="1"/>
    <col min="89" max="89" width="7.42578125" style="80" bestFit="1" customWidth="1"/>
    <col min="90" max="90" width="11.42578125" style="80" bestFit="1" customWidth="1"/>
    <col min="91" max="91" width="7.42578125" style="80" bestFit="1" customWidth="1"/>
    <col min="92" max="93" width="7.85546875" style="80" bestFit="1" customWidth="1"/>
    <col min="94" max="94" width="7.5703125" style="80" bestFit="1" customWidth="1"/>
    <col min="95" max="95" width="8" style="80" bestFit="1" customWidth="1"/>
    <col min="96" max="96" width="12.5703125" style="80" customWidth="1"/>
    <col min="97" max="97" width="5.7109375" style="80" customWidth="1"/>
    <col min="98" max="98" width="11.140625" style="80" customWidth="1"/>
    <col min="99" max="99" width="7" style="1" customWidth="1"/>
    <col min="100" max="100" width="12.7109375" style="1" customWidth="1"/>
    <col min="101" max="101" width="7.28515625" style="1" bestFit="1" customWidth="1"/>
    <col min="102" max="102" width="31.85546875" style="1" bestFit="1" customWidth="1"/>
    <col min="103" max="103" width="6" style="1" bestFit="1" customWidth="1"/>
    <col min="104" max="104" width="11.85546875" style="1" bestFit="1" customWidth="1"/>
    <col min="105" max="105" width="9" style="1" bestFit="1" customWidth="1"/>
    <col min="106" max="106" width="8.42578125" style="1" bestFit="1" customWidth="1"/>
    <col min="107" max="107" width="7.42578125" style="1" bestFit="1" customWidth="1"/>
    <col min="108" max="108" width="8.7109375" style="1" bestFit="1" customWidth="1"/>
    <col min="109" max="109" width="11.42578125" style="1" bestFit="1" customWidth="1"/>
    <col min="110" max="110" width="10.28515625" style="1" bestFit="1" customWidth="1"/>
    <col min="111" max="112" width="8.7109375" style="1" bestFit="1" customWidth="1"/>
    <col min="113" max="113" width="8.85546875" style="1" bestFit="1" customWidth="1"/>
    <col min="114" max="114" width="8" style="1" bestFit="1" customWidth="1"/>
    <col min="115" max="115" width="12.7109375" style="1" bestFit="1" customWidth="1"/>
    <col min="116" max="116" width="5.28515625" style="1" bestFit="1" customWidth="1"/>
    <col min="117" max="117" width="8.140625" style="1" bestFit="1" customWidth="1"/>
    <col min="118" max="118" width="12.7109375" style="1" customWidth="1"/>
    <col min="119" max="119" width="10.5703125" style="1" customWidth="1"/>
    <col min="120" max="120" width="6.7109375" style="1" bestFit="1" customWidth="1"/>
    <col min="121" max="121" width="28.7109375" style="1" bestFit="1" customWidth="1"/>
    <col min="122" max="122" width="5.42578125" style="1" bestFit="1" customWidth="1"/>
    <col min="123" max="123" width="8.7109375" style="1" customWidth="1"/>
    <col min="124" max="124" width="9" style="1" bestFit="1" customWidth="1"/>
    <col min="125" max="125" width="8" style="1" bestFit="1" customWidth="1"/>
    <col min="126" max="126" width="6.7109375" style="1" bestFit="1" customWidth="1"/>
    <col min="127" max="127" width="7.42578125" style="1" bestFit="1" customWidth="1"/>
    <col min="128" max="128" width="11.5703125" style="1" customWidth="1"/>
    <col min="129" max="129" width="7.85546875" style="1" bestFit="1" customWidth="1"/>
    <col min="130" max="130" width="8.7109375" style="1" bestFit="1" customWidth="1"/>
    <col min="131" max="131" width="7.5703125" style="1" bestFit="1" customWidth="1"/>
    <col min="132" max="132" width="11.5703125" style="1" bestFit="1" customWidth="1"/>
    <col min="133" max="133" width="8" style="1" bestFit="1" customWidth="1"/>
    <col min="134" max="134" width="12.7109375" style="1" bestFit="1" customWidth="1"/>
    <col min="135" max="135" width="9.7109375" style="1" bestFit="1" customWidth="1"/>
    <col min="136" max="138" width="10.5703125" style="1" customWidth="1"/>
    <col min="139" max="139" width="12.42578125" style="237" bestFit="1" customWidth="1"/>
    <col min="140" max="140" width="8.140625" style="237" bestFit="1" customWidth="1"/>
    <col min="141" max="141" width="35.42578125" style="1" bestFit="1" customWidth="1"/>
    <col min="142" max="142" width="6.5703125" style="1" bestFit="1" customWidth="1"/>
    <col min="143" max="143" width="9.85546875" style="1" bestFit="1" customWidth="1"/>
    <col min="144" max="144" width="11.42578125" style="1"/>
    <col min="145" max="145" width="9.7109375" style="1" bestFit="1" customWidth="1"/>
    <col min="146" max="146" width="8.28515625" style="1" bestFit="1" customWidth="1"/>
    <col min="147" max="147" width="9" style="1" bestFit="1" customWidth="1"/>
    <col min="148" max="148" width="13.85546875" style="1" bestFit="1" customWidth="1"/>
    <col min="149" max="149" width="9.42578125" style="1" bestFit="1" customWidth="1"/>
    <col min="150" max="150" width="10.7109375" style="1" bestFit="1" customWidth="1"/>
    <col min="151" max="151" width="9.5703125" style="1" bestFit="1" customWidth="1"/>
    <col min="152" max="152" width="14.28515625" style="1" bestFit="1" customWidth="1"/>
    <col min="153" max="153" width="10.140625" style="1" bestFit="1" customWidth="1"/>
    <col min="154" max="154" width="15.85546875" style="1" bestFit="1" customWidth="1"/>
    <col min="155" max="155" width="11.5703125" style="1" bestFit="1" customWidth="1"/>
    <col min="156" max="156" width="7.7109375" style="1" customWidth="1"/>
    <col min="157" max="158" width="11.42578125" style="1"/>
    <col min="159" max="159" width="12.28515625" style="1" bestFit="1" customWidth="1"/>
    <col min="160" max="160" width="11.42578125" style="1"/>
    <col min="161" max="161" width="30.42578125" style="1" bestFit="1" customWidth="1"/>
    <col min="162" max="163" width="11.42578125" style="1"/>
    <col min="164" max="164" width="12.140625" style="1" bestFit="1" customWidth="1"/>
    <col min="165" max="167" width="11.42578125" style="1"/>
    <col min="168" max="168" width="14.28515625" style="1" bestFit="1" customWidth="1"/>
    <col min="169" max="172" width="11.42578125" style="1"/>
    <col min="173" max="173" width="16.140625" style="1" bestFit="1" customWidth="1"/>
    <col min="174" max="16384" width="11.42578125" style="1"/>
  </cols>
  <sheetData>
    <row r="1" spans="1:178">
      <c r="V1"/>
      <c r="W1"/>
      <c r="X1"/>
      <c r="Y1"/>
      <c r="Z1"/>
      <c r="AA1"/>
      <c r="AB1"/>
      <c r="AC1"/>
      <c r="AD1"/>
      <c r="AE1"/>
      <c r="AF1"/>
      <c r="AG1"/>
      <c r="AH1"/>
      <c r="AI1"/>
      <c r="AJ1"/>
      <c r="AK1"/>
      <c r="AL1"/>
      <c r="AM1"/>
      <c r="AN1"/>
    </row>
    <row r="2" spans="1:178" ht="15.75">
      <c r="A2" s="1316" t="s">
        <v>2694</v>
      </c>
      <c r="U2" s="1316" t="s">
        <v>2694</v>
      </c>
      <c r="V2"/>
      <c r="W2"/>
      <c r="X2"/>
      <c r="Y2"/>
      <c r="Z2"/>
      <c r="AA2"/>
      <c r="AB2"/>
      <c r="AC2"/>
      <c r="AD2"/>
      <c r="AE2"/>
      <c r="AF2"/>
      <c r="AG2"/>
      <c r="AH2"/>
      <c r="AI2"/>
      <c r="AJ2"/>
      <c r="AK2"/>
      <c r="AL2"/>
      <c r="AM2"/>
      <c r="AN2"/>
      <c r="AO2" s="160" t="s">
        <v>1932</v>
      </c>
      <c r="BI2" s="160" t="s">
        <v>1925</v>
      </c>
      <c r="BJ2"/>
      <c r="BK2"/>
      <c r="BL2"/>
      <c r="BM2"/>
      <c r="BN2"/>
      <c r="BO2"/>
      <c r="BP2"/>
      <c r="BQ2"/>
      <c r="BR2"/>
      <c r="BS2"/>
      <c r="BT2"/>
      <c r="BU2"/>
      <c r="BV2"/>
      <c r="BW2"/>
      <c r="BX2"/>
      <c r="BY2"/>
      <c r="BZ2"/>
      <c r="CA2"/>
      <c r="CC2" s="1451" t="s">
        <v>1534</v>
      </c>
      <c r="CV2" s="678" t="s">
        <v>1277</v>
      </c>
      <c r="DO2" s="679" t="s">
        <v>1278</v>
      </c>
      <c r="EJ2" s="679"/>
      <c r="EK2" s="679"/>
      <c r="EL2" s="679"/>
      <c r="EM2" s="679"/>
      <c r="EN2" s="679"/>
      <c r="EO2" s="679"/>
      <c r="EP2" s="679"/>
      <c r="EQ2" s="679"/>
      <c r="ER2" s="679"/>
      <c r="ES2" s="679"/>
      <c r="ET2" s="679"/>
      <c r="EU2" s="679"/>
      <c r="EV2" s="679"/>
      <c r="EW2" s="679"/>
      <c r="EX2" s="679"/>
      <c r="EY2" s="679"/>
      <c r="EZ2" s="679"/>
      <c r="FA2" s="679"/>
    </row>
    <row r="3" spans="1:178" ht="15.75">
      <c r="A3" s="3198" t="s">
        <v>3950</v>
      </c>
      <c r="U3" s="3198" t="s">
        <v>2696</v>
      </c>
      <c r="V3"/>
      <c r="W3"/>
      <c r="X3"/>
      <c r="Y3"/>
      <c r="Z3"/>
      <c r="AA3"/>
      <c r="AB3"/>
      <c r="AC3"/>
      <c r="AD3"/>
      <c r="AE3"/>
      <c r="AF3"/>
      <c r="AG3"/>
      <c r="AH3"/>
      <c r="AI3"/>
      <c r="AJ3"/>
      <c r="AK3"/>
      <c r="AL3"/>
      <c r="AM3"/>
      <c r="AN3"/>
      <c r="AO3" s="1023" t="s">
        <v>1933</v>
      </c>
      <c r="BI3" s="1023" t="s">
        <v>1926</v>
      </c>
      <c r="BJ3" s="2140"/>
      <c r="BK3" s="2140"/>
      <c r="BL3" s="2140"/>
      <c r="BM3" s="2140"/>
      <c r="BN3" s="2140"/>
      <c r="BO3" s="2140"/>
      <c r="BP3" s="2140"/>
      <c r="BQ3" s="2140"/>
      <c r="BR3" s="2140"/>
      <c r="BS3" s="2140"/>
      <c r="BT3" s="2140"/>
      <c r="BU3" s="2140"/>
      <c r="BV3" s="2140"/>
      <c r="BW3" s="2140"/>
      <c r="BX3" s="2140"/>
      <c r="BY3" s="2140"/>
      <c r="BZ3" s="2140"/>
      <c r="CA3"/>
      <c r="CC3" s="2305" t="s">
        <v>1279</v>
      </c>
      <c r="CD3" s="1452"/>
      <c r="CE3" s="1453"/>
      <c r="CF3" s="1453"/>
      <c r="CG3" s="1453"/>
      <c r="CH3" s="1453"/>
      <c r="CI3" s="1453"/>
      <c r="CJ3" s="1453"/>
      <c r="CK3" s="1453"/>
      <c r="CL3" s="1453"/>
      <c r="CM3" s="1453"/>
      <c r="CN3" s="1453"/>
      <c r="CO3" s="1453"/>
      <c r="CP3" s="1453"/>
      <c r="CQ3" s="1453"/>
      <c r="CR3" s="1453"/>
      <c r="CS3" s="1453"/>
      <c r="CV3" s="2306" t="s">
        <v>1280</v>
      </c>
      <c r="DO3" s="305" t="s">
        <v>1535</v>
      </c>
      <c r="EI3" s="305" t="s">
        <v>1536</v>
      </c>
      <c r="EJ3" s="305"/>
      <c r="EK3" s="305"/>
      <c r="EL3" s="305"/>
      <c r="EM3" s="305"/>
      <c r="EN3" s="305"/>
      <c r="EO3" s="305"/>
      <c r="EP3" s="305"/>
      <c r="EQ3" s="305"/>
      <c r="ER3" s="305"/>
      <c r="ES3" s="305"/>
      <c r="ET3" s="305"/>
      <c r="EU3" s="305"/>
      <c r="EV3" s="305"/>
      <c r="EW3" s="305"/>
      <c r="EX3" s="305"/>
      <c r="EY3" s="305"/>
      <c r="EZ3" s="305"/>
      <c r="FA3" s="305"/>
      <c r="FC3" s="162" t="s">
        <v>1537</v>
      </c>
      <c r="FD3" s="162"/>
      <c r="FE3" s="162"/>
      <c r="FF3" s="162"/>
      <c r="FG3" s="162"/>
      <c r="FH3" s="162"/>
      <c r="FI3" s="162"/>
      <c r="FJ3" s="162"/>
      <c r="FK3" s="162"/>
      <c r="FL3" s="162"/>
      <c r="FM3" s="162"/>
      <c r="FN3" s="162"/>
      <c r="FO3" s="162"/>
      <c r="FP3" s="162"/>
      <c r="FQ3" s="162"/>
      <c r="FR3" s="162"/>
      <c r="FS3" s="162"/>
      <c r="FT3" s="162"/>
    </row>
    <row r="4" spans="1:178">
      <c r="U4"/>
      <c r="V4"/>
      <c r="W4"/>
      <c r="X4"/>
      <c r="Y4"/>
      <c r="Z4"/>
      <c r="AA4"/>
      <c r="AB4"/>
      <c r="AC4"/>
      <c r="AD4"/>
      <c r="AE4"/>
      <c r="AF4"/>
      <c r="AG4"/>
      <c r="AH4"/>
      <c r="AI4"/>
      <c r="AJ4"/>
      <c r="AK4"/>
      <c r="AL4"/>
      <c r="AM4"/>
      <c r="AN4"/>
      <c r="AO4" s="73" t="s">
        <v>1967</v>
      </c>
      <c r="BI4" s="73" t="s">
        <v>1927</v>
      </c>
      <c r="BJ4" s="2141"/>
      <c r="BK4" s="2141"/>
      <c r="BL4" s="2141"/>
      <c r="BM4" s="2141"/>
      <c r="BN4" s="2141"/>
      <c r="BO4" s="2141"/>
      <c r="BP4" s="2141"/>
      <c r="BQ4" s="2141"/>
      <c r="BR4" s="2141"/>
      <c r="BS4" s="2141"/>
      <c r="BT4" s="2141"/>
      <c r="BU4" s="2141"/>
      <c r="BV4" s="2141"/>
      <c r="BW4" s="2141"/>
      <c r="BX4" s="2141"/>
      <c r="BY4" s="2141"/>
      <c r="BZ4" s="2141"/>
      <c r="CA4"/>
      <c r="CD4" s="1454"/>
      <c r="CE4" s="1455"/>
      <c r="CF4" s="1455"/>
      <c r="CG4" s="1455"/>
      <c r="CH4" s="1455"/>
      <c r="CI4" s="1455"/>
      <c r="CJ4" s="1455"/>
      <c r="CK4" s="1455"/>
      <c r="CL4" s="1455"/>
      <c r="CM4" s="1455"/>
      <c r="CN4" s="1455"/>
      <c r="CO4" s="1455"/>
      <c r="CP4" s="1455"/>
      <c r="CQ4" s="1455"/>
      <c r="CR4" s="1455"/>
      <c r="CS4" s="1455"/>
      <c r="CV4" s="1" t="s">
        <v>1281</v>
      </c>
      <c r="FA4" s="680"/>
    </row>
    <row r="5" spans="1:178" ht="15.75">
      <c r="A5" s="73"/>
      <c r="B5" s="73"/>
      <c r="C5" s="73"/>
      <c r="D5" s="4842" t="s">
        <v>1282</v>
      </c>
      <c r="E5" s="4842"/>
      <c r="F5" s="4842"/>
      <c r="G5" s="4842"/>
      <c r="H5" s="4842"/>
      <c r="I5" s="4842"/>
      <c r="J5" s="4842"/>
      <c r="K5" s="4842"/>
      <c r="L5" s="4842"/>
      <c r="M5" s="4842"/>
      <c r="N5" s="4842"/>
      <c r="O5" s="4842"/>
      <c r="P5" s="4842"/>
      <c r="Q5" s="4842"/>
      <c r="R5" s="73"/>
      <c r="S5" s="73"/>
      <c r="U5" s="43"/>
      <c r="V5" s="43"/>
      <c r="W5" s="43"/>
      <c r="X5" s="4858" t="s">
        <v>1282</v>
      </c>
      <c r="Y5" s="4858"/>
      <c r="Z5" s="4858"/>
      <c r="AA5" s="4858"/>
      <c r="AB5" s="4858"/>
      <c r="AC5" s="4858"/>
      <c r="AD5" s="4858"/>
      <c r="AE5" s="4858"/>
      <c r="AF5" s="4858"/>
      <c r="AG5" s="4858"/>
      <c r="AH5" s="4858"/>
      <c r="AI5" s="4858"/>
      <c r="AJ5" s="4858"/>
      <c r="AK5" s="4858"/>
      <c r="AL5" s="4858"/>
      <c r="AM5" s="43"/>
      <c r="AN5"/>
      <c r="AR5" s="4859" t="s">
        <v>1282</v>
      </c>
      <c r="AS5" s="4860"/>
      <c r="AT5" s="4860"/>
      <c r="AU5" s="4860"/>
      <c r="AV5" s="4860"/>
      <c r="AW5" s="4860"/>
      <c r="AX5" s="4860"/>
      <c r="AY5" s="4860"/>
      <c r="AZ5" s="4860"/>
      <c r="BA5" s="4860"/>
      <c r="BB5" s="4860"/>
      <c r="BC5" s="4860"/>
      <c r="BD5" s="4860"/>
      <c r="BE5" s="4860"/>
      <c r="BF5" s="2143"/>
      <c r="BI5" s="43"/>
      <c r="BJ5" s="2142"/>
      <c r="BK5" s="2142"/>
      <c r="BL5" s="4859" t="s">
        <v>1282</v>
      </c>
      <c r="BM5" s="4860"/>
      <c r="BN5" s="4860"/>
      <c r="BO5" s="4860"/>
      <c r="BP5" s="4860"/>
      <c r="BQ5" s="4860"/>
      <c r="BR5" s="4860"/>
      <c r="BS5" s="4860"/>
      <c r="BT5" s="4860"/>
      <c r="BU5" s="4860"/>
      <c r="BV5" s="4860"/>
      <c r="BW5" s="4860"/>
      <c r="BX5" s="4860"/>
      <c r="BY5" s="4860"/>
      <c r="BZ5" s="2143"/>
      <c r="CA5"/>
      <c r="CC5" s="213"/>
      <c r="CD5" s="1456"/>
      <c r="CE5" s="1457"/>
      <c r="CF5" s="4848" t="s">
        <v>1282</v>
      </c>
      <c r="CG5" s="4848"/>
      <c r="CH5" s="4848"/>
      <c r="CI5" s="4848"/>
      <c r="CJ5" s="4848"/>
      <c r="CK5" s="4848"/>
      <c r="CL5" s="4848"/>
      <c r="CM5" s="4848"/>
      <c r="CN5" s="4848"/>
      <c r="CO5" s="4848"/>
      <c r="CP5" s="4848"/>
      <c r="CQ5" s="4848"/>
      <c r="CR5" s="4848"/>
      <c r="CS5" s="1245"/>
      <c r="CV5" s="80"/>
      <c r="CW5" s="80"/>
      <c r="CX5" s="80"/>
      <c r="CY5" s="4849" t="s">
        <v>1538</v>
      </c>
      <c r="CZ5" s="4850"/>
      <c r="DA5" s="4850"/>
      <c r="DB5" s="4850"/>
      <c r="DC5" s="4850"/>
      <c r="DD5" s="4850"/>
      <c r="DE5" s="4850"/>
      <c r="DF5" s="4850"/>
      <c r="DG5" s="4850"/>
      <c r="DH5" s="4850"/>
      <c r="DI5" s="4850"/>
      <c r="DJ5" s="4850"/>
      <c r="DK5" s="4850"/>
      <c r="DL5" s="4850"/>
      <c r="DM5" s="4851"/>
      <c r="DO5" s="305"/>
      <c r="DP5" s="1458"/>
      <c r="DQ5" s="1458"/>
      <c r="DR5" s="4852" t="s">
        <v>1539</v>
      </c>
      <c r="DS5" s="4853"/>
      <c r="DT5" s="4853"/>
      <c r="DU5" s="4853"/>
      <c r="DV5" s="4853"/>
      <c r="DW5" s="4853"/>
      <c r="DX5" s="4853"/>
      <c r="DY5" s="4853"/>
      <c r="DZ5" s="4853"/>
      <c r="EA5" s="4853"/>
      <c r="EB5" s="4853"/>
      <c r="EC5" s="4853"/>
      <c r="ED5" s="4853"/>
      <c r="EE5" s="4853"/>
      <c r="EF5" s="4854"/>
      <c r="EK5" s="1" t="s">
        <v>332</v>
      </c>
      <c r="EL5" s="4855" t="s">
        <v>1540</v>
      </c>
      <c r="EM5" s="4856"/>
      <c r="EN5" s="4856"/>
      <c r="EO5" s="4856"/>
      <c r="EP5" s="4856"/>
      <c r="EQ5" s="4856"/>
      <c r="ER5" s="4856"/>
      <c r="ES5" s="4856"/>
      <c r="ET5" s="4856"/>
      <c r="EU5" s="4856"/>
      <c r="EV5" s="4856"/>
      <c r="EW5" s="4856"/>
      <c r="EX5" s="4856"/>
      <c r="EY5" s="4856"/>
      <c r="EZ5" s="4857"/>
      <c r="FA5" s="680"/>
      <c r="FF5" s="4844" t="s">
        <v>1282</v>
      </c>
      <c r="FG5" s="4845"/>
      <c r="FH5" s="4845"/>
      <c r="FI5" s="4845"/>
      <c r="FJ5" s="4845"/>
      <c r="FK5" s="4845"/>
      <c r="FL5" s="4845"/>
      <c r="FM5" s="4845"/>
      <c r="FN5" s="4845"/>
      <c r="FO5" s="4845"/>
      <c r="FP5" s="4845"/>
      <c r="FQ5" s="4845"/>
      <c r="FR5" s="4846"/>
    </row>
    <row r="6" spans="1:178" s="237" customFormat="1" ht="37.5" thickBot="1">
      <c r="A6" s="742" t="s">
        <v>0</v>
      </c>
      <c r="B6" s="742" t="s">
        <v>1</v>
      </c>
      <c r="C6" s="742" t="s">
        <v>2</v>
      </c>
      <c r="D6" s="743" t="s">
        <v>1283</v>
      </c>
      <c r="E6" s="2584" t="s">
        <v>1284</v>
      </c>
      <c r="F6" s="743" t="s">
        <v>1285</v>
      </c>
      <c r="G6" s="2584" t="s">
        <v>1286</v>
      </c>
      <c r="H6" s="743" t="s">
        <v>1287</v>
      </c>
      <c r="I6" s="743" t="s">
        <v>1288</v>
      </c>
      <c r="J6" s="2584" t="s">
        <v>1289</v>
      </c>
      <c r="K6" s="743" t="s">
        <v>1290</v>
      </c>
      <c r="L6" s="2584" t="s">
        <v>1291</v>
      </c>
      <c r="M6" s="2584" t="s">
        <v>1292</v>
      </c>
      <c r="N6" s="2584" t="s">
        <v>1293</v>
      </c>
      <c r="O6" s="2584" t="s">
        <v>1296</v>
      </c>
      <c r="P6" s="743" t="s">
        <v>1294</v>
      </c>
      <c r="Q6" s="2584" t="s">
        <v>1928</v>
      </c>
      <c r="R6" s="743" t="s">
        <v>15</v>
      </c>
      <c r="S6" s="2584" t="s">
        <v>3955</v>
      </c>
      <c r="U6" s="742" t="s">
        <v>0</v>
      </c>
      <c r="V6" s="742" t="s">
        <v>1</v>
      </c>
      <c r="W6" s="742" t="s">
        <v>2</v>
      </c>
      <c r="X6" s="743" t="s">
        <v>1283</v>
      </c>
      <c r="Y6" s="2584" t="s">
        <v>1284</v>
      </c>
      <c r="Z6" s="743" t="s">
        <v>1285</v>
      </c>
      <c r="AA6" s="2584" t="s">
        <v>1286</v>
      </c>
      <c r="AB6" s="743" t="s">
        <v>1287</v>
      </c>
      <c r="AC6" s="743" t="s">
        <v>1288</v>
      </c>
      <c r="AD6" s="2584" t="s">
        <v>1289</v>
      </c>
      <c r="AE6" s="743" t="s">
        <v>1290</v>
      </c>
      <c r="AF6" s="2584" t="s">
        <v>1291</v>
      </c>
      <c r="AG6" s="2584" t="s">
        <v>1292</v>
      </c>
      <c r="AH6" s="2584" t="s">
        <v>1293</v>
      </c>
      <c r="AI6" s="2584" t="s">
        <v>1296</v>
      </c>
      <c r="AJ6" s="743" t="s">
        <v>1294</v>
      </c>
      <c r="AK6" s="2584" t="s">
        <v>1928</v>
      </c>
      <c r="AL6" s="743" t="s">
        <v>15</v>
      </c>
      <c r="AM6" s="2584" t="s">
        <v>2695</v>
      </c>
      <c r="AN6"/>
      <c r="AO6" s="742" t="s">
        <v>0</v>
      </c>
      <c r="AP6" s="742" t="s">
        <v>1</v>
      </c>
      <c r="AQ6" s="742" t="s">
        <v>2</v>
      </c>
      <c r="AR6" s="743" t="s">
        <v>1283</v>
      </c>
      <c r="AS6" s="2584" t="s">
        <v>1284</v>
      </c>
      <c r="AT6" s="743" t="s">
        <v>1285</v>
      </c>
      <c r="AU6" s="2584" t="s">
        <v>1286</v>
      </c>
      <c r="AV6" s="2588" t="s">
        <v>1287</v>
      </c>
      <c r="AW6" s="2588" t="s">
        <v>1288</v>
      </c>
      <c r="AX6" s="2584" t="s">
        <v>1289</v>
      </c>
      <c r="AY6" s="743" t="s">
        <v>1290</v>
      </c>
      <c r="AZ6" s="2584" t="s">
        <v>1291</v>
      </c>
      <c r="BA6" s="2584" t="s">
        <v>1292</v>
      </c>
      <c r="BB6" s="2589" t="s">
        <v>1293</v>
      </c>
      <c r="BC6" s="2584" t="s">
        <v>1296</v>
      </c>
      <c r="BD6" s="743" t="s">
        <v>1294</v>
      </c>
      <c r="BE6" s="2584" t="s">
        <v>1928</v>
      </c>
      <c r="BF6" s="2587" t="s">
        <v>15</v>
      </c>
      <c r="BG6" s="2584" t="s">
        <v>1998</v>
      </c>
      <c r="BI6" s="2144" t="s">
        <v>0</v>
      </c>
      <c r="BJ6" s="2144" t="s">
        <v>1</v>
      </c>
      <c r="BK6" s="2144" t="s">
        <v>2</v>
      </c>
      <c r="BL6" s="2144" t="s">
        <v>1283</v>
      </c>
      <c r="BM6" s="2145" t="s">
        <v>1284</v>
      </c>
      <c r="BN6" s="2145" t="s">
        <v>1285</v>
      </c>
      <c r="BO6" s="2145" t="s">
        <v>1286</v>
      </c>
      <c r="BP6" s="2145" t="s">
        <v>1287</v>
      </c>
      <c r="BQ6" s="2145" t="s">
        <v>1288</v>
      </c>
      <c r="BR6" s="2145" t="s">
        <v>1289</v>
      </c>
      <c r="BS6" s="2145" t="s">
        <v>1290</v>
      </c>
      <c r="BT6" s="2145" t="s">
        <v>1291</v>
      </c>
      <c r="BU6" s="2145" t="s">
        <v>1292</v>
      </c>
      <c r="BV6" s="2145" t="s">
        <v>1293</v>
      </c>
      <c r="BW6" s="2145" t="s">
        <v>1296</v>
      </c>
      <c r="BX6" s="2145" t="s">
        <v>1294</v>
      </c>
      <c r="BY6" s="2145" t="s">
        <v>1928</v>
      </c>
      <c r="BZ6" s="2146" t="s">
        <v>15</v>
      </c>
      <c r="CA6" s="2147" t="s">
        <v>1929</v>
      </c>
      <c r="CC6" s="1459" t="s">
        <v>0</v>
      </c>
      <c r="CD6" s="1459" t="s">
        <v>1</v>
      </c>
      <c r="CE6" s="1460" t="s">
        <v>2</v>
      </c>
      <c r="CF6" s="1459" t="s">
        <v>1283</v>
      </c>
      <c r="CG6" s="1461" t="s">
        <v>1284</v>
      </c>
      <c r="CH6" s="1459" t="s">
        <v>1285</v>
      </c>
      <c r="CI6" s="1461" t="s">
        <v>1286</v>
      </c>
      <c r="CJ6" s="1459" t="s">
        <v>1287</v>
      </c>
      <c r="CK6" s="1459" t="s">
        <v>1288</v>
      </c>
      <c r="CL6" s="1461" t="s">
        <v>1289</v>
      </c>
      <c r="CM6" s="1461" t="s">
        <v>1290</v>
      </c>
      <c r="CN6" s="1461" t="s">
        <v>1291</v>
      </c>
      <c r="CO6" s="1461" t="s">
        <v>1292</v>
      </c>
      <c r="CP6" s="1461" t="s">
        <v>1293</v>
      </c>
      <c r="CQ6" s="1459" t="s">
        <v>1294</v>
      </c>
      <c r="CR6" s="1461" t="s">
        <v>1295</v>
      </c>
      <c r="CS6" s="1459" t="s">
        <v>15</v>
      </c>
      <c r="CT6" s="874" t="s">
        <v>1541</v>
      </c>
      <c r="CU6" s="1"/>
      <c r="CV6" s="927" t="s">
        <v>0</v>
      </c>
      <c r="CW6" s="927" t="s">
        <v>1</v>
      </c>
      <c r="CX6" s="927" t="s">
        <v>2</v>
      </c>
      <c r="CY6" s="1031" t="s">
        <v>1283</v>
      </c>
      <c r="CZ6" s="1031" t="s">
        <v>1284</v>
      </c>
      <c r="DA6" s="1031" t="s">
        <v>1285</v>
      </c>
      <c r="DB6" s="1031" t="s">
        <v>1286</v>
      </c>
      <c r="DC6" s="1031" t="s">
        <v>1287</v>
      </c>
      <c r="DD6" s="1031" t="s">
        <v>1288</v>
      </c>
      <c r="DE6" s="1031" t="s">
        <v>1289</v>
      </c>
      <c r="DF6" s="1031" t="s">
        <v>1290</v>
      </c>
      <c r="DG6" s="1031" t="s">
        <v>1291</v>
      </c>
      <c r="DH6" s="1031" t="s">
        <v>1292</v>
      </c>
      <c r="DI6" s="1031" t="s">
        <v>1293</v>
      </c>
      <c r="DJ6" s="1031" t="s">
        <v>1294</v>
      </c>
      <c r="DK6" s="1031" t="s">
        <v>1295</v>
      </c>
      <c r="DL6" s="1031" t="s">
        <v>15</v>
      </c>
      <c r="DM6" s="1462" t="s">
        <v>66</v>
      </c>
      <c r="DO6" s="1215" t="s">
        <v>0</v>
      </c>
      <c r="DP6" s="1215" t="s">
        <v>1</v>
      </c>
      <c r="DQ6" s="1215" t="s">
        <v>2</v>
      </c>
      <c r="DR6" s="1215" t="s">
        <v>1283</v>
      </c>
      <c r="DS6" s="993" t="s">
        <v>1284</v>
      </c>
      <c r="DT6" s="993" t="s">
        <v>1285</v>
      </c>
      <c r="DU6" s="993" t="s">
        <v>1286</v>
      </c>
      <c r="DV6" s="993" t="s">
        <v>1287</v>
      </c>
      <c r="DW6" s="993" t="s">
        <v>1288</v>
      </c>
      <c r="DX6" s="993" t="s">
        <v>1289</v>
      </c>
      <c r="DY6" s="993" t="s">
        <v>1291</v>
      </c>
      <c r="DZ6" s="993" t="s">
        <v>1292</v>
      </c>
      <c r="EA6" s="993" t="s">
        <v>1293</v>
      </c>
      <c r="EB6" s="993" t="s">
        <v>1296</v>
      </c>
      <c r="EC6" s="993" t="s">
        <v>1294</v>
      </c>
      <c r="ED6" s="993" t="s">
        <v>1295</v>
      </c>
      <c r="EE6" s="993" t="s">
        <v>1297</v>
      </c>
      <c r="EF6" s="1215" t="s">
        <v>71</v>
      </c>
      <c r="EG6" s="1463" t="s">
        <v>66</v>
      </c>
      <c r="EI6" s="733" t="s">
        <v>0</v>
      </c>
      <c r="EJ6" s="733" t="s">
        <v>1</v>
      </c>
      <c r="EK6" s="733" t="s">
        <v>2</v>
      </c>
      <c r="EL6" s="1005" t="s">
        <v>1283</v>
      </c>
      <c r="EM6" s="1005" t="s">
        <v>1284</v>
      </c>
      <c r="EN6" s="1005" t="s">
        <v>1285</v>
      </c>
      <c r="EO6" s="1005" t="s">
        <v>1286</v>
      </c>
      <c r="EP6" s="1005" t="s">
        <v>1287</v>
      </c>
      <c r="EQ6" s="1005" t="s">
        <v>1288</v>
      </c>
      <c r="ER6" s="1005" t="s">
        <v>1289</v>
      </c>
      <c r="ES6" s="1005" t="s">
        <v>1291</v>
      </c>
      <c r="ET6" s="1005" t="s">
        <v>1292</v>
      </c>
      <c r="EU6" s="1005" t="s">
        <v>1293</v>
      </c>
      <c r="EV6" s="1005" t="s">
        <v>1296</v>
      </c>
      <c r="EW6" s="1005" t="s">
        <v>1294</v>
      </c>
      <c r="EX6" s="1005" t="s">
        <v>1295</v>
      </c>
      <c r="EY6" s="1005" t="s">
        <v>1297</v>
      </c>
      <c r="EZ6" s="1005" t="s">
        <v>71</v>
      </c>
      <c r="FA6" s="1219" t="s">
        <v>66</v>
      </c>
      <c r="FB6" s="163"/>
      <c r="FC6" s="1464" t="s">
        <v>0</v>
      </c>
      <c r="FD6" s="1464" t="s">
        <v>1</v>
      </c>
      <c r="FE6" s="1464" t="s">
        <v>2</v>
      </c>
      <c r="FF6" s="1464" t="s">
        <v>1283</v>
      </c>
      <c r="FG6" s="1464" t="s">
        <v>1284</v>
      </c>
      <c r="FH6" s="1464" t="s">
        <v>1285</v>
      </c>
      <c r="FI6" s="1464" t="s">
        <v>1286</v>
      </c>
      <c r="FJ6" s="1464" t="s">
        <v>1287</v>
      </c>
      <c r="FK6" s="1464" t="s">
        <v>1288</v>
      </c>
      <c r="FL6" s="1464" t="s">
        <v>1289</v>
      </c>
      <c r="FM6" s="1464" t="s">
        <v>1291</v>
      </c>
      <c r="FN6" s="1464" t="s">
        <v>1292</v>
      </c>
      <c r="FO6" s="1464" t="s">
        <v>1293</v>
      </c>
      <c r="FP6" s="1464" t="s">
        <v>1294</v>
      </c>
      <c r="FQ6" s="1464" t="s">
        <v>1295</v>
      </c>
      <c r="FR6" s="1464" t="s">
        <v>15</v>
      </c>
      <c r="FS6" s="1464" t="s">
        <v>1298</v>
      </c>
      <c r="FT6" s="1464" t="s">
        <v>66</v>
      </c>
      <c r="FU6" s="163"/>
      <c r="FV6" s="163"/>
    </row>
    <row r="7" spans="1:178">
      <c r="A7" s="73" t="s">
        <v>3</v>
      </c>
      <c r="B7" s="73" t="s">
        <v>4</v>
      </c>
      <c r="C7" s="73" t="s">
        <v>5</v>
      </c>
      <c r="D7" s="161">
        <v>182</v>
      </c>
      <c r="E7" s="161">
        <v>81</v>
      </c>
      <c r="F7" s="161"/>
      <c r="G7" s="161">
        <v>2</v>
      </c>
      <c r="H7" s="161">
        <v>294</v>
      </c>
      <c r="I7" s="161">
        <v>27</v>
      </c>
      <c r="J7" s="161">
        <v>72</v>
      </c>
      <c r="K7" s="161"/>
      <c r="L7" s="161"/>
      <c r="M7" s="161">
        <v>36</v>
      </c>
      <c r="N7" s="161">
        <v>37</v>
      </c>
      <c r="O7" s="161">
        <v>47</v>
      </c>
      <c r="P7" s="161">
        <v>221</v>
      </c>
      <c r="Q7" s="161"/>
      <c r="R7" s="161">
        <v>999</v>
      </c>
      <c r="S7" s="912">
        <f>+(N7+I7+H7)/(R7-Q7-O7)</f>
        <v>0.37605042016806722</v>
      </c>
      <c r="U7" s="73" t="s">
        <v>3</v>
      </c>
      <c r="V7" s="73" t="s">
        <v>4</v>
      </c>
      <c r="W7" s="73" t="s">
        <v>5</v>
      </c>
      <c r="X7" s="161">
        <v>187</v>
      </c>
      <c r="Y7" s="161">
        <v>96</v>
      </c>
      <c r="Z7" s="161"/>
      <c r="AA7" s="161">
        <v>50</v>
      </c>
      <c r="AB7" s="161">
        <v>248</v>
      </c>
      <c r="AC7" s="161">
        <v>45</v>
      </c>
      <c r="AD7" s="161">
        <v>62</v>
      </c>
      <c r="AE7" s="161"/>
      <c r="AF7" s="161"/>
      <c r="AG7" s="161">
        <v>44</v>
      </c>
      <c r="AH7" s="161">
        <v>49</v>
      </c>
      <c r="AI7" s="161">
        <v>34</v>
      </c>
      <c r="AJ7" s="161">
        <v>219</v>
      </c>
      <c r="AK7" s="161">
        <v>0</v>
      </c>
      <c r="AL7" s="161">
        <v>1034</v>
      </c>
      <c r="AM7" s="2585">
        <f t="shared" ref="AM7:AM70" si="0">+(AH7+AC7+AB7)/(AL7-AK7-AI7)</f>
        <v>0.34200000000000003</v>
      </c>
      <c r="AN7"/>
      <c r="AO7" s="73" t="s">
        <v>3</v>
      </c>
      <c r="AP7" s="73" t="s">
        <v>4</v>
      </c>
      <c r="AQ7" s="73" t="s">
        <v>5</v>
      </c>
      <c r="AR7" s="161">
        <v>217</v>
      </c>
      <c r="AS7" s="161">
        <v>100</v>
      </c>
      <c r="AT7" s="161"/>
      <c r="AU7" s="161">
        <v>46</v>
      </c>
      <c r="AV7" s="161">
        <v>212</v>
      </c>
      <c r="AW7" s="161">
        <v>25</v>
      </c>
      <c r="AX7" s="161">
        <v>56</v>
      </c>
      <c r="AY7" s="161">
        <v>27</v>
      </c>
      <c r="AZ7" s="161"/>
      <c r="BA7" s="161">
        <v>58</v>
      </c>
      <c r="BB7" s="161">
        <v>20</v>
      </c>
      <c r="BC7" s="2590">
        <v>22</v>
      </c>
      <c r="BD7" s="161">
        <v>220</v>
      </c>
      <c r="BE7" s="2590">
        <v>0</v>
      </c>
      <c r="BF7" s="2590">
        <v>1003</v>
      </c>
      <c r="BG7" s="2585">
        <f>+(AV7+AW7+BB7)/(BF7-BE7-BC7)</f>
        <v>0.26197757390417942</v>
      </c>
      <c r="BI7" s="2140" t="s">
        <v>3</v>
      </c>
      <c r="BJ7" s="2140" t="s">
        <v>4</v>
      </c>
      <c r="BK7" s="2148" t="s">
        <v>5</v>
      </c>
      <c r="BL7" s="2149">
        <v>289</v>
      </c>
      <c r="BM7" s="2149">
        <v>102</v>
      </c>
      <c r="BN7" s="2150"/>
      <c r="BO7" s="2149">
        <v>46</v>
      </c>
      <c r="BP7" s="2149">
        <v>186</v>
      </c>
      <c r="BQ7" s="2149">
        <v>14</v>
      </c>
      <c r="BR7" s="2149">
        <v>26</v>
      </c>
      <c r="BS7" s="2150"/>
      <c r="BT7" s="2150"/>
      <c r="BU7" s="2149">
        <v>23</v>
      </c>
      <c r="BV7" s="2149">
        <v>33</v>
      </c>
      <c r="BW7" s="2149">
        <v>16</v>
      </c>
      <c r="BX7" s="2149">
        <v>230</v>
      </c>
      <c r="BY7" s="2149">
        <v>0</v>
      </c>
      <c r="BZ7" s="2149">
        <v>965</v>
      </c>
      <c r="CA7" s="2151">
        <f>+(BP7+BQ7+BV7)/(BZ7-BY7-BW7)</f>
        <v>0.24552160168598525</v>
      </c>
      <c r="CC7" s="1452" t="s">
        <v>3</v>
      </c>
      <c r="CD7" s="1452" t="s">
        <v>4</v>
      </c>
      <c r="CE7" s="1465" t="s">
        <v>5</v>
      </c>
      <c r="CF7" s="1466">
        <v>262</v>
      </c>
      <c r="CG7" s="1466">
        <v>95</v>
      </c>
      <c r="CH7" s="1452"/>
      <c r="CI7" s="1466">
        <v>54</v>
      </c>
      <c r="CJ7" s="1466">
        <v>162</v>
      </c>
      <c r="CK7" s="1466">
        <v>13</v>
      </c>
      <c r="CL7" s="1466">
        <v>44</v>
      </c>
      <c r="CM7" s="1452"/>
      <c r="CN7" s="1466">
        <v>0</v>
      </c>
      <c r="CO7" s="1466">
        <v>38</v>
      </c>
      <c r="CP7" s="1466">
        <v>22</v>
      </c>
      <c r="CQ7" s="1466">
        <v>195</v>
      </c>
      <c r="CR7" s="1466">
        <v>0</v>
      </c>
      <c r="CS7" s="1466">
        <v>885</v>
      </c>
      <c r="CT7" s="814">
        <f>+(CJ7+CK7+CP7)/CS7</f>
        <v>0.22259887005649717</v>
      </c>
      <c r="CV7" s="929" t="s">
        <v>3</v>
      </c>
      <c r="CW7" s="929" t="s">
        <v>4</v>
      </c>
      <c r="CX7" s="1467" t="s">
        <v>5</v>
      </c>
      <c r="CY7" s="1468">
        <v>208</v>
      </c>
      <c r="CZ7" s="1468">
        <v>92</v>
      </c>
      <c r="DA7" s="1468">
        <v>0</v>
      </c>
      <c r="DB7" s="1468">
        <v>53</v>
      </c>
      <c r="DC7" s="1468">
        <v>134</v>
      </c>
      <c r="DD7" s="1468">
        <v>24</v>
      </c>
      <c r="DE7" s="1468">
        <v>38</v>
      </c>
      <c r="DF7" s="929"/>
      <c r="DG7" s="1468">
        <v>0</v>
      </c>
      <c r="DH7" s="1468">
        <v>14</v>
      </c>
      <c r="DI7" s="1468">
        <v>16</v>
      </c>
      <c r="DJ7" s="1468">
        <v>165</v>
      </c>
      <c r="DK7" s="1468">
        <v>0</v>
      </c>
      <c r="DL7" s="1468">
        <v>744</v>
      </c>
      <c r="DM7" s="814">
        <f>+(DI7+DD7+DC7)/DL7</f>
        <v>0.23387096774193547</v>
      </c>
      <c r="DO7" s="1094" t="s">
        <v>3</v>
      </c>
      <c r="DP7" s="1094" t="s">
        <v>4</v>
      </c>
      <c r="DQ7" s="1469" t="s">
        <v>5</v>
      </c>
      <c r="DR7" s="1470">
        <v>180</v>
      </c>
      <c r="DS7" s="1470">
        <v>58</v>
      </c>
      <c r="DT7" s="1470">
        <v>0</v>
      </c>
      <c r="DU7" s="1470">
        <v>43</v>
      </c>
      <c r="DV7" s="1470">
        <v>104</v>
      </c>
      <c r="DW7" s="1470">
        <v>12</v>
      </c>
      <c r="DX7" s="1470">
        <v>34</v>
      </c>
      <c r="DY7" s="1470">
        <v>0</v>
      </c>
      <c r="DZ7" s="1470">
        <v>16</v>
      </c>
      <c r="EA7" s="1470">
        <v>21</v>
      </c>
      <c r="EB7" s="1470">
        <v>165</v>
      </c>
      <c r="EC7" s="1470">
        <v>170</v>
      </c>
      <c r="ED7" s="1470">
        <v>0</v>
      </c>
      <c r="EE7" s="1470">
        <v>2</v>
      </c>
      <c r="EF7" s="1470">
        <v>805</v>
      </c>
      <c r="EG7" s="1471">
        <f>+(EA7+DW7+DV7)/(EF7-EE7-EB7)</f>
        <v>0.21473354231974923</v>
      </c>
      <c r="EI7" s="163" t="s">
        <v>3</v>
      </c>
      <c r="EJ7" s="163" t="s">
        <v>4</v>
      </c>
      <c r="EK7" s="80" t="s">
        <v>5</v>
      </c>
      <c r="EL7" s="80">
        <v>134</v>
      </c>
      <c r="EM7" s="80">
        <v>44</v>
      </c>
      <c r="EN7" s="80"/>
      <c r="EO7" s="80">
        <v>33</v>
      </c>
      <c r="EP7" s="80">
        <v>83</v>
      </c>
      <c r="EQ7" s="80">
        <v>14</v>
      </c>
      <c r="ER7" s="80">
        <v>37</v>
      </c>
      <c r="ES7" s="80">
        <v>0</v>
      </c>
      <c r="ET7" s="80">
        <v>13</v>
      </c>
      <c r="EU7" s="80">
        <v>11</v>
      </c>
      <c r="EV7" s="80">
        <v>125</v>
      </c>
      <c r="EW7" s="80">
        <v>158</v>
      </c>
      <c r="EX7" s="80">
        <v>0</v>
      </c>
      <c r="EY7" s="80">
        <v>1</v>
      </c>
      <c r="EZ7" s="80">
        <v>653</v>
      </c>
      <c r="FA7" s="1472">
        <f t="shared" ref="FA7:FA70" si="1">+(EU7+EQ7+EP7)/(EZ7-EY7-EV7)</f>
        <v>0.2049335863377609</v>
      </c>
      <c r="FB7" s="80"/>
      <c r="FC7" s="681" t="s">
        <v>3</v>
      </c>
      <c r="FD7" s="681" t="s">
        <v>4</v>
      </c>
      <c r="FE7" s="681" t="s">
        <v>5</v>
      </c>
      <c r="FF7" s="1473">
        <v>103</v>
      </c>
      <c r="FG7" s="1473">
        <v>46</v>
      </c>
      <c r="FH7" s="1473" t="s">
        <v>332</v>
      </c>
      <c r="FI7" s="1473">
        <v>38</v>
      </c>
      <c r="FJ7" s="1473">
        <v>69</v>
      </c>
      <c r="FK7" s="1473">
        <v>9</v>
      </c>
      <c r="FL7" s="1473">
        <v>45</v>
      </c>
      <c r="FM7" s="1473" t="s">
        <v>332</v>
      </c>
      <c r="FN7" s="1473">
        <v>28</v>
      </c>
      <c r="FO7" s="1473">
        <v>8</v>
      </c>
      <c r="FP7" s="1473">
        <v>145</v>
      </c>
      <c r="FQ7" s="1473" t="s">
        <v>332</v>
      </c>
      <c r="FR7" s="1473">
        <v>491</v>
      </c>
      <c r="FS7" s="1473">
        <f t="shared" ref="FS7:FS70" si="2">+FO7+FK7+FJ7</f>
        <v>86</v>
      </c>
      <c r="FT7" s="1474">
        <f t="shared" ref="FT7:FT70" si="3">+FS7/FR7</f>
        <v>0.17515274949083504</v>
      </c>
      <c r="FU7" s="80"/>
      <c r="FV7" s="80"/>
    </row>
    <row r="8" spans="1:178">
      <c r="A8" s="73"/>
      <c r="B8" s="73"/>
      <c r="C8" s="73" t="s">
        <v>6</v>
      </c>
      <c r="D8" s="161">
        <v>189</v>
      </c>
      <c r="E8" s="161">
        <v>101</v>
      </c>
      <c r="F8" s="161"/>
      <c r="G8" s="161">
        <v>1</v>
      </c>
      <c r="H8" s="161">
        <v>252</v>
      </c>
      <c r="I8" s="161">
        <v>33</v>
      </c>
      <c r="J8" s="161">
        <v>108</v>
      </c>
      <c r="K8" s="161"/>
      <c r="L8" s="161"/>
      <c r="M8" s="161">
        <v>58</v>
      </c>
      <c r="N8" s="161">
        <v>36</v>
      </c>
      <c r="O8" s="161">
        <v>75</v>
      </c>
      <c r="P8" s="161">
        <v>273</v>
      </c>
      <c r="Q8" s="161"/>
      <c r="R8" s="161">
        <v>1126</v>
      </c>
      <c r="S8" s="4680">
        <f t="shared" ref="S8:S71" si="4">+(N8+I8+H8)/(R8-Q8-O8)</f>
        <v>0.30542340627973358</v>
      </c>
      <c r="U8" s="73"/>
      <c r="V8" s="73"/>
      <c r="W8" s="73" t="s">
        <v>6</v>
      </c>
      <c r="X8" s="161">
        <v>220</v>
      </c>
      <c r="Y8" s="161">
        <v>150</v>
      </c>
      <c r="Z8" s="161"/>
      <c r="AA8" s="161">
        <v>43</v>
      </c>
      <c r="AB8" s="161">
        <v>187</v>
      </c>
      <c r="AC8" s="161">
        <v>58</v>
      </c>
      <c r="AD8" s="161">
        <v>91</v>
      </c>
      <c r="AE8" s="161"/>
      <c r="AF8" s="161"/>
      <c r="AG8" s="161">
        <v>48</v>
      </c>
      <c r="AH8" s="161">
        <v>45</v>
      </c>
      <c r="AI8" s="161">
        <v>52</v>
      </c>
      <c r="AJ8" s="161">
        <v>274</v>
      </c>
      <c r="AK8" s="161">
        <v>2</v>
      </c>
      <c r="AL8" s="161">
        <v>1170</v>
      </c>
      <c r="AM8" s="2585">
        <f t="shared" si="0"/>
        <v>0.25985663082437277</v>
      </c>
      <c r="AN8"/>
      <c r="AO8" s="73"/>
      <c r="AP8" s="73"/>
      <c r="AQ8" s="73" t="s">
        <v>6</v>
      </c>
      <c r="AR8" s="161">
        <v>253</v>
      </c>
      <c r="AS8" s="161">
        <v>152</v>
      </c>
      <c r="AT8" s="161"/>
      <c r="AU8" s="161">
        <v>43</v>
      </c>
      <c r="AV8" s="161">
        <v>176</v>
      </c>
      <c r="AW8" s="161">
        <v>30</v>
      </c>
      <c r="AX8" s="161">
        <v>71</v>
      </c>
      <c r="AY8" s="161">
        <v>24</v>
      </c>
      <c r="AZ8" s="161"/>
      <c r="BA8" s="161">
        <v>49</v>
      </c>
      <c r="BB8" s="161">
        <v>28</v>
      </c>
      <c r="BC8" s="161">
        <v>32</v>
      </c>
      <c r="BD8" s="161">
        <v>285</v>
      </c>
      <c r="BE8" s="161">
        <v>3</v>
      </c>
      <c r="BF8" s="161">
        <v>1146</v>
      </c>
      <c r="BG8" s="2585">
        <f t="shared" ref="BG8:BG71" si="5">+(AV8+AW8+BB8)/(BF8-BE8-BC8)</f>
        <v>0.21062106210621062</v>
      </c>
      <c r="BI8" s="2140"/>
      <c r="BJ8" s="2140"/>
      <c r="BK8" s="2148" t="s">
        <v>6</v>
      </c>
      <c r="BL8" s="2149">
        <v>311</v>
      </c>
      <c r="BM8" s="2149">
        <v>124</v>
      </c>
      <c r="BN8" s="2150"/>
      <c r="BO8" s="2149">
        <v>49</v>
      </c>
      <c r="BP8" s="2149">
        <v>137</v>
      </c>
      <c r="BQ8" s="2149">
        <v>25</v>
      </c>
      <c r="BR8" s="2149">
        <v>61</v>
      </c>
      <c r="BS8" s="2150"/>
      <c r="BT8" s="2150"/>
      <c r="BU8" s="2149">
        <v>48</v>
      </c>
      <c r="BV8" s="2149">
        <v>34</v>
      </c>
      <c r="BW8" s="2149">
        <v>20</v>
      </c>
      <c r="BX8" s="2149">
        <v>306</v>
      </c>
      <c r="BY8" s="2149">
        <v>3</v>
      </c>
      <c r="BZ8" s="2149">
        <v>1118</v>
      </c>
      <c r="CA8" s="2151">
        <f t="shared" ref="CA8:CA71" si="6">+(BP8+BQ8+BV8)/(BZ8-BY8-BW8)</f>
        <v>0.17899543378995433</v>
      </c>
      <c r="CC8" s="1452"/>
      <c r="CD8" s="1452"/>
      <c r="CE8" s="1465" t="s">
        <v>6</v>
      </c>
      <c r="CF8" s="1466">
        <v>322</v>
      </c>
      <c r="CG8" s="1466">
        <v>111</v>
      </c>
      <c r="CH8" s="1452"/>
      <c r="CI8" s="1466">
        <v>51</v>
      </c>
      <c r="CJ8" s="1466">
        <v>130</v>
      </c>
      <c r="CK8" s="1466">
        <v>13</v>
      </c>
      <c r="CL8" s="1466">
        <v>66</v>
      </c>
      <c r="CM8" s="1452"/>
      <c r="CN8" s="1466">
        <v>0</v>
      </c>
      <c r="CO8" s="1466">
        <v>37</v>
      </c>
      <c r="CP8" s="1466">
        <v>18</v>
      </c>
      <c r="CQ8" s="1466">
        <v>310</v>
      </c>
      <c r="CR8" s="1466">
        <v>0</v>
      </c>
      <c r="CS8" s="1466">
        <v>1058</v>
      </c>
      <c r="CT8" s="814">
        <f t="shared" ref="CT8:CT71" si="7">+(CJ8+CK8+CP8)/CS8</f>
        <v>0.15217391304347827</v>
      </c>
      <c r="CV8" s="929"/>
      <c r="CW8" s="929"/>
      <c r="CX8" s="1467" t="s">
        <v>6</v>
      </c>
      <c r="CY8" s="1468">
        <v>259</v>
      </c>
      <c r="CZ8" s="1468">
        <v>97</v>
      </c>
      <c r="DA8" s="1468">
        <v>0</v>
      </c>
      <c r="DB8" s="1468">
        <v>52</v>
      </c>
      <c r="DC8" s="1468">
        <v>106</v>
      </c>
      <c r="DD8" s="1468">
        <v>22</v>
      </c>
      <c r="DE8" s="1468">
        <v>60</v>
      </c>
      <c r="DF8" s="929"/>
      <c r="DG8" s="1468">
        <v>0</v>
      </c>
      <c r="DH8" s="1468">
        <v>17</v>
      </c>
      <c r="DI8" s="1468">
        <v>18</v>
      </c>
      <c r="DJ8" s="1468">
        <v>276</v>
      </c>
      <c r="DK8" s="1468">
        <v>0</v>
      </c>
      <c r="DL8" s="1468">
        <v>907</v>
      </c>
      <c r="DM8" s="814">
        <f t="shared" ref="DM8:DM71" si="8">+(DI8+DD8+DC8)/DL8</f>
        <v>0.16097023153252479</v>
      </c>
      <c r="DO8" s="1094"/>
      <c r="DP8" s="1094"/>
      <c r="DQ8" s="1469" t="s">
        <v>6</v>
      </c>
      <c r="DR8" s="1470">
        <v>233</v>
      </c>
      <c r="DS8" s="1470">
        <v>63</v>
      </c>
      <c r="DT8" s="1470">
        <v>0</v>
      </c>
      <c r="DU8" s="1470">
        <v>59</v>
      </c>
      <c r="DV8" s="1470">
        <v>88</v>
      </c>
      <c r="DW8" s="1470">
        <v>10</v>
      </c>
      <c r="DX8" s="1470">
        <v>73</v>
      </c>
      <c r="DY8" s="1470">
        <v>0</v>
      </c>
      <c r="DZ8" s="1470">
        <v>10</v>
      </c>
      <c r="EA8" s="1470">
        <v>9</v>
      </c>
      <c r="EB8" s="1470">
        <v>361</v>
      </c>
      <c r="EC8" s="1470">
        <v>282</v>
      </c>
      <c r="ED8" s="1470">
        <v>0</v>
      </c>
      <c r="EE8" s="1470">
        <v>6</v>
      </c>
      <c r="EF8" s="1470">
        <v>1194</v>
      </c>
      <c r="EG8" s="1471">
        <f t="shared" ref="EG8:EG71" si="9">+(EA8+DW8+DV8)/(EF8-EE8-EB8)</f>
        <v>0.1293833131801693</v>
      </c>
      <c r="EI8" s="163"/>
      <c r="EJ8" s="163"/>
      <c r="EK8" s="80" t="s">
        <v>6</v>
      </c>
      <c r="EL8" s="80">
        <v>166</v>
      </c>
      <c r="EM8" s="80">
        <v>51</v>
      </c>
      <c r="EN8" s="80"/>
      <c r="EO8" s="80">
        <v>60</v>
      </c>
      <c r="EP8" s="80">
        <v>79</v>
      </c>
      <c r="EQ8" s="80">
        <v>15</v>
      </c>
      <c r="ER8" s="80">
        <v>83</v>
      </c>
      <c r="ES8" s="80">
        <v>0</v>
      </c>
      <c r="ET8" s="80">
        <v>5</v>
      </c>
      <c r="EU8" s="80">
        <v>12</v>
      </c>
      <c r="EV8" s="80">
        <v>321</v>
      </c>
      <c r="EW8" s="80">
        <v>277</v>
      </c>
      <c r="EX8" s="80">
        <v>0</v>
      </c>
      <c r="EY8" s="80">
        <v>3</v>
      </c>
      <c r="EZ8" s="80">
        <v>1072</v>
      </c>
      <c r="FA8" s="1472">
        <f t="shared" si="1"/>
        <v>0.14171122994652408</v>
      </c>
      <c r="FB8" s="80"/>
      <c r="FC8" s="681"/>
      <c r="FD8" s="681"/>
      <c r="FE8" s="681" t="s">
        <v>6</v>
      </c>
      <c r="FF8" s="1473">
        <v>130</v>
      </c>
      <c r="FG8" s="1473">
        <v>45</v>
      </c>
      <c r="FH8" s="1473" t="s">
        <v>332</v>
      </c>
      <c r="FI8" s="1473">
        <v>67</v>
      </c>
      <c r="FJ8" s="1473">
        <v>75</v>
      </c>
      <c r="FK8" s="1473">
        <v>13</v>
      </c>
      <c r="FL8" s="1473">
        <v>103</v>
      </c>
      <c r="FM8" s="1473" t="s">
        <v>332</v>
      </c>
      <c r="FN8" s="1473">
        <v>34</v>
      </c>
      <c r="FO8" s="1473">
        <v>11</v>
      </c>
      <c r="FP8" s="1473">
        <v>280</v>
      </c>
      <c r="FQ8" s="1473" t="s">
        <v>332</v>
      </c>
      <c r="FR8" s="1473">
        <v>758</v>
      </c>
      <c r="FS8" s="1473">
        <f t="shared" si="2"/>
        <v>99</v>
      </c>
      <c r="FT8" s="1474">
        <f t="shared" si="3"/>
        <v>0.13060686015831136</v>
      </c>
      <c r="FU8" s="80"/>
      <c r="FV8" s="80"/>
    </row>
    <row r="9" spans="1:178">
      <c r="A9" s="73"/>
      <c r="B9" s="73"/>
      <c r="C9" s="73" t="s">
        <v>7</v>
      </c>
      <c r="D9" s="161">
        <v>131</v>
      </c>
      <c r="E9" s="161">
        <v>86</v>
      </c>
      <c r="F9" s="161"/>
      <c r="G9" s="161">
        <v>1</v>
      </c>
      <c r="H9" s="161">
        <v>83</v>
      </c>
      <c r="I9" s="161">
        <v>14</v>
      </c>
      <c r="J9" s="161">
        <v>68</v>
      </c>
      <c r="K9" s="161"/>
      <c r="L9" s="161"/>
      <c r="M9" s="161">
        <v>43</v>
      </c>
      <c r="N9" s="161">
        <v>13</v>
      </c>
      <c r="O9" s="161">
        <v>23</v>
      </c>
      <c r="P9" s="161">
        <v>182</v>
      </c>
      <c r="Q9" s="161"/>
      <c r="R9" s="161">
        <v>644</v>
      </c>
      <c r="S9" s="4680">
        <f t="shared" si="4"/>
        <v>0.17713365539452497</v>
      </c>
      <c r="U9" s="73"/>
      <c r="V9" s="73"/>
      <c r="W9" s="73" t="s">
        <v>7</v>
      </c>
      <c r="X9" s="161">
        <v>144</v>
      </c>
      <c r="Y9" s="161">
        <v>85</v>
      </c>
      <c r="Z9" s="161"/>
      <c r="AA9" s="161">
        <v>34</v>
      </c>
      <c r="AB9" s="161">
        <v>62</v>
      </c>
      <c r="AC9" s="161">
        <v>19</v>
      </c>
      <c r="AD9" s="161">
        <v>53</v>
      </c>
      <c r="AE9" s="161"/>
      <c r="AF9" s="161"/>
      <c r="AG9" s="161">
        <v>37</v>
      </c>
      <c r="AH9" s="161">
        <v>18</v>
      </c>
      <c r="AI9" s="161">
        <v>17</v>
      </c>
      <c r="AJ9" s="161">
        <v>192</v>
      </c>
      <c r="AK9" s="161">
        <v>2</v>
      </c>
      <c r="AL9" s="161">
        <v>663</v>
      </c>
      <c r="AM9" s="2585">
        <f t="shared" si="0"/>
        <v>0.15372670807453417</v>
      </c>
      <c r="AN9"/>
      <c r="AO9" s="73"/>
      <c r="AP9" s="73"/>
      <c r="AQ9" s="73" t="s">
        <v>7</v>
      </c>
      <c r="AR9" s="161">
        <v>143</v>
      </c>
      <c r="AS9" s="161">
        <v>82</v>
      </c>
      <c r="AT9" s="161"/>
      <c r="AU9" s="161">
        <v>33</v>
      </c>
      <c r="AV9" s="161">
        <v>52</v>
      </c>
      <c r="AW9" s="161">
        <v>10</v>
      </c>
      <c r="AX9" s="161">
        <v>48</v>
      </c>
      <c r="AY9" s="161">
        <v>8</v>
      </c>
      <c r="AZ9" s="161"/>
      <c r="BA9" s="161">
        <v>38</v>
      </c>
      <c r="BB9" s="161">
        <v>8</v>
      </c>
      <c r="BC9" s="161">
        <v>8</v>
      </c>
      <c r="BD9" s="161">
        <v>184</v>
      </c>
      <c r="BE9" s="161">
        <v>1</v>
      </c>
      <c r="BF9" s="161">
        <v>615</v>
      </c>
      <c r="BG9" s="2585">
        <f t="shared" si="5"/>
        <v>0.11551155115511551</v>
      </c>
      <c r="BI9" s="2140"/>
      <c r="BJ9" s="2140"/>
      <c r="BK9" s="2148" t="s">
        <v>7</v>
      </c>
      <c r="BL9" s="2149">
        <v>149</v>
      </c>
      <c r="BM9" s="2149">
        <v>76</v>
      </c>
      <c r="BN9" s="2150"/>
      <c r="BO9" s="2149">
        <v>31</v>
      </c>
      <c r="BP9" s="2149">
        <v>46</v>
      </c>
      <c r="BQ9" s="2149">
        <v>4</v>
      </c>
      <c r="BR9" s="2149">
        <v>25</v>
      </c>
      <c r="BS9" s="2150"/>
      <c r="BT9" s="2150"/>
      <c r="BU9" s="2149">
        <v>32</v>
      </c>
      <c r="BV9" s="2149">
        <v>7</v>
      </c>
      <c r="BW9" s="2149">
        <v>6</v>
      </c>
      <c r="BX9" s="2149">
        <v>190</v>
      </c>
      <c r="BY9" s="2149">
        <v>1</v>
      </c>
      <c r="BZ9" s="2149">
        <v>567</v>
      </c>
      <c r="CA9" s="2151">
        <f t="shared" si="6"/>
        <v>0.10178571428571428</v>
      </c>
      <c r="CC9" s="1452"/>
      <c r="CD9" s="1452"/>
      <c r="CE9" s="1465" t="s">
        <v>7</v>
      </c>
      <c r="CF9" s="1466">
        <v>124</v>
      </c>
      <c r="CG9" s="1466">
        <v>63</v>
      </c>
      <c r="CH9" s="1452"/>
      <c r="CI9" s="1466">
        <v>37</v>
      </c>
      <c r="CJ9" s="1466">
        <v>42</v>
      </c>
      <c r="CK9" s="1466">
        <v>5</v>
      </c>
      <c r="CL9" s="1466">
        <v>61</v>
      </c>
      <c r="CM9" s="1452"/>
      <c r="CN9" s="1466">
        <v>0</v>
      </c>
      <c r="CO9" s="1466">
        <v>17</v>
      </c>
      <c r="CP9" s="1466">
        <v>5</v>
      </c>
      <c r="CQ9" s="1466">
        <v>170</v>
      </c>
      <c r="CR9" s="1466">
        <v>0</v>
      </c>
      <c r="CS9" s="1466">
        <v>524</v>
      </c>
      <c r="CT9" s="814">
        <f t="shared" si="7"/>
        <v>9.9236641221374045E-2</v>
      </c>
      <c r="CV9" s="929"/>
      <c r="CW9" s="929"/>
      <c r="CX9" s="1467" t="s">
        <v>7</v>
      </c>
      <c r="CY9" s="1468">
        <v>112</v>
      </c>
      <c r="CZ9" s="1468">
        <v>66</v>
      </c>
      <c r="DA9" s="1468">
        <v>0</v>
      </c>
      <c r="DB9" s="1468">
        <v>42</v>
      </c>
      <c r="DC9" s="1468">
        <v>34</v>
      </c>
      <c r="DD9" s="1468">
        <v>9</v>
      </c>
      <c r="DE9" s="1468">
        <v>37</v>
      </c>
      <c r="DF9" s="929"/>
      <c r="DG9" s="1468">
        <v>0</v>
      </c>
      <c r="DH9" s="1468">
        <v>15</v>
      </c>
      <c r="DI9" s="1468">
        <v>5</v>
      </c>
      <c r="DJ9" s="1468">
        <v>188</v>
      </c>
      <c r="DK9" s="1468">
        <v>0</v>
      </c>
      <c r="DL9" s="1468">
        <v>508</v>
      </c>
      <c r="DM9" s="814">
        <f t="shared" si="8"/>
        <v>9.4488188976377951E-2</v>
      </c>
      <c r="DO9" s="1094"/>
      <c r="DP9" s="1094"/>
      <c r="DQ9" s="1469" t="s">
        <v>7</v>
      </c>
      <c r="DR9" s="1470">
        <v>96</v>
      </c>
      <c r="DS9" s="1470">
        <v>39</v>
      </c>
      <c r="DT9" s="1470">
        <v>0</v>
      </c>
      <c r="DU9" s="1470">
        <v>45</v>
      </c>
      <c r="DV9" s="1470">
        <v>26</v>
      </c>
      <c r="DW9" s="1470">
        <v>11</v>
      </c>
      <c r="DX9" s="1470">
        <v>40</v>
      </c>
      <c r="DY9" s="1470">
        <v>0</v>
      </c>
      <c r="DZ9" s="1470">
        <v>14</v>
      </c>
      <c r="EA9" s="1470">
        <v>2</v>
      </c>
      <c r="EB9" s="1470">
        <v>101</v>
      </c>
      <c r="EC9" s="1470">
        <v>196</v>
      </c>
      <c r="ED9" s="1470">
        <v>0</v>
      </c>
      <c r="EE9" s="1470">
        <v>3</v>
      </c>
      <c r="EF9" s="1470">
        <v>573</v>
      </c>
      <c r="EG9" s="1471">
        <f t="shared" si="9"/>
        <v>8.3155650319829424E-2</v>
      </c>
      <c r="EI9" s="163"/>
      <c r="EJ9" s="163"/>
      <c r="EK9" s="80" t="s">
        <v>7</v>
      </c>
      <c r="EL9" s="80">
        <v>92</v>
      </c>
      <c r="EM9" s="80">
        <v>41</v>
      </c>
      <c r="EN9" s="80"/>
      <c r="EO9" s="80">
        <v>50</v>
      </c>
      <c r="EP9" s="80">
        <v>25</v>
      </c>
      <c r="EQ9" s="80">
        <v>9</v>
      </c>
      <c r="ER9" s="80">
        <v>36</v>
      </c>
      <c r="ES9" s="80">
        <v>0</v>
      </c>
      <c r="ET9" s="80">
        <v>5</v>
      </c>
      <c r="EU9" s="80">
        <v>4</v>
      </c>
      <c r="EV9" s="80">
        <v>96</v>
      </c>
      <c r="EW9" s="80">
        <v>174</v>
      </c>
      <c r="EX9" s="80">
        <v>0</v>
      </c>
      <c r="EY9" s="80">
        <v>2</v>
      </c>
      <c r="EZ9" s="80">
        <v>534</v>
      </c>
      <c r="FA9" s="1472">
        <f t="shared" si="1"/>
        <v>8.7155963302752298E-2</v>
      </c>
      <c r="FB9" s="80"/>
      <c r="FC9" s="681"/>
      <c r="FD9" s="681"/>
      <c r="FE9" s="681" t="s">
        <v>7</v>
      </c>
      <c r="FF9" s="1473">
        <v>65</v>
      </c>
      <c r="FG9" s="1473">
        <v>30</v>
      </c>
      <c r="FH9" s="1473" t="s">
        <v>332</v>
      </c>
      <c r="FI9" s="1473">
        <v>51</v>
      </c>
      <c r="FJ9" s="1473">
        <v>19</v>
      </c>
      <c r="FK9" s="1473">
        <v>9</v>
      </c>
      <c r="FL9" s="1473">
        <v>53</v>
      </c>
      <c r="FM9" s="1473" t="s">
        <v>332</v>
      </c>
      <c r="FN9" s="1473">
        <v>28</v>
      </c>
      <c r="FO9" s="1473">
        <v>1</v>
      </c>
      <c r="FP9" s="1473">
        <v>172</v>
      </c>
      <c r="FQ9" s="1473" t="s">
        <v>332</v>
      </c>
      <c r="FR9" s="1473">
        <v>428</v>
      </c>
      <c r="FS9" s="1473">
        <f t="shared" si="2"/>
        <v>29</v>
      </c>
      <c r="FT9" s="1474">
        <f t="shared" si="3"/>
        <v>6.7757009345794386E-2</v>
      </c>
      <c r="FU9" s="80"/>
      <c r="FV9" s="80"/>
    </row>
    <row r="10" spans="1:178">
      <c r="A10" s="73"/>
      <c r="B10" s="73"/>
      <c r="C10" s="73" t="s">
        <v>8</v>
      </c>
      <c r="D10" s="161">
        <v>163</v>
      </c>
      <c r="E10" s="161">
        <v>68</v>
      </c>
      <c r="F10" s="161"/>
      <c r="G10" s="161">
        <v>2</v>
      </c>
      <c r="H10" s="161">
        <v>87</v>
      </c>
      <c r="I10" s="161">
        <v>14</v>
      </c>
      <c r="J10" s="161">
        <v>52</v>
      </c>
      <c r="K10" s="161"/>
      <c r="L10" s="161"/>
      <c r="M10" s="161">
        <v>28</v>
      </c>
      <c r="N10" s="161">
        <v>12</v>
      </c>
      <c r="O10" s="161">
        <v>51</v>
      </c>
      <c r="P10" s="161">
        <v>170</v>
      </c>
      <c r="Q10" s="161"/>
      <c r="R10" s="161">
        <v>647</v>
      </c>
      <c r="S10" s="4680">
        <f t="shared" si="4"/>
        <v>0.18959731543624161</v>
      </c>
      <c r="U10" s="73"/>
      <c r="V10" s="73"/>
      <c r="W10" s="73" t="s">
        <v>8</v>
      </c>
      <c r="X10" s="161">
        <v>150</v>
      </c>
      <c r="Y10" s="161">
        <v>82</v>
      </c>
      <c r="Z10" s="161"/>
      <c r="AA10" s="161">
        <v>46</v>
      </c>
      <c r="AB10" s="161">
        <v>66</v>
      </c>
      <c r="AC10" s="161">
        <v>16</v>
      </c>
      <c r="AD10" s="161">
        <v>34</v>
      </c>
      <c r="AE10" s="161"/>
      <c r="AF10" s="161"/>
      <c r="AG10" s="161">
        <v>30</v>
      </c>
      <c r="AH10" s="161">
        <v>9</v>
      </c>
      <c r="AI10" s="161">
        <v>38</v>
      </c>
      <c r="AJ10" s="161">
        <v>147</v>
      </c>
      <c r="AK10" s="161">
        <v>1</v>
      </c>
      <c r="AL10" s="161">
        <v>619</v>
      </c>
      <c r="AM10" s="2585">
        <f t="shared" si="0"/>
        <v>0.15689655172413794</v>
      </c>
      <c r="AN10"/>
      <c r="AO10" s="73"/>
      <c r="AP10" s="73"/>
      <c r="AQ10" s="73" t="s">
        <v>8</v>
      </c>
      <c r="AR10" s="161">
        <v>131</v>
      </c>
      <c r="AS10" s="161">
        <v>82</v>
      </c>
      <c r="AT10" s="161"/>
      <c r="AU10" s="161">
        <v>42</v>
      </c>
      <c r="AV10" s="161">
        <v>66</v>
      </c>
      <c r="AW10" s="161">
        <v>11</v>
      </c>
      <c r="AX10" s="161">
        <v>25</v>
      </c>
      <c r="AY10" s="161">
        <v>3</v>
      </c>
      <c r="AZ10" s="161"/>
      <c r="BA10" s="161">
        <v>16</v>
      </c>
      <c r="BB10" s="161">
        <v>5</v>
      </c>
      <c r="BC10" s="161">
        <v>21</v>
      </c>
      <c r="BD10" s="161">
        <v>124</v>
      </c>
      <c r="BE10" s="161">
        <v>1</v>
      </c>
      <c r="BF10" s="161">
        <v>527</v>
      </c>
      <c r="BG10" s="2585">
        <f t="shared" si="5"/>
        <v>0.16237623762376238</v>
      </c>
      <c r="BI10" s="2140"/>
      <c r="BJ10" s="2140"/>
      <c r="BK10" s="2148" t="s">
        <v>8</v>
      </c>
      <c r="BL10" s="2149">
        <v>128</v>
      </c>
      <c r="BM10" s="2149">
        <v>65</v>
      </c>
      <c r="BN10" s="2150"/>
      <c r="BO10" s="2149">
        <v>41</v>
      </c>
      <c r="BP10" s="2149">
        <v>73</v>
      </c>
      <c r="BQ10" s="2149">
        <v>9</v>
      </c>
      <c r="BR10" s="2149">
        <v>36</v>
      </c>
      <c r="BS10" s="2150"/>
      <c r="BT10" s="2150"/>
      <c r="BU10" s="2149">
        <v>17</v>
      </c>
      <c r="BV10" s="2149">
        <v>6</v>
      </c>
      <c r="BW10" s="2149">
        <v>12</v>
      </c>
      <c r="BX10" s="2149">
        <v>113</v>
      </c>
      <c r="BY10" s="2149">
        <v>1</v>
      </c>
      <c r="BZ10" s="2149">
        <v>501</v>
      </c>
      <c r="CA10" s="2151">
        <f t="shared" si="6"/>
        <v>0.18032786885245902</v>
      </c>
      <c r="CC10" s="1452"/>
      <c r="CD10" s="1452"/>
      <c r="CE10" s="1465" t="s">
        <v>8</v>
      </c>
      <c r="CF10" s="1466">
        <v>99</v>
      </c>
      <c r="CG10" s="1466">
        <v>49</v>
      </c>
      <c r="CH10" s="1452"/>
      <c r="CI10" s="1466">
        <v>37</v>
      </c>
      <c r="CJ10" s="1466">
        <v>75</v>
      </c>
      <c r="CK10" s="1466">
        <v>10</v>
      </c>
      <c r="CL10" s="1466">
        <v>23</v>
      </c>
      <c r="CM10" s="1452"/>
      <c r="CN10" s="1466">
        <v>0</v>
      </c>
      <c r="CO10" s="1466">
        <v>24</v>
      </c>
      <c r="CP10" s="1466">
        <v>6</v>
      </c>
      <c r="CQ10" s="1466">
        <v>106</v>
      </c>
      <c r="CR10" s="1466">
        <v>0</v>
      </c>
      <c r="CS10" s="1466">
        <v>429</v>
      </c>
      <c r="CT10" s="814">
        <f t="shared" si="7"/>
        <v>0.21212121212121213</v>
      </c>
      <c r="CV10" s="929"/>
      <c r="CW10" s="929"/>
      <c r="CX10" s="1467" t="s">
        <v>8</v>
      </c>
      <c r="CY10" s="1468">
        <v>111</v>
      </c>
      <c r="CZ10" s="1468">
        <v>29</v>
      </c>
      <c r="DA10" s="1468">
        <v>0</v>
      </c>
      <c r="DB10" s="1468">
        <v>37</v>
      </c>
      <c r="DC10" s="1468">
        <v>64</v>
      </c>
      <c r="DD10" s="1468">
        <v>6</v>
      </c>
      <c r="DE10" s="1468">
        <v>21</v>
      </c>
      <c r="DF10" s="929"/>
      <c r="DG10" s="1468">
        <v>0</v>
      </c>
      <c r="DH10" s="1468">
        <v>7</v>
      </c>
      <c r="DI10" s="1468">
        <v>8</v>
      </c>
      <c r="DJ10" s="1468">
        <v>97</v>
      </c>
      <c r="DK10" s="1468">
        <v>0</v>
      </c>
      <c r="DL10" s="1468">
        <v>380</v>
      </c>
      <c r="DM10" s="814">
        <f t="shared" si="8"/>
        <v>0.20526315789473684</v>
      </c>
      <c r="DO10" s="1094"/>
      <c r="DP10" s="1094"/>
      <c r="DQ10" s="1469" t="s">
        <v>8</v>
      </c>
      <c r="DR10" s="1470">
        <v>91</v>
      </c>
      <c r="DS10" s="1470">
        <v>23</v>
      </c>
      <c r="DT10" s="1470">
        <v>0</v>
      </c>
      <c r="DU10" s="1470">
        <v>37</v>
      </c>
      <c r="DV10" s="1470">
        <v>64</v>
      </c>
      <c r="DW10" s="1470">
        <v>4</v>
      </c>
      <c r="DX10" s="1470">
        <v>25</v>
      </c>
      <c r="DY10" s="1470">
        <v>0</v>
      </c>
      <c r="DZ10" s="1470">
        <v>8</v>
      </c>
      <c r="EA10" s="1470">
        <v>7</v>
      </c>
      <c r="EB10" s="1470">
        <v>83</v>
      </c>
      <c r="EC10" s="1470">
        <v>97</v>
      </c>
      <c r="ED10" s="1470">
        <v>0</v>
      </c>
      <c r="EE10" s="1470">
        <v>1</v>
      </c>
      <c r="EF10" s="1470">
        <v>440</v>
      </c>
      <c r="EG10" s="1471">
        <f t="shared" si="9"/>
        <v>0.21067415730337077</v>
      </c>
      <c r="EI10" s="163"/>
      <c r="EJ10" s="163"/>
      <c r="EK10" s="80" t="s">
        <v>8</v>
      </c>
      <c r="EL10" s="80">
        <v>80</v>
      </c>
      <c r="EM10" s="80">
        <v>27</v>
      </c>
      <c r="EN10" s="80"/>
      <c r="EO10" s="80">
        <v>36</v>
      </c>
      <c r="EP10" s="80">
        <v>63</v>
      </c>
      <c r="EQ10" s="80">
        <v>6</v>
      </c>
      <c r="ER10" s="80">
        <v>32</v>
      </c>
      <c r="ES10" s="80">
        <v>0</v>
      </c>
      <c r="ET10" s="80">
        <v>5</v>
      </c>
      <c r="EU10" s="80">
        <v>3</v>
      </c>
      <c r="EV10" s="80">
        <v>74</v>
      </c>
      <c r="EW10" s="80">
        <v>90</v>
      </c>
      <c r="EX10" s="80">
        <v>0</v>
      </c>
      <c r="EY10" s="80">
        <v>1</v>
      </c>
      <c r="EZ10" s="80">
        <v>417</v>
      </c>
      <c r="FA10" s="1472">
        <f t="shared" si="1"/>
        <v>0.21052631578947367</v>
      </c>
      <c r="FB10" s="80"/>
      <c r="FC10" s="681"/>
      <c r="FD10" s="681"/>
      <c r="FE10" s="681" t="s">
        <v>8</v>
      </c>
      <c r="FF10" s="1473">
        <v>68</v>
      </c>
      <c r="FG10" s="1473">
        <v>19</v>
      </c>
      <c r="FH10" s="1473" t="s">
        <v>332</v>
      </c>
      <c r="FI10" s="1473">
        <v>40</v>
      </c>
      <c r="FJ10" s="1473">
        <v>64</v>
      </c>
      <c r="FK10" s="1473">
        <v>7</v>
      </c>
      <c r="FL10" s="1473">
        <v>38</v>
      </c>
      <c r="FM10" s="1473" t="s">
        <v>332</v>
      </c>
      <c r="FN10" s="1473">
        <v>17</v>
      </c>
      <c r="FO10" s="1473">
        <v>4</v>
      </c>
      <c r="FP10" s="1473">
        <v>102</v>
      </c>
      <c r="FQ10" s="1473" t="s">
        <v>332</v>
      </c>
      <c r="FR10" s="1473">
        <v>359</v>
      </c>
      <c r="FS10" s="1473">
        <f t="shared" si="2"/>
        <v>75</v>
      </c>
      <c r="FT10" s="1474">
        <f t="shared" si="3"/>
        <v>0.20891364902506965</v>
      </c>
      <c r="FU10" s="80"/>
      <c r="FV10" s="80"/>
    </row>
    <row r="11" spans="1:178">
      <c r="A11" s="73"/>
      <c r="B11" s="73"/>
      <c r="C11" s="73" t="s">
        <v>9</v>
      </c>
      <c r="D11" s="161">
        <v>170</v>
      </c>
      <c r="E11" s="161">
        <v>87</v>
      </c>
      <c r="F11" s="161"/>
      <c r="G11" s="161">
        <v>1</v>
      </c>
      <c r="H11" s="161">
        <v>281</v>
      </c>
      <c r="I11" s="161">
        <v>37</v>
      </c>
      <c r="J11" s="161">
        <v>112</v>
      </c>
      <c r="K11" s="161"/>
      <c r="L11" s="161"/>
      <c r="M11" s="161">
        <v>41</v>
      </c>
      <c r="N11" s="161">
        <v>50</v>
      </c>
      <c r="O11" s="161">
        <v>65</v>
      </c>
      <c r="P11" s="161">
        <v>241</v>
      </c>
      <c r="Q11" s="161"/>
      <c r="R11" s="161">
        <v>1085</v>
      </c>
      <c r="S11" s="4680">
        <f t="shared" si="4"/>
        <v>0.36078431372549019</v>
      </c>
      <c r="U11" s="73"/>
      <c r="V11" s="73"/>
      <c r="W11" s="73" t="s">
        <v>9</v>
      </c>
      <c r="X11" s="161">
        <v>187</v>
      </c>
      <c r="Y11" s="161">
        <v>111</v>
      </c>
      <c r="Z11" s="161"/>
      <c r="AA11" s="161">
        <v>60</v>
      </c>
      <c r="AB11" s="161">
        <v>263</v>
      </c>
      <c r="AC11" s="161">
        <v>54</v>
      </c>
      <c r="AD11" s="161">
        <v>136</v>
      </c>
      <c r="AE11" s="161"/>
      <c r="AF11" s="161"/>
      <c r="AG11" s="161">
        <v>41</v>
      </c>
      <c r="AH11" s="161">
        <v>68</v>
      </c>
      <c r="AI11" s="161">
        <v>49</v>
      </c>
      <c r="AJ11" s="161">
        <v>269</v>
      </c>
      <c r="AK11" s="161">
        <v>2</v>
      </c>
      <c r="AL11" s="161">
        <v>1240</v>
      </c>
      <c r="AM11" s="2585">
        <f t="shared" si="0"/>
        <v>0.32380151387720774</v>
      </c>
      <c r="AN11"/>
      <c r="AO11" s="73"/>
      <c r="AP11" s="73"/>
      <c r="AQ11" s="73" t="s">
        <v>9</v>
      </c>
      <c r="AR11" s="161">
        <v>217</v>
      </c>
      <c r="AS11" s="161">
        <v>146</v>
      </c>
      <c r="AT11" s="161"/>
      <c r="AU11" s="161">
        <v>66</v>
      </c>
      <c r="AV11" s="161">
        <v>273</v>
      </c>
      <c r="AW11" s="161">
        <v>47</v>
      </c>
      <c r="AX11" s="161">
        <v>126</v>
      </c>
      <c r="AY11" s="161">
        <v>18</v>
      </c>
      <c r="AZ11" s="161"/>
      <c r="BA11" s="161">
        <v>43</v>
      </c>
      <c r="BB11" s="161">
        <v>55</v>
      </c>
      <c r="BC11" s="161">
        <v>19</v>
      </c>
      <c r="BD11" s="161">
        <v>318</v>
      </c>
      <c r="BE11" s="161">
        <v>2</v>
      </c>
      <c r="BF11" s="161">
        <v>1330</v>
      </c>
      <c r="BG11" s="2585">
        <f t="shared" si="5"/>
        <v>0.28647822765469827</v>
      </c>
      <c r="BI11" s="2140"/>
      <c r="BJ11" s="2140"/>
      <c r="BK11" s="2148" t="s">
        <v>9</v>
      </c>
      <c r="BL11" s="2149">
        <v>305</v>
      </c>
      <c r="BM11" s="2149">
        <v>122</v>
      </c>
      <c r="BN11" s="2150"/>
      <c r="BO11" s="2149">
        <v>70</v>
      </c>
      <c r="BP11" s="2149">
        <v>288</v>
      </c>
      <c r="BQ11" s="2149">
        <v>31</v>
      </c>
      <c r="BR11" s="2149">
        <v>106</v>
      </c>
      <c r="BS11" s="2150"/>
      <c r="BT11" s="2150"/>
      <c r="BU11" s="2149">
        <v>50</v>
      </c>
      <c r="BV11" s="2149">
        <v>53</v>
      </c>
      <c r="BW11" s="2149">
        <v>9</v>
      </c>
      <c r="BX11" s="2149">
        <v>380</v>
      </c>
      <c r="BY11" s="2149">
        <v>2</v>
      </c>
      <c r="BZ11" s="2149">
        <v>1416</v>
      </c>
      <c r="CA11" s="2151">
        <f t="shared" si="6"/>
        <v>0.26476868327402137</v>
      </c>
      <c r="CC11" s="1452"/>
      <c r="CD11" s="1452"/>
      <c r="CE11" s="1465" t="s">
        <v>9</v>
      </c>
      <c r="CF11" s="1466">
        <v>300</v>
      </c>
      <c r="CG11" s="1466">
        <v>155</v>
      </c>
      <c r="CH11" s="1452"/>
      <c r="CI11" s="1466">
        <v>89</v>
      </c>
      <c r="CJ11" s="1466">
        <v>330</v>
      </c>
      <c r="CK11" s="1466">
        <v>32</v>
      </c>
      <c r="CL11" s="1466">
        <v>136</v>
      </c>
      <c r="CM11" s="1452"/>
      <c r="CN11" s="1466">
        <v>0</v>
      </c>
      <c r="CO11" s="1466">
        <v>52</v>
      </c>
      <c r="CP11" s="1466">
        <v>45</v>
      </c>
      <c r="CQ11" s="1466">
        <v>399</v>
      </c>
      <c r="CR11" s="1466">
        <v>0</v>
      </c>
      <c r="CS11" s="1466">
        <v>1538</v>
      </c>
      <c r="CT11" s="814">
        <f t="shared" si="7"/>
        <v>0.26462938881664499</v>
      </c>
      <c r="CV11" s="929"/>
      <c r="CW11" s="929"/>
      <c r="CX11" s="1467" t="s">
        <v>9</v>
      </c>
      <c r="CY11" s="1468">
        <v>305</v>
      </c>
      <c r="CZ11" s="1468">
        <v>168</v>
      </c>
      <c r="DA11" s="1468">
        <v>1</v>
      </c>
      <c r="DB11" s="1468">
        <v>106</v>
      </c>
      <c r="DC11" s="1468">
        <v>292</v>
      </c>
      <c r="DD11" s="1468">
        <v>66</v>
      </c>
      <c r="DE11" s="1468">
        <v>110</v>
      </c>
      <c r="DF11" s="929"/>
      <c r="DG11" s="1468">
        <v>0</v>
      </c>
      <c r="DH11" s="1468">
        <v>32</v>
      </c>
      <c r="DI11" s="1468">
        <v>40</v>
      </c>
      <c r="DJ11" s="1468">
        <v>426</v>
      </c>
      <c r="DK11" s="1468">
        <v>0</v>
      </c>
      <c r="DL11" s="1468">
        <v>1546</v>
      </c>
      <c r="DM11" s="814">
        <f t="shared" si="8"/>
        <v>0.25743855109961189</v>
      </c>
      <c r="DO11" s="1094"/>
      <c r="DP11" s="1094"/>
      <c r="DQ11" s="1469" t="s">
        <v>9</v>
      </c>
      <c r="DR11" s="1470">
        <v>343</v>
      </c>
      <c r="DS11" s="1470">
        <v>128</v>
      </c>
      <c r="DT11" s="1470">
        <v>0</v>
      </c>
      <c r="DU11" s="1470">
        <v>135</v>
      </c>
      <c r="DV11" s="1470">
        <v>272</v>
      </c>
      <c r="DW11" s="1470">
        <v>33</v>
      </c>
      <c r="DX11" s="1470">
        <v>106</v>
      </c>
      <c r="DY11" s="1470">
        <v>0</v>
      </c>
      <c r="DZ11" s="1470">
        <v>45</v>
      </c>
      <c r="EA11" s="1470">
        <v>40</v>
      </c>
      <c r="EB11" s="1470">
        <v>475</v>
      </c>
      <c r="EC11" s="1470">
        <v>488</v>
      </c>
      <c r="ED11" s="1470">
        <v>0</v>
      </c>
      <c r="EE11" s="1470">
        <v>3</v>
      </c>
      <c r="EF11" s="1470">
        <v>2068</v>
      </c>
      <c r="EG11" s="1471">
        <f t="shared" si="9"/>
        <v>0.21698113207547171</v>
      </c>
      <c r="EI11" s="163"/>
      <c r="EJ11" s="163"/>
      <c r="EK11" s="80" t="s">
        <v>9</v>
      </c>
      <c r="EL11" s="80">
        <v>328</v>
      </c>
      <c r="EM11" s="80">
        <v>117</v>
      </c>
      <c r="EN11" s="80"/>
      <c r="EO11" s="80">
        <v>143</v>
      </c>
      <c r="EP11" s="80">
        <v>282</v>
      </c>
      <c r="EQ11" s="80">
        <v>39</v>
      </c>
      <c r="ER11" s="80">
        <v>125</v>
      </c>
      <c r="ES11" s="80">
        <v>0</v>
      </c>
      <c r="ET11" s="80">
        <v>27</v>
      </c>
      <c r="EU11" s="80">
        <v>29</v>
      </c>
      <c r="EV11" s="80">
        <v>424</v>
      </c>
      <c r="EW11" s="80">
        <v>504</v>
      </c>
      <c r="EX11" s="80">
        <v>0</v>
      </c>
      <c r="EY11" s="80">
        <v>3</v>
      </c>
      <c r="EZ11" s="80">
        <v>2021</v>
      </c>
      <c r="FA11" s="1472">
        <f t="shared" si="1"/>
        <v>0.21957340025094102</v>
      </c>
      <c r="FB11" s="80"/>
      <c r="FC11" s="681"/>
      <c r="FD11" s="681"/>
      <c r="FE11" s="681" t="s">
        <v>9</v>
      </c>
      <c r="FF11" s="1473">
        <v>258</v>
      </c>
      <c r="FG11" s="1473">
        <v>130</v>
      </c>
      <c r="FH11" s="1473" t="s">
        <v>332</v>
      </c>
      <c r="FI11" s="1473">
        <v>148</v>
      </c>
      <c r="FJ11" s="1473">
        <v>272</v>
      </c>
      <c r="FK11" s="1473">
        <v>34</v>
      </c>
      <c r="FL11" s="1473">
        <v>155</v>
      </c>
      <c r="FM11" s="1473" t="s">
        <v>332</v>
      </c>
      <c r="FN11" s="1473">
        <v>79</v>
      </c>
      <c r="FO11" s="1473">
        <v>39</v>
      </c>
      <c r="FP11" s="1473">
        <v>481</v>
      </c>
      <c r="FQ11" s="1473" t="s">
        <v>332</v>
      </c>
      <c r="FR11" s="1473">
        <v>1596</v>
      </c>
      <c r="FS11" s="1473">
        <f t="shared" si="2"/>
        <v>345</v>
      </c>
      <c r="FT11" s="1474">
        <f t="shared" si="3"/>
        <v>0.21616541353383459</v>
      </c>
      <c r="FU11" s="80"/>
      <c r="FV11" s="80"/>
    </row>
    <row r="12" spans="1:178">
      <c r="A12" s="73"/>
      <c r="B12" s="73"/>
      <c r="C12" s="73" t="s">
        <v>10</v>
      </c>
      <c r="D12" s="161">
        <v>182</v>
      </c>
      <c r="E12" s="161">
        <v>87</v>
      </c>
      <c r="F12" s="161"/>
      <c r="G12" s="161">
        <v>1</v>
      </c>
      <c r="H12" s="161">
        <v>155</v>
      </c>
      <c r="I12" s="161">
        <v>29</v>
      </c>
      <c r="J12" s="161">
        <v>120</v>
      </c>
      <c r="K12" s="161"/>
      <c r="L12" s="161"/>
      <c r="M12" s="161">
        <v>45</v>
      </c>
      <c r="N12" s="161">
        <v>37</v>
      </c>
      <c r="O12" s="161">
        <v>75</v>
      </c>
      <c r="P12" s="161">
        <v>253</v>
      </c>
      <c r="Q12" s="161"/>
      <c r="R12" s="161">
        <v>984</v>
      </c>
      <c r="S12" s="4680">
        <f t="shared" si="4"/>
        <v>0.24312431243124313</v>
      </c>
      <c r="U12" s="73"/>
      <c r="V12" s="73"/>
      <c r="W12" s="73" t="s">
        <v>10</v>
      </c>
      <c r="X12" s="161">
        <v>215</v>
      </c>
      <c r="Y12" s="161">
        <v>130</v>
      </c>
      <c r="Z12" s="161"/>
      <c r="AA12" s="161">
        <v>55</v>
      </c>
      <c r="AB12" s="161">
        <v>140</v>
      </c>
      <c r="AC12" s="161">
        <v>32</v>
      </c>
      <c r="AD12" s="161">
        <v>95</v>
      </c>
      <c r="AE12" s="161"/>
      <c r="AF12" s="161"/>
      <c r="AG12" s="161">
        <v>29</v>
      </c>
      <c r="AH12" s="161">
        <v>38</v>
      </c>
      <c r="AI12" s="161">
        <v>56</v>
      </c>
      <c r="AJ12" s="161">
        <v>272</v>
      </c>
      <c r="AK12" s="161">
        <v>0</v>
      </c>
      <c r="AL12" s="161">
        <v>1062</v>
      </c>
      <c r="AM12" s="2585">
        <f t="shared" si="0"/>
        <v>0.20874751491053678</v>
      </c>
      <c r="AN12"/>
      <c r="AO12" s="73"/>
      <c r="AP12" s="73"/>
      <c r="AQ12" s="73" t="s">
        <v>10</v>
      </c>
      <c r="AR12" s="161">
        <v>207</v>
      </c>
      <c r="AS12" s="161">
        <v>154</v>
      </c>
      <c r="AT12" s="161"/>
      <c r="AU12" s="161">
        <v>62</v>
      </c>
      <c r="AV12" s="161">
        <v>140</v>
      </c>
      <c r="AW12" s="161">
        <v>18</v>
      </c>
      <c r="AX12" s="161">
        <v>120</v>
      </c>
      <c r="AY12" s="161">
        <v>13</v>
      </c>
      <c r="AZ12" s="161"/>
      <c r="BA12" s="161">
        <v>41</v>
      </c>
      <c r="BB12" s="161">
        <v>25</v>
      </c>
      <c r="BC12" s="161">
        <v>29</v>
      </c>
      <c r="BD12" s="161">
        <v>286</v>
      </c>
      <c r="BE12" s="161">
        <v>0</v>
      </c>
      <c r="BF12" s="161">
        <v>1095</v>
      </c>
      <c r="BG12" s="2585">
        <f t="shared" si="5"/>
        <v>0.17166979362101314</v>
      </c>
      <c r="BI12" s="2140"/>
      <c r="BJ12" s="2140"/>
      <c r="BK12" s="2148" t="s">
        <v>10</v>
      </c>
      <c r="BL12" s="2149">
        <v>263</v>
      </c>
      <c r="BM12" s="2149">
        <v>139</v>
      </c>
      <c r="BN12" s="2150"/>
      <c r="BO12" s="2149">
        <v>63</v>
      </c>
      <c r="BP12" s="2149">
        <v>136</v>
      </c>
      <c r="BQ12" s="2149">
        <v>22</v>
      </c>
      <c r="BR12" s="2149">
        <v>85</v>
      </c>
      <c r="BS12" s="2150"/>
      <c r="BT12" s="2150"/>
      <c r="BU12" s="2149">
        <v>49</v>
      </c>
      <c r="BV12" s="2149">
        <v>21</v>
      </c>
      <c r="BW12" s="2149">
        <v>20</v>
      </c>
      <c r="BX12" s="2149">
        <v>340</v>
      </c>
      <c r="BY12" s="2149">
        <v>0</v>
      </c>
      <c r="BZ12" s="2149">
        <v>1138</v>
      </c>
      <c r="CA12" s="2151">
        <f t="shared" si="6"/>
        <v>0.16010733452593917</v>
      </c>
      <c r="CC12" s="1452"/>
      <c r="CD12" s="1452"/>
      <c r="CE12" s="1465" t="s">
        <v>10</v>
      </c>
      <c r="CF12" s="1466">
        <v>265</v>
      </c>
      <c r="CG12" s="1466">
        <v>133</v>
      </c>
      <c r="CH12" s="1452"/>
      <c r="CI12" s="1466">
        <v>75</v>
      </c>
      <c r="CJ12" s="1466">
        <v>127</v>
      </c>
      <c r="CK12" s="1466">
        <v>20</v>
      </c>
      <c r="CL12" s="1466">
        <v>110</v>
      </c>
      <c r="CM12" s="1452"/>
      <c r="CN12" s="1466">
        <v>0</v>
      </c>
      <c r="CO12" s="1466">
        <v>41</v>
      </c>
      <c r="CP12" s="1466">
        <v>19</v>
      </c>
      <c r="CQ12" s="1466">
        <v>350</v>
      </c>
      <c r="CR12" s="1466">
        <v>0</v>
      </c>
      <c r="CS12" s="1466">
        <v>1140</v>
      </c>
      <c r="CT12" s="814">
        <f t="shared" si="7"/>
        <v>0.14561403508771931</v>
      </c>
      <c r="CV12" s="929"/>
      <c r="CW12" s="929"/>
      <c r="CX12" s="1467" t="s">
        <v>10</v>
      </c>
      <c r="CY12" s="1468">
        <v>228</v>
      </c>
      <c r="CZ12" s="1468">
        <v>125</v>
      </c>
      <c r="DA12" s="1468">
        <v>0</v>
      </c>
      <c r="DB12" s="1468">
        <v>81</v>
      </c>
      <c r="DC12" s="1468">
        <v>133</v>
      </c>
      <c r="DD12" s="1468">
        <v>26</v>
      </c>
      <c r="DE12" s="1468">
        <v>78</v>
      </c>
      <c r="DF12" s="929"/>
      <c r="DG12" s="1468">
        <v>0</v>
      </c>
      <c r="DH12" s="1468">
        <v>24</v>
      </c>
      <c r="DI12" s="1468">
        <v>13</v>
      </c>
      <c r="DJ12" s="1468">
        <v>358</v>
      </c>
      <c r="DK12" s="1468">
        <v>0</v>
      </c>
      <c r="DL12" s="1468">
        <v>1066</v>
      </c>
      <c r="DM12" s="814">
        <f t="shared" si="8"/>
        <v>0.16135084427767354</v>
      </c>
      <c r="DO12" s="1094"/>
      <c r="DP12" s="1094"/>
      <c r="DQ12" s="1469" t="s">
        <v>10</v>
      </c>
      <c r="DR12" s="1470">
        <v>239</v>
      </c>
      <c r="DS12" s="1470">
        <v>91</v>
      </c>
      <c r="DT12" s="1470">
        <v>0</v>
      </c>
      <c r="DU12" s="1470">
        <v>84</v>
      </c>
      <c r="DV12" s="1470">
        <v>124</v>
      </c>
      <c r="DW12" s="1470">
        <v>17</v>
      </c>
      <c r="DX12" s="1470">
        <v>97</v>
      </c>
      <c r="DY12" s="1470">
        <v>0</v>
      </c>
      <c r="DZ12" s="1470">
        <v>24</v>
      </c>
      <c r="EA12" s="1470">
        <v>18</v>
      </c>
      <c r="EB12" s="1470">
        <v>458</v>
      </c>
      <c r="EC12" s="1470">
        <v>380</v>
      </c>
      <c r="ED12" s="1470">
        <v>0</v>
      </c>
      <c r="EE12" s="1470">
        <v>3</v>
      </c>
      <c r="EF12" s="1470">
        <v>1535</v>
      </c>
      <c r="EG12" s="1471">
        <f t="shared" si="9"/>
        <v>0.14804469273743018</v>
      </c>
      <c r="EI12" s="163"/>
      <c r="EJ12" s="163"/>
      <c r="EK12" s="80" t="s">
        <v>10</v>
      </c>
      <c r="EL12" s="80">
        <v>224</v>
      </c>
      <c r="EM12" s="80">
        <v>87</v>
      </c>
      <c r="EN12" s="80"/>
      <c r="EO12" s="80">
        <v>93</v>
      </c>
      <c r="EP12" s="80">
        <v>120</v>
      </c>
      <c r="EQ12" s="80">
        <v>19</v>
      </c>
      <c r="ER12" s="80">
        <v>119</v>
      </c>
      <c r="ES12" s="80">
        <v>0</v>
      </c>
      <c r="ET12" s="80">
        <v>16</v>
      </c>
      <c r="EU12" s="80">
        <v>10</v>
      </c>
      <c r="EV12" s="80">
        <v>422</v>
      </c>
      <c r="EW12" s="80">
        <v>383</v>
      </c>
      <c r="EX12" s="80">
        <v>0</v>
      </c>
      <c r="EY12" s="80">
        <v>3</v>
      </c>
      <c r="EZ12" s="80">
        <v>1496</v>
      </c>
      <c r="FA12" s="1472">
        <f t="shared" si="1"/>
        <v>0.13912231559290383</v>
      </c>
      <c r="FB12" s="80"/>
      <c r="FC12" s="681"/>
      <c r="FD12" s="681"/>
      <c r="FE12" s="681" t="s">
        <v>10</v>
      </c>
      <c r="FF12" s="1473">
        <v>204</v>
      </c>
      <c r="FG12" s="1473">
        <v>82</v>
      </c>
      <c r="FH12" s="1473" t="s">
        <v>332</v>
      </c>
      <c r="FI12" s="1473">
        <v>103</v>
      </c>
      <c r="FJ12" s="1473">
        <v>119</v>
      </c>
      <c r="FK12" s="1473">
        <v>18</v>
      </c>
      <c r="FL12" s="1473">
        <v>112</v>
      </c>
      <c r="FM12" s="1473" t="s">
        <v>332</v>
      </c>
      <c r="FN12" s="1473">
        <v>19</v>
      </c>
      <c r="FO12" s="1473">
        <v>9</v>
      </c>
      <c r="FP12" s="1473">
        <v>420</v>
      </c>
      <c r="FQ12" s="1473" t="s">
        <v>332</v>
      </c>
      <c r="FR12" s="1473">
        <v>1086</v>
      </c>
      <c r="FS12" s="1473">
        <f t="shared" si="2"/>
        <v>146</v>
      </c>
      <c r="FT12" s="1474">
        <f t="shared" si="3"/>
        <v>0.13443830570902393</v>
      </c>
      <c r="FU12" s="80"/>
      <c r="FV12" s="80"/>
    </row>
    <row r="13" spans="1:178">
      <c r="A13" s="73"/>
      <c r="B13" s="73"/>
      <c r="C13" s="73" t="s">
        <v>11</v>
      </c>
      <c r="D13" s="161">
        <v>160</v>
      </c>
      <c r="E13" s="161">
        <v>64</v>
      </c>
      <c r="F13" s="161"/>
      <c r="G13" s="161">
        <v>0</v>
      </c>
      <c r="H13" s="161">
        <v>52</v>
      </c>
      <c r="I13" s="161">
        <v>10</v>
      </c>
      <c r="J13" s="161">
        <v>20</v>
      </c>
      <c r="K13" s="161"/>
      <c r="L13" s="161"/>
      <c r="M13" s="161">
        <v>30</v>
      </c>
      <c r="N13" s="161">
        <v>13</v>
      </c>
      <c r="O13" s="161">
        <v>25</v>
      </c>
      <c r="P13" s="161">
        <v>135</v>
      </c>
      <c r="Q13" s="161"/>
      <c r="R13" s="161">
        <v>509</v>
      </c>
      <c r="S13" s="4680">
        <f t="shared" si="4"/>
        <v>0.15495867768595042</v>
      </c>
      <c r="U13" s="73"/>
      <c r="V13" s="73"/>
      <c r="W13" s="73" t="s">
        <v>11</v>
      </c>
      <c r="X13" s="161">
        <v>132</v>
      </c>
      <c r="Y13" s="161">
        <v>70</v>
      </c>
      <c r="Z13" s="161"/>
      <c r="AA13" s="161">
        <v>34</v>
      </c>
      <c r="AB13" s="161">
        <v>48</v>
      </c>
      <c r="AC13" s="161">
        <v>11</v>
      </c>
      <c r="AD13" s="161">
        <v>14</v>
      </c>
      <c r="AE13" s="161"/>
      <c r="AF13" s="161"/>
      <c r="AG13" s="161">
        <v>27</v>
      </c>
      <c r="AH13" s="161">
        <v>9</v>
      </c>
      <c r="AI13" s="161">
        <v>21</v>
      </c>
      <c r="AJ13" s="161">
        <v>104</v>
      </c>
      <c r="AK13" s="161">
        <v>1</v>
      </c>
      <c r="AL13" s="161">
        <v>471</v>
      </c>
      <c r="AM13" s="2585">
        <f t="shared" si="0"/>
        <v>0.15144766146993319</v>
      </c>
      <c r="AN13"/>
      <c r="AO13" s="73"/>
      <c r="AP13" s="73"/>
      <c r="AQ13" s="73" t="s">
        <v>11</v>
      </c>
      <c r="AR13" s="161">
        <v>111</v>
      </c>
      <c r="AS13" s="161">
        <v>66</v>
      </c>
      <c r="AT13" s="161"/>
      <c r="AU13" s="161">
        <v>31</v>
      </c>
      <c r="AV13" s="161">
        <v>45</v>
      </c>
      <c r="AW13" s="161">
        <v>6</v>
      </c>
      <c r="AX13" s="161">
        <v>13</v>
      </c>
      <c r="AY13" s="161">
        <v>2</v>
      </c>
      <c r="AZ13" s="161"/>
      <c r="BA13" s="161">
        <v>15</v>
      </c>
      <c r="BB13" s="161">
        <v>3</v>
      </c>
      <c r="BC13" s="161">
        <v>12</v>
      </c>
      <c r="BD13" s="161">
        <v>87</v>
      </c>
      <c r="BE13" s="161">
        <v>1</v>
      </c>
      <c r="BF13" s="161">
        <v>392</v>
      </c>
      <c r="BG13" s="2585">
        <f t="shared" si="5"/>
        <v>0.14248021108179421</v>
      </c>
      <c r="BI13" s="2140"/>
      <c r="BJ13" s="2140"/>
      <c r="BK13" s="2148" t="s">
        <v>11</v>
      </c>
      <c r="BL13" s="2149">
        <v>96</v>
      </c>
      <c r="BM13" s="2149">
        <v>43</v>
      </c>
      <c r="BN13" s="2150"/>
      <c r="BO13" s="2149">
        <v>27</v>
      </c>
      <c r="BP13" s="2149">
        <v>39</v>
      </c>
      <c r="BQ13" s="2149">
        <v>7</v>
      </c>
      <c r="BR13" s="2149">
        <v>13</v>
      </c>
      <c r="BS13" s="2150"/>
      <c r="BT13" s="2150"/>
      <c r="BU13" s="2149">
        <v>10</v>
      </c>
      <c r="BV13" s="2149">
        <v>7</v>
      </c>
      <c r="BW13" s="2149">
        <v>7</v>
      </c>
      <c r="BX13" s="2149">
        <v>81</v>
      </c>
      <c r="BY13" s="2149">
        <v>1</v>
      </c>
      <c r="BZ13" s="2149">
        <v>331</v>
      </c>
      <c r="CA13" s="2151">
        <f t="shared" si="6"/>
        <v>0.16408668730650156</v>
      </c>
      <c r="CC13" s="1452"/>
      <c r="CD13" s="1452"/>
      <c r="CE13" s="1465" t="s">
        <v>11</v>
      </c>
      <c r="CF13" s="1466">
        <v>75</v>
      </c>
      <c r="CG13" s="1466">
        <v>27</v>
      </c>
      <c r="CH13" s="1452"/>
      <c r="CI13" s="1466">
        <v>27</v>
      </c>
      <c r="CJ13" s="1466">
        <v>31</v>
      </c>
      <c r="CK13" s="1466">
        <v>3</v>
      </c>
      <c r="CL13" s="1466">
        <v>11</v>
      </c>
      <c r="CM13" s="1452"/>
      <c r="CN13" s="1466">
        <v>1</v>
      </c>
      <c r="CO13" s="1466">
        <v>12</v>
      </c>
      <c r="CP13" s="1466">
        <v>9</v>
      </c>
      <c r="CQ13" s="1466">
        <v>64</v>
      </c>
      <c r="CR13" s="1466">
        <v>0</v>
      </c>
      <c r="CS13" s="1466">
        <v>260</v>
      </c>
      <c r="CT13" s="814">
        <f t="shared" si="7"/>
        <v>0.16538461538461538</v>
      </c>
      <c r="CV13" s="929"/>
      <c r="CW13" s="929"/>
      <c r="CX13" s="1467" t="s">
        <v>11</v>
      </c>
      <c r="CY13" s="1468">
        <v>75</v>
      </c>
      <c r="CZ13" s="1468">
        <v>26</v>
      </c>
      <c r="DA13" s="1468">
        <v>0</v>
      </c>
      <c r="DB13" s="1468">
        <v>25</v>
      </c>
      <c r="DC13" s="1468">
        <v>22</v>
      </c>
      <c r="DD13" s="1468">
        <v>3</v>
      </c>
      <c r="DE13" s="1468">
        <v>9</v>
      </c>
      <c r="DF13" s="929"/>
      <c r="DG13" s="1468">
        <v>1</v>
      </c>
      <c r="DH13" s="1468">
        <v>5</v>
      </c>
      <c r="DI13" s="1468">
        <v>4</v>
      </c>
      <c r="DJ13" s="1468">
        <v>51</v>
      </c>
      <c r="DK13" s="1468">
        <v>0</v>
      </c>
      <c r="DL13" s="1468">
        <v>221</v>
      </c>
      <c r="DM13" s="814">
        <f t="shared" si="8"/>
        <v>0.13122171945701358</v>
      </c>
      <c r="DO13" s="1094"/>
      <c r="DP13" s="1094"/>
      <c r="DQ13" s="1469" t="s">
        <v>11</v>
      </c>
      <c r="DR13" s="1470">
        <v>56</v>
      </c>
      <c r="DS13" s="1470">
        <v>14</v>
      </c>
      <c r="DT13" s="1470">
        <v>0</v>
      </c>
      <c r="DU13" s="1470">
        <v>21</v>
      </c>
      <c r="DV13" s="1470">
        <v>18</v>
      </c>
      <c r="DW13" s="1470">
        <v>3</v>
      </c>
      <c r="DX13" s="1470">
        <v>13</v>
      </c>
      <c r="DY13" s="1470">
        <v>1</v>
      </c>
      <c r="DZ13" s="1470">
        <v>1</v>
      </c>
      <c r="EA13" s="1470">
        <v>1</v>
      </c>
      <c r="EB13" s="1470">
        <v>44</v>
      </c>
      <c r="EC13" s="1470">
        <v>48</v>
      </c>
      <c r="ED13" s="1470">
        <v>0</v>
      </c>
      <c r="EE13" s="1470">
        <v>1</v>
      </c>
      <c r="EF13" s="1470">
        <v>221</v>
      </c>
      <c r="EG13" s="1471">
        <f t="shared" si="9"/>
        <v>0.125</v>
      </c>
      <c r="EI13" s="163"/>
      <c r="EJ13" s="163"/>
      <c r="EK13" s="80" t="s">
        <v>11</v>
      </c>
      <c r="EL13" s="80">
        <v>43</v>
      </c>
      <c r="EM13" s="80">
        <v>9</v>
      </c>
      <c r="EN13" s="80"/>
      <c r="EO13" s="80">
        <v>24</v>
      </c>
      <c r="EP13" s="80">
        <v>16</v>
      </c>
      <c r="EQ13" s="80">
        <v>4</v>
      </c>
      <c r="ER13" s="80">
        <v>16</v>
      </c>
      <c r="ES13" s="80">
        <v>1</v>
      </c>
      <c r="ET13" s="80">
        <v>3</v>
      </c>
      <c r="EU13" s="80">
        <v>1</v>
      </c>
      <c r="EV13" s="80">
        <v>38</v>
      </c>
      <c r="EW13" s="80">
        <v>47</v>
      </c>
      <c r="EX13" s="80">
        <v>0</v>
      </c>
      <c r="EY13" s="80">
        <v>0</v>
      </c>
      <c r="EZ13" s="80">
        <v>202</v>
      </c>
      <c r="FA13" s="1472">
        <f t="shared" si="1"/>
        <v>0.12804878048780488</v>
      </c>
      <c r="FB13" s="80"/>
      <c r="FC13" s="681"/>
      <c r="FD13" s="681"/>
      <c r="FE13" s="681" t="s">
        <v>11</v>
      </c>
      <c r="FF13" s="1473">
        <v>37</v>
      </c>
      <c r="FG13" s="1473">
        <v>6</v>
      </c>
      <c r="FH13" s="1473" t="s">
        <v>332</v>
      </c>
      <c r="FI13" s="1473">
        <v>22</v>
      </c>
      <c r="FJ13" s="1473">
        <v>18</v>
      </c>
      <c r="FK13" s="1473">
        <v>1</v>
      </c>
      <c r="FL13" s="1473">
        <v>13</v>
      </c>
      <c r="FM13" s="1473">
        <v>1</v>
      </c>
      <c r="FN13" s="1473">
        <v>4</v>
      </c>
      <c r="FO13" s="1473">
        <v>2</v>
      </c>
      <c r="FP13" s="1473">
        <v>51</v>
      </c>
      <c r="FQ13" s="1473" t="s">
        <v>332</v>
      </c>
      <c r="FR13" s="1473">
        <v>155</v>
      </c>
      <c r="FS13" s="1473">
        <f t="shared" si="2"/>
        <v>21</v>
      </c>
      <c r="FT13" s="1474">
        <f t="shared" si="3"/>
        <v>0.13548387096774195</v>
      </c>
      <c r="FU13" s="80"/>
      <c r="FV13" s="80"/>
    </row>
    <row r="14" spans="1:178">
      <c r="A14" s="73"/>
      <c r="B14" s="73"/>
      <c r="C14" s="73" t="s">
        <v>12</v>
      </c>
      <c r="D14" s="161">
        <v>195</v>
      </c>
      <c r="E14" s="161">
        <v>79</v>
      </c>
      <c r="F14" s="161"/>
      <c r="G14" s="161">
        <v>1</v>
      </c>
      <c r="H14" s="161">
        <v>235</v>
      </c>
      <c r="I14" s="161">
        <v>23</v>
      </c>
      <c r="J14" s="161">
        <v>91</v>
      </c>
      <c r="K14" s="161"/>
      <c r="L14" s="161"/>
      <c r="M14" s="161">
        <v>31</v>
      </c>
      <c r="N14" s="161">
        <v>31</v>
      </c>
      <c r="O14" s="161">
        <v>75</v>
      </c>
      <c r="P14" s="161">
        <v>215</v>
      </c>
      <c r="Q14" s="161"/>
      <c r="R14" s="161">
        <v>976</v>
      </c>
      <c r="S14" s="4680">
        <f t="shared" si="4"/>
        <v>0.32075471698113206</v>
      </c>
      <c r="U14" s="73"/>
      <c r="V14" s="73"/>
      <c r="W14" s="73" t="s">
        <v>12</v>
      </c>
      <c r="X14" s="161">
        <v>205</v>
      </c>
      <c r="Y14" s="161">
        <v>113</v>
      </c>
      <c r="Z14" s="161"/>
      <c r="AA14" s="161">
        <v>55</v>
      </c>
      <c r="AB14" s="161">
        <v>213</v>
      </c>
      <c r="AC14" s="161">
        <v>37</v>
      </c>
      <c r="AD14" s="161">
        <v>92</v>
      </c>
      <c r="AE14" s="161"/>
      <c r="AF14" s="161"/>
      <c r="AG14" s="161">
        <v>32</v>
      </c>
      <c r="AH14" s="161">
        <v>40</v>
      </c>
      <c r="AI14" s="161">
        <v>51</v>
      </c>
      <c r="AJ14" s="161">
        <v>222</v>
      </c>
      <c r="AK14" s="161">
        <v>2</v>
      </c>
      <c r="AL14" s="161">
        <v>1062</v>
      </c>
      <c r="AM14" s="2585">
        <f t="shared" si="0"/>
        <v>0.28741328047571851</v>
      </c>
      <c r="AN14"/>
      <c r="AO14" s="73"/>
      <c r="AP14" s="73"/>
      <c r="AQ14" s="73" t="s">
        <v>12</v>
      </c>
      <c r="AR14" s="161">
        <v>216</v>
      </c>
      <c r="AS14" s="161">
        <v>129</v>
      </c>
      <c r="AT14" s="161"/>
      <c r="AU14" s="161">
        <v>52</v>
      </c>
      <c r="AV14" s="161">
        <v>220</v>
      </c>
      <c r="AW14" s="161">
        <v>26</v>
      </c>
      <c r="AX14" s="161">
        <v>74</v>
      </c>
      <c r="AY14" s="161">
        <v>9</v>
      </c>
      <c r="AZ14" s="161"/>
      <c r="BA14" s="161">
        <v>36</v>
      </c>
      <c r="BB14" s="161">
        <v>32</v>
      </c>
      <c r="BC14" s="161">
        <v>31</v>
      </c>
      <c r="BD14" s="161">
        <v>238</v>
      </c>
      <c r="BE14" s="161">
        <v>2</v>
      </c>
      <c r="BF14" s="161">
        <v>1065</v>
      </c>
      <c r="BG14" s="2585">
        <f t="shared" si="5"/>
        <v>0.26937984496124029</v>
      </c>
      <c r="BI14" s="2140"/>
      <c r="BJ14" s="2140"/>
      <c r="BK14" s="2148" t="s">
        <v>12</v>
      </c>
      <c r="BL14" s="2149">
        <v>243</v>
      </c>
      <c r="BM14" s="2149">
        <v>119</v>
      </c>
      <c r="BN14" s="2150"/>
      <c r="BO14" s="2149">
        <v>51</v>
      </c>
      <c r="BP14" s="2149">
        <v>197</v>
      </c>
      <c r="BQ14" s="2149">
        <v>21</v>
      </c>
      <c r="BR14" s="2149">
        <v>72</v>
      </c>
      <c r="BS14" s="2150"/>
      <c r="BT14" s="2150"/>
      <c r="BU14" s="2149">
        <v>45</v>
      </c>
      <c r="BV14" s="2149">
        <v>43</v>
      </c>
      <c r="BW14" s="2149">
        <v>19</v>
      </c>
      <c r="BX14" s="2149">
        <v>257</v>
      </c>
      <c r="BY14" s="2149">
        <v>1</v>
      </c>
      <c r="BZ14" s="2149">
        <v>1068</v>
      </c>
      <c r="CA14" s="2151">
        <f t="shared" si="6"/>
        <v>0.24904580152671757</v>
      </c>
      <c r="CC14" s="1452"/>
      <c r="CD14" s="1452"/>
      <c r="CE14" s="1465" t="s">
        <v>12</v>
      </c>
      <c r="CF14" s="1466">
        <v>270</v>
      </c>
      <c r="CG14" s="1466">
        <v>100</v>
      </c>
      <c r="CH14" s="1452"/>
      <c r="CI14" s="1466">
        <v>59</v>
      </c>
      <c r="CJ14" s="1466">
        <v>197</v>
      </c>
      <c r="CK14" s="1466">
        <v>17</v>
      </c>
      <c r="CL14" s="1466">
        <v>79</v>
      </c>
      <c r="CM14" s="1452"/>
      <c r="CN14" s="1466">
        <v>0</v>
      </c>
      <c r="CO14" s="1466">
        <v>35</v>
      </c>
      <c r="CP14" s="1466">
        <v>31</v>
      </c>
      <c r="CQ14" s="1466">
        <v>277</v>
      </c>
      <c r="CR14" s="1466">
        <v>0</v>
      </c>
      <c r="CS14" s="1466">
        <v>1065</v>
      </c>
      <c r="CT14" s="814">
        <f t="shared" si="7"/>
        <v>0.2300469483568075</v>
      </c>
      <c r="CV14" s="929"/>
      <c r="CW14" s="929"/>
      <c r="CX14" s="1467" t="s">
        <v>12</v>
      </c>
      <c r="CY14" s="1468">
        <v>266</v>
      </c>
      <c r="CZ14" s="1468">
        <v>89</v>
      </c>
      <c r="DA14" s="1468">
        <v>0</v>
      </c>
      <c r="DB14" s="1468">
        <v>70</v>
      </c>
      <c r="DC14" s="1468">
        <v>167</v>
      </c>
      <c r="DD14" s="1468">
        <v>22</v>
      </c>
      <c r="DE14" s="1468">
        <v>74</v>
      </c>
      <c r="DF14" s="929"/>
      <c r="DG14" s="1468">
        <v>0</v>
      </c>
      <c r="DH14" s="1468">
        <v>20</v>
      </c>
      <c r="DI14" s="1468">
        <v>16</v>
      </c>
      <c r="DJ14" s="1468">
        <v>285</v>
      </c>
      <c r="DK14" s="1468">
        <v>0</v>
      </c>
      <c r="DL14" s="1468">
        <v>1009</v>
      </c>
      <c r="DM14" s="814">
        <f t="shared" si="8"/>
        <v>0.20317145688800792</v>
      </c>
      <c r="DO14" s="1094"/>
      <c r="DP14" s="1094"/>
      <c r="DQ14" s="1469" t="s">
        <v>12</v>
      </c>
      <c r="DR14" s="1470">
        <v>237</v>
      </c>
      <c r="DS14" s="1470">
        <v>63</v>
      </c>
      <c r="DT14" s="1470">
        <v>0</v>
      </c>
      <c r="DU14" s="1470">
        <v>74</v>
      </c>
      <c r="DV14" s="1470">
        <v>168</v>
      </c>
      <c r="DW14" s="1470">
        <v>22</v>
      </c>
      <c r="DX14" s="1470">
        <v>70</v>
      </c>
      <c r="DY14" s="1470">
        <v>0</v>
      </c>
      <c r="DZ14" s="1470">
        <v>18</v>
      </c>
      <c r="EA14" s="1470">
        <v>7</v>
      </c>
      <c r="EB14" s="1470">
        <v>320</v>
      </c>
      <c r="EC14" s="1470">
        <v>313</v>
      </c>
      <c r="ED14" s="1470">
        <v>0</v>
      </c>
      <c r="EE14" s="1470">
        <v>2</v>
      </c>
      <c r="EF14" s="1470">
        <v>1294</v>
      </c>
      <c r="EG14" s="1471">
        <f t="shared" si="9"/>
        <v>0.20267489711934156</v>
      </c>
      <c r="EI14" s="163"/>
      <c r="EJ14" s="163"/>
      <c r="EK14" s="80" t="s">
        <v>12</v>
      </c>
      <c r="EL14" s="80">
        <v>196</v>
      </c>
      <c r="EM14" s="80">
        <v>64</v>
      </c>
      <c r="EN14" s="80"/>
      <c r="EO14" s="80">
        <v>66</v>
      </c>
      <c r="EP14" s="80">
        <v>150</v>
      </c>
      <c r="EQ14" s="80">
        <v>28</v>
      </c>
      <c r="ER14" s="80">
        <v>90</v>
      </c>
      <c r="ES14" s="80">
        <v>0</v>
      </c>
      <c r="ET14" s="80">
        <v>12</v>
      </c>
      <c r="EU14" s="80">
        <v>4</v>
      </c>
      <c r="EV14" s="80">
        <v>283</v>
      </c>
      <c r="EW14" s="80">
        <v>309</v>
      </c>
      <c r="EX14" s="80">
        <v>0</v>
      </c>
      <c r="EY14" s="80">
        <v>1</v>
      </c>
      <c r="EZ14" s="80">
        <v>1203</v>
      </c>
      <c r="FA14" s="1472">
        <f t="shared" si="1"/>
        <v>0.19804134929270947</v>
      </c>
      <c r="FB14" s="80"/>
      <c r="FC14" s="681"/>
      <c r="FD14" s="681"/>
      <c r="FE14" s="681" t="s">
        <v>12</v>
      </c>
      <c r="FF14" s="1473">
        <v>158</v>
      </c>
      <c r="FG14" s="1473">
        <v>60</v>
      </c>
      <c r="FH14" s="1473" t="s">
        <v>332</v>
      </c>
      <c r="FI14" s="1473">
        <v>84</v>
      </c>
      <c r="FJ14" s="1473">
        <v>138</v>
      </c>
      <c r="FK14" s="1473">
        <v>29</v>
      </c>
      <c r="FL14" s="1473">
        <v>106</v>
      </c>
      <c r="FM14" s="1473" t="s">
        <v>332</v>
      </c>
      <c r="FN14" s="1473">
        <v>26</v>
      </c>
      <c r="FO14" s="1473">
        <v>16</v>
      </c>
      <c r="FP14" s="1473">
        <v>314</v>
      </c>
      <c r="FQ14" s="1473" t="s">
        <v>332</v>
      </c>
      <c r="FR14" s="1473">
        <v>931</v>
      </c>
      <c r="FS14" s="1473">
        <f t="shared" si="2"/>
        <v>183</v>
      </c>
      <c r="FT14" s="1474">
        <f t="shared" si="3"/>
        <v>0.19656283566058003</v>
      </c>
      <c r="FU14" s="80"/>
      <c r="FV14" s="80"/>
    </row>
    <row r="15" spans="1:178">
      <c r="A15" s="73"/>
      <c r="B15" s="73"/>
      <c r="C15" s="73" t="s">
        <v>13</v>
      </c>
      <c r="D15" s="161">
        <v>220</v>
      </c>
      <c r="E15" s="161">
        <v>133</v>
      </c>
      <c r="F15" s="161"/>
      <c r="G15" s="161">
        <v>5</v>
      </c>
      <c r="H15" s="161">
        <v>164</v>
      </c>
      <c r="I15" s="161">
        <v>19</v>
      </c>
      <c r="J15" s="161">
        <v>117</v>
      </c>
      <c r="K15" s="161"/>
      <c r="L15" s="161"/>
      <c r="M15" s="161">
        <v>60</v>
      </c>
      <c r="N15" s="161">
        <v>25</v>
      </c>
      <c r="O15" s="161">
        <v>58</v>
      </c>
      <c r="P15" s="161">
        <v>287</v>
      </c>
      <c r="Q15" s="161"/>
      <c r="R15" s="161">
        <v>1088</v>
      </c>
      <c r="S15" s="4680">
        <f t="shared" si="4"/>
        <v>0.20194174757281552</v>
      </c>
      <c r="U15" s="73"/>
      <c r="V15" s="73"/>
      <c r="W15" s="73" t="s">
        <v>13</v>
      </c>
      <c r="X15" s="161">
        <v>257</v>
      </c>
      <c r="Y15" s="161">
        <v>155</v>
      </c>
      <c r="Z15" s="161"/>
      <c r="AA15" s="161">
        <v>52</v>
      </c>
      <c r="AB15" s="161">
        <v>155</v>
      </c>
      <c r="AC15" s="161">
        <v>29</v>
      </c>
      <c r="AD15" s="161">
        <v>176</v>
      </c>
      <c r="AE15" s="161"/>
      <c r="AF15" s="161"/>
      <c r="AG15" s="161">
        <v>67</v>
      </c>
      <c r="AH15" s="161">
        <v>38</v>
      </c>
      <c r="AI15" s="161">
        <v>51</v>
      </c>
      <c r="AJ15" s="161">
        <v>280</v>
      </c>
      <c r="AK15" s="161">
        <v>0</v>
      </c>
      <c r="AL15" s="161">
        <v>1260</v>
      </c>
      <c r="AM15" s="2585">
        <f t="shared" si="0"/>
        <v>0.18362282878411912</v>
      </c>
      <c r="AN15"/>
      <c r="AO15" s="73"/>
      <c r="AP15" s="73"/>
      <c r="AQ15" s="73" t="s">
        <v>13</v>
      </c>
      <c r="AR15" s="161">
        <v>285</v>
      </c>
      <c r="AS15" s="161">
        <v>179</v>
      </c>
      <c r="AT15" s="161"/>
      <c r="AU15" s="161">
        <v>73</v>
      </c>
      <c r="AV15" s="161">
        <v>171</v>
      </c>
      <c r="AW15" s="161">
        <v>29</v>
      </c>
      <c r="AX15" s="161">
        <v>167</v>
      </c>
      <c r="AY15" s="161">
        <v>8</v>
      </c>
      <c r="AZ15" s="161"/>
      <c r="BA15" s="161">
        <v>75</v>
      </c>
      <c r="BB15" s="161">
        <v>23</v>
      </c>
      <c r="BC15" s="161">
        <v>38</v>
      </c>
      <c r="BD15" s="161">
        <v>347</v>
      </c>
      <c r="BE15" s="161">
        <v>2</v>
      </c>
      <c r="BF15" s="161">
        <v>1397</v>
      </c>
      <c r="BG15" s="2585">
        <f t="shared" si="5"/>
        <v>0.1643330876934414</v>
      </c>
      <c r="BI15" s="2140"/>
      <c r="BJ15" s="2140"/>
      <c r="BK15" s="2148" t="s">
        <v>13</v>
      </c>
      <c r="BL15" s="2149">
        <v>354</v>
      </c>
      <c r="BM15" s="2149">
        <v>168</v>
      </c>
      <c r="BN15" s="2150"/>
      <c r="BO15" s="2149">
        <v>95</v>
      </c>
      <c r="BP15" s="2149">
        <v>166</v>
      </c>
      <c r="BQ15" s="2149">
        <v>30</v>
      </c>
      <c r="BR15" s="2149">
        <v>158</v>
      </c>
      <c r="BS15" s="2150"/>
      <c r="BT15" s="2150"/>
      <c r="BU15" s="2149">
        <v>78</v>
      </c>
      <c r="BV15" s="2149">
        <v>33</v>
      </c>
      <c r="BW15" s="2149">
        <v>24</v>
      </c>
      <c r="BX15" s="2149">
        <v>420</v>
      </c>
      <c r="BY15" s="2149">
        <v>2</v>
      </c>
      <c r="BZ15" s="2149">
        <v>1528</v>
      </c>
      <c r="CA15" s="2151">
        <f t="shared" si="6"/>
        <v>0.15246338215712382</v>
      </c>
      <c r="CC15" s="1452"/>
      <c r="CD15" s="1452"/>
      <c r="CE15" s="1465" t="s">
        <v>13</v>
      </c>
      <c r="CF15" s="1466">
        <v>373</v>
      </c>
      <c r="CG15" s="1466">
        <v>184</v>
      </c>
      <c r="CH15" s="1452"/>
      <c r="CI15" s="1466">
        <v>130</v>
      </c>
      <c r="CJ15" s="1466">
        <v>194</v>
      </c>
      <c r="CK15" s="1466">
        <v>38</v>
      </c>
      <c r="CL15" s="1466">
        <v>188</v>
      </c>
      <c r="CM15" s="1452"/>
      <c r="CN15" s="1466">
        <v>0</v>
      </c>
      <c r="CO15" s="1466">
        <v>53</v>
      </c>
      <c r="CP15" s="1466">
        <v>22</v>
      </c>
      <c r="CQ15" s="1466">
        <v>480</v>
      </c>
      <c r="CR15" s="1466">
        <v>18</v>
      </c>
      <c r="CS15" s="1466">
        <v>1680</v>
      </c>
      <c r="CT15" s="814">
        <f t="shared" si="7"/>
        <v>0.15119047619047618</v>
      </c>
      <c r="CV15" s="929"/>
      <c r="CW15" s="929"/>
      <c r="CX15" s="1467" t="s">
        <v>13</v>
      </c>
      <c r="CY15" s="1468">
        <v>354</v>
      </c>
      <c r="CZ15" s="1468">
        <v>180</v>
      </c>
      <c r="DA15" s="1468">
        <v>0</v>
      </c>
      <c r="DB15" s="1468">
        <v>148</v>
      </c>
      <c r="DC15" s="1468">
        <v>192</v>
      </c>
      <c r="DD15" s="1468">
        <v>44</v>
      </c>
      <c r="DE15" s="1468">
        <v>130</v>
      </c>
      <c r="DF15" s="929"/>
      <c r="DG15" s="1468">
        <v>0</v>
      </c>
      <c r="DH15" s="1468">
        <v>41</v>
      </c>
      <c r="DI15" s="1468">
        <v>20</v>
      </c>
      <c r="DJ15" s="1468">
        <v>536</v>
      </c>
      <c r="DK15" s="1468">
        <v>18</v>
      </c>
      <c r="DL15" s="1468">
        <v>1663</v>
      </c>
      <c r="DM15" s="814">
        <f t="shared" si="8"/>
        <v>0.15393866506313891</v>
      </c>
      <c r="DO15" s="1094"/>
      <c r="DP15" s="1094"/>
      <c r="DQ15" s="1469" t="s">
        <v>13</v>
      </c>
      <c r="DR15" s="1470">
        <v>364</v>
      </c>
      <c r="DS15" s="1470">
        <v>137</v>
      </c>
      <c r="DT15" s="1470">
        <v>0</v>
      </c>
      <c r="DU15" s="1470">
        <v>171</v>
      </c>
      <c r="DV15" s="1470">
        <v>193</v>
      </c>
      <c r="DW15" s="1470">
        <v>46</v>
      </c>
      <c r="DX15" s="1470">
        <v>147</v>
      </c>
      <c r="DY15" s="1470">
        <v>0</v>
      </c>
      <c r="DZ15" s="1470">
        <v>39</v>
      </c>
      <c r="EA15" s="1470">
        <v>19</v>
      </c>
      <c r="EB15" s="1470">
        <v>457</v>
      </c>
      <c r="EC15" s="1470">
        <v>606</v>
      </c>
      <c r="ED15" s="1470">
        <v>18</v>
      </c>
      <c r="EE15" s="1470">
        <v>6</v>
      </c>
      <c r="EF15" s="1470">
        <v>2203</v>
      </c>
      <c r="EG15" s="1471">
        <f t="shared" si="9"/>
        <v>0.14827586206896551</v>
      </c>
      <c r="EI15" s="163"/>
      <c r="EJ15" s="163"/>
      <c r="EK15" s="80" t="s">
        <v>13</v>
      </c>
      <c r="EL15" s="80">
        <v>387</v>
      </c>
      <c r="EM15" s="80">
        <v>127</v>
      </c>
      <c r="EN15" s="80"/>
      <c r="EO15" s="80">
        <v>200</v>
      </c>
      <c r="EP15" s="80">
        <v>200</v>
      </c>
      <c r="EQ15" s="80">
        <v>39</v>
      </c>
      <c r="ER15" s="80">
        <v>176</v>
      </c>
      <c r="ES15" s="80">
        <v>0</v>
      </c>
      <c r="ET15" s="80">
        <v>32</v>
      </c>
      <c r="EU15" s="80">
        <v>26</v>
      </c>
      <c r="EV15" s="80">
        <v>437</v>
      </c>
      <c r="EW15" s="80">
        <v>642</v>
      </c>
      <c r="EX15" s="80">
        <v>18</v>
      </c>
      <c r="EY15" s="80">
        <v>5</v>
      </c>
      <c r="EZ15" s="80">
        <v>2289</v>
      </c>
      <c r="FA15" s="1472">
        <f t="shared" si="1"/>
        <v>0.14347590687601516</v>
      </c>
      <c r="FB15" s="80"/>
      <c r="FC15" s="681"/>
      <c r="FD15" s="681"/>
      <c r="FE15" s="681" t="s">
        <v>13</v>
      </c>
      <c r="FF15" s="1473">
        <v>334</v>
      </c>
      <c r="FG15" s="1473">
        <v>149</v>
      </c>
      <c r="FH15" s="1473" t="s">
        <v>332</v>
      </c>
      <c r="FI15" s="1473">
        <v>200</v>
      </c>
      <c r="FJ15" s="1473">
        <v>233</v>
      </c>
      <c r="FK15" s="1473">
        <v>30</v>
      </c>
      <c r="FL15" s="1473">
        <v>177</v>
      </c>
      <c r="FM15" s="1473" t="s">
        <v>332</v>
      </c>
      <c r="FN15" s="1473">
        <v>94</v>
      </c>
      <c r="FO15" s="1473">
        <v>21</v>
      </c>
      <c r="FP15" s="1473">
        <v>652</v>
      </c>
      <c r="FQ15" s="1473">
        <v>18</v>
      </c>
      <c r="FR15" s="1473">
        <v>1908</v>
      </c>
      <c r="FS15" s="1473">
        <f t="shared" si="2"/>
        <v>284</v>
      </c>
      <c r="FT15" s="1474">
        <f t="shared" si="3"/>
        <v>0.1488469601677149</v>
      </c>
      <c r="FU15" s="80"/>
      <c r="FV15" s="80"/>
    </row>
    <row r="16" spans="1:178">
      <c r="A16" s="73"/>
      <c r="B16" s="73"/>
      <c r="C16" s="73" t="s">
        <v>14</v>
      </c>
      <c r="D16" s="161">
        <v>173</v>
      </c>
      <c r="E16" s="161">
        <v>117</v>
      </c>
      <c r="F16" s="161"/>
      <c r="G16" s="161">
        <v>0</v>
      </c>
      <c r="H16" s="161">
        <v>232</v>
      </c>
      <c r="I16" s="161">
        <v>22</v>
      </c>
      <c r="J16" s="161">
        <v>208</v>
      </c>
      <c r="K16" s="161"/>
      <c r="L16" s="161"/>
      <c r="M16" s="161">
        <v>56</v>
      </c>
      <c r="N16" s="161">
        <v>42</v>
      </c>
      <c r="O16" s="161">
        <v>63</v>
      </c>
      <c r="P16" s="161">
        <v>311</v>
      </c>
      <c r="Q16" s="161"/>
      <c r="R16" s="161">
        <v>1224</v>
      </c>
      <c r="S16" s="4680">
        <f t="shared" si="4"/>
        <v>0.2549526270456503</v>
      </c>
      <c r="U16" s="73"/>
      <c r="V16" s="73"/>
      <c r="W16" s="73" t="s">
        <v>14</v>
      </c>
      <c r="X16" s="161">
        <v>219</v>
      </c>
      <c r="Y16" s="161">
        <v>176</v>
      </c>
      <c r="Z16" s="161"/>
      <c r="AA16" s="161">
        <v>52</v>
      </c>
      <c r="AB16" s="161">
        <v>221</v>
      </c>
      <c r="AC16" s="161">
        <v>47</v>
      </c>
      <c r="AD16" s="161">
        <v>178</v>
      </c>
      <c r="AE16" s="161"/>
      <c r="AF16" s="161"/>
      <c r="AG16" s="161">
        <v>63</v>
      </c>
      <c r="AH16" s="161">
        <v>46</v>
      </c>
      <c r="AI16" s="161">
        <v>51</v>
      </c>
      <c r="AJ16" s="161">
        <v>365</v>
      </c>
      <c r="AK16" s="161">
        <v>2</v>
      </c>
      <c r="AL16" s="161">
        <v>1420</v>
      </c>
      <c r="AM16" s="2585">
        <f t="shared" si="0"/>
        <v>0.22970007315288954</v>
      </c>
      <c r="AN16"/>
      <c r="AO16" s="73"/>
      <c r="AP16" s="73"/>
      <c r="AQ16" s="73" t="s">
        <v>14</v>
      </c>
      <c r="AR16" s="161">
        <v>267</v>
      </c>
      <c r="AS16" s="161">
        <v>202</v>
      </c>
      <c r="AT16" s="161"/>
      <c r="AU16" s="161">
        <v>71</v>
      </c>
      <c r="AV16" s="161">
        <v>250</v>
      </c>
      <c r="AW16" s="161">
        <v>33</v>
      </c>
      <c r="AX16" s="161">
        <v>247</v>
      </c>
      <c r="AY16" s="161">
        <v>18</v>
      </c>
      <c r="AZ16" s="161"/>
      <c r="BA16" s="161">
        <v>72</v>
      </c>
      <c r="BB16" s="161">
        <v>38</v>
      </c>
      <c r="BC16" s="161">
        <v>30</v>
      </c>
      <c r="BD16" s="161">
        <v>436</v>
      </c>
      <c r="BE16" s="161">
        <v>5</v>
      </c>
      <c r="BF16" s="161">
        <v>1669</v>
      </c>
      <c r="BG16" s="2585">
        <f t="shared" si="5"/>
        <v>0.19645042839657284</v>
      </c>
      <c r="BI16" s="2140"/>
      <c r="BJ16" s="2140"/>
      <c r="BK16" s="2148" t="s">
        <v>14</v>
      </c>
      <c r="BL16" s="2149">
        <v>386</v>
      </c>
      <c r="BM16" s="2149">
        <v>200</v>
      </c>
      <c r="BN16" s="2150"/>
      <c r="BO16" s="2149">
        <v>91</v>
      </c>
      <c r="BP16" s="2149">
        <v>271</v>
      </c>
      <c r="BQ16" s="2149">
        <v>33</v>
      </c>
      <c r="BR16" s="2149">
        <v>203</v>
      </c>
      <c r="BS16" s="2150"/>
      <c r="BT16" s="2150"/>
      <c r="BU16" s="2149">
        <v>89</v>
      </c>
      <c r="BV16" s="2149">
        <v>40</v>
      </c>
      <c r="BW16" s="2149">
        <v>24</v>
      </c>
      <c r="BX16" s="2149">
        <v>564</v>
      </c>
      <c r="BY16" s="2149">
        <v>5</v>
      </c>
      <c r="BZ16" s="2149">
        <v>1906</v>
      </c>
      <c r="CA16" s="2151">
        <f t="shared" si="6"/>
        <v>0.18327117741076185</v>
      </c>
      <c r="CC16" s="1452"/>
      <c r="CD16" s="1452"/>
      <c r="CE16" s="1465" t="s">
        <v>14</v>
      </c>
      <c r="CF16" s="1466">
        <v>430</v>
      </c>
      <c r="CG16" s="1466">
        <v>238</v>
      </c>
      <c r="CH16" s="1452"/>
      <c r="CI16" s="1466">
        <v>127</v>
      </c>
      <c r="CJ16" s="1466">
        <v>279</v>
      </c>
      <c r="CK16" s="1466">
        <v>44</v>
      </c>
      <c r="CL16" s="1466">
        <v>247</v>
      </c>
      <c r="CM16" s="1452"/>
      <c r="CN16" s="1466">
        <v>0</v>
      </c>
      <c r="CO16" s="1466">
        <v>92</v>
      </c>
      <c r="CP16" s="1466">
        <v>60</v>
      </c>
      <c r="CQ16" s="1466">
        <v>642</v>
      </c>
      <c r="CR16" s="1466">
        <v>0</v>
      </c>
      <c r="CS16" s="1466">
        <v>2159</v>
      </c>
      <c r="CT16" s="814">
        <f t="shared" si="7"/>
        <v>0.17739694302918019</v>
      </c>
      <c r="CV16" s="929"/>
      <c r="CW16" s="929"/>
      <c r="CX16" s="1467" t="s">
        <v>14</v>
      </c>
      <c r="CY16" s="1468">
        <v>524</v>
      </c>
      <c r="CZ16" s="1468">
        <v>247</v>
      </c>
      <c r="DA16" s="1468">
        <v>0</v>
      </c>
      <c r="DB16" s="1468">
        <v>133</v>
      </c>
      <c r="DC16" s="1468">
        <v>211</v>
      </c>
      <c r="DD16" s="1468">
        <v>42</v>
      </c>
      <c r="DE16" s="1468">
        <v>86</v>
      </c>
      <c r="DF16" s="929"/>
      <c r="DG16" s="1468">
        <v>0</v>
      </c>
      <c r="DH16" s="1468">
        <v>67</v>
      </c>
      <c r="DI16" s="1468">
        <v>32</v>
      </c>
      <c r="DJ16" s="1468">
        <v>693</v>
      </c>
      <c r="DK16" s="1468">
        <v>0</v>
      </c>
      <c r="DL16" s="1468">
        <v>2035</v>
      </c>
      <c r="DM16" s="814">
        <f t="shared" si="8"/>
        <v>0.14004914004914004</v>
      </c>
      <c r="DO16" s="1094"/>
      <c r="DP16" s="1094"/>
      <c r="DQ16" s="1469" t="s">
        <v>14</v>
      </c>
      <c r="DR16" s="1470">
        <v>473</v>
      </c>
      <c r="DS16" s="1470">
        <v>219</v>
      </c>
      <c r="DT16" s="1470">
        <v>0</v>
      </c>
      <c r="DU16" s="1470">
        <v>126</v>
      </c>
      <c r="DV16" s="1470">
        <v>155</v>
      </c>
      <c r="DW16" s="1470">
        <v>27</v>
      </c>
      <c r="DX16" s="1470">
        <v>31</v>
      </c>
      <c r="DY16" s="1470">
        <v>0</v>
      </c>
      <c r="DZ16" s="1470">
        <v>78</v>
      </c>
      <c r="EA16" s="1470">
        <v>34</v>
      </c>
      <c r="EB16" s="1470">
        <v>456</v>
      </c>
      <c r="EC16" s="1470">
        <v>680</v>
      </c>
      <c r="ED16" s="1470">
        <v>0</v>
      </c>
      <c r="EE16" s="1470">
        <v>8</v>
      </c>
      <c r="EF16" s="1470">
        <v>2287</v>
      </c>
      <c r="EG16" s="1471">
        <f t="shared" si="9"/>
        <v>0.11848601206801974</v>
      </c>
      <c r="EI16" s="163"/>
      <c r="EJ16" s="163"/>
      <c r="EK16" s="80" t="s">
        <v>14</v>
      </c>
      <c r="EL16" s="80">
        <v>464</v>
      </c>
      <c r="EM16" s="80">
        <v>199</v>
      </c>
      <c r="EN16" s="80"/>
      <c r="EO16" s="80">
        <v>108</v>
      </c>
      <c r="EP16" s="80">
        <v>96</v>
      </c>
      <c r="EQ16" s="80">
        <v>35</v>
      </c>
      <c r="ER16" s="80">
        <v>26</v>
      </c>
      <c r="ES16" s="80">
        <v>0</v>
      </c>
      <c r="ET16" s="80">
        <v>47</v>
      </c>
      <c r="EU16" s="80">
        <v>32</v>
      </c>
      <c r="EV16" s="80">
        <v>375</v>
      </c>
      <c r="EW16" s="80">
        <v>530</v>
      </c>
      <c r="EX16" s="80">
        <v>0</v>
      </c>
      <c r="EY16" s="80">
        <v>6</v>
      </c>
      <c r="EZ16" s="80">
        <v>1918</v>
      </c>
      <c r="FA16" s="1472">
        <f t="shared" si="1"/>
        <v>0.10605074821080027</v>
      </c>
      <c r="FB16" s="80"/>
      <c r="FC16" s="681"/>
      <c r="FD16" s="681"/>
      <c r="FE16" s="681" t="s">
        <v>14</v>
      </c>
      <c r="FF16" s="1473">
        <v>437</v>
      </c>
      <c r="FG16" s="1473">
        <v>166</v>
      </c>
      <c r="FH16" s="1473" t="s">
        <v>332</v>
      </c>
      <c r="FI16" s="1473">
        <v>85</v>
      </c>
      <c r="FJ16" s="1473">
        <v>58</v>
      </c>
      <c r="FK16" s="1473">
        <v>21</v>
      </c>
      <c r="FL16" s="1473">
        <v>21</v>
      </c>
      <c r="FM16" s="1473" t="s">
        <v>332</v>
      </c>
      <c r="FN16" s="1473">
        <v>65</v>
      </c>
      <c r="FO16" s="1473">
        <v>20</v>
      </c>
      <c r="FP16" s="1473">
        <v>397</v>
      </c>
      <c r="FQ16" s="1473" t="s">
        <v>332</v>
      </c>
      <c r="FR16" s="1473">
        <v>1270</v>
      </c>
      <c r="FS16" s="1473">
        <f t="shared" si="2"/>
        <v>99</v>
      </c>
      <c r="FT16" s="1474">
        <f t="shared" si="3"/>
        <v>7.7952755905511817E-2</v>
      </c>
      <c r="FU16" s="80"/>
      <c r="FV16" s="80"/>
    </row>
    <row r="17" spans="1:178">
      <c r="A17" s="73"/>
      <c r="B17" s="73"/>
      <c r="C17" s="738" t="s">
        <v>572</v>
      </c>
      <c r="D17" s="4667">
        <v>1765</v>
      </c>
      <c r="E17" s="4667">
        <v>903</v>
      </c>
      <c r="F17" s="4667"/>
      <c r="G17" s="4667">
        <v>14</v>
      </c>
      <c r="H17" s="4667">
        <v>1835</v>
      </c>
      <c r="I17" s="4667">
        <v>228</v>
      </c>
      <c r="J17" s="4667">
        <v>968</v>
      </c>
      <c r="K17" s="4667"/>
      <c r="L17" s="4667"/>
      <c r="M17" s="4667">
        <v>428</v>
      </c>
      <c r="N17" s="4667">
        <v>296</v>
      </c>
      <c r="O17" s="4667">
        <v>557</v>
      </c>
      <c r="P17" s="4667">
        <v>2288</v>
      </c>
      <c r="Q17" s="4667"/>
      <c r="R17" s="4667">
        <v>9282</v>
      </c>
      <c r="S17" s="4680">
        <f t="shared" si="4"/>
        <v>0.27037249283667619</v>
      </c>
      <c r="U17" s="73"/>
      <c r="V17" s="73"/>
      <c r="W17" s="738" t="s">
        <v>572</v>
      </c>
      <c r="X17" s="151">
        <v>1916</v>
      </c>
      <c r="Y17" s="151">
        <v>1168</v>
      </c>
      <c r="Z17" s="151"/>
      <c r="AA17" s="151">
        <v>481</v>
      </c>
      <c r="AB17" s="151">
        <v>1603</v>
      </c>
      <c r="AC17" s="151">
        <v>348</v>
      </c>
      <c r="AD17" s="151">
        <v>931</v>
      </c>
      <c r="AE17" s="151"/>
      <c r="AF17" s="151"/>
      <c r="AG17" s="151">
        <v>418</v>
      </c>
      <c r="AH17" s="151">
        <v>360</v>
      </c>
      <c r="AI17" s="151">
        <v>420</v>
      </c>
      <c r="AJ17" s="151">
        <v>2344</v>
      </c>
      <c r="AK17" s="151">
        <v>12</v>
      </c>
      <c r="AL17" s="151">
        <v>10001</v>
      </c>
      <c r="AM17" s="912">
        <f t="shared" si="0"/>
        <v>0.24150903960706449</v>
      </c>
      <c r="AN17" s="3197"/>
      <c r="AO17" s="73"/>
      <c r="AP17" s="73"/>
      <c r="AQ17" s="738" t="s">
        <v>572</v>
      </c>
      <c r="AR17" s="151">
        <v>2047</v>
      </c>
      <c r="AS17" s="151">
        <v>1292</v>
      </c>
      <c r="AT17" s="151"/>
      <c r="AU17" s="151">
        <v>519</v>
      </c>
      <c r="AV17" s="151">
        <v>1605</v>
      </c>
      <c r="AW17" s="151">
        <v>235</v>
      </c>
      <c r="AX17" s="151">
        <v>947</v>
      </c>
      <c r="AY17" s="151">
        <v>130</v>
      </c>
      <c r="AZ17" s="151"/>
      <c r="BA17" s="151">
        <v>443</v>
      </c>
      <c r="BB17" s="151">
        <v>237</v>
      </c>
      <c r="BC17" s="151">
        <v>242</v>
      </c>
      <c r="BD17" s="151">
        <v>2525</v>
      </c>
      <c r="BE17" s="151">
        <v>17</v>
      </c>
      <c r="BF17" s="151">
        <v>10239</v>
      </c>
      <c r="BG17" s="912">
        <f t="shared" si="5"/>
        <v>0.20811623246492986</v>
      </c>
      <c r="BI17" s="2140"/>
      <c r="BJ17" s="2140"/>
      <c r="BK17" s="2142" t="s">
        <v>572</v>
      </c>
      <c r="BL17" s="2152">
        <v>2524</v>
      </c>
      <c r="BM17" s="2152">
        <v>1158</v>
      </c>
      <c r="BN17" s="2153"/>
      <c r="BO17" s="2152">
        <v>564</v>
      </c>
      <c r="BP17" s="2152">
        <v>1539</v>
      </c>
      <c r="BQ17" s="2152">
        <v>196</v>
      </c>
      <c r="BR17" s="2152">
        <v>785</v>
      </c>
      <c r="BS17" s="2153"/>
      <c r="BT17" s="2153"/>
      <c r="BU17" s="2152">
        <v>441</v>
      </c>
      <c r="BV17" s="2152">
        <v>277</v>
      </c>
      <c r="BW17" s="2152">
        <v>157</v>
      </c>
      <c r="BX17" s="2152">
        <v>2881</v>
      </c>
      <c r="BY17" s="2152">
        <v>16</v>
      </c>
      <c r="BZ17" s="2152">
        <v>10538</v>
      </c>
      <c r="CA17" s="2154">
        <f t="shared" si="6"/>
        <v>0.19411480945489629</v>
      </c>
      <c r="CC17" s="1452"/>
      <c r="CD17" s="1452"/>
      <c r="CE17" s="1475" t="s">
        <v>572</v>
      </c>
      <c r="CF17" s="1476">
        <v>2520</v>
      </c>
      <c r="CG17" s="1476">
        <v>1155</v>
      </c>
      <c r="CH17" s="1477"/>
      <c r="CI17" s="1476">
        <v>686</v>
      </c>
      <c r="CJ17" s="1476">
        <v>1567</v>
      </c>
      <c r="CK17" s="1476">
        <v>195</v>
      </c>
      <c r="CL17" s="1476">
        <v>965</v>
      </c>
      <c r="CM17" s="1477"/>
      <c r="CN17" s="1476">
        <v>1</v>
      </c>
      <c r="CO17" s="1476">
        <v>401</v>
      </c>
      <c r="CP17" s="1476">
        <v>237</v>
      </c>
      <c r="CQ17" s="1476">
        <v>2993</v>
      </c>
      <c r="CR17" s="1476">
        <v>18</v>
      </c>
      <c r="CS17" s="1476">
        <v>10738</v>
      </c>
      <c r="CT17" s="1478">
        <f t="shared" si="7"/>
        <v>0.18616129633078785</v>
      </c>
      <c r="CV17" s="929"/>
      <c r="CW17" s="929"/>
      <c r="CX17" s="1090" t="s">
        <v>572</v>
      </c>
      <c r="CY17" s="1479">
        <v>2442</v>
      </c>
      <c r="CZ17" s="1479">
        <v>1119</v>
      </c>
      <c r="DA17" s="1479">
        <v>1</v>
      </c>
      <c r="DB17" s="1479">
        <v>747</v>
      </c>
      <c r="DC17" s="1479">
        <v>1355</v>
      </c>
      <c r="DD17" s="1479">
        <v>264</v>
      </c>
      <c r="DE17" s="1479">
        <v>643</v>
      </c>
      <c r="DF17" s="1093"/>
      <c r="DG17" s="1479">
        <v>1</v>
      </c>
      <c r="DH17" s="1479">
        <v>242</v>
      </c>
      <c r="DI17" s="1479">
        <v>172</v>
      </c>
      <c r="DJ17" s="1479">
        <v>3075</v>
      </c>
      <c r="DK17" s="1479">
        <v>18</v>
      </c>
      <c r="DL17" s="1479">
        <v>10079</v>
      </c>
      <c r="DM17" s="803">
        <f t="shared" si="8"/>
        <v>0.17769620001984324</v>
      </c>
      <c r="DO17" s="1094"/>
      <c r="DP17" s="1094"/>
      <c r="DQ17" s="1458" t="s">
        <v>572</v>
      </c>
      <c r="DR17" s="1480">
        <v>2312</v>
      </c>
      <c r="DS17" s="1480">
        <v>835</v>
      </c>
      <c r="DT17" s="1480">
        <v>0</v>
      </c>
      <c r="DU17" s="1480">
        <v>795</v>
      </c>
      <c r="DV17" s="1480">
        <v>1212</v>
      </c>
      <c r="DW17" s="1480">
        <v>185</v>
      </c>
      <c r="DX17" s="1480">
        <v>636</v>
      </c>
      <c r="DY17" s="1480">
        <v>1</v>
      </c>
      <c r="DZ17" s="1480">
        <v>253</v>
      </c>
      <c r="EA17" s="1480">
        <v>158</v>
      </c>
      <c r="EB17" s="1480">
        <v>2920</v>
      </c>
      <c r="EC17" s="1480">
        <v>3260</v>
      </c>
      <c r="ED17" s="1480">
        <v>18</v>
      </c>
      <c r="EE17" s="1480">
        <v>35</v>
      </c>
      <c r="EF17" s="1480">
        <v>12620</v>
      </c>
      <c r="EG17" s="1481">
        <f t="shared" si="9"/>
        <v>0.16088980858768753</v>
      </c>
      <c r="EI17" s="163"/>
      <c r="EJ17" s="163"/>
      <c r="EK17" s="80" t="s">
        <v>15</v>
      </c>
      <c r="EL17" s="80">
        <v>2114</v>
      </c>
      <c r="EM17" s="80">
        <v>766</v>
      </c>
      <c r="EN17" s="80"/>
      <c r="EO17" s="80">
        <v>813</v>
      </c>
      <c r="EP17" s="80">
        <v>1114</v>
      </c>
      <c r="EQ17" s="80">
        <v>208</v>
      </c>
      <c r="ER17" s="80">
        <v>740</v>
      </c>
      <c r="ES17" s="80">
        <v>1</v>
      </c>
      <c r="ET17" s="80">
        <v>165</v>
      </c>
      <c r="EU17" s="80">
        <v>132</v>
      </c>
      <c r="EV17" s="80">
        <v>2595</v>
      </c>
      <c r="EW17" s="80">
        <v>3114</v>
      </c>
      <c r="EX17" s="80">
        <v>18</v>
      </c>
      <c r="EY17" s="80">
        <v>25</v>
      </c>
      <c r="EZ17" s="80">
        <v>11805</v>
      </c>
      <c r="FA17" s="1472">
        <f t="shared" si="1"/>
        <v>0.15830157866086009</v>
      </c>
      <c r="FB17" s="80"/>
      <c r="FC17" s="681"/>
      <c r="FD17" s="681"/>
      <c r="FE17" s="1482" t="s">
        <v>15</v>
      </c>
      <c r="FF17" s="1483">
        <v>1794</v>
      </c>
      <c r="FG17" s="1483">
        <v>733</v>
      </c>
      <c r="FH17" s="1483" t="s">
        <v>332</v>
      </c>
      <c r="FI17" s="1483">
        <v>838</v>
      </c>
      <c r="FJ17" s="1483">
        <v>1065</v>
      </c>
      <c r="FK17" s="1483">
        <v>171</v>
      </c>
      <c r="FL17" s="1483">
        <v>823</v>
      </c>
      <c r="FM17" s="1483">
        <v>1</v>
      </c>
      <c r="FN17" s="1483">
        <v>394</v>
      </c>
      <c r="FO17" s="1483">
        <v>131</v>
      </c>
      <c r="FP17" s="1483">
        <v>3014</v>
      </c>
      <c r="FQ17" s="1483">
        <v>18</v>
      </c>
      <c r="FR17" s="1483">
        <v>8982</v>
      </c>
      <c r="FS17" s="1483">
        <f t="shared" si="2"/>
        <v>1367</v>
      </c>
      <c r="FT17" s="1484">
        <f t="shared" si="3"/>
        <v>0.15219327543976843</v>
      </c>
      <c r="FU17" s="80"/>
      <c r="FV17" s="80"/>
    </row>
    <row r="18" spans="1:178">
      <c r="A18" s="73"/>
      <c r="B18" s="73" t="s">
        <v>16</v>
      </c>
      <c r="C18" s="73" t="s">
        <v>17</v>
      </c>
      <c r="D18" s="161">
        <v>183</v>
      </c>
      <c r="E18" s="161">
        <v>124</v>
      </c>
      <c r="F18" s="161"/>
      <c r="G18" s="161">
        <v>3</v>
      </c>
      <c r="H18" s="161">
        <v>708</v>
      </c>
      <c r="I18" s="161">
        <v>202</v>
      </c>
      <c r="J18" s="161">
        <v>79</v>
      </c>
      <c r="K18" s="161"/>
      <c r="L18" s="161"/>
      <c r="M18" s="161">
        <v>27</v>
      </c>
      <c r="N18" s="161">
        <v>224</v>
      </c>
      <c r="O18" s="161"/>
      <c r="P18" s="161">
        <v>296</v>
      </c>
      <c r="Q18" s="161">
        <v>1</v>
      </c>
      <c r="R18" s="161">
        <v>1847</v>
      </c>
      <c r="S18" s="4680">
        <f t="shared" si="4"/>
        <v>0.61430119176598053</v>
      </c>
      <c r="U18" s="73"/>
      <c r="V18" s="73" t="s">
        <v>16</v>
      </c>
      <c r="W18" s="73" t="s">
        <v>17</v>
      </c>
      <c r="X18" s="161">
        <v>202</v>
      </c>
      <c r="Y18" s="161">
        <v>122</v>
      </c>
      <c r="Z18" s="161"/>
      <c r="AA18" s="161">
        <v>40</v>
      </c>
      <c r="AB18" s="161">
        <v>586</v>
      </c>
      <c r="AC18" s="161">
        <v>285</v>
      </c>
      <c r="AD18" s="161">
        <v>90</v>
      </c>
      <c r="AE18" s="161"/>
      <c r="AF18" s="161"/>
      <c r="AG18" s="161">
        <v>23</v>
      </c>
      <c r="AH18" s="161">
        <v>224</v>
      </c>
      <c r="AI18" s="161"/>
      <c r="AJ18" s="161">
        <v>286</v>
      </c>
      <c r="AK18" s="161">
        <v>3</v>
      </c>
      <c r="AL18" s="161">
        <v>1861</v>
      </c>
      <c r="AM18" s="2585">
        <f t="shared" si="0"/>
        <v>0.58934337997847153</v>
      </c>
      <c r="AN18" s="3196"/>
      <c r="AO18" s="73"/>
      <c r="AP18" s="73" t="s">
        <v>16</v>
      </c>
      <c r="AQ18" s="73" t="s">
        <v>17</v>
      </c>
      <c r="AR18" s="161">
        <v>57</v>
      </c>
      <c r="AS18" s="161">
        <v>243</v>
      </c>
      <c r="AT18" s="161"/>
      <c r="AU18" s="161">
        <v>39</v>
      </c>
      <c r="AV18" s="161">
        <v>416</v>
      </c>
      <c r="AW18" s="161">
        <v>327</v>
      </c>
      <c r="AX18" s="161">
        <v>101</v>
      </c>
      <c r="AY18" s="161">
        <v>1</v>
      </c>
      <c r="AZ18" s="161"/>
      <c r="BA18" s="161">
        <v>27</v>
      </c>
      <c r="BB18" s="161">
        <v>299</v>
      </c>
      <c r="BC18" s="161"/>
      <c r="BD18" s="161">
        <v>294</v>
      </c>
      <c r="BE18" s="161">
        <v>3</v>
      </c>
      <c r="BF18" s="161">
        <v>1807</v>
      </c>
      <c r="BG18" s="2585">
        <f t="shared" si="5"/>
        <v>0.57760532150776056</v>
      </c>
      <c r="BI18" s="2140"/>
      <c r="BJ18" s="2140" t="s">
        <v>16</v>
      </c>
      <c r="BK18" s="2148" t="s">
        <v>17</v>
      </c>
      <c r="BL18" s="2149">
        <v>179</v>
      </c>
      <c r="BM18" s="2149">
        <v>94</v>
      </c>
      <c r="BN18" s="2149">
        <v>1</v>
      </c>
      <c r="BO18" s="2149">
        <v>41</v>
      </c>
      <c r="BP18" s="2149">
        <v>424</v>
      </c>
      <c r="BQ18" s="2149">
        <v>279</v>
      </c>
      <c r="BR18" s="2149">
        <v>114</v>
      </c>
      <c r="BS18" s="2150"/>
      <c r="BT18" s="2150"/>
      <c r="BU18" s="2149">
        <v>23</v>
      </c>
      <c r="BV18" s="2149">
        <v>305</v>
      </c>
      <c r="BW18" s="2150"/>
      <c r="BX18" s="2149">
        <v>310</v>
      </c>
      <c r="BY18" s="2149">
        <v>3</v>
      </c>
      <c r="BZ18" s="2149">
        <v>1773</v>
      </c>
      <c r="CA18" s="2151">
        <f t="shared" si="6"/>
        <v>0.56949152542372883</v>
      </c>
      <c r="CC18" s="1452"/>
      <c r="CD18" s="1452" t="s">
        <v>16</v>
      </c>
      <c r="CE18" s="1465" t="s">
        <v>17</v>
      </c>
      <c r="CF18" s="1466">
        <v>203</v>
      </c>
      <c r="CG18" s="1466">
        <v>103</v>
      </c>
      <c r="CH18" s="1452"/>
      <c r="CI18" s="1466">
        <v>52</v>
      </c>
      <c r="CJ18" s="1466">
        <v>388</v>
      </c>
      <c r="CK18" s="1466">
        <v>321</v>
      </c>
      <c r="CL18" s="1466">
        <v>122</v>
      </c>
      <c r="CM18" s="1452"/>
      <c r="CN18" s="1452"/>
      <c r="CO18" s="1466">
        <v>27</v>
      </c>
      <c r="CP18" s="1466">
        <v>286</v>
      </c>
      <c r="CQ18" s="1466">
        <v>419</v>
      </c>
      <c r="CR18" s="1452"/>
      <c r="CS18" s="1466">
        <v>1921</v>
      </c>
      <c r="CT18" s="814">
        <f t="shared" si="7"/>
        <v>0.5179593961478397</v>
      </c>
      <c r="CV18" s="929"/>
      <c r="CW18" s="929" t="s">
        <v>16</v>
      </c>
      <c r="CX18" s="1467" t="s">
        <v>17</v>
      </c>
      <c r="CY18" s="1468">
        <v>224</v>
      </c>
      <c r="CZ18" s="1468">
        <v>112</v>
      </c>
      <c r="DA18" s="929"/>
      <c r="DB18" s="1468">
        <v>55</v>
      </c>
      <c r="DC18" s="1468">
        <v>376</v>
      </c>
      <c r="DD18" s="1468">
        <v>312</v>
      </c>
      <c r="DE18" s="1468">
        <v>135</v>
      </c>
      <c r="DF18" s="1468">
        <v>0</v>
      </c>
      <c r="DG18" s="929"/>
      <c r="DH18" s="1468">
        <v>13</v>
      </c>
      <c r="DI18" s="1468">
        <v>273</v>
      </c>
      <c r="DJ18" s="1468">
        <v>428</v>
      </c>
      <c r="DK18" s="929"/>
      <c r="DL18" s="1468">
        <v>1928</v>
      </c>
      <c r="DM18" s="814">
        <f t="shared" si="8"/>
        <v>0.49844398340248963</v>
      </c>
      <c r="DO18" s="1094"/>
      <c r="DP18" s="1094" t="s">
        <v>16</v>
      </c>
      <c r="DQ18" s="1469" t="s">
        <v>17</v>
      </c>
      <c r="DR18" s="1470">
        <v>240</v>
      </c>
      <c r="DS18" s="1470">
        <v>82</v>
      </c>
      <c r="DT18" s="1470">
        <v>0</v>
      </c>
      <c r="DU18" s="1470">
        <v>59</v>
      </c>
      <c r="DV18" s="1470">
        <v>365</v>
      </c>
      <c r="DW18" s="1470">
        <v>272</v>
      </c>
      <c r="DX18" s="1470">
        <v>141</v>
      </c>
      <c r="DY18" s="1470">
        <v>0</v>
      </c>
      <c r="DZ18" s="1470">
        <v>14</v>
      </c>
      <c r="EA18" s="1470">
        <v>263</v>
      </c>
      <c r="EB18" s="1470">
        <v>424</v>
      </c>
      <c r="EC18" s="1470">
        <v>474</v>
      </c>
      <c r="ED18" s="1470">
        <v>0</v>
      </c>
      <c r="EE18" s="1470">
        <v>10</v>
      </c>
      <c r="EF18" s="1470">
        <v>2344</v>
      </c>
      <c r="EG18" s="1471">
        <f t="shared" si="9"/>
        <v>0.47120418848167539</v>
      </c>
      <c r="EI18" s="163"/>
      <c r="EJ18" s="163" t="s">
        <v>16</v>
      </c>
      <c r="EK18" s="80" t="s">
        <v>17</v>
      </c>
      <c r="EL18" s="80">
        <v>225</v>
      </c>
      <c r="EM18" s="80">
        <v>80</v>
      </c>
      <c r="EN18" s="80"/>
      <c r="EO18" s="80">
        <v>60</v>
      </c>
      <c r="EP18" s="80">
        <v>381</v>
      </c>
      <c r="EQ18" s="80">
        <v>256</v>
      </c>
      <c r="ER18" s="80">
        <v>123</v>
      </c>
      <c r="ES18" s="80"/>
      <c r="ET18" s="80">
        <v>7</v>
      </c>
      <c r="EU18" s="80">
        <v>242</v>
      </c>
      <c r="EV18" s="80">
        <v>409</v>
      </c>
      <c r="EW18" s="80">
        <v>488</v>
      </c>
      <c r="EX18" s="80"/>
      <c r="EY18" s="80">
        <v>8</v>
      </c>
      <c r="EZ18" s="80">
        <v>2279</v>
      </c>
      <c r="FA18" s="1472">
        <f t="shared" si="1"/>
        <v>0.47207303974221265</v>
      </c>
      <c r="FB18" s="80"/>
      <c r="FC18" s="681"/>
      <c r="FD18" s="681" t="s">
        <v>16</v>
      </c>
      <c r="FE18" s="681" t="s">
        <v>17</v>
      </c>
      <c r="FF18" s="1473">
        <v>189</v>
      </c>
      <c r="FG18" s="1473">
        <v>95</v>
      </c>
      <c r="FH18" s="1473" t="s">
        <v>332</v>
      </c>
      <c r="FI18" s="1473">
        <v>51</v>
      </c>
      <c r="FJ18" s="1473">
        <v>421</v>
      </c>
      <c r="FK18" s="1473">
        <v>255</v>
      </c>
      <c r="FL18" s="1473">
        <v>139</v>
      </c>
      <c r="FM18" s="1473" t="s">
        <v>332</v>
      </c>
      <c r="FN18" s="1473">
        <v>35</v>
      </c>
      <c r="FO18" s="1473">
        <v>256</v>
      </c>
      <c r="FP18" s="1473">
        <v>449</v>
      </c>
      <c r="FQ18" s="1473" t="s">
        <v>332</v>
      </c>
      <c r="FR18" s="1473">
        <v>1890</v>
      </c>
      <c r="FS18" s="1473">
        <f t="shared" si="2"/>
        <v>932</v>
      </c>
      <c r="FT18" s="1474">
        <f t="shared" si="3"/>
        <v>0.49312169312169313</v>
      </c>
      <c r="FU18" s="80"/>
      <c r="FV18" s="80"/>
    </row>
    <row r="19" spans="1:178">
      <c r="A19" s="73"/>
      <c r="B19" s="73"/>
      <c r="C19" s="73" t="s">
        <v>18</v>
      </c>
      <c r="D19" s="161">
        <v>327</v>
      </c>
      <c r="E19" s="161">
        <v>214</v>
      </c>
      <c r="F19" s="161"/>
      <c r="G19" s="161">
        <v>1</v>
      </c>
      <c r="H19" s="161">
        <v>1308</v>
      </c>
      <c r="I19" s="161">
        <v>260</v>
      </c>
      <c r="J19" s="161">
        <v>144</v>
      </c>
      <c r="K19" s="161"/>
      <c r="L19" s="161"/>
      <c r="M19" s="161">
        <v>95</v>
      </c>
      <c r="N19" s="161">
        <v>180</v>
      </c>
      <c r="O19" s="161"/>
      <c r="P19" s="161">
        <v>408</v>
      </c>
      <c r="Q19" s="161">
        <v>0</v>
      </c>
      <c r="R19" s="161">
        <v>2937</v>
      </c>
      <c r="S19" s="4680">
        <f t="shared" si="4"/>
        <v>0.59516513449097719</v>
      </c>
      <c r="U19" s="73"/>
      <c r="V19" s="73"/>
      <c r="W19" s="73" t="s">
        <v>18</v>
      </c>
      <c r="X19" s="161">
        <v>330</v>
      </c>
      <c r="Y19" s="161">
        <v>256</v>
      </c>
      <c r="Z19" s="161"/>
      <c r="AA19" s="161">
        <v>59</v>
      </c>
      <c r="AB19" s="161">
        <v>704</v>
      </c>
      <c r="AC19" s="161">
        <v>463</v>
      </c>
      <c r="AD19" s="161">
        <v>110</v>
      </c>
      <c r="AE19" s="161"/>
      <c r="AF19" s="161"/>
      <c r="AG19" s="161">
        <v>93</v>
      </c>
      <c r="AH19" s="161">
        <v>446</v>
      </c>
      <c r="AI19" s="161"/>
      <c r="AJ19" s="161">
        <v>385</v>
      </c>
      <c r="AK19" s="161">
        <v>3</v>
      </c>
      <c r="AL19" s="161">
        <v>2849</v>
      </c>
      <c r="AM19" s="2585">
        <f t="shared" si="0"/>
        <v>0.56676036542515806</v>
      </c>
      <c r="AN19" s="3196"/>
      <c r="AO19" s="73"/>
      <c r="AP19" s="73"/>
      <c r="AQ19" s="73" t="s">
        <v>18</v>
      </c>
      <c r="AR19" s="161">
        <v>120</v>
      </c>
      <c r="AS19" s="161">
        <v>489</v>
      </c>
      <c r="AT19" s="161"/>
      <c r="AU19" s="161">
        <v>58</v>
      </c>
      <c r="AV19" s="161">
        <v>660</v>
      </c>
      <c r="AW19" s="161">
        <v>421</v>
      </c>
      <c r="AX19" s="161">
        <v>125</v>
      </c>
      <c r="AY19" s="161">
        <v>10</v>
      </c>
      <c r="AZ19" s="161"/>
      <c r="BA19" s="161">
        <v>78</v>
      </c>
      <c r="BB19" s="161">
        <v>405</v>
      </c>
      <c r="BC19" s="161"/>
      <c r="BD19" s="161">
        <v>333</v>
      </c>
      <c r="BE19" s="161">
        <v>3</v>
      </c>
      <c r="BF19" s="161">
        <v>2702</v>
      </c>
      <c r="BG19" s="2585">
        <f t="shared" si="5"/>
        <v>0.5505742867728789</v>
      </c>
      <c r="BI19" s="2140"/>
      <c r="BJ19" s="2140"/>
      <c r="BK19" s="2148" t="s">
        <v>18</v>
      </c>
      <c r="BL19" s="2149">
        <v>346</v>
      </c>
      <c r="BM19" s="2149">
        <v>183</v>
      </c>
      <c r="BN19" s="2149">
        <v>0</v>
      </c>
      <c r="BO19" s="2149">
        <v>62</v>
      </c>
      <c r="BP19" s="2149">
        <v>601</v>
      </c>
      <c r="BQ19" s="2149">
        <v>415</v>
      </c>
      <c r="BR19" s="2149">
        <v>124</v>
      </c>
      <c r="BS19" s="2150"/>
      <c r="BT19" s="2150"/>
      <c r="BU19" s="2149">
        <v>92</v>
      </c>
      <c r="BV19" s="2149">
        <v>390</v>
      </c>
      <c r="BW19" s="2150"/>
      <c r="BX19" s="2149">
        <v>366</v>
      </c>
      <c r="BY19" s="2149">
        <v>3</v>
      </c>
      <c r="BZ19" s="2149">
        <v>2582</v>
      </c>
      <c r="CA19" s="2151">
        <f t="shared" si="6"/>
        <v>0.54517254749903066</v>
      </c>
      <c r="CC19" s="1452"/>
      <c r="CD19" s="1452"/>
      <c r="CE19" s="1465" t="s">
        <v>18</v>
      </c>
      <c r="CF19" s="1466">
        <v>328</v>
      </c>
      <c r="CG19" s="1466">
        <v>205</v>
      </c>
      <c r="CH19" s="1452"/>
      <c r="CI19" s="1466">
        <v>88</v>
      </c>
      <c r="CJ19" s="1466">
        <v>612</v>
      </c>
      <c r="CK19" s="1466">
        <v>384</v>
      </c>
      <c r="CL19" s="1466">
        <v>139</v>
      </c>
      <c r="CM19" s="1452"/>
      <c r="CN19" s="1452"/>
      <c r="CO19" s="1466">
        <v>68</v>
      </c>
      <c r="CP19" s="1466">
        <v>366</v>
      </c>
      <c r="CQ19" s="1466">
        <v>473</v>
      </c>
      <c r="CR19" s="1452"/>
      <c r="CS19" s="1466">
        <v>2663</v>
      </c>
      <c r="CT19" s="814">
        <f t="shared" si="7"/>
        <v>0.51145324821629745</v>
      </c>
      <c r="CV19" s="929"/>
      <c r="CW19" s="929"/>
      <c r="CX19" s="1467" t="s">
        <v>18</v>
      </c>
      <c r="CY19" s="1468">
        <v>321</v>
      </c>
      <c r="CZ19" s="1468">
        <v>182</v>
      </c>
      <c r="DA19" s="929"/>
      <c r="DB19" s="1468">
        <v>101</v>
      </c>
      <c r="DC19" s="1468">
        <v>607</v>
      </c>
      <c r="DD19" s="1468">
        <v>379</v>
      </c>
      <c r="DE19" s="1468">
        <v>162</v>
      </c>
      <c r="DF19" s="1468">
        <v>1</v>
      </c>
      <c r="DG19" s="929"/>
      <c r="DH19" s="1468">
        <v>50</v>
      </c>
      <c r="DI19" s="1468">
        <v>363</v>
      </c>
      <c r="DJ19" s="1468">
        <v>471</v>
      </c>
      <c r="DK19" s="929"/>
      <c r="DL19" s="1468">
        <v>2637</v>
      </c>
      <c r="DM19" s="814">
        <f t="shared" si="8"/>
        <v>0.51156617368221469</v>
      </c>
      <c r="DO19" s="1094"/>
      <c r="DP19" s="1094"/>
      <c r="DQ19" s="1469" t="s">
        <v>18</v>
      </c>
      <c r="DR19" s="1470">
        <v>367</v>
      </c>
      <c r="DS19" s="1470">
        <v>139</v>
      </c>
      <c r="DT19" s="1470">
        <v>0</v>
      </c>
      <c r="DU19" s="1470">
        <v>102</v>
      </c>
      <c r="DV19" s="1470">
        <v>595</v>
      </c>
      <c r="DW19" s="1470">
        <v>281</v>
      </c>
      <c r="DX19" s="1470">
        <v>212</v>
      </c>
      <c r="DY19" s="1470">
        <v>0</v>
      </c>
      <c r="DZ19" s="1470">
        <v>41</v>
      </c>
      <c r="EA19" s="1470">
        <v>350</v>
      </c>
      <c r="EB19" s="1470">
        <v>546</v>
      </c>
      <c r="EC19" s="1470">
        <v>527</v>
      </c>
      <c r="ED19" s="1470">
        <v>0</v>
      </c>
      <c r="EE19" s="1470">
        <v>14</v>
      </c>
      <c r="EF19" s="1470">
        <v>3174</v>
      </c>
      <c r="EG19" s="1471">
        <f t="shared" si="9"/>
        <v>0.46901300688599845</v>
      </c>
      <c r="EI19" s="163"/>
      <c r="EJ19" s="163"/>
      <c r="EK19" s="80" t="s">
        <v>18</v>
      </c>
      <c r="EL19" s="80">
        <v>306</v>
      </c>
      <c r="EM19" s="80">
        <v>139</v>
      </c>
      <c r="EN19" s="80"/>
      <c r="EO19" s="80">
        <v>101</v>
      </c>
      <c r="EP19" s="80">
        <v>610</v>
      </c>
      <c r="EQ19" s="80">
        <v>300</v>
      </c>
      <c r="ER19" s="80">
        <v>215</v>
      </c>
      <c r="ES19" s="80"/>
      <c r="ET19" s="80">
        <v>34</v>
      </c>
      <c r="EU19" s="80">
        <v>301</v>
      </c>
      <c r="EV19" s="80">
        <v>552</v>
      </c>
      <c r="EW19" s="80">
        <v>559</v>
      </c>
      <c r="EX19" s="80"/>
      <c r="EY19" s="80">
        <v>10</v>
      </c>
      <c r="EZ19" s="80">
        <v>3127</v>
      </c>
      <c r="FA19" s="1472">
        <f t="shared" si="1"/>
        <v>0.47212475633528267</v>
      </c>
      <c r="FB19" s="80"/>
      <c r="FC19" s="681"/>
      <c r="FD19" s="681"/>
      <c r="FE19" s="681" t="s">
        <v>18</v>
      </c>
      <c r="FF19" s="1473">
        <v>277</v>
      </c>
      <c r="FG19" s="1473">
        <v>133</v>
      </c>
      <c r="FH19" s="1473" t="s">
        <v>332</v>
      </c>
      <c r="FI19" s="1473">
        <v>99</v>
      </c>
      <c r="FJ19" s="1473">
        <v>629</v>
      </c>
      <c r="FK19" s="1473">
        <v>313</v>
      </c>
      <c r="FL19" s="1473">
        <v>219</v>
      </c>
      <c r="FM19" s="1473" t="s">
        <v>332</v>
      </c>
      <c r="FN19" s="1473">
        <v>57</v>
      </c>
      <c r="FO19" s="1473">
        <v>334</v>
      </c>
      <c r="FP19" s="1473">
        <v>606</v>
      </c>
      <c r="FQ19" s="1473" t="s">
        <v>332</v>
      </c>
      <c r="FR19" s="1473">
        <v>2667</v>
      </c>
      <c r="FS19" s="1473">
        <f t="shared" si="2"/>
        <v>1276</v>
      </c>
      <c r="FT19" s="1474">
        <f t="shared" si="3"/>
        <v>0.47844019497562806</v>
      </c>
      <c r="FU19" s="80"/>
      <c r="FV19" s="80"/>
    </row>
    <row r="20" spans="1:178">
      <c r="A20" s="73"/>
      <c r="B20" s="73"/>
      <c r="C20" s="73" t="s">
        <v>19</v>
      </c>
      <c r="D20" s="161">
        <v>286</v>
      </c>
      <c r="E20" s="161">
        <v>169</v>
      </c>
      <c r="F20" s="161"/>
      <c r="G20" s="161">
        <v>1</v>
      </c>
      <c r="H20" s="161">
        <v>308</v>
      </c>
      <c r="I20" s="161">
        <v>29</v>
      </c>
      <c r="J20" s="161">
        <v>74</v>
      </c>
      <c r="K20" s="161"/>
      <c r="L20" s="161"/>
      <c r="M20" s="161">
        <v>72</v>
      </c>
      <c r="N20" s="161">
        <v>25</v>
      </c>
      <c r="O20" s="161"/>
      <c r="P20" s="161">
        <v>292</v>
      </c>
      <c r="Q20" s="161">
        <v>0</v>
      </c>
      <c r="R20" s="161">
        <v>1256</v>
      </c>
      <c r="S20" s="4680">
        <f t="shared" si="4"/>
        <v>0.28821656050955413</v>
      </c>
      <c r="U20" s="73"/>
      <c r="V20" s="73"/>
      <c r="W20" s="73" t="s">
        <v>19</v>
      </c>
      <c r="X20" s="161">
        <v>249</v>
      </c>
      <c r="Y20" s="161">
        <v>197</v>
      </c>
      <c r="Z20" s="161"/>
      <c r="AA20" s="161">
        <v>72</v>
      </c>
      <c r="AB20" s="161">
        <v>273</v>
      </c>
      <c r="AC20" s="161">
        <v>53</v>
      </c>
      <c r="AD20" s="161">
        <v>89</v>
      </c>
      <c r="AE20" s="161"/>
      <c r="AF20" s="161"/>
      <c r="AG20" s="161">
        <v>83</v>
      </c>
      <c r="AH20" s="161">
        <v>32</v>
      </c>
      <c r="AI20" s="161"/>
      <c r="AJ20" s="161">
        <v>252</v>
      </c>
      <c r="AK20" s="161">
        <v>1</v>
      </c>
      <c r="AL20" s="161">
        <v>1301</v>
      </c>
      <c r="AM20" s="2585">
        <f t="shared" si="0"/>
        <v>0.27538461538461539</v>
      </c>
      <c r="AN20" s="3196"/>
      <c r="AO20" s="73"/>
      <c r="AP20" s="73"/>
      <c r="AQ20" s="73" t="s">
        <v>19</v>
      </c>
      <c r="AR20" s="161">
        <v>103</v>
      </c>
      <c r="AS20" s="161">
        <v>339</v>
      </c>
      <c r="AT20" s="161"/>
      <c r="AU20" s="161">
        <v>76</v>
      </c>
      <c r="AV20" s="161">
        <v>281</v>
      </c>
      <c r="AW20" s="161">
        <v>20</v>
      </c>
      <c r="AX20" s="161">
        <v>93</v>
      </c>
      <c r="AY20" s="161">
        <v>0</v>
      </c>
      <c r="AZ20" s="161"/>
      <c r="BA20" s="161">
        <v>60</v>
      </c>
      <c r="BB20" s="161">
        <v>30</v>
      </c>
      <c r="BC20" s="161"/>
      <c r="BD20" s="161">
        <v>243</v>
      </c>
      <c r="BE20" s="161">
        <v>1</v>
      </c>
      <c r="BF20" s="161">
        <v>1246</v>
      </c>
      <c r="BG20" s="2585">
        <f t="shared" si="5"/>
        <v>0.26586345381526105</v>
      </c>
      <c r="BI20" s="2140"/>
      <c r="BJ20" s="2140"/>
      <c r="BK20" s="2148" t="s">
        <v>19</v>
      </c>
      <c r="BL20" s="2149">
        <v>217</v>
      </c>
      <c r="BM20" s="2149">
        <v>157</v>
      </c>
      <c r="BN20" s="2149">
        <v>0</v>
      </c>
      <c r="BO20" s="2149">
        <v>73</v>
      </c>
      <c r="BP20" s="2149">
        <v>270</v>
      </c>
      <c r="BQ20" s="2149">
        <v>10</v>
      </c>
      <c r="BR20" s="2149">
        <v>89</v>
      </c>
      <c r="BS20" s="2150"/>
      <c r="BT20" s="2150"/>
      <c r="BU20" s="2149">
        <v>84</v>
      </c>
      <c r="BV20" s="2149">
        <v>41</v>
      </c>
      <c r="BW20" s="2150"/>
      <c r="BX20" s="2149">
        <v>259</v>
      </c>
      <c r="BY20" s="2149">
        <v>0</v>
      </c>
      <c r="BZ20" s="2149">
        <v>1200</v>
      </c>
      <c r="CA20" s="2151">
        <f t="shared" si="6"/>
        <v>0.26750000000000002</v>
      </c>
      <c r="CC20" s="1452"/>
      <c r="CD20" s="1452"/>
      <c r="CE20" s="1465" t="s">
        <v>19</v>
      </c>
      <c r="CF20" s="1466">
        <v>243</v>
      </c>
      <c r="CG20" s="1466">
        <v>143</v>
      </c>
      <c r="CH20" s="1452"/>
      <c r="CI20" s="1466">
        <v>96</v>
      </c>
      <c r="CJ20" s="1466">
        <v>280</v>
      </c>
      <c r="CK20" s="1466">
        <v>21</v>
      </c>
      <c r="CL20" s="1466">
        <v>107</v>
      </c>
      <c r="CM20" s="1452"/>
      <c r="CN20" s="1452"/>
      <c r="CO20" s="1466">
        <v>56</v>
      </c>
      <c r="CP20" s="1466">
        <v>14</v>
      </c>
      <c r="CQ20" s="1466">
        <v>358</v>
      </c>
      <c r="CR20" s="1452"/>
      <c r="CS20" s="1466">
        <v>1318</v>
      </c>
      <c r="CT20" s="814">
        <f t="shared" si="7"/>
        <v>0.23899848254931716</v>
      </c>
      <c r="CV20" s="929"/>
      <c r="CW20" s="929"/>
      <c r="CX20" s="1467" t="s">
        <v>19</v>
      </c>
      <c r="CY20" s="1468">
        <v>211</v>
      </c>
      <c r="CZ20" s="1468">
        <v>164</v>
      </c>
      <c r="DA20" s="929"/>
      <c r="DB20" s="1468">
        <v>104</v>
      </c>
      <c r="DC20" s="1468">
        <v>284</v>
      </c>
      <c r="DD20" s="1468">
        <v>28</v>
      </c>
      <c r="DE20" s="1468">
        <v>81</v>
      </c>
      <c r="DF20" s="1468">
        <v>8</v>
      </c>
      <c r="DG20" s="929"/>
      <c r="DH20" s="1468">
        <v>32</v>
      </c>
      <c r="DI20" s="1468">
        <v>16</v>
      </c>
      <c r="DJ20" s="1468">
        <v>353</v>
      </c>
      <c r="DK20" s="929"/>
      <c r="DL20" s="1468">
        <v>1281</v>
      </c>
      <c r="DM20" s="814">
        <f t="shared" si="8"/>
        <v>0.25604996096799376</v>
      </c>
      <c r="DO20" s="1094"/>
      <c r="DP20" s="1094"/>
      <c r="DQ20" s="1469" t="s">
        <v>19</v>
      </c>
      <c r="DR20" s="1470">
        <v>215</v>
      </c>
      <c r="DS20" s="1470">
        <v>109</v>
      </c>
      <c r="DT20" s="1470">
        <v>0</v>
      </c>
      <c r="DU20" s="1470">
        <v>109</v>
      </c>
      <c r="DV20" s="1470">
        <v>247</v>
      </c>
      <c r="DW20" s="1470">
        <v>34</v>
      </c>
      <c r="DX20" s="1470">
        <v>109</v>
      </c>
      <c r="DY20" s="1470">
        <v>0</v>
      </c>
      <c r="DZ20" s="1470">
        <v>53</v>
      </c>
      <c r="EA20" s="1470">
        <v>19</v>
      </c>
      <c r="EB20" s="1470">
        <v>327</v>
      </c>
      <c r="EC20" s="1470">
        <v>354</v>
      </c>
      <c r="ED20" s="1470">
        <v>0</v>
      </c>
      <c r="EE20" s="1470">
        <v>6</v>
      </c>
      <c r="EF20" s="1470">
        <v>1582</v>
      </c>
      <c r="EG20" s="1471">
        <f t="shared" si="9"/>
        <v>0.24019215372297839</v>
      </c>
      <c r="EI20" s="163"/>
      <c r="EJ20" s="163"/>
      <c r="EK20" s="80" t="s">
        <v>19</v>
      </c>
      <c r="EL20" s="80">
        <v>197</v>
      </c>
      <c r="EM20" s="80">
        <v>123</v>
      </c>
      <c r="EN20" s="80"/>
      <c r="EO20" s="80">
        <v>103</v>
      </c>
      <c r="EP20" s="80">
        <v>262</v>
      </c>
      <c r="EQ20" s="80">
        <v>26</v>
      </c>
      <c r="ER20" s="80">
        <v>123</v>
      </c>
      <c r="ES20" s="80"/>
      <c r="ET20" s="80">
        <v>35</v>
      </c>
      <c r="EU20" s="80">
        <v>14</v>
      </c>
      <c r="EV20" s="80">
        <v>299</v>
      </c>
      <c r="EW20" s="80">
        <v>347</v>
      </c>
      <c r="EX20" s="80"/>
      <c r="EY20" s="80">
        <v>2</v>
      </c>
      <c r="EZ20" s="80">
        <v>1531</v>
      </c>
      <c r="FA20" s="1472">
        <f t="shared" si="1"/>
        <v>0.24552845528455283</v>
      </c>
      <c r="FB20" s="80"/>
      <c r="FC20" s="681"/>
      <c r="FD20" s="681"/>
      <c r="FE20" s="681" t="s">
        <v>19</v>
      </c>
      <c r="FF20" s="1473">
        <v>173</v>
      </c>
      <c r="FG20" s="1473">
        <v>96</v>
      </c>
      <c r="FH20" s="1473" t="s">
        <v>332</v>
      </c>
      <c r="FI20" s="1473">
        <v>110</v>
      </c>
      <c r="FJ20" s="1473">
        <v>260</v>
      </c>
      <c r="FK20" s="1473">
        <v>20</v>
      </c>
      <c r="FL20" s="1473">
        <v>130</v>
      </c>
      <c r="FM20" s="1473" t="s">
        <v>332</v>
      </c>
      <c r="FN20" s="1473">
        <v>59</v>
      </c>
      <c r="FO20" s="1473">
        <v>25</v>
      </c>
      <c r="FP20" s="1473">
        <v>366</v>
      </c>
      <c r="FQ20" s="1473" t="s">
        <v>332</v>
      </c>
      <c r="FR20" s="1473">
        <v>1239</v>
      </c>
      <c r="FS20" s="1473">
        <f t="shared" si="2"/>
        <v>305</v>
      </c>
      <c r="FT20" s="1474">
        <f t="shared" si="3"/>
        <v>0.24616626311541565</v>
      </c>
      <c r="FU20" s="80"/>
      <c r="FV20" s="80"/>
    </row>
    <row r="21" spans="1:178">
      <c r="A21" s="73"/>
      <c r="B21" s="73"/>
      <c r="C21" s="73" t="s">
        <v>20</v>
      </c>
      <c r="D21" s="161">
        <v>216</v>
      </c>
      <c r="E21" s="161">
        <v>213</v>
      </c>
      <c r="F21" s="161"/>
      <c r="G21" s="161">
        <v>4</v>
      </c>
      <c r="H21" s="161">
        <v>329</v>
      </c>
      <c r="I21" s="161">
        <v>46</v>
      </c>
      <c r="J21" s="161">
        <v>102</v>
      </c>
      <c r="K21" s="161"/>
      <c r="L21" s="161"/>
      <c r="M21" s="161">
        <v>140</v>
      </c>
      <c r="N21" s="161">
        <v>51</v>
      </c>
      <c r="O21" s="161"/>
      <c r="P21" s="161">
        <v>229</v>
      </c>
      <c r="Q21" s="161">
        <v>0</v>
      </c>
      <c r="R21" s="161">
        <v>1330</v>
      </c>
      <c r="S21" s="4680">
        <f t="shared" si="4"/>
        <v>0.32030075187969925</v>
      </c>
      <c r="U21" s="73"/>
      <c r="V21" s="73"/>
      <c r="W21" s="73" t="s">
        <v>20</v>
      </c>
      <c r="X21" s="161">
        <v>195</v>
      </c>
      <c r="Y21" s="161">
        <v>230</v>
      </c>
      <c r="Z21" s="161"/>
      <c r="AA21" s="161">
        <v>49</v>
      </c>
      <c r="AB21" s="161">
        <v>291</v>
      </c>
      <c r="AC21" s="161">
        <v>70</v>
      </c>
      <c r="AD21" s="161">
        <v>89</v>
      </c>
      <c r="AE21" s="161"/>
      <c r="AF21" s="161"/>
      <c r="AG21" s="161">
        <v>142</v>
      </c>
      <c r="AH21" s="161">
        <v>52</v>
      </c>
      <c r="AI21" s="161"/>
      <c r="AJ21" s="161">
        <v>235</v>
      </c>
      <c r="AK21" s="161">
        <v>1</v>
      </c>
      <c r="AL21" s="161">
        <v>1354</v>
      </c>
      <c r="AM21" s="2585">
        <f t="shared" si="0"/>
        <v>0.30524759793052475</v>
      </c>
      <c r="AN21" s="3196"/>
      <c r="AO21" s="73"/>
      <c r="AP21" s="73"/>
      <c r="AQ21" s="73" t="s">
        <v>20</v>
      </c>
      <c r="AR21" s="161">
        <v>95</v>
      </c>
      <c r="AS21" s="161">
        <v>345</v>
      </c>
      <c r="AT21" s="161"/>
      <c r="AU21" s="161">
        <v>55</v>
      </c>
      <c r="AV21" s="161">
        <v>280</v>
      </c>
      <c r="AW21" s="161">
        <v>51</v>
      </c>
      <c r="AX21" s="161">
        <v>84</v>
      </c>
      <c r="AY21" s="161">
        <v>12</v>
      </c>
      <c r="AZ21" s="161"/>
      <c r="BA21" s="161">
        <v>115</v>
      </c>
      <c r="BB21" s="161">
        <v>41</v>
      </c>
      <c r="BC21" s="161"/>
      <c r="BD21" s="161">
        <v>233</v>
      </c>
      <c r="BE21" s="161">
        <v>1</v>
      </c>
      <c r="BF21" s="161">
        <v>1312</v>
      </c>
      <c r="BG21" s="2585">
        <f t="shared" si="5"/>
        <v>0.28375286041189929</v>
      </c>
      <c r="BI21" s="2140"/>
      <c r="BJ21" s="2140"/>
      <c r="BK21" s="2148" t="s">
        <v>20</v>
      </c>
      <c r="BL21" s="2149">
        <v>198</v>
      </c>
      <c r="BM21" s="2149">
        <v>164</v>
      </c>
      <c r="BN21" s="2149">
        <v>0</v>
      </c>
      <c r="BO21" s="2149">
        <v>54</v>
      </c>
      <c r="BP21" s="2149">
        <v>257</v>
      </c>
      <c r="BQ21" s="2149">
        <v>46</v>
      </c>
      <c r="BR21" s="2149">
        <v>97</v>
      </c>
      <c r="BS21" s="2150"/>
      <c r="BT21" s="2150"/>
      <c r="BU21" s="2149">
        <v>127</v>
      </c>
      <c r="BV21" s="2149">
        <v>66</v>
      </c>
      <c r="BW21" s="2150"/>
      <c r="BX21" s="2149">
        <v>248</v>
      </c>
      <c r="BY21" s="2149">
        <v>1</v>
      </c>
      <c r="BZ21" s="2149">
        <v>1258</v>
      </c>
      <c r="CA21" s="2151">
        <f t="shared" si="6"/>
        <v>0.2935560859188544</v>
      </c>
      <c r="CC21" s="1452"/>
      <c r="CD21" s="1452"/>
      <c r="CE21" s="1465" t="s">
        <v>20</v>
      </c>
      <c r="CF21" s="1466">
        <v>216</v>
      </c>
      <c r="CG21" s="1466">
        <v>185</v>
      </c>
      <c r="CH21" s="1452"/>
      <c r="CI21" s="1466">
        <v>84</v>
      </c>
      <c r="CJ21" s="1466">
        <v>251</v>
      </c>
      <c r="CK21" s="1466">
        <v>49</v>
      </c>
      <c r="CL21" s="1466">
        <v>128</v>
      </c>
      <c r="CM21" s="1452"/>
      <c r="CN21" s="1452"/>
      <c r="CO21" s="1466">
        <v>94</v>
      </c>
      <c r="CP21" s="1466">
        <v>46</v>
      </c>
      <c r="CQ21" s="1466">
        <v>305</v>
      </c>
      <c r="CR21" s="1452"/>
      <c r="CS21" s="1466">
        <v>1358</v>
      </c>
      <c r="CT21" s="814">
        <f t="shared" si="7"/>
        <v>0.25478645066273931</v>
      </c>
      <c r="CV21" s="929"/>
      <c r="CW21" s="929"/>
      <c r="CX21" s="1467" t="s">
        <v>20</v>
      </c>
      <c r="CY21" s="1468">
        <v>213</v>
      </c>
      <c r="CZ21" s="1468">
        <v>209</v>
      </c>
      <c r="DA21" s="929"/>
      <c r="DB21" s="1468">
        <v>92</v>
      </c>
      <c r="DC21" s="1468">
        <v>249</v>
      </c>
      <c r="DD21" s="1468">
        <v>49</v>
      </c>
      <c r="DE21" s="1468">
        <v>121</v>
      </c>
      <c r="DF21" s="1468">
        <v>0</v>
      </c>
      <c r="DG21" s="929"/>
      <c r="DH21" s="1468">
        <v>79</v>
      </c>
      <c r="DI21" s="1468">
        <v>31</v>
      </c>
      <c r="DJ21" s="1468">
        <v>323</v>
      </c>
      <c r="DK21" s="929"/>
      <c r="DL21" s="1468">
        <v>1366</v>
      </c>
      <c r="DM21" s="814">
        <f t="shared" si="8"/>
        <v>0.24084919472913616</v>
      </c>
      <c r="DO21" s="1094"/>
      <c r="DP21" s="1094"/>
      <c r="DQ21" s="1469" t="s">
        <v>20</v>
      </c>
      <c r="DR21" s="1470">
        <v>225</v>
      </c>
      <c r="DS21" s="1470">
        <v>140</v>
      </c>
      <c r="DT21" s="1470">
        <v>0</v>
      </c>
      <c r="DU21" s="1470">
        <v>90</v>
      </c>
      <c r="DV21" s="1470">
        <v>222</v>
      </c>
      <c r="DW21" s="1470">
        <v>40</v>
      </c>
      <c r="DX21" s="1470">
        <v>118</v>
      </c>
      <c r="DY21" s="1470">
        <v>0</v>
      </c>
      <c r="DZ21" s="1470">
        <v>89</v>
      </c>
      <c r="EA21" s="1470">
        <v>29</v>
      </c>
      <c r="EB21" s="1470">
        <v>234</v>
      </c>
      <c r="EC21" s="1470">
        <v>390</v>
      </c>
      <c r="ED21" s="1470">
        <v>0</v>
      </c>
      <c r="EE21" s="1470">
        <v>5</v>
      </c>
      <c r="EF21" s="1470">
        <v>1582</v>
      </c>
      <c r="EG21" s="1471">
        <f t="shared" si="9"/>
        <v>0.21667907669396871</v>
      </c>
      <c r="EI21" s="163"/>
      <c r="EJ21" s="163"/>
      <c r="EK21" s="80" t="s">
        <v>20</v>
      </c>
      <c r="EL21" s="80">
        <v>166</v>
      </c>
      <c r="EM21" s="80">
        <v>143</v>
      </c>
      <c r="EN21" s="80"/>
      <c r="EO21" s="80">
        <v>97</v>
      </c>
      <c r="EP21" s="80">
        <v>210</v>
      </c>
      <c r="EQ21" s="80">
        <v>58</v>
      </c>
      <c r="ER21" s="80">
        <v>143</v>
      </c>
      <c r="ES21" s="80"/>
      <c r="ET21" s="80">
        <v>76</v>
      </c>
      <c r="EU21" s="80">
        <v>24</v>
      </c>
      <c r="EV21" s="80">
        <v>227</v>
      </c>
      <c r="EW21" s="80">
        <v>385</v>
      </c>
      <c r="EX21" s="80"/>
      <c r="EY21" s="80">
        <v>5</v>
      </c>
      <c r="EZ21" s="80">
        <v>1534</v>
      </c>
      <c r="FA21" s="1472">
        <f t="shared" si="1"/>
        <v>0.22427035330261136</v>
      </c>
      <c r="FB21" s="80"/>
      <c r="FC21" s="681"/>
      <c r="FD21" s="681"/>
      <c r="FE21" s="681" t="s">
        <v>20</v>
      </c>
      <c r="FF21" s="1473">
        <v>151</v>
      </c>
      <c r="FG21" s="1473">
        <v>129</v>
      </c>
      <c r="FH21" s="1473" t="s">
        <v>332</v>
      </c>
      <c r="FI21" s="1473">
        <v>100</v>
      </c>
      <c r="FJ21" s="1473">
        <v>215</v>
      </c>
      <c r="FK21" s="1473">
        <v>37</v>
      </c>
      <c r="FL21" s="1473">
        <v>135</v>
      </c>
      <c r="FM21" s="1473" t="s">
        <v>332</v>
      </c>
      <c r="FN21" s="1473">
        <v>111</v>
      </c>
      <c r="FO21" s="1473">
        <v>33</v>
      </c>
      <c r="FP21" s="1473">
        <v>417</v>
      </c>
      <c r="FQ21" s="1473" t="s">
        <v>332</v>
      </c>
      <c r="FR21" s="1473">
        <v>1328</v>
      </c>
      <c r="FS21" s="1473">
        <f t="shared" si="2"/>
        <v>285</v>
      </c>
      <c r="FT21" s="1474">
        <f t="shared" si="3"/>
        <v>0.21460843373493976</v>
      </c>
      <c r="FU21" s="80"/>
      <c r="FV21" s="80"/>
    </row>
    <row r="22" spans="1:178">
      <c r="A22" s="73"/>
      <c r="B22" s="73"/>
      <c r="C22" s="738" t="s">
        <v>573</v>
      </c>
      <c r="D22" s="4667">
        <v>1012</v>
      </c>
      <c r="E22" s="4667">
        <v>720</v>
      </c>
      <c r="F22" s="4667"/>
      <c r="G22" s="4667">
        <v>9</v>
      </c>
      <c r="H22" s="4667">
        <v>2653</v>
      </c>
      <c r="I22" s="4667">
        <v>537</v>
      </c>
      <c r="J22" s="4667">
        <v>399</v>
      </c>
      <c r="K22" s="4667"/>
      <c r="L22" s="4667"/>
      <c r="M22" s="4667">
        <v>334</v>
      </c>
      <c r="N22" s="4667">
        <v>480</v>
      </c>
      <c r="O22" s="4667"/>
      <c r="P22" s="4667">
        <v>1225</v>
      </c>
      <c r="Q22" s="4667">
        <v>1</v>
      </c>
      <c r="R22" s="4667">
        <v>7370</v>
      </c>
      <c r="S22" s="4680">
        <f t="shared" si="4"/>
        <v>0.49803229746234223</v>
      </c>
      <c r="U22" s="73"/>
      <c r="V22" s="73"/>
      <c r="W22" s="738" t="s">
        <v>573</v>
      </c>
      <c r="X22" s="151">
        <v>976</v>
      </c>
      <c r="Y22" s="151">
        <v>805</v>
      </c>
      <c r="Z22" s="151"/>
      <c r="AA22" s="151">
        <v>220</v>
      </c>
      <c r="AB22" s="151">
        <v>1854</v>
      </c>
      <c r="AC22" s="151">
        <v>871</v>
      </c>
      <c r="AD22" s="151">
        <v>378</v>
      </c>
      <c r="AE22" s="151"/>
      <c r="AF22" s="151"/>
      <c r="AG22" s="151">
        <v>341</v>
      </c>
      <c r="AH22" s="151">
        <v>754</v>
      </c>
      <c r="AI22" s="151"/>
      <c r="AJ22" s="151">
        <v>1158</v>
      </c>
      <c r="AK22" s="151">
        <v>8</v>
      </c>
      <c r="AL22" s="151">
        <v>7365</v>
      </c>
      <c r="AM22" s="912">
        <f t="shared" si="0"/>
        <v>0.47288296860133205</v>
      </c>
      <c r="AN22" s="3197"/>
      <c r="AO22" s="73"/>
      <c r="AP22" s="73"/>
      <c r="AQ22" s="738" t="s">
        <v>573</v>
      </c>
      <c r="AR22" s="151">
        <v>375</v>
      </c>
      <c r="AS22" s="151">
        <v>1416</v>
      </c>
      <c r="AT22" s="151"/>
      <c r="AU22" s="151">
        <v>228</v>
      </c>
      <c r="AV22" s="151">
        <v>1637</v>
      </c>
      <c r="AW22" s="151">
        <v>819</v>
      </c>
      <c r="AX22" s="151">
        <v>403</v>
      </c>
      <c r="AY22" s="151">
        <v>23</v>
      </c>
      <c r="AZ22" s="151"/>
      <c r="BA22" s="151">
        <v>280</v>
      </c>
      <c r="BB22" s="151">
        <v>775</v>
      </c>
      <c r="BC22" s="151"/>
      <c r="BD22" s="151">
        <v>1103</v>
      </c>
      <c r="BE22" s="151">
        <v>8</v>
      </c>
      <c r="BF22" s="151">
        <v>7067</v>
      </c>
      <c r="BG22" s="912">
        <f t="shared" si="5"/>
        <v>0.45771355716107098</v>
      </c>
      <c r="BI22" s="2140"/>
      <c r="BJ22" s="2140"/>
      <c r="BK22" s="2142" t="s">
        <v>573</v>
      </c>
      <c r="BL22" s="2152">
        <v>940</v>
      </c>
      <c r="BM22" s="2152">
        <v>598</v>
      </c>
      <c r="BN22" s="2152">
        <v>1</v>
      </c>
      <c r="BO22" s="2152">
        <v>230</v>
      </c>
      <c r="BP22" s="2152">
        <v>1552</v>
      </c>
      <c r="BQ22" s="2152">
        <v>750</v>
      </c>
      <c r="BR22" s="2152">
        <v>424</v>
      </c>
      <c r="BS22" s="2153"/>
      <c r="BT22" s="2153"/>
      <c r="BU22" s="2152">
        <v>326</v>
      </c>
      <c r="BV22" s="2152">
        <v>802</v>
      </c>
      <c r="BW22" s="2153"/>
      <c r="BX22" s="2152">
        <v>1183</v>
      </c>
      <c r="BY22" s="2152">
        <v>7</v>
      </c>
      <c r="BZ22" s="2152">
        <v>6813</v>
      </c>
      <c r="CA22" s="2154">
        <f t="shared" si="6"/>
        <v>0.4560681751395827</v>
      </c>
      <c r="CC22" s="1452"/>
      <c r="CD22" s="1452"/>
      <c r="CE22" s="1475" t="s">
        <v>573</v>
      </c>
      <c r="CF22" s="1476">
        <v>990</v>
      </c>
      <c r="CG22" s="1476">
        <v>636</v>
      </c>
      <c r="CH22" s="1477"/>
      <c r="CI22" s="1476">
        <v>320</v>
      </c>
      <c r="CJ22" s="1476">
        <v>1531</v>
      </c>
      <c r="CK22" s="1476">
        <v>775</v>
      </c>
      <c r="CL22" s="1476">
        <v>496</v>
      </c>
      <c r="CM22" s="1477"/>
      <c r="CN22" s="1476"/>
      <c r="CO22" s="1476">
        <v>245</v>
      </c>
      <c r="CP22" s="1476">
        <v>712</v>
      </c>
      <c r="CQ22" s="1476">
        <v>1555</v>
      </c>
      <c r="CR22" s="1476"/>
      <c r="CS22" s="1476">
        <v>7260</v>
      </c>
      <c r="CT22" s="1478">
        <f t="shared" si="7"/>
        <v>0.41570247933884297</v>
      </c>
      <c r="CV22" s="929"/>
      <c r="CW22" s="929"/>
      <c r="CX22" s="1090" t="s">
        <v>573</v>
      </c>
      <c r="CY22" s="1479">
        <v>969</v>
      </c>
      <c r="CZ22" s="1479">
        <v>667</v>
      </c>
      <c r="DA22" s="1093"/>
      <c r="DB22" s="1479">
        <v>352</v>
      </c>
      <c r="DC22" s="1479">
        <v>1516</v>
      </c>
      <c r="DD22" s="1479">
        <v>768</v>
      </c>
      <c r="DE22" s="1479">
        <v>499</v>
      </c>
      <c r="DF22" s="1479">
        <v>9</v>
      </c>
      <c r="DG22" s="1093"/>
      <c r="DH22" s="1479">
        <v>174</v>
      </c>
      <c r="DI22" s="1479">
        <v>683</v>
      </c>
      <c r="DJ22" s="1479">
        <v>1575</v>
      </c>
      <c r="DK22" s="1093"/>
      <c r="DL22" s="1479">
        <v>7212</v>
      </c>
      <c r="DM22" s="803">
        <f t="shared" si="8"/>
        <v>0.41139767054908488</v>
      </c>
      <c r="DO22" s="1094"/>
      <c r="DP22" s="1094"/>
      <c r="DQ22" s="1458" t="s">
        <v>573</v>
      </c>
      <c r="DR22" s="1480">
        <v>1047</v>
      </c>
      <c r="DS22" s="1480">
        <v>470</v>
      </c>
      <c r="DT22" s="1480">
        <v>0</v>
      </c>
      <c r="DU22" s="1480">
        <v>360</v>
      </c>
      <c r="DV22" s="1480">
        <v>1429</v>
      </c>
      <c r="DW22" s="1480">
        <v>627</v>
      </c>
      <c r="DX22" s="1480">
        <v>580</v>
      </c>
      <c r="DY22" s="1480">
        <v>0</v>
      </c>
      <c r="DZ22" s="1480">
        <v>197</v>
      </c>
      <c r="EA22" s="1480">
        <v>661</v>
      </c>
      <c r="EB22" s="1480">
        <v>1531</v>
      </c>
      <c r="EC22" s="1480">
        <v>1745</v>
      </c>
      <c r="ED22" s="1480">
        <v>0</v>
      </c>
      <c r="EE22" s="1480">
        <v>35</v>
      </c>
      <c r="EF22" s="1480">
        <v>8682</v>
      </c>
      <c r="EG22" s="1481">
        <f t="shared" si="9"/>
        <v>0.38181562675660485</v>
      </c>
      <c r="EI22" s="163"/>
      <c r="EJ22" s="163"/>
      <c r="EK22" s="80" t="s">
        <v>15</v>
      </c>
      <c r="EL22" s="80">
        <v>894</v>
      </c>
      <c r="EM22" s="80">
        <v>485</v>
      </c>
      <c r="EN22" s="80"/>
      <c r="EO22" s="80">
        <v>361</v>
      </c>
      <c r="EP22" s="80">
        <v>1463</v>
      </c>
      <c r="EQ22" s="80">
        <v>640</v>
      </c>
      <c r="ER22" s="80">
        <v>604</v>
      </c>
      <c r="ES22" s="80"/>
      <c r="ET22" s="80">
        <v>152</v>
      </c>
      <c r="EU22" s="80">
        <v>581</v>
      </c>
      <c r="EV22" s="80">
        <v>1487</v>
      </c>
      <c r="EW22" s="80">
        <v>1779</v>
      </c>
      <c r="EX22" s="80"/>
      <c r="EY22" s="80">
        <v>25</v>
      </c>
      <c r="EZ22" s="80">
        <v>8471</v>
      </c>
      <c r="FA22" s="1472">
        <f t="shared" si="1"/>
        <v>0.38568759879293002</v>
      </c>
      <c r="FB22" s="80"/>
      <c r="FC22" s="681"/>
      <c r="FD22" s="681"/>
      <c r="FE22" s="1482" t="s">
        <v>15</v>
      </c>
      <c r="FF22" s="1483">
        <v>790</v>
      </c>
      <c r="FG22" s="1483">
        <v>453</v>
      </c>
      <c r="FH22" s="1483" t="s">
        <v>332</v>
      </c>
      <c r="FI22" s="1483">
        <v>360</v>
      </c>
      <c r="FJ22" s="1483">
        <v>1525</v>
      </c>
      <c r="FK22" s="1483">
        <v>625</v>
      </c>
      <c r="FL22" s="1483">
        <v>623</v>
      </c>
      <c r="FM22" s="1483" t="s">
        <v>332</v>
      </c>
      <c r="FN22" s="1483">
        <v>262</v>
      </c>
      <c r="FO22" s="1483">
        <v>648</v>
      </c>
      <c r="FP22" s="1483">
        <v>1838</v>
      </c>
      <c r="FQ22" s="1483" t="s">
        <v>332</v>
      </c>
      <c r="FR22" s="1483">
        <v>7124</v>
      </c>
      <c r="FS22" s="1483">
        <f t="shared" si="2"/>
        <v>2798</v>
      </c>
      <c r="FT22" s="1484">
        <f t="shared" si="3"/>
        <v>0.39275687815833799</v>
      </c>
      <c r="FU22" s="80"/>
      <c r="FV22" s="80"/>
    </row>
    <row r="23" spans="1:178">
      <c r="A23" s="73"/>
      <c r="B23" s="73" t="s">
        <v>21</v>
      </c>
      <c r="C23" s="73" t="s">
        <v>22</v>
      </c>
      <c r="D23" s="161">
        <v>245</v>
      </c>
      <c r="E23" s="161">
        <v>102</v>
      </c>
      <c r="F23" s="161">
        <v>1</v>
      </c>
      <c r="G23" s="161">
        <v>0</v>
      </c>
      <c r="H23" s="161">
        <v>431</v>
      </c>
      <c r="I23" s="161">
        <v>67</v>
      </c>
      <c r="J23" s="161">
        <v>138</v>
      </c>
      <c r="K23" s="161"/>
      <c r="L23" s="161"/>
      <c r="M23" s="161">
        <v>40</v>
      </c>
      <c r="N23" s="161">
        <v>124</v>
      </c>
      <c r="O23" s="161"/>
      <c r="P23" s="161">
        <v>173</v>
      </c>
      <c r="Q23" s="161"/>
      <c r="R23" s="161">
        <v>1321</v>
      </c>
      <c r="S23" s="4680">
        <f t="shared" si="4"/>
        <v>0.4708554125662377</v>
      </c>
      <c r="U23" s="73"/>
      <c r="V23" s="73" t="s">
        <v>21</v>
      </c>
      <c r="W23" s="73" t="s">
        <v>22</v>
      </c>
      <c r="X23" s="161">
        <v>220</v>
      </c>
      <c r="Y23" s="161">
        <v>145</v>
      </c>
      <c r="Z23" s="161"/>
      <c r="AA23" s="161">
        <v>51</v>
      </c>
      <c r="AB23" s="161">
        <v>376</v>
      </c>
      <c r="AC23" s="161">
        <v>89</v>
      </c>
      <c r="AD23" s="161">
        <v>154</v>
      </c>
      <c r="AE23" s="161"/>
      <c r="AF23" s="161"/>
      <c r="AG23" s="161">
        <v>39</v>
      </c>
      <c r="AH23" s="161">
        <v>171</v>
      </c>
      <c r="AI23" s="161"/>
      <c r="AJ23" s="161">
        <v>175</v>
      </c>
      <c r="AK23" s="161">
        <v>3</v>
      </c>
      <c r="AL23" s="161">
        <v>1423</v>
      </c>
      <c r="AM23" s="2585">
        <f t="shared" si="0"/>
        <v>0.44788732394366199</v>
      </c>
      <c r="AN23" s="3196"/>
      <c r="AO23" s="73"/>
      <c r="AP23" s="73" t="s">
        <v>21</v>
      </c>
      <c r="AQ23" s="73" t="s">
        <v>22</v>
      </c>
      <c r="AR23" s="161">
        <v>272</v>
      </c>
      <c r="AS23" s="161">
        <v>152</v>
      </c>
      <c r="AT23" s="161"/>
      <c r="AU23" s="161">
        <v>56</v>
      </c>
      <c r="AV23" s="161">
        <v>386</v>
      </c>
      <c r="AW23" s="161">
        <v>72</v>
      </c>
      <c r="AX23" s="161">
        <v>155</v>
      </c>
      <c r="AY23" s="161">
        <v>7</v>
      </c>
      <c r="AZ23" s="161"/>
      <c r="BA23" s="161">
        <v>37</v>
      </c>
      <c r="BB23" s="161">
        <v>137</v>
      </c>
      <c r="BC23" s="161"/>
      <c r="BD23" s="161">
        <v>188</v>
      </c>
      <c r="BE23" s="161">
        <v>3</v>
      </c>
      <c r="BF23" s="161">
        <v>1465</v>
      </c>
      <c r="BG23" s="2585">
        <f t="shared" si="5"/>
        <v>0.40697674418604651</v>
      </c>
      <c r="BI23" s="2140"/>
      <c r="BJ23" s="2140" t="s">
        <v>21</v>
      </c>
      <c r="BK23" s="2148" t="s">
        <v>22</v>
      </c>
      <c r="BL23" s="2149">
        <v>303</v>
      </c>
      <c r="BM23" s="2149">
        <v>128</v>
      </c>
      <c r="BN23" s="2150"/>
      <c r="BO23" s="2149">
        <v>64</v>
      </c>
      <c r="BP23" s="2149">
        <v>410</v>
      </c>
      <c r="BQ23" s="2149">
        <v>58</v>
      </c>
      <c r="BR23" s="2149">
        <v>137</v>
      </c>
      <c r="BS23" s="2150"/>
      <c r="BT23" s="2150"/>
      <c r="BU23" s="2149">
        <v>43</v>
      </c>
      <c r="BV23" s="2149">
        <v>136</v>
      </c>
      <c r="BW23" s="2150"/>
      <c r="BX23" s="2149">
        <v>212</v>
      </c>
      <c r="BY23" s="2149">
        <v>4</v>
      </c>
      <c r="BZ23" s="2149">
        <v>1495</v>
      </c>
      <c r="CA23" s="2151">
        <f t="shared" si="6"/>
        <v>0.40509725016767273</v>
      </c>
      <c r="CC23" s="1452"/>
      <c r="CD23" s="1452" t="s">
        <v>21</v>
      </c>
      <c r="CE23" s="1465" t="s">
        <v>22</v>
      </c>
      <c r="CF23" s="1466">
        <v>324</v>
      </c>
      <c r="CG23" s="1466">
        <v>133</v>
      </c>
      <c r="CH23" s="1466">
        <v>1</v>
      </c>
      <c r="CI23" s="1466">
        <v>91</v>
      </c>
      <c r="CJ23" s="1466">
        <v>452</v>
      </c>
      <c r="CK23" s="1466">
        <v>63</v>
      </c>
      <c r="CL23" s="1466">
        <v>151</v>
      </c>
      <c r="CM23" s="1452"/>
      <c r="CN23" s="1452"/>
      <c r="CO23" s="1466">
        <v>33</v>
      </c>
      <c r="CP23" s="1466">
        <v>115</v>
      </c>
      <c r="CQ23" s="1466">
        <v>303</v>
      </c>
      <c r="CR23" s="1452"/>
      <c r="CS23" s="1466">
        <v>1666</v>
      </c>
      <c r="CT23" s="814">
        <f t="shared" si="7"/>
        <v>0.37815126050420167</v>
      </c>
      <c r="CV23" s="929"/>
      <c r="CW23" s="929" t="s">
        <v>21</v>
      </c>
      <c r="CX23" s="1467" t="s">
        <v>22</v>
      </c>
      <c r="CY23" s="1468">
        <v>324</v>
      </c>
      <c r="CZ23" s="1468">
        <v>144</v>
      </c>
      <c r="DA23" s="929"/>
      <c r="DB23" s="1468">
        <v>95</v>
      </c>
      <c r="DC23" s="1468">
        <v>469</v>
      </c>
      <c r="DD23" s="1468">
        <v>102</v>
      </c>
      <c r="DE23" s="1468">
        <v>151</v>
      </c>
      <c r="DF23" s="929"/>
      <c r="DG23" s="929"/>
      <c r="DH23" s="1468">
        <v>33</v>
      </c>
      <c r="DI23" s="1468">
        <v>86</v>
      </c>
      <c r="DJ23" s="1468">
        <v>314</v>
      </c>
      <c r="DK23" s="929"/>
      <c r="DL23" s="1468">
        <v>1718</v>
      </c>
      <c r="DM23" s="814">
        <f t="shared" si="8"/>
        <v>0.38242142025611175</v>
      </c>
      <c r="DO23" s="1094"/>
      <c r="DP23" s="1094" t="s">
        <v>21</v>
      </c>
      <c r="DQ23" s="1469" t="s">
        <v>22</v>
      </c>
      <c r="DR23" s="1470">
        <v>357</v>
      </c>
      <c r="DS23" s="1470">
        <v>114</v>
      </c>
      <c r="DT23" s="1470">
        <v>0</v>
      </c>
      <c r="DU23" s="1470">
        <v>97</v>
      </c>
      <c r="DV23" s="1470">
        <v>452</v>
      </c>
      <c r="DW23" s="1470">
        <v>86</v>
      </c>
      <c r="DX23" s="1470">
        <v>137</v>
      </c>
      <c r="DY23" s="1470">
        <v>0</v>
      </c>
      <c r="DZ23" s="1470">
        <v>19</v>
      </c>
      <c r="EA23" s="1470">
        <v>84</v>
      </c>
      <c r="EB23" s="1470">
        <v>408</v>
      </c>
      <c r="EC23" s="1470">
        <v>371</v>
      </c>
      <c r="ED23" s="1470">
        <v>0</v>
      </c>
      <c r="EE23" s="1470">
        <v>11</v>
      </c>
      <c r="EF23" s="1470">
        <v>2136</v>
      </c>
      <c r="EG23" s="1471">
        <f t="shared" si="9"/>
        <v>0.36225975538730343</v>
      </c>
      <c r="EI23" s="163"/>
      <c r="EJ23" s="163" t="s">
        <v>21</v>
      </c>
      <c r="EK23" s="80" t="s">
        <v>22</v>
      </c>
      <c r="EL23" s="80">
        <v>304</v>
      </c>
      <c r="EM23" s="80">
        <v>119</v>
      </c>
      <c r="EN23" s="80"/>
      <c r="EO23" s="80">
        <v>92</v>
      </c>
      <c r="EP23" s="80">
        <v>479</v>
      </c>
      <c r="EQ23" s="80">
        <v>90</v>
      </c>
      <c r="ER23" s="80">
        <v>140</v>
      </c>
      <c r="ES23" s="80"/>
      <c r="ET23" s="80">
        <v>13</v>
      </c>
      <c r="EU23" s="80">
        <v>81</v>
      </c>
      <c r="EV23" s="80">
        <v>405</v>
      </c>
      <c r="EW23" s="80">
        <v>374</v>
      </c>
      <c r="EX23" s="80"/>
      <c r="EY23" s="80">
        <v>5</v>
      </c>
      <c r="EZ23" s="80">
        <v>2102</v>
      </c>
      <c r="FA23" s="1472">
        <f t="shared" si="1"/>
        <v>0.38416075650118203</v>
      </c>
      <c r="FB23" s="80"/>
      <c r="FC23" s="681"/>
      <c r="FD23" s="681" t="s">
        <v>21</v>
      </c>
      <c r="FE23" s="681" t="s">
        <v>22</v>
      </c>
      <c r="FF23" s="1473">
        <v>279</v>
      </c>
      <c r="FG23" s="1473">
        <v>109</v>
      </c>
      <c r="FH23" s="1473" t="s">
        <v>332</v>
      </c>
      <c r="FI23" s="1473">
        <v>90</v>
      </c>
      <c r="FJ23" s="1473">
        <v>495</v>
      </c>
      <c r="FK23" s="1473">
        <v>78</v>
      </c>
      <c r="FL23" s="1473">
        <v>132</v>
      </c>
      <c r="FM23" s="1473" t="s">
        <v>332</v>
      </c>
      <c r="FN23" s="1473">
        <v>15</v>
      </c>
      <c r="FO23" s="1473">
        <v>100</v>
      </c>
      <c r="FP23" s="1473">
        <v>377</v>
      </c>
      <c r="FQ23" s="1473" t="s">
        <v>332</v>
      </c>
      <c r="FR23" s="1473">
        <v>1675</v>
      </c>
      <c r="FS23" s="1473">
        <f t="shared" si="2"/>
        <v>673</v>
      </c>
      <c r="FT23" s="1474">
        <f t="shared" si="3"/>
        <v>0.40179104477611938</v>
      </c>
      <c r="FU23" s="80"/>
      <c r="FV23" s="80"/>
    </row>
    <row r="24" spans="1:178">
      <c r="A24" s="73"/>
      <c r="B24" s="73"/>
      <c r="C24" s="73" t="s">
        <v>23</v>
      </c>
      <c r="D24" s="161">
        <v>212</v>
      </c>
      <c r="E24" s="161">
        <v>97</v>
      </c>
      <c r="F24" s="161">
        <v>0</v>
      </c>
      <c r="G24" s="161">
        <v>2</v>
      </c>
      <c r="H24" s="161">
        <v>419</v>
      </c>
      <c r="I24" s="161">
        <v>120</v>
      </c>
      <c r="J24" s="161">
        <v>82</v>
      </c>
      <c r="K24" s="161"/>
      <c r="L24" s="161"/>
      <c r="M24" s="161">
        <v>26</v>
      </c>
      <c r="N24" s="161">
        <v>216</v>
      </c>
      <c r="O24" s="161"/>
      <c r="P24" s="161">
        <v>170</v>
      </c>
      <c r="Q24" s="161"/>
      <c r="R24" s="161">
        <v>1344</v>
      </c>
      <c r="S24" s="4680">
        <f t="shared" si="4"/>
        <v>0.56175595238095233</v>
      </c>
      <c r="U24" s="73"/>
      <c r="V24" s="73"/>
      <c r="W24" s="73" t="s">
        <v>23</v>
      </c>
      <c r="X24" s="161">
        <v>187</v>
      </c>
      <c r="Y24" s="161">
        <v>118</v>
      </c>
      <c r="Z24" s="161"/>
      <c r="AA24" s="161">
        <v>23</v>
      </c>
      <c r="AB24" s="161">
        <v>379</v>
      </c>
      <c r="AC24" s="161">
        <v>130</v>
      </c>
      <c r="AD24" s="161">
        <v>71</v>
      </c>
      <c r="AE24" s="161"/>
      <c r="AF24" s="161"/>
      <c r="AG24" s="161">
        <v>25</v>
      </c>
      <c r="AH24" s="161">
        <v>210</v>
      </c>
      <c r="AI24" s="161"/>
      <c r="AJ24" s="161">
        <v>151</v>
      </c>
      <c r="AK24" s="161">
        <v>1</v>
      </c>
      <c r="AL24" s="161">
        <v>1295</v>
      </c>
      <c r="AM24" s="2585">
        <f t="shared" si="0"/>
        <v>0.55564142194744981</v>
      </c>
      <c r="AN24" s="3196"/>
      <c r="AO24" s="73"/>
      <c r="AP24" s="73"/>
      <c r="AQ24" s="73" t="s">
        <v>23</v>
      </c>
      <c r="AR24" s="161">
        <v>193</v>
      </c>
      <c r="AS24" s="161">
        <v>114</v>
      </c>
      <c r="AT24" s="161"/>
      <c r="AU24" s="161">
        <v>19</v>
      </c>
      <c r="AV24" s="161">
        <v>385</v>
      </c>
      <c r="AW24" s="161">
        <v>89</v>
      </c>
      <c r="AX24" s="161">
        <v>70</v>
      </c>
      <c r="AY24" s="161">
        <v>15</v>
      </c>
      <c r="AZ24" s="161"/>
      <c r="BA24" s="161">
        <v>18</v>
      </c>
      <c r="BB24" s="161">
        <v>164</v>
      </c>
      <c r="BC24" s="161"/>
      <c r="BD24" s="161">
        <v>131</v>
      </c>
      <c r="BE24" s="161">
        <v>0</v>
      </c>
      <c r="BF24" s="161">
        <v>1198</v>
      </c>
      <c r="BG24" s="2585">
        <f t="shared" si="5"/>
        <v>0.53255425709515858</v>
      </c>
      <c r="BI24" s="2140"/>
      <c r="BJ24" s="2140"/>
      <c r="BK24" s="2148" t="s">
        <v>23</v>
      </c>
      <c r="BL24" s="2149">
        <v>200</v>
      </c>
      <c r="BM24" s="2149">
        <v>101</v>
      </c>
      <c r="BN24" s="2150"/>
      <c r="BO24" s="2149">
        <v>20</v>
      </c>
      <c r="BP24" s="2149">
        <v>419</v>
      </c>
      <c r="BQ24" s="2149">
        <v>82</v>
      </c>
      <c r="BR24" s="2149">
        <v>78</v>
      </c>
      <c r="BS24" s="2150"/>
      <c r="BT24" s="2150"/>
      <c r="BU24" s="2149">
        <v>25</v>
      </c>
      <c r="BV24" s="2149">
        <v>143</v>
      </c>
      <c r="BW24" s="2150"/>
      <c r="BX24" s="2149">
        <v>133</v>
      </c>
      <c r="BY24" s="2149">
        <v>1</v>
      </c>
      <c r="BZ24" s="2149">
        <v>1202</v>
      </c>
      <c r="CA24" s="2151">
        <f t="shared" si="6"/>
        <v>0.53621981681931719</v>
      </c>
      <c r="CC24" s="1452"/>
      <c r="CD24" s="1452"/>
      <c r="CE24" s="1465" t="s">
        <v>23</v>
      </c>
      <c r="CF24" s="1466">
        <v>162</v>
      </c>
      <c r="CG24" s="1466">
        <v>99</v>
      </c>
      <c r="CH24" s="1466">
        <v>0</v>
      </c>
      <c r="CI24" s="1466">
        <v>35</v>
      </c>
      <c r="CJ24" s="1466">
        <v>457</v>
      </c>
      <c r="CK24" s="1466">
        <v>88</v>
      </c>
      <c r="CL24" s="1466">
        <v>95</v>
      </c>
      <c r="CM24" s="1452"/>
      <c r="CN24" s="1452"/>
      <c r="CO24" s="1466">
        <v>22</v>
      </c>
      <c r="CP24" s="1466">
        <v>138</v>
      </c>
      <c r="CQ24" s="1466">
        <v>186</v>
      </c>
      <c r="CR24" s="1452"/>
      <c r="CS24" s="1466">
        <v>1282</v>
      </c>
      <c r="CT24" s="814">
        <f t="shared" si="7"/>
        <v>0.53276131045241815</v>
      </c>
      <c r="CV24" s="929"/>
      <c r="CW24" s="929"/>
      <c r="CX24" s="1467" t="s">
        <v>23</v>
      </c>
      <c r="CY24" s="1468">
        <v>194</v>
      </c>
      <c r="CZ24" s="1468">
        <v>92</v>
      </c>
      <c r="DA24" s="929"/>
      <c r="DB24" s="1468">
        <v>44</v>
      </c>
      <c r="DC24" s="1468">
        <v>483</v>
      </c>
      <c r="DD24" s="1468">
        <v>106</v>
      </c>
      <c r="DE24" s="1468">
        <v>109</v>
      </c>
      <c r="DF24" s="929"/>
      <c r="DG24" s="929"/>
      <c r="DH24" s="1468">
        <v>29</v>
      </c>
      <c r="DI24" s="1468">
        <v>136</v>
      </c>
      <c r="DJ24" s="1468">
        <v>187</v>
      </c>
      <c r="DK24" s="929"/>
      <c r="DL24" s="1468">
        <v>1380</v>
      </c>
      <c r="DM24" s="814">
        <f t="shared" si="8"/>
        <v>0.52536231884057971</v>
      </c>
      <c r="DO24" s="1094"/>
      <c r="DP24" s="1094"/>
      <c r="DQ24" s="1469" t="s">
        <v>23</v>
      </c>
      <c r="DR24" s="1470">
        <v>187</v>
      </c>
      <c r="DS24" s="1470">
        <v>86</v>
      </c>
      <c r="DT24" s="1470">
        <v>0</v>
      </c>
      <c r="DU24" s="1470">
        <v>50</v>
      </c>
      <c r="DV24" s="1470">
        <v>506</v>
      </c>
      <c r="DW24" s="1470">
        <v>126</v>
      </c>
      <c r="DX24" s="1470">
        <v>103</v>
      </c>
      <c r="DY24" s="1470">
        <v>0</v>
      </c>
      <c r="DZ24" s="1470">
        <v>12</v>
      </c>
      <c r="EA24" s="1470">
        <v>133</v>
      </c>
      <c r="EB24" s="1470">
        <v>148</v>
      </c>
      <c r="EC24" s="1470">
        <v>250</v>
      </c>
      <c r="ED24" s="1470">
        <v>0</v>
      </c>
      <c r="EE24" s="1470">
        <v>5</v>
      </c>
      <c r="EF24" s="1470">
        <v>1606</v>
      </c>
      <c r="EG24" s="1471">
        <f t="shared" si="9"/>
        <v>0.52649690295939433</v>
      </c>
      <c r="EI24" s="163"/>
      <c r="EJ24" s="163"/>
      <c r="EK24" s="80" t="s">
        <v>23</v>
      </c>
      <c r="EL24" s="80">
        <v>167</v>
      </c>
      <c r="EM24" s="80">
        <v>84</v>
      </c>
      <c r="EN24" s="80"/>
      <c r="EO24" s="80">
        <v>50</v>
      </c>
      <c r="EP24" s="80">
        <v>532</v>
      </c>
      <c r="EQ24" s="80">
        <v>137</v>
      </c>
      <c r="ER24" s="80">
        <v>95</v>
      </c>
      <c r="ES24" s="80"/>
      <c r="ET24" s="80">
        <v>15</v>
      </c>
      <c r="EU24" s="80">
        <v>133</v>
      </c>
      <c r="EV24" s="80">
        <v>148</v>
      </c>
      <c r="EW24" s="80">
        <v>291</v>
      </c>
      <c r="EX24" s="80"/>
      <c r="EY24" s="80">
        <v>4</v>
      </c>
      <c r="EZ24" s="80">
        <v>1656</v>
      </c>
      <c r="FA24" s="1472">
        <f t="shared" si="1"/>
        <v>0.5332446808510638</v>
      </c>
      <c r="FB24" s="80"/>
      <c r="FC24" s="681"/>
      <c r="FD24" s="681"/>
      <c r="FE24" s="681" t="s">
        <v>23</v>
      </c>
      <c r="FF24" s="1473">
        <v>156</v>
      </c>
      <c r="FG24" s="1473">
        <v>75</v>
      </c>
      <c r="FH24" s="1473" t="s">
        <v>332</v>
      </c>
      <c r="FI24" s="1473">
        <v>57</v>
      </c>
      <c r="FJ24" s="1473">
        <v>492</v>
      </c>
      <c r="FK24" s="1473">
        <v>143</v>
      </c>
      <c r="FL24" s="1473">
        <v>85</v>
      </c>
      <c r="FM24" s="1473" t="s">
        <v>332</v>
      </c>
      <c r="FN24" s="1473">
        <v>14</v>
      </c>
      <c r="FO24" s="1473">
        <v>164</v>
      </c>
      <c r="FP24" s="1473">
        <v>320</v>
      </c>
      <c r="FQ24" s="1473" t="s">
        <v>332</v>
      </c>
      <c r="FR24" s="1473">
        <v>1506</v>
      </c>
      <c r="FS24" s="1473">
        <f t="shared" si="2"/>
        <v>799</v>
      </c>
      <c r="FT24" s="1474">
        <f t="shared" si="3"/>
        <v>0.53054448871181936</v>
      </c>
      <c r="FU24" s="80"/>
      <c r="FV24" s="80"/>
    </row>
    <row r="25" spans="1:178">
      <c r="A25" s="73"/>
      <c r="B25" s="73"/>
      <c r="C25" s="73" t="s">
        <v>24</v>
      </c>
      <c r="D25" s="161">
        <v>146</v>
      </c>
      <c r="E25" s="161">
        <v>93</v>
      </c>
      <c r="F25" s="161">
        <v>0</v>
      </c>
      <c r="G25" s="161">
        <v>1</v>
      </c>
      <c r="H25" s="161">
        <v>302</v>
      </c>
      <c r="I25" s="161">
        <v>77</v>
      </c>
      <c r="J25" s="161">
        <v>50</v>
      </c>
      <c r="K25" s="161"/>
      <c r="L25" s="161"/>
      <c r="M25" s="161">
        <v>23</v>
      </c>
      <c r="N25" s="161">
        <v>163</v>
      </c>
      <c r="O25" s="161"/>
      <c r="P25" s="161">
        <v>132</v>
      </c>
      <c r="Q25" s="161"/>
      <c r="R25" s="161">
        <v>987</v>
      </c>
      <c r="S25" s="4680">
        <f t="shared" si="4"/>
        <v>0.54913880445795338</v>
      </c>
      <c r="U25" s="73"/>
      <c r="V25" s="73"/>
      <c r="W25" s="73" t="s">
        <v>24</v>
      </c>
      <c r="X25" s="161">
        <v>155</v>
      </c>
      <c r="Y25" s="161">
        <v>120</v>
      </c>
      <c r="Z25" s="161"/>
      <c r="AA25" s="161">
        <v>24</v>
      </c>
      <c r="AB25" s="161">
        <v>268</v>
      </c>
      <c r="AC25" s="161">
        <v>78</v>
      </c>
      <c r="AD25" s="161">
        <v>53</v>
      </c>
      <c r="AE25" s="161"/>
      <c r="AF25" s="161"/>
      <c r="AG25" s="161">
        <v>20</v>
      </c>
      <c r="AH25" s="161">
        <v>159</v>
      </c>
      <c r="AI25" s="161"/>
      <c r="AJ25" s="161">
        <v>103</v>
      </c>
      <c r="AK25" s="161">
        <v>1</v>
      </c>
      <c r="AL25" s="161">
        <v>981</v>
      </c>
      <c r="AM25" s="2585">
        <f t="shared" si="0"/>
        <v>0.51530612244897955</v>
      </c>
      <c r="AN25" s="3196"/>
      <c r="AO25" s="73"/>
      <c r="AP25" s="73"/>
      <c r="AQ25" s="73" t="s">
        <v>24</v>
      </c>
      <c r="AR25" s="161">
        <v>176</v>
      </c>
      <c r="AS25" s="161">
        <v>101</v>
      </c>
      <c r="AT25" s="161"/>
      <c r="AU25" s="161">
        <v>22</v>
      </c>
      <c r="AV25" s="161">
        <v>261</v>
      </c>
      <c r="AW25" s="161">
        <v>67</v>
      </c>
      <c r="AX25" s="161">
        <v>55</v>
      </c>
      <c r="AY25" s="161">
        <v>0</v>
      </c>
      <c r="AZ25" s="161"/>
      <c r="BA25" s="161">
        <v>16</v>
      </c>
      <c r="BB25" s="161">
        <v>133</v>
      </c>
      <c r="BC25" s="161"/>
      <c r="BD25" s="161">
        <v>102</v>
      </c>
      <c r="BE25" s="161">
        <v>1</v>
      </c>
      <c r="BF25" s="161">
        <v>934</v>
      </c>
      <c r="BG25" s="2585">
        <f t="shared" si="5"/>
        <v>0.49410503751339763</v>
      </c>
      <c r="BI25" s="2140"/>
      <c r="BJ25" s="2140"/>
      <c r="BK25" s="2148" t="s">
        <v>24</v>
      </c>
      <c r="BL25" s="2149">
        <v>169</v>
      </c>
      <c r="BM25" s="2149">
        <v>81</v>
      </c>
      <c r="BN25" s="2150"/>
      <c r="BO25" s="2149">
        <v>26</v>
      </c>
      <c r="BP25" s="2149">
        <v>266</v>
      </c>
      <c r="BQ25" s="2149">
        <v>68</v>
      </c>
      <c r="BR25" s="2149">
        <v>60</v>
      </c>
      <c r="BS25" s="2150"/>
      <c r="BT25" s="2150"/>
      <c r="BU25" s="2149">
        <v>27</v>
      </c>
      <c r="BV25" s="2149">
        <v>114</v>
      </c>
      <c r="BW25" s="2150"/>
      <c r="BX25" s="2149">
        <v>112</v>
      </c>
      <c r="BY25" s="2149">
        <v>1</v>
      </c>
      <c r="BZ25" s="2149">
        <v>924</v>
      </c>
      <c r="CA25" s="2151">
        <f t="shared" si="6"/>
        <v>0.48537378114842905</v>
      </c>
      <c r="CC25" s="1452"/>
      <c r="CD25" s="1452"/>
      <c r="CE25" s="1465" t="s">
        <v>24</v>
      </c>
      <c r="CF25" s="1466">
        <v>162</v>
      </c>
      <c r="CG25" s="1466">
        <v>99</v>
      </c>
      <c r="CH25" s="1466">
        <v>1</v>
      </c>
      <c r="CI25" s="1466">
        <v>31</v>
      </c>
      <c r="CJ25" s="1466">
        <v>295</v>
      </c>
      <c r="CK25" s="1466">
        <v>55</v>
      </c>
      <c r="CL25" s="1466">
        <v>68</v>
      </c>
      <c r="CM25" s="1452"/>
      <c r="CN25" s="1452"/>
      <c r="CO25" s="1466">
        <v>23</v>
      </c>
      <c r="CP25" s="1466">
        <v>91</v>
      </c>
      <c r="CQ25" s="1466">
        <v>131</v>
      </c>
      <c r="CR25" s="1452"/>
      <c r="CS25" s="1466">
        <v>956</v>
      </c>
      <c r="CT25" s="814">
        <f t="shared" si="7"/>
        <v>0.46129707112970714</v>
      </c>
      <c r="CV25" s="929"/>
      <c r="CW25" s="929"/>
      <c r="CX25" s="1467" t="s">
        <v>24</v>
      </c>
      <c r="CY25" s="1468">
        <v>177</v>
      </c>
      <c r="CZ25" s="1468">
        <v>88</v>
      </c>
      <c r="DA25" s="929"/>
      <c r="DB25" s="1468">
        <v>41</v>
      </c>
      <c r="DC25" s="1468">
        <v>282</v>
      </c>
      <c r="DD25" s="1468">
        <v>65</v>
      </c>
      <c r="DE25" s="1468">
        <v>73</v>
      </c>
      <c r="DF25" s="929"/>
      <c r="DG25" s="929"/>
      <c r="DH25" s="1468">
        <v>21</v>
      </c>
      <c r="DI25" s="1468">
        <v>76</v>
      </c>
      <c r="DJ25" s="1468">
        <v>139</v>
      </c>
      <c r="DK25" s="929"/>
      <c r="DL25" s="1468">
        <v>962</v>
      </c>
      <c r="DM25" s="814">
        <f t="shared" si="8"/>
        <v>0.43970893970893971</v>
      </c>
      <c r="DO25" s="1094"/>
      <c r="DP25" s="1094"/>
      <c r="DQ25" s="1469" t="s">
        <v>24</v>
      </c>
      <c r="DR25" s="1470">
        <v>182</v>
      </c>
      <c r="DS25" s="1470">
        <v>64</v>
      </c>
      <c r="DT25" s="1470">
        <v>0</v>
      </c>
      <c r="DU25" s="1470">
        <v>45</v>
      </c>
      <c r="DV25" s="1470">
        <v>259</v>
      </c>
      <c r="DW25" s="1470">
        <v>56</v>
      </c>
      <c r="DX25" s="1470">
        <v>66</v>
      </c>
      <c r="DY25" s="1470">
        <v>0</v>
      </c>
      <c r="DZ25" s="1470">
        <v>8</v>
      </c>
      <c r="EA25" s="1470">
        <v>73</v>
      </c>
      <c r="EB25" s="1470">
        <v>90</v>
      </c>
      <c r="EC25" s="1470">
        <v>167</v>
      </c>
      <c r="ED25" s="1470">
        <v>0</v>
      </c>
      <c r="EE25" s="1470">
        <v>4</v>
      </c>
      <c r="EF25" s="1470">
        <v>1014</v>
      </c>
      <c r="EG25" s="1471">
        <f t="shared" si="9"/>
        <v>0.42173913043478262</v>
      </c>
      <c r="EI25" s="163"/>
      <c r="EJ25" s="163"/>
      <c r="EK25" s="80" t="s">
        <v>24</v>
      </c>
      <c r="EL25" s="80">
        <v>161</v>
      </c>
      <c r="EM25" s="80">
        <v>80</v>
      </c>
      <c r="EN25" s="80"/>
      <c r="EO25" s="80">
        <v>46</v>
      </c>
      <c r="EP25" s="80">
        <v>264</v>
      </c>
      <c r="EQ25" s="80">
        <v>61</v>
      </c>
      <c r="ER25" s="80">
        <v>79</v>
      </c>
      <c r="ES25" s="80"/>
      <c r="ET25" s="80">
        <v>10</v>
      </c>
      <c r="EU25" s="80">
        <v>68</v>
      </c>
      <c r="EV25" s="80">
        <v>89</v>
      </c>
      <c r="EW25" s="80">
        <v>174</v>
      </c>
      <c r="EX25" s="80"/>
      <c r="EY25" s="80">
        <v>2</v>
      </c>
      <c r="EZ25" s="80">
        <v>1034</v>
      </c>
      <c r="FA25" s="1472">
        <f t="shared" si="1"/>
        <v>0.41675503711558853</v>
      </c>
      <c r="FB25" s="80"/>
      <c r="FC25" s="681"/>
      <c r="FD25" s="681"/>
      <c r="FE25" s="681" t="s">
        <v>24</v>
      </c>
      <c r="FF25" s="1473">
        <v>160</v>
      </c>
      <c r="FG25" s="1473">
        <v>74</v>
      </c>
      <c r="FH25" s="1473" t="s">
        <v>332</v>
      </c>
      <c r="FI25" s="1473">
        <v>51</v>
      </c>
      <c r="FJ25" s="1473">
        <v>245</v>
      </c>
      <c r="FK25" s="1473">
        <v>61</v>
      </c>
      <c r="FL25" s="1473">
        <v>86</v>
      </c>
      <c r="FM25" s="1473" t="s">
        <v>332</v>
      </c>
      <c r="FN25" s="1473">
        <v>21</v>
      </c>
      <c r="FO25" s="1473">
        <v>83</v>
      </c>
      <c r="FP25" s="1473">
        <v>194</v>
      </c>
      <c r="FQ25" s="1473" t="s">
        <v>332</v>
      </c>
      <c r="FR25" s="1473">
        <v>975</v>
      </c>
      <c r="FS25" s="1473">
        <f t="shared" si="2"/>
        <v>389</v>
      </c>
      <c r="FT25" s="1474">
        <f t="shared" si="3"/>
        <v>0.39897435897435896</v>
      </c>
      <c r="FU25" s="80"/>
      <c r="FV25" s="80"/>
    </row>
    <row r="26" spans="1:178">
      <c r="A26" s="73"/>
      <c r="B26" s="73"/>
      <c r="C26" s="738" t="s">
        <v>574</v>
      </c>
      <c r="D26" s="4667">
        <v>603</v>
      </c>
      <c r="E26" s="4667">
        <v>292</v>
      </c>
      <c r="F26" s="4667">
        <v>1</v>
      </c>
      <c r="G26" s="4667">
        <v>3</v>
      </c>
      <c r="H26" s="4667">
        <v>1152</v>
      </c>
      <c r="I26" s="4667">
        <v>264</v>
      </c>
      <c r="J26" s="4667">
        <v>270</v>
      </c>
      <c r="K26" s="4667"/>
      <c r="L26" s="4667"/>
      <c r="M26" s="4667">
        <v>89</v>
      </c>
      <c r="N26" s="4667">
        <v>503</v>
      </c>
      <c r="O26" s="4667"/>
      <c r="P26" s="4667">
        <v>475</v>
      </c>
      <c r="Q26" s="4667"/>
      <c r="R26" s="4667">
        <v>3652</v>
      </c>
      <c r="S26" s="4680">
        <f t="shared" si="4"/>
        <v>0.52546549835706458</v>
      </c>
      <c r="U26" s="73"/>
      <c r="V26" s="73"/>
      <c r="W26" s="738" t="s">
        <v>574</v>
      </c>
      <c r="X26" s="151">
        <v>562</v>
      </c>
      <c r="Y26" s="151">
        <v>383</v>
      </c>
      <c r="Z26" s="151"/>
      <c r="AA26" s="151">
        <v>98</v>
      </c>
      <c r="AB26" s="151">
        <v>1023</v>
      </c>
      <c r="AC26" s="151">
        <v>297</v>
      </c>
      <c r="AD26" s="151">
        <v>278</v>
      </c>
      <c r="AE26" s="151"/>
      <c r="AF26" s="151"/>
      <c r="AG26" s="151">
        <v>84</v>
      </c>
      <c r="AH26" s="151">
        <v>540</v>
      </c>
      <c r="AI26" s="151"/>
      <c r="AJ26" s="151">
        <v>429</v>
      </c>
      <c r="AK26" s="151">
        <v>5</v>
      </c>
      <c r="AL26" s="151">
        <v>3699</v>
      </c>
      <c r="AM26" s="912">
        <f t="shared" si="0"/>
        <v>0.50351922035733621</v>
      </c>
      <c r="AN26" s="3197"/>
      <c r="AO26" s="73"/>
      <c r="AP26" s="73"/>
      <c r="AQ26" s="738" t="s">
        <v>574</v>
      </c>
      <c r="AR26" s="151">
        <v>641</v>
      </c>
      <c r="AS26" s="151">
        <v>367</v>
      </c>
      <c r="AT26" s="151"/>
      <c r="AU26" s="151">
        <v>97</v>
      </c>
      <c r="AV26" s="151">
        <v>1032</v>
      </c>
      <c r="AW26" s="151">
        <v>228</v>
      </c>
      <c r="AX26" s="151">
        <v>280</v>
      </c>
      <c r="AY26" s="151">
        <v>22</v>
      </c>
      <c r="AZ26" s="151"/>
      <c r="BA26" s="151">
        <v>71</v>
      </c>
      <c r="BB26" s="151">
        <v>434</v>
      </c>
      <c r="BC26" s="151"/>
      <c r="BD26" s="151">
        <v>421</v>
      </c>
      <c r="BE26" s="151">
        <v>4</v>
      </c>
      <c r="BF26" s="151">
        <v>3597</v>
      </c>
      <c r="BG26" s="912">
        <f t="shared" si="5"/>
        <v>0.4714723072641247</v>
      </c>
      <c r="BI26" s="2140"/>
      <c r="BJ26" s="2140"/>
      <c r="BK26" s="2142" t="s">
        <v>574</v>
      </c>
      <c r="BL26" s="2152">
        <v>672</v>
      </c>
      <c r="BM26" s="2152">
        <v>310</v>
      </c>
      <c r="BN26" s="2153"/>
      <c r="BO26" s="2152">
        <v>110</v>
      </c>
      <c r="BP26" s="2152">
        <v>1095</v>
      </c>
      <c r="BQ26" s="2152">
        <v>208</v>
      </c>
      <c r="BR26" s="2152">
        <v>275</v>
      </c>
      <c r="BS26" s="2153"/>
      <c r="BT26" s="2153"/>
      <c r="BU26" s="2152">
        <v>95</v>
      </c>
      <c r="BV26" s="2152">
        <v>393</v>
      </c>
      <c r="BW26" s="2153"/>
      <c r="BX26" s="2152">
        <v>457</v>
      </c>
      <c r="BY26" s="2152">
        <v>6</v>
      </c>
      <c r="BZ26" s="2152">
        <v>3621</v>
      </c>
      <c r="CA26" s="2154">
        <f t="shared" si="6"/>
        <v>0.46915629322268326</v>
      </c>
      <c r="CC26" s="1452"/>
      <c r="CD26" s="1452"/>
      <c r="CE26" s="1475" t="s">
        <v>574</v>
      </c>
      <c r="CF26" s="1476">
        <v>648</v>
      </c>
      <c r="CG26" s="1476">
        <v>331</v>
      </c>
      <c r="CH26" s="1476">
        <v>2</v>
      </c>
      <c r="CI26" s="1476">
        <v>157</v>
      </c>
      <c r="CJ26" s="1476">
        <v>1204</v>
      </c>
      <c r="CK26" s="1476">
        <v>206</v>
      </c>
      <c r="CL26" s="1476">
        <v>314</v>
      </c>
      <c r="CM26" s="1477"/>
      <c r="CN26" s="1477"/>
      <c r="CO26" s="1476">
        <v>78</v>
      </c>
      <c r="CP26" s="1476">
        <v>344</v>
      </c>
      <c r="CQ26" s="1476">
        <v>620</v>
      </c>
      <c r="CR26" s="1476"/>
      <c r="CS26" s="1476">
        <v>3904</v>
      </c>
      <c r="CT26" s="1478">
        <f t="shared" si="7"/>
        <v>0.44928278688524592</v>
      </c>
      <c r="CV26" s="929"/>
      <c r="CW26" s="929"/>
      <c r="CX26" s="1090" t="s">
        <v>888</v>
      </c>
      <c r="CY26" s="1479">
        <v>695</v>
      </c>
      <c r="CZ26" s="1479">
        <v>324</v>
      </c>
      <c r="DA26" s="1093"/>
      <c r="DB26" s="1479">
        <v>180</v>
      </c>
      <c r="DC26" s="1479">
        <v>1234</v>
      </c>
      <c r="DD26" s="1479">
        <v>273</v>
      </c>
      <c r="DE26" s="1479">
        <v>333</v>
      </c>
      <c r="DF26" s="1093"/>
      <c r="DG26" s="1093"/>
      <c r="DH26" s="1479">
        <v>83</v>
      </c>
      <c r="DI26" s="1479">
        <v>298</v>
      </c>
      <c r="DJ26" s="1479">
        <v>640</v>
      </c>
      <c r="DK26" s="1093"/>
      <c r="DL26" s="1479">
        <v>4060</v>
      </c>
      <c r="DM26" s="803">
        <f t="shared" si="8"/>
        <v>0.44458128078817732</v>
      </c>
      <c r="DO26" s="1485"/>
      <c r="DP26" s="1485"/>
      <c r="DQ26" s="1486" t="s">
        <v>574</v>
      </c>
      <c r="DR26" s="1487">
        <v>726</v>
      </c>
      <c r="DS26" s="1487">
        <v>264</v>
      </c>
      <c r="DT26" s="1487">
        <v>0</v>
      </c>
      <c r="DU26" s="1487">
        <v>192</v>
      </c>
      <c r="DV26" s="1487">
        <v>1217</v>
      </c>
      <c r="DW26" s="1487">
        <v>268</v>
      </c>
      <c r="DX26" s="1487">
        <v>306</v>
      </c>
      <c r="DY26" s="1487">
        <v>0</v>
      </c>
      <c r="DZ26" s="1487">
        <v>39</v>
      </c>
      <c r="EA26" s="1487">
        <v>290</v>
      </c>
      <c r="EB26" s="1487">
        <v>646</v>
      </c>
      <c r="EC26" s="1487">
        <v>788</v>
      </c>
      <c r="ED26" s="1487">
        <v>0</v>
      </c>
      <c r="EE26" s="1487">
        <v>20</v>
      </c>
      <c r="EF26" s="1487">
        <v>4756</v>
      </c>
      <c r="EG26" s="1488">
        <f t="shared" si="9"/>
        <v>0.43398533007334961</v>
      </c>
      <c r="EI26" s="163"/>
      <c r="EJ26" s="163"/>
      <c r="EK26" s="80" t="s">
        <v>15</v>
      </c>
      <c r="EL26" s="80">
        <v>632</v>
      </c>
      <c r="EM26" s="80">
        <v>283</v>
      </c>
      <c r="EN26" s="80"/>
      <c r="EO26" s="80">
        <v>188</v>
      </c>
      <c r="EP26" s="80">
        <v>1275</v>
      </c>
      <c r="EQ26" s="80">
        <v>288</v>
      </c>
      <c r="ER26" s="80">
        <v>314</v>
      </c>
      <c r="ES26" s="80"/>
      <c r="ET26" s="80">
        <v>38</v>
      </c>
      <c r="EU26" s="80">
        <v>282</v>
      </c>
      <c r="EV26" s="80">
        <v>642</v>
      </c>
      <c r="EW26" s="80">
        <v>839</v>
      </c>
      <c r="EX26" s="80"/>
      <c r="EY26" s="80">
        <v>11</v>
      </c>
      <c r="EZ26" s="80">
        <v>4792</v>
      </c>
      <c r="FA26" s="1472">
        <f t="shared" si="1"/>
        <v>0.44575984537327856</v>
      </c>
      <c r="FB26" s="80"/>
      <c r="FC26" s="681"/>
      <c r="FD26" s="681"/>
      <c r="FE26" s="1482" t="s">
        <v>15</v>
      </c>
      <c r="FF26" s="1483">
        <v>595</v>
      </c>
      <c r="FG26" s="1483">
        <v>258</v>
      </c>
      <c r="FH26" s="1483" t="s">
        <v>332</v>
      </c>
      <c r="FI26" s="1483">
        <v>198</v>
      </c>
      <c r="FJ26" s="1483">
        <v>1232</v>
      </c>
      <c r="FK26" s="1483">
        <v>282</v>
      </c>
      <c r="FL26" s="1483">
        <v>303</v>
      </c>
      <c r="FM26" s="1483" t="s">
        <v>332</v>
      </c>
      <c r="FN26" s="1483">
        <v>50</v>
      </c>
      <c r="FO26" s="1483">
        <v>347</v>
      </c>
      <c r="FP26" s="1483">
        <v>891</v>
      </c>
      <c r="FQ26" s="1483" t="s">
        <v>332</v>
      </c>
      <c r="FR26" s="1483">
        <v>4156</v>
      </c>
      <c r="FS26" s="1483">
        <f t="shared" si="2"/>
        <v>1861</v>
      </c>
      <c r="FT26" s="1484">
        <f t="shared" si="3"/>
        <v>0.44778633301251203</v>
      </c>
      <c r="FU26" s="80"/>
      <c r="FV26" s="80"/>
    </row>
    <row r="27" spans="1:178">
      <c r="A27" s="73"/>
      <c r="B27" s="73"/>
      <c r="C27" s="738" t="s">
        <v>107</v>
      </c>
      <c r="D27" s="4667">
        <v>3380</v>
      </c>
      <c r="E27" s="4667">
        <v>1915</v>
      </c>
      <c r="F27" s="4667">
        <v>1</v>
      </c>
      <c r="G27" s="4667">
        <v>26</v>
      </c>
      <c r="H27" s="4667">
        <v>5640</v>
      </c>
      <c r="I27" s="4667">
        <v>1029</v>
      </c>
      <c r="J27" s="4667">
        <v>1637</v>
      </c>
      <c r="K27" s="4667"/>
      <c r="L27" s="4667"/>
      <c r="M27" s="4667">
        <v>851</v>
      </c>
      <c r="N27" s="4667">
        <v>1279</v>
      </c>
      <c r="O27" s="4667">
        <v>557</v>
      </c>
      <c r="P27" s="4667">
        <v>3988</v>
      </c>
      <c r="Q27" s="4667">
        <v>1</v>
      </c>
      <c r="R27" s="4667">
        <v>20304</v>
      </c>
      <c r="S27" s="4680">
        <f t="shared" si="4"/>
        <v>0.40251190114453561</v>
      </c>
      <c r="U27" s="73"/>
      <c r="V27" s="73"/>
      <c r="W27" s="738" t="s">
        <v>107</v>
      </c>
      <c r="X27" s="151">
        <v>3454</v>
      </c>
      <c r="Y27" s="151">
        <v>2356</v>
      </c>
      <c r="Z27" s="151"/>
      <c r="AA27" s="151">
        <v>799</v>
      </c>
      <c r="AB27" s="151">
        <v>4480</v>
      </c>
      <c r="AC27" s="151">
        <v>1516</v>
      </c>
      <c r="AD27" s="151">
        <v>1587</v>
      </c>
      <c r="AE27" s="151"/>
      <c r="AF27" s="151"/>
      <c r="AG27" s="151">
        <v>843</v>
      </c>
      <c r="AH27" s="151">
        <v>1654</v>
      </c>
      <c r="AI27" s="151">
        <v>420</v>
      </c>
      <c r="AJ27" s="151">
        <v>3931</v>
      </c>
      <c r="AK27" s="151">
        <v>25</v>
      </c>
      <c r="AL27" s="151">
        <v>21065</v>
      </c>
      <c r="AM27" s="912">
        <f t="shared" si="0"/>
        <v>0.37099903006789525</v>
      </c>
      <c r="AN27" s="3197"/>
      <c r="AO27" s="73"/>
      <c r="AP27" s="73"/>
      <c r="AQ27" s="738" t="s">
        <v>107</v>
      </c>
      <c r="AR27" s="151">
        <v>3063</v>
      </c>
      <c r="AS27" s="151">
        <v>3075</v>
      </c>
      <c r="AT27" s="151"/>
      <c r="AU27" s="151">
        <v>844</v>
      </c>
      <c r="AV27" s="151">
        <v>4274</v>
      </c>
      <c r="AW27" s="151">
        <v>1282</v>
      </c>
      <c r="AX27" s="151">
        <v>1630</v>
      </c>
      <c r="AY27" s="151">
        <v>175</v>
      </c>
      <c r="AZ27" s="151"/>
      <c r="BA27" s="151">
        <v>794</v>
      </c>
      <c r="BB27" s="151">
        <v>1446</v>
      </c>
      <c r="BC27" s="151">
        <v>242</v>
      </c>
      <c r="BD27" s="151">
        <v>4049</v>
      </c>
      <c r="BE27" s="151">
        <v>29</v>
      </c>
      <c r="BF27" s="151">
        <v>20903</v>
      </c>
      <c r="BG27" s="912">
        <f t="shared" si="5"/>
        <v>0.33937572702597907</v>
      </c>
      <c r="BI27" s="2140"/>
      <c r="BJ27" s="2140"/>
      <c r="BK27" s="2142" t="s">
        <v>107</v>
      </c>
      <c r="BL27" s="2152">
        <v>4136</v>
      </c>
      <c r="BM27" s="2152">
        <v>2066</v>
      </c>
      <c r="BN27" s="2152">
        <v>1</v>
      </c>
      <c r="BO27" s="2152">
        <v>904</v>
      </c>
      <c r="BP27" s="2152">
        <v>4186</v>
      </c>
      <c r="BQ27" s="2152">
        <v>1154</v>
      </c>
      <c r="BR27" s="2152">
        <v>1484</v>
      </c>
      <c r="BS27" s="2153"/>
      <c r="BT27" s="2153"/>
      <c r="BU27" s="2152">
        <v>862</v>
      </c>
      <c r="BV27" s="2152">
        <v>1472</v>
      </c>
      <c r="BW27" s="2152">
        <v>157</v>
      </c>
      <c r="BX27" s="2152">
        <v>4521</v>
      </c>
      <c r="BY27" s="2152">
        <v>29</v>
      </c>
      <c r="BZ27" s="2152">
        <v>20972</v>
      </c>
      <c r="CA27" s="2154">
        <f t="shared" si="6"/>
        <v>0.32772058116039643</v>
      </c>
      <c r="CC27" s="1452"/>
      <c r="CD27" s="1452"/>
      <c r="CE27" s="1489" t="s">
        <v>107</v>
      </c>
      <c r="CF27" s="1490">
        <v>4158</v>
      </c>
      <c r="CG27" s="1490">
        <v>2122</v>
      </c>
      <c r="CH27" s="1490">
        <v>2</v>
      </c>
      <c r="CI27" s="1490">
        <v>1163</v>
      </c>
      <c r="CJ27" s="1490">
        <v>4302</v>
      </c>
      <c r="CK27" s="1490">
        <v>1176</v>
      </c>
      <c r="CL27" s="1490">
        <v>1775</v>
      </c>
      <c r="CM27" s="1491"/>
      <c r="CN27" s="1490">
        <v>1</v>
      </c>
      <c r="CO27" s="1490">
        <v>724</v>
      </c>
      <c r="CP27" s="1490">
        <v>1293</v>
      </c>
      <c r="CQ27" s="1490">
        <v>5168</v>
      </c>
      <c r="CR27" s="1490">
        <v>18</v>
      </c>
      <c r="CS27" s="1490">
        <v>21902</v>
      </c>
      <c r="CT27" s="1492">
        <f t="shared" si="7"/>
        <v>0.30914984932882844</v>
      </c>
      <c r="CV27" s="929"/>
      <c r="CW27" s="929"/>
      <c r="CX27" s="1090" t="s">
        <v>107</v>
      </c>
      <c r="CY27" s="1479">
        <v>4106</v>
      </c>
      <c r="CZ27" s="1479">
        <v>2110</v>
      </c>
      <c r="DA27" s="1479">
        <v>1</v>
      </c>
      <c r="DB27" s="1479">
        <v>1279</v>
      </c>
      <c r="DC27" s="1479">
        <v>4105</v>
      </c>
      <c r="DD27" s="1479">
        <v>1305</v>
      </c>
      <c r="DE27" s="1479">
        <v>1475</v>
      </c>
      <c r="DF27" s="1479">
        <v>9</v>
      </c>
      <c r="DG27" s="1479">
        <v>1</v>
      </c>
      <c r="DH27" s="1479">
        <v>499</v>
      </c>
      <c r="DI27" s="1479">
        <v>1153</v>
      </c>
      <c r="DJ27" s="1479">
        <v>5290</v>
      </c>
      <c r="DK27" s="1479">
        <v>18</v>
      </c>
      <c r="DL27" s="1479">
        <v>21351</v>
      </c>
      <c r="DM27" s="803">
        <f t="shared" si="8"/>
        <v>0.30738607091002762</v>
      </c>
      <c r="DO27" s="1094" t="s">
        <v>25</v>
      </c>
      <c r="DP27" s="1094" t="s">
        <v>4</v>
      </c>
      <c r="DQ27" s="1469" t="s">
        <v>26</v>
      </c>
      <c r="DR27" s="1470">
        <v>124</v>
      </c>
      <c r="DS27" s="1470">
        <v>39</v>
      </c>
      <c r="DT27" s="1470">
        <v>0</v>
      </c>
      <c r="DU27" s="1470">
        <v>121</v>
      </c>
      <c r="DV27" s="1470">
        <v>128</v>
      </c>
      <c r="DW27" s="1470">
        <v>18</v>
      </c>
      <c r="DX27" s="1470">
        <v>41</v>
      </c>
      <c r="DY27" s="1470">
        <v>0</v>
      </c>
      <c r="DZ27" s="1470">
        <v>26</v>
      </c>
      <c r="EA27" s="1470">
        <v>8</v>
      </c>
      <c r="EB27" s="1470">
        <v>137</v>
      </c>
      <c r="EC27" s="1470">
        <v>188</v>
      </c>
      <c r="ED27" s="1470">
        <v>0</v>
      </c>
      <c r="EE27" s="1470">
        <v>0</v>
      </c>
      <c r="EF27" s="1470">
        <v>830</v>
      </c>
      <c r="EG27" s="1471">
        <f t="shared" si="9"/>
        <v>0.22222222222222221</v>
      </c>
      <c r="EI27" s="163" t="s">
        <v>25</v>
      </c>
      <c r="EJ27" s="163" t="s">
        <v>4</v>
      </c>
      <c r="EK27" s="80" t="s">
        <v>26</v>
      </c>
      <c r="EL27" s="80">
        <v>113</v>
      </c>
      <c r="EM27" s="80">
        <v>54</v>
      </c>
      <c r="EN27" s="80"/>
      <c r="EO27" s="80">
        <v>116</v>
      </c>
      <c r="EP27" s="80">
        <v>127</v>
      </c>
      <c r="EQ27" s="80">
        <v>17</v>
      </c>
      <c r="ER27" s="80">
        <v>40</v>
      </c>
      <c r="ES27" s="80"/>
      <c r="ET27" s="80">
        <v>24</v>
      </c>
      <c r="EU27" s="80">
        <v>15</v>
      </c>
      <c r="EV27" s="80">
        <v>131</v>
      </c>
      <c r="EW27" s="80">
        <v>173</v>
      </c>
      <c r="EX27" s="80"/>
      <c r="EY27" s="80">
        <v>0</v>
      </c>
      <c r="EZ27" s="80">
        <v>810</v>
      </c>
      <c r="FA27" s="1472">
        <f t="shared" si="1"/>
        <v>0.2341678939617084</v>
      </c>
      <c r="FB27" s="80"/>
      <c r="FC27" s="681" t="s">
        <v>25</v>
      </c>
      <c r="FD27" s="681" t="s">
        <v>4</v>
      </c>
      <c r="FE27" s="681" t="s">
        <v>26</v>
      </c>
      <c r="FF27" s="1473">
        <v>126</v>
      </c>
      <c r="FG27" s="1473">
        <v>47</v>
      </c>
      <c r="FH27" s="1473" t="s">
        <v>332</v>
      </c>
      <c r="FI27" s="1473">
        <v>109</v>
      </c>
      <c r="FJ27" s="1473">
        <v>125</v>
      </c>
      <c r="FK27" s="1473">
        <v>21</v>
      </c>
      <c r="FL27" s="1473">
        <v>57</v>
      </c>
      <c r="FM27" s="1473" t="s">
        <v>332</v>
      </c>
      <c r="FN27" s="1473">
        <v>26</v>
      </c>
      <c r="FO27" s="1473">
        <v>20</v>
      </c>
      <c r="FP27" s="1473">
        <v>181</v>
      </c>
      <c r="FQ27" s="1473" t="s">
        <v>332</v>
      </c>
      <c r="FR27" s="1473">
        <v>712</v>
      </c>
      <c r="FS27" s="1473">
        <f t="shared" si="2"/>
        <v>166</v>
      </c>
      <c r="FT27" s="1474">
        <f t="shared" si="3"/>
        <v>0.23314606741573032</v>
      </c>
      <c r="FU27" s="80"/>
      <c r="FV27" s="80"/>
    </row>
    <row r="28" spans="1:178">
      <c r="A28" s="73" t="s">
        <v>25</v>
      </c>
      <c r="B28" s="73" t="s">
        <v>4</v>
      </c>
      <c r="C28" s="73" t="s">
        <v>26</v>
      </c>
      <c r="D28" s="161">
        <v>166</v>
      </c>
      <c r="E28" s="161">
        <v>61</v>
      </c>
      <c r="F28" s="161"/>
      <c r="G28" s="161">
        <v>8</v>
      </c>
      <c r="H28" s="161">
        <v>94</v>
      </c>
      <c r="I28" s="161">
        <v>22</v>
      </c>
      <c r="J28" s="161">
        <v>72</v>
      </c>
      <c r="K28" s="161"/>
      <c r="L28" s="161"/>
      <c r="M28" s="161">
        <v>45</v>
      </c>
      <c r="N28" s="161">
        <v>28</v>
      </c>
      <c r="O28" s="161">
        <v>47</v>
      </c>
      <c r="P28" s="161">
        <v>137</v>
      </c>
      <c r="Q28" s="161">
        <v>0</v>
      </c>
      <c r="R28" s="161">
        <v>680</v>
      </c>
      <c r="S28" s="4680">
        <f>+(N28+I28+H28)/(R28-Q28-O28)</f>
        <v>0.22748815165876776</v>
      </c>
      <c r="U28" s="73" t="s">
        <v>25</v>
      </c>
      <c r="V28" s="73" t="s">
        <v>4</v>
      </c>
      <c r="W28" s="73" t="s">
        <v>26</v>
      </c>
      <c r="X28" s="161">
        <v>172</v>
      </c>
      <c r="Y28" s="161">
        <v>59</v>
      </c>
      <c r="Z28" s="161"/>
      <c r="AA28" s="161">
        <v>79</v>
      </c>
      <c r="AB28" s="161">
        <v>67</v>
      </c>
      <c r="AC28" s="161">
        <v>18</v>
      </c>
      <c r="AD28" s="161">
        <v>58</v>
      </c>
      <c r="AE28" s="161"/>
      <c r="AF28" s="161">
        <v>0</v>
      </c>
      <c r="AG28" s="161">
        <v>52</v>
      </c>
      <c r="AH28" s="161">
        <v>24</v>
      </c>
      <c r="AI28" s="161">
        <v>19</v>
      </c>
      <c r="AJ28" s="161">
        <v>143</v>
      </c>
      <c r="AK28" s="161">
        <v>4</v>
      </c>
      <c r="AL28" s="161">
        <v>695</v>
      </c>
      <c r="AM28" s="2585">
        <f t="shared" si="0"/>
        <v>0.16220238095238096</v>
      </c>
      <c r="AN28" s="3196"/>
      <c r="AO28" s="73" t="s">
        <v>25</v>
      </c>
      <c r="AP28" s="73" t="s">
        <v>4</v>
      </c>
      <c r="AQ28" s="73" t="s">
        <v>26</v>
      </c>
      <c r="AR28" s="161">
        <v>157</v>
      </c>
      <c r="AS28" s="161">
        <v>61</v>
      </c>
      <c r="AT28" s="161"/>
      <c r="AU28" s="161">
        <v>74</v>
      </c>
      <c r="AV28" s="161">
        <v>80</v>
      </c>
      <c r="AW28" s="161">
        <v>14</v>
      </c>
      <c r="AX28" s="161">
        <v>58</v>
      </c>
      <c r="AY28" s="161">
        <v>0</v>
      </c>
      <c r="AZ28" s="161">
        <v>0</v>
      </c>
      <c r="BA28" s="161">
        <v>42</v>
      </c>
      <c r="BB28" s="161">
        <v>16</v>
      </c>
      <c r="BC28" s="161">
        <v>8</v>
      </c>
      <c r="BD28" s="161">
        <v>141</v>
      </c>
      <c r="BE28" s="161">
        <v>4</v>
      </c>
      <c r="BF28" s="161">
        <v>655</v>
      </c>
      <c r="BG28" s="2585">
        <f t="shared" si="5"/>
        <v>0.17107309486780714</v>
      </c>
      <c r="BI28" s="2140" t="s">
        <v>25</v>
      </c>
      <c r="BJ28" s="2140" t="s">
        <v>4</v>
      </c>
      <c r="BK28" s="2148" t="s">
        <v>26</v>
      </c>
      <c r="BL28" s="2149">
        <v>162</v>
      </c>
      <c r="BM28" s="2149">
        <v>59</v>
      </c>
      <c r="BN28" s="2150"/>
      <c r="BO28" s="2149">
        <v>72</v>
      </c>
      <c r="BP28" s="2149">
        <v>111</v>
      </c>
      <c r="BQ28" s="2149">
        <v>8</v>
      </c>
      <c r="BR28" s="2149">
        <v>56</v>
      </c>
      <c r="BS28" s="2150"/>
      <c r="BT28" s="2149">
        <v>0</v>
      </c>
      <c r="BU28" s="2149">
        <v>23</v>
      </c>
      <c r="BV28" s="2149">
        <v>16</v>
      </c>
      <c r="BW28" s="2149">
        <v>2</v>
      </c>
      <c r="BX28" s="2149">
        <v>138</v>
      </c>
      <c r="BY28" s="2149">
        <v>2</v>
      </c>
      <c r="BZ28" s="2149">
        <v>649</v>
      </c>
      <c r="CA28" s="2151">
        <f t="shared" si="6"/>
        <v>0.20930232558139536</v>
      </c>
      <c r="CC28" s="1452" t="s">
        <v>25</v>
      </c>
      <c r="CD28" s="1452" t="s">
        <v>4</v>
      </c>
      <c r="CE28" s="1465" t="s">
        <v>26</v>
      </c>
      <c r="CF28" s="1466">
        <v>126</v>
      </c>
      <c r="CG28" s="1466">
        <v>58</v>
      </c>
      <c r="CH28" s="1452"/>
      <c r="CI28" s="1466">
        <v>104</v>
      </c>
      <c r="CJ28" s="1466">
        <v>125</v>
      </c>
      <c r="CK28" s="1466">
        <v>11</v>
      </c>
      <c r="CL28" s="1466">
        <v>53</v>
      </c>
      <c r="CM28" s="1452"/>
      <c r="CN28" s="1466">
        <v>0</v>
      </c>
      <c r="CO28" s="1466">
        <v>35</v>
      </c>
      <c r="CP28" s="1466">
        <v>15</v>
      </c>
      <c r="CQ28" s="1466">
        <v>175</v>
      </c>
      <c r="CR28" s="1452"/>
      <c r="CS28" s="1466">
        <v>702</v>
      </c>
      <c r="CT28" s="814">
        <f t="shared" si="7"/>
        <v>0.21509971509971509</v>
      </c>
      <c r="CV28" s="929" t="s">
        <v>25</v>
      </c>
      <c r="CW28" s="929" t="s">
        <v>4</v>
      </c>
      <c r="CX28" s="1467" t="s">
        <v>26</v>
      </c>
      <c r="CY28" s="1468">
        <v>125</v>
      </c>
      <c r="CZ28" s="1468">
        <v>70</v>
      </c>
      <c r="DA28" s="1468">
        <v>0</v>
      </c>
      <c r="DB28" s="1468">
        <v>117</v>
      </c>
      <c r="DC28" s="1468">
        <v>121</v>
      </c>
      <c r="DD28" s="1468">
        <v>17</v>
      </c>
      <c r="DE28" s="1468">
        <v>53</v>
      </c>
      <c r="DF28" s="929"/>
      <c r="DG28" s="929"/>
      <c r="DH28" s="1468">
        <v>18</v>
      </c>
      <c r="DI28" s="1468">
        <v>9</v>
      </c>
      <c r="DJ28" s="1468">
        <v>177</v>
      </c>
      <c r="DK28" s="929"/>
      <c r="DL28" s="1468">
        <v>707</v>
      </c>
      <c r="DM28" s="814">
        <f t="shared" si="8"/>
        <v>0.20792079207920791</v>
      </c>
      <c r="DO28" s="1094"/>
      <c r="DP28" s="1094"/>
      <c r="DQ28" s="1469" t="s">
        <v>27</v>
      </c>
      <c r="DR28" s="1470">
        <v>25</v>
      </c>
      <c r="DS28" s="1470">
        <v>10</v>
      </c>
      <c r="DT28" s="1470">
        <v>0</v>
      </c>
      <c r="DU28" s="1470">
        <v>20</v>
      </c>
      <c r="DV28" s="1470">
        <v>19</v>
      </c>
      <c r="DW28" s="1470">
        <v>2</v>
      </c>
      <c r="DX28" s="1470">
        <v>8</v>
      </c>
      <c r="DY28" s="1470">
        <v>0</v>
      </c>
      <c r="DZ28" s="1470">
        <v>0</v>
      </c>
      <c r="EA28" s="1470">
        <v>4</v>
      </c>
      <c r="EB28" s="1470">
        <v>24</v>
      </c>
      <c r="EC28" s="1470">
        <v>31</v>
      </c>
      <c r="ED28" s="1470">
        <v>0</v>
      </c>
      <c r="EE28" s="1470">
        <v>0</v>
      </c>
      <c r="EF28" s="1470">
        <v>143</v>
      </c>
      <c r="EG28" s="1471">
        <f t="shared" si="9"/>
        <v>0.21008403361344538</v>
      </c>
      <c r="EI28" s="163"/>
      <c r="EJ28" s="163"/>
      <c r="EK28" s="80" t="s">
        <v>27</v>
      </c>
      <c r="EL28" s="80">
        <v>16</v>
      </c>
      <c r="EM28" s="80">
        <v>7</v>
      </c>
      <c r="EN28" s="80"/>
      <c r="EO28" s="80">
        <v>19</v>
      </c>
      <c r="EP28" s="80">
        <v>13</v>
      </c>
      <c r="EQ28" s="80">
        <v>3</v>
      </c>
      <c r="ER28" s="80">
        <v>6</v>
      </c>
      <c r="ES28" s="80"/>
      <c r="ET28" s="80">
        <v>3</v>
      </c>
      <c r="EU28" s="80">
        <v>6</v>
      </c>
      <c r="EV28" s="80">
        <v>19</v>
      </c>
      <c r="EW28" s="80">
        <v>33</v>
      </c>
      <c r="EX28" s="80"/>
      <c r="EY28" s="80">
        <v>0</v>
      </c>
      <c r="EZ28" s="80">
        <v>125</v>
      </c>
      <c r="FA28" s="1472">
        <f t="shared" si="1"/>
        <v>0.20754716981132076</v>
      </c>
      <c r="FB28" s="80"/>
      <c r="FC28" s="681"/>
      <c r="FD28" s="681"/>
      <c r="FE28" s="681" t="s">
        <v>27</v>
      </c>
      <c r="FF28" s="1473">
        <v>11</v>
      </c>
      <c r="FG28" s="1473">
        <v>8</v>
      </c>
      <c r="FH28" s="1473" t="s">
        <v>332</v>
      </c>
      <c r="FI28" s="1473">
        <v>15</v>
      </c>
      <c r="FJ28" s="1473">
        <v>12</v>
      </c>
      <c r="FK28" s="1473">
        <v>4</v>
      </c>
      <c r="FL28" s="1473">
        <v>11</v>
      </c>
      <c r="FM28" s="1473" t="s">
        <v>332</v>
      </c>
      <c r="FN28" s="1473">
        <v>1</v>
      </c>
      <c r="FO28" s="1473">
        <v>6</v>
      </c>
      <c r="FP28" s="1473">
        <v>31</v>
      </c>
      <c r="FQ28" s="1473" t="s">
        <v>332</v>
      </c>
      <c r="FR28" s="1473">
        <v>99</v>
      </c>
      <c r="FS28" s="1473">
        <f t="shared" si="2"/>
        <v>22</v>
      </c>
      <c r="FT28" s="1474">
        <f t="shared" si="3"/>
        <v>0.22222222222222221</v>
      </c>
      <c r="FU28" s="80"/>
      <c r="FV28" s="80"/>
    </row>
    <row r="29" spans="1:178">
      <c r="A29" s="73"/>
      <c r="B29" s="73"/>
      <c r="C29" s="73" t="s">
        <v>27</v>
      </c>
      <c r="D29" s="161">
        <v>50</v>
      </c>
      <c r="E29" s="161">
        <v>15</v>
      </c>
      <c r="F29" s="161"/>
      <c r="G29" s="161">
        <v>2</v>
      </c>
      <c r="H29" s="161">
        <v>29</v>
      </c>
      <c r="I29" s="161">
        <v>0</v>
      </c>
      <c r="J29" s="161">
        <v>15</v>
      </c>
      <c r="K29" s="161"/>
      <c r="L29" s="161"/>
      <c r="M29" s="161">
        <v>6</v>
      </c>
      <c r="N29" s="161">
        <v>1</v>
      </c>
      <c r="O29" s="161">
        <v>0</v>
      </c>
      <c r="P29" s="161">
        <v>34</v>
      </c>
      <c r="Q29" s="161">
        <v>0</v>
      </c>
      <c r="R29" s="161">
        <v>152</v>
      </c>
      <c r="S29" s="4680">
        <f t="shared" si="4"/>
        <v>0.19736842105263158</v>
      </c>
      <c r="U29" s="73"/>
      <c r="V29" s="73"/>
      <c r="W29" s="73" t="s">
        <v>27</v>
      </c>
      <c r="X29" s="161">
        <v>41</v>
      </c>
      <c r="Y29" s="161">
        <v>15</v>
      </c>
      <c r="Z29" s="161"/>
      <c r="AA29" s="161">
        <v>23</v>
      </c>
      <c r="AB29" s="161">
        <v>30</v>
      </c>
      <c r="AC29" s="161">
        <v>8</v>
      </c>
      <c r="AD29" s="161">
        <v>8</v>
      </c>
      <c r="AE29" s="161"/>
      <c r="AF29" s="161">
        <v>1</v>
      </c>
      <c r="AG29" s="161">
        <v>5</v>
      </c>
      <c r="AH29" s="161">
        <v>3</v>
      </c>
      <c r="AI29" s="161">
        <v>0</v>
      </c>
      <c r="AJ29" s="161">
        <v>31</v>
      </c>
      <c r="AK29" s="161">
        <v>0</v>
      </c>
      <c r="AL29" s="161">
        <v>165</v>
      </c>
      <c r="AM29" s="2585">
        <f t="shared" si="0"/>
        <v>0.24848484848484848</v>
      </c>
      <c r="AN29" s="3196"/>
      <c r="AO29" s="73"/>
      <c r="AP29" s="73"/>
      <c r="AQ29" s="73" t="s">
        <v>27</v>
      </c>
      <c r="AR29" s="161">
        <v>37</v>
      </c>
      <c r="AS29" s="161">
        <v>19</v>
      </c>
      <c r="AT29" s="161"/>
      <c r="AU29" s="161">
        <v>22</v>
      </c>
      <c r="AV29" s="161">
        <v>27</v>
      </c>
      <c r="AW29" s="161">
        <v>5</v>
      </c>
      <c r="AX29" s="161">
        <v>6</v>
      </c>
      <c r="AY29" s="161">
        <v>0</v>
      </c>
      <c r="AZ29" s="161">
        <v>1</v>
      </c>
      <c r="BA29" s="161">
        <v>3</v>
      </c>
      <c r="BB29" s="161">
        <v>5</v>
      </c>
      <c r="BC29" s="161">
        <v>0</v>
      </c>
      <c r="BD29" s="161">
        <v>27</v>
      </c>
      <c r="BE29" s="161">
        <v>0</v>
      </c>
      <c r="BF29" s="161">
        <v>152</v>
      </c>
      <c r="BG29" s="2585">
        <f t="shared" si="5"/>
        <v>0.24342105263157895</v>
      </c>
      <c r="BI29" s="2140"/>
      <c r="BJ29" s="2140"/>
      <c r="BK29" s="2140" t="s">
        <v>15</v>
      </c>
      <c r="BL29" s="2149">
        <v>27</v>
      </c>
      <c r="BM29" s="2149">
        <v>11</v>
      </c>
      <c r="BN29" s="2150"/>
      <c r="BO29" s="2149">
        <v>18</v>
      </c>
      <c r="BP29" s="2149">
        <v>27</v>
      </c>
      <c r="BQ29" s="2149">
        <v>4</v>
      </c>
      <c r="BR29" s="2149">
        <v>8</v>
      </c>
      <c r="BS29" s="2150"/>
      <c r="BT29" s="2149">
        <v>1</v>
      </c>
      <c r="BU29" s="2149">
        <v>3</v>
      </c>
      <c r="BV29" s="2149">
        <v>3</v>
      </c>
      <c r="BW29" s="2149">
        <v>0</v>
      </c>
      <c r="BX29" s="2149">
        <v>25</v>
      </c>
      <c r="BY29" s="2149">
        <v>0</v>
      </c>
      <c r="BZ29" s="2149">
        <v>127</v>
      </c>
      <c r="CA29" s="2151">
        <f t="shared" si="6"/>
        <v>0.26771653543307089</v>
      </c>
      <c r="CC29" s="1452"/>
      <c r="CD29" s="1452"/>
      <c r="CE29" s="1465" t="s">
        <v>27</v>
      </c>
      <c r="CF29" s="1466">
        <v>26</v>
      </c>
      <c r="CG29" s="1466">
        <v>6</v>
      </c>
      <c r="CH29" s="1452"/>
      <c r="CI29" s="1466">
        <v>22</v>
      </c>
      <c r="CJ29" s="1466">
        <v>15</v>
      </c>
      <c r="CK29" s="1466">
        <v>6</v>
      </c>
      <c r="CL29" s="1466">
        <v>3</v>
      </c>
      <c r="CM29" s="1452"/>
      <c r="CN29" s="1466">
        <v>1</v>
      </c>
      <c r="CO29" s="1466">
        <v>6</v>
      </c>
      <c r="CP29" s="1466">
        <v>10</v>
      </c>
      <c r="CQ29" s="1466">
        <v>33</v>
      </c>
      <c r="CR29" s="1452"/>
      <c r="CS29" s="1466">
        <v>128</v>
      </c>
      <c r="CT29" s="814">
        <f t="shared" si="7"/>
        <v>0.2421875</v>
      </c>
      <c r="CV29" s="929"/>
      <c r="CW29" s="929"/>
      <c r="CX29" s="1467" t="s">
        <v>27</v>
      </c>
      <c r="CY29" s="1468">
        <v>33</v>
      </c>
      <c r="CZ29" s="1468">
        <v>10</v>
      </c>
      <c r="DA29" s="1468">
        <v>0</v>
      </c>
      <c r="DB29" s="1468">
        <v>21</v>
      </c>
      <c r="DC29" s="1468">
        <v>19</v>
      </c>
      <c r="DD29" s="1468">
        <v>0</v>
      </c>
      <c r="DE29" s="1468">
        <v>9</v>
      </c>
      <c r="DF29" s="929"/>
      <c r="DG29" s="929"/>
      <c r="DH29" s="1468">
        <v>1</v>
      </c>
      <c r="DI29" s="1468">
        <v>4</v>
      </c>
      <c r="DJ29" s="1468">
        <v>29</v>
      </c>
      <c r="DK29" s="929"/>
      <c r="DL29" s="1468">
        <v>126</v>
      </c>
      <c r="DM29" s="814">
        <f t="shared" si="8"/>
        <v>0.18253968253968253</v>
      </c>
      <c r="DO29" s="1094"/>
      <c r="DP29" s="1094"/>
      <c r="DQ29" s="1469" t="s">
        <v>12</v>
      </c>
      <c r="DR29" s="1470">
        <v>61</v>
      </c>
      <c r="DS29" s="1470">
        <v>19</v>
      </c>
      <c r="DT29" s="1470">
        <v>0</v>
      </c>
      <c r="DU29" s="1470">
        <v>76</v>
      </c>
      <c r="DV29" s="1470">
        <v>72</v>
      </c>
      <c r="DW29" s="1470">
        <v>13</v>
      </c>
      <c r="DX29" s="1470">
        <v>30</v>
      </c>
      <c r="DY29" s="1470">
        <v>0</v>
      </c>
      <c r="DZ29" s="1470">
        <v>5</v>
      </c>
      <c r="EA29" s="1470">
        <v>11</v>
      </c>
      <c r="EB29" s="1470">
        <v>133</v>
      </c>
      <c r="EC29" s="1470">
        <v>129</v>
      </c>
      <c r="ED29" s="1470">
        <v>0</v>
      </c>
      <c r="EE29" s="1470">
        <v>4</v>
      </c>
      <c r="EF29" s="1470">
        <v>553</v>
      </c>
      <c r="EG29" s="1471">
        <f t="shared" si="9"/>
        <v>0.23076923076923078</v>
      </c>
      <c r="EI29" s="163"/>
      <c r="EJ29" s="163"/>
      <c r="EK29" s="80" t="s">
        <v>12</v>
      </c>
      <c r="EL29" s="80">
        <v>57</v>
      </c>
      <c r="EM29" s="80">
        <v>12</v>
      </c>
      <c r="EN29" s="80"/>
      <c r="EO29" s="80">
        <v>74</v>
      </c>
      <c r="EP29" s="80">
        <v>73</v>
      </c>
      <c r="EQ29" s="80">
        <v>13</v>
      </c>
      <c r="ER29" s="80">
        <v>33</v>
      </c>
      <c r="ES29" s="80"/>
      <c r="ET29" s="80">
        <v>5</v>
      </c>
      <c r="EU29" s="80">
        <v>7</v>
      </c>
      <c r="EV29" s="80">
        <v>122</v>
      </c>
      <c r="EW29" s="80">
        <v>129</v>
      </c>
      <c r="EX29" s="80"/>
      <c r="EY29" s="80">
        <v>1</v>
      </c>
      <c r="EZ29" s="80">
        <v>526</v>
      </c>
      <c r="FA29" s="1472">
        <f t="shared" si="1"/>
        <v>0.23076923076923078</v>
      </c>
      <c r="FB29" s="80"/>
      <c r="FC29" s="681"/>
      <c r="FD29" s="681"/>
      <c r="FE29" s="681" t="s">
        <v>12</v>
      </c>
      <c r="FF29" s="1473">
        <v>50</v>
      </c>
      <c r="FG29" s="1473">
        <v>14</v>
      </c>
      <c r="FH29" s="1473" t="s">
        <v>332</v>
      </c>
      <c r="FI29" s="1473">
        <v>74</v>
      </c>
      <c r="FJ29" s="1473">
        <v>70</v>
      </c>
      <c r="FK29" s="1473">
        <v>7</v>
      </c>
      <c r="FL29" s="1473">
        <v>46</v>
      </c>
      <c r="FM29" s="1473" t="s">
        <v>332</v>
      </c>
      <c r="FN29" s="1473">
        <v>16</v>
      </c>
      <c r="FO29" s="1473">
        <v>15</v>
      </c>
      <c r="FP29" s="1473">
        <v>129</v>
      </c>
      <c r="FQ29" s="1473" t="s">
        <v>332</v>
      </c>
      <c r="FR29" s="1473">
        <v>421</v>
      </c>
      <c r="FS29" s="1473">
        <f t="shared" si="2"/>
        <v>92</v>
      </c>
      <c r="FT29" s="1474">
        <f t="shared" si="3"/>
        <v>0.21852731591448932</v>
      </c>
      <c r="FU29" s="80"/>
      <c r="FV29" s="80"/>
    </row>
    <row r="30" spans="1:178">
      <c r="A30" s="73"/>
      <c r="B30" s="73"/>
      <c r="C30" s="73" t="s">
        <v>12</v>
      </c>
      <c r="D30" s="161">
        <v>159</v>
      </c>
      <c r="E30" s="161">
        <v>70</v>
      </c>
      <c r="F30" s="161"/>
      <c r="G30" s="161">
        <v>3</v>
      </c>
      <c r="H30" s="161">
        <v>116</v>
      </c>
      <c r="I30" s="161">
        <v>15</v>
      </c>
      <c r="J30" s="161">
        <v>55</v>
      </c>
      <c r="K30" s="161"/>
      <c r="L30" s="161"/>
      <c r="M30" s="161">
        <v>33</v>
      </c>
      <c r="N30" s="161">
        <v>21</v>
      </c>
      <c r="O30" s="161">
        <v>19</v>
      </c>
      <c r="P30" s="161">
        <v>116</v>
      </c>
      <c r="Q30" s="161">
        <v>0</v>
      </c>
      <c r="R30" s="161">
        <v>607</v>
      </c>
      <c r="S30" s="4680">
        <f t="shared" si="4"/>
        <v>0.25850340136054423</v>
      </c>
      <c r="U30" s="73"/>
      <c r="V30" s="73"/>
      <c r="W30" s="73" t="s">
        <v>12</v>
      </c>
      <c r="X30" s="161">
        <v>156</v>
      </c>
      <c r="Y30" s="161">
        <v>61</v>
      </c>
      <c r="Z30" s="161"/>
      <c r="AA30" s="161">
        <v>71</v>
      </c>
      <c r="AB30" s="161">
        <v>93</v>
      </c>
      <c r="AC30" s="161">
        <v>14</v>
      </c>
      <c r="AD30" s="161">
        <v>27</v>
      </c>
      <c r="AE30" s="161"/>
      <c r="AF30" s="161">
        <v>0</v>
      </c>
      <c r="AG30" s="161">
        <v>43</v>
      </c>
      <c r="AH30" s="161">
        <v>17</v>
      </c>
      <c r="AI30" s="161">
        <v>11</v>
      </c>
      <c r="AJ30" s="161">
        <v>118</v>
      </c>
      <c r="AK30" s="161">
        <v>0</v>
      </c>
      <c r="AL30" s="161">
        <v>611</v>
      </c>
      <c r="AM30" s="2585">
        <f t="shared" si="0"/>
        <v>0.20666666666666667</v>
      </c>
      <c r="AN30" s="3196"/>
      <c r="AO30" s="73"/>
      <c r="AP30" s="73"/>
      <c r="AQ30" s="73" t="s">
        <v>12</v>
      </c>
      <c r="AR30" s="161">
        <v>133</v>
      </c>
      <c r="AS30" s="161">
        <v>55</v>
      </c>
      <c r="AT30" s="161"/>
      <c r="AU30" s="161">
        <v>70</v>
      </c>
      <c r="AV30" s="161">
        <v>76</v>
      </c>
      <c r="AW30" s="161">
        <v>21</v>
      </c>
      <c r="AX30" s="161">
        <v>35</v>
      </c>
      <c r="AY30" s="161">
        <v>0</v>
      </c>
      <c r="AZ30" s="161">
        <v>0</v>
      </c>
      <c r="BA30" s="161">
        <v>33</v>
      </c>
      <c r="BB30" s="161">
        <v>15</v>
      </c>
      <c r="BC30" s="161">
        <v>1</v>
      </c>
      <c r="BD30" s="161">
        <v>90</v>
      </c>
      <c r="BE30" s="161">
        <v>0</v>
      </c>
      <c r="BF30" s="161">
        <v>529</v>
      </c>
      <c r="BG30" s="2585">
        <f t="shared" si="5"/>
        <v>0.21212121212121213</v>
      </c>
      <c r="BI30" s="2140"/>
      <c r="BJ30" s="2140"/>
      <c r="BK30" s="2148" t="s">
        <v>12</v>
      </c>
      <c r="BL30" s="2149">
        <v>126</v>
      </c>
      <c r="BM30" s="2149">
        <v>34</v>
      </c>
      <c r="BN30" s="2150"/>
      <c r="BO30" s="2149">
        <v>69</v>
      </c>
      <c r="BP30" s="2149">
        <v>88</v>
      </c>
      <c r="BQ30" s="2149">
        <v>5</v>
      </c>
      <c r="BR30" s="2149">
        <v>28</v>
      </c>
      <c r="BS30" s="2150"/>
      <c r="BT30" s="2149">
        <v>0</v>
      </c>
      <c r="BU30" s="2149">
        <v>31</v>
      </c>
      <c r="BV30" s="2149">
        <v>7</v>
      </c>
      <c r="BW30" s="2149">
        <v>0</v>
      </c>
      <c r="BX30" s="2149">
        <v>101</v>
      </c>
      <c r="BY30" s="2149">
        <v>0</v>
      </c>
      <c r="BZ30" s="2149">
        <v>489</v>
      </c>
      <c r="CA30" s="2151">
        <f t="shared" si="6"/>
        <v>0.20449897750511248</v>
      </c>
      <c r="CC30" s="1452"/>
      <c r="CD30" s="1452"/>
      <c r="CE30" s="1465" t="s">
        <v>12</v>
      </c>
      <c r="CF30" s="1466">
        <v>102</v>
      </c>
      <c r="CG30" s="1466">
        <v>37</v>
      </c>
      <c r="CH30" s="1452"/>
      <c r="CI30" s="1466">
        <v>86</v>
      </c>
      <c r="CJ30" s="1466">
        <v>89</v>
      </c>
      <c r="CK30" s="1466">
        <v>7</v>
      </c>
      <c r="CL30" s="1466">
        <v>29</v>
      </c>
      <c r="CM30" s="1452"/>
      <c r="CN30" s="1466">
        <v>0</v>
      </c>
      <c r="CO30" s="1466">
        <v>23</v>
      </c>
      <c r="CP30" s="1466">
        <v>4</v>
      </c>
      <c r="CQ30" s="1466">
        <v>121</v>
      </c>
      <c r="CR30" s="1452"/>
      <c r="CS30" s="1466">
        <v>498</v>
      </c>
      <c r="CT30" s="814">
        <f t="shared" si="7"/>
        <v>0.20080321285140562</v>
      </c>
      <c r="CV30" s="929"/>
      <c r="CW30" s="929"/>
      <c r="CX30" s="1467" t="s">
        <v>12</v>
      </c>
      <c r="CY30" s="1468">
        <v>64</v>
      </c>
      <c r="CZ30" s="1468">
        <v>22</v>
      </c>
      <c r="DA30" s="1468">
        <v>0</v>
      </c>
      <c r="DB30" s="1468">
        <v>81</v>
      </c>
      <c r="DC30" s="1468">
        <v>83</v>
      </c>
      <c r="DD30" s="1468">
        <v>15</v>
      </c>
      <c r="DE30" s="1468">
        <v>21</v>
      </c>
      <c r="DF30" s="929"/>
      <c r="DG30" s="929"/>
      <c r="DH30" s="1468">
        <v>8</v>
      </c>
      <c r="DI30" s="1468">
        <v>6</v>
      </c>
      <c r="DJ30" s="1468">
        <v>129</v>
      </c>
      <c r="DK30" s="929"/>
      <c r="DL30" s="1468">
        <v>429</v>
      </c>
      <c r="DM30" s="814">
        <f t="shared" si="8"/>
        <v>0.24242424242424243</v>
      </c>
      <c r="DO30" s="1094"/>
      <c r="DP30" s="1094"/>
      <c r="DQ30" s="1469" t="s">
        <v>28</v>
      </c>
      <c r="DR30" s="1470">
        <v>52</v>
      </c>
      <c r="DS30" s="1470">
        <v>21</v>
      </c>
      <c r="DT30" s="1470">
        <v>0</v>
      </c>
      <c r="DU30" s="1470">
        <v>69</v>
      </c>
      <c r="DV30" s="1470">
        <v>47</v>
      </c>
      <c r="DW30" s="1470">
        <v>16</v>
      </c>
      <c r="DX30" s="1470">
        <v>29</v>
      </c>
      <c r="DY30" s="1470">
        <v>0</v>
      </c>
      <c r="DZ30" s="1470">
        <v>7</v>
      </c>
      <c r="EA30" s="1470">
        <v>12</v>
      </c>
      <c r="EB30" s="1470">
        <v>54</v>
      </c>
      <c r="EC30" s="1470">
        <v>104</v>
      </c>
      <c r="ED30" s="1470">
        <v>0</v>
      </c>
      <c r="EE30" s="1470">
        <v>2</v>
      </c>
      <c r="EF30" s="1470">
        <v>413</v>
      </c>
      <c r="EG30" s="1471">
        <f t="shared" si="9"/>
        <v>0.21008403361344538</v>
      </c>
      <c r="EI30" s="163"/>
      <c r="EJ30" s="163"/>
      <c r="EK30" s="80" t="s">
        <v>28</v>
      </c>
      <c r="EL30" s="80">
        <v>50</v>
      </c>
      <c r="EM30" s="80">
        <v>17</v>
      </c>
      <c r="EN30" s="80"/>
      <c r="EO30" s="80">
        <v>59</v>
      </c>
      <c r="EP30" s="80">
        <v>39</v>
      </c>
      <c r="EQ30" s="80">
        <v>14</v>
      </c>
      <c r="ER30" s="80">
        <v>19</v>
      </c>
      <c r="ES30" s="80"/>
      <c r="ET30" s="80">
        <v>5</v>
      </c>
      <c r="EU30" s="80">
        <v>13</v>
      </c>
      <c r="EV30" s="80">
        <v>55</v>
      </c>
      <c r="EW30" s="80">
        <v>99</v>
      </c>
      <c r="EX30" s="80"/>
      <c r="EY30" s="80">
        <v>1</v>
      </c>
      <c r="EZ30" s="80">
        <v>371</v>
      </c>
      <c r="FA30" s="1472">
        <f t="shared" si="1"/>
        <v>0.20952380952380953</v>
      </c>
      <c r="FB30" s="80"/>
      <c r="FC30" s="681"/>
      <c r="FD30" s="681"/>
      <c r="FE30" s="681" t="s">
        <v>28</v>
      </c>
      <c r="FF30" s="1473">
        <v>48</v>
      </c>
      <c r="FG30" s="1473">
        <v>14</v>
      </c>
      <c r="FH30" s="1473" t="s">
        <v>332</v>
      </c>
      <c r="FI30" s="1473">
        <v>61</v>
      </c>
      <c r="FJ30" s="1473">
        <v>43</v>
      </c>
      <c r="FK30" s="1473">
        <v>9</v>
      </c>
      <c r="FL30" s="1473">
        <v>38</v>
      </c>
      <c r="FM30" s="1473" t="s">
        <v>332</v>
      </c>
      <c r="FN30" s="1473">
        <v>8</v>
      </c>
      <c r="FO30" s="1473">
        <v>13</v>
      </c>
      <c r="FP30" s="1473">
        <v>86</v>
      </c>
      <c r="FQ30" s="1473" t="s">
        <v>332</v>
      </c>
      <c r="FR30" s="1473">
        <v>320</v>
      </c>
      <c r="FS30" s="1473">
        <f t="shared" si="2"/>
        <v>65</v>
      </c>
      <c r="FT30" s="1474">
        <f t="shared" si="3"/>
        <v>0.203125</v>
      </c>
      <c r="FU30" s="80"/>
      <c r="FV30" s="80"/>
    </row>
    <row r="31" spans="1:178">
      <c r="A31" s="73"/>
      <c r="B31" s="73"/>
      <c r="C31" s="73" t="s">
        <v>28</v>
      </c>
      <c r="D31" s="161">
        <v>118</v>
      </c>
      <c r="E31" s="161">
        <v>60</v>
      </c>
      <c r="F31" s="161"/>
      <c r="G31" s="161">
        <v>2</v>
      </c>
      <c r="H31" s="161">
        <v>86</v>
      </c>
      <c r="I31" s="161">
        <v>16</v>
      </c>
      <c r="J31" s="161">
        <v>57</v>
      </c>
      <c r="K31" s="161"/>
      <c r="L31" s="161"/>
      <c r="M31" s="161">
        <v>36</v>
      </c>
      <c r="N31" s="161">
        <v>18</v>
      </c>
      <c r="O31" s="161">
        <v>19</v>
      </c>
      <c r="P31" s="161">
        <v>149</v>
      </c>
      <c r="Q31" s="161">
        <v>0</v>
      </c>
      <c r="R31" s="161">
        <v>561</v>
      </c>
      <c r="S31" s="4680">
        <f t="shared" si="4"/>
        <v>0.22140221402214022</v>
      </c>
      <c r="U31" s="73"/>
      <c r="V31" s="73"/>
      <c r="W31" s="73" t="s">
        <v>28</v>
      </c>
      <c r="X31" s="161">
        <v>124</v>
      </c>
      <c r="Y31" s="161">
        <v>61</v>
      </c>
      <c r="Z31" s="161"/>
      <c r="AA31" s="161">
        <v>82</v>
      </c>
      <c r="AB31" s="161">
        <v>66</v>
      </c>
      <c r="AC31" s="161">
        <v>12</v>
      </c>
      <c r="AD31" s="161">
        <v>45</v>
      </c>
      <c r="AE31" s="161"/>
      <c r="AF31" s="161">
        <v>0</v>
      </c>
      <c r="AG31" s="161">
        <v>20</v>
      </c>
      <c r="AH31" s="161">
        <v>15</v>
      </c>
      <c r="AI31" s="161">
        <v>15</v>
      </c>
      <c r="AJ31" s="161">
        <v>139</v>
      </c>
      <c r="AK31" s="161">
        <v>0</v>
      </c>
      <c r="AL31" s="161">
        <v>579</v>
      </c>
      <c r="AM31" s="2585">
        <f t="shared" si="0"/>
        <v>0.16489361702127658</v>
      </c>
      <c r="AN31" s="3196"/>
      <c r="AO31" s="73"/>
      <c r="AP31" s="73"/>
      <c r="AQ31" s="73" t="s">
        <v>28</v>
      </c>
      <c r="AR31" s="161">
        <v>106</v>
      </c>
      <c r="AS31" s="161">
        <v>44</v>
      </c>
      <c r="AT31" s="161"/>
      <c r="AU31" s="161">
        <v>69</v>
      </c>
      <c r="AV31" s="161">
        <v>56</v>
      </c>
      <c r="AW31" s="161">
        <v>15</v>
      </c>
      <c r="AX31" s="161">
        <v>22</v>
      </c>
      <c r="AY31" s="161">
        <v>0</v>
      </c>
      <c r="AZ31" s="161">
        <v>0</v>
      </c>
      <c r="BA31" s="161">
        <v>16</v>
      </c>
      <c r="BB31" s="161">
        <v>15</v>
      </c>
      <c r="BC31" s="161">
        <v>6</v>
      </c>
      <c r="BD31" s="161">
        <v>127</v>
      </c>
      <c r="BE31" s="161">
        <v>0</v>
      </c>
      <c r="BF31" s="161">
        <v>476</v>
      </c>
      <c r="BG31" s="2585">
        <f t="shared" si="5"/>
        <v>0.18297872340425531</v>
      </c>
      <c r="BI31" s="2140"/>
      <c r="BJ31" s="2140"/>
      <c r="BK31" s="2148" t="s">
        <v>28</v>
      </c>
      <c r="BL31" s="2149">
        <v>91</v>
      </c>
      <c r="BM31" s="2149">
        <v>36</v>
      </c>
      <c r="BN31" s="2150"/>
      <c r="BO31" s="2149">
        <v>65</v>
      </c>
      <c r="BP31" s="2149">
        <v>62</v>
      </c>
      <c r="BQ31" s="2149">
        <v>7</v>
      </c>
      <c r="BR31" s="2149">
        <v>33</v>
      </c>
      <c r="BS31" s="2150"/>
      <c r="BT31" s="2149">
        <v>0</v>
      </c>
      <c r="BU31" s="2149">
        <v>19</v>
      </c>
      <c r="BV31" s="2149">
        <v>16</v>
      </c>
      <c r="BW31" s="2149">
        <v>1</v>
      </c>
      <c r="BX31" s="2149">
        <v>110</v>
      </c>
      <c r="BY31" s="2149">
        <v>0</v>
      </c>
      <c r="BZ31" s="2149">
        <v>440</v>
      </c>
      <c r="CA31" s="2151">
        <f t="shared" si="6"/>
        <v>0.19362186788154898</v>
      </c>
      <c r="CC31" s="1452"/>
      <c r="CD31" s="1452"/>
      <c r="CE31" s="1465" t="s">
        <v>28</v>
      </c>
      <c r="CF31" s="1466">
        <v>71</v>
      </c>
      <c r="CG31" s="1466">
        <v>25</v>
      </c>
      <c r="CH31" s="1452"/>
      <c r="CI31" s="1466">
        <v>73</v>
      </c>
      <c r="CJ31" s="1466">
        <v>59</v>
      </c>
      <c r="CK31" s="1466">
        <v>11</v>
      </c>
      <c r="CL31" s="1466">
        <v>26</v>
      </c>
      <c r="CM31" s="1452"/>
      <c r="CN31" s="1466">
        <v>0</v>
      </c>
      <c r="CO31" s="1466">
        <v>15</v>
      </c>
      <c r="CP31" s="1466">
        <v>8</v>
      </c>
      <c r="CQ31" s="1466">
        <v>128</v>
      </c>
      <c r="CR31" s="1452"/>
      <c r="CS31" s="1466">
        <v>416</v>
      </c>
      <c r="CT31" s="814">
        <f t="shared" si="7"/>
        <v>0.1875</v>
      </c>
      <c r="CV31" s="929"/>
      <c r="CW31" s="929"/>
      <c r="CX31" s="1467" t="s">
        <v>28</v>
      </c>
      <c r="CY31" s="1468">
        <v>61</v>
      </c>
      <c r="CZ31" s="1468">
        <v>25</v>
      </c>
      <c r="DA31" s="1468">
        <v>0</v>
      </c>
      <c r="DB31" s="1468">
        <v>70</v>
      </c>
      <c r="DC31" s="1468">
        <v>54</v>
      </c>
      <c r="DD31" s="1468">
        <v>12</v>
      </c>
      <c r="DE31" s="1468">
        <v>30</v>
      </c>
      <c r="DF31" s="929"/>
      <c r="DG31" s="929"/>
      <c r="DH31" s="1468">
        <v>5</v>
      </c>
      <c r="DI31" s="1468">
        <v>14</v>
      </c>
      <c r="DJ31" s="1468">
        <v>108</v>
      </c>
      <c r="DK31" s="929"/>
      <c r="DL31" s="1468">
        <v>379</v>
      </c>
      <c r="DM31" s="814">
        <f t="shared" si="8"/>
        <v>0.21108179419525067</v>
      </c>
      <c r="DO31" s="1094"/>
      <c r="DP31" s="1094"/>
      <c r="DQ31" s="1469" t="s">
        <v>29</v>
      </c>
      <c r="DR31" s="1470">
        <v>51</v>
      </c>
      <c r="DS31" s="1470">
        <v>9</v>
      </c>
      <c r="DT31" s="1470">
        <v>0</v>
      </c>
      <c r="DU31" s="1470">
        <v>73</v>
      </c>
      <c r="DV31" s="1470">
        <v>39</v>
      </c>
      <c r="DW31" s="1470">
        <v>2</v>
      </c>
      <c r="DX31" s="1470">
        <v>29</v>
      </c>
      <c r="DY31" s="1470">
        <v>0</v>
      </c>
      <c r="DZ31" s="1470">
        <v>3</v>
      </c>
      <c r="EA31" s="1470">
        <v>4</v>
      </c>
      <c r="EB31" s="1470">
        <v>77</v>
      </c>
      <c r="EC31" s="1470">
        <v>77</v>
      </c>
      <c r="ED31" s="1470">
        <v>0</v>
      </c>
      <c r="EE31" s="1470">
        <v>1</v>
      </c>
      <c r="EF31" s="1470">
        <v>365</v>
      </c>
      <c r="EG31" s="1471">
        <f t="shared" si="9"/>
        <v>0.156794425087108</v>
      </c>
      <c r="EI31" s="163"/>
      <c r="EJ31" s="163"/>
      <c r="EK31" s="80" t="s">
        <v>29</v>
      </c>
      <c r="EL31" s="80">
        <v>40</v>
      </c>
      <c r="EM31" s="80">
        <v>12</v>
      </c>
      <c r="EN31" s="80"/>
      <c r="EO31" s="80">
        <v>67</v>
      </c>
      <c r="EP31" s="80">
        <v>35</v>
      </c>
      <c r="EQ31" s="80">
        <v>3</v>
      </c>
      <c r="ER31" s="80">
        <v>23</v>
      </c>
      <c r="ES31" s="80"/>
      <c r="ET31" s="80">
        <v>4</v>
      </c>
      <c r="EU31" s="80">
        <v>4</v>
      </c>
      <c r="EV31" s="80">
        <v>71</v>
      </c>
      <c r="EW31" s="80">
        <v>82</v>
      </c>
      <c r="EX31" s="80"/>
      <c r="EY31" s="80">
        <v>1</v>
      </c>
      <c r="EZ31" s="80">
        <v>342</v>
      </c>
      <c r="FA31" s="1472">
        <f t="shared" si="1"/>
        <v>0.15555555555555556</v>
      </c>
      <c r="FB31" s="80"/>
      <c r="FC31" s="681"/>
      <c r="FD31" s="681"/>
      <c r="FE31" s="681" t="s">
        <v>29</v>
      </c>
      <c r="FF31" s="1473">
        <v>37</v>
      </c>
      <c r="FG31" s="1473">
        <v>15</v>
      </c>
      <c r="FH31" s="1473" t="s">
        <v>332</v>
      </c>
      <c r="FI31" s="1473">
        <v>63</v>
      </c>
      <c r="FJ31" s="1473">
        <v>34</v>
      </c>
      <c r="FK31" s="1473">
        <v>4</v>
      </c>
      <c r="FL31" s="1473">
        <v>43</v>
      </c>
      <c r="FM31" s="1473" t="s">
        <v>332</v>
      </c>
      <c r="FN31" s="1473">
        <v>6</v>
      </c>
      <c r="FO31" s="1473">
        <v>4</v>
      </c>
      <c r="FP31" s="1473">
        <v>79</v>
      </c>
      <c r="FQ31" s="1473" t="s">
        <v>332</v>
      </c>
      <c r="FR31" s="1473">
        <v>285</v>
      </c>
      <c r="FS31" s="1473">
        <f t="shared" si="2"/>
        <v>42</v>
      </c>
      <c r="FT31" s="1474">
        <f t="shared" si="3"/>
        <v>0.14736842105263157</v>
      </c>
      <c r="FU31" s="80"/>
      <c r="FV31" s="80"/>
    </row>
    <row r="32" spans="1:178">
      <c r="A32" s="73"/>
      <c r="B32" s="73"/>
      <c r="C32" s="73" t="s">
        <v>29</v>
      </c>
      <c r="D32" s="161">
        <v>141</v>
      </c>
      <c r="E32" s="161">
        <v>32</v>
      </c>
      <c r="F32" s="161"/>
      <c r="G32" s="161">
        <v>3</v>
      </c>
      <c r="H32" s="161">
        <v>98</v>
      </c>
      <c r="I32" s="161">
        <v>10</v>
      </c>
      <c r="J32" s="161">
        <v>34</v>
      </c>
      <c r="K32" s="161"/>
      <c r="L32" s="161"/>
      <c r="M32" s="161">
        <v>27</v>
      </c>
      <c r="N32" s="161">
        <v>8</v>
      </c>
      <c r="O32" s="161">
        <v>24</v>
      </c>
      <c r="P32" s="161">
        <v>155</v>
      </c>
      <c r="Q32" s="161">
        <v>0</v>
      </c>
      <c r="R32" s="161">
        <v>532</v>
      </c>
      <c r="S32" s="4680">
        <f t="shared" si="4"/>
        <v>0.2283464566929134</v>
      </c>
      <c r="U32" s="73"/>
      <c r="V32" s="73"/>
      <c r="W32" s="73" t="s">
        <v>29</v>
      </c>
      <c r="X32" s="161">
        <v>139</v>
      </c>
      <c r="Y32" s="161">
        <v>53</v>
      </c>
      <c r="Z32" s="161"/>
      <c r="AA32" s="161">
        <v>68</v>
      </c>
      <c r="AB32" s="161">
        <v>82</v>
      </c>
      <c r="AC32" s="161">
        <v>9</v>
      </c>
      <c r="AD32" s="161">
        <v>29</v>
      </c>
      <c r="AE32" s="161"/>
      <c r="AF32" s="161">
        <v>0</v>
      </c>
      <c r="AG32" s="161">
        <v>11</v>
      </c>
      <c r="AH32" s="161">
        <v>8</v>
      </c>
      <c r="AI32" s="161">
        <v>16</v>
      </c>
      <c r="AJ32" s="161">
        <v>121</v>
      </c>
      <c r="AK32" s="161">
        <v>0</v>
      </c>
      <c r="AL32" s="161">
        <v>536</v>
      </c>
      <c r="AM32" s="2585">
        <f t="shared" si="0"/>
        <v>0.19038461538461537</v>
      </c>
      <c r="AN32" s="3196"/>
      <c r="AO32" s="73"/>
      <c r="AP32" s="73"/>
      <c r="AQ32" s="73" t="s">
        <v>29</v>
      </c>
      <c r="AR32" s="161">
        <v>116</v>
      </c>
      <c r="AS32" s="161">
        <v>64</v>
      </c>
      <c r="AT32" s="161"/>
      <c r="AU32" s="161">
        <v>61</v>
      </c>
      <c r="AV32" s="161">
        <v>64</v>
      </c>
      <c r="AW32" s="161">
        <v>6</v>
      </c>
      <c r="AX32" s="161">
        <v>30</v>
      </c>
      <c r="AY32" s="161">
        <v>3</v>
      </c>
      <c r="AZ32" s="161">
        <v>0</v>
      </c>
      <c r="BA32" s="161">
        <v>16</v>
      </c>
      <c r="BB32" s="161">
        <v>11</v>
      </c>
      <c r="BC32" s="161">
        <v>5</v>
      </c>
      <c r="BD32" s="161">
        <v>93</v>
      </c>
      <c r="BE32" s="161">
        <v>0</v>
      </c>
      <c r="BF32" s="161">
        <v>469</v>
      </c>
      <c r="BG32" s="2585">
        <f t="shared" si="5"/>
        <v>0.17456896551724138</v>
      </c>
      <c r="BI32" s="2140"/>
      <c r="BJ32" s="2140"/>
      <c r="BK32" s="2148" t="s">
        <v>29</v>
      </c>
      <c r="BL32" s="2149">
        <v>101</v>
      </c>
      <c r="BM32" s="2149">
        <v>41</v>
      </c>
      <c r="BN32" s="2150"/>
      <c r="BO32" s="2149">
        <v>54</v>
      </c>
      <c r="BP32" s="2149">
        <v>49</v>
      </c>
      <c r="BQ32" s="2149">
        <v>2</v>
      </c>
      <c r="BR32" s="2149">
        <v>22</v>
      </c>
      <c r="BS32" s="2150"/>
      <c r="BT32" s="2149">
        <v>0</v>
      </c>
      <c r="BU32" s="2149">
        <v>10</v>
      </c>
      <c r="BV32" s="2149">
        <v>11</v>
      </c>
      <c r="BW32" s="2149">
        <v>0</v>
      </c>
      <c r="BX32" s="2149">
        <v>88</v>
      </c>
      <c r="BY32" s="2149">
        <v>0</v>
      </c>
      <c r="BZ32" s="2149">
        <v>378</v>
      </c>
      <c r="CA32" s="2151">
        <f t="shared" si="6"/>
        <v>0.16402116402116401</v>
      </c>
      <c r="CC32" s="1452"/>
      <c r="CD32" s="1452"/>
      <c r="CE32" s="1465" t="s">
        <v>29</v>
      </c>
      <c r="CF32" s="1466">
        <v>76</v>
      </c>
      <c r="CG32" s="1466">
        <v>24</v>
      </c>
      <c r="CH32" s="1452"/>
      <c r="CI32" s="1466">
        <v>65</v>
      </c>
      <c r="CJ32" s="1466">
        <v>37</v>
      </c>
      <c r="CK32" s="1466">
        <v>0</v>
      </c>
      <c r="CL32" s="1466">
        <v>17</v>
      </c>
      <c r="CM32" s="1452"/>
      <c r="CN32" s="1466">
        <v>0</v>
      </c>
      <c r="CO32" s="1466">
        <v>10</v>
      </c>
      <c r="CP32" s="1466">
        <v>11</v>
      </c>
      <c r="CQ32" s="1466">
        <v>100</v>
      </c>
      <c r="CR32" s="1452"/>
      <c r="CS32" s="1466">
        <v>340</v>
      </c>
      <c r="CT32" s="814">
        <f t="shared" si="7"/>
        <v>0.14117647058823529</v>
      </c>
      <c r="CV32" s="929"/>
      <c r="CW32" s="929"/>
      <c r="CX32" s="1467" t="s">
        <v>29</v>
      </c>
      <c r="CY32" s="1468">
        <v>64</v>
      </c>
      <c r="CZ32" s="1468">
        <v>17</v>
      </c>
      <c r="DA32" s="1468">
        <v>0</v>
      </c>
      <c r="DB32" s="1468">
        <v>54</v>
      </c>
      <c r="DC32" s="1468">
        <v>30</v>
      </c>
      <c r="DD32" s="1468">
        <v>4</v>
      </c>
      <c r="DE32" s="1468">
        <v>19</v>
      </c>
      <c r="DF32" s="929"/>
      <c r="DG32" s="929"/>
      <c r="DH32" s="1468">
        <v>3</v>
      </c>
      <c r="DI32" s="1468">
        <v>4</v>
      </c>
      <c r="DJ32" s="1468">
        <v>83</v>
      </c>
      <c r="DK32" s="929"/>
      <c r="DL32" s="1468">
        <v>278</v>
      </c>
      <c r="DM32" s="814">
        <f t="shared" si="8"/>
        <v>0.1366906474820144</v>
      </c>
      <c r="DO32" s="1094"/>
      <c r="DP32" s="1094"/>
      <c r="DQ32" s="1469" t="s">
        <v>13</v>
      </c>
      <c r="DR32" s="1470">
        <v>129</v>
      </c>
      <c r="DS32" s="1470">
        <v>46</v>
      </c>
      <c r="DT32" s="1470">
        <v>0</v>
      </c>
      <c r="DU32" s="1470">
        <v>130</v>
      </c>
      <c r="DV32" s="1470">
        <v>110</v>
      </c>
      <c r="DW32" s="1470">
        <v>34</v>
      </c>
      <c r="DX32" s="1470">
        <v>83</v>
      </c>
      <c r="DY32" s="1470">
        <v>0</v>
      </c>
      <c r="DZ32" s="1470">
        <v>9</v>
      </c>
      <c r="EA32" s="1470">
        <v>22</v>
      </c>
      <c r="EB32" s="1470">
        <v>247</v>
      </c>
      <c r="EC32" s="1470">
        <v>246</v>
      </c>
      <c r="ED32" s="1470">
        <v>0</v>
      </c>
      <c r="EE32" s="1470">
        <v>2</v>
      </c>
      <c r="EF32" s="1470">
        <v>1058</v>
      </c>
      <c r="EG32" s="1471">
        <f t="shared" si="9"/>
        <v>0.20519159456118666</v>
      </c>
      <c r="EI32" s="163"/>
      <c r="EJ32" s="163"/>
      <c r="EK32" s="80" t="s">
        <v>13</v>
      </c>
      <c r="EL32" s="80">
        <v>125</v>
      </c>
      <c r="EM32" s="80">
        <v>48</v>
      </c>
      <c r="EN32" s="80"/>
      <c r="EO32" s="80">
        <v>128</v>
      </c>
      <c r="EP32" s="80">
        <v>115</v>
      </c>
      <c r="EQ32" s="80">
        <v>29</v>
      </c>
      <c r="ER32" s="80">
        <v>94</v>
      </c>
      <c r="ES32" s="80"/>
      <c r="ET32" s="80">
        <v>9</v>
      </c>
      <c r="EU32" s="80">
        <v>15</v>
      </c>
      <c r="EV32" s="80">
        <v>235</v>
      </c>
      <c r="EW32" s="80">
        <v>265</v>
      </c>
      <c r="EX32" s="80"/>
      <c r="EY32" s="80">
        <v>2</v>
      </c>
      <c r="EZ32" s="80">
        <v>1065</v>
      </c>
      <c r="FA32" s="1472">
        <f t="shared" si="1"/>
        <v>0.19202898550724637</v>
      </c>
      <c r="FB32" s="80"/>
      <c r="FC32" s="681"/>
      <c r="FD32" s="681"/>
      <c r="FE32" s="681" t="s">
        <v>13</v>
      </c>
      <c r="FF32" s="1473">
        <v>117</v>
      </c>
      <c r="FG32" s="1473">
        <v>42</v>
      </c>
      <c r="FH32" s="1473" t="s">
        <v>332</v>
      </c>
      <c r="FI32" s="1473">
        <v>131</v>
      </c>
      <c r="FJ32" s="1473">
        <v>123</v>
      </c>
      <c r="FK32" s="1473">
        <v>27</v>
      </c>
      <c r="FL32" s="1473">
        <v>107</v>
      </c>
      <c r="FM32" s="1473" t="s">
        <v>332</v>
      </c>
      <c r="FN32" s="1473">
        <v>19</v>
      </c>
      <c r="FO32" s="1473">
        <v>26</v>
      </c>
      <c r="FP32" s="1473">
        <v>293</v>
      </c>
      <c r="FQ32" s="1473" t="s">
        <v>332</v>
      </c>
      <c r="FR32" s="1473">
        <v>885</v>
      </c>
      <c r="FS32" s="1473">
        <f t="shared" si="2"/>
        <v>176</v>
      </c>
      <c r="FT32" s="1474">
        <f t="shared" si="3"/>
        <v>0.19887005649717515</v>
      </c>
      <c r="FU32" s="80"/>
      <c r="FV32" s="80"/>
    </row>
    <row r="33" spans="1:178">
      <c r="A33" s="73"/>
      <c r="B33" s="73"/>
      <c r="C33" s="73" t="s">
        <v>13</v>
      </c>
      <c r="D33" s="161">
        <v>137</v>
      </c>
      <c r="E33" s="161">
        <v>66</v>
      </c>
      <c r="F33" s="161"/>
      <c r="G33" s="161">
        <v>7</v>
      </c>
      <c r="H33" s="161">
        <v>94</v>
      </c>
      <c r="I33" s="161">
        <v>13</v>
      </c>
      <c r="J33" s="161">
        <v>57</v>
      </c>
      <c r="K33" s="161"/>
      <c r="L33" s="161"/>
      <c r="M33" s="161">
        <v>23</v>
      </c>
      <c r="N33" s="161">
        <v>19</v>
      </c>
      <c r="O33" s="161">
        <v>20</v>
      </c>
      <c r="P33" s="161">
        <v>144</v>
      </c>
      <c r="Q33" s="161">
        <v>0</v>
      </c>
      <c r="R33" s="161">
        <v>580</v>
      </c>
      <c r="S33" s="4680">
        <f t="shared" si="4"/>
        <v>0.22500000000000001</v>
      </c>
      <c r="U33" s="73"/>
      <c r="V33" s="73"/>
      <c r="W33" s="73" t="s">
        <v>13</v>
      </c>
      <c r="X33" s="161">
        <v>141</v>
      </c>
      <c r="Y33" s="161">
        <v>77</v>
      </c>
      <c r="Z33" s="161"/>
      <c r="AA33" s="161">
        <v>77</v>
      </c>
      <c r="AB33" s="161">
        <v>96</v>
      </c>
      <c r="AC33" s="161">
        <v>24</v>
      </c>
      <c r="AD33" s="161">
        <v>50</v>
      </c>
      <c r="AE33" s="161"/>
      <c r="AF33" s="161">
        <v>0</v>
      </c>
      <c r="AG33" s="161">
        <v>21</v>
      </c>
      <c r="AH33" s="161">
        <v>10</v>
      </c>
      <c r="AI33" s="161">
        <v>14</v>
      </c>
      <c r="AJ33" s="161">
        <v>139</v>
      </c>
      <c r="AK33" s="161">
        <v>0</v>
      </c>
      <c r="AL33" s="161">
        <v>649</v>
      </c>
      <c r="AM33" s="2585">
        <f t="shared" si="0"/>
        <v>0.20472440944881889</v>
      </c>
      <c r="AN33" s="3196"/>
      <c r="AO33" s="73"/>
      <c r="AP33" s="73"/>
      <c r="AQ33" s="73" t="s">
        <v>13</v>
      </c>
      <c r="AR33" s="161">
        <v>126</v>
      </c>
      <c r="AS33" s="161">
        <v>67</v>
      </c>
      <c r="AT33" s="161"/>
      <c r="AU33" s="161">
        <v>79</v>
      </c>
      <c r="AV33" s="161">
        <v>107</v>
      </c>
      <c r="AW33" s="161">
        <v>19</v>
      </c>
      <c r="AX33" s="161">
        <v>55</v>
      </c>
      <c r="AY33" s="161">
        <v>0</v>
      </c>
      <c r="AZ33" s="161">
        <v>0</v>
      </c>
      <c r="BA33" s="161">
        <v>25</v>
      </c>
      <c r="BB33" s="161">
        <v>21</v>
      </c>
      <c r="BC33" s="161">
        <v>1</v>
      </c>
      <c r="BD33" s="161">
        <v>141</v>
      </c>
      <c r="BE33" s="161">
        <v>0</v>
      </c>
      <c r="BF33" s="161">
        <v>641</v>
      </c>
      <c r="BG33" s="2585">
        <f t="shared" si="5"/>
        <v>0.22968749999999999</v>
      </c>
      <c r="BI33" s="2140"/>
      <c r="BJ33" s="2140"/>
      <c r="BK33" s="2148" t="s">
        <v>13</v>
      </c>
      <c r="BL33" s="2149">
        <v>132</v>
      </c>
      <c r="BM33" s="2149">
        <v>54</v>
      </c>
      <c r="BN33" s="2150"/>
      <c r="BO33" s="2149">
        <v>84</v>
      </c>
      <c r="BP33" s="2149">
        <v>114</v>
      </c>
      <c r="BQ33" s="2149">
        <v>19</v>
      </c>
      <c r="BR33" s="2149">
        <v>60</v>
      </c>
      <c r="BS33" s="2150"/>
      <c r="BT33" s="2149">
        <v>0</v>
      </c>
      <c r="BU33" s="2149">
        <v>17</v>
      </c>
      <c r="BV33" s="2149">
        <v>15</v>
      </c>
      <c r="BW33" s="2149">
        <v>0</v>
      </c>
      <c r="BX33" s="2149">
        <v>153</v>
      </c>
      <c r="BY33" s="2149">
        <v>1</v>
      </c>
      <c r="BZ33" s="2149">
        <v>649</v>
      </c>
      <c r="CA33" s="2151">
        <f t="shared" si="6"/>
        <v>0.22839506172839505</v>
      </c>
      <c r="CC33" s="1452"/>
      <c r="CD33" s="1452"/>
      <c r="CE33" s="1465" t="s">
        <v>13</v>
      </c>
      <c r="CF33" s="1466">
        <v>129</v>
      </c>
      <c r="CG33" s="1466">
        <v>55</v>
      </c>
      <c r="CH33" s="1452"/>
      <c r="CI33" s="1466">
        <v>118</v>
      </c>
      <c r="CJ33" s="1466">
        <v>102</v>
      </c>
      <c r="CK33" s="1466">
        <v>26</v>
      </c>
      <c r="CL33" s="1466">
        <v>76</v>
      </c>
      <c r="CM33" s="1452"/>
      <c r="CN33" s="1466">
        <v>0</v>
      </c>
      <c r="CO33" s="1466">
        <v>25</v>
      </c>
      <c r="CP33" s="1466">
        <v>23</v>
      </c>
      <c r="CQ33" s="1466">
        <v>205</v>
      </c>
      <c r="CR33" s="1452"/>
      <c r="CS33" s="1466">
        <v>759</v>
      </c>
      <c r="CT33" s="814">
        <f t="shared" si="7"/>
        <v>0.19894598155467721</v>
      </c>
      <c r="CV33" s="929"/>
      <c r="CW33" s="929"/>
      <c r="CX33" s="1467" t="s">
        <v>13</v>
      </c>
      <c r="CY33" s="1468">
        <v>125</v>
      </c>
      <c r="CZ33" s="1468">
        <v>70</v>
      </c>
      <c r="DA33" s="1468">
        <v>1</v>
      </c>
      <c r="DB33" s="1468">
        <v>126</v>
      </c>
      <c r="DC33" s="1468">
        <v>104</v>
      </c>
      <c r="DD33" s="1468">
        <v>30</v>
      </c>
      <c r="DE33" s="1468">
        <v>73</v>
      </c>
      <c r="DF33" s="929"/>
      <c r="DG33" s="929"/>
      <c r="DH33" s="1468">
        <v>6</v>
      </c>
      <c r="DI33" s="1468">
        <v>12</v>
      </c>
      <c r="DJ33" s="1468">
        <v>227</v>
      </c>
      <c r="DK33" s="929"/>
      <c r="DL33" s="1468">
        <v>774</v>
      </c>
      <c r="DM33" s="814">
        <f t="shared" si="8"/>
        <v>0.18863049095607234</v>
      </c>
      <c r="DO33" s="1094"/>
      <c r="DP33" s="1094"/>
      <c r="DQ33" s="1469" t="s">
        <v>30</v>
      </c>
      <c r="DR33" s="1470">
        <v>99</v>
      </c>
      <c r="DS33" s="1470">
        <v>36</v>
      </c>
      <c r="DT33" s="1470">
        <v>0</v>
      </c>
      <c r="DU33" s="1470">
        <v>95</v>
      </c>
      <c r="DV33" s="1470">
        <v>51</v>
      </c>
      <c r="DW33" s="1470">
        <v>4</v>
      </c>
      <c r="DX33" s="1470">
        <v>63</v>
      </c>
      <c r="DY33" s="1470">
        <v>0</v>
      </c>
      <c r="DZ33" s="1470">
        <v>9</v>
      </c>
      <c r="EA33" s="1470">
        <v>6</v>
      </c>
      <c r="EB33" s="1470">
        <v>153</v>
      </c>
      <c r="EC33" s="1470">
        <v>196</v>
      </c>
      <c r="ED33" s="1470">
        <v>0</v>
      </c>
      <c r="EE33" s="1470">
        <v>3</v>
      </c>
      <c r="EF33" s="1470">
        <v>715</v>
      </c>
      <c r="EG33" s="1471">
        <f t="shared" si="9"/>
        <v>0.10912343470483005</v>
      </c>
      <c r="EI33" s="163"/>
      <c r="EJ33" s="163"/>
      <c r="EK33" s="80" t="s">
        <v>30</v>
      </c>
      <c r="EL33" s="80">
        <v>86</v>
      </c>
      <c r="EM33" s="80">
        <v>39</v>
      </c>
      <c r="EN33" s="80"/>
      <c r="EO33" s="80">
        <v>80</v>
      </c>
      <c r="EP33" s="80">
        <v>45</v>
      </c>
      <c r="EQ33" s="80">
        <v>4</v>
      </c>
      <c r="ER33" s="80">
        <v>54</v>
      </c>
      <c r="ES33" s="80"/>
      <c r="ET33" s="80">
        <v>7</v>
      </c>
      <c r="EU33" s="80">
        <v>5</v>
      </c>
      <c r="EV33" s="80">
        <v>140</v>
      </c>
      <c r="EW33" s="80">
        <v>207</v>
      </c>
      <c r="EX33" s="80"/>
      <c r="EY33" s="80">
        <v>3</v>
      </c>
      <c r="EZ33" s="80">
        <v>670</v>
      </c>
      <c r="FA33" s="1472">
        <f t="shared" si="1"/>
        <v>0.10246679316888045</v>
      </c>
      <c r="FB33" s="80"/>
      <c r="FC33" s="681"/>
      <c r="FD33" s="681"/>
      <c r="FE33" s="681" t="s">
        <v>30</v>
      </c>
      <c r="FF33" s="1473">
        <v>80</v>
      </c>
      <c r="FG33" s="1473">
        <v>36</v>
      </c>
      <c r="FH33" s="1473" t="s">
        <v>332</v>
      </c>
      <c r="FI33" s="1473">
        <v>89</v>
      </c>
      <c r="FJ33" s="1473">
        <v>42</v>
      </c>
      <c r="FK33" s="1473">
        <v>1</v>
      </c>
      <c r="FL33" s="1473">
        <v>67</v>
      </c>
      <c r="FM33" s="1473" t="s">
        <v>332</v>
      </c>
      <c r="FN33" s="1473">
        <v>18</v>
      </c>
      <c r="FO33" s="1473">
        <v>8</v>
      </c>
      <c r="FP33" s="1473">
        <v>230</v>
      </c>
      <c r="FQ33" s="1473" t="s">
        <v>332</v>
      </c>
      <c r="FR33" s="1473">
        <v>571</v>
      </c>
      <c r="FS33" s="1473">
        <f t="shared" si="2"/>
        <v>51</v>
      </c>
      <c r="FT33" s="1474">
        <f t="shared" si="3"/>
        <v>8.9316987740805598E-2</v>
      </c>
      <c r="FU33" s="80"/>
      <c r="FV33" s="80"/>
    </row>
    <row r="34" spans="1:178">
      <c r="A34" s="73"/>
      <c r="B34" s="73"/>
      <c r="C34" s="73" t="s">
        <v>30</v>
      </c>
      <c r="D34" s="161">
        <v>108</v>
      </c>
      <c r="E34" s="161">
        <v>40</v>
      </c>
      <c r="F34" s="161"/>
      <c r="G34" s="161">
        <v>4</v>
      </c>
      <c r="H34" s="161">
        <v>86</v>
      </c>
      <c r="I34" s="161">
        <v>3</v>
      </c>
      <c r="J34" s="161">
        <v>37</v>
      </c>
      <c r="K34" s="161"/>
      <c r="L34" s="161"/>
      <c r="M34" s="161">
        <v>16</v>
      </c>
      <c r="N34" s="161">
        <v>5</v>
      </c>
      <c r="O34" s="161">
        <v>16</v>
      </c>
      <c r="P34" s="161">
        <v>92</v>
      </c>
      <c r="Q34" s="161">
        <v>0</v>
      </c>
      <c r="R34" s="161">
        <v>407</v>
      </c>
      <c r="S34" s="4680">
        <f t="shared" si="4"/>
        <v>0.24040920716112532</v>
      </c>
      <c r="U34" s="73"/>
      <c r="V34" s="73"/>
      <c r="W34" s="73" t="s">
        <v>30</v>
      </c>
      <c r="X34" s="161">
        <v>107</v>
      </c>
      <c r="Y34" s="161">
        <v>31</v>
      </c>
      <c r="Z34" s="161"/>
      <c r="AA34" s="161">
        <v>53</v>
      </c>
      <c r="AB34" s="161">
        <v>72</v>
      </c>
      <c r="AC34" s="161">
        <v>4</v>
      </c>
      <c r="AD34" s="161">
        <v>30</v>
      </c>
      <c r="AE34" s="161"/>
      <c r="AF34" s="161">
        <v>0</v>
      </c>
      <c r="AG34" s="161">
        <v>17</v>
      </c>
      <c r="AH34" s="161">
        <v>10</v>
      </c>
      <c r="AI34" s="161">
        <v>7</v>
      </c>
      <c r="AJ34" s="161">
        <v>95</v>
      </c>
      <c r="AK34" s="161">
        <v>1</v>
      </c>
      <c r="AL34" s="161">
        <v>427</v>
      </c>
      <c r="AM34" s="2585">
        <f t="shared" si="0"/>
        <v>0.2052505966587112</v>
      </c>
      <c r="AN34" s="3196"/>
      <c r="AO34" s="73"/>
      <c r="AP34" s="73"/>
      <c r="AQ34" s="73" t="s">
        <v>30</v>
      </c>
      <c r="AR34" s="161">
        <v>90</v>
      </c>
      <c r="AS34" s="161">
        <v>37</v>
      </c>
      <c r="AT34" s="161"/>
      <c r="AU34" s="161">
        <v>59</v>
      </c>
      <c r="AV34" s="161">
        <v>75</v>
      </c>
      <c r="AW34" s="161">
        <v>5</v>
      </c>
      <c r="AX34" s="161">
        <v>37</v>
      </c>
      <c r="AY34" s="161">
        <v>0</v>
      </c>
      <c r="AZ34" s="161">
        <v>0</v>
      </c>
      <c r="BA34" s="161">
        <v>13</v>
      </c>
      <c r="BB34" s="161">
        <v>9</v>
      </c>
      <c r="BC34" s="161">
        <v>0</v>
      </c>
      <c r="BD34" s="161">
        <v>85</v>
      </c>
      <c r="BE34" s="161">
        <v>1</v>
      </c>
      <c r="BF34" s="161">
        <v>411</v>
      </c>
      <c r="BG34" s="2585">
        <f t="shared" si="5"/>
        <v>0.21707317073170732</v>
      </c>
      <c r="BI34" s="2140"/>
      <c r="BJ34" s="2140"/>
      <c r="BK34" s="2148" t="s">
        <v>30</v>
      </c>
      <c r="BL34" s="2149">
        <v>88</v>
      </c>
      <c r="BM34" s="2149">
        <v>29</v>
      </c>
      <c r="BN34" s="2150"/>
      <c r="BO34" s="2149">
        <v>60</v>
      </c>
      <c r="BP34" s="2149">
        <v>81</v>
      </c>
      <c r="BQ34" s="2149">
        <v>5</v>
      </c>
      <c r="BR34" s="2149">
        <v>25</v>
      </c>
      <c r="BS34" s="2150"/>
      <c r="BT34" s="2149">
        <v>0</v>
      </c>
      <c r="BU34" s="2149">
        <v>11</v>
      </c>
      <c r="BV34" s="2149">
        <v>4</v>
      </c>
      <c r="BW34" s="2149">
        <v>0</v>
      </c>
      <c r="BX34" s="2149">
        <v>100</v>
      </c>
      <c r="BY34" s="2149">
        <v>1</v>
      </c>
      <c r="BZ34" s="2149">
        <v>404</v>
      </c>
      <c r="CA34" s="2151">
        <f t="shared" si="6"/>
        <v>0.22332506203473945</v>
      </c>
      <c r="CC34" s="1452"/>
      <c r="CD34" s="1452"/>
      <c r="CE34" s="1465" t="s">
        <v>30</v>
      </c>
      <c r="CF34" s="1466">
        <v>80</v>
      </c>
      <c r="CG34" s="1466">
        <v>38</v>
      </c>
      <c r="CH34" s="1452"/>
      <c r="CI34" s="1466">
        <v>94</v>
      </c>
      <c r="CJ34" s="1466">
        <v>78</v>
      </c>
      <c r="CK34" s="1466">
        <v>8</v>
      </c>
      <c r="CL34" s="1466">
        <v>55</v>
      </c>
      <c r="CM34" s="1452"/>
      <c r="CN34" s="1466">
        <v>0</v>
      </c>
      <c r="CO34" s="1466">
        <v>9</v>
      </c>
      <c r="CP34" s="1466">
        <v>8</v>
      </c>
      <c r="CQ34" s="1466">
        <v>158</v>
      </c>
      <c r="CR34" s="1452"/>
      <c r="CS34" s="1466">
        <v>528</v>
      </c>
      <c r="CT34" s="814">
        <f t="shared" si="7"/>
        <v>0.17803030303030304</v>
      </c>
      <c r="CV34" s="929"/>
      <c r="CW34" s="929"/>
      <c r="CX34" s="1467" t="s">
        <v>30</v>
      </c>
      <c r="CY34" s="1468">
        <v>95</v>
      </c>
      <c r="CZ34" s="1468">
        <v>43</v>
      </c>
      <c r="DA34" s="1468">
        <v>0</v>
      </c>
      <c r="DB34" s="1468">
        <v>98</v>
      </c>
      <c r="DC34" s="1468">
        <v>62</v>
      </c>
      <c r="DD34" s="1468">
        <v>11</v>
      </c>
      <c r="DE34" s="1468">
        <v>59</v>
      </c>
      <c r="DF34" s="929"/>
      <c r="DG34" s="929"/>
      <c r="DH34" s="1468">
        <v>5</v>
      </c>
      <c r="DI34" s="1468">
        <v>7</v>
      </c>
      <c r="DJ34" s="1468">
        <v>171</v>
      </c>
      <c r="DK34" s="929"/>
      <c r="DL34" s="1468">
        <v>551</v>
      </c>
      <c r="DM34" s="814">
        <f t="shared" si="8"/>
        <v>0.14519056261343014</v>
      </c>
      <c r="DO34" s="1094"/>
      <c r="DP34" s="1094"/>
      <c r="DQ34" s="1469" t="s">
        <v>31</v>
      </c>
      <c r="DR34" s="1470">
        <v>31</v>
      </c>
      <c r="DS34" s="1470">
        <v>8</v>
      </c>
      <c r="DT34" s="1470">
        <v>0</v>
      </c>
      <c r="DU34" s="1470">
        <v>24</v>
      </c>
      <c r="DV34" s="1470">
        <v>28</v>
      </c>
      <c r="DW34" s="1470">
        <v>8</v>
      </c>
      <c r="DX34" s="1470">
        <v>15</v>
      </c>
      <c r="DY34" s="1470">
        <v>0</v>
      </c>
      <c r="DZ34" s="1470">
        <v>0</v>
      </c>
      <c r="EA34" s="1470">
        <v>4</v>
      </c>
      <c r="EB34" s="1470">
        <v>37</v>
      </c>
      <c r="EC34" s="1470">
        <v>48</v>
      </c>
      <c r="ED34" s="1470">
        <v>0</v>
      </c>
      <c r="EE34" s="1470">
        <v>0</v>
      </c>
      <c r="EF34" s="1470">
        <v>203</v>
      </c>
      <c r="EG34" s="1471">
        <f t="shared" si="9"/>
        <v>0.24096385542168675</v>
      </c>
      <c r="EI34" s="163"/>
      <c r="EJ34" s="163"/>
      <c r="EK34" s="80" t="s">
        <v>31</v>
      </c>
      <c r="EL34" s="80">
        <v>25</v>
      </c>
      <c r="EM34" s="80">
        <v>8</v>
      </c>
      <c r="EN34" s="80"/>
      <c r="EO34" s="80">
        <v>14</v>
      </c>
      <c r="EP34" s="80">
        <v>22</v>
      </c>
      <c r="EQ34" s="80">
        <v>3</v>
      </c>
      <c r="ER34" s="80">
        <v>10</v>
      </c>
      <c r="ES34" s="80"/>
      <c r="ET34" s="80">
        <v>0</v>
      </c>
      <c r="EU34" s="80">
        <v>6</v>
      </c>
      <c r="EV34" s="80">
        <v>29</v>
      </c>
      <c r="EW34" s="80">
        <v>41</v>
      </c>
      <c r="EX34" s="80"/>
      <c r="EY34" s="80">
        <v>0</v>
      </c>
      <c r="EZ34" s="80">
        <v>158</v>
      </c>
      <c r="FA34" s="1472">
        <f t="shared" si="1"/>
        <v>0.24031007751937986</v>
      </c>
      <c r="FB34" s="80"/>
      <c r="FC34" s="681"/>
      <c r="FD34" s="681"/>
      <c r="FE34" s="681" t="s">
        <v>31</v>
      </c>
      <c r="FF34" s="1473">
        <v>20</v>
      </c>
      <c r="FG34" s="1473">
        <v>7</v>
      </c>
      <c r="FH34" s="1473" t="s">
        <v>332</v>
      </c>
      <c r="FI34" s="1473">
        <v>10</v>
      </c>
      <c r="FJ34" s="1473">
        <v>23</v>
      </c>
      <c r="FK34" s="1473">
        <v>0</v>
      </c>
      <c r="FL34" s="1473">
        <v>18</v>
      </c>
      <c r="FM34" s="1473" t="s">
        <v>332</v>
      </c>
      <c r="FN34" s="1473">
        <v>1</v>
      </c>
      <c r="FO34" s="1473">
        <v>3</v>
      </c>
      <c r="FP34" s="1473">
        <v>38</v>
      </c>
      <c r="FQ34" s="1473" t="s">
        <v>332</v>
      </c>
      <c r="FR34" s="1473">
        <v>120</v>
      </c>
      <c r="FS34" s="1473">
        <f t="shared" si="2"/>
        <v>26</v>
      </c>
      <c r="FT34" s="1474">
        <f t="shared" si="3"/>
        <v>0.21666666666666667</v>
      </c>
      <c r="FU34" s="80"/>
      <c r="FV34" s="80"/>
    </row>
    <row r="35" spans="1:178">
      <c r="A35" s="73"/>
      <c r="B35" s="73"/>
      <c r="C35" s="73" t="s">
        <v>31</v>
      </c>
      <c r="D35" s="161">
        <v>103</v>
      </c>
      <c r="E35" s="161">
        <v>26</v>
      </c>
      <c r="F35" s="161"/>
      <c r="G35" s="161">
        <v>4</v>
      </c>
      <c r="H35" s="161">
        <v>62</v>
      </c>
      <c r="I35" s="161">
        <v>6</v>
      </c>
      <c r="J35" s="161">
        <v>18</v>
      </c>
      <c r="K35" s="161"/>
      <c r="L35" s="161"/>
      <c r="M35" s="161">
        <v>9</v>
      </c>
      <c r="N35" s="161">
        <v>16</v>
      </c>
      <c r="O35" s="161">
        <v>9</v>
      </c>
      <c r="P35" s="161">
        <v>64</v>
      </c>
      <c r="Q35" s="161">
        <v>1</v>
      </c>
      <c r="R35" s="161">
        <v>318</v>
      </c>
      <c r="S35" s="4680">
        <f t="shared" si="4"/>
        <v>0.27272727272727271</v>
      </c>
      <c r="U35" s="73"/>
      <c r="V35" s="73"/>
      <c r="W35" s="73" t="s">
        <v>31</v>
      </c>
      <c r="X35" s="161">
        <v>96</v>
      </c>
      <c r="Y35" s="161">
        <v>33</v>
      </c>
      <c r="Z35" s="161"/>
      <c r="AA35" s="161">
        <v>46</v>
      </c>
      <c r="AB35" s="161">
        <v>58</v>
      </c>
      <c r="AC35" s="161">
        <v>6</v>
      </c>
      <c r="AD35" s="161">
        <v>19</v>
      </c>
      <c r="AE35" s="161"/>
      <c r="AF35" s="161">
        <v>0</v>
      </c>
      <c r="AG35" s="161">
        <v>7</v>
      </c>
      <c r="AH35" s="161">
        <v>8</v>
      </c>
      <c r="AI35" s="161">
        <v>4</v>
      </c>
      <c r="AJ35" s="161">
        <v>53</v>
      </c>
      <c r="AK35" s="161">
        <v>0</v>
      </c>
      <c r="AL35" s="161">
        <v>330</v>
      </c>
      <c r="AM35" s="2585">
        <f t="shared" si="0"/>
        <v>0.22085889570552147</v>
      </c>
      <c r="AN35" s="3196"/>
      <c r="AO35" s="73"/>
      <c r="AP35" s="73"/>
      <c r="AQ35" s="73" t="s">
        <v>31</v>
      </c>
      <c r="AR35" s="161">
        <v>74</v>
      </c>
      <c r="AS35" s="161">
        <v>24</v>
      </c>
      <c r="AT35" s="161"/>
      <c r="AU35" s="161">
        <v>39</v>
      </c>
      <c r="AV35" s="161">
        <v>49</v>
      </c>
      <c r="AW35" s="161">
        <v>7</v>
      </c>
      <c r="AX35" s="161">
        <v>10</v>
      </c>
      <c r="AY35" s="161">
        <v>0</v>
      </c>
      <c r="AZ35" s="161">
        <v>0</v>
      </c>
      <c r="BA35" s="161">
        <v>8</v>
      </c>
      <c r="BB35" s="161">
        <v>6</v>
      </c>
      <c r="BC35" s="161">
        <v>1</v>
      </c>
      <c r="BD35" s="161">
        <v>47</v>
      </c>
      <c r="BE35" s="161">
        <v>0</v>
      </c>
      <c r="BF35" s="161">
        <v>265</v>
      </c>
      <c r="BG35" s="2585">
        <f t="shared" si="5"/>
        <v>0.23484848484848486</v>
      </c>
      <c r="BI35" s="2140"/>
      <c r="BJ35" s="2140"/>
      <c r="BK35" s="2148" t="s">
        <v>31</v>
      </c>
      <c r="BL35" s="2149">
        <v>62</v>
      </c>
      <c r="BM35" s="2149">
        <v>14</v>
      </c>
      <c r="BN35" s="2150"/>
      <c r="BO35" s="2149">
        <v>33</v>
      </c>
      <c r="BP35" s="2149">
        <v>44</v>
      </c>
      <c r="BQ35" s="2149">
        <v>3</v>
      </c>
      <c r="BR35" s="2149">
        <v>15</v>
      </c>
      <c r="BS35" s="2150"/>
      <c r="BT35" s="2149">
        <v>0</v>
      </c>
      <c r="BU35" s="2149">
        <v>6</v>
      </c>
      <c r="BV35" s="2149">
        <v>7</v>
      </c>
      <c r="BW35" s="2149">
        <v>0</v>
      </c>
      <c r="BX35" s="2149">
        <v>39</v>
      </c>
      <c r="BY35" s="2149">
        <v>0</v>
      </c>
      <c r="BZ35" s="2149">
        <v>223</v>
      </c>
      <c r="CA35" s="2151">
        <f t="shared" si="6"/>
        <v>0.24215246636771301</v>
      </c>
      <c r="CC35" s="1452"/>
      <c r="CD35" s="1452"/>
      <c r="CE35" s="1465" t="s">
        <v>31</v>
      </c>
      <c r="CF35" s="1466">
        <v>46</v>
      </c>
      <c r="CG35" s="1466">
        <v>10</v>
      </c>
      <c r="CH35" s="1452"/>
      <c r="CI35" s="1466">
        <v>38</v>
      </c>
      <c r="CJ35" s="1466">
        <v>41</v>
      </c>
      <c r="CK35" s="1466">
        <v>5</v>
      </c>
      <c r="CL35" s="1466">
        <v>12</v>
      </c>
      <c r="CM35" s="1452"/>
      <c r="CN35" s="1466">
        <v>0</v>
      </c>
      <c r="CO35" s="1466">
        <v>5</v>
      </c>
      <c r="CP35" s="1466">
        <v>5</v>
      </c>
      <c r="CQ35" s="1466">
        <v>47</v>
      </c>
      <c r="CR35" s="1452"/>
      <c r="CS35" s="1466">
        <v>209</v>
      </c>
      <c r="CT35" s="814">
        <f t="shared" si="7"/>
        <v>0.24401913875598086</v>
      </c>
      <c r="CV35" s="929"/>
      <c r="CW35" s="929"/>
      <c r="CX35" s="1467" t="s">
        <v>31</v>
      </c>
      <c r="CY35" s="1468">
        <v>36</v>
      </c>
      <c r="CZ35" s="1468">
        <v>4</v>
      </c>
      <c r="DA35" s="1468">
        <v>0</v>
      </c>
      <c r="DB35" s="1468">
        <v>32</v>
      </c>
      <c r="DC35" s="1468">
        <v>35</v>
      </c>
      <c r="DD35" s="1468">
        <v>6</v>
      </c>
      <c r="DE35" s="1468">
        <v>14</v>
      </c>
      <c r="DF35" s="929"/>
      <c r="DG35" s="929"/>
      <c r="DH35" s="1468">
        <v>0</v>
      </c>
      <c r="DI35" s="1468">
        <v>5</v>
      </c>
      <c r="DJ35" s="1468">
        <v>46</v>
      </c>
      <c r="DK35" s="929"/>
      <c r="DL35" s="1468">
        <v>178</v>
      </c>
      <c r="DM35" s="814">
        <f t="shared" si="8"/>
        <v>0.25842696629213485</v>
      </c>
      <c r="DO35" s="1094"/>
      <c r="DP35" s="1094"/>
      <c r="DQ35" s="1469" t="s">
        <v>32</v>
      </c>
      <c r="DR35" s="1470">
        <v>156</v>
      </c>
      <c r="DS35" s="1470">
        <v>72</v>
      </c>
      <c r="DT35" s="1470">
        <v>0</v>
      </c>
      <c r="DU35" s="1470">
        <v>155</v>
      </c>
      <c r="DV35" s="1470">
        <v>141</v>
      </c>
      <c r="DW35" s="1470">
        <v>21</v>
      </c>
      <c r="DX35" s="1470">
        <v>112</v>
      </c>
      <c r="DY35" s="1470">
        <v>0</v>
      </c>
      <c r="DZ35" s="1470">
        <v>14</v>
      </c>
      <c r="EA35" s="1470">
        <v>35</v>
      </c>
      <c r="EB35" s="1470">
        <v>175</v>
      </c>
      <c r="EC35" s="1470">
        <v>381</v>
      </c>
      <c r="ED35" s="1470">
        <v>0</v>
      </c>
      <c r="EE35" s="1470">
        <v>1</v>
      </c>
      <c r="EF35" s="1470">
        <v>1263</v>
      </c>
      <c r="EG35" s="1471">
        <f t="shared" si="9"/>
        <v>0.18123275068997241</v>
      </c>
      <c r="EI35" s="163"/>
      <c r="EJ35" s="163"/>
      <c r="EK35" s="80" t="s">
        <v>32</v>
      </c>
      <c r="EL35" s="80">
        <v>155</v>
      </c>
      <c r="EM35" s="80">
        <v>72</v>
      </c>
      <c r="EN35" s="80"/>
      <c r="EO35" s="80">
        <v>160</v>
      </c>
      <c r="EP35" s="80">
        <v>134</v>
      </c>
      <c r="EQ35" s="80">
        <v>32</v>
      </c>
      <c r="ER35" s="80">
        <v>108</v>
      </c>
      <c r="ES35" s="80"/>
      <c r="ET35" s="80">
        <v>19</v>
      </c>
      <c r="EU35" s="80">
        <v>31</v>
      </c>
      <c r="EV35" s="80">
        <v>167</v>
      </c>
      <c r="EW35" s="80">
        <v>401</v>
      </c>
      <c r="EX35" s="80"/>
      <c r="EY35" s="80">
        <v>2</v>
      </c>
      <c r="EZ35" s="80">
        <v>1281</v>
      </c>
      <c r="FA35" s="1472">
        <f t="shared" si="1"/>
        <v>0.17715827338129497</v>
      </c>
      <c r="FB35" s="80"/>
      <c r="FC35" s="681"/>
      <c r="FD35" s="681"/>
      <c r="FE35" s="681" t="s">
        <v>32</v>
      </c>
      <c r="FF35" s="1473">
        <v>148</v>
      </c>
      <c r="FG35" s="1473">
        <v>65</v>
      </c>
      <c r="FH35" s="1473" t="s">
        <v>332</v>
      </c>
      <c r="FI35" s="1473">
        <v>157</v>
      </c>
      <c r="FJ35" s="1473">
        <v>122</v>
      </c>
      <c r="FK35" s="1473">
        <v>44</v>
      </c>
      <c r="FL35" s="1473">
        <v>125</v>
      </c>
      <c r="FM35" s="1473" t="s">
        <v>332</v>
      </c>
      <c r="FN35" s="1473">
        <v>32</v>
      </c>
      <c r="FO35" s="1473">
        <v>31</v>
      </c>
      <c r="FP35" s="1473">
        <v>421</v>
      </c>
      <c r="FQ35" s="1473" t="s">
        <v>332</v>
      </c>
      <c r="FR35" s="1473">
        <v>1145</v>
      </c>
      <c r="FS35" s="1473">
        <f t="shared" si="2"/>
        <v>197</v>
      </c>
      <c r="FT35" s="1474">
        <f t="shared" si="3"/>
        <v>0.1720524017467249</v>
      </c>
      <c r="FU35" s="80"/>
      <c r="FV35" s="80"/>
    </row>
    <row r="36" spans="1:178">
      <c r="A36" s="73"/>
      <c r="B36" s="73"/>
      <c r="C36" s="73" t="s">
        <v>32</v>
      </c>
      <c r="D36" s="161">
        <v>165</v>
      </c>
      <c r="E36" s="161">
        <v>73</v>
      </c>
      <c r="F36" s="161"/>
      <c r="G36" s="161">
        <v>3</v>
      </c>
      <c r="H36" s="161">
        <v>127</v>
      </c>
      <c r="I36" s="161">
        <v>21</v>
      </c>
      <c r="J36" s="161">
        <v>77</v>
      </c>
      <c r="K36" s="161"/>
      <c r="L36" s="161"/>
      <c r="M36" s="161">
        <v>15</v>
      </c>
      <c r="N36" s="161">
        <v>31</v>
      </c>
      <c r="O36" s="161">
        <v>10</v>
      </c>
      <c r="P36" s="161">
        <v>189</v>
      </c>
      <c r="Q36" s="161">
        <v>0</v>
      </c>
      <c r="R36" s="161">
        <v>711</v>
      </c>
      <c r="S36" s="4680">
        <f t="shared" si="4"/>
        <v>0.25534950071326679</v>
      </c>
      <c r="U36" s="73"/>
      <c r="V36" s="73"/>
      <c r="W36" s="73" t="s">
        <v>32</v>
      </c>
      <c r="X36" s="161">
        <v>199</v>
      </c>
      <c r="Y36" s="161">
        <v>77</v>
      </c>
      <c r="Z36" s="161"/>
      <c r="AA36" s="161">
        <v>67</v>
      </c>
      <c r="AB36" s="161">
        <v>94</v>
      </c>
      <c r="AC36" s="161">
        <v>24</v>
      </c>
      <c r="AD36" s="161">
        <v>67</v>
      </c>
      <c r="AE36" s="161"/>
      <c r="AF36" s="161">
        <v>0</v>
      </c>
      <c r="AG36" s="161">
        <v>23</v>
      </c>
      <c r="AH36" s="161">
        <v>43</v>
      </c>
      <c r="AI36" s="161">
        <v>7</v>
      </c>
      <c r="AJ36" s="161">
        <v>191</v>
      </c>
      <c r="AK36" s="161">
        <v>0</v>
      </c>
      <c r="AL36" s="161">
        <v>792</v>
      </c>
      <c r="AM36" s="2585">
        <f t="shared" si="0"/>
        <v>0.2050955414012739</v>
      </c>
      <c r="AN36" s="3196"/>
      <c r="AO36" s="73"/>
      <c r="AP36" s="73"/>
      <c r="AQ36" s="73" t="s">
        <v>32</v>
      </c>
      <c r="AR36" s="161">
        <v>176</v>
      </c>
      <c r="AS36" s="161">
        <v>93</v>
      </c>
      <c r="AT36" s="161"/>
      <c r="AU36" s="161">
        <v>79</v>
      </c>
      <c r="AV36" s="161">
        <v>88</v>
      </c>
      <c r="AW36" s="161">
        <v>23</v>
      </c>
      <c r="AX36" s="161">
        <v>72</v>
      </c>
      <c r="AY36" s="161">
        <v>0</v>
      </c>
      <c r="AZ36" s="161">
        <v>0</v>
      </c>
      <c r="BA36" s="161">
        <v>22</v>
      </c>
      <c r="BB36" s="161">
        <v>35</v>
      </c>
      <c r="BC36" s="161">
        <v>0</v>
      </c>
      <c r="BD36" s="161">
        <v>200</v>
      </c>
      <c r="BE36" s="161">
        <v>0</v>
      </c>
      <c r="BF36" s="161">
        <v>788</v>
      </c>
      <c r="BG36" s="2585">
        <f t="shared" si="5"/>
        <v>0.18527918781725888</v>
      </c>
      <c r="BI36" s="2140"/>
      <c r="BJ36" s="2140"/>
      <c r="BK36" s="2148" t="s">
        <v>32</v>
      </c>
      <c r="BL36" s="2149">
        <v>191</v>
      </c>
      <c r="BM36" s="2149">
        <v>77</v>
      </c>
      <c r="BN36" s="2150"/>
      <c r="BO36" s="2149">
        <v>90</v>
      </c>
      <c r="BP36" s="2149">
        <v>116</v>
      </c>
      <c r="BQ36" s="2149">
        <v>18</v>
      </c>
      <c r="BR36" s="2149">
        <v>67</v>
      </c>
      <c r="BS36" s="2150"/>
      <c r="BT36" s="2149">
        <v>0</v>
      </c>
      <c r="BU36" s="2149">
        <v>25</v>
      </c>
      <c r="BV36" s="2149">
        <v>21</v>
      </c>
      <c r="BW36" s="2149">
        <v>0</v>
      </c>
      <c r="BX36" s="2149">
        <v>210</v>
      </c>
      <c r="BY36" s="2149">
        <v>0</v>
      </c>
      <c r="BZ36" s="2149">
        <v>815</v>
      </c>
      <c r="CA36" s="2151">
        <f t="shared" si="6"/>
        <v>0.19018404907975461</v>
      </c>
      <c r="CC36" s="1452"/>
      <c r="CD36" s="1452"/>
      <c r="CE36" s="1465" t="s">
        <v>32</v>
      </c>
      <c r="CF36" s="1466">
        <v>167</v>
      </c>
      <c r="CG36" s="1466">
        <v>61</v>
      </c>
      <c r="CH36" s="1452"/>
      <c r="CI36" s="1466">
        <v>146</v>
      </c>
      <c r="CJ36" s="1466">
        <v>131</v>
      </c>
      <c r="CK36" s="1466">
        <v>18</v>
      </c>
      <c r="CL36" s="1466">
        <v>98</v>
      </c>
      <c r="CM36" s="1452"/>
      <c r="CN36" s="1466">
        <v>0</v>
      </c>
      <c r="CO36" s="1466">
        <v>27</v>
      </c>
      <c r="CP36" s="1466">
        <v>33</v>
      </c>
      <c r="CQ36" s="1466">
        <v>333</v>
      </c>
      <c r="CR36" s="1452"/>
      <c r="CS36" s="1466">
        <v>1014</v>
      </c>
      <c r="CT36" s="814">
        <f t="shared" si="7"/>
        <v>0.17948717948717949</v>
      </c>
      <c r="CV36" s="929"/>
      <c r="CW36" s="929"/>
      <c r="CX36" s="1467" t="s">
        <v>32</v>
      </c>
      <c r="CY36" s="1468">
        <v>164</v>
      </c>
      <c r="CZ36" s="1468">
        <v>63</v>
      </c>
      <c r="DA36" s="1468">
        <v>0</v>
      </c>
      <c r="DB36" s="1468">
        <v>154</v>
      </c>
      <c r="DC36" s="1468">
        <v>135</v>
      </c>
      <c r="DD36" s="1468">
        <v>22</v>
      </c>
      <c r="DE36" s="1468">
        <v>86</v>
      </c>
      <c r="DF36" s="929"/>
      <c r="DG36" s="929"/>
      <c r="DH36" s="1468">
        <v>13</v>
      </c>
      <c r="DI36" s="1468">
        <v>38</v>
      </c>
      <c r="DJ36" s="1468">
        <v>366</v>
      </c>
      <c r="DK36" s="929"/>
      <c r="DL36" s="1468">
        <v>1041</v>
      </c>
      <c r="DM36" s="814">
        <f t="shared" si="8"/>
        <v>0.18731988472622479</v>
      </c>
      <c r="DO36" s="1094"/>
      <c r="DP36" s="1094"/>
      <c r="DQ36" s="1458" t="s">
        <v>572</v>
      </c>
      <c r="DR36" s="1480">
        <v>728</v>
      </c>
      <c r="DS36" s="1480">
        <v>260</v>
      </c>
      <c r="DT36" s="1480">
        <v>0</v>
      </c>
      <c r="DU36" s="1480">
        <v>763</v>
      </c>
      <c r="DV36" s="1480">
        <v>635</v>
      </c>
      <c r="DW36" s="1480">
        <v>118</v>
      </c>
      <c r="DX36" s="1480">
        <v>410</v>
      </c>
      <c r="DY36" s="1480">
        <v>0</v>
      </c>
      <c r="DZ36" s="1480">
        <v>73</v>
      </c>
      <c r="EA36" s="1480">
        <v>106</v>
      </c>
      <c r="EB36" s="1480">
        <v>1037</v>
      </c>
      <c r="EC36" s="1480">
        <v>1400</v>
      </c>
      <c r="ED36" s="1480">
        <v>0</v>
      </c>
      <c r="EE36" s="1480">
        <v>13</v>
      </c>
      <c r="EF36" s="1480">
        <v>5543</v>
      </c>
      <c r="EG36" s="1481">
        <f t="shared" si="9"/>
        <v>0.19118628978410862</v>
      </c>
      <c r="EI36" s="163"/>
      <c r="EJ36" s="163"/>
      <c r="EK36" s="80" t="s">
        <v>15</v>
      </c>
      <c r="EL36" s="80">
        <v>667</v>
      </c>
      <c r="EM36" s="80">
        <v>269</v>
      </c>
      <c r="EN36" s="80"/>
      <c r="EO36" s="80">
        <v>717</v>
      </c>
      <c r="EP36" s="80">
        <v>603</v>
      </c>
      <c r="EQ36" s="80">
        <v>118</v>
      </c>
      <c r="ER36" s="80">
        <v>387</v>
      </c>
      <c r="ES36" s="80"/>
      <c r="ET36" s="80">
        <v>76</v>
      </c>
      <c r="EU36" s="80">
        <v>102</v>
      </c>
      <c r="EV36" s="80">
        <v>969</v>
      </c>
      <c r="EW36" s="80">
        <v>1430</v>
      </c>
      <c r="EX36" s="80"/>
      <c r="EY36" s="80">
        <v>10</v>
      </c>
      <c r="EZ36" s="80">
        <v>5348</v>
      </c>
      <c r="FA36" s="1472">
        <f t="shared" si="1"/>
        <v>0.18837262531471732</v>
      </c>
      <c r="FB36" s="80"/>
      <c r="FC36" s="681"/>
      <c r="FD36" s="681"/>
      <c r="FE36" s="1482" t="s">
        <v>15</v>
      </c>
      <c r="FF36" s="1483">
        <v>637</v>
      </c>
      <c r="FG36" s="1483">
        <v>248</v>
      </c>
      <c r="FH36" s="1483" t="s">
        <v>332</v>
      </c>
      <c r="FI36" s="1483">
        <v>709</v>
      </c>
      <c r="FJ36" s="1483">
        <v>594</v>
      </c>
      <c r="FK36" s="1483">
        <v>117</v>
      </c>
      <c r="FL36" s="1483">
        <v>512</v>
      </c>
      <c r="FM36" s="1483" t="s">
        <v>332</v>
      </c>
      <c r="FN36" s="1483">
        <v>127</v>
      </c>
      <c r="FO36" s="1483">
        <v>126</v>
      </c>
      <c r="FP36" s="1483">
        <v>1488</v>
      </c>
      <c r="FQ36" s="1483" t="s">
        <v>332</v>
      </c>
      <c r="FR36" s="1483">
        <v>4558</v>
      </c>
      <c r="FS36" s="1483">
        <f t="shared" si="2"/>
        <v>837</v>
      </c>
      <c r="FT36" s="1484">
        <f t="shared" si="3"/>
        <v>0.18363317244405442</v>
      </c>
      <c r="FU36" s="80"/>
      <c r="FV36" s="80"/>
    </row>
    <row r="37" spans="1:178">
      <c r="A37" s="73"/>
      <c r="B37" s="73"/>
      <c r="C37" s="738" t="s">
        <v>572</v>
      </c>
      <c r="D37" s="4667">
        <v>1147</v>
      </c>
      <c r="E37" s="4667">
        <v>443</v>
      </c>
      <c r="F37" s="4667"/>
      <c r="G37" s="4667">
        <v>36</v>
      </c>
      <c r="H37" s="4667">
        <v>792</v>
      </c>
      <c r="I37" s="4667">
        <v>106</v>
      </c>
      <c r="J37" s="4667">
        <v>422</v>
      </c>
      <c r="K37" s="4667"/>
      <c r="L37" s="4667"/>
      <c r="M37" s="4667">
        <v>210</v>
      </c>
      <c r="N37" s="4667">
        <v>147</v>
      </c>
      <c r="O37" s="4667">
        <v>164</v>
      </c>
      <c r="P37" s="4667">
        <v>1080</v>
      </c>
      <c r="Q37" s="4667">
        <v>1</v>
      </c>
      <c r="R37" s="4667">
        <v>4548</v>
      </c>
      <c r="S37" s="4680">
        <f t="shared" si="4"/>
        <v>0.23842117271275381</v>
      </c>
      <c r="U37" s="73"/>
      <c r="V37" s="73"/>
      <c r="W37" s="738" t="s">
        <v>572</v>
      </c>
      <c r="X37" s="151">
        <v>1175</v>
      </c>
      <c r="Y37" s="151">
        <v>467</v>
      </c>
      <c r="Z37" s="151"/>
      <c r="AA37" s="151">
        <v>566</v>
      </c>
      <c r="AB37" s="151">
        <v>658</v>
      </c>
      <c r="AC37" s="151">
        <v>119</v>
      </c>
      <c r="AD37" s="151">
        <v>333</v>
      </c>
      <c r="AE37" s="151"/>
      <c r="AF37" s="151">
        <v>1</v>
      </c>
      <c r="AG37" s="151">
        <v>199</v>
      </c>
      <c r="AH37" s="151">
        <v>138</v>
      </c>
      <c r="AI37" s="151">
        <v>93</v>
      </c>
      <c r="AJ37" s="151">
        <v>1030</v>
      </c>
      <c r="AK37" s="151">
        <v>5</v>
      </c>
      <c r="AL37" s="151">
        <v>4784</v>
      </c>
      <c r="AM37" s="912">
        <f t="shared" si="0"/>
        <v>0.19526248399487836</v>
      </c>
      <c r="AN37" s="3197"/>
      <c r="AO37" s="73"/>
      <c r="AP37" s="73"/>
      <c r="AQ37" s="738" t="s">
        <v>572</v>
      </c>
      <c r="AR37" s="151">
        <v>1015</v>
      </c>
      <c r="AS37" s="151">
        <v>464</v>
      </c>
      <c r="AT37" s="151"/>
      <c r="AU37" s="151">
        <v>552</v>
      </c>
      <c r="AV37" s="151">
        <v>622</v>
      </c>
      <c r="AW37" s="151">
        <v>115</v>
      </c>
      <c r="AX37" s="151">
        <v>325</v>
      </c>
      <c r="AY37" s="151">
        <v>3</v>
      </c>
      <c r="AZ37" s="151">
        <v>1</v>
      </c>
      <c r="BA37" s="151">
        <v>178</v>
      </c>
      <c r="BB37" s="151">
        <v>133</v>
      </c>
      <c r="BC37" s="151">
        <v>22</v>
      </c>
      <c r="BD37" s="151">
        <v>951</v>
      </c>
      <c r="BE37" s="151">
        <v>5</v>
      </c>
      <c r="BF37" s="151">
        <v>4386</v>
      </c>
      <c r="BG37" s="912">
        <f t="shared" si="5"/>
        <v>0.19958706125258086</v>
      </c>
      <c r="BI37" s="2140"/>
      <c r="BJ37" s="2140"/>
      <c r="BK37" s="2142" t="s">
        <v>572</v>
      </c>
      <c r="BL37" s="2152">
        <v>980</v>
      </c>
      <c r="BM37" s="2152">
        <v>355</v>
      </c>
      <c r="BN37" s="2153"/>
      <c r="BO37" s="2152">
        <v>545</v>
      </c>
      <c r="BP37" s="2152">
        <v>692</v>
      </c>
      <c r="BQ37" s="2152">
        <v>71</v>
      </c>
      <c r="BR37" s="2152">
        <v>314</v>
      </c>
      <c r="BS37" s="2153"/>
      <c r="BT37" s="2152">
        <v>1</v>
      </c>
      <c r="BU37" s="2152">
        <v>145</v>
      </c>
      <c r="BV37" s="2152">
        <v>100</v>
      </c>
      <c r="BW37" s="2152">
        <v>3</v>
      </c>
      <c r="BX37" s="2152">
        <v>964</v>
      </c>
      <c r="BY37" s="2152">
        <v>4</v>
      </c>
      <c r="BZ37" s="2152">
        <v>4174</v>
      </c>
      <c r="CA37" s="2154">
        <f t="shared" si="6"/>
        <v>0.20710343172546197</v>
      </c>
      <c r="CC37" s="1452"/>
      <c r="CD37" s="1452"/>
      <c r="CE37" s="1475" t="s">
        <v>572</v>
      </c>
      <c r="CF37" s="1476">
        <v>823</v>
      </c>
      <c r="CG37" s="1476">
        <v>314</v>
      </c>
      <c r="CH37" s="1477"/>
      <c r="CI37" s="1476">
        <v>746</v>
      </c>
      <c r="CJ37" s="1476">
        <v>677</v>
      </c>
      <c r="CK37" s="1476">
        <v>92</v>
      </c>
      <c r="CL37" s="1476">
        <v>369</v>
      </c>
      <c r="CM37" s="1477"/>
      <c r="CN37" s="1476">
        <v>1</v>
      </c>
      <c r="CO37" s="1476">
        <v>155</v>
      </c>
      <c r="CP37" s="1476">
        <v>117</v>
      </c>
      <c r="CQ37" s="1476">
        <v>1300</v>
      </c>
      <c r="CR37" s="1476"/>
      <c r="CS37" s="1476">
        <v>4594</v>
      </c>
      <c r="CT37" s="1478">
        <f t="shared" si="7"/>
        <v>0.19286025250326513</v>
      </c>
      <c r="CV37" s="929"/>
      <c r="CW37" s="929"/>
      <c r="CX37" s="1090" t="s">
        <v>572</v>
      </c>
      <c r="CY37" s="1479">
        <v>767</v>
      </c>
      <c r="CZ37" s="1479">
        <v>324</v>
      </c>
      <c r="DA37" s="1479">
        <v>1</v>
      </c>
      <c r="DB37" s="1479">
        <v>753</v>
      </c>
      <c r="DC37" s="1479">
        <v>643</v>
      </c>
      <c r="DD37" s="1479">
        <v>117</v>
      </c>
      <c r="DE37" s="1479">
        <v>364</v>
      </c>
      <c r="DF37" s="1093"/>
      <c r="DG37" s="1093"/>
      <c r="DH37" s="1479">
        <v>59</v>
      </c>
      <c r="DI37" s="1479">
        <v>99</v>
      </c>
      <c r="DJ37" s="1479">
        <v>1336</v>
      </c>
      <c r="DK37" s="1093"/>
      <c r="DL37" s="1479">
        <v>4463</v>
      </c>
      <c r="DM37" s="803">
        <f t="shared" si="8"/>
        <v>0.19247143177235043</v>
      </c>
      <c r="DO37" s="1094"/>
      <c r="DP37" s="1094" t="s">
        <v>16</v>
      </c>
      <c r="DQ37" s="1469" t="s">
        <v>17</v>
      </c>
      <c r="DR37" s="1470">
        <v>271</v>
      </c>
      <c r="DS37" s="1470">
        <v>122</v>
      </c>
      <c r="DT37" s="1470">
        <v>0</v>
      </c>
      <c r="DU37" s="1470">
        <v>53</v>
      </c>
      <c r="DV37" s="1470">
        <v>590</v>
      </c>
      <c r="DW37" s="1470">
        <v>84</v>
      </c>
      <c r="DX37" s="1470">
        <v>107</v>
      </c>
      <c r="DY37" s="1470">
        <v>0</v>
      </c>
      <c r="DZ37" s="1470">
        <v>24</v>
      </c>
      <c r="EA37" s="1470">
        <v>75</v>
      </c>
      <c r="EB37" s="1470">
        <v>270</v>
      </c>
      <c r="EC37" s="1470">
        <v>357</v>
      </c>
      <c r="ED37" s="1470">
        <v>0</v>
      </c>
      <c r="EE37" s="1470">
        <v>7</v>
      </c>
      <c r="EF37" s="1470">
        <v>1960</v>
      </c>
      <c r="EG37" s="1471">
        <f t="shared" si="9"/>
        <v>0.44503862150920975</v>
      </c>
      <c r="EI37" s="163"/>
      <c r="EJ37" s="163" t="s">
        <v>16</v>
      </c>
      <c r="EK37" s="80" t="s">
        <v>17</v>
      </c>
      <c r="EL37" s="80">
        <v>244</v>
      </c>
      <c r="EM37" s="80">
        <v>114</v>
      </c>
      <c r="EN37" s="80"/>
      <c r="EO37" s="80">
        <v>50</v>
      </c>
      <c r="EP37" s="80">
        <v>606</v>
      </c>
      <c r="EQ37" s="80">
        <v>87</v>
      </c>
      <c r="ER37" s="80">
        <v>80</v>
      </c>
      <c r="ES37" s="80">
        <v>0</v>
      </c>
      <c r="ET37" s="80">
        <v>17</v>
      </c>
      <c r="EU37" s="80">
        <v>63</v>
      </c>
      <c r="EV37" s="80">
        <v>245</v>
      </c>
      <c r="EW37" s="80">
        <v>379</v>
      </c>
      <c r="EX37" s="80"/>
      <c r="EY37" s="80">
        <v>10</v>
      </c>
      <c r="EZ37" s="80">
        <v>1895</v>
      </c>
      <c r="FA37" s="1472">
        <f t="shared" si="1"/>
        <v>0.46097560975609758</v>
      </c>
      <c r="FB37" s="80"/>
      <c r="FC37" s="681"/>
      <c r="FD37" s="681" t="s">
        <v>16</v>
      </c>
      <c r="FE37" s="681" t="s">
        <v>17</v>
      </c>
      <c r="FF37" s="1473">
        <v>185</v>
      </c>
      <c r="FG37" s="1473">
        <v>102</v>
      </c>
      <c r="FH37" s="1473" t="s">
        <v>332</v>
      </c>
      <c r="FI37" s="1473">
        <v>46</v>
      </c>
      <c r="FJ37" s="1473">
        <v>574</v>
      </c>
      <c r="FK37" s="1473">
        <v>82</v>
      </c>
      <c r="FL37" s="1473">
        <v>94</v>
      </c>
      <c r="FM37" s="1473" t="s">
        <v>332</v>
      </c>
      <c r="FN37" s="1473">
        <v>24</v>
      </c>
      <c r="FO37" s="1473">
        <v>91</v>
      </c>
      <c r="FP37" s="1473">
        <v>368</v>
      </c>
      <c r="FQ37" s="1473" t="s">
        <v>332</v>
      </c>
      <c r="FR37" s="1473">
        <v>1566</v>
      </c>
      <c r="FS37" s="1473">
        <f t="shared" si="2"/>
        <v>747</v>
      </c>
      <c r="FT37" s="1474">
        <f t="shared" si="3"/>
        <v>0.47701149425287354</v>
      </c>
      <c r="FU37" s="80"/>
      <c r="FV37" s="80"/>
    </row>
    <row r="38" spans="1:178">
      <c r="A38" s="73"/>
      <c r="B38" s="73" t="s">
        <v>16</v>
      </c>
      <c r="C38" s="73" t="s">
        <v>17</v>
      </c>
      <c r="D38" s="161">
        <v>144</v>
      </c>
      <c r="E38" s="161">
        <v>158</v>
      </c>
      <c r="F38" s="161"/>
      <c r="G38" s="161">
        <v>1</v>
      </c>
      <c r="H38" s="161">
        <v>655</v>
      </c>
      <c r="I38" s="161">
        <v>83</v>
      </c>
      <c r="J38" s="161">
        <v>77</v>
      </c>
      <c r="K38" s="161"/>
      <c r="L38" s="161">
        <v>0</v>
      </c>
      <c r="M38" s="161">
        <v>54</v>
      </c>
      <c r="N38" s="161">
        <v>93</v>
      </c>
      <c r="O38" s="161"/>
      <c r="P38" s="161">
        <v>225</v>
      </c>
      <c r="Q38" s="161">
        <v>0</v>
      </c>
      <c r="R38" s="161">
        <v>1490</v>
      </c>
      <c r="S38" s="4680">
        <f t="shared" si="4"/>
        <v>0.55771812080536909</v>
      </c>
      <c r="U38" s="73"/>
      <c r="V38" s="73" t="s">
        <v>16</v>
      </c>
      <c r="W38" s="73" t="s">
        <v>17</v>
      </c>
      <c r="X38" s="161">
        <v>147</v>
      </c>
      <c r="Y38" s="161">
        <v>168</v>
      </c>
      <c r="Z38" s="161">
        <v>0</v>
      </c>
      <c r="AA38" s="161">
        <v>28</v>
      </c>
      <c r="AB38" s="161">
        <v>652</v>
      </c>
      <c r="AC38" s="161">
        <v>93</v>
      </c>
      <c r="AD38" s="161">
        <v>118</v>
      </c>
      <c r="AE38" s="161"/>
      <c r="AF38" s="161">
        <v>0</v>
      </c>
      <c r="AG38" s="161">
        <v>58</v>
      </c>
      <c r="AH38" s="161">
        <v>99</v>
      </c>
      <c r="AI38" s="161"/>
      <c r="AJ38" s="161">
        <v>217</v>
      </c>
      <c r="AK38" s="161">
        <v>1</v>
      </c>
      <c r="AL38" s="161">
        <v>1581</v>
      </c>
      <c r="AM38" s="2585">
        <f t="shared" si="0"/>
        <v>0.53417721518987338</v>
      </c>
      <c r="AN38" s="3196"/>
      <c r="AO38" s="73"/>
      <c r="AP38" s="73" t="s">
        <v>16</v>
      </c>
      <c r="AQ38" s="73" t="s">
        <v>17</v>
      </c>
      <c r="AR38" s="161">
        <v>154</v>
      </c>
      <c r="AS38" s="161">
        <v>172</v>
      </c>
      <c r="AT38" s="161"/>
      <c r="AU38" s="161">
        <v>28</v>
      </c>
      <c r="AV38" s="161">
        <v>689</v>
      </c>
      <c r="AW38" s="161">
        <v>73</v>
      </c>
      <c r="AX38" s="161">
        <v>83</v>
      </c>
      <c r="AY38" s="161">
        <v>1</v>
      </c>
      <c r="AZ38" s="161">
        <v>0</v>
      </c>
      <c r="BA38" s="161">
        <v>63</v>
      </c>
      <c r="BB38" s="161">
        <v>84</v>
      </c>
      <c r="BC38" s="161"/>
      <c r="BD38" s="161">
        <v>237</v>
      </c>
      <c r="BE38" s="161">
        <v>1</v>
      </c>
      <c r="BF38" s="161">
        <v>1585</v>
      </c>
      <c r="BG38" s="2585">
        <f t="shared" si="5"/>
        <v>0.53409090909090906</v>
      </c>
      <c r="BI38" s="2140"/>
      <c r="BJ38" s="2140" t="s">
        <v>16</v>
      </c>
      <c r="BK38" s="2148" t="s">
        <v>17</v>
      </c>
      <c r="BL38" s="2149">
        <v>150</v>
      </c>
      <c r="BM38" s="2149">
        <v>139</v>
      </c>
      <c r="BN38" s="2150"/>
      <c r="BO38" s="2149">
        <v>27</v>
      </c>
      <c r="BP38" s="2149">
        <v>694</v>
      </c>
      <c r="BQ38" s="2149">
        <v>88</v>
      </c>
      <c r="BR38" s="2149">
        <v>84</v>
      </c>
      <c r="BS38" s="2150"/>
      <c r="BT38" s="2149">
        <v>0</v>
      </c>
      <c r="BU38" s="2149">
        <v>66</v>
      </c>
      <c r="BV38" s="2149">
        <v>79</v>
      </c>
      <c r="BW38" s="2150"/>
      <c r="BX38" s="2149">
        <v>260</v>
      </c>
      <c r="BY38" s="2149">
        <v>1</v>
      </c>
      <c r="BZ38" s="2149">
        <v>1588</v>
      </c>
      <c r="CA38" s="2151">
        <f t="shared" si="6"/>
        <v>0.5425330812854442</v>
      </c>
      <c r="CC38" s="1452"/>
      <c r="CD38" s="1452" t="s">
        <v>16</v>
      </c>
      <c r="CE38" s="1465" t="s">
        <v>17</v>
      </c>
      <c r="CF38" s="1466">
        <v>174</v>
      </c>
      <c r="CG38" s="1466">
        <v>129</v>
      </c>
      <c r="CH38" s="1452"/>
      <c r="CI38" s="1466">
        <v>44</v>
      </c>
      <c r="CJ38" s="1466">
        <v>698</v>
      </c>
      <c r="CK38" s="1466">
        <v>70</v>
      </c>
      <c r="CL38" s="1466">
        <v>95</v>
      </c>
      <c r="CM38" s="1452"/>
      <c r="CN38" s="1466">
        <v>0</v>
      </c>
      <c r="CO38" s="1466">
        <v>67</v>
      </c>
      <c r="CP38" s="1466">
        <v>93</v>
      </c>
      <c r="CQ38" s="1466">
        <v>350</v>
      </c>
      <c r="CR38" s="1452"/>
      <c r="CS38" s="1466">
        <v>1720</v>
      </c>
      <c r="CT38" s="814">
        <f t="shared" si="7"/>
        <v>0.50058139534883717</v>
      </c>
      <c r="CV38" s="929"/>
      <c r="CW38" s="929" t="s">
        <v>16</v>
      </c>
      <c r="CX38" s="1467" t="s">
        <v>17</v>
      </c>
      <c r="CY38" s="1468">
        <v>213</v>
      </c>
      <c r="CZ38" s="1468">
        <v>143</v>
      </c>
      <c r="DA38" s="1468">
        <v>0</v>
      </c>
      <c r="DB38" s="1468">
        <v>52</v>
      </c>
      <c r="DC38" s="1468">
        <v>630</v>
      </c>
      <c r="DD38" s="1468">
        <v>104</v>
      </c>
      <c r="DE38" s="1468">
        <v>95</v>
      </c>
      <c r="DF38" s="929"/>
      <c r="DG38" s="1468">
        <v>0</v>
      </c>
      <c r="DH38" s="1468">
        <v>41</v>
      </c>
      <c r="DI38" s="1468">
        <v>93</v>
      </c>
      <c r="DJ38" s="1468">
        <v>338</v>
      </c>
      <c r="DK38" s="929"/>
      <c r="DL38" s="1468">
        <v>1709</v>
      </c>
      <c r="DM38" s="814">
        <f t="shared" si="8"/>
        <v>0.48390871854885897</v>
      </c>
      <c r="DO38" s="1094"/>
      <c r="DP38" s="1094"/>
      <c r="DQ38" s="1469" t="s">
        <v>33</v>
      </c>
      <c r="DR38" s="1470">
        <v>55</v>
      </c>
      <c r="DS38" s="1470">
        <v>59</v>
      </c>
      <c r="DT38" s="1470">
        <v>0</v>
      </c>
      <c r="DU38" s="1470">
        <v>24</v>
      </c>
      <c r="DV38" s="1470">
        <v>89</v>
      </c>
      <c r="DW38" s="1470">
        <v>12</v>
      </c>
      <c r="DX38" s="1470">
        <v>30</v>
      </c>
      <c r="DY38" s="1470">
        <v>0</v>
      </c>
      <c r="DZ38" s="1470">
        <v>40</v>
      </c>
      <c r="EA38" s="1470">
        <v>15</v>
      </c>
      <c r="EB38" s="1470">
        <v>56</v>
      </c>
      <c r="EC38" s="1470">
        <v>103</v>
      </c>
      <c r="ED38" s="1470">
        <v>0</v>
      </c>
      <c r="EE38" s="1470">
        <v>0</v>
      </c>
      <c r="EF38" s="1470">
        <v>483</v>
      </c>
      <c r="EG38" s="1471">
        <f t="shared" si="9"/>
        <v>0.27166276346604218</v>
      </c>
      <c r="EI38" s="163"/>
      <c r="EJ38" s="163"/>
      <c r="EK38" s="80" t="s">
        <v>33</v>
      </c>
      <c r="EL38" s="80">
        <v>62</v>
      </c>
      <c r="EM38" s="80">
        <v>54</v>
      </c>
      <c r="EN38" s="80"/>
      <c r="EO38" s="80">
        <v>22</v>
      </c>
      <c r="EP38" s="80">
        <v>84</v>
      </c>
      <c r="EQ38" s="80">
        <v>8</v>
      </c>
      <c r="ER38" s="80">
        <v>23</v>
      </c>
      <c r="ES38" s="80">
        <v>0</v>
      </c>
      <c r="ET38" s="80">
        <v>38</v>
      </c>
      <c r="EU38" s="80">
        <v>5</v>
      </c>
      <c r="EV38" s="80">
        <v>57</v>
      </c>
      <c r="EW38" s="80">
        <v>114</v>
      </c>
      <c r="EX38" s="80"/>
      <c r="EY38" s="80">
        <v>0</v>
      </c>
      <c r="EZ38" s="80">
        <v>467</v>
      </c>
      <c r="FA38" s="1472">
        <f t="shared" si="1"/>
        <v>0.23658536585365852</v>
      </c>
      <c r="FB38" s="80"/>
      <c r="FC38" s="681"/>
      <c r="FD38" s="681"/>
      <c r="FE38" s="681" t="s">
        <v>33</v>
      </c>
      <c r="FF38" s="1473">
        <v>38</v>
      </c>
      <c r="FG38" s="1473">
        <v>64</v>
      </c>
      <c r="FH38" s="1473" t="s">
        <v>332</v>
      </c>
      <c r="FI38" s="1473">
        <v>29</v>
      </c>
      <c r="FJ38" s="1473">
        <v>67</v>
      </c>
      <c r="FK38" s="1473">
        <v>9</v>
      </c>
      <c r="FL38" s="1473">
        <v>25</v>
      </c>
      <c r="FM38" s="1473" t="s">
        <v>332</v>
      </c>
      <c r="FN38" s="1473">
        <v>26</v>
      </c>
      <c r="FO38" s="1473">
        <v>10</v>
      </c>
      <c r="FP38" s="1473">
        <v>112</v>
      </c>
      <c r="FQ38" s="1473" t="s">
        <v>332</v>
      </c>
      <c r="FR38" s="1473">
        <v>380</v>
      </c>
      <c r="FS38" s="1473">
        <f t="shared" si="2"/>
        <v>86</v>
      </c>
      <c r="FT38" s="1474">
        <f t="shared" si="3"/>
        <v>0.22631578947368422</v>
      </c>
      <c r="FU38" s="80"/>
      <c r="FV38" s="80"/>
    </row>
    <row r="39" spans="1:178">
      <c r="A39" s="73"/>
      <c r="B39" s="73"/>
      <c r="C39" s="73" t="s">
        <v>33</v>
      </c>
      <c r="D39" s="161">
        <v>57</v>
      </c>
      <c r="E39" s="161">
        <v>70</v>
      </c>
      <c r="F39" s="161"/>
      <c r="G39" s="161">
        <v>1</v>
      </c>
      <c r="H39" s="161">
        <v>130</v>
      </c>
      <c r="I39" s="161">
        <v>6</v>
      </c>
      <c r="J39" s="161">
        <v>27</v>
      </c>
      <c r="K39" s="161"/>
      <c r="L39" s="161">
        <v>0</v>
      </c>
      <c r="M39" s="161">
        <v>45</v>
      </c>
      <c r="N39" s="161">
        <v>5</v>
      </c>
      <c r="O39" s="161"/>
      <c r="P39" s="161">
        <v>82</v>
      </c>
      <c r="Q39" s="161">
        <v>0</v>
      </c>
      <c r="R39" s="161">
        <v>423</v>
      </c>
      <c r="S39" s="4680">
        <f t="shared" si="4"/>
        <v>0.33333333333333331</v>
      </c>
      <c r="U39" s="73"/>
      <c r="V39" s="73"/>
      <c r="W39" s="73" t="s">
        <v>33</v>
      </c>
      <c r="X39" s="161">
        <v>45</v>
      </c>
      <c r="Y39" s="161">
        <v>78</v>
      </c>
      <c r="Z39" s="161">
        <v>0</v>
      </c>
      <c r="AA39" s="161">
        <v>12</v>
      </c>
      <c r="AB39" s="161">
        <v>136</v>
      </c>
      <c r="AC39" s="161">
        <v>4</v>
      </c>
      <c r="AD39" s="161">
        <v>41</v>
      </c>
      <c r="AE39" s="161"/>
      <c r="AF39" s="161">
        <v>0</v>
      </c>
      <c r="AG39" s="161">
        <v>55</v>
      </c>
      <c r="AH39" s="161">
        <v>12</v>
      </c>
      <c r="AI39" s="161"/>
      <c r="AJ39" s="161">
        <v>70</v>
      </c>
      <c r="AK39" s="161">
        <v>0</v>
      </c>
      <c r="AL39" s="161">
        <v>453</v>
      </c>
      <c r="AM39" s="2585">
        <f t="shared" si="0"/>
        <v>0.33554083885209712</v>
      </c>
      <c r="AN39" s="3196"/>
      <c r="AO39" s="73"/>
      <c r="AP39" s="73"/>
      <c r="AQ39" s="73" t="s">
        <v>33</v>
      </c>
      <c r="AR39" s="161">
        <v>41</v>
      </c>
      <c r="AS39" s="161">
        <v>86</v>
      </c>
      <c r="AT39" s="161"/>
      <c r="AU39" s="161">
        <v>14</v>
      </c>
      <c r="AV39" s="161">
        <v>123</v>
      </c>
      <c r="AW39" s="161">
        <v>14</v>
      </c>
      <c r="AX39" s="161">
        <v>29</v>
      </c>
      <c r="AY39" s="161">
        <v>0</v>
      </c>
      <c r="AZ39" s="161">
        <v>0</v>
      </c>
      <c r="BA39" s="161">
        <v>55</v>
      </c>
      <c r="BB39" s="161">
        <v>9</v>
      </c>
      <c r="BC39" s="161"/>
      <c r="BD39" s="161">
        <v>60</v>
      </c>
      <c r="BE39" s="161">
        <v>0</v>
      </c>
      <c r="BF39" s="161">
        <v>431</v>
      </c>
      <c r="BG39" s="2585">
        <f t="shared" si="5"/>
        <v>0.33874709976798145</v>
      </c>
      <c r="BI39" s="2140"/>
      <c r="BJ39" s="2140"/>
      <c r="BK39" s="2148" t="s">
        <v>33</v>
      </c>
      <c r="BL39" s="2149">
        <v>56</v>
      </c>
      <c r="BM39" s="2149">
        <v>72</v>
      </c>
      <c r="BN39" s="2150"/>
      <c r="BO39" s="2149">
        <v>17</v>
      </c>
      <c r="BP39" s="2149">
        <v>123</v>
      </c>
      <c r="BQ39" s="2149">
        <v>4</v>
      </c>
      <c r="BR39" s="2149">
        <v>39</v>
      </c>
      <c r="BS39" s="2150"/>
      <c r="BT39" s="2149">
        <v>0</v>
      </c>
      <c r="BU39" s="2149">
        <v>54</v>
      </c>
      <c r="BV39" s="2149">
        <v>9</v>
      </c>
      <c r="BW39" s="2150"/>
      <c r="BX39" s="2149">
        <v>65</v>
      </c>
      <c r="BY39" s="2149">
        <v>0</v>
      </c>
      <c r="BZ39" s="2149">
        <v>439</v>
      </c>
      <c r="CA39" s="2151">
        <f t="shared" si="6"/>
        <v>0.30979498861047838</v>
      </c>
      <c r="CC39" s="1452"/>
      <c r="CD39" s="1452"/>
      <c r="CE39" s="1465" t="s">
        <v>33</v>
      </c>
      <c r="CF39" s="1466">
        <v>52</v>
      </c>
      <c r="CG39" s="1466">
        <v>69</v>
      </c>
      <c r="CH39" s="1452"/>
      <c r="CI39" s="1466">
        <v>23</v>
      </c>
      <c r="CJ39" s="1466">
        <v>119</v>
      </c>
      <c r="CK39" s="1466">
        <v>4</v>
      </c>
      <c r="CL39" s="1466">
        <v>36</v>
      </c>
      <c r="CM39" s="1452"/>
      <c r="CN39" s="1466">
        <v>0</v>
      </c>
      <c r="CO39" s="1466">
        <v>62</v>
      </c>
      <c r="CP39" s="1466">
        <v>9</v>
      </c>
      <c r="CQ39" s="1466">
        <v>95</v>
      </c>
      <c r="CR39" s="1452"/>
      <c r="CS39" s="1466">
        <v>469</v>
      </c>
      <c r="CT39" s="814">
        <f t="shared" si="7"/>
        <v>0.28144989339019189</v>
      </c>
      <c r="CV39" s="929"/>
      <c r="CW39" s="929"/>
      <c r="CX39" s="1467" t="s">
        <v>33</v>
      </c>
      <c r="CY39" s="1468">
        <v>54</v>
      </c>
      <c r="CZ39" s="1468">
        <v>72</v>
      </c>
      <c r="DA39" s="1468">
        <v>0</v>
      </c>
      <c r="DB39" s="1468">
        <v>26</v>
      </c>
      <c r="DC39" s="1468">
        <v>106</v>
      </c>
      <c r="DD39" s="1468">
        <v>15</v>
      </c>
      <c r="DE39" s="1468">
        <v>20</v>
      </c>
      <c r="DF39" s="929"/>
      <c r="DG39" s="1468">
        <v>0</v>
      </c>
      <c r="DH39" s="1468">
        <v>53</v>
      </c>
      <c r="DI39" s="1468">
        <v>6</v>
      </c>
      <c r="DJ39" s="1468">
        <v>95</v>
      </c>
      <c r="DK39" s="929"/>
      <c r="DL39" s="1468">
        <v>447</v>
      </c>
      <c r="DM39" s="814">
        <f t="shared" si="8"/>
        <v>0.28411633109619688</v>
      </c>
      <c r="DO39" s="1094"/>
      <c r="DP39" s="1094"/>
      <c r="DQ39" s="1469" t="s">
        <v>34</v>
      </c>
      <c r="DR39" s="1470">
        <v>76</v>
      </c>
      <c r="DS39" s="1470">
        <v>46</v>
      </c>
      <c r="DT39" s="1470">
        <v>0</v>
      </c>
      <c r="DU39" s="1470">
        <v>37</v>
      </c>
      <c r="DV39" s="1470">
        <v>105</v>
      </c>
      <c r="DW39" s="1470">
        <v>14</v>
      </c>
      <c r="DX39" s="1470">
        <v>36</v>
      </c>
      <c r="DY39" s="1470">
        <v>0</v>
      </c>
      <c r="DZ39" s="1470">
        <v>26</v>
      </c>
      <c r="EA39" s="1470">
        <v>10</v>
      </c>
      <c r="EB39" s="1470">
        <v>86</v>
      </c>
      <c r="EC39" s="1470">
        <v>111</v>
      </c>
      <c r="ED39" s="1470">
        <v>0</v>
      </c>
      <c r="EE39" s="1470">
        <v>2</v>
      </c>
      <c r="EF39" s="1470">
        <v>549</v>
      </c>
      <c r="EG39" s="1471">
        <f t="shared" si="9"/>
        <v>0.27982646420824298</v>
      </c>
      <c r="EI39" s="163"/>
      <c r="EJ39" s="163"/>
      <c r="EK39" s="80" t="s">
        <v>34</v>
      </c>
      <c r="EL39" s="80">
        <v>80</v>
      </c>
      <c r="EM39" s="80">
        <v>52</v>
      </c>
      <c r="EN39" s="80"/>
      <c r="EO39" s="80">
        <v>34</v>
      </c>
      <c r="EP39" s="80">
        <v>101</v>
      </c>
      <c r="EQ39" s="80">
        <v>11</v>
      </c>
      <c r="ER39" s="80">
        <v>35</v>
      </c>
      <c r="ES39" s="80">
        <v>0</v>
      </c>
      <c r="ET39" s="80">
        <v>26</v>
      </c>
      <c r="EU39" s="80">
        <v>10</v>
      </c>
      <c r="EV39" s="80">
        <v>81</v>
      </c>
      <c r="EW39" s="80">
        <v>106</v>
      </c>
      <c r="EX39" s="80"/>
      <c r="EY39" s="80">
        <v>1</v>
      </c>
      <c r="EZ39" s="80">
        <v>537</v>
      </c>
      <c r="FA39" s="1472">
        <f t="shared" si="1"/>
        <v>0.26813186813186812</v>
      </c>
      <c r="FB39" s="80"/>
      <c r="FC39" s="681"/>
      <c r="FD39" s="681"/>
      <c r="FE39" s="681" t="s">
        <v>34</v>
      </c>
      <c r="FF39" s="1473">
        <v>61</v>
      </c>
      <c r="FG39" s="1473">
        <v>49</v>
      </c>
      <c r="FH39" s="1473" t="s">
        <v>332</v>
      </c>
      <c r="FI39" s="1473">
        <v>28</v>
      </c>
      <c r="FJ39" s="1473">
        <v>89</v>
      </c>
      <c r="FK39" s="1473">
        <v>10</v>
      </c>
      <c r="FL39" s="1473">
        <v>45</v>
      </c>
      <c r="FM39" s="1473" t="s">
        <v>332</v>
      </c>
      <c r="FN39" s="1473">
        <v>40</v>
      </c>
      <c r="FO39" s="1473">
        <v>10</v>
      </c>
      <c r="FP39" s="1473">
        <v>110</v>
      </c>
      <c r="FQ39" s="1473" t="s">
        <v>332</v>
      </c>
      <c r="FR39" s="1473">
        <v>442</v>
      </c>
      <c r="FS39" s="1473">
        <f t="shared" si="2"/>
        <v>109</v>
      </c>
      <c r="FT39" s="1474">
        <f t="shared" si="3"/>
        <v>0.24660633484162897</v>
      </c>
      <c r="FU39" s="80"/>
      <c r="FV39" s="80"/>
    </row>
    <row r="40" spans="1:178">
      <c r="A40" s="73"/>
      <c r="B40" s="73"/>
      <c r="C40" s="73" t="s">
        <v>34</v>
      </c>
      <c r="D40" s="161">
        <v>77</v>
      </c>
      <c r="E40" s="161">
        <v>73</v>
      </c>
      <c r="F40" s="161"/>
      <c r="G40" s="161">
        <v>1</v>
      </c>
      <c r="H40" s="161">
        <v>109</v>
      </c>
      <c r="I40" s="161">
        <v>9</v>
      </c>
      <c r="J40" s="161">
        <v>33</v>
      </c>
      <c r="K40" s="161"/>
      <c r="L40" s="161">
        <v>0</v>
      </c>
      <c r="M40" s="161">
        <v>37</v>
      </c>
      <c r="N40" s="161">
        <v>8</v>
      </c>
      <c r="O40" s="161"/>
      <c r="P40" s="161">
        <v>83</v>
      </c>
      <c r="Q40" s="161">
        <v>0</v>
      </c>
      <c r="R40" s="161">
        <v>430</v>
      </c>
      <c r="S40" s="4680">
        <f t="shared" si="4"/>
        <v>0.2930232558139535</v>
      </c>
      <c r="U40" s="73"/>
      <c r="V40" s="73"/>
      <c r="W40" s="73" t="s">
        <v>34</v>
      </c>
      <c r="X40" s="161">
        <v>91</v>
      </c>
      <c r="Y40" s="161">
        <v>69</v>
      </c>
      <c r="Z40" s="161">
        <v>2</v>
      </c>
      <c r="AA40" s="161">
        <v>16</v>
      </c>
      <c r="AB40" s="161">
        <v>98</v>
      </c>
      <c r="AC40" s="161">
        <v>15</v>
      </c>
      <c r="AD40" s="161">
        <v>44</v>
      </c>
      <c r="AE40" s="161"/>
      <c r="AF40" s="161">
        <v>0</v>
      </c>
      <c r="AG40" s="161">
        <v>39</v>
      </c>
      <c r="AH40" s="161">
        <v>11</v>
      </c>
      <c r="AI40" s="161"/>
      <c r="AJ40" s="161">
        <v>76</v>
      </c>
      <c r="AK40" s="161">
        <v>0</v>
      </c>
      <c r="AL40" s="161">
        <v>461</v>
      </c>
      <c r="AM40" s="2585">
        <f t="shared" si="0"/>
        <v>0.26898047722342733</v>
      </c>
      <c r="AN40" s="3196"/>
      <c r="AO40" s="73"/>
      <c r="AP40" s="73"/>
      <c r="AQ40" s="73" t="s">
        <v>34</v>
      </c>
      <c r="AR40" s="161">
        <v>98</v>
      </c>
      <c r="AS40" s="161">
        <v>56</v>
      </c>
      <c r="AT40" s="161"/>
      <c r="AU40" s="161">
        <v>16</v>
      </c>
      <c r="AV40" s="161">
        <v>121</v>
      </c>
      <c r="AW40" s="161">
        <v>4</v>
      </c>
      <c r="AX40" s="161">
        <v>21</v>
      </c>
      <c r="AY40" s="161">
        <v>0</v>
      </c>
      <c r="AZ40" s="161">
        <v>0</v>
      </c>
      <c r="BA40" s="161">
        <v>39</v>
      </c>
      <c r="BB40" s="161">
        <v>10</v>
      </c>
      <c r="BC40" s="161"/>
      <c r="BD40" s="161">
        <v>85</v>
      </c>
      <c r="BE40" s="161">
        <v>0</v>
      </c>
      <c r="BF40" s="161">
        <v>450</v>
      </c>
      <c r="BG40" s="2585">
        <f t="shared" si="5"/>
        <v>0.3</v>
      </c>
      <c r="BI40" s="2140"/>
      <c r="BJ40" s="2140"/>
      <c r="BK40" s="2148" t="s">
        <v>34</v>
      </c>
      <c r="BL40" s="2149">
        <v>80</v>
      </c>
      <c r="BM40" s="2149">
        <v>47</v>
      </c>
      <c r="BN40" s="2150"/>
      <c r="BO40" s="2149">
        <v>21</v>
      </c>
      <c r="BP40" s="2149">
        <v>129</v>
      </c>
      <c r="BQ40" s="2149">
        <v>5</v>
      </c>
      <c r="BR40" s="2149">
        <v>29</v>
      </c>
      <c r="BS40" s="2150"/>
      <c r="BT40" s="2149">
        <v>0</v>
      </c>
      <c r="BU40" s="2149">
        <v>37</v>
      </c>
      <c r="BV40" s="2149">
        <v>12</v>
      </c>
      <c r="BW40" s="2150"/>
      <c r="BX40" s="2149">
        <v>84</v>
      </c>
      <c r="BY40" s="2149">
        <v>0</v>
      </c>
      <c r="BZ40" s="2149">
        <v>444</v>
      </c>
      <c r="CA40" s="2151">
        <f t="shared" si="6"/>
        <v>0.32882882882882886</v>
      </c>
      <c r="CC40" s="1452"/>
      <c r="CD40" s="1452"/>
      <c r="CE40" s="1465" t="s">
        <v>34</v>
      </c>
      <c r="CF40" s="1466">
        <v>76</v>
      </c>
      <c r="CG40" s="1466">
        <v>43</v>
      </c>
      <c r="CH40" s="1452"/>
      <c r="CI40" s="1466">
        <v>34</v>
      </c>
      <c r="CJ40" s="1466">
        <v>136</v>
      </c>
      <c r="CK40" s="1466">
        <v>3</v>
      </c>
      <c r="CL40" s="1466">
        <v>30</v>
      </c>
      <c r="CM40" s="1452"/>
      <c r="CN40" s="1466">
        <v>0</v>
      </c>
      <c r="CO40" s="1466">
        <v>41</v>
      </c>
      <c r="CP40" s="1466">
        <v>15</v>
      </c>
      <c r="CQ40" s="1466">
        <v>99</v>
      </c>
      <c r="CR40" s="1452"/>
      <c r="CS40" s="1466">
        <v>477</v>
      </c>
      <c r="CT40" s="814">
        <f t="shared" si="7"/>
        <v>0.32285115303983231</v>
      </c>
      <c r="CV40" s="929"/>
      <c r="CW40" s="929"/>
      <c r="CX40" s="1467" t="s">
        <v>34</v>
      </c>
      <c r="CY40" s="1468">
        <v>65</v>
      </c>
      <c r="CZ40" s="1468">
        <v>52</v>
      </c>
      <c r="DA40" s="1468">
        <v>0</v>
      </c>
      <c r="DB40" s="1468">
        <v>38</v>
      </c>
      <c r="DC40" s="1468">
        <v>119</v>
      </c>
      <c r="DD40" s="1468">
        <v>16</v>
      </c>
      <c r="DE40" s="1468">
        <v>44</v>
      </c>
      <c r="DF40" s="929"/>
      <c r="DG40" s="1468">
        <v>0</v>
      </c>
      <c r="DH40" s="1468">
        <v>29</v>
      </c>
      <c r="DI40" s="1468">
        <v>15</v>
      </c>
      <c r="DJ40" s="1468">
        <v>93</v>
      </c>
      <c r="DK40" s="929"/>
      <c r="DL40" s="1468">
        <v>471</v>
      </c>
      <c r="DM40" s="814">
        <f t="shared" si="8"/>
        <v>0.31847133757961782</v>
      </c>
      <c r="DO40" s="1094"/>
      <c r="DP40" s="1094"/>
      <c r="DQ40" s="1469" t="s">
        <v>35</v>
      </c>
      <c r="DR40" s="1470">
        <v>97</v>
      </c>
      <c r="DS40" s="1470">
        <v>38</v>
      </c>
      <c r="DT40" s="1470">
        <v>0</v>
      </c>
      <c r="DU40" s="1470">
        <v>29</v>
      </c>
      <c r="DV40" s="1470">
        <v>119</v>
      </c>
      <c r="DW40" s="1470">
        <v>7</v>
      </c>
      <c r="DX40" s="1470">
        <v>35</v>
      </c>
      <c r="DY40" s="1470">
        <v>1</v>
      </c>
      <c r="DZ40" s="1470">
        <v>32</v>
      </c>
      <c r="EA40" s="1470">
        <v>7</v>
      </c>
      <c r="EB40" s="1470">
        <v>52</v>
      </c>
      <c r="EC40" s="1470">
        <v>114</v>
      </c>
      <c r="ED40" s="1470">
        <v>0</v>
      </c>
      <c r="EE40" s="1470">
        <v>4</v>
      </c>
      <c r="EF40" s="1470">
        <v>535</v>
      </c>
      <c r="EG40" s="1471">
        <f t="shared" si="9"/>
        <v>0.27766179540709812</v>
      </c>
      <c r="EI40" s="163"/>
      <c r="EJ40" s="163"/>
      <c r="EK40" s="80" t="s">
        <v>35</v>
      </c>
      <c r="EL40" s="80">
        <v>86</v>
      </c>
      <c r="EM40" s="80">
        <v>45</v>
      </c>
      <c r="EN40" s="80"/>
      <c r="EO40" s="80">
        <v>29</v>
      </c>
      <c r="EP40" s="80">
        <v>118</v>
      </c>
      <c r="EQ40" s="80">
        <v>12</v>
      </c>
      <c r="ER40" s="80">
        <v>26</v>
      </c>
      <c r="ES40" s="80">
        <v>1</v>
      </c>
      <c r="ET40" s="80">
        <v>23</v>
      </c>
      <c r="EU40" s="80">
        <v>9</v>
      </c>
      <c r="EV40" s="80">
        <v>43</v>
      </c>
      <c r="EW40" s="80">
        <v>118</v>
      </c>
      <c r="EX40" s="80"/>
      <c r="EY40" s="80">
        <v>4</v>
      </c>
      <c r="EZ40" s="80">
        <v>514</v>
      </c>
      <c r="FA40" s="1472">
        <f t="shared" si="1"/>
        <v>0.29764453961456105</v>
      </c>
      <c r="FB40" s="80"/>
      <c r="FC40" s="681"/>
      <c r="FD40" s="681"/>
      <c r="FE40" s="681" t="s">
        <v>35</v>
      </c>
      <c r="FF40" s="1473">
        <v>59</v>
      </c>
      <c r="FG40" s="1473">
        <v>55</v>
      </c>
      <c r="FH40" s="1473" t="s">
        <v>332</v>
      </c>
      <c r="FI40" s="1473">
        <v>30</v>
      </c>
      <c r="FJ40" s="1473">
        <v>99</v>
      </c>
      <c r="FK40" s="1473">
        <v>15</v>
      </c>
      <c r="FL40" s="1473">
        <v>40</v>
      </c>
      <c r="FM40" s="1473" t="s">
        <v>332</v>
      </c>
      <c r="FN40" s="1473">
        <v>35</v>
      </c>
      <c r="FO40" s="1473">
        <v>11</v>
      </c>
      <c r="FP40" s="1473">
        <v>110</v>
      </c>
      <c r="FQ40" s="1473" t="s">
        <v>332</v>
      </c>
      <c r="FR40" s="1473">
        <v>454</v>
      </c>
      <c r="FS40" s="1473">
        <f t="shared" si="2"/>
        <v>125</v>
      </c>
      <c r="FT40" s="1474">
        <f t="shared" si="3"/>
        <v>0.2753303964757709</v>
      </c>
      <c r="FU40" s="80"/>
      <c r="FV40" s="80"/>
    </row>
    <row r="41" spans="1:178">
      <c r="A41" s="73"/>
      <c r="B41" s="73"/>
      <c r="C41" s="73" t="s">
        <v>35</v>
      </c>
      <c r="D41" s="161">
        <v>101</v>
      </c>
      <c r="E41" s="161">
        <v>70</v>
      </c>
      <c r="F41" s="161"/>
      <c r="G41" s="161">
        <v>5</v>
      </c>
      <c r="H41" s="161">
        <v>125</v>
      </c>
      <c r="I41" s="161">
        <v>12</v>
      </c>
      <c r="J41" s="161">
        <v>49</v>
      </c>
      <c r="K41" s="161"/>
      <c r="L41" s="161">
        <v>1</v>
      </c>
      <c r="M41" s="161">
        <v>43</v>
      </c>
      <c r="N41" s="161">
        <v>9</v>
      </c>
      <c r="O41" s="161"/>
      <c r="P41" s="161">
        <v>83</v>
      </c>
      <c r="Q41" s="161">
        <v>0</v>
      </c>
      <c r="R41" s="161">
        <v>498</v>
      </c>
      <c r="S41" s="4680">
        <f t="shared" si="4"/>
        <v>0.29317269076305219</v>
      </c>
      <c r="U41" s="73"/>
      <c r="V41" s="73"/>
      <c r="W41" s="73" t="s">
        <v>35</v>
      </c>
      <c r="X41" s="161">
        <v>111</v>
      </c>
      <c r="Y41" s="161">
        <v>64</v>
      </c>
      <c r="Z41" s="161">
        <v>0</v>
      </c>
      <c r="AA41" s="161">
        <v>24</v>
      </c>
      <c r="AB41" s="161">
        <v>131</v>
      </c>
      <c r="AC41" s="161">
        <v>10</v>
      </c>
      <c r="AD41" s="161">
        <v>38</v>
      </c>
      <c r="AE41" s="161"/>
      <c r="AF41" s="161">
        <v>1</v>
      </c>
      <c r="AG41" s="161">
        <v>45</v>
      </c>
      <c r="AH41" s="161">
        <v>13</v>
      </c>
      <c r="AI41" s="161"/>
      <c r="AJ41" s="161">
        <v>85</v>
      </c>
      <c r="AK41" s="161">
        <v>1</v>
      </c>
      <c r="AL41" s="161">
        <v>523</v>
      </c>
      <c r="AM41" s="2585">
        <f t="shared" si="0"/>
        <v>0.2950191570881226</v>
      </c>
      <c r="AN41" s="3196"/>
      <c r="AO41" s="73"/>
      <c r="AP41" s="73"/>
      <c r="AQ41" s="73" t="s">
        <v>35</v>
      </c>
      <c r="AR41" s="161">
        <v>99</v>
      </c>
      <c r="AS41" s="161">
        <v>67</v>
      </c>
      <c r="AT41" s="161"/>
      <c r="AU41" s="161">
        <v>20</v>
      </c>
      <c r="AV41" s="161">
        <v>142</v>
      </c>
      <c r="AW41" s="161">
        <v>11</v>
      </c>
      <c r="AX41" s="161">
        <v>30</v>
      </c>
      <c r="AY41" s="161">
        <v>0</v>
      </c>
      <c r="AZ41" s="161">
        <v>1</v>
      </c>
      <c r="BA41" s="161">
        <v>38</v>
      </c>
      <c r="BB41" s="161">
        <v>13</v>
      </c>
      <c r="BC41" s="161"/>
      <c r="BD41" s="161">
        <v>73</v>
      </c>
      <c r="BE41" s="161">
        <v>2</v>
      </c>
      <c r="BF41" s="161">
        <v>496</v>
      </c>
      <c r="BG41" s="2585">
        <f t="shared" si="5"/>
        <v>0.33603238866396762</v>
      </c>
      <c r="BI41" s="2140"/>
      <c r="BJ41" s="2140"/>
      <c r="BK41" s="2148" t="s">
        <v>35</v>
      </c>
      <c r="BL41" s="2149">
        <v>88</v>
      </c>
      <c r="BM41" s="2149">
        <v>76</v>
      </c>
      <c r="BN41" s="2150"/>
      <c r="BO41" s="2149">
        <v>17</v>
      </c>
      <c r="BP41" s="2149">
        <v>141</v>
      </c>
      <c r="BQ41" s="2149">
        <v>3</v>
      </c>
      <c r="BR41" s="2149">
        <v>42</v>
      </c>
      <c r="BS41" s="2150"/>
      <c r="BT41" s="2149">
        <v>1</v>
      </c>
      <c r="BU41" s="2149">
        <v>35</v>
      </c>
      <c r="BV41" s="2149">
        <v>17</v>
      </c>
      <c r="BW41" s="2150"/>
      <c r="BX41" s="2149">
        <v>75</v>
      </c>
      <c r="BY41" s="2149">
        <v>2</v>
      </c>
      <c r="BZ41" s="2149">
        <v>497</v>
      </c>
      <c r="CA41" s="2151">
        <f t="shared" si="6"/>
        <v>0.32525252525252524</v>
      </c>
      <c r="CC41" s="1452"/>
      <c r="CD41" s="1452"/>
      <c r="CE41" s="1465" t="s">
        <v>35</v>
      </c>
      <c r="CF41" s="1466">
        <v>78</v>
      </c>
      <c r="CG41" s="1466">
        <v>60</v>
      </c>
      <c r="CH41" s="1452"/>
      <c r="CI41" s="1466">
        <v>25</v>
      </c>
      <c r="CJ41" s="1466">
        <v>150</v>
      </c>
      <c r="CK41" s="1466">
        <v>6</v>
      </c>
      <c r="CL41" s="1466">
        <v>45</v>
      </c>
      <c r="CM41" s="1452"/>
      <c r="CN41" s="1466">
        <v>1</v>
      </c>
      <c r="CO41" s="1466">
        <v>55</v>
      </c>
      <c r="CP41" s="1466">
        <v>4</v>
      </c>
      <c r="CQ41" s="1466">
        <v>103</v>
      </c>
      <c r="CR41" s="1452"/>
      <c r="CS41" s="1466">
        <v>527</v>
      </c>
      <c r="CT41" s="814">
        <f t="shared" si="7"/>
        <v>0.30360531309297911</v>
      </c>
      <c r="CV41" s="929"/>
      <c r="CW41" s="929"/>
      <c r="CX41" s="1467" t="s">
        <v>35</v>
      </c>
      <c r="CY41" s="1468">
        <v>96</v>
      </c>
      <c r="CZ41" s="1468">
        <v>59</v>
      </c>
      <c r="DA41" s="1468">
        <v>0</v>
      </c>
      <c r="DB41" s="1468">
        <v>24</v>
      </c>
      <c r="DC41" s="1468">
        <v>136</v>
      </c>
      <c r="DD41" s="1468">
        <v>8</v>
      </c>
      <c r="DE41" s="1468">
        <v>30</v>
      </c>
      <c r="DF41" s="929"/>
      <c r="DG41" s="1468">
        <v>1</v>
      </c>
      <c r="DH41" s="1468">
        <v>34</v>
      </c>
      <c r="DI41" s="1468">
        <v>7</v>
      </c>
      <c r="DJ41" s="1468">
        <v>101</v>
      </c>
      <c r="DK41" s="929"/>
      <c r="DL41" s="1468">
        <v>496</v>
      </c>
      <c r="DM41" s="814">
        <f t="shared" si="8"/>
        <v>0.30443548387096775</v>
      </c>
      <c r="DO41" s="1094"/>
      <c r="DP41" s="1094"/>
      <c r="DQ41" s="1469" t="s">
        <v>19</v>
      </c>
      <c r="DR41" s="1470">
        <v>114</v>
      </c>
      <c r="DS41" s="1470">
        <v>58</v>
      </c>
      <c r="DT41" s="1470">
        <v>0</v>
      </c>
      <c r="DU41" s="1470">
        <v>35</v>
      </c>
      <c r="DV41" s="1470">
        <v>175</v>
      </c>
      <c r="DW41" s="1470">
        <v>31</v>
      </c>
      <c r="DX41" s="1470">
        <v>41</v>
      </c>
      <c r="DY41" s="1470">
        <v>0</v>
      </c>
      <c r="DZ41" s="1470">
        <v>14</v>
      </c>
      <c r="EA41" s="1470">
        <v>18</v>
      </c>
      <c r="EB41" s="1470">
        <v>147</v>
      </c>
      <c r="EC41" s="1470">
        <v>151</v>
      </c>
      <c r="ED41" s="1470">
        <v>0</v>
      </c>
      <c r="EE41" s="1470">
        <v>6</v>
      </c>
      <c r="EF41" s="1470">
        <v>790</v>
      </c>
      <c r="EG41" s="1471">
        <f t="shared" si="9"/>
        <v>0.35164835164835168</v>
      </c>
      <c r="EI41" s="163"/>
      <c r="EJ41" s="163"/>
      <c r="EK41" s="80" t="s">
        <v>19</v>
      </c>
      <c r="EL41" s="80">
        <v>92</v>
      </c>
      <c r="EM41" s="80">
        <v>44</v>
      </c>
      <c r="EN41" s="80"/>
      <c r="EO41" s="80">
        <v>38</v>
      </c>
      <c r="EP41" s="80">
        <v>175</v>
      </c>
      <c r="EQ41" s="80">
        <v>28</v>
      </c>
      <c r="ER41" s="80">
        <v>42</v>
      </c>
      <c r="ES41" s="80">
        <v>0</v>
      </c>
      <c r="ET41" s="80">
        <v>9</v>
      </c>
      <c r="EU41" s="80">
        <v>17</v>
      </c>
      <c r="EV41" s="80">
        <v>129</v>
      </c>
      <c r="EW41" s="80">
        <v>147</v>
      </c>
      <c r="EX41" s="80"/>
      <c r="EY41" s="80">
        <v>2</v>
      </c>
      <c r="EZ41" s="80">
        <v>723</v>
      </c>
      <c r="FA41" s="1472">
        <f t="shared" si="1"/>
        <v>0.3716216216216216</v>
      </c>
      <c r="FB41" s="80"/>
      <c r="FC41" s="681"/>
      <c r="FD41" s="681"/>
      <c r="FE41" s="681" t="s">
        <v>19</v>
      </c>
      <c r="FF41" s="1473">
        <v>60</v>
      </c>
      <c r="FG41" s="1473">
        <v>49</v>
      </c>
      <c r="FH41" s="1473" t="s">
        <v>332</v>
      </c>
      <c r="FI41" s="1473">
        <v>39</v>
      </c>
      <c r="FJ41" s="1473">
        <v>158</v>
      </c>
      <c r="FK41" s="1473">
        <v>29</v>
      </c>
      <c r="FL41" s="1473">
        <v>56</v>
      </c>
      <c r="FM41" s="1473" t="s">
        <v>332</v>
      </c>
      <c r="FN41" s="1473">
        <v>15</v>
      </c>
      <c r="FO41" s="1473">
        <v>29</v>
      </c>
      <c r="FP41" s="1473">
        <v>141</v>
      </c>
      <c r="FQ41" s="1473" t="s">
        <v>332</v>
      </c>
      <c r="FR41" s="1473">
        <v>576</v>
      </c>
      <c r="FS41" s="1473">
        <f t="shared" si="2"/>
        <v>216</v>
      </c>
      <c r="FT41" s="1474">
        <f t="shared" si="3"/>
        <v>0.375</v>
      </c>
      <c r="FU41" s="80"/>
      <c r="FV41" s="80"/>
    </row>
    <row r="42" spans="1:178">
      <c r="A42" s="73"/>
      <c r="B42" s="73"/>
      <c r="C42" s="73" t="s">
        <v>19</v>
      </c>
      <c r="D42" s="161">
        <v>134</v>
      </c>
      <c r="E42" s="161">
        <v>98</v>
      </c>
      <c r="F42" s="161"/>
      <c r="G42" s="161">
        <v>3</v>
      </c>
      <c r="H42" s="161">
        <v>211</v>
      </c>
      <c r="I42" s="161">
        <v>32</v>
      </c>
      <c r="J42" s="161">
        <v>57</v>
      </c>
      <c r="K42" s="161"/>
      <c r="L42" s="161">
        <v>0</v>
      </c>
      <c r="M42" s="161">
        <v>26</v>
      </c>
      <c r="N42" s="161">
        <v>18</v>
      </c>
      <c r="O42" s="161"/>
      <c r="P42" s="161">
        <v>153</v>
      </c>
      <c r="Q42" s="161">
        <v>2</v>
      </c>
      <c r="R42" s="161">
        <v>734</v>
      </c>
      <c r="S42" s="4680">
        <f t="shared" si="4"/>
        <v>0.35655737704918034</v>
      </c>
      <c r="U42" s="73"/>
      <c r="V42" s="73"/>
      <c r="W42" s="73" t="s">
        <v>19</v>
      </c>
      <c r="X42" s="161">
        <v>113</v>
      </c>
      <c r="Y42" s="161">
        <v>110</v>
      </c>
      <c r="Z42" s="161">
        <v>0</v>
      </c>
      <c r="AA42" s="161">
        <v>39</v>
      </c>
      <c r="AB42" s="161">
        <v>205</v>
      </c>
      <c r="AC42" s="161">
        <v>43</v>
      </c>
      <c r="AD42" s="161">
        <v>44</v>
      </c>
      <c r="AE42" s="161"/>
      <c r="AF42" s="161">
        <v>0</v>
      </c>
      <c r="AG42" s="161">
        <v>20</v>
      </c>
      <c r="AH42" s="161">
        <v>30</v>
      </c>
      <c r="AI42" s="161"/>
      <c r="AJ42" s="161">
        <v>131</v>
      </c>
      <c r="AK42" s="161">
        <v>3</v>
      </c>
      <c r="AL42" s="161">
        <v>738</v>
      </c>
      <c r="AM42" s="2585">
        <f t="shared" si="0"/>
        <v>0.37823129251700682</v>
      </c>
      <c r="AN42" s="3196"/>
      <c r="AO42" s="73"/>
      <c r="AP42" s="73"/>
      <c r="AQ42" s="73" t="s">
        <v>19</v>
      </c>
      <c r="AR42" s="161">
        <v>118</v>
      </c>
      <c r="AS42" s="161">
        <v>101</v>
      </c>
      <c r="AT42" s="161"/>
      <c r="AU42" s="161">
        <v>40</v>
      </c>
      <c r="AV42" s="161">
        <v>209</v>
      </c>
      <c r="AW42" s="161">
        <v>20</v>
      </c>
      <c r="AX42" s="161">
        <v>42</v>
      </c>
      <c r="AY42" s="161">
        <v>0</v>
      </c>
      <c r="AZ42" s="161">
        <v>0</v>
      </c>
      <c r="BA42" s="161">
        <v>26</v>
      </c>
      <c r="BB42" s="161">
        <v>30</v>
      </c>
      <c r="BC42" s="161"/>
      <c r="BD42" s="161">
        <v>119</v>
      </c>
      <c r="BE42" s="161">
        <v>2</v>
      </c>
      <c r="BF42" s="161">
        <v>707</v>
      </c>
      <c r="BG42" s="2585">
        <f t="shared" si="5"/>
        <v>0.36737588652482267</v>
      </c>
      <c r="BI42" s="2140"/>
      <c r="BJ42" s="2140"/>
      <c r="BK42" s="2148" t="s">
        <v>19</v>
      </c>
      <c r="BL42" s="2149">
        <v>116</v>
      </c>
      <c r="BM42" s="2149">
        <v>74</v>
      </c>
      <c r="BN42" s="2150"/>
      <c r="BO42" s="2149">
        <v>35</v>
      </c>
      <c r="BP42" s="2149">
        <v>209</v>
      </c>
      <c r="BQ42" s="2149">
        <v>13</v>
      </c>
      <c r="BR42" s="2149">
        <v>51</v>
      </c>
      <c r="BS42" s="2150"/>
      <c r="BT42" s="2149">
        <v>0</v>
      </c>
      <c r="BU42" s="2149">
        <v>35</v>
      </c>
      <c r="BV42" s="2149">
        <v>43</v>
      </c>
      <c r="BW42" s="2150"/>
      <c r="BX42" s="2149">
        <v>113</v>
      </c>
      <c r="BY42" s="2149">
        <v>2</v>
      </c>
      <c r="BZ42" s="2149">
        <v>691</v>
      </c>
      <c r="CA42" s="2151">
        <f t="shared" si="6"/>
        <v>0.38461538461538464</v>
      </c>
      <c r="CC42" s="1452"/>
      <c r="CD42" s="1452"/>
      <c r="CE42" s="1465" t="s">
        <v>19</v>
      </c>
      <c r="CF42" s="1466">
        <v>118</v>
      </c>
      <c r="CG42" s="1466">
        <v>71</v>
      </c>
      <c r="CH42" s="1452"/>
      <c r="CI42" s="1466">
        <v>37</v>
      </c>
      <c r="CJ42" s="1466">
        <v>209</v>
      </c>
      <c r="CK42" s="1466">
        <v>20</v>
      </c>
      <c r="CL42" s="1466">
        <v>40</v>
      </c>
      <c r="CM42" s="1452"/>
      <c r="CN42" s="1466">
        <v>0</v>
      </c>
      <c r="CO42" s="1466">
        <v>37</v>
      </c>
      <c r="CP42" s="1466">
        <v>17</v>
      </c>
      <c r="CQ42" s="1466">
        <v>167</v>
      </c>
      <c r="CR42" s="1452"/>
      <c r="CS42" s="1466">
        <v>716</v>
      </c>
      <c r="CT42" s="814">
        <f t="shared" si="7"/>
        <v>0.34357541899441341</v>
      </c>
      <c r="CV42" s="929"/>
      <c r="CW42" s="929"/>
      <c r="CX42" s="1467" t="s">
        <v>19</v>
      </c>
      <c r="CY42" s="1468">
        <v>115</v>
      </c>
      <c r="CZ42" s="1468">
        <v>76</v>
      </c>
      <c r="DA42" s="1468">
        <v>1</v>
      </c>
      <c r="DB42" s="1468">
        <v>37</v>
      </c>
      <c r="DC42" s="1468">
        <v>189</v>
      </c>
      <c r="DD42" s="1468">
        <v>37</v>
      </c>
      <c r="DE42" s="1468">
        <v>40</v>
      </c>
      <c r="DF42" s="929"/>
      <c r="DG42" s="1468">
        <v>0</v>
      </c>
      <c r="DH42" s="1468">
        <v>15</v>
      </c>
      <c r="DI42" s="1468">
        <v>15</v>
      </c>
      <c r="DJ42" s="1468">
        <v>148</v>
      </c>
      <c r="DK42" s="929"/>
      <c r="DL42" s="1468">
        <v>673</v>
      </c>
      <c r="DM42" s="814">
        <f t="shared" si="8"/>
        <v>0.35809806835066865</v>
      </c>
      <c r="DO42" s="1094"/>
      <c r="DP42" s="1094"/>
      <c r="DQ42" s="1469" t="s">
        <v>20</v>
      </c>
      <c r="DR42" s="1470">
        <v>116</v>
      </c>
      <c r="DS42" s="1470">
        <v>57</v>
      </c>
      <c r="DT42" s="1470">
        <v>0</v>
      </c>
      <c r="DU42" s="1470">
        <v>34</v>
      </c>
      <c r="DV42" s="1470">
        <v>141</v>
      </c>
      <c r="DW42" s="1470">
        <v>12</v>
      </c>
      <c r="DX42" s="1470">
        <v>46</v>
      </c>
      <c r="DY42" s="1470">
        <v>1</v>
      </c>
      <c r="DZ42" s="1470">
        <v>24</v>
      </c>
      <c r="EA42" s="1470">
        <v>14</v>
      </c>
      <c r="EB42" s="1470">
        <v>76</v>
      </c>
      <c r="EC42" s="1470">
        <v>119</v>
      </c>
      <c r="ED42" s="1470">
        <v>0</v>
      </c>
      <c r="EE42" s="1470">
        <v>2</v>
      </c>
      <c r="EF42" s="1470">
        <v>642</v>
      </c>
      <c r="EG42" s="1471">
        <f t="shared" si="9"/>
        <v>0.29609929078014185</v>
      </c>
      <c r="EI42" s="163"/>
      <c r="EJ42" s="163"/>
      <c r="EK42" s="80" t="s">
        <v>20</v>
      </c>
      <c r="EL42" s="80">
        <v>94</v>
      </c>
      <c r="EM42" s="80">
        <v>70</v>
      </c>
      <c r="EN42" s="80"/>
      <c r="EO42" s="80">
        <v>34</v>
      </c>
      <c r="EP42" s="80">
        <v>138</v>
      </c>
      <c r="EQ42" s="80">
        <v>20</v>
      </c>
      <c r="ER42" s="80">
        <v>48</v>
      </c>
      <c r="ES42" s="80">
        <v>1</v>
      </c>
      <c r="ET42" s="80">
        <v>15</v>
      </c>
      <c r="EU42" s="80">
        <v>20</v>
      </c>
      <c r="EV42" s="80">
        <v>69</v>
      </c>
      <c r="EW42" s="80">
        <v>121</v>
      </c>
      <c r="EX42" s="80"/>
      <c r="EY42" s="80">
        <v>4</v>
      </c>
      <c r="EZ42" s="80">
        <v>634</v>
      </c>
      <c r="FA42" s="1472">
        <f t="shared" si="1"/>
        <v>0.3172905525846702</v>
      </c>
      <c r="FB42" s="80"/>
      <c r="FC42" s="681"/>
      <c r="FD42" s="681"/>
      <c r="FE42" s="681" t="s">
        <v>20</v>
      </c>
      <c r="FF42" s="1473">
        <v>69</v>
      </c>
      <c r="FG42" s="1473">
        <v>75</v>
      </c>
      <c r="FH42" s="1473" t="s">
        <v>332</v>
      </c>
      <c r="FI42" s="1473">
        <v>32</v>
      </c>
      <c r="FJ42" s="1473">
        <v>139</v>
      </c>
      <c r="FK42" s="1473">
        <v>12</v>
      </c>
      <c r="FL42" s="1473">
        <v>47</v>
      </c>
      <c r="FM42" s="1473" t="s">
        <v>332</v>
      </c>
      <c r="FN42" s="1473">
        <v>38</v>
      </c>
      <c r="FO42" s="1473">
        <v>22</v>
      </c>
      <c r="FP42" s="1473">
        <v>128</v>
      </c>
      <c r="FQ42" s="1473" t="s">
        <v>332</v>
      </c>
      <c r="FR42" s="1473">
        <v>562</v>
      </c>
      <c r="FS42" s="1473">
        <f t="shared" si="2"/>
        <v>173</v>
      </c>
      <c r="FT42" s="1474">
        <f t="shared" si="3"/>
        <v>0.30782918149466193</v>
      </c>
      <c r="FU42" s="80"/>
      <c r="FV42" s="80"/>
    </row>
    <row r="43" spans="1:178">
      <c r="A43" s="73"/>
      <c r="B43" s="73"/>
      <c r="C43" s="73" t="s">
        <v>20</v>
      </c>
      <c r="D43" s="161">
        <v>118</v>
      </c>
      <c r="E43" s="161">
        <v>92</v>
      </c>
      <c r="F43" s="161"/>
      <c r="G43" s="161">
        <v>4</v>
      </c>
      <c r="H43" s="161">
        <v>173</v>
      </c>
      <c r="I43" s="161">
        <v>23</v>
      </c>
      <c r="J43" s="161">
        <v>47</v>
      </c>
      <c r="K43" s="161"/>
      <c r="L43" s="161">
        <v>0</v>
      </c>
      <c r="M43" s="161">
        <v>43</v>
      </c>
      <c r="N43" s="161">
        <v>21</v>
      </c>
      <c r="O43" s="161"/>
      <c r="P43" s="161">
        <v>94</v>
      </c>
      <c r="Q43" s="161">
        <v>0</v>
      </c>
      <c r="R43" s="161">
        <v>615</v>
      </c>
      <c r="S43" s="4680">
        <f t="shared" si="4"/>
        <v>0.35284552845528455</v>
      </c>
      <c r="U43" s="73"/>
      <c r="V43" s="73"/>
      <c r="W43" s="73" t="s">
        <v>20</v>
      </c>
      <c r="X43" s="161">
        <v>110</v>
      </c>
      <c r="Y43" s="161">
        <v>109</v>
      </c>
      <c r="Z43" s="161">
        <v>0</v>
      </c>
      <c r="AA43" s="161">
        <v>13</v>
      </c>
      <c r="AB43" s="161">
        <v>163</v>
      </c>
      <c r="AC43" s="161">
        <v>26</v>
      </c>
      <c r="AD43" s="161">
        <v>35</v>
      </c>
      <c r="AE43" s="161"/>
      <c r="AF43" s="161">
        <v>0</v>
      </c>
      <c r="AG43" s="161">
        <v>47</v>
      </c>
      <c r="AH43" s="161">
        <v>27</v>
      </c>
      <c r="AI43" s="161"/>
      <c r="AJ43" s="161">
        <v>87</v>
      </c>
      <c r="AK43" s="161">
        <v>2</v>
      </c>
      <c r="AL43" s="161">
        <v>619</v>
      </c>
      <c r="AM43" s="2585">
        <f t="shared" si="0"/>
        <v>0.35008103727714751</v>
      </c>
      <c r="AN43" s="3196"/>
      <c r="AO43" s="73"/>
      <c r="AP43" s="73"/>
      <c r="AQ43" s="73" t="s">
        <v>20</v>
      </c>
      <c r="AR43" s="161">
        <v>103</v>
      </c>
      <c r="AS43" s="161">
        <v>111</v>
      </c>
      <c r="AT43" s="161"/>
      <c r="AU43" s="161">
        <v>13</v>
      </c>
      <c r="AV43" s="161">
        <v>163</v>
      </c>
      <c r="AW43" s="161">
        <v>15</v>
      </c>
      <c r="AX43" s="161">
        <v>48</v>
      </c>
      <c r="AY43" s="161">
        <v>0</v>
      </c>
      <c r="AZ43" s="161">
        <v>0</v>
      </c>
      <c r="BA43" s="161">
        <v>48</v>
      </c>
      <c r="BB43" s="161">
        <v>26</v>
      </c>
      <c r="BC43" s="161"/>
      <c r="BD43" s="161">
        <v>68</v>
      </c>
      <c r="BE43" s="161">
        <v>2</v>
      </c>
      <c r="BF43" s="161">
        <v>597</v>
      </c>
      <c r="BG43" s="2585">
        <f t="shared" si="5"/>
        <v>0.34285714285714286</v>
      </c>
      <c r="BI43" s="2140"/>
      <c r="BJ43" s="2140"/>
      <c r="BK43" s="2148" t="s">
        <v>20</v>
      </c>
      <c r="BL43" s="2149">
        <v>119</v>
      </c>
      <c r="BM43" s="2149">
        <v>88</v>
      </c>
      <c r="BN43" s="2150"/>
      <c r="BO43" s="2149">
        <v>13</v>
      </c>
      <c r="BP43" s="2149">
        <v>158</v>
      </c>
      <c r="BQ43" s="2149">
        <v>21</v>
      </c>
      <c r="BR43" s="2149">
        <v>41</v>
      </c>
      <c r="BS43" s="2150"/>
      <c r="BT43" s="2149">
        <v>1</v>
      </c>
      <c r="BU43" s="2149">
        <v>44</v>
      </c>
      <c r="BV43" s="2149">
        <v>23</v>
      </c>
      <c r="BW43" s="2150"/>
      <c r="BX43" s="2149">
        <v>83</v>
      </c>
      <c r="BY43" s="2149">
        <v>0</v>
      </c>
      <c r="BZ43" s="2149">
        <v>591</v>
      </c>
      <c r="CA43" s="2151">
        <f t="shared" si="6"/>
        <v>0.34179357021996615</v>
      </c>
      <c r="CC43" s="1452"/>
      <c r="CD43" s="1452"/>
      <c r="CE43" s="1465" t="s">
        <v>20</v>
      </c>
      <c r="CF43" s="1466">
        <v>107</v>
      </c>
      <c r="CG43" s="1466">
        <v>81</v>
      </c>
      <c r="CH43" s="1452"/>
      <c r="CI43" s="1466">
        <v>27</v>
      </c>
      <c r="CJ43" s="1466">
        <v>149</v>
      </c>
      <c r="CK43" s="1466">
        <v>16</v>
      </c>
      <c r="CL43" s="1466">
        <v>45</v>
      </c>
      <c r="CM43" s="1452"/>
      <c r="CN43" s="1466">
        <v>1</v>
      </c>
      <c r="CO43" s="1466">
        <v>43</v>
      </c>
      <c r="CP43" s="1466">
        <v>38</v>
      </c>
      <c r="CQ43" s="1466">
        <v>102</v>
      </c>
      <c r="CR43" s="1452"/>
      <c r="CS43" s="1466">
        <v>609</v>
      </c>
      <c r="CT43" s="814">
        <f t="shared" si="7"/>
        <v>0.33333333333333331</v>
      </c>
      <c r="CV43" s="929"/>
      <c r="CW43" s="929"/>
      <c r="CX43" s="1467" t="s">
        <v>20</v>
      </c>
      <c r="CY43" s="1468">
        <v>110</v>
      </c>
      <c r="CZ43" s="1468">
        <v>74</v>
      </c>
      <c r="DA43" s="1468">
        <v>0</v>
      </c>
      <c r="DB43" s="1468">
        <v>28</v>
      </c>
      <c r="DC43" s="1468">
        <v>141</v>
      </c>
      <c r="DD43" s="1468">
        <v>23</v>
      </c>
      <c r="DE43" s="1468">
        <v>37</v>
      </c>
      <c r="DF43" s="929"/>
      <c r="DG43" s="1468">
        <v>1</v>
      </c>
      <c r="DH43" s="1468">
        <v>30</v>
      </c>
      <c r="DI43" s="1468">
        <v>13</v>
      </c>
      <c r="DJ43" s="1468">
        <v>109</v>
      </c>
      <c r="DK43" s="929"/>
      <c r="DL43" s="1468">
        <v>566</v>
      </c>
      <c r="DM43" s="814">
        <f t="shared" si="8"/>
        <v>0.3127208480565371</v>
      </c>
      <c r="DO43" s="1094"/>
      <c r="DP43" s="1094"/>
      <c r="DQ43" s="1469" t="s">
        <v>36</v>
      </c>
      <c r="DR43" s="1470">
        <v>90</v>
      </c>
      <c r="DS43" s="1470">
        <v>64</v>
      </c>
      <c r="DT43" s="1470">
        <v>0</v>
      </c>
      <c r="DU43" s="1470">
        <v>50</v>
      </c>
      <c r="DV43" s="1470">
        <v>115</v>
      </c>
      <c r="DW43" s="1470">
        <v>6</v>
      </c>
      <c r="DX43" s="1470">
        <v>47</v>
      </c>
      <c r="DY43" s="1470">
        <v>1</v>
      </c>
      <c r="DZ43" s="1470">
        <v>34</v>
      </c>
      <c r="EA43" s="1470">
        <v>9</v>
      </c>
      <c r="EB43" s="1470">
        <v>98</v>
      </c>
      <c r="EC43" s="1470">
        <v>159</v>
      </c>
      <c r="ED43" s="1470">
        <v>0</v>
      </c>
      <c r="EE43" s="1470">
        <v>2</v>
      </c>
      <c r="EF43" s="1470">
        <v>675</v>
      </c>
      <c r="EG43" s="1471">
        <f t="shared" si="9"/>
        <v>0.22608695652173913</v>
      </c>
      <c r="EI43" s="163"/>
      <c r="EJ43" s="163"/>
      <c r="EK43" s="80" t="s">
        <v>36</v>
      </c>
      <c r="EL43" s="80">
        <v>89</v>
      </c>
      <c r="EM43" s="80">
        <v>65</v>
      </c>
      <c r="EN43" s="80"/>
      <c r="EO43" s="80">
        <v>44</v>
      </c>
      <c r="EP43" s="80">
        <v>117</v>
      </c>
      <c r="EQ43" s="80">
        <v>6</v>
      </c>
      <c r="ER43" s="80">
        <v>47</v>
      </c>
      <c r="ES43" s="80">
        <v>1</v>
      </c>
      <c r="ET43" s="80">
        <v>39</v>
      </c>
      <c r="EU43" s="80">
        <v>4</v>
      </c>
      <c r="EV43" s="80">
        <v>89</v>
      </c>
      <c r="EW43" s="80">
        <v>158</v>
      </c>
      <c r="EX43" s="80"/>
      <c r="EY43" s="80">
        <v>2</v>
      </c>
      <c r="EZ43" s="80">
        <v>661</v>
      </c>
      <c r="FA43" s="1472">
        <f t="shared" si="1"/>
        <v>0.22280701754385965</v>
      </c>
      <c r="FB43" s="80"/>
      <c r="FC43" s="681"/>
      <c r="FD43" s="681"/>
      <c r="FE43" s="681" t="s">
        <v>36</v>
      </c>
      <c r="FF43" s="1473">
        <v>71</v>
      </c>
      <c r="FG43" s="1473">
        <v>76</v>
      </c>
      <c r="FH43" s="1473" t="s">
        <v>332</v>
      </c>
      <c r="FI43" s="1473">
        <v>41</v>
      </c>
      <c r="FJ43" s="1473">
        <v>124</v>
      </c>
      <c r="FK43" s="1473">
        <v>6</v>
      </c>
      <c r="FL43" s="1473">
        <v>44</v>
      </c>
      <c r="FM43" s="1473" t="s">
        <v>332</v>
      </c>
      <c r="FN43" s="1473">
        <v>45</v>
      </c>
      <c r="FO43" s="1473">
        <v>5</v>
      </c>
      <c r="FP43" s="1473">
        <v>154</v>
      </c>
      <c r="FQ43" s="1473" t="s">
        <v>332</v>
      </c>
      <c r="FR43" s="1473">
        <v>566</v>
      </c>
      <c r="FS43" s="1473">
        <f t="shared" si="2"/>
        <v>135</v>
      </c>
      <c r="FT43" s="1474">
        <f t="shared" si="3"/>
        <v>0.23851590106007067</v>
      </c>
      <c r="FU43" s="80"/>
      <c r="FV43" s="80"/>
    </row>
    <row r="44" spans="1:178">
      <c r="A44" s="73"/>
      <c r="B44" s="73"/>
      <c r="C44" s="73" t="s">
        <v>36</v>
      </c>
      <c r="D44" s="161">
        <v>101</v>
      </c>
      <c r="E44" s="161">
        <v>72</v>
      </c>
      <c r="F44" s="161"/>
      <c r="G44" s="161">
        <v>1</v>
      </c>
      <c r="H44" s="161">
        <v>140</v>
      </c>
      <c r="I44" s="161">
        <v>9</v>
      </c>
      <c r="J44" s="161">
        <v>38</v>
      </c>
      <c r="K44" s="161"/>
      <c r="L44" s="161">
        <v>0</v>
      </c>
      <c r="M44" s="161">
        <v>55</v>
      </c>
      <c r="N44" s="161">
        <v>8</v>
      </c>
      <c r="O44" s="161"/>
      <c r="P44" s="161">
        <v>93</v>
      </c>
      <c r="Q44" s="161">
        <v>0</v>
      </c>
      <c r="R44" s="161">
        <v>517</v>
      </c>
      <c r="S44" s="4680">
        <f t="shared" si="4"/>
        <v>0.30367504835589942</v>
      </c>
      <c r="U44" s="73"/>
      <c r="V44" s="73"/>
      <c r="W44" s="73" t="s">
        <v>36</v>
      </c>
      <c r="X44" s="161">
        <v>97</v>
      </c>
      <c r="Y44" s="161">
        <v>83</v>
      </c>
      <c r="Z44" s="161">
        <v>0</v>
      </c>
      <c r="AA44" s="161">
        <v>23</v>
      </c>
      <c r="AB44" s="161">
        <v>127</v>
      </c>
      <c r="AC44" s="161">
        <v>12</v>
      </c>
      <c r="AD44" s="161">
        <v>45</v>
      </c>
      <c r="AE44" s="161"/>
      <c r="AF44" s="161">
        <v>1</v>
      </c>
      <c r="AG44" s="161">
        <v>45</v>
      </c>
      <c r="AH44" s="161">
        <v>12</v>
      </c>
      <c r="AI44" s="161"/>
      <c r="AJ44" s="161">
        <v>84</v>
      </c>
      <c r="AK44" s="161">
        <v>0</v>
      </c>
      <c r="AL44" s="161">
        <v>529</v>
      </c>
      <c r="AM44" s="2585">
        <f t="shared" si="0"/>
        <v>0.28544423440453687</v>
      </c>
      <c r="AN44" s="3196"/>
      <c r="AO44" s="73"/>
      <c r="AP44" s="73"/>
      <c r="AQ44" s="73" t="s">
        <v>36</v>
      </c>
      <c r="AR44" s="161">
        <v>85</v>
      </c>
      <c r="AS44" s="161">
        <v>71</v>
      </c>
      <c r="AT44" s="161"/>
      <c r="AU44" s="161">
        <v>22</v>
      </c>
      <c r="AV44" s="161">
        <v>124</v>
      </c>
      <c r="AW44" s="161">
        <v>1</v>
      </c>
      <c r="AX44" s="161">
        <v>49</v>
      </c>
      <c r="AY44" s="161">
        <v>0</v>
      </c>
      <c r="AZ44" s="161">
        <v>1</v>
      </c>
      <c r="BA44" s="161">
        <v>61</v>
      </c>
      <c r="BB44" s="161">
        <v>17</v>
      </c>
      <c r="BC44" s="161"/>
      <c r="BD44" s="161">
        <v>79</v>
      </c>
      <c r="BE44" s="161">
        <v>0</v>
      </c>
      <c r="BF44" s="161">
        <v>510</v>
      </c>
      <c r="BG44" s="2585">
        <f t="shared" si="5"/>
        <v>0.27843137254901962</v>
      </c>
      <c r="BI44" s="2140"/>
      <c r="BJ44" s="2140"/>
      <c r="BK44" s="2148" t="s">
        <v>36</v>
      </c>
      <c r="BL44" s="2149">
        <v>84</v>
      </c>
      <c r="BM44" s="2149">
        <v>66</v>
      </c>
      <c r="BN44" s="2150"/>
      <c r="BO44" s="2149">
        <v>22</v>
      </c>
      <c r="BP44" s="2149">
        <v>120</v>
      </c>
      <c r="BQ44" s="2149">
        <v>8</v>
      </c>
      <c r="BR44" s="2149">
        <v>55</v>
      </c>
      <c r="BS44" s="2150"/>
      <c r="BT44" s="2149">
        <v>2</v>
      </c>
      <c r="BU44" s="2149">
        <v>45</v>
      </c>
      <c r="BV44" s="2149">
        <v>14</v>
      </c>
      <c r="BW44" s="2150"/>
      <c r="BX44" s="2149">
        <v>91</v>
      </c>
      <c r="BY44" s="2149">
        <v>0</v>
      </c>
      <c r="BZ44" s="2149">
        <v>507</v>
      </c>
      <c r="CA44" s="2151">
        <f t="shared" si="6"/>
        <v>0.28007889546351084</v>
      </c>
      <c r="CC44" s="1452"/>
      <c r="CD44" s="1452"/>
      <c r="CE44" s="1465" t="s">
        <v>36</v>
      </c>
      <c r="CF44" s="1466">
        <v>85</v>
      </c>
      <c r="CG44" s="1466">
        <v>75</v>
      </c>
      <c r="CH44" s="1452"/>
      <c r="CI44" s="1466">
        <v>37</v>
      </c>
      <c r="CJ44" s="1466">
        <v>120</v>
      </c>
      <c r="CK44" s="1466">
        <v>4</v>
      </c>
      <c r="CL44" s="1466">
        <v>54</v>
      </c>
      <c r="CM44" s="1452"/>
      <c r="CN44" s="1466">
        <v>2</v>
      </c>
      <c r="CO44" s="1466">
        <v>49</v>
      </c>
      <c r="CP44" s="1466">
        <v>16</v>
      </c>
      <c r="CQ44" s="1466">
        <v>149</v>
      </c>
      <c r="CR44" s="1452"/>
      <c r="CS44" s="1466">
        <v>591</v>
      </c>
      <c r="CT44" s="814">
        <f t="shared" si="7"/>
        <v>0.23688663282571912</v>
      </c>
      <c r="CV44" s="929"/>
      <c r="CW44" s="929"/>
      <c r="CX44" s="1467" t="s">
        <v>36</v>
      </c>
      <c r="CY44" s="1468">
        <v>104</v>
      </c>
      <c r="CZ44" s="1468">
        <v>68</v>
      </c>
      <c r="DA44" s="1468">
        <v>0</v>
      </c>
      <c r="DB44" s="1468">
        <v>45</v>
      </c>
      <c r="DC44" s="1468">
        <v>120</v>
      </c>
      <c r="DD44" s="1468">
        <v>14</v>
      </c>
      <c r="DE44" s="1468">
        <v>48</v>
      </c>
      <c r="DF44" s="929"/>
      <c r="DG44" s="1468">
        <v>2</v>
      </c>
      <c r="DH44" s="1468">
        <v>33</v>
      </c>
      <c r="DI44" s="1468">
        <v>3</v>
      </c>
      <c r="DJ44" s="1468">
        <v>149</v>
      </c>
      <c r="DK44" s="929"/>
      <c r="DL44" s="1468">
        <v>586</v>
      </c>
      <c r="DM44" s="814">
        <f t="shared" si="8"/>
        <v>0.23378839590443687</v>
      </c>
      <c r="DO44" s="1094"/>
      <c r="DP44" s="1094"/>
      <c r="DQ44" s="1469" t="s">
        <v>37</v>
      </c>
      <c r="DR44" s="1470">
        <v>38</v>
      </c>
      <c r="DS44" s="1470">
        <v>22</v>
      </c>
      <c r="DT44" s="1470">
        <v>0</v>
      </c>
      <c r="DU44" s="1470">
        <v>18</v>
      </c>
      <c r="DV44" s="1470">
        <v>54</v>
      </c>
      <c r="DW44" s="1470">
        <v>9</v>
      </c>
      <c r="DX44" s="1470">
        <v>27</v>
      </c>
      <c r="DY44" s="1470">
        <v>0</v>
      </c>
      <c r="DZ44" s="1470">
        <v>5</v>
      </c>
      <c r="EA44" s="1470">
        <v>9</v>
      </c>
      <c r="EB44" s="1470">
        <v>48</v>
      </c>
      <c r="EC44" s="1470">
        <v>76</v>
      </c>
      <c r="ED44" s="1470">
        <v>0</v>
      </c>
      <c r="EE44" s="1470">
        <v>0</v>
      </c>
      <c r="EF44" s="1470">
        <v>306</v>
      </c>
      <c r="EG44" s="1471">
        <f t="shared" si="9"/>
        <v>0.27906976744186046</v>
      </c>
      <c r="EI44" s="163"/>
      <c r="EJ44" s="163"/>
      <c r="EK44" s="80" t="s">
        <v>37</v>
      </c>
      <c r="EL44" s="80">
        <v>31</v>
      </c>
      <c r="EM44" s="80">
        <v>16</v>
      </c>
      <c r="EN44" s="80"/>
      <c r="EO44" s="80">
        <v>18</v>
      </c>
      <c r="EP44" s="80">
        <v>53</v>
      </c>
      <c r="EQ44" s="80">
        <v>7</v>
      </c>
      <c r="ER44" s="80">
        <v>19</v>
      </c>
      <c r="ES44" s="80">
        <v>0</v>
      </c>
      <c r="ET44" s="80">
        <v>4</v>
      </c>
      <c r="EU44" s="80">
        <v>5</v>
      </c>
      <c r="EV44" s="80">
        <v>43</v>
      </c>
      <c r="EW44" s="80">
        <v>83</v>
      </c>
      <c r="EX44" s="80"/>
      <c r="EY44" s="80">
        <v>0</v>
      </c>
      <c r="EZ44" s="80">
        <v>279</v>
      </c>
      <c r="FA44" s="1472">
        <f t="shared" si="1"/>
        <v>0.27542372881355931</v>
      </c>
      <c r="FB44" s="80"/>
      <c r="FC44" s="681"/>
      <c r="FD44" s="681"/>
      <c r="FE44" s="681" t="s">
        <v>37</v>
      </c>
      <c r="FF44" s="1473">
        <v>19</v>
      </c>
      <c r="FG44" s="1473">
        <v>24</v>
      </c>
      <c r="FH44" s="1473" t="s">
        <v>332</v>
      </c>
      <c r="FI44" s="1473">
        <v>15</v>
      </c>
      <c r="FJ44" s="1473">
        <v>58</v>
      </c>
      <c r="FK44" s="1473">
        <v>8</v>
      </c>
      <c r="FL44" s="1473">
        <v>19</v>
      </c>
      <c r="FM44" s="1473" t="s">
        <v>332</v>
      </c>
      <c r="FN44" s="1473">
        <v>9</v>
      </c>
      <c r="FO44" s="1473">
        <v>2</v>
      </c>
      <c r="FP44" s="1473">
        <v>79</v>
      </c>
      <c r="FQ44" s="1473" t="s">
        <v>332</v>
      </c>
      <c r="FR44" s="1473">
        <v>233</v>
      </c>
      <c r="FS44" s="1473">
        <f t="shared" si="2"/>
        <v>68</v>
      </c>
      <c r="FT44" s="1474">
        <f t="shared" si="3"/>
        <v>0.29184549356223177</v>
      </c>
      <c r="FU44" s="80"/>
      <c r="FV44" s="80"/>
    </row>
    <row r="45" spans="1:178">
      <c r="A45" s="73"/>
      <c r="B45" s="73"/>
      <c r="C45" s="73" t="s">
        <v>37</v>
      </c>
      <c r="D45" s="161">
        <v>44</v>
      </c>
      <c r="E45" s="161">
        <v>38</v>
      </c>
      <c r="F45" s="161"/>
      <c r="G45" s="161">
        <v>1</v>
      </c>
      <c r="H45" s="161">
        <v>91</v>
      </c>
      <c r="I45" s="161">
        <v>8</v>
      </c>
      <c r="J45" s="161">
        <v>32</v>
      </c>
      <c r="K45" s="161"/>
      <c r="L45" s="161">
        <v>0</v>
      </c>
      <c r="M45" s="161">
        <v>15</v>
      </c>
      <c r="N45" s="161">
        <v>13</v>
      </c>
      <c r="O45" s="161"/>
      <c r="P45" s="161">
        <v>86</v>
      </c>
      <c r="Q45" s="161">
        <v>0</v>
      </c>
      <c r="R45" s="161">
        <v>328</v>
      </c>
      <c r="S45" s="4680">
        <f t="shared" si="4"/>
        <v>0.34146341463414637</v>
      </c>
      <c r="U45" s="73"/>
      <c r="V45" s="73"/>
      <c r="W45" s="73" t="s">
        <v>37</v>
      </c>
      <c r="X45" s="161">
        <v>40</v>
      </c>
      <c r="Y45" s="161">
        <v>47</v>
      </c>
      <c r="Z45" s="161">
        <v>0</v>
      </c>
      <c r="AA45" s="161">
        <v>17</v>
      </c>
      <c r="AB45" s="161">
        <v>75</v>
      </c>
      <c r="AC45" s="161">
        <v>7</v>
      </c>
      <c r="AD45" s="161">
        <v>22</v>
      </c>
      <c r="AE45" s="161"/>
      <c r="AF45" s="161">
        <v>0</v>
      </c>
      <c r="AG45" s="161">
        <v>12</v>
      </c>
      <c r="AH45" s="161">
        <v>19</v>
      </c>
      <c r="AI45" s="161"/>
      <c r="AJ45" s="161">
        <v>80</v>
      </c>
      <c r="AK45" s="161">
        <v>1</v>
      </c>
      <c r="AL45" s="161">
        <v>320</v>
      </c>
      <c r="AM45" s="2585">
        <f t="shared" si="0"/>
        <v>0.31661442006269591</v>
      </c>
      <c r="AN45" s="3196"/>
      <c r="AO45" s="73"/>
      <c r="AP45" s="73"/>
      <c r="AQ45" s="73" t="s">
        <v>37</v>
      </c>
      <c r="AR45" s="161">
        <v>45</v>
      </c>
      <c r="AS45" s="161">
        <v>49</v>
      </c>
      <c r="AT45" s="161"/>
      <c r="AU45" s="161">
        <v>16</v>
      </c>
      <c r="AV45" s="161">
        <v>71</v>
      </c>
      <c r="AW45" s="161">
        <v>9</v>
      </c>
      <c r="AX45" s="161">
        <v>27</v>
      </c>
      <c r="AY45" s="161">
        <v>0</v>
      </c>
      <c r="AZ45" s="161">
        <v>0</v>
      </c>
      <c r="BA45" s="161">
        <v>15</v>
      </c>
      <c r="BB45" s="161">
        <v>10</v>
      </c>
      <c r="BC45" s="161"/>
      <c r="BD45" s="161">
        <v>61</v>
      </c>
      <c r="BE45" s="161">
        <v>0</v>
      </c>
      <c r="BF45" s="161">
        <v>303</v>
      </c>
      <c r="BG45" s="2585">
        <f t="shared" si="5"/>
        <v>0.29702970297029702</v>
      </c>
      <c r="BI45" s="2140"/>
      <c r="BJ45" s="2140"/>
      <c r="BK45" s="2148" t="s">
        <v>37</v>
      </c>
      <c r="BL45" s="2149">
        <v>47</v>
      </c>
      <c r="BM45" s="2149">
        <v>41</v>
      </c>
      <c r="BN45" s="2150"/>
      <c r="BO45" s="2149">
        <v>14</v>
      </c>
      <c r="BP45" s="2149">
        <v>63</v>
      </c>
      <c r="BQ45" s="2149">
        <v>3</v>
      </c>
      <c r="BR45" s="2149">
        <v>21</v>
      </c>
      <c r="BS45" s="2150"/>
      <c r="BT45" s="2149">
        <v>0</v>
      </c>
      <c r="BU45" s="2149">
        <v>12</v>
      </c>
      <c r="BV45" s="2149">
        <v>17</v>
      </c>
      <c r="BW45" s="2150"/>
      <c r="BX45" s="2149">
        <v>64</v>
      </c>
      <c r="BY45" s="2149">
        <v>0</v>
      </c>
      <c r="BZ45" s="2149">
        <v>282</v>
      </c>
      <c r="CA45" s="2151">
        <f t="shared" si="6"/>
        <v>0.29432624113475175</v>
      </c>
      <c r="CC45" s="1452"/>
      <c r="CD45" s="1452"/>
      <c r="CE45" s="1465" t="s">
        <v>37</v>
      </c>
      <c r="CF45" s="1466">
        <v>49</v>
      </c>
      <c r="CG45" s="1466">
        <v>34</v>
      </c>
      <c r="CH45" s="1452"/>
      <c r="CI45" s="1466">
        <v>20</v>
      </c>
      <c r="CJ45" s="1466">
        <v>64</v>
      </c>
      <c r="CK45" s="1466">
        <v>5</v>
      </c>
      <c r="CL45" s="1466">
        <v>28</v>
      </c>
      <c r="CM45" s="1452"/>
      <c r="CN45" s="1466">
        <v>0</v>
      </c>
      <c r="CO45" s="1466">
        <v>14</v>
      </c>
      <c r="CP45" s="1466">
        <v>7</v>
      </c>
      <c r="CQ45" s="1466">
        <v>78</v>
      </c>
      <c r="CR45" s="1452"/>
      <c r="CS45" s="1466">
        <v>299</v>
      </c>
      <c r="CT45" s="814">
        <f t="shared" si="7"/>
        <v>0.25418060200668896</v>
      </c>
      <c r="CV45" s="929"/>
      <c r="CW45" s="929"/>
      <c r="CX45" s="1467" t="s">
        <v>37</v>
      </c>
      <c r="CY45" s="1468">
        <v>39</v>
      </c>
      <c r="CZ45" s="1468">
        <v>33</v>
      </c>
      <c r="DA45" s="1468">
        <v>0</v>
      </c>
      <c r="DB45" s="1468">
        <v>20</v>
      </c>
      <c r="DC45" s="1468">
        <v>55</v>
      </c>
      <c r="DD45" s="1468">
        <v>9</v>
      </c>
      <c r="DE45" s="1468">
        <v>17</v>
      </c>
      <c r="DF45" s="929"/>
      <c r="DG45" s="1468">
        <v>0</v>
      </c>
      <c r="DH45" s="1468">
        <v>6</v>
      </c>
      <c r="DI45" s="1468">
        <v>11</v>
      </c>
      <c r="DJ45" s="1468">
        <v>77</v>
      </c>
      <c r="DK45" s="929"/>
      <c r="DL45" s="1468">
        <v>267</v>
      </c>
      <c r="DM45" s="814">
        <f t="shared" si="8"/>
        <v>0.2808988764044944</v>
      </c>
      <c r="DO45" s="1094"/>
      <c r="DP45" s="1094"/>
      <c r="DQ45" s="1469" t="s">
        <v>38</v>
      </c>
      <c r="DR45" s="1470">
        <v>144</v>
      </c>
      <c r="DS45" s="1470">
        <v>80</v>
      </c>
      <c r="DT45" s="1470">
        <v>0</v>
      </c>
      <c r="DU45" s="1470">
        <v>39</v>
      </c>
      <c r="DV45" s="1470">
        <v>154</v>
      </c>
      <c r="DW45" s="1470">
        <v>19</v>
      </c>
      <c r="DX45" s="1470">
        <v>45</v>
      </c>
      <c r="DY45" s="1470">
        <v>1</v>
      </c>
      <c r="DZ45" s="1470">
        <v>46</v>
      </c>
      <c r="EA45" s="1470">
        <v>14</v>
      </c>
      <c r="EB45" s="1470">
        <v>134</v>
      </c>
      <c r="EC45" s="1470">
        <v>148</v>
      </c>
      <c r="ED45" s="1470">
        <v>0</v>
      </c>
      <c r="EE45" s="1470">
        <v>2</v>
      </c>
      <c r="EF45" s="1470">
        <v>826</v>
      </c>
      <c r="EG45" s="1471">
        <f t="shared" si="9"/>
        <v>0.27101449275362322</v>
      </c>
      <c r="EI45" s="163"/>
      <c r="EJ45" s="163"/>
      <c r="EK45" s="80" t="s">
        <v>38</v>
      </c>
      <c r="EL45" s="80">
        <v>114</v>
      </c>
      <c r="EM45" s="80">
        <v>100</v>
      </c>
      <c r="EN45" s="80"/>
      <c r="EO45" s="80">
        <v>38</v>
      </c>
      <c r="EP45" s="80">
        <v>150</v>
      </c>
      <c r="EQ45" s="80">
        <v>15</v>
      </c>
      <c r="ER45" s="80">
        <v>44</v>
      </c>
      <c r="ES45" s="80">
        <v>1</v>
      </c>
      <c r="ET45" s="80">
        <v>52</v>
      </c>
      <c r="EU45" s="80">
        <v>4</v>
      </c>
      <c r="EV45" s="80">
        <v>126</v>
      </c>
      <c r="EW45" s="80">
        <v>150</v>
      </c>
      <c r="EX45" s="80"/>
      <c r="EY45" s="80">
        <v>1</v>
      </c>
      <c r="EZ45" s="80">
        <v>795</v>
      </c>
      <c r="FA45" s="1472">
        <f t="shared" si="1"/>
        <v>0.25299401197604793</v>
      </c>
      <c r="FB45" s="80"/>
      <c r="FC45" s="681"/>
      <c r="FD45" s="681"/>
      <c r="FE45" s="681" t="s">
        <v>38</v>
      </c>
      <c r="FF45" s="1473">
        <v>97</v>
      </c>
      <c r="FG45" s="1473">
        <v>93</v>
      </c>
      <c r="FH45" s="1473" t="s">
        <v>332</v>
      </c>
      <c r="FI45" s="1473">
        <v>32</v>
      </c>
      <c r="FJ45" s="1473">
        <v>162</v>
      </c>
      <c r="FK45" s="1473">
        <v>16</v>
      </c>
      <c r="FL45" s="1473">
        <v>73</v>
      </c>
      <c r="FM45" s="1473" t="s">
        <v>332</v>
      </c>
      <c r="FN45" s="1473">
        <v>47</v>
      </c>
      <c r="FO45" s="1473">
        <v>7</v>
      </c>
      <c r="FP45" s="1473">
        <v>143</v>
      </c>
      <c r="FQ45" s="1473" t="s">
        <v>332</v>
      </c>
      <c r="FR45" s="1473">
        <v>670</v>
      </c>
      <c r="FS45" s="1473">
        <f t="shared" si="2"/>
        <v>185</v>
      </c>
      <c r="FT45" s="1474">
        <f t="shared" si="3"/>
        <v>0.27611940298507465</v>
      </c>
      <c r="FU45" s="80"/>
      <c r="FV45" s="80"/>
    </row>
    <row r="46" spans="1:178">
      <c r="A46" s="73"/>
      <c r="B46" s="73"/>
      <c r="C46" s="73" t="s">
        <v>38</v>
      </c>
      <c r="D46" s="161">
        <v>104</v>
      </c>
      <c r="E46" s="161">
        <v>91</v>
      </c>
      <c r="F46" s="161"/>
      <c r="G46" s="161">
        <v>0</v>
      </c>
      <c r="H46" s="161">
        <v>230</v>
      </c>
      <c r="I46" s="161">
        <v>16</v>
      </c>
      <c r="J46" s="161">
        <v>50</v>
      </c>
      <c r="K46" s="161"/>
      <c r="L46" s="161">
        <v>0</v>
      </c>
      <c r="M46" s="161">
        <v>64</v>
      </c>
      <c r="N46" s="161">
        <v>28</v>
      </c>
      <c r="O46" s="161"/>
      <c r="P46" s="161">
        <v>100</v>
      </c>
      <c r="Q46" s="161">
        <v>0</v>
      </c>
      <c r="R46" s="161">
        <v>683</v>
      </c>
      <c r="S46" s="4680">
        <f t="shared" si="4"/>
        <v>0.40117130307467058</v>
      </c>
      <c r="U46" s="73"/>
      <c r="V46" s="73"/>
      <c r="W46" s="73" t="s">
        <v>38</v>
      </c>
      <c r="X46" s="161">
        <v>112</v>
      </c>
      <c r="Y46" s="161">
        <v>113</v>
      </c>
      <c r="Z46" s="161">
        <v>0</v>
      </c>
      <c r="AA46" s="161">
        <v>21</v>
      </c>
      <c r="AB46" s="161">
        <v>223</v>
      </c>
      <c r="AC46" s="161">
        <v>23</v>
      </c>
      <c r="AD46" s="161">
        <v>68</v>
      </c>
      <c r="AE46" s="161"/>
      <c r="AF46" s="161">
        <v>0</v>
      </c>
      <c r="AG46" s="161">
        <v>62</v>
      </c>
      <c r="AH46" s="161">
        <v>34</v>
      </c>
      <c r="AI46" s="161"/>
      <c r="AJ46" s="161">
        <v>78</v>
      </c>
      <c r="AK46" s="161">
        <v>0</v>
      </c>
      <c r="AL46" s="161">
        <v>734</v>
      </c>
      <c r="AM46" s="2585">
        <f t="shared" si="0"/>
        <v>0.38147138964577659</v>
      </c>
      <c r="AN46" s="3196"/>
      <c r="AO46" s="73"/>
      <c r="AP46" s="73"/>
      <c r="AQ46" s="73" t="s">
        <v>38</v>
      </c>
      <c r="AR46" s="161">
        <v>113</v>
      </c>
      <c r="AS46" s="161">
        <v>124</v>
      </c>
      <c r="AT46" s="161"/>
      <c r="AU46" s="161">
        <v>25</v>
      </c>
      <c r="AV46" s="161">
        <v>227</v>
      </c>
      <c r="AW46" s="161">
        <v>11</v>
      </c>
      <c r="AX46" s="161">
        <v>44</v>
      </c>
      <c r="AY46" s="161">
        <v>11</v>
      </c>
      <c r="AZ46" s="161">
        <v>0</v>
      </c>
      <c r="BA46" s="161">
        <v>59</v>
      </c>
      <c r="BB46" s="161">
        <v>24</v>
      </c>
      <c r="BC46" s="161"/>
      <c r="BD46" s="161">
        <v>83</v>
      </c>
      <c r="BE46" s="161">
        <v>0</v>
      </c>
      <c r="BF46" s="161">
        <v>721</v>
      </c>
      <c r="BG46" s="2585">
        <f t="shared" si="5"/>
        <v>0.36338418862690708</v>
      </c>
      <c r="BI46" s="2140"/>
      <c r="BJ46" s="2140"/>
      <c r="BK46" s="2148" t="s">
        <v>38</v>
      </c>
      <c r="BL46" s="2149">
        <v>121</v>
      </c>
      <c r="BM46" s="2149">
        <v>110</v>
      </c>
      <c r="BN46" s="2150"/>
      <c r="BO46" s="2149">
        <v>22</v>
      </c>
      <c r="BP46" s="2149">
        <v>227</v>
      </c>
      <c r="BQ46" s="2149">
        <v>9</v>
      </c>
      <c r="BR46" s="2149">
        <v>37</v>
      </c>
      <c r="BS46" s="2150"/>
      <c r="BT46" s="2149">
        <v>0</v>
      </c>
      <c r="BU46" s="2149">
        <v>46</v>
      </c>
      <c r="BV46" s="2149">
        <v>31</v>
      </c>
      <c r="BW46" s="2150"/>
      <c r="BX46" s="2149">
        <v>102</v>
      </c>
      <c r="BY46" s="2149">
        <v>0</v>
      </c>
      <c r="BZ46" s="2149">
        <v>705</v>
      </c>
      <c r="CA46" s="2151">
        <f t="shared" si="6"/>
        <v>0.37872340425531914</v>
      </c>
      <c r="CC46" s="1452"/>
      <c r="CD46" s="1452"/>
      <c r="CE46" s="1465" t="s">
        <v>38</v>
      </c>
      <c r="CF46" s="1466">
        <v>116</v>
      </c>
      <c r="CG46" s="1466">
        <v>106</v>
      </c>
      <c r="CH46" s="1452"/>
      <c r="CI46" s="1466">
        <v>31</v>
      </c>
      <c r="CJ46" s="1466">
        <v>217</v>
      </c>
      <c r="CK46" s="1466">
        <v>11</v>
      </c>
      <c r="CL46" s="1466">
        <v>39</v>
      </c>
      <c r="CM46" s="1452"/>
      <c r="CN46" s="1466">
        <v>0</v>
      </c>
      <c r="CO46" s="1466">
        <v>58</v>
      </c>
      <c r="CP46" s="1466">
        <v>28</v>
      </c>
      <c r="CQ46" s="1466">
        <v>136</v>
      </c>
      <c r="CR46" s="1452"/>
      <c r="CS46" s="1466">
        <v>742</v>
      </c>
      <c r="CT46" s="814">
        <f t="shared" si="7"/>
        <v>0.34501347708894881</v>
      </c>
      <c r="CV46" s="929"/>
      <c r="CW46" s="929"/>
      <c r="CX46" s="1467" t="s">
        <v>38</v>
      </c>
      <c r="CY46" s="1468">
        <v>125</v>
      </c>
      <c r="CZ46" s="1468">
        <v>103</v>
      </c>
      <c r="DA46" s="1468">
        <v>0</v>
      </c>
      <c r="DB46" s="1468">
        <v>36</v>
      </c>
      <c r="DC46" s="1468">
        <v>198</v>
      </c>
      <c r="DD46" s="1468">
        <v>30</v>
      </c>
      <c r="DE46" s="1468">
        <v>42</v>
      </c>
      <c r="DF46" s="929"/>
      <c r="DG46" s="1468">
        <v>1</v>
      </c>
      <c r="DH46" s="1468">
        <v>44</v>
      </c>
      <c r="DI46" s="1468">
        <v>14</v>
      </c>
      <c r="DJ46" s="1468">
        <v>129</v>
      </c>
      <c r="DK46" s="929"/>
      <c r="DL46" s="1468">
        <v>722</v>
      </c>
      <c r="DM46" s="814">
        <f t="shared" si="8"/>
        <v>0.33518005540166207</v>
      </c>
      <c r="DO46" s="1094"/>
      <c r="DP46" s="1094"/>
      <c r="DQ46" s="1469" t="s">
        <v>39</v>
      </c>
      <c r="DR46" s="1470">
        <v>173</v>
      </c>
      <c r="DS46" s="1470">
        <v>116</v>
      </c>
      <c r="DT46" s="1470">
        <v>0</v>
      </c>
      <c r="DU46" s="1470">
        <v>66</v>
      </c>
      <c r="DV46" s="1470">
        <v>473</v>
      </c>
      <c r="DW46" s="1470">
        <v>61</v>
      </c>
      <c r="DX46" s="1470">
        <v>78</v>
      </c>
      <c r="DY46" s="1470">
        <v>0</v>
      </c>
      <c r="DZ46" s="1470">
        <v>31</v>
      </c>
      <c r="EA46" s="1470">
        <v>59</v>
      </c>
      <c r="EB46" s="1470">
        <v>178</v>
      </c>
      <c r="EC46" s="1470">
        <v>313</v>
      </c>
      <c r="ED46" s="1470">
        <v>0</v>
      </c>
      <c r="EE46" s="1470">
        <v>5</v>
      </c>
      <c r="EF46" s="1470">
        <v>1553</v>
      </c>
      <c r="EG46" s="1471">
        <f t="shared" si="9"/>
        <v>0.43284671532846714</v>
      </c>
      <c r="EI46" s="163"/>
      <c r="EJ46" s="163"/>
      <c r="EK46" s="80" t="s">
        <v>39</v>
      </c>
      <c r="EL46" s="80">
        <v>180</v>
      </c>
      <c r="EM46" s="80">
        <v>110</v>
      </c>
      <c r="EN46" s="80"/>
      <c r="EO46" s="80">
        <v>73</v>
      </c>
      <c r="EP46" s="80">
        <v>413</v>
      </c>
      <c r="EQ46" s="80">
        <v>47</v>
      </c>
      <c r="ER46" s="80">
        <v>88</v>
      </c>
      <c r="ES46" s="80">
        <v>0</v>
      </c>
      <c r="ET46" s="80">
        <v>41</v>
      </c>
      <c r="EU46" s="80">
        <v>58</v>
      </c>
      <c r="EV46" s="80">
        <v>177</v>
      </c>
      <c r="EW46" s="80">
        <v>317</v>
      </c>
      <c r="EX46" s="80"/>
      <c r="EY46" s="80">
        <v>4</v>
      </c>
      <c r="EZ46" s="80">
        <v>1508</v>
      </c>
      <c r="FA46" s="1472">
        <f t="shared" si="1"/>
        <v>0.39035418236623964</v>
      </c>
      <c r="FB46" s="80"/>
      <c r="FC46" s="681"/>
      <c r="FD46" s="681"/>
      <c r="FE46" s="681" t="s">
        <v>39</v>
      </c>
      <c r="FF46" s="1473">
        <v>139</v>
      </c>
      <c r="FG46" s="1473">
        <v>112</v>
      </c>
      <c r="FH46" s="1473" t="s">
        <v>332</v>
      </c>
      <c r="FI46" s="1473">
        <v>70</v>
      </c>
      <c r="FJ46" s="1473">
        <v>398</v>
      </c>
      <c r="FK46" s="1473">
        <v>56</v>
      </c>
      <c r="FL46" s="1473">
        <v>92</v>
      </c>
      <c r="FM46" s="1473" t="s">
        <v>332</v>
      </c>
      <c r="FN46" s="1473">
        <v>42</v>
      </c>
      <c r="FO46" s="1473">
        <v>49</v>
      </c>
      <c r="FP46" s="1473">
        <v>308</v>
      </c>
      <c r="FQ46" s="1473" t="s">
        <v>332</v>
      </c>
      <c r="FR46" s="1473">
        <v>1266</v>
      </c>
      <c r="FS46" s="1473">
        <f t="shared" si="2"/>
        <v>503</v>
      </c>
      <c r="FT46" s="1474">
        <f t="shared" si="3"/>
        <v>0.39731437598736175</v>
      </c>
      <c r="FU46" s="80"/>
      <c r="FV46" s="80"/>
    </row>
    <row r="47" spans="1:178">
      <c r="A47" s="73"/>
      <c r="B47" s="73"/>
      <c r="C47" s="73" t="s">
        <v>39</v>
      </c>
      <c r="D47" s="161">
        <v>170</v>
      </c>
      <c r="E47" s="161">
        <v>97</v>
      </c>
      <c r="F47" s="161"/>
      <c r="G47" s="161">
        <v>1</v>
      </c>
      <c r="H47" s="161">
        <v>504</v>
      </c>
      <c r="I47" s="161">
        <v>56</v>
      </c>
      <c r="J47" s="161">
        <v>76</v>
      </c>
      <c r="K47" s="161"/>
      <c r="L47" s="161">
        <v>0</v>
      </c>
      <c r="M47" s="161">
        <v>42</v>
      </c>
      <c r="N47" s="161">
        <v>70</v>
      </c>
      <c r="O47" s="161"/>
      <c r="P47" s="161">
        <v>208</v>
      </c>
      <c r="Q47" s="161">
        <v>0</v>
      </c>
      <c r="R47" s="161">
        <v>1224</v>
      </c>
      <c r="S47" s="4680">
        <f t="shared" si="4"/>
        <v>0.51470588235294112</v>
      </c>
      <c r="U47" s="73"/>
      <c r="V47" s="73"/>
      <c r="W47" s="73" t="s">
        <v>39</v>
      </c>
      <c r="X47" s="161">
        <v>143</v>
      </c>
      <c r="Y47" s="161">
        <v>125</v>
      </c>
      <c r="Z47" s="161">
        <v>0</v>
      </c>
      <c r="AA47" s="161">
        <v>25</v>
      </c>
      <c r="AB47" s="161">
        <v>502</v>
      </c>
      <c r="AC47" s="161">
        <v>82</v>
      </c>
      <c r="AD47" s="161">
        <v>88</v>
      </c>
      <c r="AE47" s="161"/>
      <c r="AF47" s="161">
        <v>0</v>
      </c>
      <c r="AG47" s="161">
        <v>42</v>
      </c>
      <c r="AH47" s="161">
        <v>94</v>
      </c>
      <c r="AI47" s="161"/>
      <c r="AJ47" s="161">
        <v>207</v>
      </c>
      <c r="AK47" s="161">
        <v>0</v>
      </c>
      <c r="AL47" s="161">
        <v>1308</v>
      </c>
      <c r="AM47" s="2585">
        <f t="shared" si="0"/>
        <v>0.51834862385321101</v>
      </c>
      <c r="AN47" s="3196"/>
      <c r="AO47" s="73"/>
      <c r="AP47" s="73"/>
      <c r="AQ47" s="73" t="s">
        <v>39</v>
      </c>
      <c r="AR47" s="161">
        <v>135</v>
      </c>
      <c r="AS47" s="161">
        <v>138</v>
      </c>
      <c r="AT47" s="161"/>
      <c r="AU47" s="161">
        <v>27</v>
      </c>
      <c r="AV47" s="161">
        <v>489</v>
      </c>
      <c r="AW47" s="161">
        <v>83</v>
      </c>
      <c r="AX47" s="161">
        <v>75</v>
      </c>
      <c r="AY47" s="161">
        <v>0</v>
      </c>
      <c r="AZ47" s="161">
        <v>0</v>
      </c>
      <c r="BA47" s="161">
        <v>42</v>
      </c>
      <c r="BB47" s="161">
        <v>93</v>
      </c>
      <c r="BC47" s="161"/>
      <c r="BD47" s="161">
        <v>221</v>
      </c>
      <c r="BE47" s="161">
        <v>0</v>
      </c>
      <c r="BF47" s="161">
        <v>1303</v>
      </c>
      <c r="BG47" s="2585">
        <f t="shared" si="5"/>
        <v>0.51036070606293171</v>
      </c>
      <c r="BI47" s="2140"/>
      <c r="BJ47" s="2140"/>
      <c r="BK47" s="2148" t="s">
        <v>39</v>
      </c>
      <c r="BL47" s="2149">
        <v>166</v>
      </c>
      <c r="BM47" s="2149">
        <v>111</v>
      </c>
      <c r="BN47" s="2150"/>
      <c r="BO47" s="2149">
        <v>24</v>
      </c>
      <c r="BP47" s="2149">
        <v>524</v>
      </c>
      <c r="BQ47" s="2149">
        <v>47</v>
      </c>
      <c r="BR47" s="2149">
        <v>72</v>
      </c>
      <c r="BS47" s="2150"/>
      <c r="BT47" s="2149">
        <v>0</v>
      </c>
      <c r="BU47" s="2149">
        <v>56</v>
      </c>
      <c r="BV47" s="2149">
        <v>61</v>
      </c>
      <c r="BW47" s="2150"/>
      <c r="BX47" s="2149">
        <v>241</v>
      </c>
      <c r="BY47" s="2149">
        <v>1</v>
      </c>
      <c r="BZ47" s="2149">
        <v>1303</v>
      </c>
      <c r="CA47" s="2151">
        <f t="shared" si="6"/>
        <v>0.48540706605222733</v>
      </c>
      <c r="CC47" s="1452"/>
      <c r="CD47" s="1452"/>
      <c r="CE47" s="1465" t="s">
        <v>39</v>
      </c>
      <c r="CF47" s="1466">
        <v>149</v>
      </c>
      <c r="CG47" s="1466">
        <v>116</v>
      </c>
      <c r="CH47" s="1452"/>
      <c r="CI47" s="1466">
        <v>37</v>
      </c>
      <c r="CJ47" s="1466">
        <v>537</v>
      </c>
      <c r="CK47" s="1466">
        <v>65</v>
      </c>
      <c r="CL47" s="1466">
        <v>89</v>
      </c>
      <c r="CM47" s="1452"/>
      <c r="CN47" s="1466">
        <v>0</v>
      </c>
      <c r="CO47" s="1466">
        <v>48</v>
      </c>
      <c r="CP47" s="1466">
        <v>58</v>
      </c>
      <c r="CQ47" s="1466">
        <v>298</v>
      </c>
      <c r="CR47" s="1452"/>
      <c r="CS47" s="1466">
        <v>1397</v>
      </c>
      <c r="CT47" s="814">
        <f t="shared" si="7"/>
        <v>0.47244094488188976</v>
      </c>
      <c r="CV47" s="929"/>
      <c r="CW47" s="929"/>
      <c r="CX47" s="1467" t="s">
        <v>39</v>
      </c>
      <c r="CY47" s="1468">
        <v>151</v>
      </c>
      <c r="CZ47" s="1468">
        <v>150</v>
      </c>
      <c r="DA47" s="1468">
        <v>0</v>
      </c>
      <c r="DB47" s="1468">
        <v>53</v>
      </c>
      <c r="DC47" s="1468">
        <v>489</v>
      </c>
      <c r="DD47" s="1468">
        <v>66</v>
      </c>
      <c r="DE47" s="1468">
        <v>78</v>
      </c>
      <c r="DF47" s="929"/>
      <c r="DG47" s="1468">
        <v>0</v>
      </c>
      <c r="DH47" s="1468">
        <v>42</v>
      </c>
      <c r="DI47" s="1468">
        <v>66</v>
      </c>
      <c r="DJ47" s="1468">
        <v>281</v>
      </c>
      <c r="DK47" s="929"/>
      <c r="DL47" s="1468">
        <v>1376</v>
      </c>
      <c r="DM47" s="814">
        <f t="shared" si="8"/>
        <v>0.45130813953488375</v>
      </c>
      <c r="DO47" s="1094"/>
      <c r="DP47" s="1094"/>
      <c r="DQ47" s="1469" t="s">
        <v>40</v>
      </c>
      <c r="DR47" s="1470">
        <v>56</v>
      </c>
      <c r="DS47" s="1470">
        <v>22</v>
      </c>
      <c r="DT47" s="1470">
        <v>0</v>
      </c>
      <c r="DU47" s="1470">
        <v>10</v>
      </c>
      <c r="DV47" s="1470">
        <v>34</v>
      </c>
      <c r="DW47" s="1470">
        <v>2</v>
      </c>
      <c r="DX47" s="1470">
        <v>25</v>
      </c>
      <c r="DY47" s="1470">
        <v>0</v>
      </c>
      <c r="DZ47" s="1470">
        <v>17</v>
      </c>
      <c r="EA47" s="1470">
        <v>2</v>
      </c>
      <c r="EB47" s="1470">
        <v>46</v>
      </c>
      <c r="EC47" s="1470">
        <v>73</v>
      </c>
      <c r="ED47" s="1470">
        <v>0</v>
      </c>
      <c r="EE47" s="1470">
        <v>2</v>
      </c>
      <c r="EF47" s="1470">
        <v>289</v>
      </c>
      <c r="EG47" s="1471">
        <f t="shared" si="9"/>
        <v>0.15767634854771784</v>
      </c>
      <c r="EI47" s="163"/>
      <c r="EJ47" s="163"/>
      <c r="EK47" s="80" t="s">
        <v>40</v>
      </c>
      <c r="EL47" s="80">
        <v>38</v>
      </c>
      <c r="EM47" s="80">
        <v>30</v>
      </c>
      <c r="EN47" s="80"/>
      <c r="EO47" s="80">
        <v>10</v>
      </c>
      <c r="EP47" s="80">
        <v>31</v>
      </c>
      <c r="EQ47" s="80">
        <v>0</v>
      </c>
      <c r="ER47" s="80">
        <v>2</v>
      </c>
      <c r="ES47" s="80">
        <v>0</v>
      </c>
      <c r="ET47" s="80">
        <v>14</v>
      </c>
      <c r="EU47" s="80">
        <v>0</v>
      </c>
      <c r="EV47" s="80">
        <v>38</v>
      </c>
      <c r="EW47" s="80">
        <v>81</v>
      </c>
      <c r="EX47" s="80"/>
      <c r="EY47" s="80">
        <v>2</v>
      </c>
      <c r="EZ47" s="80">
        <v>246</v>
      </c>
      <c r="FA47" s="1472">
        <f t="shared" si="1"/>
        <v>0.15048543689320387</v>
      </c>
      <c r="FB47" s="80"/>
      <c r="FC47" s="681"/>
      <c r="FD47" s="681"/>
      <c r="FE47" s="681" t="s">
        <v>40</v>
      </c>
      <c r="FF47" s="1473">
        <v>19</v>
      </c>
      <c r="FG47" s="1473">
        <v>29</v>
      </c>
      <c r="FH47" s="1473" t="s">
        <v>332</v>
      </c>
      <c r="FI47" s="1473">
        <v>9</v>
      </c>
      <c r="FJ47" s="1473">
        <v>25</v>
      </c>
      <c r="FK47" s="1473">
        <v>0</v>
      </c>
      <c r="FL47" s="1473" t="s">
        <v>332</v>
      </c>
      <c r="FM47" s="1473" t="s">
        <v>332</v>
      </c>
      <c r="FN47" s="1473">
        <v>29</v>
      </c>
      <c r="FO47" s="1473">
        <v>2</v>
      </c>
      <c r="FP47" s="1473">
        <v>62</v>
      </c>
      <c r="FQ47" s="1473" t="s">
        <v>332</v>
      </c>
      <c r="FR47" s="1473">
        <v>175</v>
      </c>
      <c r="FS47" s="1473">
        <f t="shared" si="2"/>
        <v>27</v>
      </c>
      <c r="FT47" s="1474">
        <f t="shared" si="3"/>
        <v>0.15428571428571428</v>
      </c>
      <c r="FU47" s="80"/>
      <c r="FV47" s="80"/>
    </row>
    <row r="48" spans="1:178">
      <c r="A48" s="73"/>
      <c r="B48" s="73"/>
      <c r="C48" s="73" t="s">
        <v>40</v>
      </c>
      <c r="D48" s="161">
        <v>48</v>
      </c>
      <c r="E48" s="161">
        <v>53</v>
      </c>
      <c r="F48" s="161"/>
      <c r="G48" s="161">
        <v>1</v>
      </c>
      <c r="H48" s="161">
        <v>39</v>
      </c>
      <c r="I48" s="161">
        <v>4</v>
      </c>
      <c r="J48" s="161">
        <v>23</v>
      </c>
      <c r="K48" s="161"/>
      <c r="L48" s="161">
        <v>0</v>
      </c>
      <c r="M48" s="161">
        <v>38</v>
      </c>
      <c r="N48" s="161">
        <v>6</v>
      </c>
      <c r="O48" s="161"/>
      <c r="P48" s="161">
        <v>40</v>
      </c>
      <c r="Q48" s="161">
        <v>0</v>
      </c>
      <c r="R48" s="161">
        <v>252</v>
      </c>
      <c r="S48" s="4680">
        <f t="shared" si="4"/>
        <v>0.19444444444444445</v>
      </c>
      <c r="U48" s="73"/>
      <c r="V48" s="73"/>
      <c r="W48" s="73" t="s">
        <v>40</v>
      </c>
      <c r="X48" s="161">
        <v>56</v>
      </c>
      <c r="Y48" s="161">
        <v>64</v>
      </c>
      <c r="Z48" s="161">
        <v>0</v>
      </c>
      <c r="AA48" s="161">
        <v>4</v>
      </c>
      <c r="AB48" s="161">
        <v>32</v>
      </c>
      <c r="AC48" s="161">
        <v>7</v>
      </c>
      <c r="AD48" s="161">
        <v>23</v>
      </c>
      <c r="AE48" s="161"/>
      <c r="AF48" s="161">
        <v>0</v>
      </c>
      <c r="AG48" s="161">
        <v>35</v>
      </c>
      <c r="AH48" s="161">
        <v>1</v>
      </c>
      <c r="AI48" s="161"/>
      <c r="AJ48" s="161">
        <v>28</v>
      </c>
      <c r="AK48" s="161">
        <v>0</v>
      </c>
      <c r="AL48" s="161">
        <v>250</v>
      </c>
      <c r="AM48" s="2585">
        <f t="shared" si="0"/>
        <v>0.16</v>
      </c>
      <c r="AN48" s="3196"/>
      <c r="AO48" s="73"/>
      <c r="AP48" s="73"/>
      <c r="AQ48" s="73" t="s">
        <v>40</v>
      </c>
      <c r="AR48" s="161">
        <v>70</v>
      </c>
      <c r="AS48" s="161">
        <v>53</v>
      </c>
      <c r="AT48" s="161"/>
      <c r="AU48" s="161">
        <v>5</v>
      </c>
      <c r="AV48" s="161">
        <v>27</v>
      </c>
      <c r="AW48" s="161">
        <v>1</v>
      </c>
      <c r="AX48" s="161">
        <v>17</v>
      </c>
      <c r="AY48" s="161">
        <v>0</v>
      </c>
      <c r="AZ48" s="161">
        <v>0</v>
      </c>
      <c r="BA48" s="161">
        <v>29</v>
      </c>
      <c r="BB48" s="161">
        <v>6</v>
      </c>
      <c r="BC48" s="161"/>
      <c r="BD48" s="161">
        <v>31</v>
      </c>
      <c r="BE48" s="161">
        <v>1</v>
      </c>
      <c r="BF48" s="161">
        <v>240</v>
      </c>
      <c r="BG48" s="2585">
        <f t="shared" si="5"/>
        <v>0.14225941422594143</v>
      </c>
      <c r="BI48" s="2140"/>
      <c r="BJ48" s="2140"/>
      <c r="BK48" s="2148" t="s">
        <v>40</v>
      </c>
      <c r="BL48" s="2149">
        <v>69</v>
      </c>
      <c r="BM48" s="2149">
        <v>34</v>
      </c>
      <c r="BN48" s="2150"/>
      <c r="BO48" s="2149">
        <v>6</v>
      </c>
      <c r="BP48" s="2149">
        <v>22</v>
      </c>
      <c r="BQ48" s="2149">
        <v>1</v>
      </c>
      <c r="BR48" s="2149">
        <v>20</v>
      </c>
      <c r="BS48" s="2150"/>
      <c r="BT48" s="2149">
        <v>0</v>
      </c>
      <c r="BU48" s="2149">
        <v>34</v>
      </c>
      <c r="BV48" s="2149">
        <v>8</v>
      </c>
      <c r="BW48" s="2150"/>
      <c r="BX48" s="2149">
        <v>34</v>
      </c>
      <c r="BY48" s="2149">
        <v>1</v>
      </c>
      <c r="BZ48" s="2149">
        <v>229</v>
      </c>
      <c r="CA48" s="2151">
        <f t="shared" si="6"/>
        <v>0.13596491228070176</v>
      </c>
      <c r="CC48" s="1452"/>
      <c r="CD48" s="1452"/>
      <c r="CE48" s="1465" t="s">
        <v>40</v>
      </c>
      <c r="CF48" s="1466">
        <v>51</v>
      </c>
      <c r="CG48" s="1466">
        <v>35</v>
      </c>
      <c r="CH48" s="1452"/>
      <c r="CI48" s="1466">
        <v>15</v>
      </c>
      <c r="CJ48" s="1466">
        <v>27</v>
      </c>
      <c r="CK48" s="1466">
        <v>0</v>
      </c>
      <c r="CL48" s="1466">
        <v>21</v>
      </c>
      <c r="CM48" s="1452"/>
      <c r="CN48" s="1466">
        <v>0</v>
      </c>
      <c r="CO48" s="1466">
        <v>40</v>
      </c>
      <c r="CP48" s="1466">
        <v>5</v>
      </c>
      <c r="CQ48" s="1466">
        <v>54</v>
      </c>
      <c r="CR48" s="1452"/>
      <c r="CS48" s="1466">
        <v>248</v>
      </c>
      <c r="CT48" s="814">
        <f t="shared" si="7"/>
        <v>0.12903225806451613</v>
      </c>
      <c r="CV48" s="929"/>
      <c r="CW48" s="929"/>
      <c r="CX48" s="1467" t="s">
        <v>40</v>
      </c>
      <c r="CY48" s="1468">
        <v>68</v>
      </c>
      <c r="CZ48" s="1468">
        <v>24</v>
      </c>
      <c r="DA48" s="1468">
        <v>0</v>
      </c>
      <c r="DB48" s="1468">
        <v>16</v>
      </c>
      <c r="DC48" s="1468">
        <v>29</v>
      </c>
      <c r="DD48" s="1468">
        <v>1</v>
      </c>
      <c r="DE48" s="1468">
        <v>22</v>
      </c>
      <c r="DF48" s="929"/>
      <c r="DG48" s="1468">
        <v>0</v>
      </c>
      <c r="DH48" s="1468">
        <v>18</v>
      </c>
      <c r="DI48" s="1468">
        <v>5</v>
      </c>
      <c r="DJ48" s="1468">
        <v>60</v>
      </c>
      <c r="DK48" s="929"/>
      <c r="DL48" s="1468">
        <v>243</v>
      </c>
      <c r="DM48" s="814">
        <f t="shared" si="8"/>
        <v>0.1440329218106996</v>
      </c>
      <c r="DO48" s="1094"/>
      <c r="DP48" s="1094"/>
      <c r="DQ48" s="1458" t="s">
        <v>573</v>
      </c>
      <c r="DR48" s="1480">
        <v>1230</v>
      </c>
      <c r="DS48" s="1480">
        <v>684</v>
      </c>
      <c r="DT48" s="1480">
        <v>0</v>
      </c>
      <c r="DU48" s="1480">
        <v>395</v>
      </c>
      <c r="DV48" s="1480">
        <v>2049</v>
      </c>
      <c r="DW48" s="1480">
        <v>257</v>
      </c>
      <c r="DX48" s="1480">
        <v>517</v>
      </c>
      <c r="DY48" s="1480">
        <v>4</v>
      </c>
      <c r="DZ48" s="1480">
        <v>293</v>
      </c>
      <c r="EA48" s="1480">
        <v>232</v>
      </c>
      <c r="EB48" s="1480">
        <v>1191</v>
      </c>
      <c r="EC48" s="1480">
        <v>1724</v>
      </c>
      <c r="ED48" s="1480">
        <v>0</v>
      </c>
      <c r="EE48" s="1480">
        <v>32</v>
      </c>
      <c r="EF48" s="1480">
        <v>8608</v>
      </c>
      <c r="EG48" s="1481">
        <f t="shared" si="9"/>
        <v>0.34366960054163848</v>
      </c>
      <c r="EI48" s="163"/>
      <c r="EJ48" s="163"/>
      <c r="EK48" s="80" t="s">
        <v>15</v>
      </c>
      <c r="EL48" s="80">
        <v>1110</v>
      </c>
      <c r="EM48" s="80">
        <v>700</v>
      </c>
      <c r="EN48" s="80"/>
      <c r="EO48" s="80">
        <v>390</v>
      </c>
      <c r="EP48" s="80">
        <v>1986</v>
      </c>
      <c r="EQ48" s="80">
        <v>241</v>
      </c>
      <c r="ER48" s="80">
        <v>454</v>
      </c>
      <c r="ES48" s="80">
        <v>4</v>
      </c>
      <c r="ET48" s="80">
        <v>278</v>
      </c>
      <c r="EU48" s="80">
        <v>195</v>
      </c>
      <c r="EV48" s="80">
        <v>1097</v>
      </c>
      <c r="EW48" s="80">
        <v>1774</v>
      </c>
      <c r="EX48" s="80"/>
      <c r="EY48" s="80">
        <v>30</v>
      </c>
      <c r="EZ48" s="80">
        <v>8259</v>
      </c>
      <c r="FA48" s="1472">
        <f t="shared" si="1"/>
        <v>0.33959618620302862</v>
      </c>
      <c r="FB48" s="80"/>
      <c r="FC48" s="681"/>
      <c r="FD48" s="681"/>
      <c r="FE48" s="1482" t="s">
        <v>15</v>
      </c>
      <c r="FF48" s="1483">
        <v>817</v>
      </c>
      <c r="FG48" s="1483">
        <v>728</v>
      </c>
      <c r="FH48" s="1483" t="s">
        <v>332</v>
      </c>
      <c r="FI48" s="1483">
        <v>371</v>
      </c>
      <c r="FJ48" s="1483">
        <v>1893</v>
      </c>
      <c r="FK48" s="1483">
        <v>243</v>
      </c>
      <c r="FL48" s="1483">
        <v>535</v>
      </c>
      <c r="FM48" s="1483" t="s">
        <v>332</v>
      </c>
      <c r="FN48" s="1483">
        <v>350</v>
      </c>
      <c r="FO48" s="1483">
        <v>238</v>
      </c>
      <c r="FP48" s="1483">
        <v>1715</v>
      </c>
      <c r="FQ48" s="1483" t="s">
        <v>332</v>
      </c>
      <c r="FR48" s="1483">
        <v>6890</v>
      </c>
      <c r="FS48" s="1483">
        <f t="shared" si="2"/>
        <v>2374</v>
      </c>
      <c r="FT48" s="1484">
        <f t="shared" si="3"/>
        <v>0.34455732946298984</v>
      </c>
      <c r="FU48" s="80"/>
      <c r="FV48" s="80"/>
    </row>
    <row r="49" spans="1:178">
      <c r="A49" s="73"/>
      <c r="B49" s="73"/>
      <c r="C49" s="738" t="s">
        <v>573</v>
      </c>
      <c r="D49" s="4667">
        <v>1098</v>
      </c>
      <c r="E49" s="4667">
        <v>912</v>
      </c>
      <c r="F49" s="4667"/>
      <c r="G49" s="4667">
        <v>19</v>
      </c>
      <c r="H49" s="4667">
        <v>2407</v>
      </c>
      <c r="I49" s="4667">
        <v>258</v>
      </c>
      <c r="J49" s="4667">
        <v>509</v>
      </c>
      <c r="K49" s="4667"/>
      <c r="L49" s="4667">
        <v>1</v>
      </c>
      <c r="M49" s="4667">
        <v>462</v>
      </c>
      <c r="N49" s="4667">
        <v>279</v>
      </c>
      <c r="O49" s="4667"/>
      <c r="P49" s="4667">
        <v>1247</v>
      </c>
      <c r="Q49" s="4667">
        <v>2</v>
      </c>
      <c r="R49" s="4667">
        <v>7194</v>
      </c>
      <c r="S49" s="4680">
        <f t="shared" si="4"/>
        <v>0.40934371523915464</v>
      </c>
      <c r="U49" s="73"/>
      <c r="V49" s="73"/>
      <c r="W49" s="738" t="s">
        <v>573</v>
      </c>
      <c r="X49" s="151">
        <v>1065</v>
      </c>
      <c r="Y49" s="151">
        <v>1030</v>
      </c>
      <c r="Z49" s="151">
        <v>2</v>
      </c>
      <c r="AA49" s="151">
        <v>222</v>
      </c>
      <c r="AB49" s="151">
        <v>2344</v>
      </c>
      <c r="AC49" s="151">
        <v>322</v>
      </c>
      <c r="AD49" s="151">
        <v>566</v>
      </c>
      <c r="AE49" s="151"/>
      <c r="AF49" s="151">
        <v>2</v>
      </c>
      <c r="AG49" s="151">
        <v>460</v>
      </c>
      <c r="AH49" s="151">
        <v>352</v>
      </c>
      <c r="AI49" s="151"/>
      <c r="AJ49" s="151">
        <v>1143</v>
      </c>
      <c r="AK49" s="151">
        <v>8</v>
      </c>
      <c r="AL49" s="151">
        <v>7516</v>
      </c>
      <c r="AM49" s="912">
        <f t="shared" si="0"/>
        <v>0.40197123068726692</v>
      </c>
      <c r="AN49" s="3197"/>
      <c r="AO49" s="73"/>
      <c r="AP49" s="73"/>
      <c r="AQ49" s="738" t="s">
        <v>573</v>
      </c>
      <c r="AR49" s="151">
        <v>1061</v>
      </c>
      <c r="AS49" s="151">
        <v>1028</v>
      </c>
      <c r="AT49" s="151"/>
      <c r="AU49" s="151">
        <v>226</v>
      </c>
      <c r="AV49" s="151">
        <v>2385</v>
      </c>
      <c r="AW49" s="151">
        <v>242</v>
      </c>
      <c r="AX49" s="151">
        <v>465</v>
      </c>
      <c r="AY49" s="151">
        <v>12</v>
      </c>
      <c r="AZ49" s="151">
        <v>2</v>
      </c>
      <c r="BA49" s="151">
        <v>475</v>
      </c>
      <c r="BB49" s="151">
        <v>322</v>
      </c>
      <c r="BC49" s="151"/>
      <c r="BD49" s="151">
        <v>1117</v>
      </c>
      <c r="BE49" s="151">
        <v>8</v>
      </c>
      <c r="BF49" s="151">
        <v>7343</v>
      </c>
      <c r="BG49" s="912">
        <f t="shared" si="5"/>
        <v>0.4020449897750511</v>
      </c>
      <c r="BI49" s="2140"/>
      <c r="BJ49" s="2140"/>
      <c r="BK49" s="2142" t="s">
        <v>573</v>
      </c>
      <c r="BL49" s="2152">
        <v>1096</v>
      </c>
      <c r="BM49" s="2152">
        <v>858</v>
      </c>
      <c r="BN49" s="2153"/>
      <c r="BO49" s="2152">
        <v>218</v>
      </c>
      <c r="BP49" s="2152">
        <v>2410</v>
      </c>
      <c r="BQ49" s="2152">
        <v>202</v>
      </c>
      <c r="BR49" s="2152">
        <v>491</v>
      </c>
      <c r="BS49" s="2153"/>
      <c r="BT49" s="2152">
        <v>4</v>
      </c>
      <c r="BU49" s="2152">
        <v>464</v>
      </c>
      <c r="BV49" s="2152">
        <v>314</v>
      </c>
      <c r="BW49" s="2153"/>
      <c r="BX49" s="2152">
        <v>1212</v>
      </c>
      <c r="BY49" s="2152">
        <v>7</v>
      </c>
      <c r="BZ49" s="2152">
        <v>7276</v>
      </c>
      <c r="CA49" s="2154">
        <f t="shared" si="6"/>
        <v>0.40253129728986103</v>
      </c>
      <c r="CC49" s="1452"/>
      <c r="CD49" s="1452"/>
      <c r="CE49" s="1475" t="s">
        <v>573</v>
      </c>
      <c r="CF49" s="1476">
        <v>1055</v>
      </c>
      <c r="CG49" s="1476">
        <v>819</v>
      </c>
      <c r="CH49" s="1477"/>
      <c r="CI49" s="1476">
        <v>330</v>
      </c>
      <c r="CJ49" s="1476">
        <v>2426</v>
      </c>
      <c r="CK49" s="1476">
        <v>204</v>
      </c>
      <c r="CL49" s="1476">
        <v>522</v>
      </c>
      <c r="CM49" s="1477"/>
      <c r="CN49" s="1476">
        <v>4</v>
      </c>
      <c r="CO49" s="1476">
        <v>514</v>
      </c>
      <c r="CP49" s="1476">
        <v>290</v>
      </c>
      <c r="CQ49" s="1476">
        <v>1631</v>
      </c>
      <c r="CR49" s="1476"/>
      <c r="CS49" s="1476">
        <v>7795</v>
      </c>
      <c r="CT49" s="1478">
        <f t="shared" si="7"/>
        <v>0.37459910198845414</v>
      </c>
      <c r="CV49" s="929"/>
      <c r="CW49" s="929"/>
      <c r="CX49" s="1090" t="s">
        <v>573</v>
      </c>
      <c r="CY49" s="1479">
        <v>1140</v>
      </c>
      <c r="CZ49" s="1479">
        <v>854</v>
      </c>
      <c r="DA49" s="1479">
        <v>1</v>
      </c>
      <c r="DB49" s="1479">
        <v>375</v>
      </c>
      <c r="DC49" s="1479">
        <v>2212</v>
      </c>
      <c r="DD49" s="1479">
        <v>323</v>
      </c>
      <c r="DE49" s="1479">
        <v>473</v>
      </c>
      <c r="DF49" s="1093"/>
      <c r="DG49" s="1479">
        <v>5</v>
      </c>
      <c r="DH49" s="1479">
        <v>345</v>
      </c>
      <c r="DI49" s="1479">
        <v>248</v>
      </c>
      <c r="DJ49" s="1479">
        <v>1580</v>
      </c>
      <c r="DK49" s="1093"/>
      <c r="DL49" s="1479">
        <v>7556</v>
      </c>
      <c r="DM49" s="803">
        <f t="shared" si="8"/>
        <v>0.36831656961355214</v>
      </c>
      <c r="DO49" s="1094"/>
      <c r="DP49" s="1094" t="s">
        <v>41</v>
      </c>
      <c r="DQ49" s="1469" t="s">
        <v>42</v>
      </c>
      <c r="DR49" s="1470">
        <v>191</v>
      </c>
      <c r="DS49" s="1470">
        <v>47</v>
      </c>
      <c r="DT49" s="1470">
        <v>0</v>
      </c>
      <c r="DU49" s="1470">
        <v>65</v>
      </c>
      <c r="DV49" s="1470">
        <v>207</v>
      </c>
      <c r="DW49" s="1470">
        <v>22</v>
      </c>
      <c r="DX49" s="1470">
        <v>45</v>
      </c>
      <c r="DY49" s="1470">
        <v>0</v>
      </c>
      <c r="DZ49" s="1470">
        <v>18</v>
      </c>
      <c r="EA49" s="1470">
        <v>36</v>
      </c>
      <c r="EB49" s="1470">
        <v>165</v>
      </c>
      <c r="EC49" s="1470">
        <v>165</v>
      </c>
      <c r="ED49" s="1470">
        <v>0</v>
      </c>
      <c r="EE49" s="1470">
        <v>2</v>
      </c>
      <c r="EF49" s="1470">
        <v>963</v>
      </c>
      <c r="EG49" s="1471">
        <f t="shared" si="9"/>
        <v>0.33291457286432163</v>
      </c>
      <c r="EI49" s="163"/>
      <c r="EJ49" s="163" t="s">
        <v>41</v>
      </c>
      <c r="EK49" s="80" t="s">
        <v>42</v>
      </c>
      <c r="EL49" s="80">
        <v>165</v>
      </c>
      <c r="EM49" s="80">
        <v>47</v>
      </c>
      <c r="EN49" s="80"/>
      <c r="EO49" s="80">
        <v>57</v>
      </c>
      <c r="EP49" s="80">
        <v>210</v>
      </c>
      <c r="EQ49" s="80">
        <v>17</v>
      </c>
      <c r="ER49" s="80">
        <v>71</v>
      </c>
      <c r="ES49" s="80"/>
      <c r="ET49" s="80">
        <v>22</v>
      </c>
      <c r="EU49" s="80">
        <v>22</v>
      </c>
      <c r="EV49" s="80">
        <v>159</v>
      </c>
      <c r="EW49" s="80">
        <v>158</v>
      </c>
      <c r="EX49" s="80"/>
      <c r="EY49" s="80">
        <v>3</v>
      </c>
      <c r="EZ49" s="80">
        <v>931</v>
      </c>
      <c r="FA49" s="1472">
        <f t="shared" si="1"/>
        <v>0.32379713914174252</v>
      </c>
      <c r="FB49" s="80"/>
      <c r="FC49" s="681"/>
      <c r="FD49" s="681" t="s">
        <v>41</v>
      </c>
      <c r="FE49" s="681" t="s">
        <v>42</v>
      </c>
      <c r="FF49" s="1473">
        <v>136</v>
      </c>
      <c r="FG49" s="1473">
        <v>43</v>
      </c>
      <c r="FH49" s="1473" t="s">
        <v>332</v>
      </c>
      <c r="FI49" s="1473">
        <v>50</v>
      </c>
      <c r="FJ49" s="1473">
        <v>198</v>
      </c>
      <c r="FK49" s="1473">
        <v>19</v>
      </c>
      <c r="FL49" s="1473">
        <v>42</v>
      </c>
      <c r="FM49" s="1473" t="s">
        <v>332</v>
      </c>
      <c r="FN49" s="1473">
        <v>18</v>
      </c>
      <c r="FO49" s="1473">
        <v>32</v>
      </c>
      <c r="FP49" s="1473">
        <v>175</v>
      </c>
      <c r="FQ49" s="1473" t="s">
        <v>332</v>
      </c>
      <c r="FR49" s="1473">
        <v>713</v>
      </c>
      <c r="FS49" s="1473">
        <f t="shared" si="2"/>
        <v>249</v>
      </c>
      <c r="FT49" s="1474">
        <f t="shared" si="3"/>
        <v>0.34922861150070128</v>
      </c>
      <c r="FU49" s="80"/>
      <c r="FV49" s="80"/>
    </row>
    <row r="50" spans="1:178">
      <c r="A50" s="73"/>
      <c r="B50" s="73" t="s">
        <v>41</v>
      </c>
      <c r="C50" s="73" t="s">
        <v>42</v>
      </c>
      <c r="D50" s="161">
        <v>209</v>
      </c>
      <c r="E50" s="161">
        <v>62</v>
      </c>
      <c r="F50" s="161">
        <v>0</v>
      </c>
      <c r="G50" s="161">
        <v>4</v>
      </c>
      <c r="H50" s="161">
        <v>337</v>
      </c>
      <c r="I50" s="161">
        <v>62</v>
      </c>
      <c r="J50" s="161">
        <v>45</v>
      </c>
      <c r="K50" s="161"/>
      <c r="L50" s="161"/>
      <c r="M50" s="161">
        <v>24</v>
      </c>
      <c r="N50" s="161">
        <v>71</v>
      </c>
      <c r="O50" s="161"/>
      <c r="P50" s="161">
        <v>129</v>
      </c>
      <c r="Q50" s="161">
        <v>0</v>
      </c>
      <c r="R50" s="161">
        <v>943</v>
      </c>
      <c r="S50" s="4680">
        <f t="shared" si="4"/>
        <v>0.49840933191940617</v>
      </c>
      <c r="U50" s="73"/>
      <c r="V50" s="73" t="s">
        <v>41</v>
      </c>
      <c r="W50" s="73" t="s">
        <v>42</v>
      </c>
      <c r="X50" s="161">
        <v>213</v>
      </c>
      <c r="Y50" s="161">
        <v>81</v>
      </c>
      <c r="Z50" s="161"/>
      <c r="AA50" s="161">
        <v>43</v>
      </c>
      <c r="AB50" s="161">
        <v>314</v>
      </c>
      <c r="AC50" s="161">
        <v>65</v>
      </c>
      <c r="AD50" s="161">
        <v>41</v>
      </c>
      <c r="AE50" s="161"/>
      <c r="AF50" s="161">
        <v>0</v>
      </c>
      <c r="AG50" s="161">
        <v>19</v>
      </c>
      <c r="AH50" s="161">
        <v>86</v>
      </c>
      <c r="AI50" s="161"/>
      <c r="AJ50" s="161">
        <v>124</v>
      </c>
      <c r="AK50" s="161">
        <v>0</v>
      </c>
      <c r="AL50" s="161">
        <v>986</v>
      </c>
      <c r="AM50" s="2585">
        <f t="shared" si="0"/>
        <v>0.47160243407707908</v>
      </c>
      <c r="AN50" s="3196"/>
      <c r="AO50" s="73"/>
      <c r="AP50" s="73" t="s">
        <v>41</v>
      </c>
      <c r="AQ50" s="73" t="s">
        <v>42</v>
      </c>
      <c r="AR50" s="161">
        <v>224</v>
      </c>
      <c r="AS50" s="161">
        <v>74</v>
      </c>
      <c r="AT50" s="161"/>
      <c r="AU50" s="161">
        <v>40</v>
      </c>
      <c r="AV50" s="161">
        <v>301</v>
      </c>
      <c r="AW50" s="161">
        <v>50</v>
      </c>
      <c r="AX50" s="161">
        <v>57</v>
      </c>
      <c r="AY50" s="161"/>
      <c r="AZ50" s="161">
        <v>0</v>
      </c>
      <c r="BA50" s="161">
        <v>19</v>
      </c>
      <c r="BB50" s="161">
        <v>93</v>
      </c>
      <c r="BC50" s="161"/>
      <c r="BD50" s="161">
        <v>113</v>
      </c>
      <c r="BE50" s="161">
        <v>0</v>
      </c>
      <c r="BF50" s="161">
        <v>971</v>
      </c>
      <c r="BG50" s="2585">
        <f t="shared" si="5"/>
        <v>0.45726055612770339</v>
      </c>
      <c r="BI50" s="2140"/>
      <c r="BJ50" s="2140" t="s">
        <v>41</v>
      </c>
      <c r="BK50" s="2148" t="s">
        <v>42</v>
      </c>
      <c r="BL50" s="2149">
        <v>234</v>
      </c>
      <c r="BM50" s="2149">
        <v>66</v>
      </c>
      <c r="BN50" s="2150"/>
      <c r="BO50" s="2149">
        <v>45</v>
      </c>
      <c r="BP50" s="2149">
        <v>304</v>
      </c>
      <c r="BQ50" s="2149">
        <v>28</v>
      </c>
      <c r="BR50" s="2149">
        <v>37</v>
      </c>
      <c r="BS50" s="2150"/>
      <c r="BT50" s="2149">
        <v>0</v>
      </c>
      <c r="BU50" s="2149">
        <v>29</v>
      </c>
      <c r="BV50" s="2149">
        <v>76</v>
      </c>
      <c r="BW50" s="2150"/>
      <c r="BX50" s="2149">
        <v>138</v>
      </c>
      <c r="BY50" s="2149">
        <v>1</v>
      </c>
      <c r="BZ50" s="2149">
        <v>958</v>
      </c>
      <c r="CA50" s="2151">
        <f t="shared" si="6"/>
        <v>0.42633228840125392</v>
      </c>
      <c r="CC50" s="1452"/>
      <c r="CD50" s="1452" t="s">
        <v>41</v>
      </c>
      <c r="CE50" s="1465" t="s">
        <v>42</v>
      </c>
      <c r="CF50" s="1466">
        <v>211</v>
      </c>
      <c r="CG50" s="1466">
        <v>62</v>
      </c>
      <c r="CH50" s="1466">
        <v>0</v>
      </c>
      <c r="CI50" s="1466">
        <v>67</v>
      </c>
      <c r="CJ50" s="1466">
        <v>286</v>
      </c>
      <c r="CK50" s="1466">
        <v>15</v>
      </c>
      <c r="CL50" s="1466">
        <v>41</v>
      </c>
      <c r="CM50" s="1452"/>
      <c r="CN50" s="1466">
        <v>0</v>
      </c>
      <c r="CO50" s="1466">
        <v>36</v>
      </c>
      <c r="CP50" s="1466">
        <v>58</v>
      </c>
      <c r="CQ50" s="1466">
        <v>170</v>
      </c>
      <c r="CR50" s="1452"/>
      <c r="CS50" s="1466">
        <v>946</v>
      </c>
      <c r="CT50" s="814">
        <f t="shared" si="7"/>
        <v>0.379492600422833</v>
      </c>
      <c r="CV50" s="929"/>
      <c r="CW50" s="929" t="s">
        <v>41</v>
      </c>
      <c r="CX50" s="1467" t="s">
        <v>42</v>
      </c>
      <c r="CY50" s="1468">
        <v>226</v>
      </c>
      <c r="CZ50" s="1468">
        <v>49</v>
      </c>
      <c r="DA50" s="929"/>
      <c r="DB50" s="1468">
        <v>67</v>
      </c>
      <c r="DC50" s="1468">
        <v>225</v>
      </c>
      <c r="DD50" s="1468">
        <v>32</v>
      </c>
      <c r="DE50" s="1468">
        <v>45</v>
      </c>
      <c r="DF50" s="929"/>
      <c r="DG50" s="929"/>
      <c r="DH50" s="1468">
        <v>11</v>
      </c>
      <c r="DI50" s="1468">
        <v>50</v>
      </c>
      <c r="DJ50" s="1468">
        <v>161</v>
      </c>
      <c r="DK50" s="929"/>
      <c r="DL50" s="1468">
        <v>866</v>
      </c>
      <c r="DM50" s="814">
        <f t="shared" si="8"/>
        <v>0.35450346420323325</v>
      </c>
      <c r="DO50" s="1094"/>
      <c r="DP50" s="1094"/>
      <c r="DQ50" s="1469" t="s">
        <v>43</v>
      </c>
      <c r="DR50" s="1470">
        <v>162</v>
      </c>
      <c r="DS50" s="1470">
        <v>38</v>
      </c>
      <c r="DT50" s="1470">
        <v>0</v>
      </c>
      <c r="DU50" s="1470">
        <v>61</v>
      </c>
      <c r="DV50" s="1470">
        <v>216</v>
      </c>
      <c r="DW50" s="1470">
        <v>10</v>
      </c>
      <c r="DX50" s="1470">
        <v>52</v>
      </c>
      <c r="DY50" s="1470">
        <v>0</v>
      </c>
      <c r="DZ50" s="1470">
        <v>7</v>
      </c>
      <c r="EA50" s="1470">
        <v>19</v>
      </c>
      <c r="EB50" s="1470">
        <v>119</v>
      </c>
      <c r="EC50" s="1470">
        <v>153</v>
      </c>
      <c r="ED50" s="1470">
        <v>0</v>
      </c>
      <c r="EE50" s="1470">
        <v>3</v>
      </c>
      <c r="EF50" s="1470">
        <v>840</v>
      </c>
      <c r="EG50" s="1471">
        <f t="shared" si="9"/>
        <v>0.34122562674094709</v>
      </c>
      <c r="EI50" s="163"/>
      <c r="EJ50" s="163"/>
      <c r="EK50" s="80" t="s">
        <v>43</v>
      </c>
      <c r="EL50" s="80">
        <v>136</v>
      </c>
      <c r="EM50" s="80">
        <v>48</v>
      </c>
      <c r="EN50" s="80"/>
      <c r="EO50" s="80">
        <v>60</v>
      </c>
      <c r="EP50" s="80">
        <v>206</v>
      </c>
      <c r="EQ50" s="80">
        <v>19</v>
      </c>
      <c r="ER50" s="80">
        <v>35</v>
      </c>
      <c r="ES50" s="80"/>
      <c r="ET50" s="80">
        <v>13</v>
      </c>
      <c r="EU50" s="80">
        <v>16</v>
      </c>
      <c r="EV50" s="80">
        <v>115</v>
      </c>
      <c r="EW50" s="80">
        <v>157</v>
      </c>
      <c r="EX50" s="80"/>
      <c r="EY50" s="80">
        <v>2</v>
      </c>
      <c r="EZ50" s="80">
        <v>807</v>
      </c>
      <c r="FA50" s="1472">
        <f t="shared" si="1"/>
        <v>0.3492753623188406</v>
      </c>
      <c r="FB50" s="80"/>
      <c r="FC50" s="681"/>
      <c r="FD50" s="681"/>
      <c r="FE50" s="681" t="s">
        <v>43</v>
      </c>
      <c r="FF50" s="1473">
        <v>119</v>
      </c>
      <c r="FG50" s="1473">
        <v>58</v>
      </c>
      <c r="FH50" s="1473" t="s">
        <v>332</v>
      </c>
      <c r="FI50" s="1473">
        <v>63</v>
      </c>
      <c r="FJ50" s="1473">
        <v>190</v>
      </c>
      <c r="FK50" s="1473">
        <v>10</v>
      </c>
      <c r="FL50" s="1473">
        <v>47</v>
      </c>
      <c r="FM50" s="1473" t="s">
        <v>332</v>
      </c>
      <c r="FN50" s="1473">
        <v>29</v>
      </c>
      <c r="FO50" s="1473">
        <v>21</v>
      </c>
      <c r="FP50" s="1473">
        <v>152</v>
      </c>
      <c r="FQ50" s="1473" t="s">
        <v>332</v>
      </c>
      <c r="FR50" s="1473">
        <v>689</v>
      </c>
      <c r="FS50" s="1473">
        <f t="shared" si="2"/>
        <v>221</v>
      </c>
      <c r="FT50" s="1474">
        <f t="shared" si="3"/>
        <v>0.32075471698113206</v>
      </c>
      <c r="FU50" s="80"/>
      <c r="FV50" s="80"/>
    </row>
    <row r="51" spans="1:178">
      <c r="A51" s="73"/>
      <c r="B51" s="73"/>
      <c r="C51" s="73" t="s">
        <v>43</v>
      </c>
      <c r="D51" s="161">
        <v>189</v>
      </c>
      <c r="E51" s="161">
        <v>69</v>
      </c>
      <c r="F51" s="161">
        <v>0</v>
      </c>
      <c r="G51" s="161">
        <v>0</v>
      </c>
      <c r="H51" s="161">
        <v>224</v>
      </c>
      <c r="I51" s="161">
        <v>26</v>
      </c>
      <c r="J51" s="161">
        <v>48</v>
      </c>
      <c r="K51" s="161"/>
      <c r="L51" s="161"/>
      <c r="M51" s="161">
        <v>22</v>
      </c>
      <c r="N51" s="161">
        <v>40</v>
      </c>
      <c r="O51" s="161"/>
      <c r="P51" s="161">
        <v>107</v>
      </c>
      <c r="Q51" s="161">
        <v>0</v>
      </c>
      <c r="R51" s="161">
        <v>725</v>
      </c>
      <c r="S51" s="4680">
        <f t="shared" si="4"/>
        <v>0.4</v>
      </c>
      <c r="U51" s="73"/>
      <c r="V51" s="73"/>
      <c r="W51" s="73" t="s">
        <v>43</v>
      </c>
      <c r="X51" s="161">
        <v>190</v>
      </c>
      <c r="Y51" s="161">
        <v>74</v>
      </c>
      <c r="Z51" s="161"/>
      <c r="AA51" s="161">
        <v>33</v>
      </c>
      <c r="AB51" s="161">
        <v>201</v>
      </c>
      <c r="AC51" s="161">
        <v>28</v>
      </c>
      <c r="AD51" s="161">
        <v>35</v>
      </c>
      <c r="AE51" s="161"/>
      <c r="AF51" s="161">
        <v>0</v>
      </c>
      <c r="AG51" s="161">
        <v>15</v>
      </c>
      <c r="AH51" s="161">
        <v>34</v>
      </c>
      <c r="AI51" s="161"/>
      <c r="AJ51" s="161">
        <v>114</v>
      </c>
      <c r="AK51" s="161">
        <v>0</v>
      </c>
      <c r="AL51" s="161">
        <v>724</v>
      </c>
      <c r="AM51" s="2585">
        <f t="shared" si="0"/>
        <v>0.36325966850828728</v>
      </c>
      <c r="AN51" s="3196"/>
      <c r="AO51" s="73"/>
      <c r="AP51" s="73"/>
      <c r="AQ51" s="73" t="s">
        <v>43</v>
      </c>
      <c r="AR51" s="161">
        <v>165</v>
      </c>
      <c r="AS51" s="161">
        <v>74</v>
      </c>
      <c r="AT51" s="161"/>
      <c r="AU51" s="161">
        <v>35</v>
      </c>
      <c r="AV51" s="161">
        <v>209</v>
      </c>
      <c r="AW51" s="161">
        <v>15</v>
      </c>
      <c r="AX51" s="161">
        <v>26</v>
      </c>
      <c r="AY51" s="161"/>
      <c r="AZ51" s="161">
        <v>0</v>
      </c>
      <c r="BA51" s="161">
        <v>18</v>
      </c>
      <c r="BB51" s="161">
        <v>34</v>
      </c>
      <c r="BC51" s="161"/>
      <c r="BD51" s="161">
        <v>107</v>
      </c>
      <c r="BE51" s="161">
        <v>0</v>
      </c>
      <c r="BF51" s="161">
        <v>683</v>
      </c>
      <c r="BG51" s="2585">
        <f t="shared" si="5"/>
        <v>0.37774524158125916</v>
      </c>
      <c r="BI51" s="2140"/>
      <c r="BJ51" s="2140"/>
      <c r="BK51" s="2148" t="s">
        <v>43</v>
      </c>
      <c r="BL51" s="2149">
        <v>157</v>
      </c>
      <c r="BM51" s="2149">
        <v>68</v>
      </c>
      <c r="BN51" s="2150"/>
      <c r="BO51" s="2149">
        <v>36</v>
      </c>
      <c r="BP51" s="2149">
        <v>203</v>
      </c>
      <c r="BQ51" s="2149">
        <v>12</v>
      </c>
      <c r="BR51" s="2149">
        <v>25</v>
      </c>
      <c r="BS51" s="2150"/>
      <c r="BT51" s="2149">
        <v>0</v>
      </c>
      <c r="BU51" s="2149">
        <v>18</v>
      </c>
      <c r="BV51" s="2149">
        <v>33</v>
      </c>
      <c r="BW51" s="2150"/>
      <c r="BX51" s="2149">
        <v>102</v>
      </c>
      <c r="BY51" s="2149">
        <v>0</v>
      </c>
      <c r="BZ51" s="2149">
        <v>654</v>
      </c>
      <c r="CA51" s="2151">
        <f t="shared" si="6"/>
        <v>0.37920489296636084</v>
      </c>
      <c r="CC51" s="1452"/>
      <c r="CD51" s="1452"/>
      <c r="CE51" s="1465" t="s">
        <v>43</v>
      </c>
      <c r="CF51" s="1466">
        <v>158</v>
      </c>
      <c r="CG51" s="1466">
        <v>37</v>
      </c>
      <c r="CH51" s="1466">
        <v>0</v>
      </c>
      <c r="CI51" s="1466">
        <v>54</v>
      </c>
      <c r="CJ51" s="1466">
        <v>208</v>
      </c>
      <c r="CK51" s="1466">
        <v>8</v>
      </c>
      <c r="CL51" s="1466">
        <v>51</v>
      </c>
      <c r="CM51" s="1452"/>
      <c r="CN51" s="1466">
        <v>0</v>
      </c>
      <c r="CO51" s="1466">
        <v>19</v>
      </c>
      <c r="CP51" s="1466">
        <v>29</v>
      </c>
      <c r="CQ51" s="1466">
        <v>116</v>
      </c>
      <c r="CR51" s="1452"/>
      <c r="CS51" s="1466">
        <v>680</v>
      </c>
      <c r="CT51" s="814">
        <f t="shared" si="7"/>
        <v>0.36029411764705882</v>
      </c>
      <c r="CV51" s="929"/>
      <c r="CW51" s="929"/>
      <c r="CX51" s="1467" t="s">
        <v>43</v>
      </c>
      <c r="CY51" s="1468">
        <v>169</v>
      </c>
      <c r="CZ51" s="1468">
        <v>44</v>
      </c>
      <c r="DA51" s="929"/>
      <c r="DB51" s="1468">
        <v>63</v>
      </c>
      <c r="DC51" s="1468">
        <v>208</v>
      </c>
      <c r="DD51" s="1468">
        <v>14</v>
      </c>
      <c r="DE51" s="1468">
        <v>45</v>
      </c>
      <c r="DF51" s="929"/>
      <c r="DG51" s="929"/>
      <c r="DH51" s="1468">
        <v>11</v>
      </c>
      <c r="DI51" s="1468">
        <v>19</v>
      </c>
      <c r="DJ51" s="1468">
        <v>133</v>
      </c>
      <c r="DK51" s="929"/>
      <c r="DL51" s="1468">
        <v>706</v>
      </c>
      <c r="DM51" s="814">
        <f t="shared" si="8"/>
        <v>0.34135977337110479</v>
      </c>
      <c r="DO51" s="1094"/>
      <c r="DP51" s="1094"/>
      <c r="DQ51" s="1469" t="s">
        <v>44</v>
      </c>
      <c r="DR51" s="1470">
        <v>78</v>
      </c>
      <c r="DS51" s="1470">
        <v>20</v>
      </c>
      <c r="DT51" s="1470">
        <v>0</v>
      </c>
      <c r="DU51" s="1470">
        <v>31</v>
      </c>
      <c r="DV51" s="1470">
        <v>77</v>
      </c>
      <c r="DW51" s="1470">
        <v>6</v>
      </c>
      <c r="DX51" s="1470">
        <v>19</v>
      </c>
      <c r="DY51" s="1470">
        <v>0</v>
      </c>
      <c r="DZ51" s="1470">
        <v>3</v>
      </c>
      <c r="EA51" s="1470">
        <v>23</v>
      </c>
      <c r="EB51" s="1470">
        <v>38</v>
      </c>
      <c r="EC51" s="1470">
        <v>64</v>
      </c>
      <c r="ED51" s="1470">
        <v>0</v>
      </c>
      <c r="EE51" s="1470">
        <v>2</v>
      </c>
      <c r="EF51" s="1470">
        <v>361</v>
      </c>
      <c r="EG51" s="1471">
        <f t="shared" si="9"/>
        <v>0.33021806853582553</v>
      </c>
      <c r="EI51" s="163"/>
      <c r="EJ51" s="163"/>
      <c r="EK51" s="80" t="s">
        <v>44</v>
      </c>
      <c r="EL51" s="80">
        <v>65</v>
      </c>
      <c r="EM51" s="80">
        <v>25</v>
      </c>
      <c r="EN51" s="80"/>
      <c r="EO51" s="80">
        <v>26</v>
      </c>
      <c r="EP51" s="80">
        <v>80</v>
      </c>
      <c r="EQ51" s="80">
        <v>11</v>
      </c>
      <c r="ER51" s="80">
        <v>22</v>
      </c>
      <c r="ES51" s="80"/>
      <c r="ET51" s="80">
        <v>9</v>
      </c>
      <c r="EU51" s="80">
        <v>9</v>
      </c>
      <c r="EV51" s="80">
        <v>35</v>
      </c>
      <c r="EW51" s="80">
        <v>58</v>
      </c>
      <c r="EX51" s="80"/>
      <c r="EY51" s="80">
        <v>1</v>
      </c>
      <c r="EZ51" s="80">
        <v>341</v>
      </c>
      <c r="FA51" s="1472">
        <f t="shared" si="1"/>
        <v>0.32786885245901637</v>
      </c>
      <c r="FB51" s="80"/>
      <c r="FC51" s="681"/>
      <c r="FD51" s="681"/>
      <c r="FE51" s="681" t="s">
        <v>44</v>
      </c>
      <c r="FF51" s="1473">
        <v>62</v>
      </c>
      <c r="FG51" s="1473">
        <v>21</v>
      </c>
      <c r="FH51" s="1473" t="s">
        <v>332</v>
      </c>
      <c r="FI51" s="1473">
        <v>23</v>
      </c>
      <c r="FJ51" s="1473">
        <v>74</v>
      </c>
      <c r="FK51" s="1473">
        <v>7</v>
      </c>
      <c r="FL51" s="1473">
        <v>13</v>
      </c>
      <c r="FM51" s="1473" t="s">
        <v>332</v>
      </c>
      <c r="FN51" s="1473">
        <v>13</v>
      </c>
      <c r="FO51" s="1473">
        <v>22</v>
      </c>
      <c r="FP51" s="1473">
        <v>58</v>
      </c>
      <c r="FQ51" s="1473" t="s">
        <v>332</v>
      </c>
      <c r="FR51" s="1473">
        <v>293</v>
      </c>
      <c r="FS51" s="1473">
        <f t="shared" si="2"/>
        <v>103</v>
      </c>
      <c r="FT51" s="1474">
        <f t="shared" si="3"/>
        <v>0.35153583617747441</v>
      </c>
      <c r="FU51" s="80"/>
      <c r="FV51" s="80"/>
    </row>
    <row r="52" spans="1:178">
      <c r="A52" s="73"/>
      <c r="B52" s="73"/>
      <c r="C52" s="73" t="s">
        <v>44</v>
      </c>
      <c r="D52" s="161">
        <v>152</v>
      </c>
      <c r="E52" s="161">
        <v>47</v>
      </c>
      <c r="F52" s="161">
        <v>0</v>
      </c>
      <c r="G52" s="161">
        <v>1</v>
      </c>
      <c r="H52" s="161">
        <v>159</v>
      </c>
      <c r="I52" s="161">
        <v>27</v>
      </c>
      <c r="J52" s="161">
        <v>32</v>
      </c>
      <c r="K52" s="161"/>
      <c r="L52" s="161"/>
      <c r="M52" s="161">
        <v>24</v>
      </c>
      <c r="N52" s="161">
        <v>53</v>
      </c>
      <c r="O52" s="161"/>
      <c r="P52" s="161">
        <v>89</v>
      </c>
      <c r="Q52" s="161">
        <v>0</v>
      </c>
      <c r="R52" s="161">
        <v>584</v>
      </c>
      <c r="S52" s="4680">
        <f t="shared" si="4"/>
        <v>0.40924657534246578</v>
      </c>
      <c r="U52" s="73"/>
      <c r="V52" s="73"/>
      <c r="W52" s="73" t="s">
        <v>44</v>
      </c>
      <c r="X52" s="161">
        <v>158</v>
      </c>
      <c r="Y52" s="161">
        <v>51</v>
      </c>
      <c r="Z52" s="161"/>
      <c r="AA52" s="161">
        <v>18</v>
      </c>
      <c r="AB52" s="161">
        <v>99</v>
      </c>
      <c r="AC52" s="161">
        <v>31</v>
      </c>
      <c r="AD52" s="161">
        <v>25</v>
      </c>
      <c r="AE52" s="161"/>
      <c r="AF52" s="161">
        <v>0</v>
      </c>
      <c r="AG52" s="161">
        <v>19</v>
      </c>
      <c r="AH52" s="161">
        <v>74</v>
      </c>
      <c r="AI52" s="161"/>
      <c r="AJ52" s="161">
        <v>88</v>
      </c>
      <c r="AK52" s="161">
        <v>1</v>
      </c>
      <c r="AL52" s="161">
        <v>564</v>
      </c>
      <c r="AM52" s="2585">
        <f t="shared" si="0"/>
        <v>0.36234458259325042</v>
      </c>
      <c r="AN52" s="3196"/>
      <c r="AO52" s="73"/>
      <c r="AP52" s="73"/>
      <c r="AQ52" s="73" t="s">
        <v>44</v>
      </c>
      <c r="AR52" s="161">
        <v>171</v>
      </c>
      <c r="AS52" s="161">
        <v>49</v>
      </c>
      <c r="AT52" s="161"/>
      <c r="AU52" s="161">
        <v>28</v>
      </c>
      <c r="AV52" s="161">
        <v>90</v>
      </c>
      <c r="AW52" s="161">
        <v>17</v>
      </c>
      <c r="AX52" s="161">
        <v>25</v>
      </c>
      <c r="AY52" s="161"/>
      <c r="AZ52" s="161">
        <v>0</v>
      </c>
      <c r="BA52" s="161">
        <v>19</v>
      </c>
      <c r="BB52" s="161">
        <v>44</v>
      </c>
      <c r="BC52" s="161"/>
      <c r="BD52" s="161">
        <v>79</v>
      </c>
      <c r="BE52" s="161">
        <v>1</v>
      </c>
      <c r="BF52" s="161">
        <v>523</v>
      </c>
      <c r="BG52" s="2585">
        <f t="shared" si="5"/>
        <v>0.28927203065134099</v>
      </c>
      <c r="BI52" s="2140"/>
      <c r="BJ52" s="2140"/>
      <c r="BK52" s="2148" t="s">
        <v>44</v>
      </c>
      <c r="BL52" s="2149">
        <v>146</v>
      </c>
      <c r="BM52" s="2149">
        <v>53</v>
      </c>
      <c r="BN52" s="2150"/>
      <c r="BO52" s="2149">
        <v>28</v>
      </c>
      <c r="BP52" s="2149">
        <v>94</v>
      </c>
      <c r="BQ52" s="2149">
        <v>13</v>
      </c>
      <c r="BR52" s="2149">
        <v>18</v>
      </c>
      <c r="BS52" s="2150"/>
      <c r="BT52" s="2149">
        <v>0</v>
      </c>
      <c r="BU52" s="2149">
        <v>18</v>
      </c>
      <c r="BV52" s="2149">
        <v>29</v>
      </c>
      <c r="BW52" s="2150"/>
      <c r="BX52" s="2149">
        <v>76</v>
      </c>
      <c r="BY52" s="2149">
        <v>1</v>
      </c>
      <c r="BZ52" s="2149">
        <v>476</v>
      </c>
      <c r="CA52" s="2151">
        <f t="shared" si="6"/>
        <v>0.28631578947368419</v>
      </c>
      <c r="CC52" s="1452"/>
      <c r="CD52" s="1452"/>
      <c r="CE52" s="1465" t="s">
        <v>44</v>
      </c>
      <c r="CF52" s="1466">
        <v>133</v>
      </c>
      <c r="CG52" s="1466">
        <v>42</v>
      </c>
      <c r="CH52" s="1466">
        <v>0</v>
      </c>
      <c r="CI52" s="1466">
        <v>31</v>
      </c>
      <c r="CJ52" s="1466">
        <v>84</v>
      </c>
      <c r="CK52" s="1466">
        <v>11</v>
      </c>
      <c r="CL52" s="1466">
        <v>18</v>
      </c>
      <c r="CM52" s="1452"/>
      <c r="CN52" s="1466">
        <v>0</v>
      </c>
      <c r="CO52" s="1466">
        <v>12</v>
      </c>
      <c r="CP52" s="1466">
        <v>18</v>
      </c>
      <c r="CQ52" s="1466">
        <v>78</v>
      </c>
      <c r="CR52" s="1452"/>
      <c r="CS52" s="1466">
        <v>427</v>
      </c>
      <c r="CT52" s="814">
        <f t="shared" si="7"/>
        <v>0.26463700234192039</v>
      </c>
      <c r="CV52" s="929"/>
      <c r="CW52" s="929"/>
      <c r="CX52" s="1467" t="s">
        <v>44</v>
      </c>
      <c r="CY52" s="1468">
        <v>103</v>
      </c>
      <c r="CZ52" s="1468">
        <v>26</v>
      </c>
      <c r="DA52" s="929"/>
      <c r="DB52" s="1468">
        <v>32</v>
      </c>
      <c r="DC52" s="1468">
        <v>84</v>
      </c>
      <c r="DD52" s="1468">
        <v>21</v>
      </c>
      <c r="DE52" s="1468">
        <v>15</v>
      </c>
      <c r="DF52" s="929"/>
      <c r="DG52" s="929"/>
      <c r="DH52" s="1468">
        <v>5</v>
      </c>
      <c r="DI52" s="1468">
        <v>17</v>
      </c>
      <c r="DJ52" s="1468">
        <v>65</v>
      </c>
      <c r="DK52" s="929"/>
      <c r="DL52" s="1468">
        <v>368</v>
      </c>
      <c r="DM52" s="814">
        <f t="shared" si="8"/>
        <v>0.33152173913043476</v>
      </c>
      <c r="DO52" s="1094"/>
      <c r="DP52" s="1094"/>
      <c r="DQ52" s="1469" t="s">
        <v>45</v>
      </c>
      <c r="DR52" s="1470">
        <v>35</v>
      </c>
      <c r="DS52" s="1470">
        <v>8</v>
      </c>
      <c r="DT52" s="1470">
        <v>0</v>
      </c>
      <c r="DU52" s="1470">
        <v>15</v>
      </c>
      <c r="DV52" s="1470">
        <v>26</v>
      </c>
      <c r="DW52" s="1470">
        <v>5</v>
      </c>
      <c r="DX52" s="1470">
        <v>10</v>
      </c>
      <c r="DY52" s="1470">
        <v>0</v>
      </c>
      <c r="DZ52" s="1470">
        <v>0</v>
      </c>
      <c r="EA52" s="1470">
        <v>12</v>
      </c>
      <c r="EB52" s="1470">
        <v>15</v>
      </c>
      <c r="EC52" s="1470">
        <v>40</v>
      </c>
      <c r="ED52" s="1470">
        <v>0</v>
      </c>
      <c r="EE52" s="1470">
        <v>1</v>
      </c>
      <c r="EF52" s="1470">
        <v>167</v>
      </c>
      <c r="EG52" s="1471">
        <f t="shared" si="9"/>
        <v>0.28476821192052981</v>
      </c>
      <c r="EI52" s="163"/>
      <c r="EJ52" s="163"/>
      <c r="EK52" s="80" t="s">
        <v>45</v>
      </c>
      <c r="EL52" s="80">
        <v>28</v>
      </c>
      <c r="EM52" s="80">
        <v>16</v>
      </c>
      <c r="EN52" s="80"/>
      <c r="EO52" s="80">
        <v>11</v>
      </c>
      <c r="EP52" s="80">
        <v>23</v>
      </c>
      <c r="EQ52" s="80">
        <v>5</v>
      </c>
      <c r="ER52" s="80">
        <v>9</v>
      </c>
      <c r="ES52" s="80"/>
      <c r="ET52" s="80">
        <v>1</v>
      </c>
      <c r="EU52" s="80">
        <v>6</v>
      </c>
      <c r="EV52" s="80">
        <v>13</v>
      </c>
      <c r="EW52" s="80">
        <v>38</v>
      </c>
      <c r="EX52" s="80"/>
      <c r="EY52" s="80">
        <v>2</v>
      </c>
      <c r="EZ52" s="80">
        <v>152</v>
      </c>
      <c r="FA52" s="1472">
        <f t="shared" si="1"/>
        <v>0.24817518248175183</v>
      </c>
      <c r="FB52" s="80"/>
      <c r="FC52" s="681"/>
      <c r="FD52" s="681"/>
      <c r="FE52" s="681" t="s">
        <v>45</v>
      </c>
      <c r="FF52" s="1473">
        <v>20</v>
      </c>
      <c r="FG52" s="1473">
        <v>15</v>
      </c>
      <c r="FH52" s="1473" t="s">
        <v>332</v>
      </c>
      <c r="FI52" s="1473">
        <v>10</v>
      </c>
      <c r="FJ52" s="1473">
        <v>19</v>
      </c>
      <c r="FK52" s="1473">
        <v>6</v>
      </c>
      <c r="FL52" s="1473">
        <v>5</v>
      </c>
      <c r="FM52" s="1473" t="s">
        <v>332</v>
      </c>
      <c r="FN52" s="1473">
        <v>6</v>
      </c>
      <c r="FO52" s="1473">
        <v>7</v>
      </c>
      <c r="FP52" s="1473">
        <v>36</v>
      </c>
      <c r="FQ52" s="1473" t="s">
        <v>332</v>
      </c>
      <c r="FR52" s="1473">
        <v>124</v>
      </c>
      <c r="FS52" s="1473">
        <f t="shared" si="2"/>
        <v>32</v>
      </c>
      <c r="FT52" s="1474">
        <f t="shared" si="3"/>
        <v>0.25806451612903225</v>
      </c>
      <c r="FU52" s="80"/>
      <c r="FV52" s="80"/>
    </row>
    <row r="53" spans="1:178">
      <c r="A53" s="73"/>
      <c r="B53" s="73"/>
      <c r="C53" s="73" t="s">
        <v>45</v>
      </c>
      <c r="D53" s="161">
        <v>97</v>
      </c>
      <c r="E53" s="161">
        <v>35</v>
      </c>
      <c r="F53" s="161">
        <v>0</v>
      </c>
      <c r="G53" s="161">
        <v>4</v>
      </c>
      <c r="H53" s="161">
        <v>78</v>
      </c>
      <c r="I53" s="161">
        <v>35</v>
      </c>
      <c r="J53" s="161">
        <v>14</v>
      </c>
      <c r="K53" s="161"/>
      <c r="L53" s="161"/>
      <c r="M53" s="161">
        <v>17</v>
      </c>
      <c r="N53" s="161">
        <v>45</v>
      </c>
      <c r="O53" s="161"/>
      <c r="P53" s="161">
        <v>68</v>
      </c>
      <c r="Q53" s="161">
        <v>0</v>
      </c>
      <c r="R53" s="161">
        <v>393</v>
      </c>
      <c r="S53" s="4680">
        <f t="shared" si="4"/>
        <v>0.4020356234096692</v>
      </c>
      <c r="U53" s="73"/>
      <c r="V53" s="73"/>
      <c r="W53" s="73" t="s">
        <v>45</v>
      </c>
      <c r="X53" s="161">
        <v>99</v>
      </c>
      <c r="Y53" s="161">
        <v>46</v>
      </c>
      <c r="Z53" s="161"/>
      <c r="AA53" s="161">
        <v>22</v>
      </c>
      <c r="AB53" s="161">
        <v>55</v>
      </c>
      <c r="AC53" s="161">
        <v>27</v>
      </c>
      <c r="AD53" s="161">
        <v>12</v>
      </c>
      <c r="AE53" s="161"/>
      <c r="AF53" s="161">
        <v>0</v>
      </c>
      <c r="AG53" s="161">
        <v>11</v>
      </c>
      <c r="AH53" s="161">
        <v>36</v>
      </c>
      <c r="AI53" s="161"/>
      <c r="AJ53" s="161">
        <v>61</v>
      </c>
      <c r="AK53" s="161">
        <v>0</v>
      </c>
      <c r="AL53" s="161">
        <v>369</v>
      </c>
      <c r="AM53" s="2585">
        <f t="shared" si="0"/>
        <v>0.31978319783197834</v>
      </c>
      <c r="AN53" s="3196"/>
      <c r="AO53" s="73"/>
      <c r="AP53" s="73"/>
      <c r="AQ53" s="73" t="s">
        <v>45</v>
      </c>
      <c r="AR53" s="161">
        <v>98</v>
      </c>
      <c r="AS53" s="161">
        <v>29</v>
      </c>
      <c r="AT53" s="161"/>
      <c r="AU53" s="161">
        <v>20</v>
      </c>
      <c r="AV53" s="161">
        <v>47</v>
      </c>
      <c r="AW53" s="161">
        <v>19</v>
      </c>
      <c r="AX53" s="161">
        <v>11</v>
      </c>
      <c r="AY53" s="161"/>
      <c r="AZ53" s="161">
        <v>0</v>
      </c>
      <c r="BA53" s="161">
        <v>11</v>
      </c>
      <c r="BB53" s="161">
        <v>20</v>
      </c>
      <c r="BC53" s="161"/>
      <c r="BD53" s="161">
        <v>54</v>
      </c>
      <c r="BE53" s="161">
        <v>0</v>
      </c>
      <c r="BF53" s="161">
        <v>309</v>
      </c>
      <c r="BG53" s="2585">
        <f t="shared" si="5"/>
        <v>0.27831715210355989</v>
      </c>
      <c r="BI53" s="2140"/>
      <c r="BJ53" s="2140"/>
      <c r="BK53" s="2148" t="s">
        <v>45</v>
      </c>
      <c r="BL53" s="2149">
        <v>67</v>
      </c>
      <c r="BM53" s="2149">
        <v>24</v>
      </c>
      <c r="BN53" s="2150"/>
      <c r="BO53" s="2149">
        <v>20</v>
      </c>
      <c r="BP53" s="2149">
        <v>41</v>
      </c>
      <c r="BQ53" s="2149">
        <v>11</v>
      </c>
      <c r="BR53" s="2149">
        <v>10</v>
      </c>
      <c r="BS53" s="2150"/>
      <c r="BT53" s="2149">
        <v>0</v>
      </c>
      <c r="BU53" s="2149">
        <v>7</v>
      </c>
      <c r="BV53" s="2149">
        <v>20</v>
      </c>
      <c r="BW53" s="2150"/>
      <c r="BX53" s="2149">
        <v>51</v>
      </c>
      <c r="BY53" s="2149">
        <v>0</v>
      </c>
      <c r="BZ53" s="2149">
        <v>251</v>
      </c>
      <c r="CA53" s="2151">
        <f t="shared" si="6"/>
        <v>0.28685258964143429</v>
      </c>
      <c r="CC53" s="1452"/>
      <c r="CD53" s="1452"/>
      <c r="CE53" s="1465" t="s">
        <v>45</v>
      </c>
      <c r="CF53" s="1466">
        <v>65</v>
      </c>
      <c r="CG53" s="1466">
        <v>21</v>
      </c>
      <c r="CH53" s="1466">
        <v>0</v>
      </c>
      <c r="CI53" s="1466">
        <v>22</v>
      </c>
      <c r="CJ53" s="1466">
        <v>36</v>
      </c>
      <c r="CK53" s="1466">
        <v>7</v>
      </c>
      <c r="CL53" s="1466">
        <v>11</v>
      </c>
      <c r="CM53" s="1452"/>
      <c r="CN53" s="1466">
        <v>0</v>
      </c>
      <c r="CO53" s="1466">
        <v>4</v>
      </c>
      <c r="CP53" s="1466">
        <v>15</v>
      </c>
      <c r="CQ53" s="1466">
        <v>61</v>
      </c>
      <c r="CR53" s="1452"/>
      <c r="CS53" s="1466">
        <v>242</v>
      </c>
      <c r="CT53" s="814">
        <f t="shared" si="7"/>
        <v>0.23966942148760331</v>
      </c>
      <c r="CV53" s="929"/>
      <c r="CW53" s="929"/>
      <c r="CX53" s="1467" t="s">
        <v>45</v>
      </c>
      <c r="CY53" s="1468">
        <v>40</v>
      </c>
      <c r="CZ53" s="1468">
        <v>11</v>
      </c>
      <c r="DA53" s="929"/>
      <c r="DB53" s="1468">
        <v>15</v>
      </c>
      <c r="DC53" s="1468">
        <v>27</v>
      </c>
      <c r="DD53" s="1468">
        <v>8</v>
      </c>
      <c r="DE53" s="1468">
        <v>8</v>
      </c>
      <c r="DF53" s="929"/>
      <c r="DG53" s="929"/>
      <c r="DH53" s="1468">
        <v>2</v>
      </c>
      <c r="DI53" s="1468">
        <v>10</v>
      </c>
      <c r="DJ53" s="1468">
        <v>45</v>
      </c>
      <c r="DK53" s="929"/>
      <c r="DL53" s="1468">
        <v>166</v>
      </c>
      <c r="DM53" s="814">
        <f t="shared" si="8"/>
        <v>0.27108433734939757</v>
      </c>
      <c r="DO53" s="1094"/>
      <c r="DP53" s="1094"/>
      <c r="DQ53" s="1469" t="s">
        <v>46</v>
      </c>
      <c r="DR53" s="1470">
        <v>233</v>
      </c>
      <c r="DS53" s="1470">
        <v>46</v>
      </c>
      <c r="DT53" s="1470">
        <v>0</v>
      </c>
      <c r="DU53" s="1470">
        <v>78</v>
      </c>
      <c r="DV53" s="1470">
        <v>221</v>
      </c>
      <c r="DW53" s="1470">
        <v>45</v>
      </c>
      <c r="DX53" s="1470">
        <v>52</v>
      </c>
      <c r="DY53" s="1470">
        <v>0</v>
      </c>
      <c r="DZ53" s="1470">
        <v>16</v>
      </c>
      <c r="EA53" s="1470">
        <v>41</v>
      </c>
      <c r="EB53" s="1470">
        <v>155</v>
      </c>
      <c r="EC53" s="1470">
        <v>194</v>
      </c>
      <c r="ED53" s="1470">
        <v>0</v>
      </c>
      <c r="EE53" s="1470">
        <v>4</v>
      </c>
      <c r="EF53" s="1470">
        <v>1085</v>
      </c>
      <c r="EG53" s="1471">
        <f t="shared" si="9"/>
        <v>0.33153347732181426</v>
      </c>
      <c r="EI53" s="163"/>
      <c r="EJ53" s="163"/>
      <c r="EK53" s="80" t="s">
        <v>46</v>
      </c>
      <c r="EL53" s="80">
        <v>173</v>
      </c>
      <c r="EM53" s="80">
        <v>67</v>
      </c>
      <c r="EN53" s="80"/>
      <c r="EO53" s="80">
        <v>80</v>
      </c>
      <c r="EP53" s="80">
        <v>220</v>
      </c>
      <c r="EQ53" s="80">
        <v>44</v>
      </c>
      <c r="ER53" s="80">
        <v>46</v>
      </c>
      <c r="ES53" s="80"/>
      <c r="ET53" s="80">
        <v>20</v>
      </c>
      <c r="EU53" s="80">
        <v>29</v>
      </c>
      <c r="EV53" s="80">
        <v>125</v>
      </c>
      <c r="EW53" s="80">
        <v>182</v>
      </c>
      <c r="EX53" s="80"/>
      <c r="EY53" s="80">
        <v>3</v>
      </c>
      <c r="EZ53" s="80">
        <v>989</v>
      </c>
      <c r="FA53" s="1472">
        <f t="shared" si="1"/>
        <v>0.34030197444831589</v>
      </c>
      <c r="FB53" s="80"/>
      <c r="FC53" s="681"/>
      <c r="FD53" s="681"/>
      <c r="FE53" s="681" t="s">
        <v>46</v>
      </c>
      <c r="FF53" s="1473">
        <v>138</v>
      </c>
      <c r="FG53" s="1473">
        <v>59</v>
      </c>
      <c r="FH53" s="1473" t="s">
        <v>332</v>
      </c>
      <c r="FI53" s="1473">
        <v>77</v>
      </c>
      <c r="FJ53" s="1473">
        <v>224</v>
      </c>
      <c r="FK53" s="1473">
        <v>43</v>
      </c>
      <c r="FL53" s="1473">
        <v>58</v>
      </c>
      <c r="FM53" s="1473" t="s">
        <v>332</v>
      </c>
      <c r="FN53" s="1473">
        <v>38</v>
      </c>
      <c r="FO53" s="1473">
        <v>50</v>
      </c>
      <c r="FP53" s="1473">
        <v>182</v>
      </c>
      <c r="FQ53" s="1473" t="s">
        <v>332</v>
      </c>
      <c r="FR53" s="1473">
        <v>869</v>
      </c>
      <c r="FS53" s="1473">
        <f t="shared" si="2"/>
        <v>317</v>
      </c>
      <c r="FT53" s="1474">
        <f t="shared" si="3"/>
        <v>0.36478711162255467</v>
      </c>
      <c r="FU53" s="80"/>
      <c r="FV53" s="80"/>
    </row>
    <row r="54" spans="1:178">
      <c r="A54" s="73"/>
      <c r="B54" s="73"/>
      <c r="C54" s="73" t="s">
        <v>46</v>
      </c>
      <c r="D54" s="161">
        <v>265</v>
      </c>
      <c r="E54" s="161">
        <v>109</v>
      </c>
      <c r="F54" s="161">
        <v>1</v>
      </c>
      <c r="G54" s="161">
        <v>3</v>
      </c>
      <c r="H54" s="161">
        <v>317</v>
      </c>
      <c r="I54" s="161">
        <v>63</v>
      </c>
      <c r="J54" s="161">
        <v>67</v>
      </c>
      <c r="K54" s="161"/>
      <c r="L54" s="161"/>
      <c r="M54" s="161">
        <v>55</v>
      </c>
      <c r="N54" s="161">
        <v>78</v>
      </c>
      <c r="O54" s="161"/>
      <c r="P54" s="161">
        <v>206</v>
      </c>
      <c r="Q54" s="161">
        <v>1</v>
      </c>
      <c r="R54" s="161">
        <v>1165</v>
      </c>
      <c r="S54" s="4680">
        <f t="shared" si="4"/>
        <v>0.39347079037800686</v>
      </c>
      <c r="U54" s="73"/>
      <c r="V54" s="73"/>
      <c r="W54" s="73" t="s">
        <v>46</v>
      </c>
      <c r="X54" s="161">
        <v>262</v>
      </c>
      <c r="Y54" s="161">
        <v>126</v>
      </c>
      <c r="Z54" s="161"/>
      <c r="AA54" s="161">
        <v>55</v>
      </c>
      <c r="AB54" s="161">
        <v>283</v>
      </c>
      <c r="AC54" s="161">
        <v>63</v>
      </c>
      <c r="AD54" s="161">
        <v>63</v>
      </c>
      <c r="AE54" s="161"/>
      <c r="AF54" s="161">
        <v>0</v>
      </c>
      <c r="AG54" s="161">
        <v>77</v>
      </c>
      <c r="AH54" s="161">
        <v>82</v>
      </c>
      <c r="AI54" s="161"/>
      <c r="AJ54" s="161">
        <v>181</v>
      </c>
      <c r="AK54" s="161">
        <v>0</v>
      </c>
      <c r="AL54" s="161">
        <v>1192</v>
      </c>
      <c r="AM54" s="2585">
        <f t="shared" si="0"/>
        <v>0.35906040268456374</v>
      </c>
      <c r="AN54" s="3196"/>
      <c r="AO54" s="73"/>
      <c r="AP54" s="73"/>
      <c r="AQ54" s="73" t="s">
        <v>46</v>
      </c>
      <c r="AR54" s="161">
        <v>293</v>
      </c>
      <c r="AS54" s="161">
        <v>144</v>
      </c>
      <c r="AT54" s="161"/>
      <c r="AU54" s="161">
        <v>51</v>
      </c>
      <c r="AV54" s="161">
        <v>289</v>
      </c>
      <c r="AW54" s="161">
        <v>49</v>
      </c>
      <c r="AX54" s="161">
        <v>58</v>
      </c>
      <c r="AY54" s="161"/>
      <c r="AZ54" s="161">
        <v>0</v>
      </c>
      <c r="BA54" s="161">
        <v>58</v>
      </c>
      <c r="BB54" s="161">
        <v>62</v>
      </c>
      <c r="BC54" s="161"/>
      <c r="BD54" s="161">
        <v>149</v>
      </c>
      <c r="BE54" s="161">
        <v>1</v>
      </c>
      <c r="BF54" s="161">
        <v>1154</v>
      </c>
      <c r="BG54" s="2585">
        <f t="shared" si="5"/>
        <v>0.3469210754553339</v>
      </c>
      <c r="BI54" s="2140"/>
      <c r="BJ54" s="2140"/>
      <c r="BK54" s="2148" t="s">
        <v>46</v>
      </c>
      <c r="BL54" s="2149">
        <v>268</v>
      </c>
      <c r="BM54" s="2149">
        <v>105</v>
      </c>
      <c r="BN54" s="2150"/>
      <c r="BO54" s="2149">
        <v>55</v>
      </c>
      <c r="BP54" s="2149">
        <v>288</v>
      </c>
      <c r="BQ54" s="2149">
        <v>28</v>
      </c>
      <c r="BR54" s="2149">
        <v>53</v>
      </c>
      <c r="BS54" s="2150"/>
      <c r="BT54" s="2149">
        <v>0</v>
      </c>
      <c r="BU54" s="2149">
        <v>69</v>
      </c>
      <c r="BV54" s="2149">
        <v>57</v>
      </c>
      <c r="BW54" s="2150"/>
      <c r="BX54" s="2149">
        <v>150</v>
      </c>
      <c r="BY54" s="2149">
        <v>1</v>
      </c>
      <c r="BZ54" s="2149">
        <v>1074</v>
      </c>
      <c r="CA54" s="2151">
        <f t="shared" si="6"/>
        <v>0.34762348555452005</v>
      </c>
      <c r="CC54" s="1452"/>
      <c r="CD54" s="1452"/>
      <c r="CE54" s="1465" t="s">
        <v>46</v>
      </c>
      <c r="CF54" s="1466">
        <v>276</v>
      </c>
      <c r="CG54" s="1466">
        <v>86</v>
      </c>
      <c r="CH54" s="1466">
        <v>1</v>
      </c>
      <c r="CI54" s="1466">
        <v>77</v>
      </c>
      <c r="CJ54" s="1466">
        <v>264</v>
      </c>
      <c r="CK54" s="1466">
        <v>41</v>
      </c>
      <c r="CL54" s="1466">
        <v>65</v>
      </c>
      <c r="CM54" s="1452"/>
      <c r="CN54" s="1466">
        <v>0</v>
      </c>
      <c r="CO54" s="1466">
        <v>53</v>
      </c>
      <c r="CP54" s="1466">
        <v>46</v>
      </c>
      <c r="CQ54" s="1466">
        <v>176</v>
      </c>
      <c r="CR54" s="1452"/>
      <c r="CS54" s="1466">
        <v>1085</v>
      </c>
      <c r="CT54" s="814">
        <f t="shared" si="7"/>
        <v>0.32350230414746545</v>
      </c>
      <c r="CV54" s="929"/>
      <c r="CW54" s="929"/>
      <c r="CX54" s="1467" t="s">
        <v>46</v>
      </c>
      <c r="CY54" s="1468">
        <v>289</v>
      </c>
      <c r="CZ54" s="1468">
        <v>77</v>
      </c>
      <c r="DA54" s="929"/>
      <c r="DB54" s="1468">
        <v>80</v>
      </c>
      <c r="DC54" s="1468">
        <v>227</v>
      </c>
      <c r="DD54" s="1468">
        <v>56</v>
      </c>
      <c r="DE54" s="1468">
        <v>47</v>
      </c>
      <c r="DF54" s="929"/>
      <c r="DG54" s="929"/>
      <c r="DH54" s="1468">
        <v>10</v>
      </c>
      <c r="DI54" s="1468">
        <v>51</v>
      </c>
      <c r="DJ54" s="1468">
        <v>182</v>
      </c>
      <c r="DK54" s="929"/>
      <c r="DL54" s="1468">
        <v>1019</v>
      </c>
      <c r="DM54" s="814">
        <f t="shared" si="8"/>
        <v>0.32777232580961729</v>
      </c>
      <c r="DO54" s="1094"/>
      <c r="DP54" s="1094"/>
      <c r="DQ54" s="1469" t="s">
        <v>47</v>
      </c>
      <c r="DR54" s="1470">
        <v>258</v>
      </c>
      <c r="DS54" s="1470">
        <v>58</v>
      </c>
      <c r="DT54" s="1470">
        <v>0</v>
      </c>
      <c r="DU54" s="1470">
        <v>64</v>
      </c>
      <c r="DV54" s="1470">
        <v>225</v>
      </c>
      <c r="DW54" s="1470">
        <v>35</v>
      </c>
      <c r="DX54" s="1470">
        <v>67</v>
      </c>
      <c r="DY54" s="1470">
        <v>0</v>
      </c>
      <c r="DZ54" s="1470">
        <v>9</v>
      </c>
      <c r="EA54" s="1470">
        <v>68</v>
      </c>
      <c r="EB54" s="1470">
        <v>207</v>
      </c>
      <c r="EC54" s="1470">
        <v>277</v>
      </c>
      <c r="ED54" s="1470">
        <v>0</v>
      </c>
      <c r="EE54" s="1470">
        <v>2</v>
      </c>
      <c r="EF54" s="1470">
        <v>1270</v>
      </c>
      <c r="EG54" s="1471">
        <f t="shared" si="9"/>
        <v>0.30914231856738927</v>
      </c>
      <c r="EI54" s="163"/>
      <c r="EJ54" s="163"/>
      <c r="EK54" s="80" t="s">
        <v>47</v>
      </c>
      <c r="EL54" s="80">
        <v>214</v>
      </c>
      <c r="EM54" s="80">
        <v>73</v>
      </c>
      <c r="EN54" s="80"/>
      <c r="EO54" s="80">
        <v>58</v>
      </c>
      <c r="EP54" s="80">
        <v>218</v>
      </c>
      <c r="EQ54" s="80">
        <v>41</v>
      </c>
      <c r="ER54" s="80">
        <v>90</v>
      </c>
      <c r="ES54" s="80"/>
      <c r="ET54" s="80">
        <v>13</v>
      </c>
      <c r="EU54" s="80">
        <v>59</v>
      </c>
      <c r="EV54" s="80">
        <v>182</v>
      </c>
      <c r="EW54" s="80">
        <v>272</v>
      </c>
      <c r="EX54" s="80"/>
      <c r="EY54" s="80">
        <v>2</v>
      </c>
      <c r="EZ54" s="80">
        <v>1222</v>
      </c>
      <c r="FA54" s="1472">
        <f t="shared" si="1"/>
        <v>0.30635838150289019</v>
      </c>
      <c r="FB54" s="80"/>
      <c r="FC54" s="681"/>
      <c r="FD54" s="681"/>
      <c r="FE54" s="681" t="s">
        <v>47</v>
      </c>
      <c r="FF54" s="1473">
        <v>200</v>
      </c>
      <c r="FG54" s="1473">
        <v>77</v>
      </c>
      <c r="FH54" s="1473" t="s">
        <v>332</v>
      </c>
      <c r="FI54" s="1473">
        <v>64</v>
      </c>
      <c r="FJ54" s="1473">
        <v>220</v>
      </c>
      <c r="FK54" s="1473">
        <v>38</v>
      </c>
      <c r="FL54" s="1473">
        <v>79</v>
      </c>
      <c r="FM54" s="1473" t="s">
        <v>332</v>
      </c>
      <c r="FN54" s="1473">
        <v>24</v>
      </c>
      <c r="FO54" s="1473">
        <v>59</v>
      </c>
      <c r="FP54" s="1473">
        <v>267</v>
      </c>
      <c r="FQ54" s="1473" t="s">
        <v>332</v>
      </c>
      <c r="FR54" s="1473">
        <v>1028</v>
      </c>
      <c r="FS54" s="1473">
        <f t="shared" si="2"/>
        <v>317</v>
      </c>
      <c r="FT54" s="1474">
        <f t="shared" si="3"/>
        <v>0.30836575875486383</v>
      </c>
      <c r="FU54" s="80"/>
      <c r="FV54" s="80"/>
    </row>
    <row r="55" spans="1:178">
      <c r="A55" s="73"/>
      <c r="B55" s="73"/>
      <c r="C55" s="73" t="s">
        <v>47</v>
      </c>
      <c r="D55" s="161">
        <v>283</v>
      </c>
      <c r="E55" s="161">
        <v>123</v>
      </c>
      <c r="F55" s="161">
        <v>0</v>
      </c>
      <c r="G55" s="161">
        <v>2</v>
      </c>
      <c r="H55" s="161">
        <v>267</v>
      </c>
      <c r="I55" s="161">
        <v>49</v>
      </c>
      <c r="J55" s="161">
        <v>82</v>
      </c>
      <c r="K55" s="161"/>
      <c r="L55" s="161"/>
      <c r="M55" s="161">
        <v>41</v>
      </c>
      <c r="N55" s="161">
        <v>76</v>
      </c>
      <c r="O55" s="161"/>
      <c r="P55" s="161">
        <v>248</v>
      </c>
      <c r="Q55" s="161">
        <v>0</v>
      </c>
      <c r="R55" s="161">
        <v>1171</v>
      </c>
      <c r="S55" s="4680">
        <f t="shared" si="4"/>
        <v>0.33475661827497866</v>
      </c>
      <c r="U55" s="73"/>
      <c r="V55" s="73"/>
      <c r="W55" s="73" t="s">
        <v>47</v>
      </c>
      <c r="X55" s="161">
        <v>290</v>
      </c>
      <c r="Y55" s="161">
        <v>141</v>
      </c>
      <c r="Z55" s="161"/>
      <c r="AA55" s="161">
        <v>58</v>
      </c>
      <c r="AB55" s="161">
        <v>243</v>
      </c>
      <c r="AC55" s="161">
        <v>64</v>
      </c>
      <c r="AD55" s="161">
        <v>95</v>
      </c>
      <c r="AE55" s="161"/>
      <c r="AF55" s="161">
        <v>1</v>
      </c>
      <c r="AG55" s="161">
        <v>41</v>
      </c>
      <c r="AH55" s="161">
        <v>78</v>
      </c>
      <c r="AI55" s="161"/>
      <c r="AJ55" s="161">
        <v>222</v>
      </c>
      <c r="AK55" s="161">
        <v>0</v>
      </c>
      <c r="AL55" s="161">
        <v>1233</v>
      </c>
      <c r="AM55" s="2585">
        <f t="shared" si="0"/>
        <v>0.31224655312246552</v>
      </c>
      <c r="AN55" s="3196"/>
      <c r="AO55" s="73"/>
      <c r="AP55" s="73"/>
      <c r="AQ55" s="73" t="s">
        <v>47</v>
      </c>
      <c r="AR55" s="161">
        <v>276</v>
      </c>
      <c r="AS55" s="161">
        <v>161</v>
      </c>
      <c r="AT55" s="161"/>
      <c r="AU55" s="161">
        <v>60</v>
      </c>
      <c r="AV55" s="161">
        <v>259</v>
      </c>
      <c r="AW55" s="161">
        <v>48</v>
      </c>
      <c r="AX55" s="161">
        <v>89</v>
      </c>
      <c r="AY55" s="161"/>
      <c r="AZ55" s="161">
        <v>1</v>
      </c>
      <c r="BA55" s="161">
        <v>46</v>
      </c>
      <c r="BB55" s="161">
        <v>87</v>
      </c>
      <c r="BC55" s="161"/>
      <c r="BD55" s="161">
        <v>210</v>
      </c>
      <c r="BE55" s="161">
        <v>0</v>
      </c>
      <c r="BF55" s="161">
        <v>1237</v>
      </c>
      <c r="BG55" s="2585">
        <f t="shared" si="5"/>
        <v>0.31851253031527887</v>
      </c>
      <c r="BI55" s="2140"/>
      <c r="BJ55" s="2140"/>
      <c r="BK55" s="2148" t="s">
        <v>47</v>
      </c>
      <c r="BL55" s="2149">
        <v>282</v>
      </c>
      <c r="BM55" s="2149">
        <v>121</v>
      </c>
      <c r="BN55" s="2150"/>
      <c r="BO55" s="2149">
        <v>53</v>
      </c>
      <c r="BP55" s="2149">
        <v>249</v>
      </c>
      <c r="BQ55" s="2149">
        <v>43</v>
      </c>
      <c r="BR55" s="2149">
        <v>81</v>
      </c>
      <c r="BS55" s="2150"/>
      <c r="BT55" s="2149">
        <v>1</v>
      </c>
      <c r="BU55" s="2149">
        <v>53</v>
      </c>
      <c r="BV55" s="2149">
        <v>70</v>
      </c>
      <c r="BW55" s="2150"/>
      <c r="BX55" s="2149">
        <v>227</v>
      </c>
      <c r="BY55" s="2149">
        <v>0</v>
      </c>
      <c r="BZ55" s="2149">
        <v>1180</v>
      </c>
      <c r="CA55" s="2151">
        <f t="shared" si="6"/>
        <v>0.30677966101694915</v>
      </c>
      <c r="CC55" s="1452"/>
      <c r="CD55" s="1452"/>
      <c r="CE55" s="1465" t="s">
        <v>47</v>
      </c>
      <c r="CF55" s="1466">
        <v>269</v>
      </c>
      <c r="CG55" s="1466">
        <v>91</v>
      </c>
      <c r="CH55" s="1466">
        <v>0</v>
      </c>
      <c r="CI55" s="1466">
        <v>67</v>
      </c>
      <c r="CJ55" s="1466">
        <v>254</v>
      </c>
      <c r="CK55" s="1466">
        <v>52</v>
      </c>
      <c r="CL55" s="1466">
        <v>94</v>
      </c>
      <c r="CM55" s="1452"/>
      <c r="CN55" s="1466">
        <v>1</v>
      </c>
      <c r="CO55" s="1466">
        <v>38</v>
      </c>
      <c r="CP55" s="1466">
        <v>60</v>
      </c>
      <c r="CQ55" s="1466">
        <v>266</v>
      </c>
      <c r="CR55" s="1452"/>
      <c r="CS55" s="1466">
        <v>1192</v>
      </c>
      <c r="CT55" s="814">
        <f t="shared" si="7"/>
        <v>0.30704697986577179</v>
      </c>
      <c r="CV55" s="929"/>
      <c r="CW55" s="929"/>
      <c r="CX55" s="1467" t="s">
        <v>47</v>
      </c>
      <c r="CY55" s="1468">
        <v>273</v>
      </c>
      <c r="CZ55" s="1468">
        <v>91</v>
      </c>
      <c r="DA55" s="929"/>
      <c r="DB55" s="1468">
        <v>55</v>
      </c>
      <c r="DC55" s="1468">
        <v>221</v>
      </c>
      <c r="DD55" s="1468">
        <v>57</v>
      </c>
      <c r="DE55" s="1468">
        <v>78</v>
      </c>
      <c r="DF55" s="929"/>
      <c r="DG55" s="929"/>
      <c r="DH55" s="1468">
        <v>18</v>
      </c>
      <c r="DI55" s="1468">
        <v>60</v>
      </c>
      <c r="DJ55" s="1468">
        <v>257</v>
      </c>
      <c r="DK55" s="929"/>
      <c r="DL55" s="1468">
        <v>1110</v>
      </c>
      <c r="DM55" s="814">
        <f t="shared" si="8"/>
        <v>0.3045045045045045</v>
      </c>
      <c r="DO55" s="1485"/>
      <c r="DP55" s="1485"/>
      <c r="DQ55" s="1486" t="s">
        <v>575</v>
      </c>
      <c r="DR55" s="1487">
        <v>957</v>
      </c>
      <c r="DS55" s="1487">
        <v>217</v>
      </c>
      <c r="DT55" s="1487">
        <v>0</v>
      </c>
      <c r="DU55" s="1487">
        <v>314</v>
      </c>
      <c r="DV55" s="1487">
        <v>972</v>
      </c>
      <c r="DW55" s="1487">
        <v>123</v>
      </c>
      <c r="DX55" s="1487">
        <v>245</v>
      </c>
      <c r="DY55" s="1487">
        <v>0</v>
      </c>
      <c r="DZ55" s="1487">
        <v>53</v>
      </c>
      <c r="EA55" s="1487">
        <v>199</v>
      </c>
      <c r="EB55" s="1487">
        <v>699</v>
      </c>
      <c r="EC55" s="1487">
        <v>893</v>
      </c>
      <c r="ED55" s="1487">
        <v>0</v>
      </c>
      <c r="EE55" s="1487">
        <v>14</v>
      </c>
      <c r="EF55" s="1487">
        <v>4686</v>
      </c>
      <c r="EG55" s="1488">
        <f t="shared" si="9"/>
        <v>0.32569846463629498</v>
      </c>
      <c r="EI55" s="163"/>
      <c r="EJ55" s="163"/>
      <c r="EK55" s="80" t="s">
        <v>15</v>
      </c>
      <c r="EL55" s="80">
        <v>781</v>
      </c>
      <c r="EM55" s="80">
        <v>276</v>
      </c>
      <c r="EN55" s="80"/>
      <c r="EO55" s="80">
        <v>292</v>
      </c>
      <c r="EP55" s="80">
        <v>957</v>
      </c>
      <c r="EQ55" s="80">
        <v>137</v>
      </c>
      <c r="ER55" s="80">
        <v>273</v>
      </c>
      <c r="ES55" s="80"/>
      <c r="ET55" s="80">
        <v>78</v>
      </c>
      <c r="EU55" s="80">
        <v>141</v>
      </c>
      <c r="EV55" s="80">
        <v>629</v>
      </c>
      <c r="EW55" s="80">
        <v>865</v>
      </c>
      <c r="EX55" s="80"/>
      <c r="EY55" s="80">
        <v>13</v>
      </c>
      <c r="EZ55" s="80">
        <v>4442</v>
      </c>
      <c r="FA55" s="1472">
        <f t="shared" si="1"/>
        <v>0.32500000000000001</v>
      </c>
      <c r="FB55" s="80"/>
      <c r="FC55" s="681"/>
      <c r="FD55" s="681"/>
      <c r="FE55" s="1482" t="s">
        <v>15</v>
      </c>
      <c r="FF55" s="1483">
        <v>675</v>
      </c>
      <c r="FG55" s="1483">
        <v>273</v>
      </c>
      <c r="FH55" s="1483" t="s">
        <v>332</v>
      </c>
      <c r="FI55" s="1483">
        <v>287</v>
      </c>
      <c r="FJ55" s="1483">
        <v>925</v>
      </c>
      <c r="FK55" s="1483">
        <v>123</v>
      </c>
      <c r="FL55" s="1483">
        <v>244</v>
      </c>
      <c r="FM55" s="1483" t="s">
        <v>332</v>
      </c>
      <c r="FN55" s="1483">
        <v>128</v>
      </c>
      <c r="FO55" s="1483">
        <v>191</v>
      </c>
      <c r="FP55" s="1483">
        <v>870</v>
      </c>
      <c r="FQ55" s="1483" t="s">
        <v>332</v>
      </c>
      <c r="FR55" s="1483">
        <v>3716</v>
      </c>
      <c r="FS55" s="1483">
        <f t="shared" si="2"/>
        <v>1239</v>
      </c>
      <c r="FT55" s="1484">
        <f t="shared" si="3"/>
        <v>0.33342303552206676</v>
      </c>
      <c r="FU55" s="80"/>
      <c r="FV55" s="80"/>
    </row>
    <row r="56" spans="1:178">
      <c r="A56" s="73"/>
      <c r="B56" s="73"/>
      <c r="C56" s="738" t="s">
        <v>575</v>
      </c>
      <c r="D56" s="4667">
        <v>1195</v>
      </c>
      <c r="E56" s="4667">
        <v>445</v>
      </c>
      <c r="F56" s="4667">
        <v>1</v>
      </c>
      <c r="G56" s="4667">
        <v>14</v>
      </c>
      <c r="H56" s="4667">
        <v>1382</v>
      </c>
      <c r="I56" s="4667">
        <v>262</v>
      </c>
      <c r="J56" s="4667">
        <v>288</v>
      </c>
      <c r="K56" s="4667"/>
      <c r="L56" s="4667"/>
      <c r="M56" s="4667">
        <v>183</v>
      </c>
      <c r="N56" s="4667">
        <v>363</v>
      </c>
      <c r="O56" s="4667"/>
      <c r="P56" s="4667">
        <v>847</v>
      </c>
      <c r="Q56" s="4667">
        <v>1</v>
      </c>
      <c r="R56" s="4667">
        <v>4981</v>
      </c>
      <c r="S56" s="4680">
        <f t="shared" si="4"/>
        <v>0.40301204819277109</v>
      </c>
      <c r="U56" s="73"/>
      <c r="V56" s="73"/>
      <c r="W56" s="738" t="s">
        <v>575</v>
      </c>
      <c r="X56" s="151">
        <v>1212</v>
      </c>
      <c r="Y56" s="151">
        <v>519</v>
      </c>
      <c r="Z56" s="151"/>
      <c r="AA56" s="151">
        <v>229</v>
      </c>
      <c r="AB56" s="151">
        <v>1195</v>
      </c>
      <c r="AC56" s="151">
        <v>278</v>
      </c>
      <c r="AD56" s="151">
        <v>271</v>
      </c>
      <c r="AE56" s="151"/>
      <c r="AF56" s="151">
        <v>1</v>
      </c>
      <c r="AG56" s="151">
        <v>182</v>
      </c>
      <c r="AH56" s="151">
        <v>390</v>
      </c>
      <c r="AI56" s="151"/>
      <c r="AJ56" s="151">
        <v>790</v>
      </c>
      <c r="AK56" s="151">
        <v>1</v>
      </c>
      <c r="AL56" s="151">
        <v>5068</v>
      </c>
      <c r="AM56" s="912">
        <f t="shared" si="0"/>
        <v>0.36767317939609234</v>
      </c>
      <c r="AN56" s="3197"/>
      <c r="AO56" s="73"/>
      <c r="AP56" s="73"/>
      <c r="AQ56" s="738" t="s">
        <v>575</v>
      </c>
      <c r="AR56" s="151">
        <v>1227</v>
      </c>
      <c r="AS56" s="151">
        <v>531</v>
      </c>
      <c r="AT56" s="151"/>
      <c r="AU56" s="151">
        <v>234</v>
      </c>
      <c r="AV56" s="151">
        <v>1195</v>
      </c>
      <c r="AW56" s="151">
        <v>198</v>
      </c>
      <c r="AX56" s="151">
        <v>266</v>
      </c>
      <c r="AY56" s="151"/>
      <c r="AZ56" s="151">
        <v>1</v>
      </c>
      <c r="BA56" s="151">
        <v>171</v>
      </c>
      <c r="BB56" s="151">
        <v>340</v>
      </c>
      <c r="BC56" s="151"/>
      <c r="BD56" s="151">
        <v>712</v>
      </c>
      <c r="BE56" s="151">
        <v>2</v>
      </c>
      <c r="BF56" s="151">
        <v>4877</v>
      </c>
      <c r="BG56" s="912">
        <f t="shared" si="5"/>
        <v>0.35548717948717951</v>
      </c>
      <c r="BI56" s="2140"/>
      <c r="BJ56" s="2140"/>
      <c r="BK56" s="2142" t="s">
        <v>575</v>
      </c>
      <c r="BL56" s="2152">
        <v>1154</v>
      </c>
      <c r="BM56" s="2152">
        <v>437</v>
      </c>
      <c r="BN56" s="2153"/>
      <c r="BO56" s="2152">
        <v>237</v>
      </c>
      <c r="BP56" s="2152">
        <v>1179</v>
      </c>
      <c r="BQ56" s="2152">
        <v>135</v>
      </c>
      <c r="BR56" s="2152">
        <v>224</v>
      </c>
      <c r="BS56" s="2153"/>
      <c r="BT56" s="2152">
        <v>1</v>
      </c>
      <c r="BU56" s="2152">
        <v>194</v>
      </c>
      <c r="BV56" s="2152">
        <v>285</v>
      </c>
      <c r="BW56" s="2153"/>
      <c r="BX56" s="2152">
        <v>744</v>
      </c>
      <c r="BY56" s="2152">
        <v>3</v>
      </c>
      <c r="BZ56" s="2152">
        <v>4593</v>
      </c>
      <c r="CA56" s="2154">
        <f t="shared" si="6"/>
        <v>0.34836601307189541</v>
      </c>
      <c r="CC56" s="1452"/>
      <c r="CD56" s="1452"/>
      <c r="CE56" s="1475" t="s">
        <v>575</v>
      </c>
      <c r="CF56" s="1476">
        <v>1112</v>
      </c>
      <c r="CG56" s="1476">
        <v>339</v>
      </c>
      <c r="CH56" s="1476">
        <v>1</v>
      </c>
      <c r="CI56" s="1476">
        <v>318</v>
      </c>
      <c r="CJ56" s="1476">
        <v>1132</v>
      </c>
      <c r="CK56" s="1476">
        <v>134</v>
      </c>
      <c r="CL56" s="1476">
        <v>280</v>
      </c>
      <c r="CM56" s="1477"/>
      <c r="CN56" s="1477">
        <v>1</v>
      </c>
      <c r="CO56" s="1476">
        <v>162</v>
      </c>
      <c r="CP56" s="1476">
        <v>226</v>
      </c>
      <c r="CQ56" s="1476">
        <v>867</v>
      </c>
      <c r="CR56" s="1476"/>
      <c r="CS56" s="1476">
        <v>4572</v>
      </c>
      <c r="CT56" s="1478">
        <f t="shared" si="7"/>
        <v>0.32633420822397202</v>
      </c>
      <c r="CV56" s="929"/>
      <c r="CW56" s="929"/>
      <c r="CX56" s="1090" t="s">
        <v>575</v>
      </c>
      <c r="CY56" s="1479">
        <v>1100</v>
      </c>
      <c r="CZ56" s="1479">
        <v>298</v>
      </c>
      <c r="DA56" s="1093"/>
      <c r="DB56" s="1479">
        <v>312</v>
      </c>
      <c r="DC56" s="1479">
        <v>992</v>
      </c>
      <c r="DD56" s="1479">
        <v>188</v>
      </c>
      <c r="DE56" s="1479">
        <v>238</v>
      </c>
      <c r="DF56" s="1093"/>
      <c r="DG56" s="1093"/>
      <c r="DH56" s="1479">
        <v>57</v>
      </c>
      <c r="DI56" s="1479">
        <v>207</v>
      </c>
      <c r="DJ56" s="1479">
        <v>843</v>
      </c>
      <c r="DK56" s="1093"/>
      <c r="DL56" s="1479">
        <v>4235</v>
      </c>
      <c r="DM56" s="803">
        <f t="shared" si="8"/>
        <v>0.32750885478158204</v>
      </c>
      <c r="DO56" s="1094" t="s">
        <v>48</v>
      </c>
      <c r="DP56" s="1094" t="s">
        <v>16</v>
      </c>
      <c r="DQ56" s="1469" t="s">
        <v>17</v>
      </c>
      <c r="DR56" s="1470">
        <v>115</v>
      </c>
      <c r="DS56" s="1470">
        <v>56</v>
      </c>
      <c r="DT56" s="1470">
        <v>0</v>
      </c>
      <c r="DU56" s="1470">
        <v>72</v>
      </c>
      <c r="DV56" s="1470">
        <v>466</v>
      </c>
      <c r="DW56" s="1470">
        <v>161</v>
      </c>
      <c r="DX56" s="1470">
        <v>119</v>
      </c>
      <c r="DY56" s="1470">
        <v>0</v>
      </c>
      <c r="DZ56" s="1470">
        <v>29</v>
      </c>
      <c r="EA56" s="1470">
        <v>89</v>
      </c>
      <c r="EB56" s="1470">
        <v>311</v>
      </c>
      <c r="EC56" s="1470">
        <v>394</v>
      </c>
      <c r="ED56" s="1470">
        <v>0</v>
      </c>
      <c r="EE56" s="1470">
        <v>7</v>
      </c>
      <c r="EF56" s="1470">
        <v>1819</v>
      </c>
      <c r="EG56" s="1471">
        <f t="shared" si="9"/>
        <v>0.47701532311792139</v>
      </c>
      <c r="EI56" s="163" t="s">
        <v>48</v>
      </c>
      <c r="EJ56" s="163" t="s">
        <v>16</v>
      </c>
      <c r="EK56" s="80" t="s">
        <v>17</v>
      </c>
      <c r="EL56" s="80">
        <v>134</v>
      </c>
      <c r="EM56" s="80">
        <v>57</v>
      </c>
      <c r="EN56" s="80">
        <v>0</v>
      </c>
      <c r="EO56" s="80">
        <v>69</v>
      </c>
      <c r="EP56" s="80">
        <v>483</v>
      </c>
      <c r="EQ56" s="80">
        <v>133</v>
      </c>
      <c r="ER56" s="80">
        <v>116</v>
      </c>
      <c r="ES56" s="80"/>
      <c r="ET56" s="80">
        <v>13</v>
      </c>
      <c r="EU56" s="80">
        <v>80</v>
      </c>
      <c r="EV56" s="80">
        <v>282</v>
      </c>
      <c r="EW56" s="80">
        <v>408</v>
      </c>
      <c r="EX56" s="80"/>
      <c r="EY56" s="80">
        <v>5</v>
      </c>
      <c r="EZ56" s="80">
        <v>1780</v>
      </c>
      <c r="FA56" s="1472">
        <f t="shared" si="1"/>
        <v>0.46617548559946415</v>
      </c>
      <c r="FB56" s="80"/>
      <c r="FC56" s="681" t="s">
        <v>48</v>
      </c>
      <c r="FD56" s="681" t="s">
        <v>16</v>
      </c>
      <c r="FE56" s="681" t="s">
        <v>17</v>
      </c>
      <c r="FF56" s="1473">
        <v>122</v>
      </c>
      <c r="FG56" s="1473">
        <v>64</v>
      </c>
      <c r="FH56" s="1473" t="s">
        <v>332</v>
      </c>
      <c r="FI56" s="1473">
        <v>65</v>
      </c>
      <c r="FJ56" s="1473">
        <v>441</v>
      </c>
      <c r="FK56" s="1473">
        <v>121</v>
      </c>
      <c r="FL56" s="1473">
        <v>113</v>
      </c>
      <c r="FM56" s="1473" t="s">
        <v>332</v>
      </c>
      <c r="FN56" s="1473">
        <v>13</v>
      </c>
      <c r="FO56" s="1473">
        <v>104</v>
      </c>
      <c r="FP56" s="1473">
        <v>391</v>
      </c>
      <c r="FQ56" s="1473" t="s">
        <v>332</v>
      </c>
      <c r="FR56" s="1473">
        <v>1434</v>
      </c>
      <c r="FS56" s="1473">
        <f t="shared" si="2"/>
        <v>666</v>
      </c>
      <c r="FT56" s="1474">
        <f t="shared" si="3"/>
        <v>0.46443514644351463</v>
      </c>
      <c r="FU56" s="80"/>
      <c r="FV56" s="80"/>
    </row>
    <row r="57" spans="1:178">
      <c r="A57" s="73"/>
      <c r="B57" s="73"/>
      <c r="C57" s="738" t="s">
        <v>111</v>
      </c>
      <c r="D57" s="4667">
        <v>3440</v>
      </c>
      <c r="E57" s="4667">
        <v>1800</v>
      </c>
      <c r="F57" s="4667">
        <v>1</v>
      </c>
      <c r="G57" s="4667">
        <v>69</v>
      </c>
      <c r="H57" s="4667">
        <v>4581</v>
      </c>
      <c r="I57" s="4667">
        <v>626</v>
      </c>
      <c r="J57" s="4667">
        <v>1219</v>
      </c>
      <c r="K57" s="4667"/>
      <c r="L57" s="4667">
        <v>1</v>
      </c>
      <c r="M57" s="4667">
        <v>855</v>
      </c>
      <c r="N57" s="4667">
        <v>789</v>
      </c>
      <c r="O57" s="4667">
        <v>164</v>
      </c>
      <c r="P57" s="4667">
        <v>3174</v>
      </c>
      <c r="Q57" s="4667">
        <v>4</v>
      </c>
      <c r="R57" s="4667">
        <v>16723</v>
      </c>
      <c r="S57" s="4680">
        <f t="shared" si="4"/>
        <v>0.36218665055874361</v>
      </c>
      <c r="U57" s="73"/>
      <c r="V57" s="73"/>
      <c r="W57" s="738" t="s">
        <v>111</v>
      </c>
      <c r="X57" s="151">
        <v>3452</v>
      </c>
      <c r="Y57" s="151">
        <v>2016</v>
      </c>
      <c r="Z57" s="151">
        <v>2</v>
      </c>
      <c r="AA57" s="151">
        <v>1017</v>
      </c>
      <c r="AB57" s="151">
        <v>4197</v>
      </c>
      <c r="AC57" s="151">
        <v>719</v>
      </c>
      <c r="AD57" s="151">
        <v>1170</v>
      </c>
      <c r="AE57" s="151"/>
      <c r="AF57" s="151">
        <v>4</v>
      </c>
      <c r="AG57" s="151">
        <v>841</v>
      </c>
      <c r="AH57" s="151">
        <v>880</v>
      </c>
      <c r="AI57" s="151">
        <v>93</v>
      </c>
      <c r="AJ57" s="151">
        <v>2963</v>
      </c>
      <c r="AK57" s="151">
        <v>14</v>
      </c>
      <c r="AL57" s="151">
        <v>17368</v>
      </c>
      <c r="AM57" s="912">
        <f t="shared" si="0"/>
        <v>0.33578587567348356</v>
      </c>
      <c r="AN57" s="3197"/>
      <c r="AO57" s="73"/>
      <c r="AP57" s="73"/>
      <c r="AQ57" s="738" t="s">
        <v>111</v>
      </c>
      <c r="AR57" s="151">
        <v>3303</v>
      </c>
      <c r="AS57" s="151">
        <v>2023</v>
      </c>
      <c r="AT57" s="151"/>
      <c r="AU57" s="151">
        <v>1012</v>
      </c>
      <c r="AV57" s="151">
        <v>4202</v>
      </c>
      <c r="AW57" s="151">
        <v>555</v>
      </c>
      <c r="AX57" s="151">
        <v>1056</v>
      </c>
      <c r="AY57" s="151">
        <v>15</v>
      </c>
      <c r="AZ57" s="151">
        <v>4</v>
      </c>
      <c r="BA57" s="151">
        <v>824</v>
      </c>
      <c r="BB57" s="151">
        <v>795</v>
      </c>
      <c r="BC57" s="151">
        <v>22</v>
      </c>
      <c r="BD57" s="151">
        <v>2780</v>
      </c>
      <c r="BE57" s="151">
        <v>15</v>
      </c>
      <c r="BF57" s="151">
        <v>16606</v>
      </c>
      <c r="BG57" s="912">
        <f t="shared" si="5"/>
        <v>0.33508358983644154</v>
      </c>
      <c r="BI57" s="2140"/>
      <c r="BJ57" s="2140"/>
      <c r="BK57" s="2142" t="s">
        <v>111</v>
      </c>
      <c r="BL57" s="2152">
        <v>3230</v>
      </c>
      <c r="BM57" s="2152">
        <v>1650</v>
      </c>
      <c r="BN57" s="2153"/>
      <c r="BO57" s="2152">
        <v>1000</v>
      </c>
      <c r="BP57" s="2152">
        <v>4281</v>
      </c>
      <c r="BQ57" s="2152">
        <v>408</v>
      </c>
      <c r="BR57" s="2152">
        <v>1029</v>
      </c>
      <c r="BS57" s="2153"/>
      <c r="BT57" s="2152">
        <v>6</v>
      </c>
      <c r="BU57" s="2152">
        <v>803</v>
      </c>
      <c r="BV57" s="2152">
        <v>699</v>
      </c>
      <c r="BW57" s="2152">
        <v>3</v>
      </c>
      <c r="BX57" s="2152">
        <v>2920</v>
      </c>
      <c r="BY57" s="2152">
        <v>14</v>
      </c>
      <c r="BZ57" s="2152">
        <v>16043</v>
      </c>
      <c r="CA57" s="2154">
        <f t="shared" si="6"/>
        <v>0.33620366903781357</v>
      </c>
      <c r="CC57" s="1452"/>
      <c r="CD57" s="1452"/>
      <c r="CE57" s="1489" t="s">
        <v>111</v>
      </c>
      <c r="CF57" s="1490">
        <v>2990</v>
      </c>
      <c r="CG57" s="1490">
        <v>1472</v>
      </c>
      <c r="CH57" s="1490">
        <v>1</v>
      </c>
      <c r="CI57" s="1490">
        <v>1394</v>
      </c>
      <c r="CJ57" s="1490">
        <v>4235</v>
      </c>
      <c r="CK57" s="1490">
        <v>430</v>
      </c>
      <c r="CL57" s="1490">
        <v>1171</v>
      </c>
      <c r="CM57" s="1491"/>
      <c r="CN57" s="1490">
        <v>6</v>
      </c>
      <c r="CO57" s="1490">
        <v>831</v>
      </c>
      <c r="CP57" s="1490">
        <v>633</v>
      </c>
      <c r="CQ57" s="1490">
        <v>3798</v>
      </c>
      <c r="CR57" s="1490"/>
      <c r="CS57" s="1490">
        <v>16961</v>
      </c>
      <c r="CT57" s="1492">
        <f t="shared" si="7"/>
        <v>0.31236365780319558</v>
      </c>
      <c r="CV57" s="929"/>
      <c r="CW57" s="929"/>
      <c r="CX57" s="1090" t="s">
        <v>111</v>
      </c>
      <c r="CY57" s="1479">
        <v>3007</v>
      </c>
      <c r="CZ57" s="1479">
        <v>1476</v>
      </c>
      <c r="DA57" s="1479">
        <v>2</v>
      </c>
      <c r="DB57" s="1479">
        <v>1440</v>
      </c>
      <c r="DC57" s="1479">
        <v>3847</v>
      </c>
      <c r="DD57" s="1479">
        <v>628</v>
      </c>
      <c r="DE57" s="1479">
        <v>1075</v>
      </c>
      <c r="DF57" s="1093"/>
      <c r="DG57" s="1479">
        <v>5</v>
      </c>
      <c r="DH57" s="1479">
        <v>461</v>
      </c>
      <c r="DI57" s="1479">
        <v>554</v>
      </c>
      <c r="DJ57" s="1479">
        <v>3759</v>
      </c>
      <c r="DK57" s="1093"/>
      <c r="DL57" s="1479">
        <v>16254</v>
      </c>
      <c r="DM57" s="803">
        <f t="shared" si="8"/>
        <v>0.30940076288913498</v>
      </c>
      <c r="DO57" s="1094"/>
      <c r="DP57" s="1094"/>
      <c r="DQ57" s="1469" t="s">
        <v>49</v>
      </c>
      <c r="DR57" s="1470">
        <v>72</v>
      </c>
      <c r="DS57" s="1470">
        <v>35</v>
      </c>
      <c r="DT57" s="1470">
        <v>0</v>
      </c>
      <c r="DU57" s="1470">
        <v>53</v>
      </c>
      <c r="DV57" s="1470">
        <v>752</v>
      </c>
      <c r="DW57" s="1470">
        <v>220</v>
      </c>
      <c r="DX57" s="1470">
        <v>102</v>
      </c>
      <c r="DY57" s="1470">
        <v>0</v>
      </c>
      <c r="DZ57" s="1470">
        <v>8</v>
      </c>
      <c r="EA57" s="1470">
        <v>227</v>
      </c>
      <c r="EB57" s="1470">
        <v>237</v>
      </c>
      <c r="EC57" s="1470">
        <v>266</v>
      </c>
      <c r="ED57" s="1470">
        <v>0</v>
      </c>
      <c r="EE57" s="1470">
        <v>9</v>
      </c>
      <c r="EF57" s="1470">
        <v>1981</v>
      </c>
      <c r="EG57" s="1471">
        <f t="shared" si="9"/>
        <v>0.6910662824207493</v>
      </c>
      <c r="EI57" s="163"/>
      <c r="EJ57" s="163"/>
      <c r="EK57" s="80" t="s">
        <v>49</v>
      </c>
      <c r="EL57" s="80">
        <v>66</v>
      </c>
      <c r="EM57" s="80">
        <v>40</v>
      </c>
      <c r="EN57" s="80">
        <v>0</v>
      </c>
      <c r="EO57" s="80">
        <v>51</v>
      </c>
      <c r="EP57" s="80">
        <v>740</v>
      </c>
      <c r="EQ57" s="80">
        <v>179</v>
      </c>
      <c r="ER57" s="80">
        <v>92</v>
      </c>
      <c r="ES57" s="80"/>
      <c r="ET57" s="80">
        <v>3</v>
      </c>
      <c r="EU57" s="80">
        <v>257</v>
      </c>
      <c r="EV57" s="80">
        <v>233</v>
      </c>
      <c r="EW57" s="80">
        <v>302</v>
      </c>
      <c r="EX57" s="80"/>
      <c r="EY57" s="80">
        <v>8</v>
      </c>
      <c r="EZ57" s="80">
        <v>1971</v>
      </c>
      <c r="FA57" s="1472">
        <f t="shared" si="1"/>
        <v>0.67976878612716762</v>
      </c>
      <c r="FB57" s="80"/>
      <c r="FC57" s="681"/>
      <c r="FD57" s="681"/>
      <c r="FE57" s="681" t="s">
        <v>49</v>
      </c>
      <c r="FF57" s="1473">
        <v>78</v>
      </c>
      <c r="FG57" s="1473">
        <v>36</v>
      </c>
      <c r="FH57" s="1473" t="s">
        <v>332</v>
      </c>
      <c r="FI57" s="1473">
        <v>49</v>
      </c>
      <c r="FJ57" s="1473">
        <v>695</v>
      </c>
      <c r="FK57" s="1473">
        <v>202</v>
      </c>
      <c r="FL57" s="1473">
        <v>84</v>
      </c>
      <c r="FM57" s="1473" t="s">
        <v>332</v>
      </c>
      <c r="FN57" s="1473">
        <v>3</v>
      </c>
      <c r="FO57" s="1473">
        <v>248</v>
      </c>
      <c r="FP57" s="1473">
        <v>329</v>
      </c>
      <c r="FQ57" s="1473" t="s">
        <v>332</v>
      </c>
      <c r="FR57" s="1473">
        <v>1724</v>
      </c>
      <c r="FS57" s="1473">
        <f t="shared" si="2"/>
        <v>1145</v>
      </c>
      <c r="FT57" s="1474">
        <f t="shared" si="3"/>
        <v>0.66415313225058004</v>
      </c>
      <c r="FU57" s="80"/>
      <c r="FV57" s="80"/>
    </row>
    <row r="58" spans="1:178">
      <c r="A58" s="73" t="s">
        <v>48</v>
      </c>
      <c r="B58" s="73" t="s">
        <v>16</v>
      </c>
      <c r="C58" s="73" t="s">
        <v>17</v>
      </c>
      <c r="D58" s="161">
        <v>135</v>
      </c>
      <c r="E58" s="161">
        <v>76</v>
      </c>
      <c r="F58" s="161"/>
      <c r="G58" s="161">
        <v>1</v>
      </c>
      <c r="H58" s="161">
        <v>491</v>
      </c>
      <c r="I58" s="161">
        <v>144</v>
      </c>
      <c r="J58" s="161">
        <v>80</v>
      </c>
      <c r="K58" s="161"/>
      <c r="L58" s="161"/>
      <c r="M58" s="161">
        <v>20</v>
      </c>
      <c r="N58" s="161">
        <v>88</v>
      </c>
      <c r="O58" s="161"/>
      <c r="P58" s="161">
        <v>280</v>
      </c>
      <c r="Q58" s="161">
        <v>0</v>
      </c>
      <c r="R58" s="161">
        <v>1315</v>
      </c>
      <c r="S58" s="4680">
        <f t="shared" si="4"/>
        <v>0.54980988593155888</v>
      </c>
      <c r="U58" s="73" t="s">
        <v>48</v>
      </c>
      <c r="V58" s="73" t="s">
        <v>16</v>
      </c>
      <c r="W58" s="73" t="s">
        <v>17</v>
      </c>
      <c r="X58" s="161">
        <v>152</v>
      </c>
      <c r="Y58" s="161">
        <v>83</v>
      </c>
      <c r="Z58" s="161"/>
      <c r="AA58" s="161">
        <v>38</v>
      </c>
      <c r="AB58" s="161">
        <v>461</v>
      </c>
      <c r="AC58" s="161">
        <v>175</v>
      </c>
      <c r="AD58" s="161">
        <v>94</v>
      </c>
      <c r="AE58" s="161"/>
      <c r="AF58" s="161"/>
      <c r="AG58" s="161">
        <v>18</v>
      </c>
      <c r="AH58" s="161">
        <v>85</v>
      </c>
      <c r="AI58" s="161"/>
      <c r="AJ58" s="161">
        <v>267</v>
      </c>
      <c r="AK58" s="161">
        <v>0</v>
      </c>
      <c r="AL58" s="161">
        <v>1373</v>
      </c>
      <c r="AM58" s="2585">
        <f t="shared" si="0"/>
        <v>0.52512745812090311</v>
      </c>
      <c r="AN58" s="3196"/>
      <c r="AO58" s="73" t="s">
        <v>48</v>
      </c>
      <c r="AP58" s="73" t="s">
        <v>16</v>
      </c>
      <c r="AQ58" s="73" t="s">
        <v>17</v>
      </c>
      <c r="AR58" s="161">
        <v>114</v>
      </c>
      <c r="AS58" s="161">
        <v>82</v>
      </c>
      <c r="AT58" s="161">
        <v>0</v>
      </c>
      <c r="AU58" s="161">
        <v>40</v>
      </c>
      <c r="AV58" s="161">
        <v>483</v>
      </c>
      <c r="AW58" s="161">
        <v>148</v>
      </c>
      <c r="AX58" s="161">
        <v>98</v>
      </c>
      <c r="AY58" s="161"/>
      <c r="AZ58" s="161">
        <v>0</v>
      </c>
      <c r="BA58" s="161">
        <v>32</v>
      </c>
      <c r="BB58" s="161">
        <v>100</v>
      </c>
      <c r="BC58" s="161"/>
      <c r="BD58" s="161">
        <v>257</v>
      </c>
      <c r="BE58" s="161">
        <v>0</v>
      </c>
      <c r="BF58" s="161">
        <v>1354</v>
      </c>
      <c r="BG58" s="2585">
        <f t="shared" si="5"/>
        <v>0.53988183161004433</v>
      </c>
      <c r="BI58" s="2140" t="s">
        <v>48</v>
      </c>
      <c r="BJ58" s="2140" t="s">
        <v>16</v>
      </c>
      <c r="BK58" s="2148" t="s">
        <v>17</v>
      </c>
      <c r="BL58" s="2149">
        <v>115</v>
      </c>
      <c r="BM58" s="2149">
        <v>66</v>
      </c>
      <c r="BN58" s="2150"/>
      <c r="BO58" s="2149">
        <v>49</v>
      </c>
      <c r="BP58" s="2149">
        <v>492</v>
      </c>
      <c r="BQ58" s="2149">
        <v>138</v>
      </c>
      <c r="BR58" s="2149">
        <v>102</v>
      </c>
      <c r="BS58" s="2150"/>
      <c r="BT58" s="2149">
        <v>0</v>
      </c>
      <c r="BU58" s="2149">
        <v>27</v>
      </c>
      <c r="BV58" s="2149">
        <v>90</v>
      </c>
      <c r="BW58" s="2150"/>
      <c r="BX58" s="2149">
        <v>273</v>
      </c>
      <c r="BY58" s="2149">
        <v>1</v>
      </c>
      <c r="BZ58" s="2149">
        <v>1353</v>
      </c>
      <c r="CA58" s="2151">
        <f t="shared" si="6"/>
        <v>0.53254437869822491</v>
      </c>
      <c r="CC58" s="1452" t="s">
        <v>48</v>
      </c>
      <c r="CD58" s="1452" t="s">
        <v>16</v>
      </c>
      <c r="CE58" s="1465" t="s">
        <v>17</v>
      </c>
      <c r="CF58" s="1466">
        <v>99</v>
      </c>
      <c r="CG58" s="1466">
        <v>77</v>
      </c>
      <c r="CH58" s="1452"/>
      <c r="CI58" s="1466">
        <v>63</v>
      </c>
      <c r="CJ58" s="1466">
        <v>504</v>
      </c>
      <c r="CK58" s="1466">
        <v>158</v>
      </c>
      <c r="CL58" s="1466">
        <v>123</v>
      </c>
      <c r="CM58" s="1452"/>
      <c r="CN58" s="1466">
        <v>0</v>
      </c>
      <c r="CO58" s="1466">
        <v>17</v>
      </c>
      <c r="CP58" s="1466">
        <v>88</v>
      </c>
      <c r="CQ58" s="1466">
        <v>360</v>
      </c>
      <c r="CR58" s="1452"/>
      <c r="CS58" s="1466">
        <v>1489</v>
      </c>
      <c r="CT58" s="814">
        <f t="shared" si="7"/>
        <v>0.503693754197448</v>
      </c>
      <c r="CV58" s="929" t="s">
        <v>48</v>
      </c>
      <c r="CW58" s="929" t="s">
        <v>16</v>
      </c>
      <c r="CX58" s="1467" t="s">
        <v>17</v>
      </c>
      <c r="CY58" s="1468">
        <v>76</v>
      </c>
      <c r="CZ58" s="1468">
        <v>82</v>
      </c>
      <c r="DA58" s="1468">
        <v>0</v>
      </c>
      <c r="DB58" s="1468">
        <v>68</v>
      </c>
      <c r="DC58" s="1468">
        <v>489</v>
      </c>
      <c r="DD58" s="1468">
        <v>183</v>
      </c>
      <c r="DE58" s="1468">
        <v>106</v>
      </c>
      <c r="DF58" s="929"/>
      <c r="DG58" s="1468">
        <v>0</v>
      </c>
      <c r="DH58" s="1468">
        <v>14</v>
      </c>
      <c r="DI58" s="1468">
        <v>88</v>
      </c>
      <c r="DJ58" s="1468">
        <v>378</v>
      </c>
      <c r="DK58" s="929"/>
      <c r="DL58" s="1468">
        <v>1484</v>
      </c>
      <c r="DM58" s="814">
        <f t="shared" si="8"/>
        <v>0.5121293800539084</v>
      </c>
      <c r="DO58" s="1094"/>
      <c r="DP58" s="1094"/>
      <c r="DQ58" s="1469" t="s">
        <v>19</v>
      </c>
      <c r="DR58" s="1470">
        <v>104</v>
      </c>
      <c r="DS58" s="1470">
        <v>73</v>
      </c>
      <c r="DT58" s="1470">
        <v>0</v>
      </c>
      <c r="DU58" s="1470">
        <v>107</v>
      </c>
      <c r="DV58" s="1470">
        <v>332</v>
      </c>
      <c r="DW58" s="1470">
        <v>79</v>
      </c>
      <c r="DX58" s="1470">
        <v>119</v>
      </c>
      <c r="DY58" s="1470">
        <v>0</v>
      </c>
      <c r="DZ58" s="1470">
        <v>33</v>
      </c>
      <c r="EA58" s="1470">
        <v>47</v>
      </c>
      <c r="EB58" s="1470">
        <v>295</v>
      </c>
      <c r="EC58" s="1470">
        <v>401</v>
      </c>
      <c r="ED58" s="1470">
        <v>0</v>
      </c>
      <c r="EE58" s="1470">
        <v>12</v>
      </c>
      <c r="EF58" s="1470">
        <v>1602</v>
      </c>
      <c r="EG58" s="1471">
        <f t="shared" si="9"/>
        <v>0.35366795366795367</v>
      </c>
      <c r="EI58" s="163"/>
      <c r="EJ58" s="163"/>
      <c r="EK58" s="80" t="s">
        <v>19</v>
      </c>
      <c r="EL58" s="80">
        <v>111</v>
      </c>
      <c r="EM58" s="80">
        <v>78</v>
      </c>
      <c r="EN58" s="80">
        <v>0</v>
      </c>
      <c r="EO58" s="80">
        <v>102</v>
      </c>
      <c r="EP58" s="80">
        <v>320</v>
      </c>
      <c r="EQ58" s="80">
        <v>65</v>
      </c>
      <c r="ER58" s="80">
        <v>113</v>
      </c>
      <c r="ES58" s="80"/>
      <c r="ET58" s="80">
        <v>27</v>
      </c>
      <c r="EU58" s="80">
        <v>53</v>
      </c>
      <c r="EV58" s="80">
        <v>274</v>
      </c>
      <c r="EW58" s="80">
        <v>410</v>
      </c>
      <c r="EX58" s="80"/>
      <c r="EY58" s="80">
        <v>10</v>
      </c>
      <c r="EZ58" s="80">
        <v>1563</v>
      </c>
      <c r="FA58" s="1472">
        <f t="shared" si="1"/>
        <v>0.34245504300234558</v>
      </c>
      <c r="FB58" s="80"/>
      <c r="FC58" s="681"/>
      <c r="FD58" s="681"/>
      <c r="FE58" s="681" t="s">
        <v>19</v>
      </c>
      <c r="FF58" s="1473">
        <v>93</v>
      </c>
      <c r="FG58" s="1473">
        <v>76</v>
      </c>
      <c r="FH58" s="1473">
        <v>1</v>
      </c>
      <c r="FI58" s="1473">
        <v>96</v>
      </c>
      <c r="FJ58" s="1473">
        <v>269</v>
      </c>
      <c r="FK58" s="1473">
        <v>74</v>
      </c>
      <c r="FL58" s="1473">
        <v>122</v>
      </c>
      <c r="FM58" s="1473" t="s">
        <v>332</v>
      </c>
      <c r="FN58" s="1473">
        <v>35</v>
      </c>
      <c r="FO58" s="1473">
        <v>84</v>
      </c>
      <c r="FP58" s="1473">
        <v>409</v>
      </c>
      <c r="FQ58" s="1473" t="s">
        <v>332</v>
      </c>
      <c r="FR58" s="1473">
        <v>1259</v>
      </c>
      <c r="FS58" s="1473">
        <f t="shared" si="2"/>
        <v>427</v>
      </c>
      <c r="FT58" s="1474">
        <f t="shared" si="3"/>
        <v>0.33915806195393167</v>
      </c>
      <c r="FU58" s="80"/>
      <c r="FV58" s="80"/>
    </row>
    <row r="59" spans="1:178">
      <c r="A59" s="73"/>
      <c r="B59" s="73"/>
      <c r="C59" s="73" t="s">
        <v>49</v>
      </c>
      <c r="D59" s="161">
        <v>74</v>
      </c>
      <c r="E59" s="161">
        <v>48</v>
      </c>
      <c r="F59" s="161"/>
      <c r="G59" s="161">
        <v>0</v>
      </c>
      <c r="H59" s="161">
        <v>658</v>
      </c>
      <c r="I59" s="161">
        <v>222</v>
      </c>
      <c r="J59" s="161">
        <v>47</v>
      </c>
      <c r="K59" s="161"/>
      <c r="L59" s="161"/>
      <c r="M59" s="161">
        <v>9</v>
      </c>
      <c r="N59" s="161">
        <v>254</v>
      </c>
      <c r="O59" s="161"/>
      <c r="P59" s="161">
        <v>189</v>
      </c>
      <c r="Q59" s="161">
        <v>0</v>
      </c>
      <c r="R59" s="161">
        <v>1501</v>
      </c>
      <c r="S59" s="4680">
        <f t="shared" si="4"/>
        <v>0.75549633577614927</v>
      </c>
      <c r="U59" s="73"/>
      <c r="V59" s="73"/>
      <c r="W59" s="73" t="s">
        <v>49</v>
      </c>
      <c r="X59" s="161">
        <v>64</v>
      </c>
      <c r="Y59" s="161">
        <v>67</v>
      </c>
      <c r="Z59" s="161"/>
      <c r="AA59" s="161">
        <v>28</v>
      </c>
      <c r="AB59" s="161">
        <v>658</v>
      </c>
      <c r="AC59" s="161">
        <v>248</v>
      </c>
      <c r="AD59" s="161">
        <v>54</v>
      </c>
      <c r="AE59" s="161"/>
      <c r="AF59" s="161"/>
      <c r="AG59" s="161">
        <v>2</v>
      </c>
      <c r="AH59" s="161">
        <v>236</v>
      </c>
      <c r="AI59" s="161"/>
      <c r="AJ59" s="161">
        <v>166</v>
      </c>
      <c r="AK59" s="161">
        <v>2</v>
      </c>
      <c r="AL59" s="161">
        <v>1525</v>
      </c>
      <c r="AM59" s="2585">
        <f t="shared" si="0"/>
        <v>0.74983585029546951</v>
      </c>
      <c r="AN59" s="3196"/>
      <c r="AO59" s="73"/>
      <c r="AP59" s="73"/>
      <c r="AQ59" s="73" t="s">
        <v>49</v>
      </c>
      <c r="AR59" s="161">
        <v>60</v>
      </c>
      <c r="AS59" s="161">
        <v>60</v>
      </c>
      <c r="AT59" s="161">
        <v>0</v>
      </c>
      <c r="AU59" s="161">
        <v>28</v>
      </c>
      <c r="AV59" s="161">
        <v>703</v>
      </c>
      <c r="AW59" s="161">
        <v>208</v>
      </c>
      <c r="AX59" s="161">
        <v>61</v>
      </c>
      <c r="AY59" s="161"/>
      <c r="AZ59" s="161">
        <v>0</v>
      </c>
      <c r="BA59" s="161">
        <v>9</v>
      </c>
      <c r="BB59" s="161">
        <v>225</v>
      </c>
      <c r="BC59" s="161"/>
      <c r="BD59" s="161">
        <v>160</v>
      </c>
      <c r="BE59" s="161">
        <v>2</v>
      </c>
      <c r="BF59" s="161">
        <v>1516</v>
      </c>
      <c r="BG59" s="2585">
        <f t="shared" si="5"/>
        <v>0.75033025099075301</v>
      </c>
      <c r="BI59" s="2140"/>
      <c r="BJ59" s="2140"/>
      <c r="BK59" s="2148" t="s">
        <v>49</v>
      </c>
      <c r="BL59" s="2149">
        <v>58</v>
      </c>
      <c r="BM59" s="2149">
        <v>50</v>
      </c>
      <c r="BN59" s="2150"/>
      <c r="BO59" s="2149">
        <v>30</v>
      </c>
      <c r="BP59" s="2149">
        <v>750</v>
      </c>
      <c r="BQ59" s="2149">
        <v>188</v>
      </c>
      <c r="BR59" s="2149">
        <v>65</v>
      </c>
      <c r="BS59" s="2150"/>
      <c r="BT59" s="2149">
        <v>0</v>
      </c>
      <c r="BU59" s="2149">
        <v>5</v>
      </c>
      <c r="BV59" s="2149">
        <v>222</v>
      </c>
      <c r="BW59" s="2150"/>
      <c r="BX59" s="2149">
        <v>177</v>
      </c>
      <c r="BY59" s="2149">
        <v>2</v>
      </c>
      <c r="BZ59" s="2149">
        <v>1547</v>
      </c>
      <c r="CA59" s="2151">
        <f t="shared" si="6"/>
        <v>0.7508090614886731</v>
      </c>
      <c r="CC59" s="1452"/>
      <c r="CD59" s="1452"/>
      <c r="CE59" s="1465" t="s">
        <v>49</v>
      </c>
      <c r="CF59" s="1466">
        <v>71</v>
      </c>
      <c r="CG59" s="1466">
        <v>63</v>
      </c>
      <c r="CH59" s="1452"/>
      <c r="CI59" s="1466">
        <v>46</v>
      </c>
      <c r="CJ59" s="1466">
        <v>754</v>
      </c>
      <c r="CK59" s="1466">
        <v>242</v>
      </c>
      <c r="CL59" s="1466">
        <v>81</v>
      </c>
      <c r="CM59" s="1452"/>
      <c r="CN59" s="1466">
        <v>0</v>
      </c>
      <c r="CO59" s="1466">
        <v>2</v>
      </c>
      <c r="CP59" s="1466">
        <v>218</v>
      </c>
      <c r="CQ59" s="1466">
        <v>239</v>
      </c>
      <c r="CR59" s="1452"/>
      <c r="CS59" s="1466">
        <v>1716</v>
      </c>
      <c r="CT59" s="814">
        <f t="shared" si="7"/>
        <v>0.70745920745920743</v>
      </c>
      <c r="CV59" s="929"/>
      <c r="CW59" s="929"/>
      <c r="CX59" s="1467" t="s">
        <v>49</v>
      </c>
      <c r="CY59" s="1468">
        <v>60</v>
      </c>
      <c r="CZ59" s="1468">
        <v>66</v>
      </c>
      <c r="DA59" s="1468">
        <v>0</v>
      </c>
      <c r="DB59" s="1468">
        <v>47</v>
      </c>
      <c r="DC59" s="1468">
        <v>753</v>
      </c>
      <c r="DD59" s="1468">
        <v>238</v>
      </c>
      <c r="DE59" s="1468">
        <v>74</v>
      </c>
      <c r="DF59" s="929"/>
      <c r="DG59" s="1468">
        <v>0</v>
      </c>
      <c r="DH59" s="1468">
        <v>1</v>
      </c>
      <c r="DI59" s="1468">
        <v>230</v>
      </c>
      <c r="DJ59" s="1468">
        <v>250</v>
      </c>
      <c r="DK59" s="929"/>
      <c r="DL59" s="1468">
        <v>1719</v>
      </c>
      <c r="DM59" s="814">
        <f t="shared" si="8"/>
        <v>0.71029668411867364</v>
      </c>
      <c r="DO59" s="1094"/>
      <c r="DP59" s="1094"/>
      <c r="DQ59" s="1469" t="s">
        <v>50</v>
      </c>
      <c r="DR59" s="1470">
        <v>135</v>
      </c>
      <c r="DS59" s="1470">
        <v>77</v>
      </c>
      <c r="DT59" s="1470">
        <v>0</v>
      </c>
      <c r="DU59" s="1470">
        <v>111</v>
      </c>
      <c r="DV59" s="1470">
        <v>1593</v>
      </c>
      <c r="DW59" s="1470">
        <v>255</v>
      </c>
      <c r="DX59" s="1470">
        <v>156</v>
      </c>
      <c r="DY59" s="1470">
        <v>0</v>
      </c>
      <c r="DZ59" s="1470">
        <v>18</v>
      </c>
      <c r="EA59" s="1470">
        <v>138</v>
      </c>
      <c r="EB59" s="1470">
        <v>440</v>
      </c>
      <c r="EC59" s="1470">
        <v>533</v>
      </c>
      <c r="ED59" s="1470">
        <v>0</v>
      </c>
      <c r="EE59" s="1470">
        <v>17</v>
      </c>
      <c r="EF59" s="1470">
        <v>3473</v>
      </c>
      <c r="EG59" s="1471">
        <f t="shared" si="9"/>
        <v>0.65848806366047741</v>
      </c>
      <c r="EI59" s="163"/>
      <c r="EJ59" s="163"/>
      <c r="EK59" s="80" t="s">
        <v>50</v>
      </c>
      <c r="EL59" s="80">
        <v>116</v>
      </c>
      <c r="EM59" s="80">
        <v>75</v>
      </c>
      <c r="EN59" s="80">
        <v>1</v>
      </c>
      <c r="EO59" s="80">
        <v>116</v>
      </c>
      <c r="EP59" s="80">
        <v>1581</v>
      </c>
      <c r="EQ59" s="80">
        <v>264</v>
      </c>
      <c r="ER59" s="80">
        <v>156</v>
      </c>
      <c r="ES59" s="80"/>
      <c r="ET59" s="80">
        <v>12</v>
      </c>
      <c r="EU59" s="80">
        <v>162</v>
      </c>
      <c r="EV59" s="80">
        <v>413</v>
      </c>
      <c r="EW59" s="80">
        <v>557</v>
      </c>
      <c r="EX59" s="80"/>
      <c r="EY59" s="80">
        <v>14</v>
      </c>
      <c r="EZ59" s="80">
        <v>3467</v>
      </c>
      <c r="FA59" s="1472">
        <f t="shared" si="1"/>
        <v>0.66019736842105259</v>
      </c>
      <c r="FB59" s="80"/>
      <c r="FC59" s="681"/>
      <c r="FD59" s="681"/>
      <c r="FE59" s="681" t="s">
        <v>50</v>
      </c>
      <c r="FF59" s="1473">
        <v>126</v>
      </c>
      <c r="FG59" s="1473">
        <v>74</v>
      </c>
      <c r="FH59" s="1473" t="s">
        <v>332</v>
      </c>
      <c r="FI59" s="1473">
        <v>108</v>
      </c>
      <c r="FJ59" s="1473">
        <v>1547</v>
      </c>
      <c r="FK59" s="1473">
        <v>280</v>
      </c>
      <c r="FL59" s="1473">
        <v>166</v>
      </c>
      <c r="FM59" s="1473" t="s">
        <v>332</v>
      </c>
      <c r="FN59" s="1473">
        <v>14</v>
      </c>
      <c r="FO59" s="1473">
        <v>197</v>
      </c>
      <c r="FP59" s="1473">
        <v>576</v>
      </c>
      <c r="FQ59" s="1473" t="s">
        <v>332</v>
      </c>
      <c r="FR59" s="1473">
        <v>3088</v>
      </c>
      <c r="FS59" s="1473">
        <f t="shared" si="2"/>
        <v>2024</v>
      </c>
      <c r="FT59" s="1474">
        <f t="shared" si="3"/>
        <v>0.65544041450777202</v>
      </c>
      <c r="FU59" s="80"/>
      <c r="FV59" s="80"/>
    </row>
    <row r="60" spans="1:178">
      <c r="A60" s="73"/>
      <c r="B60" s="73"/>
      <c r="C60" s="73" t="s">
        <v>19</v>
      </c>
      <c r="D60" s="161">
        <v>127</v>
      </c>
      <c r="E60" s="161">
        <v>105</v>
      </c>
      <c r="F60" s="161"/>
      <c r="G60" s="161">
        <v>2</v>
      </c>
      <c r="H60" s="161">
        <v>293</v>
      </c>
      <c r="I60" s="161">
        <v>86</v>
      </c>
      <c r="J60" s="161">
        <v>101</v>
      </c>
      <c r="K60" s="161"/>
      <c r="L60" s="161"/>
      <c r="M60" s="161">
        <v>31</v>
      </c>
      <c r="N60" s="161">
        <v>105</v>
      </c>
      <c r="O60" s="161"/>
      <c r="P60" s="161">
        <v>285</v>
      </c>
      <c r="Q60" s="161">
        <v>0</v>
      </c>
      <c r="R60" s="161">
        <v>1135</v>
      </c>
      <c r="S60" s="4680">
        <f t="shared" si="4"/>
        <v>0.42643171806167401</v>
      </c>
      <c r="U60" s="73"/>
      <c r="V60" s="73"/>
      <c r="W60" s="73" t="s">
        <v>19</v>
      </c>
      <c r="X60" s="161">
        <v>177</v>
      </c>
      <c r="Y60" s="161">
        <v>123</v>
      </c>
      <c r="Z60" s="161"/>
      <c r="AA60" s="161">
        <v>76</v>
      </c>
      <c r="AB60" s="161">
        <v>290</v>
      </c>
      <c r="AC60" s="161">
        <v>76</v>
      </c>
      <c r="AD60" s="161">
        <v>117</v>
      </c>
      <c r="AE60" s="161"/>
      <c r="AF60" s="161"/>
      <c r="AG60" s="161">
        <v>26</v>
      </c>
      <c r="AH60" s="161">
        <v>63</v>
      </c>
      <c r="AI60" s="161"/>
      <c r="AJ60" s="161">
        <v>251</v>
      </c>
      <c r="AK60" s="161">
        <v>4</v>
      </c>
      <c r="AL60" s="161">
        <v>1203</v>
      </c>
      <c r="AM60" s="2585">
        <f t="shared" si="0"/>
        <v>0.3577981651376147</v>
      </c>
      <c r="AN60" s="3196"/>
      <c r="AO60" s="73"/>
      <c r="AP60" s="73"/>
      <c r="AQ60" s="73" t="s">
        <v>19</v>
      </c>
      <c r="AR60" s="161">
        <v>134</v>
      </c>
      <c r="AS60" s="161">
        <v>137</v>
      </c>
      <c r="AT60" s="161">
        <v>1</v>
      </c>
      <c r="AU60" s="161">
        <v>70</v>
      </c>
      <c r="AV60" s="161">
        <v>298</v>
      </c>
      <c r="AW60" s="161">
        <v>82</v>
      </c>
      <c r="AX60" s="161">
        <v>100</v>
      </c>
      <c r="AY60" s="161"/>
      <c r="AZ60" s="161">
        <v>1</v>
      </c>
      <c r="BA60" s="161">
        <v>47</v>
      </c>
      <c r="BB60" s="161">
        <v>68</v>
      </c>
      <c r="BC60" s="161"/>
      <c r="BD60" s="161">
        <v>253</v>
      </c>
      <c r="BE60" s="161">
        <v>5</v>
      </c>
      <c r="BF60" s="161">
        <v>1196</v>
      </c>
      <c r="BG60" s="2585">
        <f t="shared" si="5"/>
        <v>0.37615449202350965</v>
      </c>
      <c r="BI60" s="2140"/>
      <c r="BJ60" s="2140"/>
      <c r="BK60" s="2148" t="s">
        <v>19</v>
      </c>
      <c r="BL60" s="2149">
        <v>128</v>
      </c>
      <c r="BM60" s="2149">
        <v>121</v>
      </c>
      <c r="BN60" s="2150"/>
      <c r="BO60" s="2149">
        <v>70</v>
      </c>
      <c r="BP60" s="2149">
        <v>311</v>
      </c>
      <c r="BQ60" s="2149">
        <v>77</v>
      </c>
      <c r="BR60" s="2149">
        <v>118</v>
      </c>
      <c r="BS60" s="2150"/>
      <c r="BT60" s="2149">
        <v>1</v>
      </c>
      <c r="BU60" s="2149">
        <v>42</v>
      </c>
      <c r="BV60" s="2149">
        <v>59</v>
      </c>
      <c r="BW60" s="2150"/>
      <c r="BX60" s="2149">
        <v>263</v>
      </c>
      <c r="BY60" s="2149">
        <v>4</v>
      </c>
      <c r="BZ60" s="2149">
        <v>1194</v>
      </c>
      <c r="CA60" s="2151">
        <f t="shared" si="6"/>
        <v>0.37563025210084033</v>
      </c>
      <c r="CC60" s="1452"/>
      <c r="CD60" s="1452"/>
      <c r="CE60" s="1465" t="s">
        <v>19</v>
      </c>
      <c r="CF60" s="1466">
        <v>121</v>
      </c>
      <c r="CG60" s="1466">
        <v>120</v>
      </c>
      <c r="CH60" s="1452"/>
      <c r="CI60" s="1466">
        <v>96</v>
      </c>
      <c r="CJ60" s="1466">
        <v>332</v>
      </c>
      <c r="CK60" s="1466">
        <v>73</v>
      </c>
      <c r="CL60" s="1466">
        <v>118</v>
      </c>
      <c r="CM60" s="1452"/>
      <c r="CN60" s="1466">
        <v>1</v>
      </c>
      <c r="CO60" s="1466">
        <v>44</v>
      </c>
      <c r="CP60" s="1466">
        <v>59</v>
      </c>
      <c r="CQ60" s="1466">
        <v>359</v>
      </c>
      <c r="CR60" s="1452"/>
      <c r="CS60" s="1466">
        <v>1323</v>
      </c>
      <c r="CT60" s="814">
        <f t="shared" si="7"/>
        <v>0.35071806500377928</v>
      </c>
      <c r="CV60" s="929"/>
      <c r="CW60" s="929"/>
      <c r="CX60" s="1467" t="s">
        <v>19</v>
      </c>
      <c r="CY60" s="1468">
        <v>124</v>
      </c>
      <c r="CZ60" s="1468">
        <v>116</v>
      </c>
      <c r="DA60" s="1468">
        <v>0</v>
      </c>
      <c r="DB60" s="1468">
        <v>99</v>
      </c>
      <c r="DC60" s="1468">
        <v>336</v>
      </c>
      <c r="DD60" s="1468">
        <v>75</v>
      </c>
      <c r="DE60" s="1468">
        <v>105</v>
      </c>
      <c r="DF60" s="929"/>
      <c r="DG60" s="1468">
        <v>1</v>
      </c>
      <c r="DH60" s="1468">
        <v>26</v>
      </c>
      <c r="DI60" s="1468">
        <v>48</v>
      </c>
      <c r="DJ60" s="1468">
        <v>368</v>
      </c>
      <c r="DK60" s="929"/>
      <c r="DL60" s="1468">
        <v>1298</v>
      </c>
      <c r="DM60" s="814">
        <f t="shared" si="8"/>
        <v>0.35362095531587057</v>
      </c>
      <c r="DO60" s="1094"/>
      <c r="DP60" s="1094"/>
      <c r="DQ60" s="1469" t="s">
        <v>20</v>
      </c>
      <c r="DR60" s="1470">
        <v>99</v>
      </c>
      <c r="DS60" s="1470">
        <v>55</v>
      </c>
      <c r="DT60" s="1470">
        <v>0</v>
      </c>
      <c r="DU60" s="1470">
        <v>103</v>
      </c>
      <c r="DV60" s="1470">
        <v>557</v>
      </c>
      <c r="DW60" s="1470">
        <v>133</v>
      </c>
      <c r="DX60" s="1470">
        <v>103</v>
      </c>
      <c r="DY60" s="1470">
        <v>0</v>
      </c>
      <c r="DZ60" s="1470">
        <v>12</v>
      </c>
      <c r="EA60" s="1470">
        <v>74</v>
      </c>
      <c r="EB60" s="1470">
        <v>179</v>
      </c>
      <c r="EC60" s="1470">
        <v>355</v>
      </c>
      <c r="ED60" s="1470">
        <v>0</v>
      </c>
      <c r="EE60" s="1470">
        <v>11</v>
      </c>
      <c r="EF60" s="1470">
        <v>1681</v>
      </c>
      <c r="EG60" s="1471">
        <f t="shared" si="9"/>
        <v>0.5124077800134138</v>
      </c>
      <c r="EI60" s="163"/>
      <c r="EJ60" s="163"/>
      <c r="EK60" s="80" t="s">
        <v>20</v>
      </c>
      <c r="EL60" s="80">
        <v>82</v>
      </c>
      <c r="EM60" s="80">
        <v>46</v>
      </c>
      <c r="EN60" s="80">
        <v>0</v>
      </c>
      <c r="EO60" s="80">
        <v>118</v>
      </c>
      <c r="EP60" s="80">
        <v>572</v>
      </c>
      <c r="EQ60" s="80">
        <v>124</v>
      </c>
      <c r="ER60" s="80">
        <v>105</v>
      </c>
      <c r="ES60" s="80"/>
      <c r="ET60" s="80">
        <v>9</v>
      </c>
      <c r="EU60" s="80">
        <v>80</v>
      </c>
      <c r="EV60" s="80">
        <v>167</v>
      </c>
      <c r="EW60" s="80">
        <v>386</v>
      </c>
      <c r="EX60" s="80"/>
      <c r="EY60" s="80">
        <v>15</v>
      </c>
      <c r="EZ60" s="80">
        <v>1704</v>
      </c>
      <c r="FA60" s="1472">
        <f t="shared" si="1"/>
        <v>0.50985545335085414</v>
      </c>
      <c r="FB60" s="80"/>
      <c r="FC60" s="681"/>
      <c r="FD60" s="681"/>
      <c r="FE60" s="681" t="s">
        <v>20</v>
      </c>
      <c r="FF60" s="1473">
        <v>73</v>
      </c>
      <c r="FG60" s="1473">
        <v>57</v>
      </c>
      <c r="FH60" s="1473" t="s">
        <v>332</v>
      </c>
      <c r="FI60" s="1473">
        <v>121</v>
      </c>
      <c r="FJ60" s="1473">
        <v>549</v>
      </c>
      <c r="FK60" s="1473">
        <v>118</v>
      </c>
      <c r="FL60" s="1473">
        <v>118</v>
      </c>
      <c r="FM60" s="1473" t="s">
        <v>332</v>
      </c>
      <c r="FN60" s="1473">
        <v>16</v>
      </c>
      <c r="FO60" s="1473">
        <v>99</v>
      </c>
      <c r="FP60" s="1473">
        <v>396</v>
      </c>
      <c r="FQ60" s="1473" t="s">
        <v>332</v>
      </c>
      <c r="FR60" s="1473">
        <v>1547</v>
      </c>
      <c r="FS60" s="1473">
        <f t="shared" si="2"/>
        <v>766</v>
      </c>
      <c r="FT60" s="1474">
        <f t="shared" si="3"/>
        <v>0.49515190691661282</v>
      </c>
      <c r="FU60" s="80"/>
      <c r="FV60" s="80"/>
    </row>
    <row r="61" spans="1:178">
      <c r="A61" s="73"/>
      <c r="B61" s="73"/>
      <c r="C61" s="73" t="s">
        <v>50</v>
      </c>
      <c r="D61" s="161">
        <v>88</v>
      </c>
      <c r="E61" s="161">
        <v>85</v>
      </c>
      <c r="F61" s="161"/>
      <c r="G61" s="161">
        <v>0</v>
      </c>
      <c r="H61" s="161">
        <v>1373</v>
      </c>
      <c r="I61" s="161">
        <v>288</v>
      </c>
      <c r="J61" s="161">
        <v>90</v>
      </c>
      <c r="K61" s="161"/>
      <c r="L61" s="161"/>
      <c r="M61" s="161">
        <v>19</v>
      </c>
      <c r="N61" s="161">
        <v>232</v>
      </c>
      <c r="O61" s="161"/>
      <c r="P61" s="161">
        <v>337</v>
      </c>
      <c r="Q61" s="161">
        <v>1</v>
      </c>
      <c r="R61" s="161">
        <v>2513</v>
      </c>
      <c r="S61" s="4680">
        <f t="shared" si="4"/>
        <v>0.75358280254777066</v>
      </c>
      <c r="U61" s="73"/>
      <c r="V61" s="73"/>
      <c r="W61" s="73" t="s">
        <v>50</v>
      </c>
      <c r="X61" s="161">
        <v>88</v>
      </c>
      <c r="Y61" s="161">
        <v>94</v>
      </c>
      <c r="Z61" s="161"/>
      <c r="AA61" s="161">
        <v>51</v>
      </c>
      <c r="AB61" s="161">
        <v>1320</v>
      </c>
      <c r="AC61" s="161">
        <v>337</v>
      </c>
      <c r="AD61" s="161">
        <v>108</v>
      </c>
      <c r="AE61" s="161"/>
      <c r="AF61" s="161"/>
      <c r="AG61" s="161">
        <v>13</v>
      </c>
      <c r="AH61" s="161">
        <v>241</v>
      </c>
      <c r="AI61" s="161"/>
      <c r="AJ61" s="161">
        <v>339</v>
      </c>
      <c r="AK61" s="161">
        <v>2</v>
      </c>
      <c r="AL61" s="161">
        <v>2593</v>
      </c>
      <c r="AM61" s="2585">
        <f t="shared" si="0"/>
        <v>0.73253570050173678</v>
      </c>
      <c r="AN61" s="3196"/>
      <c r="AO61" s="73"/>
      <c r="AP61" s="73"/>
      <c r="AQ61" s="73" t="s">
        <v>50</v>
      </c>
      <c r="AR61" s="161">
        <v>96</v>
      </c>
      <c r="AS61" s="161">
        <v>101</v>
      </c>
      <c r="AT61" s="161">
        <v>0</v>
      </c>
      <c r="AU61" s="161">
        <v>48</v>
      </c>
      <c r="AV61" s="161">
        <v>1350</v>
      </c>
      <c r="AW61" s="161">
        <v>287</v>
      </c>
      <c r="AX61" s="161">
        <v>85</v>
      </c>
      <c r="AY61" s="161"/>
      <c r="AZ61" s="161">
        <v>0</v>
      </c>
      <c r="BA61" s="161">
        <v>24</v>
      </c>
      <c r="BB61" s="161">
        <v>221</v>
      </c>
      <c r="BC61" s="161"/>
      <c r="BD61" s="161">
        <v>323</v>
      </c>
      <c r="BE61" s="161">
        <v>4</v>
      </c>
      <c r="BF61" s="161">
        <v>2539</v>
      </c>
      <c r="BG61" s="2585">
        <f t="shared" si="5"/>
        <v>0.73293885601577913</v>
      </c>
      <c r="BI61" s="2140"/>
      <c r="BJ61" s="2140"/>
      <c r="BK61" s="2148" t="s">
        <v>50</v>
      </c>
      <c r="BL61" s="2149">
        <v>117</v>
      </c>
      <c r="BM61" s="2149">
        <v>84</v>
      </c>
      <c r="BN61" s="2150"/>
      <c r="BO61" s="2149">
        <v>58</v>
      </c>
      <c r="BP61" s="2149">
        <v>1481</v>
      </c>
      <c r="BQ61" s="2149">
        <v>256</v>
      </c>
      <c r="BR61" s="2149">
        <v>100</v>
      </c>
      <c r="BS61" s="2150"/>
      <c r="BT61" s="2149">
        <v>0</v>
      </c>
      <c r="BU61" s="2149">
        <v>14</v>
      </c>
      <c r="BV61" s="2149">
        <v>193</v>
      </c>
      <c r="BW61" s="2150"/>
      <c r="BX61" s="2149">
        <v>334</v>
      </c>
      <c r="BY61" s="2149">
        <v>7</v>
      </c>
      <c r="BZ61" s="2149">
        <v>2644</v>
      </c>
      <c r="CA61" s="2151">
        <f t="shared" si="6"/>
        <v>0.73189230185817211</v>
      </c>
      <c r="CC61" s="1452"/>
      <c r="CD61" s="1452"/>
      <c r="CE61" s="1465" t="s">
        <v>50</v>
      </c>
      <c r="CF61" s="1466">
        <v>112</v>
      </c>
      <c r="CG61" s="1466">
        <v>87</v>
      </c>
      <c r="CH61" s="1452"/>
      <c r="CI61" s="1466">
        <v>99</v>
      </c>
      <c r="CJ61" s="1466">
        <v>1558</v>
      </c>
      <c r="CK61" s="1466">
        <v>284</v>
      </c>
      <c r="CL61" s="1466">
        <v>139</v>
      </c>
      <c r="CM61" s="1452"/>
      <c r="CN61" s="1466">
        <v>0</v>
      </c>
      <c r="CO61" s="1466">
        <v>18</v>
      </c>
      <c r="CP61" s="1466">
        <v>182</v>
      </c>
      <c r="CQ61" s="1466">
        <v>493</v>
      </c>
      <c r="CR61" s="1452"/>
      <c r="CS61" s="1466">
        <v>2972</v>
      </c>
      <c r="CT61" s="814">
        <f t="shared" si="7"/>
        <v>0.68102288021534318</v>
      </c>
      <c r="CV61" s="929"/>
      <c r="CW61" s="929"/>
      <c r="CX61" s="1467" t="s">
        <v>50</v>
      </c>
      <c r="CY61" s="1468">
        <v>101</v>
      </c>
      <c r="CZ61" s="1468">
        <v>103</v>
      </c>
      <c r="DA61" s="1468">
        <v>1</v>
      </c>
      <c r="DB61" s="1468">
        <v>105</v>
      </c>
      <c r="DC61" s="1468">
        <v>1559</v>
      </c>
      <c r="DD61" s="1468">
        <v>303</v>
      </c>
      <c r="DE61" s="1468">
        <v>134</v>
      </c>
      <c r="DF61" s="929"/>
      <c r="DG61" s="1468">
        <v>0</v>
      </c>
      <c r="DH61" s="1468">
        <v>15</v>
      </c>
      <c r="DI61" s="1468">
        <v>161</v>
      </c>
      <c r="DJ61" s="1468">
        <v>501</v>
      </c>
      <c r="DK61" s="929"/>
      <c r="DL61" s="1468">
        <v>2983</v>
      </c>
      <c r="DM61" s="814">
        <f t="shared" si="8"/>
        <v>0.67817633255112308</v>
      </c>
      <c r="DO61" s="1094"/>
      <c r="DP61" s="1094"/>
      <c r="DQ61" s="1469" t="s">
        <v>51</v>
      </c>
      <c r="DR61" s="1470">
        <v>38</v>
      </c>
      <c r="DS61" s="1470">
        <v>25</v>
      </c>
      <c r="DT61" s="1470">
        <v>0</v>
      </c>
      <c r="DU61" s="1470">
        <v>34</v>
      </c>
      <c r="DV61" s="1470">
        <v>195</v>
      </c>
      <c r="DW61" s="1470">
        <v>40</v>
      </c>
      <c r="DX61" s="1470">
        <v>41</v>
      </c>
      <c r="DY61" s="1470">
        <v>0</v>
      </c>
      <c r="DZ61" s="1470">
        <v>7</v>
      </c>
      <c r="EA61" s="1470">
        <v>30</v>
      </c>
      <c r="EB61" s="1470">
        <v>103</v>
      </c>
      <c r="EC61" s="1470">
        <v>132</v>
      </c>
      <c r="ED61" s="1470">
        <v>0</v>
      </c>
      <c r="EE61" s="1470">
        <v>1</v>
      </c>
      <c r="EF61" s="1470">
        <v>646</v>
      </c>
      <c r="EG61" s="1471">
        <f t="shared" si="9"/>
        <v>0.48892988929889297</v>
      </c>
      <c r="EI61" s="163"/>
      <c r="EJ61" s="163"/>
      <c r="EK61" s="80" t="s">
        <v>51</v>
      </c>
      <c r="EL61" s="80">
        <v>40</v>
      </c>
      <c r="EM61" s="80">
        <v>20</v>
      </c>
      <c r="EN61" s="80">
        <v>0</v>
      </c>
      <c r="EO61" s="80">
        <v>39</v>
      </c>
      <c r="EP61" s="80">
        <v>182</v>
      </c>
      <c r="EQ61" s="80">
        <v>42</v>
      </c>
      <c r="ER61" s="80">
        <v>41</v>
      </c>
      <c r="ES61" s="80"/>
      <c r="ET61" s="80">
        <v>6</v>
      </c>
      <c r="EU61" s="80">
        <v>25</v>
      </c>
      <c r="EV61" s="80">
        <v>93</v>
      </c>
      <c r="EW61" s="80">
        <v>140</v>
      </c>
      <c r="EX61" s="80"/>
      <c r="EY61" s="80">
        <v>1</v>
      </c>
      <c r="EZ61" s="80">
        <v>629</v>
      </c>
      <c r="FA61" s="1472">
        <f t="shared" si="1"/>
        <v>0.46542056074766353</v>
      </c>
      <c r="FB61" s="80"/>
      <c r="FC61" s="681"/>
      <c r="FD61" s="681"/>
      <c r="FE61" s="681" t="s">
        <v>51</v>
      </c>
      <c r="FF61" s="1473">
        <v>40</v>
      </c>
      <c r="FG61" s="1473">
        <v>11</v>
      </c>
      <c r="FH61" s="1473" t="s">
        <v>332</v>
      </c>
      <c r="FI61" s="1473">
        <v>35</v>
      </c>
      <c r="FJ61" s="1473">
        <v>157</v>
      </c>
      <c r="FK61" s="1473">
        <v>39</v>
      </c>
      <c r="FL61" s="1473">
        <v>38</v>
      </c>
      <c r="FM61" s="1473" t="s">
        <v>332</v>
      </c>
      <c r="FN61" s="1473">
        <v>6</v>
      </c>
      <c r="FO61" s="1473">
        <v>30</v>
      </c>
      <c r="FP61" s="1473">
        <v>153</v>
      </c>
      <c r="FQ61" s="1473" t="s">
        <v>332</v>
      </c>
      <c r="FR61" s="1473">
        <v>509</v>
      </c>
      <c r="FS61" s="1473">
        <f t="shared" si="2"/>
        <v>226</v>
      </c>
      <c r="FT61" s="1474">
        <f t="shared" si="3"/>
        <v>0.44400785854616898</v>
      </c>
      <c r="FU61" s="80"/>
      <c r="FV61" s="80"/>
    </row>
    <row r="62" spans="1:178">
      <c r="A62" s="73"/>
      <c r="B62" s="73"/>
      <c r="C62" s="73" t="s">
        <v>20</v>
      </c>
      <c r="D62" s="161">
        <v>78</v>
      </c>
      <c r="E62" s="161">
        <v>70</v>
      </c>
      <c r="F62" s="161"/>
      <c r="G62" s="161">
        <v>0</v>
      </c>
      <c r="H62" s="161">
        <v>467</v>
      </c>
      <c r="I62" s="161">
        <v>145</v>
      </c>
      <c r="J62" s="161">
        <v>69</v>
      </c>
      <c r="K62" s="161"/>
      <c r="L62" s="161"/>
      <c r="M62" s="161">
        <v>15</v>
      </c>
      <c r="N62" s="161">
        <v>105</v>
      </c>
      <c r="O62" s="161"/>
      <c r="P62" s="161">
        <v>217</v>
      </c>
      <c r="Q62" s="161">
        <v>0</v>
      </c>
      <c r="R62" s="161">
        <v>1166</v>
      </c>
      <c r="S62" s="4680">
        <f t="shared" si="4"/>
        <v>0.61492281303602059</v>
      </c>
      <c r="U62" s="73"/>
      <c r="V62" s="73"/>
      <c r="W62" s="73" t="s">
        <v>20</v>
      </c>
      <c r="X62" s="161">
        <v>73</v>
      </c>
      <c r="Y62" s="161">
        <v>86</v>
      </c>
      <c r="Z62" s="161"/>
      <c r="AA62" s="161">
        <v>52</v>
      </c>
      <c r="AB62" s="161">
        <v>478</v>
      </c>
      <c r="AC62" s="161">
        <v>148</v>
      </c>
      <c r="AD62" s="161">
        <v>70</v>
      </c>
      <c r="AE62" s="161"/>
      <c r="AF62" s="161"/>
      <c r="AG62" s="161">
        <v>17</v>
      </c>
      <c r="AH62" s="161">
        <v>93</v>
      </c>
      <c r="AI62" s="161"/>
      <c r="AJ62" s="161">
        <v>211</v>
      </c>
      <c r="AK62" s="161">
        <v>2</v>
      </c>
      <c r="AL62" s="161">
        <v>1230</v>
      </c>
      <c r="AM62" s="2585">
        <f t="shared" si="0"/>
        <v>0.58550488599348538</v>
      </c>
      <c r="AN62" s="3196"/>
      <c r="AO62" s="73"/>
      <c r="AP62" s="73"/>
      <c r="AQ62" s="73" t="s">
        <v>20</v>
      </c>
      <c r="AR62" s="161">
        <v>66</v>
      </c>
      <c r="AS62" s="161">
        <v>81</v>
      </c>
      <c r="AT62" s="161">
        <v>0</v>
      </c>
      <c r="AU62" s="161">
        <v>51</v>
      </c>
      <c r="AV62" s="161">
        <v>519</v>
      </c>
      <c r="AW62" s="161">
        <v>134</v>
      </c>
      <c r="AX62" s="161">
        <v>59</v>
      </c>
      <c r="AY62" s="161"/>
      <c r="AZ62" s="161">
        <v>0</v>
      </c>
      <c r="BA62" s="161">
        <v>22</v>
      </c>
      <c r="BB62" s="161">
        <v>107</v>
      </c>
      <c r="BC62" s="161"/>
      <c r="BD62" s="161">
        <v>205</v>
      </c>
      <c r="BE62" s="161">
        <v>6</v>
      </c>
      <c r="BF62" s="161">
        <v>1250</v>
      </c>
      <c r="BG62" s="2585">
        <f t="shared" si="5"/>
        <v>0.61093247588424437</v>
      </c>
      <c r="BI62" s="2140"/>
      <c r="BJ62" s="2140"/>
      <c r="BK62" s="2148" t="s">
        <v>20</v>
      </c>
      <c r="BL62" s="2149">
        <v>80</v>
      </c>
      <c r="BM62" s="2149">
        <v>77</v>
      </c>
      <c r="BN62" s="2150"/>
      <c r="BO62" s="2149">
        <v>51</v>
      </c>
      <c r="BP62" s="2149">
        <v>536</v>
      </c>
      <c r="BQ62" s="2149">
        <v>119</v>
      </c>
      <c r="BR62" s="2149">
        <v>70</v>
      </c>
      <c r="BS62" s="2150"/>
      <c r="BT62" s="2149">
        <v>0</v>
      </c>
      <c r="BU62" s="2149">
        <v>16</v>
      </c>
      <c r="BV62" s="2149">
        <v>108</v>
      </c>
      <c r="BW62" s="2150"/>
      <c r="BX62" s="2149">
        <v>206</v>
      </c>
      <c r="BY62" s="2149">
        <v>5</v>
      </c>
      <c r="BZ62" s="2149">
        <v>1268</v>
      </c>
      <c r="CA62" s="2151">
        <f t="shared" si="6"/>
        <v>0.60411718131433101</v>
      </c>
      <c r="CC62" s="1452"/>
      <c r="CD62" s="1452"/>
      <c r="CE62" s="1465" t="s">
        <v>20</v>
      </c>
      <c r="CF62" s="1466">
        <v>91</v>
      </c>
      <c r="CG62" s="1466">
        <v>64</v>
      </c>
      <c r="CH62" s="1452"/>
      <c r="CI62" s="1466">
        <v>80</v>
      </c>
      <c r="CJ62" s="1466">
        <v>549</v>
      </c>
      <c r="CK62" s="1466">
        <v>130</v>
      </c>
      <c r="CL62" s="1466">
        <v>98</v>
      </c>
      <c r="CM62" s="1452"/>
      <c r="CN62" s="1466">
        <v>0</v>
      </c>
      <c r="CO62" s="1466">
        <v>21</v>
      </c>
      <c r="CP62" s="1466">
        <v>90</v>
      </c>
      <c r="CQ62" s="1466">
        <v>282</v>
      </c>
      <c r="CR62" s="1452"/>
      <c r="CS62" s="1466">
        <v>1405</v>
      </c>
      <c r="CT62" s="814">
        <f t="shared" si="7"/>
        <v>0.5473309608540925</v>
      </c>
      <c r="CV62" s="929"/>
      <c r="CW62" s="929"/>
      <c r="CX62" s="1467" t="s">
        <v>20</v>
      </c>
      <c r="CY62" s="1468">
        <v>69</v>
      </c>
      <c r="CZ62" s="1468">
        <v>86</v>
      </c>
      <c r="DA62" s="1468">
        <v>0</v>
      </c>
      <c r="DB62" s="1468">
        <v>93</v>
      </c>
      <c r="DC62" s="1468">
        <v>536</v>
      </c>
      <c r="DD62" s="1468">
        <v>156</v>
      </c>
      <c r="DE62" s="1468">
        <v>87</v>
      </c>
      <c r="DF62" s="929"/>
      <c r="DG62" s="1468">
        <v>0</v>
      </c>
      <c r="DH62" s="1468">
        <v>10</v>
      </c>
      <c r="DI62" s="1468">
        <v>80</v>
      </c>
      <c r="DJ62" s="1468">
        <v>312</v>
      </c>
      <c r="DK62" s="929"/>
      <c r="DL62" s="1468">
        <v>1429</v>
      </c>
      <c r="DM62" s="814">
        <f t="shared" si="8"/>
        <v>0.54023792862141362</v>
      </c>
      <c r="DO62" s="1094"/>
      <c r="DP62" s="1094"/>
      <c r="DQ62" s="1458" t="s">
        <v>573</v>
      </c>
      <c r="DR62" s="1480">
        <v>563</v>
      </c>
      <c r="DS62" s="1480">
        <v>321</v>
      </c>
      <c r="DT62" s="1480">
        <v>0</v>
      </c>
      <c r="DU62" s="1480">
        <v>480</v>
      </c>
      <c r="DV62" s="1480">
        <v>3895</v>
      </c>
      <c r="DW62" s="1480">
        <v>888</v>
      </c>
      <c r="DX62" s="1480">
        <v>640</v>
      </c>
      <c r="DY62" s="1480">
        <v>0</v>
      </c>
      <c r="DZ62" s="1480">
        <v>107</v>
      </c>
      <c r="EA62" s="1480">
        <v>605</v>
      </c>
      <c r="EB62" s="1480">
        <v>1565</v>
      </c>
      <c r="EC62" s="1480">
        <v>2081</v>
      </c>
      <c r="ED62" s="1480">
        <v>0</v>
      </c>
      <c r="EE62" s="1480">
        <v>57</v>
      </c>
      <c r="EF62" s="1480">
        <v>11202</v>
      </c>
      <c r="EG62" s="1481">
        <f t="shared" si="9"/>
        <v>0.56242171189979118</v>
      </c>
      <c r="EI62" s="163"/>
      <c r="EJ62" s="163"/>
      <c r="EK62" s="80" t="s">
        <v>15</v>
      </c>
      <c r="EL62" s="80">
        <v>549</v>
      </c>
      <c r="EM62" s="80">
        <v>316</v>
      </c>
      <c r="EN62" s="80">
        <v>1</v>
      </c>
      <c r="EO62" s="80">
        <v>495</v>
      </c>
      <c r="EP62" s="80">
        <v>3878</v>
      </c>
      <c r="EQ62" s="80">
        <v>807</v>
      </c>
      <c r="ER62" s="80">
        <v>623</v>
      </c>
      <c r="ES62" s="80"/>
      <c r="ET62" s="80">
        <v>70</v>
      </c>
      <c r="EU62" s="80">
        <v>657</v>
      </c>
      <c r="EV62" s="80">
        <v>1462</v>
      </c>
      <c r="EW62" s="80">
        <v>2203</v>
      </c>
      <c r="EX62" s="80"/>
      <c r="EY62" s="80">
        <v>53</v>
      </c>
      <c r="EZ62" s="80">
        <v>11114</v>
      </c>
      <c r="FA62" s="1472">
        <f t="shared" si="1"/>
        <v>0.55651630378164396</v>
      </c>
      <c r="FB62" s="80"/>
      <c r="FC62" s="681"/>
      <c r="FD62" s="681"/>
      <c r="FE62" s="1482" t="s">
        <v>15</v>
      </c>
      <c r="FF62" s="1483">
        <v>532</v>
      </c>
      <c r="FG62" s="1483">
        <v>318</v>
      </c>
      <c r="FH62" s="1483">
        <v>1</v>
      </c>
      <c r="FI62" s="1483">
        <v>474</v>
      </c>
      <c r="FJ62" s="1483">
        <v>3658</v>
      </c>
      <c r="FK62" s="1483">
        <v>834</v>
      </c>
      <c r="FL62" s="1483">
        <v>641</v>
      </c>
      <c r="FM62" s="1483" t="s">
        <v>332</v>
      </c>
      <c r="FN62" s="1483">
        <v>87</v>
      </c>
      <c r="FO62" s="1483">
        <v>762</v>
      </c>
      <c r="FP62" s="1483">
        <v>2254</v>
      </c>
      <c r="FQ62" s="1483" t="s">
        <v>332</v>
      </c>
      <c r="FR62" s="1483">
        <v>9561</v>
      </c>
      <c r="FS62" s="1483">
        <f t="shared" si="2"/>
        <v>5254</v>
      </c>
      <c r="FT62" s="1484">
        <f t="shared" si="3"/>
        <v>0.54952410835686649</v>
      </c>
      <c r="FU62" s="80"/>
      <c r="FV62" s="80"/>
    </row>
    <row r="63" spans="1:178">
      <c r="A63" s="73"/>
      <c r="B63" s="73"/>
      <c r="C63" s="73" t="s">
        <v>51</v>
      </c>
      <c r="D63" s="161">
        <v>51</v>
      </c>
      <c r="E63" s="161">
        <v>34</v>
      </c>
      <c r="F63" s="161"/>
      <c r="G63" s="161">
        <v>0</v>
      </c>
      <c r="H63" s="161">
        <v>186</v>
      </c>
      <c r="I63" s="161">
        <v>49</v>
      </c>
      <c r="J63" s="161">
        <v>30</v>
      </c>
      <c r="K63" s="161"/>
      <c r="L63" s="161"/>
      <c r="M63" s="161">
        <v>19</v>
      </c>
      <c r="N63" s="161">
        <v>37</v>
      </c>
      <c r="O63" s="161"/>
      <c r="P63" s="161">
        <v>83</v>
      </c>
      <c r="Q63" s="161">
        <v>0</v>
      </c>
      <c r="R63" s="161">
        <v>489</v>
      </c>
      <c r="S63" s="4680">
        <f t="shared" si="4"/>
        <v>0.55623721881390598</v>
      </c>
      <c r="U63" s="73"/>
      <c r="V63" s="73"/>
      <c r="W63" s="73" t="s">
        <v>51</v>
      </c>
      <c r="X63" s="161">
        <v>36</v>
      </c>
      <c r="Y63" s="161">
        <v>24</v>
      </c>
      <c r="Z63" s="161"/>
      <c r="AA63" s="161">
        <v>21</v>
      </c>
      <c r="AB63" s="161">
        <v>188</v>
      </c>
      <c r="AC63" s="161">
        <v>54</v>
      </c>
      <c r="AD63" s="161">
        <v>30</v>
      </c>
      <c r="AE63" s="161"/>
      <c r="AF63" s="161"/>
      <c r="AG63" s="161">
        <v>7</v>
      </c>
      <c r="AH63" s="161">
        <v>37</v>
      </c>
      <c r="AI63" s="161"/>
      <c r="AJ63" s="161">
        <v>82</v>
      </c>
      <c r="AK63" s="161">
        <v>0</v>
      </c>
      <c r="AL63" s="161">
        <v>479</v>
      </c>
      <c r="AM63" s="2585">
        <f t="shared" si="0"/>
        <v>0.58246346555323592</v>
      </c>
      <c r="AN63" s="3196"/>
      <c r="AO63" s="73"/>
      <c r="AP63" s="73"/>
      <c r="AQ63" s="73" t="s">
        <v>51</v>
      </c>
      <c r="AR63" s="161">
        <v>34</v>
      </c>
      <c r="AS63" s="161">
        <v>31</v>
      </c>
      <c r="AT63" s="161">
        <v>0</v>
      </c>
      <c r="AU63" s="161">
        <v>22</v>
      </c>
      <c r="AV63" s="161">
        <v>207</v>
      </c>
      <c r="AW63" s="161">
        <v>43</v>
      </c>
      <c r="AX63" s="161">
        <v>32</v>
      </c>
      <c r="AY63" s="161"/>
      <c r="AZ63" s="161">
        <v>0</v>
      </c>
      <c r="BA63" s="161">
        <v>2</v>
      </c>
      <c r="BB63" s="161">
        <v>33</v>
      </c>
      <c r="BC63" s="161"/>
      <c r="BD63" s="161">
        <v>84</v>
      </c>
      <c r="BE63" s="161">
        <v>0</v>
      </c>
      <c r="BF63" s="161">
        <v>488</v>
      </c>
      <c r="BG63" s="2585">
        <f t="shared" si="5"/>
        <v>0.57991803278688525</v>
      </c>
      <c r="BI63" s="2140"/>
      <c r="BJ63" s="2140"/>
      <c r="BK63" s="2148" t="s">
        <v>51</v>
      </c>
      <c r="BL63" s="2149">
        <v>41</v>
      </c>
      <c r="BM63" s="2149">
        <v>23</v>
      </c>
      <c r="BN63" s="2150"/>
      <c r="BO63" s="2149">
        <v>24</v>
      </c>
      <c r="BP63" s="2149">
        <v>212</v>
      </c>
      <c r="BQ63" s="2149">
        <v>43</v>
      </c>
      <c r="BR63" s="2149">
        <v>23</v>
      </c>
      <c r="BS63" s="2150"/>
      <c r="BT63" s="2149">
        <v>0</v>
      </c>
      <c r="BU63" s="2149">
        <v>5</v>
      </c>
      <c r="BV63" s="2149">
        <v>30</v>
      </c>
      <c r="BW63" s="2150"/>
      <c r="BX63" s="2149">
        <v>92</v>
      </c>
      <c r="BY63" s="2149">
        <v>0</v>
      </c>
      <c r="BZ63" s="2149">
        <v>493</v>
      </c>
      <c r="CA63" s="2151">
        <f t="shared" si="6"/>
        <v>0.57809330628803246</v>
      </c>
      <c r="CC63" s="1452"/>
      <c r="CD63" s="1452"/>
      <c r="CE63" s="1465" t="s">
        <v>51</v>
      </c>
      <c r="CF63" s="1466">
        <v>33</v>
      </c>
      <c r="CG63" s="1466">
        <v>20</v>
      </c>
      <c r="CH63" s="1452"/>
      <c r="CI63" s="1466">
        <v>39</v>
      </c>
      <c r="CJ63" s="1466">
        <v>211</v>
      </c>
      <c r="CK63" s="1466">
        <v>46</v>
      </c>
      <c r="CL63" s="1466">
        <v>37</v>
      </c>
      <c r="CM63" s="1452"/>
      <c r="CN63" s="1466">
        <v>0</v>
      </c>
      <c r="CO63" s="1466">
        <v>7</v>
      </c>
      <c r="CP63" s="1466">
        <v>37</v>
      </c>
      <c r="CQ63" s="1466">
        <v>118</v>
      </c>
      <c r="CR63" s="1452"/>
      <c r="CS63" s="1466">
        <v>548</v>
      </c>
      <c r="CT63" s="814">
        <f t="shared" si="7"/>
        <v>0.53649635036496346</v>
      </c>
      <c r="CV63" s="929"/>
      <c r="CW63" s="929"/>
      <c r="CX63" s="1467" t="s">
        <v>51</v>
      </c>
      <c r="CY63" s="1468">
        <v>28</v>
      </c>
      <c r="CZ63" s="1468">
        <v>36</v>
      </c>
      <c r="DA63" s="1468">
        <v>0</v>
      </c>
      <c r="DB63" s="1468">
        <v>35</v>
      </c>
      <c r="DC63" s="1468">
        <v>202</v>
      </c>
      <c r="DD63" s="1468">
        <v>52</v>
      </c>
      <c r="DE63" s="1468">
        <v>32</v>
      </c>
      <c r="DF63" s="929"/>
      <c r="DG63" s="1468">
        <v>0</v>
      </c>
      <c r="DH63" s="1468">
        <v>4</v>
      </c>
      <c r="DI63" s="1468">
        <v>38</v>
      </c>
      <c r="DJ63" s="1468">
        <v>123</v>
      </c>
      <c r="DK63" s="929"/>
      <c r="DL63" s="1468">
        <v>550</v>
      </c>
      <c r="DM63" s="814">
        <f t="shared" si="8"/>
        <v>0.53090909090909089</v>
      </c>
      <c r="DO63" s="1094"/>
      <c r="DP63" s="1094" t="s">
        <v>41</v>
      </c>
      <c r="DQ63" s="1469" t="s">
        <v>42</v>
      </c>
      <c r="DR63" s="1470">
        <v>70</v>
      </c>
      <c r="DS63" s="1470">
        <v>27</v>
      </c>
      <c r="DT63" s="1470">
        <v>0</v>
      </c>
      <c r="DU63" s="1470">
        <v>111</v>
      </c>
      <c r="DV63" s="1470">
        <v>442</v>
      </c>
      <c r="DW63" s="1470">
        <v>226</v>
      </c>
      <c r="DX63" s="1470">
        <v>68</v>
      </c>
      <c r="DY63" s="1470">
        <v>0</v>
      </c>
      <c r="DZ63" s="1470">
        <v>4</v>
      </c>
      <c r="EA63" s="1470">
        <v>213</v>
      </c>
      <c r="EB63" s="1470">
        <v>303</v>
      </c>
      <c r="EC63" s="1470">
        <v>269</v>
      </c>
      <c r="ED63" s="1470">
        <v>2</v>
      </c>
      <c r="EE63" s="1470">
        <v>8</v>
      </c>
      <c r="EF63" s="1470">
        <v>1743</v>
      </c>
      <c r="EG63" s="1471">
        <f t="shared" si="9"/>
        <v>0.61522346368715086</v>
      </c>
      <c r="EI63" s="163"/>
      <c r="EJ63" s="163" t="s">
        <v>41</v>
      </c>
      <c r="EK63" s="80" t="s">
        <v>42</v>
      </c>
      <c r="EL63" s="80">
        <v>70</v>
      </c>
      <c r="EM63" s="80">
        <v>41</v>
      </c>
      <c r="EN63" s="80"/>
      <c r="EO63" s="80">
        <v>106</v>
      </c>
      <c r="EP63" s="80">
        <v>414</v>
      </c>
      <c r="EQ63" s="80">
        <v>198</v>
      </c>
      <c r="ER63" s="80">
        <v>70</v>
      </c>
      <c r="ES63" s="80"/>
      <c r="ET63" s="80">
        <v>3</v>
      </c>
      <c r="EU63" s="80">
        <v>223</v>
      </c>
      <c r="EV63" s="80">
        <v>287</v>
      </c>
      <c r="EW63" s="80">
        <v>280</v>
      </c>
      <c r="EX63" s="80">
        <v>2</v>
      </c>
      <c r="EY63" s="80">
        <v>8</v>
      </c>
      <c r="EZ63" s="80">
        <v>1702</v>
      </c>
      <c r="FA63" s="1472">
        <f t="shared" si="1"/>
        <v>0.59346126510305619</v>
      </c>
      <c r="FB63" s="80"/>
      <c r="FC63" s="681"/>
      <c r="FD63" s="681" t="s">
        <v>41</v>
      </c>
      <c r="FE63" s="681" t="s">
        <v>42</v>
      </c>
      <c r="FF63" s="1473">
        <v>85</v>
      </c>
      <c r="FG63" s="1473">
        <v>30</v>
      </c>
      <c r="FH63" s="1473" t="s">
        <v>332</v>
      </c>
      <c r="FI63" s="1473">
        <v>89</v>
      </c>
      <c r="FJ63" s="1473">
        <v>365</v>
      </c>
      <c r="FK63" s="1473">
        <v>194</v>
      </c>
      <c r="FL63" s="1473">
        <v>64</v>
      </c>
      <c r="FM63" s="1473" t="s">
        <v>332</v>
      </c>
      <c r="FN63" s="1473">
        <v>4</v>
      </c>
      <c r="FO63" s="1473">
        <v>228</v>
      </c>
      <c r="FP63" s="1473">
        <v>298</v>
      </c>
      <c r="FQ63" s="1473">
        <v>2</v>
      </c>
      <c r="FR63" s="1473">
        <v>1359</v>
      </c>
      <c r="FS63" s="1473">
        <f t="shared" si="2"/>
        <v>787</v>
      </c>
      <c r="FT63" s="1474">
        <f t="shared" si="3"/>
        <v>0.57910228108903605</v>
      </c>
      <c r="FU63" s="80"/>
      <c r="FV63" s="80"/>
    </row>
    <row r="64" spans="1:178">
      <c r="A64" s="73"/>
      <c r="B64" s="73"/>
      <c r="C64" s="738" t="s">
        <v>573</v>
      </c>
      <c r="D64" s="4667">
        <v>553</v>
      </c>
      <c r="E64" s="4667">
        <v>418</v>
      </c>
      <c r="F64" s="4667"/>
      <c r="G64" s="4667">
        <v>3</v>
      </c>
      <c r="H64" s="4667">
        <v>3468</v>
      </c>
      <c r="I64" s="4667">
        <v>934</v>
      </c>
      <c r="J64" s="4667">
        <v>417</v>
      </c>
      <c r="K64" s="4667"/>
      <c r="L64" s="4667"/>
      <c r="M64" s="4667">
        <v>113</v>
      </c>
      <c r="N64" s="4667">
        <v>821</v>
      </c>
      <c r="O64" s="4667"/>
      <c r="P64" s="4667">
        <v>1391</v>
      </c>
      <c r="Q64" s="4667">
        <v>1</v>
      </c>
      <c r="R64" s="4667">
        <v>8119</v>
      </c>
      <c r="S64" s="4680">
        <f t="shared" si="4"/>
        <v>0.64338507021433855</v>
      </c>
      <c r="U64" s="73"/>
      <c r="V64" s="73"/>
      <c r="W64" s="738" t="s">
        <v>573</v>
      </c>
      <c r="X64" s="151">
        <v>590</v>
      </c>
      <c r="Y64" s="151">
        <v>477</v>
      </c>
      <c r="Z64" s="151"/>
      <c r="AA64" s="151">
        <v>266</v>
      </c>
      <c r="AB64" s="151">
        <v>3395</v>
      </c>
      <c r="AC64" s="151">
        <v>1038</v>
      </c>
      <c r="AD64" s="151">
        <v>473</v>
      </c>
      <c r="AE64" s="151"/>
      <c r="AF64" s="151"/>
      <c r="AG64" s="151">
        <v>83</v>
      </c>
      <c r="AH64" s="151">
        <v>755</v>
      </c>
      <c r="AI64" s="151"/>
      <c r="AJ64" s="151">
        <v>1316</v>
      </c>
      <c r="AK64" s="151">
        <v>10</v>
      </c>
      <c r="AL64" s="151">
        <v>8403</v>
      </c>
      <c r="AM64" s="912">
        <f t="shared" si="0"/>
        <v>0.61813415941856309</v>
      </c>
      <c r="AN64" s="3197"/>
      <c r="AO64" s="73"/>
      <c r="AP64" s="73"/>
      <c r="AQ64" s="738" t="s">
        <v>573</v>
      </c>
      <c r="AR64" s="151">
        <v>504</v>
      </c>
      <c r="AS64" s="151">
        <v>492</v>
      </c>
      <c r="AT64" s="151">
        <v>1</v>
      </c>
      <c r="AU64" s="151">
        <v>259</v>
      </c>
      <c r="AV64" s="151">
        <v>3560</v>
      </c>
      <c r="AW64" s="151">
        <v>902</v>
      </c>
      <c r="AX64" s="151">
        <v>435</v>
      </c>
      <c r="AY64" s="151"/>
      <c r="AZ64" s="151">
        <v>1</v>
      </c>
      <c r="BA64" s="151">
        <v>136</v>
      </c>
      <c r="BB64" s="151">
        <v>754</v>
      </c>
      <c r="BC64" s="151"/>
      <c r="BD64" s="151">
        <v>1282</v>
      </c>
      <c r="BE64" s="151">
        <v>17</v>
      </c>
      <c r="BF64" s="151">
        <v>8343</v>
      </c>
      <c r="BG64" s="912">
        <f t="shared" si="5"/>
        <v>0.62647129473937069</v>
      </c>
      <c r="BI64" s="2140"/>
      <c r="BJ64" s="2140"/>
      <c r="BK64" s="2142" t="s">
        <v>573</v>
      </c>
      <c r="BL64" s="2152">
        <v>539</v>
      </c>
      <c r="BM64" s="2152">
        <v>421</v>
      </c>
      <c r="BN64" s="2153"/>
      <c r="BO64" s="2152">
        <v>282</v>
      </c>
      <c r="BP64" s="2152">
        <v>3782</v>
      </c>
      <c r="BQ64" s="2152">
        <v>821</v>
      </c>
      <c r="BR64" s="2152">
        <v>478</v>
      </c>
      <c r="BS64" s="2153"/>
      <c r="BT64" s="2152">
        <v>1</v>
      </c>
      <c r="BU64" s="2152">
        <v>109</v>
      </c>
      <c r="BV64" s="2152">
        <v>702</v>
      </c>
      <c r="BW64" s="2153"/>
      <c r="BX64" s="2152">
        <v>1345</v>
      </c>
      <c r="BY64" s="2152">
        <v>19</v>
      </c>
      <c r="BZ64" s="2152">
        <v>8499</v>
      </c>
      <c r="CA64" s="2154">
        <f t="shared" si="6"/>
        <v>0.62558962264150941</v>
      </c>
      <c r="CC64" s="1452"/>
      <c r="CD64" s="1452"/>
      <c r="CE64" s="1475" t="s">
        <v>573</v>
      </c>
      <c r="CF64" s="1476">
        <v>527</v>
      </c>
      <c r="CG64" s="1476">
        <v>431</v>
      </c>
      <c r="CH64" s="1477"/>
      <c r="CI64" s="1476">
        <v>423</v>
      </c>
      <c r="CJ64" s="1476">
        <v>3908</v>
      </c>
      <c r="CK64" s="1476">
        <v>933</v>
      </c>
      <c r="CL64" s="1476">
        <v>596</v>
      </c>
      <c r="CM64" s="1477"/>
      <c r="CN64" s="1476">
        <v>1</v>
      </c>
      <c r="CO64" s="1476">
        <v>109</v>
      </c>
      <c r="CP64" s="1476">
        <v>674</v>
      </c>
      <c r="CQ64" s="1476">
        <v>1851</v>
      </c>
      <c r="CR64" s="1476"/>
      <c r="CS64" s="1476">
        <v>9453</v>
      </c>
      <c r="CT64" s="1478">
        <f t="shared" si="7"/>
        <v>0.58341267322543111</v>
      </c>
      <c r="CV64" s="929"/>
      <c r="CW64" s="929"/>
      <c r="CX64" s="1090" t="s">
        <v>573</v>
      </c>
      <c r="CY64" s="1479">
        <v>458</v>
      </c>
      <c r="CZ64" s="1479">
        <v>489</v>
      </c>
      <c r="DA64" s="1479">
        <v>1</v>
      </c>
      <c r="DB64" s="1479">
        <v>447</v>
      </c>
      <c r="DC64" s="1479">
        <v>3875</v>
      </c>
      <c r="DD64" s="1479">
        <v>1007</v>
      </c>
      <c r="DE64" s="1479">
        <v>538</v>
      </c>
      <c r="DF64" s="1093"/>
      <c r="DG64" s="1479">
        <v>1</v>
      </c>
      <c r="DH64" s="1479">
        <v>70</v>
      </c>
      <c r="DI64" s="1479">
        <v>645</v>
      </c>
      <c r="DJ64" s="1479">
        <v>1932</v>
      </c>
      <c r="DK64" s="1093"/>
      <c r="DL64" s="1479">
        <v>9463</v>
      </c>
      <c r="DM64" s="803">
        <f t="shared" si="8"/>
        <v>0.5840642502377682</v>
      </c>
      <c r="DO64" s="1094"/>
      <c r="DP64" s="1094"/>
      <c r="DQ64" s="1469" t="s">
        <v>52</v>
      </c>
      <c r="DR64" s="1470">
        <v>29</v>
      </c>
      <c r="DS64" s="1470">
        <v>13</v>
      </c>
      <c r="DT64" s="1470">
        <v>0</v>
      </c>
      <c r="DU64" s="1470">
        <v>54</v>
      </c>
      <c r="DV64" s="1470">
        <v>420</v>
      </c>
      <c r="DW64" s="1470">
        <v>141</v>
      </c>
      <c r="DX64" s="1470">
        <v>33</v>
      </c>
      <c r="DY64" s="1470">
        <v>0</v>
      </c>
      <c r="DZ64" s="1470">
        <v>0</v>
      </c>
      <c r="EA64" s="1470">
        <v>143</v>
      </c>
      <c r="EB64" s="1470">
        <v>271</v>
      </c>
      <c r="EC64" s="1470">
        <v>206</v>
      </c>
      <c r="ED64" s="1470">
        <v>0</v>
      </c>
      <c r="EE64" s="1470">
        <v>3</v>
      </c>
      <c r="EF64" s="1470">
        <v>1313</v>
      </c>
      <c r="EG64" s="1471">
        <f t="shared" si="9"/>
        <v>0.67757459095283923</v>
      </c>
      <c r="EI64" s="163"/>
      <c r="EJ64" s="163"/>
      <c r="EK64" s="80" t="s">
        <v>52</v>
      </c>
      <c r="EL64" s="80">
        <v>50</v>
      </c>
      <c r="EM64" s="80">
        <v>17</v>
      </c>
      <c r="EN64" s="80"/>
      <c r="EO64" s="80">
        <v>49</v>
      </c>
      <c r="EP64" s="80">
        <v>380</v>
      </c>
      <c r="EQ64" s="80">
        <v>130</v>
      </c>
      <c r="ER64" s="80">
        <v>43</v>
      </c>
      <c r="ES64" s="80"/>
      <c r="ET64" s="80">
        <v>0</v>
      </c>
      <c r="EU64" s="80">
        <v>101</v>
      </c>
      <c r="EV64" s="80">
        <v>250</v>
      </c>
      <c r="EW64" s="80">
        <v>198</v>
      </c>
      <c r="EX64" s="80">
        <v>0</v>
      </c>
      <c r="EY64" s="80">
        <v>2</v>
      </c>
      <c r="EZ64" s="80">
        <v>1220</v>
      </c>
      <c r="FA64" s="1472">
        <f t="shared" si="1"/>
        <v>0.63119834710743805</v>
      </c>
      <c r="FB64" s="80"/>
      <c r="FC64" s="681"/>
      <c r="FD64" s="681"/>
      <c r="FE64" s="681" t="s">
        <v>52</v>
      </c>
      <c r="FF64" s="1473">
        <v>62</v>
      </c>
      <c r="FG64" s="1473">
        <v>23</v>
      </c>
      <c r="FH64" s="1473" t="s">
        <v>332</v>
      </c>
      <c r="FI64" s="1473">
        <v>46</v>
      </c>
      <c r="FJ64" s="1473">
        <v>339</v>
      </c>
      <c r="FK64" s="1473">
        <v>126</v>
      </c>
      <c r="FL64" s="1473">
        <v>52</v>
      </c>
      <c r="FM64" s="1473" t="s">
        <v>332</v>
      </c>
      <c r="FN64" s="1473" t="s">
        <v>332</v>
      </c>
      <c r="FO64" s="1473">
        <v>106</v>
      </c>
      <c r="FP64" s="1473">
        <v>194</v>
      </c>
      <c r="FQ64" s="1473" t="s">
        <v>332</v>
      </c>
      <c r="FR64" s="1473">
        <v>948</v>
      </c>
      <c r="FS64" s="1473">
        <f t="shared" si="2"/>
        <v>571</v>
      </c>
      <c r="FT64" s="1474">
        <f t="shared" si="3"/>
        <v>0.60232067510548526</v>
      </c>
      <c r="FU64" s="80"/>
      <c r="FV64" s="80"/>
    </row>
    <row r="65" spans="1:178">
      <c r="A65" s="73"/>
      <c r="B65" s="73" t="s">
        <v>41</v>
      </c>
      <c r="C65" s="73" t="s">
        <v>42</v>
      </c>
      <c r="D65" s="161">
        <v>56</v>
      </c>
      <c r="E65" s="161">
        <v>29</v>
      </c>
      <c r="F65" s="161"/>
      <c r="G65" s="161">
        <v>0</v>
      </c>
      <c r="H65" s="161">
        <v>520</v>
      </c>
      <c r="I65" s="161">
        <v>178</v>
      </c>
      <c r="J65" s="161">
        <v>37</v>
      </c>
      <c r="K65" s="161"/>
      <c r="L65" s="161">
        <v>0</v>
      </c>
      <c r="M65" s="161">
        <v>7</v>
      </c>
      <c r="N65" s="161">
        <v>250</v>
      </c>
      <c r="O65" s="161"/>
      <c r="P65" s="161">
        <v>170</v>
      </c>
      <c r="Q65" s="161">
        <v>0</v>
      </c>
      <c r="R65" s="161">
        <v>1247</v>
      </c>
      <c r="S65" s="4680">
        <f t="shared" si="4"/>
        <v>0.76022453889334407</v>
      </c>
      <c r="U65" s="73"/>
      <c r="V65" s="73" t="s">
        <v>41</v>
      </c>
      <c r="W65" s="73" t="s">
        <v>42</v>
      </c>
      <c r="X65" s="161">
        <v>68</v>
      </c>
      <c r="Y65" s="161">
        <v>37</v>
      </c>
      <c r="Z65" s="161">
        <v>0</v>
      </c>
      <c r="AA65" s="161">
        <v>67</v>
      </c>
      <c r="AB65" s="161">
        <v>506</v>
      </c>
      <c r="AC65" s="161">
        <v>164</v>
      </c>
      <c r="AD65" s="161">
        <v>60</v>
      </c>
      <c r="AE65" s="161">
        <v>0</v>
      </c>
      <c r="AF65" s="161">
        <v>0</v>
      </c>
      <c r="AG65" s="161">
        <v>5</v>
      </c>
      <c r="AH65" s="161">
        <v>242</v>
      </c>
      <c r="AI65" s="161"/>
      <c r="AJ65" s="161">
        <v>156</v>
      </c>
      <c r="AK65" s="161">
        <v>2</v>
      </c>
      <c r="AL65" s="161">
        <v>1307</v>
      </c>
      <c r="AM65" s="2585">
        <f t="shared" si="0"/>
        <v>0.69885057471264367</v>
      </c>
      <c r="AN65" s="3196"/>
      <c r="AO65" s="73"/>
      <c r="AP65" s="73" t="s">
        <v>41</v>
      </c>
      <c r="AQ65" s="73" t="s">
        <v>42</v>
      </c>
      <c r="AR65" s="161">
        <v>79</v>
      </c>
      <c r="AS65" s="161">
        <v>44</v>
      </c>
      <c r="AT65" s="161"/>
      <c r="AU65" s="161">
        <v>67</v>
      </c>
      <c r="AV65" s="161">
        <v>538</v>
      </c>
      <c r="AW65" s="161">
        <v>175</v>
      </c>
      <c r="AX65" s="161">
        <v>62</v>
      </c>
      <c r="AY65" s="161"/>
      <c r="AZ65" s="161">
        <v>0</v>
      </c>
      <c r="BA65" s="161">
        <v>5</v>
      </c>
      <c r="BB65" s="161">
        <v>204</v>
      </c>
      <c r="BC65" s="161"/>
      <c r="BD65" s="161">
        <v>163</v>
      </c>
      <c r="BE65" s="161">
        <v>5</v>
      </c>
      <c r="BF65" s="161">
        <v>1342</v>
      </c>
      <c r="BG65" s="2585">
        <f t="shared" si="5"/>
        <v>0.68586387434554974</v>
      </c>
      <c r="BI65" s="2140"/>
      <c r="BJ65" s="2140" t="s">
        <v>41</v>
      </c>
      <c r="BK65" s="2148" t="s">
        <v>42</v>
      </c>
      <c r="BL65" s="2149">
        <v>69</v>
      </c>
      <c r="BM65" s="2149">
        <v>35</v>
      </c>
      <c r="BN65" s="2150"/>
      <c r="BO65" s="2149">
        <v>63</v>
      </c>
      <c r="BP65" s="2149">
        <v>568</v>
      </c>
      <c r="BQ65" s="2149">
        <v>175</v>
      </c>
      <c r="BR65" s="2149">
        <v>61</v>
      </c>
      <c r="BS65" s="2150"/>
      <c r="BT65" s="2149">
        <v>0</v>
      </c>
      <c r="BU65" s="2149">
        <v>1</v>
      </c>
      <c r="BV65" s="2149">
        <v>199</v>
      </c>
      <c r="BW65" s="2150"/>
      <c r="BX65" s="2149">
        <v>187</v>
      </c>
      <c r="BY65" s="2149">
        <v>5</v>
      </c>
      <c r="BZ65" s="2149">
        <v>1363</v>
      </c>
      <c r="CA65" s="2151">
        <f t="shared" si="6"/>
        <v>0.69366715758468334</v>
      </c>
      <c r="CC65" s="1452"/>
      <c r="CD65" s="1452" t="s">
        <v>41</v>
      </c>
      <c r="CE65" s="1465" t="s">
        <v>42</v>
      </c>
      <c r="CF65" s="1466">
        <v>50</v>
      </c>
      <c r="CG65" s="1466">
        <v>35</v>
      </c>
      <c r="CH65" s="1466">
        <v>0</v>
      </c>
      <c r="CI65" s="1466">
        <v>98</v>
      </c>
      <c r="CJ65" s="1466">
        <v>525</v>
      </c>
      <c r="CK65" s="1466">
        <v>211</v>
      </c>
      <c r="CL65" s="1466">
        <v>68</v>
      </c>
      <c r="CM65" s="1452"/>
      <c r="CN65" s="1466">
        <v>0</v>
      </c>
      <c r="CO65" s="1466">
        <v>2</v>
      </c>
      <c r="CP65" s="1466">
        <v>238</v>
      </c>
      <c r="CQ65" s="1466">
        <v>248</v>
      </c>
      <c r="CR65" s="1466">
        <v>2</v>
      </c>
      <c r="CS65" s="1466">
        <v>1477</v>
      </c>
      <c r="CT65" s="814">
        <f t="shared" si="7"/>
        <v>0.65944482058226139</v>
      </c>
      <c r="CV65" s="929"/>
      <c r="CW65" s="929" t="s">
        <v>41</v>
      </c>
      <c r="CX65" s="1467" t="s">
        <v>42</v>
      </c>
      <c r="CY65" s="1468">
        <v>50</v>
      </c>
      <c r="CZ65" s="1468">
        <v>42</v>
      </c>
      <c r="DA65" s="929"/>
      <c r="DB65" s="1468">
        <v>107</v>
      </c>
      <c r="DC65" s="1468">
        <v>495</v>
      </c>
      <c r="DD65" s="1468">
        <v>219</v>
      </c>
      <c r="DE65" s="1468">
        <v>58</v>
      </c>
      <c r="DF65" s="929"/>
      <c r="DG65" s="929"/>
      <c r="DH65" s="1468">
        <v>1</v>
      </c>
      <c r="DI65" s="1468">
        <v>210</v>
      </c>
      <c r="DJ65" s="1468">
        <v>261</v>
      </c>
      <c r="DK65" s="1468">
        <v>2</v>
      </c>
      <c r="DL65" s="1468">
        <v>1445</v>
      </c>
      <c r="DM65" s="814">
        <f t="shared" si="8"/>
        <v>0.63944636678200695</v>
      </c>
      <c r="DO65" s="1094"/>
      <c r="DP65" s="1094"/>
      <c r="DQ65" s="1469" t="s">
        <v>53</v>
      </c>
      <c r="DR65" s="1470">
        <v>31</v>
      </c>
      <c r="DS65" s="1470">
        <v>31</v>
      </c>
      <c r="DT65" s="1470">
        <v>0</v>
      </c>
      <c r="DU65" s="1470">
        <v>32</v>
      </c>
      <c r="DV65" s="1470">
        <v>838</v>
      </c>
      <c r="DW65" s="1470">
        <v>152</v>
      </c>
      <c r="DX65" s="1470">
        <v>67</v>
      </c>
      <c r="DY65" s="1470">
        <v>0</v>
      </c>
      <c r="DZ65" s="1470">
        <v>1</v>
      </c>
      <c r="EA65" s="1470">
        <v>314</v>
      </c>
      <c r="EB65" s="1470">
        <v>339</v>
      </c>
      <c r="EC65" s="1470">
        <v>200</v>
      </c>
      <c r="ED65" s="1470">
        <v>0</v>
      </c>
      <c r="EE65" s="1470">
        <v>7</v>
      </c>
      <c r="EF65" s="1470">
        <v>2012</v>
      </c>
      <c r="EG65" s="1471">
        <f t="shared" si="9"/>
        <v>0.78271308523409366</v>
      </c>
      <c r="EI65" s="163"/>
      <c r="EJ65" s="163"/>
      <c r="EK65" s="80" t="s">
        <v>53</v>
      </c>
      <c r="EL65" s="80">
        <v>40</v>
      </c>
      <c r="EM65" s="80">
        <v>33</v>
      </c>
      <c r="EN65" s="80"/>
      <c r="EO65" s="80">
        <v>37</v>
      </c>
      <c r="EP65" s="80">
        <v>808</v>
      </c>
      <c r="EQ65" s="80">
        <v>137</v>
      </c>
      <c r="ER65" s="80">
        <v>55</v>
      </c>
      <c r="ES65" s="80"/>
      <c r="ET65" s="80">
        <v>3</v>
      </c>
      <c r="EU65" s="80">
        <v>347</v>
      </c>
      <c r="EV65" s="80">
        <v>333</v>
      </c>
      <c r="EW65" s="80">
        <v>219</v>
      </c>
      <c r="EX65" s="80">
        <v>0</v>
      </c>
      <c r="EY65" s="80">
        <v>4</v>
      </c>
      <c r="EZ65" s="80">
        <v>2016</v>
      </c>
      <c r="FA65" s="1472">
        <f t="shared" si="1"/>
        <v>0.76950565812983918</v>
      </c>
      <c r="FB65" s="80"/>
      <c r="FC65" s="681"/>
      <c r="FD65" s="681"/>
      <c r="FE65" s="681" t="s">
        <v>53</v>
      </c>
      <c r="FF65" s="1473">
        <v>47</v>
      </c>
      <c r="FG65" s="1473">
        <v>33</v>
      </c>
      <c r="FH65" s="1473" t="s">
        <v>332</v>
      </c>
      <c r="FI65" s="1473">
        <v>36</v>
      </c>
      <c r="FJ65" s="1473">
        <v>660</v>
      </c>
      <c r="FK65" s="1473">
        <v>148</v>
      </c>
      <c r="FL65" s="1473">
        <v>69</v>
      </c>
      <c r="FM65" s="1473" t="s">
        <v>332</v>
      </c>
      <c r="FN65" s="1473">
        <v>1</v>
      </c>
      <c r="FO65" s="1473">
        <v>465</v>
      </c>
      <c r="FP65" s="1473">
        <v>229</v>
      </c>
      <c r="FQ65" s="1473" t="s">
        <v>332</v>
      </c>
      <c r="FR65" s="1473">
        <v>1688</v>
      </c>
      <c r="FS65" s="1473">
        <f t="shared" si="2"/>
        <v>1273</v>
      </c>
      <c r="FT65" s="1474">
        <f t="shared" si="3"/>
        <v>0.75414691943127965</v>
      </c>
      <c r="FU65" s="80"/>
      <c r="FV65" s="80"/>
    </row>
    <row r="66" spans="1:178">
      <c r="A66" s="73"/>
      <c r="B66" s="73"/>
      <c r="C66" s="73" t="s">
        <v>52</v>
      </c>
      <c r="D66" s="161">
        <v>24</v>
      </c>
      <c r="E66" s="161">
        <v>12</v>
      </c>
      <c r="F66" s="161"/>
      <c r="G66" s="161">
        <v>1</v>
      </c>
      <c r="H66" s="161">
        <v>523</v>
      </c>
      <c r="I66" s="161">
        <v>99</v>
      </c>
      <c r="J66" s="161">
        <v>22</v>
      </c>
      <c r="K66" s="161"/>
      <c r="L66" s="161">
        <v>0</v>
      </c>
      <c r="M66" s="161">
        <v>1</v>
      </c>
      <c r="N66" s="161">
        <v>105</v>
      </c>
      <c r="O66" s="161"/>
      <c r="P66" s="161">
        <v>116</v>
      </c>
      <c r="Q66" s="161">
        <v>0</v>
      </c>
      <c r="R66" s="161">
        <v>903</v>
      </c>
      <c r="S66" s="4680">
        <f t="shared" si="4"/>
        <v>0.80509413067552604</v>
      </c>
      <c r="U66" s="73"/>
      <c r="V66" s="73"/>
      <c r="W66" s="73" t="s">
        <v>52</v>
      </c>
      <c r="X66" s="161">
        <v>17</v>
      </c>
      <c r="Y66" s="161">
        <v>13</v>
      </c>
      <c r="Z66" s="161">
        <v>0</v>
      </c>
      <c r="AA66" s="161">
        <v>50</v>
      </c>
      <c r="AB66" s="161">
        <v>473</v>
      </c>
      <c r="AC66" s="161">
        <v>138</v>
      </c>
      <c r="AD66" s="161">
        <v>27</v>
      </c>
      <c r="AE66" s="161">
        <v>0</v>
      </c>
      <c r="AF66" s="161">
        <v>0</v>
      </c>
      <c r="AG66" s="161">
        <v>2</v>
      </c>
      <c r="AH66" s="161">
        <v>124</v>
      </c>
      <c r="AI66" s="161"/>
      <c r="AJ66" s="161">
        <v>121</v>
      </c>
      <c r="AK66" s="161">
        <v>1</v>
      </c>
      <c r="AL66" s="161">
        <v>966</v>
      </c>
      <c r="AM66" s="2585">
        <f t="shared" si="0"/>
        <v>0.76165803108808294</v>
      </c>
      <c r="AN66" s="3196"/>
      <c r="AO66" s="73"/>
      <c r="AP66" s="73"/>
      <c r="AQ66" s="73" t="s">
        <v>52</v>
      </c>
      <c r="AR66" s="161">
        <v>22</v>
      </c>
      <c r="AS66" s="161">
        <v>18</v>
      </c>
      <c r="AT66" s="161"/>
      <c r="AU66" s="161">
        <v>52</v>
      </c>
      <c r="AV66" s="161">
        <v>532</v>
      </c>
      <c r="AW66" s="161">
        <v>119</v>
      </c>
      <c r="AX66" s="161">
        <v>34</v>
      </c>
      <c r="AY66" s="161"/>
      <c r="AZ66" s="161">
        <v>0</v>
      </c>
      <c r="BA66" s="161">
        <v>1</v>
      </c>
      <c r="BB66" s="161">
        <v>115</v>
      </c>
      <c r="BC66" s="161"/>
      <c r="BD66" s="161">
        <v>115</v>
      </c>
      <c r="BE66" s="161">
        <v>2</v>
      </c>
      <c r="BF66" s="161">
        <v>1010</v>
      </c>
      <c r="BG66" s="2585">
        <f t="shared" si="5"/>
        <v>0.75992063492063489</v>
      </c>
      <c r="BI66" s="2140"/>
      <c r="BJ66" s="2140"/>
      <c r="BK66" s="2148" t="s">
        <v>52</v>
      </c>
      <c r="BL66" s="2149">
        <v>34</v>
      </c>
      <c r="BM66" s="2149">
        <v>16</v>
      </c>
      <c r="BN66" s="2150"/>
      <c r="BO66" s="2149">
        <v>48</v>
      </c>
      <c r="BP66" s="2149">
        <v>561</v>
      </c>
      <c r="BQ66" s="2149">
        <v>101</v>
      </c>
      <c r="BR66" s="2149">
        <v>57</v>
      </c>
      <c r="BS66" s="2150"/>
      <c r="BT66" s="2149">
        <v>0</v>
      </c>
      <c r="BU66" s="2149">
        <v>0</v>
      </c>
      <c r="BV66" s="2149">
        <v>109</v>
      </c>
      <c r="BW66" s="2150"/>
      <c r="BX66" s="2149">
        <v>120</v>
      </c>
      <c r="BY66" s="2149">
        <v>2</v>
      </c>
      <c r="BZ66" s="2149">
        <v>1048</v>
      </c>
      <c r="CA66" s="2151">
        <f t="shared" si="6"/>
        <v>0.73709369024856597</v>
      </c>
      <c r="CC66" s="1452"/>
      <c r="CD66" s="1452"/>
      <c r="CE66" s="1465" t="s">
        <v>52</v>
      </c>
      <c r="CF66" s="1466">
        <v>39</v>
      </c>
      <c r="CG66" s="1466">
        <v>12</v>
      </c>
      <c r="CH66" s="1466">
        <v>0</v>
      </c>
      <c r="CI66" s="1466">
        <v>60</v>
      </c>
      <c r="CJ66" s="1466">
        <v>547</v>
      </c>
      <c r="CK66" s="1466">
        <v>97</v>
      </c>
      <c r="CL66" s="1466">
        <v>48</v>
      </c>
      <c r="CM66" s="1452"/>
      <c r="CN66" s="1466">
        <v>0</v>
      </c>
      <c r="CO66" s="1466">
        <v>0</v>
      </c>
      <c r="CP66" s="1466">
        <v>150</v>
      </c>
      <c r="CQ66" s="1466">
        <v>194</v>
      </c>
      <c r="CR66" s="1466">
        <v>0</v>
      </c>
      <c r="CS66" s="1466">
        <v>1147</v>
      </c>
      <c r="CT66" s="814">
        <f t="shared" si="7"/>
        <v>0.69224062772449868</v>
      </c>
      <c r="CV66" s="929"/>
      <c r="CW66" s="929"/>
      <c r="CX66" s="1467" t="s">
        <v>52</v>
      </c>
      <c r="CY66" s="1468">
        <v>24</v>
      </c>
      <c r="CZ66" s="1468">
        <v>18</v>
      </c>
      <c r="DA66" s="929"/>
      <c r="DB66" s="1468">
        <v>57</v>
      </c>
      <c r="DC66" s="1468">
        <v>476</v>
      </c>
      <c r="DD66" s="1468">
        <v>143</v>
      </c>
      <c r="DE66" s="1468">
        <v>45</v>
      </c>
      <c r="DF66" s="929"/>
      <c r="DG66" s="929"/>
      <c r="DH66" s="1468">
        <v>1</v>
      </c>
      <c r="DI66" s="1468">
        <v>141</v>
      </c>
      <c r="DJ66" s="1468">
        <v>200</v>
      </c>
      <c r="DK66" s="1468">
        <v>0</v>
      </c>
      <c r="DL66" s="1468">
        <v>1105</v>
      </c>
      <c r="DM66" s="814">
        <f t="shared" si="8"/>
        <v>0.68778280542986425</v>
      </c>
      <c r="DO66" s="1094"/>
      <c r="DP66" s="1094"/>
      <c r="DQ66" s="1469" t="s">
        <v>54</v>
      </c>
      <c r="DR66" s="1470">
        <v>119</v>
      </c>
      <c r="DS66" s="1470">
        <v>50</v>
      </c>
      <c r="DT66" s="1470">
        <v>0</v>
      </c>
      <c r="DU66" s="1470">
        <v>120</v>
      </c>
      <c r="DV66" s="1470">
        <v>755</v>
      </c>
      <c r="DW66" s="1470">
        <v>260</v>
      </c>
      <c r="DX66" s="1470">
        <v>97</v>
      </c>
      <c r="DY66" s="1470">
        <v>0</v>
      </c>
      <c r="DZ66" s="1470">
        <v>10</v>
      </c>
      <c r="EA66" s="1470">
        <v>188</v>
      </c>
      <c r="EB66" s="1470">
        <v>381</v>
      </c>
      <c r="EC66" s="1470">
        <v>358</v>
      </c>
      <c r="ED66" s="1470">
        <v>0</v>
      </c>
      <c r="EE66" s="1470">
        <v>11</v>
      </c>
      <c r="EF66" s="1470">
        <v>2349</v>
      </c>
      <c r="EG66" s="1471">
        <f t="shared" si="9"/>
        <v>0.61471640265712824</v>
      </c>
      <c r="EI66" s="163"/>
      <c r="EJ66" s="163"/>
      <c r="EK66" s="80" t="s">
        <v>54</v>
      </c>
      <c r="EL66" s="80">
        <v>162</v>
      </c>
      <c r="EM66" s="80">
        <v>55</v>
      </c>
      <c r="EN66" s="80"/>
      <c r="EO66" s="80">
        <v>125</v>
      </c>
      <c r="EP66" s="80">
        <v>722</v>
      </c>
      <c r="EQ66" s="80">
        <v>247</v>
      </c>
      <c r="ER66" s="80">
        <v>109</v>
      </c>
      <c r="ES66" s="80"/>
      <c r="ET66" s="80">
        <v>0</v>
      </c>
      <c r="EU66" s="80">
        <v>165</v>
      </c>
      <c r="EV66" s="80">
        <v>357</v>
      </c>
      <c r="EW66" s="80">
        <v>382</v>
      </c>
      <c r="EX66" s="80">
        <v>0</v>
      </c>
      <c r="EY66" s="80">
        <v>9</v>
      </c>
      <c r="EZ66" s="80">
        <v>2333</v>
      </c>
      <c r="FA66" s="1472">
        <f t="shared" si="1"/>
        <v>0.57651245551601427</v>
      </c>
      <c r="FB66" s="80"/>
      <c r="FC66" s="681"/>
      <c r="FD66" s="681"/>
      <c r="FE66" s="681" t="s">
        <v>54</v>
      </c>
      <c r="FF66" s="1473">
        <v>169</v>
      </c>
      <c r="FG66" s="1473">
        <v>47</v>
      </c>
      <c r="FH66" s="1473" t="s">
        <v>332</v>
      </c>
      <c r="FI66" s="1473">
        <v>123</v>
      </c>
      <c r="FJ66" s="1473">
        <v>678</v>
      </c>
      <c r="FK66" s="1473">
        <v>216</v>
      </c>
      <c r="FL66" s="1473">
        <v>114</v>
      </c>
      <c r="FM66" s="1473" t="s">
        <v>332</v>
      </c>
      <c r="FN66" s="1473">
        <v>4</v>
      </c>
      <c r="FO66" s="1473">
        <v>226</v>
      </c>
      <c r="FP66" s="1473">
        <v>401</v>
      </c>
      <c r="FQ66" s="1473" t="s">
        <v>332</v>
      </c>
      <c r="FR66" s="1473">
        <v>1978</v>
      </c>
      <c r="FS66" s="1473">
        <f t="shared" si="2"/>
        <v>1120</v>
      </c>
      <c r="FT66" s="1474">
        <f t="shared" si="3"/>
        <v>0.5662285136501517</v>
      </c>
      <c r="FU66" s="80"/>
      <c r="FV66" s="80"/>
    </row>
    <row r="67" spans="1:178">
      <c r="A67" s="73"/>
      <c r="B67" s="73"/>
      <c r="C67" s="73" t="s">
        <v>53</v>
      </c>
      <c r="D67" s="161">
        <v>45</v>
      </c>
      <c r="E67" s="161">
        <v>28</v>
      </c>
      <c r="F67" s="161"/>
      <c r="G67" s="161">
        <v>0</v>
      </c>
      <c r="H67" s="161">
        <v>529</v>
      </c>
      <c r="I67" s="161">
        <v>152</v>
      </c>
      <c r="J67" s="161">
        <v>22</v>
      </c>
      <c r="K67" s="161"/>
      <c r="L67" s="161">
        <v>0</v>
      </c>
      <c r="M67" s="161">
        <v>4</v>
      </c>
      <c r="N67" s="161">
        <v>323</v>
      </c>
      <c r="O67" s="161"/>
      <c r="P67" s="161">
        <v>103</v>
      </c>
      <c r="Q67" s="161">
        <v>0</v>
      </c>
      <c r="R67" s="161">
        <v>1206</v>
      </c>
      <c r="S67" s="4680">
        <f t="shared" si="4"/>
        <v>0.83250414593698174</v>
      </c>
      <c r="U67" s="73"/>
      <c r="V67" s="73"/>
      <c r="W67" s="73" t="s">
        <v>53</v>
      </c>
      <c r="X67" s="161">
        <v>57</v>
      </c>
      <c r="Y67" s="161">
        <v>34</v>
      </c>
      <c r="Z67" s="161">
        <v>0</v>
      </c>
      <c r="AA67" s="161">
        <v>15</v>
      </c>
      <c r="AB67" s="161">
        <v>534</v>
      </c>
      <c r="AC67" s="161">
        <v>157</v>
      </c>
      <c r="AD67" s="161">
        <v>29</v>
      </c>
      <c r="AE67" s="161">
        <v>0</v>
      </c>
      <c r="AF67" s="161">
        <v>0</v>
      </c>
      <c r="AG67" s="161">
        <v>3</v>
      </c>
      <c r="AH67" s="161">
        <v>292</v>
      </c>
      <c r="AI67" s="161"/>
      <c r="AJ67" s="161">
        <v>89</v>
      </c>
      <c r="AK67" s="161">
        <v>2</v>
      </c>
      <c r="AL67" s="161">
        <v>1212</v>
      </c>
      <c r="AM67" s="2585">
        <f t="shared" si="0"/>
        <v>0.81239669421487604</v>
      </c>
      <c r="AN67" s="3196"/>
      <c r="AO67" s="73"/>
      <c r="AP67" s="73"/>
      <c r="AQ67" s="73" t="s">
        <v>53</v>
      </c>
      <c r="AR67" s="161">
        <v>58</v>
      </c>
      <c r="AS67" s="161">
        <v>24</v>
      </c>
      <c r="AT67" s="161"/>
      <c r="AU67" s="161">
        <v>16</v>
      </c>
      <c r="AV67" s="161">
        <v>599</v>
      </c>
      <c r="AW67" s="161">
        <v>116</v>
      </c>
      <c r="AX67" s="161">
        <v>41</v>
      </c>
      <c r="AY67" s="161"/>
      <c r="AZ67" s="161">
        <v>0</v>
      </c>
      <c r="BA67" s="161">
        <v>2</v>
      </c>
      <c r="BB67" s="161">
        <v>303</v>
      </c>
      <c r="BC67" s="161"/>
      <c r="BD67" s="161">
        <v>91</v>
      </c>
      <c r="BE67" s="161">
        <v>2</v>
      </c>
      <c r="BF67" s="161">
        <v>1252</v>
      </c>
      <c r="BG67" s="2585">
        <f t="shared" si="5"/>
        <v>0.81440000000000001</v>
      </c>
      <c r="BI67" s="2140"/>
      <c r="BJ67" s="2140"/>
      <c r="BK67" s="2148" t="s">
        <v>53</v>
      </c>
      <c r="BL67" s="2149">
        <v>63</v>
      </c>
      <c r="BM67" s="2149">
        <v>17</v>
      </c>
      <c r="BN67" s="2150"/>
      <c r="BO67" s="2149">
        <v>17</v>
      </c>
      <c r="BP67" s="2149">
        <v>690</v>
      </c>
      <c r="BQ67" s="2149">
        <v>119</v>
      </c>
      <c r="BR67" s="2149">
        <v>49</v>
      </c>
      <c r="BS67" s="2150"/>
      <c r="BT67" s="2149">
        <v>0</v>
      </c>
      <c r="BU67" s="2149">
        <v>0</v>
      </c>
      <c r="BV67" s="2149">
        <v>297</v>
      </c>
      <c r="BW67" s="2150"/>
      <c r="BX67" s="2149">
        <v>109</v>
      </c>
      <c r="BY67" s="2149">
        <v>3</v>
      </c>
      <c r="BZ67" s="2149">
        <v>1364</v>
      </c>
      <c r="CA67" s="2151">
        <f t="shared" si="6"/>
        <v>0.81263776634827334</v>
      </c>
      <c r="CC67" s="1452"/>
      <c r="CD67" s="1452"/>
      <c r="CE67" s="1465" t="s">
        <v>53</v>
      </c>
      <c r="CF67" s="1466">
        <v>56</v>
      </c>
      <c r="CG67" s="1466">
        <v>24</v>
      </c>
      <c r="CH67" s="1466">
        <v>0</v>
      </c>
      <c r="CI67" s="1466">
        <v>24</v>
      </c>
      <c r="CJ67" s="1466">
        <v>818</v>
      </c>
      <c r="CK67" s="1466">
        <v>120</v>
      </c>
      <c r="CL67" s="1466">
        <v>49</v>
      </c>
      <c r="CM67" s="1452"/>
      <c r="CN67" s="1466">
        <v>0</v>
      </c>
      <c r="CO67" s="1466">
        <v>1</v>
      </c>
      <c r="CP67" s="1466">
        <v>296</v>
      </c>
      <c r="CQ67" s="1466">
        <v>197</v>
      </c>
      <c r="CR67" s="1466">
        <v>0</v>
      </c>
      <c r="CS67" s="1466">
        <v>1585</v>
      </c>
      <c r="CT67" s="814">
        <f t="shared" si="7"/>
        <v>0.77854889589905363</v>
      </c>
      <c r="CV67" s="929"/>
      <c r="CW67" s="929"/>
      <c r="CX67" s="1467" t="s">
        <v>53</v>
      </c>
      <c r="CY67" s="1468">
        <v>29</v>
      </c>
      <c r="CZ67" s="1468">
        <v>33</v>
      </c>
      <c r="DA67" s="929"/>
      <c r="DB67" s="1468">
        <v>27</v>
      </c>
      <c r="DC67" s="1468">
        <v>837</v>
      </c>
      <c r="DD67" s="1468">
        <v>164</v>
      </c>
      <c r="DE67" s="1468">
        <v>51</v>
      </c>
      <c r="DF67" s="929"/>
      <c r="DG67" s="929"/>
      <c r="DH67" s="1468">
        <v>0</v>
      </c>
      <c r="DI67" s="1468">
        <v>287</v>
      </c>
      <c r="DJ67" s="1468">
        <v>194</v>
      </c>
      <c r="DK67" s="1468">
        <v>0</v>
      </c>
      <c r="DL67" s="1468">
        <v>1622</v>
      </c>
      <c r="DM67" s="814">
        <f t="shared" si="8"/>
        <v>0.79408138101109738</v>
      </c>
      <c r="DO67" s="1094"/>
      <c r="DP67" s="1094"/>
      <c r="DQ67" s="1469" t="s">
        <v>55</v>
      </c>
      <c r="DR67" s="1470">
        <v>112</v>
      </c>
      <c r="DS67" s="1470">
        <v>76</v>
      </c>
      <c r="DT67" s="1470">
        <v>1</v>
      </c>
      <c r="DU67" s="1470">
        <v>123</v>
      </c>
      <c r="DV67" s="1470">
        <v>718</v>
      </c>
      <c r="DW67" s="1470">
        <v>209</v>
      </c>
      <c r="DX67" s="1470">
        <v>132</v>
      </c>
      <c r="DY67" s="1470">
        <v>0</v>
      </c>
      <c r="DZ67" s="1470">
        <v>5</v>
      </c>
      <c r="EA67" s="1470">
        <v>286</v>
      </c>
      <c r="EB67" s="1470">
        <v>368</v>
      </c>
      <c r="EC67" s="1470">
        <v>496</v>
      </c>
      <c r="ED67" s="1470">
        <v>0</v>
      </c>
      <c r="EE67" s="1470">
        <v>13</v>
      </c>
      <c r="EF67" s="1470">
        <v>2539</v>
      </c>
      <c r="EG67" s="1471">
        <f t="shared" si="9"/>
        <v>0.56209453197405002</v>
      </c>
      <c r="EI67" s="163"/>
      <c r="EJ67" s="163"/>
      <c r="EK67" s="80" t="s">
        <v>55</v>
      </c>
      <c r="EL67" s="80">
        <v>121</v>
      </c>
      <c r="EM67" s="80">
        <v>88</v>
      </c>
      <c r="EN67" s="80"/>
      <c r="EO67" s="80">
        <v>130</v>
      </c>
      <c r="EP67" s="80">
        <v>689</v>
      </c>
      <c r="EQ67" s="80">
        <v>208</v>
      </c>
      <c r="ER67" s="80">
        <v>142</v>
      </c>
      <c r="ES67" s="80"/>
      <c r="ET67" s="80">
        <v>5</v>
      </c>
      <c r="EU67" s="80">
        <v>322</v>
      </c>
      <c r="EV67" s="80">
        <v>359</v>
      </c>
      <c r="EW67" s="80">
        <v>500</v>
      </c>
      <c r="EX67" s="80">
        <v>0</v>
      </c>
      <c r="EY67" s="80">
        <v>14</v>
      </c>
      <c r="EZ67" s="80">
        <v>2578</v>
      </c>
      <c r="FA67" s="1472">
        <f t="shared" si="1"/>
        <v>0.55283446712018136</v>
      </c>
      <c r="FB67" s="80"/>
      <c r="FC67" s="681"/>
      <c r="FD67" s="681"/>
      <c r="FE67" s="681" t="s">
        <v>55</v>
      </c>
      <c r="FF67" s="1473">
        <v>152</v>
      </c>
      <c r="FG67" s="1473">
        <v>77</v>
      </c>
      <c r="FH67" s="1473" t="s">
        <v>332</v>
      </c>
      <c r="FI67" s="1473">
        <v>123</v>
      </c>
      <c r="FJ67" s="1473">
        <v>609</v>
      </c>
      <c r="FK67" s="1473">
        <v>200</v>
      </c>
      <c r="FL67" s="1473">
        <v>137</v>
      </c>
      <c r="FM67" s="1473" t="s">
        <v>332</v>
      </c>
      <c r="FN67" s="1473">
        <v>9</v>
      </c>
      <c r="FO67" s="1473">
        <v>358</v>
      </c>
      <c r="FP67" s="1473">
        <v>522</v>
      </c>
      <c r="FQ67" s="1473" t="s">
        <v>332</v>
      </c>
      <c r="FR67" s="1473">
        <v>2187</v>
      </c>
      <c r="FS67" s="1473">
        <f t="shared" si="2"/>
        <v>1167</v>
      </c>
      <c r="FT67" s="1474">
        <f t="shared" si="3"/>
        <v>0.53360768175582995</v>
      </c>
      <c r="FU67" s="80"/>
      <c r="FV67" s="80"/>
    </row>
    <row r="68" spans="1:178">
      <c r="A68" s="73"/>
      <c r="B68" s="73"/>
      <c r="C68" s="73" t="s">
        <v>54</v>
      </c>
      <c r="D68" s="161">
        <v>125</v>
      </c>
      <c r="E68" s="161">
        <v>56</v>
      </c>
      <c r="F68" s="161"/>
      <c r="G68" s="161">
        <v>0</v>
      </c>
      <c r="H68" s="161">
        <v>740</v>
      </c>
      <c r="I68" s="161">
        <v>206</v>
      </c>
      <c r="J68" s="161">
        <v>52</v>
      </c>
      <c r="K68" s="161"/>
      <c r="L68" s="161">
        <v>1</v>
      </c>
      <c r="M68" s="161">
        <v>13</v>
      </c>
      <c r="N68" s="161">
        <v>200</v>
      </c>
      <c r="O68" s="161"/>
      <c r="P68" s="161">
        <v>236</v>
      </c>
      <c r="Q68" s="161">
        <v>1</v>
      </c>
      <c r="R68" s="161">
        <v>1630</v>
      </c>
      <c r="S68" s="4680">
        <f t="shared" si="4"/>
        <v>0.7034990791896869</v>
      </c>
      <c r="U68" s="73"/>
      <c r="V68" s="73"/>
      <c r="W68" s="73" t="s">
        <v>54</v>
      </c>
      <c r="X68" s="161">
        <v>108</v>
      </c>
      <c r="Y68" s="161">
        <v>62</v>
      </c>
      <c r="Z68" s="161">
        <v>0</v>
      </c>
      <c r="AA68" s="161">
        <v>66</v>
      </c>
      <c r="AB68" s="161">
        <v>713</v>
      </c>
      <c r="AC68" s="161">
        <v>192</v>
      </c>
      <c r="AD68" s="161">
        <v>65</v>
      </c>
      <c r="AE68" s="161">
        <v>1</v>
      </c>
      <c r="AF68" s="161">
        <v>3</v>
      </c>
      <c r="AG68" s="161">
        <v>8</v>
      </c>
      <c r="AH68" s="161">
        <v>207</v>
      </c>
      <c r="AI68" s="161"/>
      <c r="AJ68" s="161">
        <v>220</v>
      </c>
      <c r="AK68" s="161">
        <v>2</v>
      </c>
      <c r="AL68" s="161">
        <v>1647</v>
      </c>
      <c r="AM68" s="2585">
        <f t="shared" si="0"/>
        <v>0.67598784194528871</v>
      </c>
      <c r="AN68" s="3196"/>
      <c r="AO68" s="73"/>
      <c r="AP68" s="73"/>
      <c r="AQ68" s="73" t="s">
        <v>54</v>
      </c>
      <c r="AR68" s="161">
        <v>122</v>
      </c>
      <c r="AS68" s="161">
        <v>60</v>
      </c>
      <c r="AT68" s="161"/>
      <c r="AU68" s="161">
        <v>71</v>
      </c>
      <c r="AV68" s="161">
        <v>764</v>
      </c>
      <c r="AW68" s="161">
        <v>188</v>
      </c>
      <c r="AX68" s="161">
        <v>84</v>
      </c>
      <c r="AY68" s="161"/>
      <c r="AZ68" s="161">
        <v>3</v>
      </c>
      <c r="BA68" s="161">
        <v>8</v>
      </c>
      <c r="BB68" s="161">
        <v>157</v>
      </c>
      <c r="BC68" s="161"/>
      <c r="BD68" s="161">
        <v>215</v>
      </c>
      <c r="BE68" s="161">
        <v>2</v>
      </c>
      <c r="BF68" s="161">
        <v>1674</v>
      </c>
      <c r="BG68" s="2585">
        <f t="shared" si="5"/>
        <v>0.66327751196172247</v>
      </c>
      <c r="BI68" s="2140"/>
      <c r="BJ68" s="2140"/>
      <c r="BK68" s="2148" t="s">
        <v>54</v>
      </c>
      <c r="BL68" s="2149">
        <v>100</v>
      </c>
      <c r="BM68" s="2149">
        <v>55</v>
      </c>
      <c r="BN68" s="2150"/>
      <c r="BO68" s="2149">
        <v>78</v>
      </c>
      <c r="BP68" s="2149">
        <v>802</v>
      </c>
      <c r="BQ68" s="2149">
        <v>202</v>
      </c>
      <c r="BR68" s="2149">
        <v>90</v>
      </c>
      <c r="BS68" s="2150"/>
      <c r="BT68" s="2149">
        <v>3</v>
      </c>
      <c r="BU68" s="2149">
        <v>14</v>
      </c>
      <c r="BV68" s="2149">
        <v>151</v>
      </c>
      <c r="BW68" s="2150"/>
      <c r="BX68" s="2149">
        <v>230</v>
      </c>
      <c r="BY68" s="2149">
        <v>1</v>
      </c>
      <c r="BZ68" s="2149">
        <v>1726</v>
      </c>
      <c r="CA68" s="2151">
        <f t="shared" si="6"/>
        <v>0.66956521739130437</v>
      </c>
      <c r="CC68" s="1452"/>
      <c r="CD68" s="1452"/>
      <c r="CE68" s="1465" t="s">
        <v>54</v>
      </c>
      <c r="CF68" s="1466">
        <v>106</v>
      </c>
      <c r="CG68" s="1466">
        <v>62</v>
      </c>
      <c r="CH68" s="1466">
        <v>0</v>
      </c>
      <c r="CI68" s="1466">
        <v>111</v>
      </c>
      <c r="CJ68" s="1466">
        <v>818</v>
      </c>
      <c r="CK68" s="1466">
        <v>208</v>
      </c>
      <c r="CL68" s="1466">
        <v>97</v>
      </c>
      <c r="CM68" s="1452"/>
      <c r="CN68" s="1466">
        <v>1</v>
      </c>
      <c r="CO68" s="1466">
        <v>13</v>
      </c>
      <c r="CP68" s="1466">
        <v>158</v>
      </c>
      <c r="CQ68" s="1466">
        <v>322</v>
      </c>
      <c r="CR68" s="1466">
        <v>0</v>
      </c>
      <c r="CS68" s="1466">
        <v>1896</v>
      </c>
      <c r="CT68" s="814">
        <f t="shared" si="7"/>
        <v>0.62447257383966248</v>
      </c>
      <c r="CV68" s="929"/>
      <c r="CW68" s="929"/>
      <c r="CX68" s="1467" t="s">
        <v>54</v>
      </c>
      <c r="CY68" s="1468">
        <v>87</v>
      </c>
      <c r="CZ68" s="1468">
        <v>75</v>
      </c>
      <c r="DA68" s="929"/>
      <c r="DB68" s="1468">
        <v>111</v>
      </c>
      <c r="DC68" s="1468">
        <v>795</v>
      </c>
      <c r="DD68" s="1468">
        <v>240</v>
      </c>
      <c r="DE68" s="1468">
        <v>92</v>
      </c>
      <c r="DF68" s="929"/>
      <c r="DG68" s="929"/>
      <c r="DH68" s="1468">
        <v>6</v>
      </c>
      <c r="DI68" s="1468">
        <v>166</v>
      </c>
      <c r="DJ68" s="1468">
        <v>349</v>
      </c>
      <c r="DK68" s="1468">
        <v>0</v>
      </c>
      <c r="DL68" s="1468">
        <v>1921</v>
      </c>
      <c r="DM68" s="814">
        <f t="shared" si="8"/>
        <v>0.62519521082769391</v>
      </c>
      <c r="DO68" s="1094"/>
      <c r="DP68" s="1094"/>
      <c r="DQ68" s="1469" t="s">
        <v>56</v>
      </c>
      <c r="DR68" s="1470">
        <v>61</v>
      </c>
      <c r="DS68" s="1470">
        <v>16</v>
      </c>
      <c r="DT68" s="1470">
        <v>0</v>
      </c>
      <c r="DU68" s="1470">
        <v>130</v>
      </c>
      <c r="DV68" s="1470">
        <v>235</v>
      </c>
      <c r="DW68" s="1470">
        <v>127</v>
      </c>
      <c r="DX68" s="1470">
        <v>69</v>
      </c>
      <c r="DY68" s="1470">
        <v>0</v>
      </c>
      <c r="DZ68" s="1470">
        <v>2</v>
      </c>
      <c r="EA68" s="1470">
        <v>105</v>
      </c>
      <c r="EB68" s="1470">
        <v>217</v>
      </c>
      <c r="EC68" s="1470">
        <v>231</v>
      </c>
      <c r="ED68" s="1470">
        <v>35</v>
      </c>
      <c r="EE68" s="1470">
        <v>10</v>
      </c>
      <c r="EF68" s="1470">
        <v>1238</v>
      </c>
      <c r="EG68" s="1471">
        <f t="shared" si="9"/>
        <v>0.4619188921859545</v>
      </c>
      <c r="EI68" s="163"/>
      <c r="EJ68" s="163"/>
      <c r="EK68" s="80" t="s">
        <v>56</v>
      </c>
      <c r="EL68" s="80">
        <v>49</v>
      </c>
      <c r="EM68" s="80">
        <v>17</v>
      </c>
      <c r="EN68" s="80"/>
      <c r="EO68" s="80">
        <v>118</v>
      </c>
      <c r="EP68" s="80">
        <v>184</v>
      </c>
      <c r="EQ68" s="80">
        <v>118</v>
      </c>
      <c r="ER68" s="80">
        <v>40</v>
      </c>
      <c r="ES68" s="80"/>
      <c r="ET68" s="80">
        <v>0</v>
      </c>
      <c r="EU68" s="80">
        <v>88</v>
      </c>
      <c r="EV68" s="80">
        <v>208</v>
      </c>
      <c r="EW68" s="80">
        <v>257</v>
      </c>
      <c r="EX68" s="80">
        <v>35</v>
      </c>
      <c r="EY68" s="80">
        <v>12</v>
      </c>
      <c r="EZ68" s="80">
        <v>1126</v>
      </c>
      <c r="FA68" s="1472">
        <f t="shared" si="1"/>
        <v>0.43046357615894038</v>
      </c>
      <c r="FB68" s="80"/>
      <c r="FC68" s="681"/>
      <c r="FD68" s="681"/>
      <c r="FE68" s="681" t="s">
        <v>56</v>
      </c>
      <c r="FF68" s="1473">
        <v>32</v>
      </c>
      <c r="FG68" s="1473">
        <v>18</v>
      </c>
      <c r="FH68" s="1473" t="s">
        <v>332</v>
      </c>
      <c r="FI68" s="1473">
        <v>97</v>
      </c>
      <c r="FJ68" s="1473">
        <v>160</v>
      </c>
      <c r="FK68" s="1473">
        <v>84</v>
      </c>
      <c r="FL68" s="1473">
        <v>51</v>
      </c>
      <c r="FM68" s="1473" t="s">
        <v>332</v>
      </c>
      <c r="FN68" s="1473">
        <v>2</v>
      </c>
      <c r="FO68" s="1473">
        <v>107</v>
      </c>
      <c r="FP68" s="1473">
        <v>242</v>
      </c>
      <c r="FQ68" s="1473">
        <v>23</v>
      </c>
      <c r="FR68" s="1473">
        <v>816</v>
      </c>
      <c r="FS68" s="1473">
        <f t="shared" si="2"/>
        <v>351</v>
      </c>
      <c r="FT68" s="1474">
        <f t="shared" si="3"/>
        <v>0.43014705882352944</v>
      </c>
      <c r="FU68" s="80"/>
      <c r="FV68" s="80"/>
    </row>
    <row r="69" spans="1:178">
      <c r="A69" s="73"/>
      <c r="B69" s="73"/>
      <c r="C69" s="73" t="s">
        <v>55</v>
      </c>
      <c r="D69" s="161">
        <v>255</v>
      </c>
      <c r="E69" s="161">
        <v>74</v>
      </c>
      <c r="F69" s="161"/>
      <c r="G69" s="161">
        <v>0</v>
      </c>
      <c r="H69" s="161">
        <v>522</v>
      </c>
      <c r="I69" s="161">
        <v>133</v>
      </c>
      <c r="J69" s="161">
        <v>79</v>
      </c>
      <c r="K69" s="161"/>
      <c r="L69" s="161">
        <v>0</v>
      </c>
      <c r="M69" s="161">
        <v>11</v>
      </c>
      <c r="N69" s="161">
        <v>231</v>
      </c>
      <c r="O69" s="161"/>
      <c r="P69" s="161">
        <v>260</v>
      </c>
      <c r="Q69" s="161">
        <v>0</v>
      </c>
      <c r="R69" s="161">
        <v>1565</v>
      </c>
      <c r="S69" s="4680">
        <f t="shared" si="4"/>
        <v>0.56613418530351434</v>
      </c>
      <c r="U69" s="73"/>
      <c r="V69" s="73"/>
      <c r="W69" s="73" t="s">
        <v>55</v>
      </c>
      <c r="X69" s="161">
        <v>239</v>
      </c>
      <c r="Y69" s="161">
        <v>65</v>
      </c>
      <c r="Z69" s="161">
        <v>0</v>
      </c>
      <c r="AA69" s="161">
        <v>82</v>
      </c>
      <c r="AB69" s="161">
        <v>520</v>
      </c>
      <c r="AC69" s="161">
        <v>144</v>
      </c>
      <c r="AD69" s="161">
        <v>88</v>
      </c>
      <c r="AE69" s="161">
        <v>1</v>
      </c>
      <c r="AF69" s="161">
        <v>0</v>
      </c>
      <c r="AG69" s="161">
        <v>2</v>
      </c>
      <c r="AH69" s="161">
        <v>278</v>
      </c>
      <c r="AI69" s="161"/>
      <c r="AJ69" s="161">
        <v>261</v>
      </c>
      <c r="AK69" s="161">
        <v>2</v>
      </c>
      <c r="AL69" s="161">
        <v>1682</v>
      </c>
      <c r="AM69" s="2585">
        <f t="shared" si="0"/>
        <v>0.56071428571428572</v>
      </c>
      <c r="AN69" s="3196"/>
      <c r="AO69" s="73"/>
      <c r="AP69" s="73"/>
      <c r="AQ69" s="73" t="s">
        <v>55</v>
      </c>
      <c r="AR69" s="161">
        <v>160</v>
      </c>
      <c r="AS69" s="161">
        <v>87</v>
      </c>
      <c r="AT69" s="161"/>
      <c r="AU69" s="161">
        <v>73</v>
      </c>
      <c r="AV69" s="161">
        <v>553</v>
      </c>
      <c r="AW69" s="161">
        <v>145</v>
      </c>
      <c r="AX69" s="161">
        <v>97</v>
      </c>
      <c r="AY69" s="161"/>
      <c r="AZ69" s="161">
        <v>0</v>
      </c>
      <c r="BA69" s="161">
        <v>5</v>
      </c>
      <c r="BB69" s="161">
        <v>324</v>
      </c>
      <c r="BC69" s="161"/>
      <c r="BD69" s="161">
        <v>259</v>
      </c>
      <c r="BE69" s="161">
        <v>5</v>
      </c>
      <c r="BF69" s="161">
        <v>1708</v>
      </c>
      <c r="BG69" s="2585">
        <f t="shared" si="5"/>
        <v>0.60011743981209631</v>
      </c>
      <c r="BI69" s="2140"/>
      <c r="BJ69" s="2140"/>
      <c r="BK69" s="2148" t="s">
        <v>55</v>
      </c>
      <c r="BL69" s="2149">
        <v>132</v>
      </c>
      <c r="BM69" s="2149">
        <v>79</v>
      </c>
      <c r="BN69" s="2150"/>
      <c r="BO69" s="2149">
        <v>74</v>
      </c>
      <c r="BP69" s="2149">
        <v>633</v>
      </c>
      <c r="BQ69" s="2149">
        <v>140</v>
      </c>
      <c r="BR69" s="2149">
        <v>93</v>
      </c>
      <c r="BS69" s="2150"/>
      <c r="BT69" s="2149">
        <v>0</v>
      </c>
      <c r="BU69" s="2149">
        <v>8</v>
      </c>
      <c r="BV69" s="2149">
        <v>280</v>
      </c>
      <c r="BW69" s="2150"/>
      <c r="BX69" s="2149">
        <v>306</v>
      </c>
      <c r="BY69" s="2149">
        <v>4</v>
      </c>
      <c r="BZ69" s="2149">
        <v>1749</v>
      </c>
      <c r="CA69" s="2151">
        <f t="shared" si="6"/>
        <v>0.60343839541547273</v>
      </c>
      <c r="CC69" s="1452"/>
      <c r="CD69" s="1452"/>
      <c r="CE69" s="1465" t="s">
        <v>55</v>
      </c>
      <c r="CF69" s="1466">
        <v>122</v>
      </c>
      <c r="CG69" s="1466">
        <v>79</v>
      </c>
      <c r="CH69" s="1466">
        <v>0</v>
      </c>
      <c r="CI69" s="1466">
        <v>104</v>
      </c>
      <c r="CJ69" s="1466">
        <v>697</v>
      </c>
      <c r="CK69" s="1466">
        <v>158</v>
      </c>
      <c r="CL69" s="1466">
        <v>123</v>
      </c>
      <c r="CM69" s="1452"/>
      <c r="CN69" s="1466">
        <v>0</v>
      </c>
      <c r="CO69" s="1466">
        <v>10</v>
      </c>
      <c r="CP69" s="1466">
        <v>287</v>
      </c>
      <c r="CQ69" s="1466">
        <v>437</v>
      </c>
      <c r="CR69" s="1466">
        <v>0</v>
      </c>
      <c r="CS69" s="1466">
        <v>2017</v>
      </c>
      <c r="CT69" s="814">
        <f t="shared" si="7"/>
        <v>0.56618740704015869</v>
      </c>
      <c r="CV69" s="929"/>
      <c r="CW69" s="929"/>
      <c r="CX69" s="1467" t="s">
        <v>55</v>
      </c>
      <c r="CY69" s="1468">
        <v>110</v>
      </c>
      <c r="CZ69" s="1468">
        <v>106</v>
      </c>
      <c r="DA69" s="929"/>
      <c r="DB69" s="1468">
        <v>111</v>
      </c>
      <c r="DC69" s="1468">
        <v>717</v>
      </c>
      <c r="DD69" s="1468">
        <v>188</v>
      </c>
      <c r="DE69" s="1468">
        <v>118</v>
      </c>
      <c r="DF69" s="929"/>
      <c r="DG69" s="929"/>
      <c r="DH69" s="1468">
        <v>5</v>
      </c>
      <c r="DI69" s="1468">
        <v>271</v>
      </c>
      <c r="DJ69" s="1468">
        <v>456</v>
      </c>
      <c r="DK69" s="1468">
        <v>0</v>
      </c>
      <c r="DL69" s="1468">
        <v>2082</v>
      </c>
      <c r="DM69" s="814">
        <f t="shared" si="8"/>
        <v>0.56484149855907784</v>
      </c>
      <c r="DO69" s="1094"/>
      <c r="DP69" s="1094"/>
      <c r="DQ69" s="1469" t="s">
        <v>264</v>
      </c>
      <c r="DR69" s="1470">
        <v>222</v>
      </c>
      <c r="DS69" s="1470">
        <v>41</v>
      </c>
      <c r="DT69" s="1470">
        <v>0</v>
      </c>
      <c r="DU69" s="1470">
        <v>27</v>
      </c>
      <c r="DV69" s="1470">
        <v>559</v>
      </c>
      <c r="DW69" s="1470">
        <v>95</v>
      </c>
      <c r="DX69" s="1470">
        <v>64</v>
      </c>
      <c r="DY69" s="1470">
        <v>0</v>
      </c>
      <c r="DZ69" s="1470">
        <v>6</v>
      </c>
      <c r="EA69" s="1470">
        <v>258</v>
      </c>
      <c r="EB69" s="1470">
        <v>455</v>
      </c>
      <c r="EC69" s="1470">
        <v>279</v>
      </c>
      <c r="ED69" s="1470">
        <v>0</v>
      </c>
      <c r="EE69" s="1470">
        <v>2</v>
      </c>
      <c r="EF69" s="1470">
        <v>2008</v>
      </c>
      <c r="EG69" s="1471">
        <f t="shared" si="9"/>
        <v>0.58800773694390718</v>
      </c>
      <c r="EI69" s="163"/>
      <c r="EJ69" s="163"/>
      <c r="EK69" s="80" t="s">
        <v>264</v>
      </c>
      <c r="EL69" s="80">
        <v>173</v>
      </c>
      <c r="EM69" s="80">
        <v>39</v>
      </c>
      <c r="EN69" s="80"/>
      <c r="EO69" s="80">
        <v>34</v>
      </c>
      <c r="EP69" s="80">
        <v>502</v>
      </c>
      <c r="EQ69" s="80">
        <v>107</v>
      </c>
      <c r="ER69" s="80">
        <v>81</v>
      </c>
      <c r="ES69" s="80"/>
      <c r="ET69" s="80">
        <v>7</v>
      </c>
      <c r="EU69" s="80">
        <v>278</v>
      </c>
      <c r="EV69" s="80">
        <v>429</v>
      </c>
      <c r="EW69" s="80">
        <v>268</v>
      </c>
      <c r="EX69" s="80">
        <v>0</v>
      </c>
      <c r="EY69" s="80">
        <v>3</v>
      </c>
      <c r="EZ69" s="80">
        <v>1921</v>
      </c>
      <c r="FA69" s="1472">
        <f t="shared" si="1"/>
        <v>0.59570181329751515</v>
      </c>
      <c r="FB69" s="80"/>
      <c r="FC69" s="681"/>
      <c r="FD69" s="681"/>
      <c r="FE69" s="681" t="s">
        <v>264</v>
      </c>
      <c r="FF69" s="1473">
        <v>215</v>
      </c>
      <c r="FG69" s="1473">
        <v>29</v>
      </c>
      <c r="FH69" s="1473" t="s">
        <v>332</v>
      </c>
      <c r="FI69" s="1473">
        <v>37</v>
      </c>
      <c r="FJ69" s="1473">
        <v>474</v>
      </c>
      <c r="FK69" s="1473">
        <v>59</v>
      </c>
      <c r="FL69" s="1473">
        <v>69</v>
      </c>
      <c r="FM69" s="1473" t="s">
        <v>332</v>
      </c>
      <c r="FN69" s="1473">
        <v>6</v>
      </c>
      <c r="FO69" s="1473">
        <v>336</v>
      </c>
      <c r="FP69" s="1473">
        <v>297</v>
      </c>
      <c r="FQ69" s="1473" t="s">
        <v>332</v>
      </c>
      <c r="FR69" s="1473">
        <v>1522</v>
      </c>
      <c r="FS69" s="1473">
        <f t="shared" si="2"/>
        <v>869</v>
      </c>
      <c r="FT69" s="1474">
        <f t="shared" si="3"/>
        <v>0.57095926412614983</v>
      </c>
      <c r="FU69" s="80"/>
      <c r="FV69" s="80"/>
    </row>
    <row r="70" spans="1:178">
      <c r="A70" s="73"/>
      <c r="B70" s="73"/>
      <c r="C70" s="73" t="s">
        <v>56</v>
      </c>
      <c r="D70" s="161">
        <v>53</v>
      </c>
      <c r="E70" s="161">
        <v>31</v>
      </c>
      <c r="F70" s="161"/>
      <c r="G70" s="161">
        <v>0</v>
      </c>
      <c r="H70" s="161">
        <v>386</v>
      </c>
      <c r="I70" s="161">
        <v>159</v>
      </c>
      <c r="J70" s="161">
        <v>39</v>
      </c>
      <c r="K70" s="161"/>
      <c r="L70" s="161">
        <v>0</v>
      </c>
      <c r="M70" s="161">
        <v>3</v>
      </c>
      <c r="N70" s="161">
        <v>189</v>
      </c>
      <c r="O70" s="161"/>
      <c r="P70" s="161">
        <v>234</v>
      </c>
      <c r="Q70" s="161">
        <v>0</v>
      </c>
      <c r="R70" s="161">
        <v>1094</v>
      </c>
      <c r="S70" s="4680">
        <f t="shared" si="4"/>
        <v>0.67093235831809872</v>
      </c>
      <c r="U70" s="73"/>
      <c r="V70" s="73"/>
      <c r="W70" s="73" t="s">
        <v>56</v>
      </c>
      <c r="X70" s="161">
        <v>46</v>
      </c>
      <c r="Y70" s="161">
        <v>44</v>
      </c>
      <c r="Z70" s="161">
        <v>0</v>
      </c>
      <c r="AA70" s="161">
        <v>144</v>
      </c>
      <c r="AB70" s="161">
        <v>378</v>
      </c>
      <c r="AC70" s="161">
        <v>169</v>
      </c>
      <c r="AD70" s="161">
        <v>46</v>
      </c>
      <c r="AE70" s="161">
        <v>2</v>
      </c>
      <c r="AF70" s="161">
        <v>0</v>
      </c>
      <c r="AG70" s="161">
        <v>1</v>
      </c>
      <c r="AH70" s="161">
        <v>192</v>
      </c>
      <c r="AI70" s="161"/>
      <c r="AJ70" s="161">
        <v>219</v>
      </c>
      <c r="AK70" s="161">
        <v>2</v>
      </c>
      <c r="AL70" s="161">
        <v>1243</v>
      </c>
      <c r="AM70" s="2585">
        <f t="shared" si="0"/>
        <v>0.59548751007252221</v>
      </c>
      <c r="AN70" s="3196"/>
      <c r="AO70" s="73"/>
      <c r="AP70" s="73"/>
      <c r="AQ70" s="73" t="s">
        <v>56</v>
      </c>
      <c r="AR70" s="161">
        <v>45</v>
      </c>
      <c r="AS70" s="161">
        <v>45</v>
      </c>
      <c r="AT70" s="161"/>
      <c r="AU70" s="161">
        <v>131</v>
      </c>
      <c r="AV70" s="161">
        <v>366</v>
      </c>
      <c r="AW70" s="161">
        <v>152</v>
      </c>
      <c r="AX70" s="161">
        <v>48</v>
      </c>
      <c r="AY70" s="161"/>
      <c r="AZ70" s="161">
        <v>0</v>
      </c>
      <c r="BA70" s="161">
        <v>5</v>
      </c>
      <c r="BB70" s="161">
        <v>182</v>
      </c>
      <c r="BC70" s="161"/>
      <c r="BD70" s="161">
        <v>203</v>
      </c>
      <c r="BE70" s="161">
        <v>3</v>
      </c>
      <c r="BF70" s="161">
        <v>1180</v>
      </c>
      <c r="BG70" s="2585">
        <f t="shared" si="5"/>
        <v>0.59473237043330496</v>
      </c>
      <c r="BI70" s="2140"/>
      <c r="BJ70" s="2140"/>
      <c r="BK70" s="2148" t="s">
        <v>56</v>
      </c>
      <c r="BL70" s="2149">
        <v>44</v>
      </c>
      <c r="BM70" s="2149">
        <v>37</v>
      </c>
      <c r="BN70" s="2150"/>
      <c r="BO70" s="2149">
        <v>122</v>
      </c>
      <c r="BP70" s="2149">
        <v>352</v>
      </c>
      <c r="BQ70" s="2149">
        <v>130</v>
      </c>
      <c r="BR70" s="2149">
        <v>39</v>
      </c>
      <c r="BS70" s="2150"/>
      <c r="BT70" s="2149">
        <v>0</v>
      </c>
      <c r="BU70" s="2149">
        <v>5</v>
      </c>
      <c r="BV70" s="2149">
        <v>153</v>
      </c>
      <c r="BW70" s="2150"/>
      <c r="BX70" s="2149">
        <v>207</v>
      </c>
      <c r="BY70" s="2149">
        <v>3</v>
      </c>
      <c r="BZ70" s="2149">
        <v>1092</v>
      </c>
      <c r="CA70" s="2151">
        <f t="shared" si="6"/>
        <v>0.58310376492194671</v>
      </c>
      <c r="CC70" s="1452"/>
      <c r="CD70" s="1452"/>
      <c r="CE70" s="1465" t="s">
        <v>56</v>
      </c>
      <c r="CF70" s="1466">
        <v>64</v>
      </c>
      <c r="CG70" s="1466">
        <v>29</v>
      </c>
      <c r="CH70" s="1466">
        <v>1</v>
      </c>
      <c r="CI70" s="1466">
        <v>144</v>
      </c>
      <c r="CJ70" s="1466">
        <v>300</v>
      </c>
      <c r="CK70" s="1466">
        <v>119</v>
      </c>
      <c r="CL70" s="1466">
        <v>41</v>
      </c>
      <c r="CM70" s="1452"/>
      <c r="CN70" s="1466">
        <v>0</v>
      </c>
      <c r="CO70" s="1466">
        <v>1</v>
      </c>
      <c r="CP70" s="1466">
        <v>130</v>
      </c>
      <c r="CQ70" s="1466">
        <v>254</v>
      </c>
      <c r="CR70" s="1466">
        <v>35</v>
      </c>
      <c r="CS70" s="1466">
        <v>1118</v>
      </c>
      <c r="CT70" s="814">
        <f t="shared" si="7"/>
        <v>0.49105545617173524</v>
      </c>
      <c r="CV70" s="929"/>
      <c r="CW70" s="929"/>
      <c r="CX70" s="1467" t="s">
        <v>56</v>
      </c>
      <c r="CY70" s="1468">
        <v>39</v>
      </c>
      <c r="CZ70" s="1468">
        <v>33</v>
      </c>
      <c r="DA70" s="929"/>
      <c r="DB70" s="1468">
        <v>130</v>
      </c>
      <c r="DC70" s="1468">
        <v>262</v>
      </c>
      <c r="DD70" s="1468">
        <v>118</v>
      </c>
      <c r="DE70" s="1468">
        <v>48</v>
      </c>
      <c r="DF70" s="929"/>
      <c r="DG70" s="929"/>
      <c r="DH70" s="1468">
        <v>2</v>
      </c>
      <c r="DI70" s="1468">
        <v>117</v>
      </c>
      <c r="DJ70" s="1468">
        <v>236</v>
      </c>
      <c r="DK70" s="1468">
        <v>35</v>
      </c>
      <c r="DL70" s="1468">
        <v>1020</v>
      </c>
      <c r="DM70" s="814">
        <f t="shared" si="8"/>
        <v>0.4872549019607843</v>
      </c>
      <c r="DO70" s="1094"/>
      <c r="DP70" s="1094"/>
      <c r="DQ70" s="1469" t="s">
        <v>277</v>
      </c>
      <c r="DR70" s="1470">
        <v>33</v>
      </c>
      <c r="DS70" s="1470">
        <v>11</v>
      </c>
      <c r="DT70" s="1470">
        <v>0</v>
      </c>
      <c r="DU70" s="1470">
        <v>24</v>
      </c>
      <c r="DV70" s="1470">
        <v>566</v>
      </c>
      <c r="DW70" s="1470">
        <v>136</v>
      </c>
      <c r="DX70" s="1470">
        <v>25</v>
      </c>
      <c r="DY70" s="1470">
        <v>0</v>
      </c>
      <c r="DZ70" s="1470">
        <v>5</v>
      </c>
      <c r="EA70" s="1470">
        <v>125</v>
      </c>
      <c r="EB70" s="1470">
        <v>139</v>
      </c>
      <c r="EC70" s="1470">
        <v>144</v>
      </c>
      <c r="ED70" s="1470">
        <v>0</v>
      </c>
      <c r="EE70" s="1470">
        <v>3</v>
      </c>
      <c r="EF70" s="1470">
        <v>1211</v>
      </c>
      <c r="EG70" s="1471">
        <f t="shared" si="9"/>
        <v>0.77362020579981294</v>
      </c>
      <c r="EI70" s="163"/>
      <c r="EJ70" s="163"/>
      <c r="EK70" s="80" t="s">
        <v>277</v>
      </c>
      <c r="EL70" s="80">
        <v>27</v>
      </c>
      <c r="EM70" s="80">
        <v>18</v>
      </c>
      <c r="EN70" s="80"/>
      <c r="EO70" s="80">
        <v>27</v>
      </c>
      <c r="EP70" s="80">
        <v>554</v>
      </c>
      <c r="EQ70" s="80">
        <v>132</v>
      </c>
      <c r="ER70" s="80">
        <v>28</v>
      </c>
      <c r="ES70" s="80"/>
      <c r="ET70" s="80">
        <v>0</v>
      </c>
      <c r="EU70" s="80">
        <v>128</v>
      </c>
      <c r="EV70" s="80">
        <v>121</v>
      </c>
      <c r="EW70" s="80">
        <v>146</v>
      </c>
      <c r="EX70" s="80">
        <v>0</v>
      </c>
      <c r="EY70" s="80">
        <v>5</v>
      </c>
      <c r="EZ70" s="80">
        <v>1186</v>
      </c>
      <c r="FA70" s="1472">
        <f t="shared" si="1"/>
        <v>0.76792452830188684</v>
      </c>
      <c r="FB70" s="80"/>
      <c r="FC70" s="681"/>
      <c r="FD70" s="681"/>
      <c r="FE70" s="681" t="s">
        <v>57</v>
      </c>
      <c r="FF70" s="1473">
        <v>40</v>
      </c>
      <c r="FG70" s="1473">
        <v>15</v>
      </c>
      <c r="FH70" s="1473" t="s">
        <v>332</v>
      </c>
      <c r="FI70" s="1473">
        <v>25</v>
      </c>
      <c r="FJ70" s="1473">
        <v>511</v>
      </c>
      <c r="FK70" s="1473">
        <v>139</v>
      </c>
      <c r="FL70" s="1473">
        <v>37</v>
      </c>
      <c r="FM70" s="1473" t="s">
        <v>332</v>
      </c>
      <c r="FN70" s="1473">
        <v>3</v>
      </c>
      <c r="FO70" s="1473">
        <v>142</v>
      </c>
      <c r="FP70" s="1473">
        <v>148</v>
      </c>
      <c r="FQ70" s="1473" t="s">
        <v>332</v>
      </c>
      <c r="FR70" s="1473">
        <v>1060</v>
      </c>
      <c r="FS70" s="1473">
        <f t="shared" si="2"/>
        <v>792</v>
      </c>
      <c r="FT70" s="1474">
        <f t="shared" si="3"/>
        <v>0.74716981132075466</v>
      </c>
      <c r="FU70" s="80"/>
      <c r="FV70" s="80"/>
    </row>
    <row r="71" spans="1:178">
      <c r="A71" s="73"/>
      <c r="B71" s="73"/>
      <c r="C71" s="73" t="s">
        <v>264</v>
      </c>
      <c r="D71" s="161">
        <v>182</v>
      </c>
      <c r="E71" s="161">
        <v>15</v>
      </c>
      <c r="F71" s="161"/>
      <c r="G71" s="161">
        <v>0</v>
      </c>
      <c r="H71" s="161">
        <v>579</v>
      </c>
      <c r="I71" s="161">
        <v>93</v>
      </c>
      <c r="J71" s="161">
        <v>51</v>
      </c>
      <c r="K71" s="161"/>
      <c r="L71" s="161">
        <v>0</v>
      </c>
      <c r="M71" s="161">
        <v>11</v>
      </c>
      <c r="N71" s="161">
        <v>223</v>
      </c>
      <c r="O71" s="161"/>
      <c r="P71" s="161">
        <v>141</v>
      </c>
      <c r="Q71" s="161">
        <v>0</v>
      </c>
      <c r="R71" s="161">
        <v>1295</v>
      </c>
      <c r="S71" s="4680">
        <f t="shared" si="4"/>
        <v>0.69111969111969107</v>
      </c>
      <c r="U71" s="73"/>
      <c r="V71" s="73"/>
      <c r="W71" s="73" t="s">
        <v>264</v>
      </c>
      <c r="X71" s="161">
        <v>145</v>
      </c>
      <c r="Y71" s="161">
        <v>24</v>
      </c>
      <c r="Z71" s="161">
        <v>0</v>
      </c>
      <c r="AA71" s="161">
        <v>34</v>
      </c>
      <c r="AB71" s="161">
        <v>559</v>
      </c>
      <c r="AC71" s="161">
        <v>70</v>
      </c>
      <c r="AD71" s="161">
        <v>37</v>
      </c>
      <c r="AE71" s="161">
        <v>0</v>
      </c>
      <c r="AF71" s="161">
        <v>1</v>
      </c>
      <c r="AG71" s="161">
        <v>21</v>
      </c>
      <c r="AH71" s="161">
        <v>272</v>
      </c>
      <c r="AI71" s="161"/>
      <c r="AJ71" s="161">
        <v>151</v>
      </c>
      <c r="AK71" s="161">
        <v>0</v>
      </c>
      <c r="AL71" s="161">
        <v>1314</v>
      </c>
      <c r="AM71" s="2585">
        <f t="shared" ref="AM71:AM102" si="10">+(AH71+AC71+AB71)/(AL71-AK71-AI71)</f>
        <v>0.68569254185692541</v>
      </c>
      <c r="AN71" s="3196"/>
      <c r="AO71" s="73"/>
      <c r="AP71" s="73"/>
      <c r="AQ71" s="73" t="s">
        <v>264</v>
      </c>
      <c r="AR71" s="161">
        <v>195</v>
      </c>
      <c r="AS71" s="161">
        <v>23</v>
      </c>
      <c r="AT71" s="161"/>
      <c r="AU71" s="161">
        <v>31</v>
      </c>
      <c r="AV71" s="161">
        <v>568</v>
      </c>
      <c r="AW71" s="161">
        <v>89</v>
      </c>
      <c r="AX71" s="161">
        <v>48</v>
      </c>
      <c r="AY71" s="161"/>
      <c r="AZ71" s="161">
        <v>1</v>
      </c>
      <c r="BA71" s="161">
        <v>4</v>
      </c>
      <c r="BB71" s="161">
        <v>262</v>
      </c>
      <c r="BC71" s="161"/>
      <c r="BD71" s="161">
        <v>138</v>
      </c>
      <c r="BE71" s="161">
        <v>0</v>
      </c>
      <c r="BF71" s="161">
        <v>1359</v>
      </c>
      <c r="BG71" s="2585">
        <f t="shared" si="5"/>
        <v>0.67623252391464317</v>
      </c>
      <c r="BI71" s="2140"/>
      <c r="BJ71" s="2140"/>
      <c r="BK71" s="2148" t="s">
        <v>264</v>
      </c>
      <c r="BL71" s="2149">
        <v>171</v>
      </c>
      <c r="BM71" s="2149">
        <v>26</v>
      </c>
      <c r="BN71" s="2150"/>
      <c r="BO71" s="2149">
        <v>23</v>
      </c>
      <c r="BP71" s="2149">
        <v>577</v>
      </c>
      <c r="BQ71" s="2149">
        <v>82</v>
      </c>
      <c r="BR71" s="2149">
        <v>45</v>
      </c>
      <c r="BS71" s="2150"/>
      <c r="BT71" s="2149">
        <v>0</v>
      </c>
      <c r="BU71" s="2149">
        <v>4</v>
      </c>
      <c r="BV71" s="2149">
        <v>316</v>
      </c>
      <c r="BW71" s="2150"/>
      <c r="BX71" s="2149">
        <v>159</v>
      </c>
      <c r="BY71" s="2149">
        <v>0</v>
      </c>
      <c r="BZ71" s="2149">
        <v>1403</v>
      </c>
      <c r="CA71" s="2151">
        <f t="shared" si="6"/>
        <v>0.69493941553813254</v>
      </c>
      <c r="CC71" s="1452"/>
      <c r="CD71" s="1452"/>
      <c r="CE71" s="1465" t="s">
        <v>264</v>
      </c>
      <c r="CF71" s="1466">
        <v>210</v>
      </c>
      <c r="CG71" s="1466">
        <v>29</v>
      </c>
      <c r="CH71" s="1466">
        <v>0</v>
      </c>
      <c r="CI71" s="1466">
        <v>28</v>
      </c>
      <c r="CJ71" s="1466">
        <v>576</v>
      </c>
      <c r="CK71" s="1466">
        <v>87</v>
      </c>
      <c r="CL71" s="1466">
        <v>64</v>
      </c>
      <c r="CM71" s="1452"/>
      <c r="CN71" s="1466">
        <v>0</v>
      </c>
      <c r="CO71" s="1466">
        <v>13</v>
      </c>
      <c r="CP71" s="1466">
        <v>306</v>
      </c>
      <c r="CQ71" s="1466">
        <v>270</v>
      </c>
      <c r="CR71" s="1466">
        <v>0</v>
      </c>
      <c r="CS71" s="1466">
        <v>1583</v>
      </c>
      <c r="CT71" s="814">
        <f t="shared" si="7"/>
        <v>0.61212886923562859</v>
      </c>
      <c r="CV71" s="929"/>
      <c r="CW71" s="929"/>
      <c r="CX71" s="1467" t="s">
        <v>264</v>
      </c>
      <c r="CY71" s="1468">
        <v>201</v>
      </c>
      <c r="CZ71" s="1468">
        <v>46</v>
      </c>
      <c r="DA71" s="929"/>
      <c r="DB71" s="1468">
        <v>26</v>
      </c>
      <c r="DC71" s="1468">
        <v>581</v>
      </c>
      <c r="DD71" s="1468">
        <v>91</v>
      </c>
      <c r="DE71" s="1468">
        <v>50</v>
      </c>
      <c r="DF71" s="929"/>
      <c r="DG71" s="929"/>
      <c r="DH71" s="1468">
        <v>2</v>
      </c>
      <c r="DI71" s="1468">
        <v>266</v>
      </c>
      <c r="DJ71" s="1468">
        <v>280</v>
      </c>
      <c r="DK71" s="1468">
        <v>0</v>
      </c>
      <c r="DL71" s="1468">
        <v>1543</v>
      </c>
      <c r="DM71" s="814">
        <f t="shared" si="8"/>
        <v>0.60790667530784182</v>
      </c>
      <c r="DO71" s="1094"/>
      <c r="DP71" s="1094"/>
      <c r="DQ71" s="1458" t="s">
        <v>575</v>
      </c>
      <c r="DR71" s="1480">
        <v>677</v>
      </c>
      <c r="DS71" s="1480">
        <v>265</v>
      </c>
      <c r="DT71" s="1480">
        <v>1</v>
      </c>
      <c r="DU71" s="1480">
        <v>621</v>
      </c>
      <c r="DV71" s="1480">
        <v>4533</v>
      </c>
      <c r="DW71" s="1480">
        <v>1346</v>
      </c>
      <c r="DX71" s="1480">
        <v>555</v>
      </c>
      <c r="DY71" s="1480">
        <v>0</v>
      </c>
      <c r="DZ71" s="1480">
        <v>33</v>
      </c>
      <c r="EA71" s="1480">
        <v>1632</v>
      </c>
      <c r="EB71" s="1480">
        <v>2473</v>
      </c>
      <c r="EC71" s="1480">
        <v>2183</v>
      </c>
      <c r="ED71" s="1480">
        <v>37</v>
      </c>
      <c r="EE71" s="1480">
        <v>57</v>
      </c>
      <c r="EF71" s="1480">
        <v>14413</v>
      </c>
      <c r="EG71" s="1481">
        <f t="shared" si="9"/>
        <v>0.63207944121854753</v>
      </c>
      <c r="EI71" s="163"/>
      <c r="EJ71" s="163"/>
      <c r="EK71" s="80" t="s">
        <v>15</v>
      </c>
      <c r="EL71" s="80">
        <v>692</v>
      </c>
      <c r="EM71" s="80">
        <v>308</v>
      </c>
      <c r="EN71" s="80"/>
      <c r="EO71" s="80">
        <v>626</v>
      </c>
      <c r="EP71" s="80">
        <v>4253</v>
      </c>
      <c r="EQ71" s="80">
        <v>1277</v>
      </c>
      <c r="ER71" s="80">
        <v>568</v>
      </c>
      <c r="ES71" s="80"/>
      <c r="ET71" s="80">
        <v>18</v>
      </c>
      <c r="EU71" s="80">
        <v>1652</v>
      </c>
      <c r="EV71" s="80">
        <v>2344</v>
      </c>
      <c r="EW71" s="80">
        <v>2250</v>
      </c>
      <c r="EX71" s="80">
        <v>37</v>
      </c>
      <c r="EY71" s="80">
        <v>57</v>
      </c>
      <c r="EZ71" s="80">
        <v>14082</v>
      </c>
      <c r="FA71" s="1472">
        <f t="shared" ref="FA71:FA90" si="11">+(EU71+EQ71+EP71)/(EZ71-EY71-EV71)</f>
        <v>0.61484461946751134</v>
      </c>
      <c r="FB71" s="80"/>
      <c r="FC71" s="681"/>
      <c r="FD71" s="681"/>
      <c r="FE71" s="1482" t="s">
        <v>15</v>
      </c>
      <c r="FF71" s="1483">
        <v>802</v>
      </c>
      <c r="FG71" s="1483">
        <v>272</v>
      </c>
      <c r="FH71" s="1483" t="s">
        <v>332</v>
      </c>
      <c r="FI71" s="1483">
        <v>576</v>
      </c>
      <c r="FJ71" s="1483">
        <v>3796</v>
      </c>
      <c r="FK71" s="1483">
        <v>1166</v>
      </c>
      <c r="FL71" s="1483">
        <v>593</v>
      </c>
      <c r="FM71" s="1483" t="s">
        <v>332</v>
      </c>
      <c r="FN71" s="1483">
        <v>29</v>
      </c>
      <c r="FO71" s="1483">
        <v>1968</v>
      </c>
      <c r="FP71" s="1483">
        <v>2331</v>
      </c>
      <c r="FQ71" s="1483">
        <v>25</v>
      </c>
      <c r="FR71" s="1483">
        <v>11558</v>
      </c>
      <c r="FS71" s="1483">
        <f t="shared" ref="FS71:FS86" si="12">+FO71+FK71+FJ71</f>
        <v>6930</v>
      </c>
      <c r="FT71" s="1484">
        <f t="shared" ref="FT71:FT86" si="13">+FS71/FR71</f>
        <v>0.599584703235854</v>
      </c>
      <c r="FU71" s="80"/>
      <c r="FV71" s="80"/>
    </row>
    <row r="72" spans="1:178">
      <c r="A72" s="73"/>
      <c r="B72" s="73"/>
      <c r="C72" s="73" t="s">
        <v>277</v>
      </c>
      <c r="D72" s="161">
        <v>38</v>
      </c>
      <c r="E72" s="161">
        <v>24</v>
      </c>
      <c r="F72" s="161"/>
      <c r="G72" s="161">
        <v>0</v>
      </c>
      <c r="H72" s="161">
        <v>518</v>
      </c>
      <c r="I72" s="161">
        <v>139</v>
      </c>
      <c r="J72" s="161">
        <v>14</v>
      </c>
      <c r="K72" s="161"/>
      <c r="L72" s="161">
        <v>0</v>
      </c>
      <c r="M72" s="161">
        <v>2</v>
      </c>
      <c r="N72" s="161">
        <v>175</v>
      </c>
      <c r="O72" s="161"/>
      <c r="P72" s="161">
        <v>100</v>
      </c>
      <c r="Q72" s="161">
        <v>0</v>
      </c>
      <c r="R72" s="161">
        <v>1010</v>
      </c>
      <c r="S72" s="4680">
        <f t="shared" ref="S72:S103" si="14">+(N72+I72+H72)/(R72-Q72-O72)</f>
        <v>0.82376237623762372</v>
      </c>
      <c r="U72" s="73"/>
      <c r="V72" s="73"/>
      <c r="W72" s="73" t="s">
        <v>277</v>
      </c>
      <c r="X72" s="161">
        <v>32</v>
      </c>
      <c r="Y72" s="161">
        <v>29</v>
      </c>
      <c r="Z72" s="161">
        <v>1</v>
      </c>
      <c r="AA72" s="161">
        <v>20</v>
      </c>
      <c r="AB72" s="161">
        <v>478</v>
      </c>
      <c r="AC72" s="161">
        <v>156</v>
      </c>
      <c r="AD72" s="161">
        <v>30</v>
      </c>
      <c r="AE72" s="161">
        <v>0</v>
      </c>
      <c r="AF72" s="161">
        <v>0</v>
      </c>
      <c r="AG72" s="161">
        <v>2</v>
      </c>
      <c r="AH72" s="161">
        <v>177</v>
      </c>
      <c r="AI72" s="161"/>
      <c r="AJ72" s="161">
        <v>79</v>
      </c>
      <c r="AK72" s="161">
        <v>0</v>
      </c>
      <c r="AL72" s="161">
        <v>1004</v>
      </c>
      <c r="AM72" s="2585">
        <f t="shared" si="10"/>
        <v>0.80776892430278879</v>
      </c>
      <c r="AN72" s="3196"/>
      <c r="AO72" s="73"/>
      <c r="AP72" s="73"/>
      <c r="AQ72" s="73" t="s">
        <v>277</v>
      </c>
      <c r="AR72" s="161">
        <v>36</v>
      </c>
      <c r="AS72" s="161">
        <v>23</v>
      </c>
      <c r="AT72" s="161"/>
      <c r="AU72" s="161">
        <v>22</v>
      </c>
      <c r="AV72" s="161">
        <v>503</v>
      </c>
      <c r="AW72" s="161">
        <v>131</v>
      </c>
      <c r="AX72" s="161">
        <v>30</v>
      </c>
      <c r="AY72" s="161"/>
      <c r="AZ72" s="161">
        <v>0</v>
      </c>
      <c r="BA72" s="161">
        <v>2</v>
      </c>
      <c r="BB72" s="161">
        <v>156</v>
      </c>
      <c r="BC72" s="161"/>
      <c r="BD72" s="161">
        <v>76</v>
      </c>
      <c r="BE72" s="161">
        <v>1</v>
      </c>
      <c r="BF72" s="161">
        <v>980</v>
      </c>
      <c r="BG72" s="2585">
        <f t="shared" ref="BG72:BG101" si="15">+(AV72+AW72+BB72)/(BF72-BE72-BC72)</f>
        <v>0.80694586312563843</v>
      </c>
      <c r="BI72" s="2140"/>
      <c r="BJ72" s="2140"/>
      <c r="BK72" s="2148" t="s">
        <v>277</v>
      </c>
      <c r="BL72" s="2149">
        <v>26</v>
      </c>
      <c r="BM72" s="2149">
        <v>17</v>
      </c>
      <c r="BN72" s="2150"/>
      <c r="BO72" s="2149">
        <v>17</v>
      </c>
      <c r="BP72" s="2149">
        <v>548</v>
      </c>
      <c r="BQ72" s="2149">
        <v>128</v>
      </c>
      <c r="BR72" s="2149">
        <v>22</v>
      </c>
      <c r="BS72" s="2150"/>
      <c r="BT72" s="2149">
        <v>0</v>
      </c>
      <c r="BU72" s="2149">
        <v>5</v>
      </c>
      <c r="BV72" s="2149">
        <v>158</v>
      </c>
      <c r="BW72" s="2150"/>
      <c r="BX72" s="2149">
        <v>90</v>
      </c>
      <c r="BY72" s="2149">
        <v>1</v>
      </c>
      <c r="BZ72" s="2149">
        <v>1012</v>
      </c>
      <c r="CA72" s="2151">
        <f t="shared" ref="CA72:CA102" si="16">+(BP72+BQ72+BV72)/(BZ72-BY72-BW72)</f>
        <v>0.82492581602373882</v>
      </c>
      <c r="CC72" s="1452"/>
      <c r="CD72" s="1452"/>
      <c r="CE72" s="1465" t="s">
        <v>277</v>
      </c>
      <c r="CF72" s="1466">
        <v>41</v>
      </c>
      <c r="CG72" s="1466">
        <v>22</v>
      </c>
      <c r="CH72" s="1466">
        <v>0</v>
      </c>
      <c r="CI72" s="1466">
        <v>23</v>
      </c>
      <c r="CJ72" s="1466">
        <v>588</v>
      </c>
      <c r="CK72" s="1466">
        <v>124</v>
      </c>
      <c r="CL72" s="1466">
        <v>33</v>
      </c>
      <c r="CM72" s="1452"/>
      <c r="CN72" s="1466">
        <v>0</v>
      </c>
      <c r="CO72" s="1466">
        <v>2</v>
      </c>
      <c r="CP72" s="1466">
        <v>130</v>
      </c>
      <c r="CQ72" s="1466">
        <v>126</v>
      </c>
      <c r="CR72" s="1466">
        <v>0</v>
      </c>
      <c r="CS72" s="1466">
        <v>1089</v>
      </c>
      <c r="CT72" s="814">
        <f t="shared" ref="CT72:CT95" si="17">+(CJ72+CK72+CP72)/CS72</f>
        <v>0.77318640955004592</v>
      </c>
      <c r="CV72" s="929"/>
      <c r="CW72" s="929"/>
      <c r="CX72" s="1467" t="s">
        <v>277</v>
      </c>
      <c r="CY72" s="1468">
        <v>36</v>
      </c>
      <c r="CZ72" s="1468">
        <v>16</v>
      </c>
      <c r="DA72" s="929"/>
      <c r="DB72" s="1468">
        <v>21</v>
      </c>
      <c r="DC72" s="1468">
        <v>577</v>
      </c>
      <c r="DD72" s="1468">
        <v>153</v>
      </c>
      <c r="DE72" s="1468">
        <v>29</v>
      </c>
      <c r="DF72" s="929"/>
      <c r="DG72" s="929"/>
      <c r="DH72" s="1468">
        <v>1</v>
      </c>
      <c r="DI72" s="1468">
        <v>112</v>
      </c>
      <c r="DJ72" s="1468">
        <v>135</v>
      </c>
      <c r="DK72" s="1468">
        <v>0</v>
      </c>
      <c r="DL72" s="1468">
        <v>1080</v>
      </c>
      <c r="DM72" s="814">
        <f t="shared" ref="DM72:DM95" si="18">+(DI72+DD72+DC72)/DL72</f>
        <v>0.77962962962962967</v>
      </c>
      <c r="DO72" s="1094"/>
      <c r="DP72" s="1094" t="s">
        <v>21</v>
      </c>
      <c r="DQ72" s="1469" t="s">
        <v>22</v>
      </c>
      <c r="DR72" s="1470">
        <v>177</v>
      </c>
      <c r="DS72" s="1470">
        <v>127</v>
      </c>
      <c r="DT72" s="1470">
        <v>0</v>
      </c>
      <c r="DU72" s="1470">
        <v>133</v>
      </c>
      <c r="DV72" s="1470">
        <v>682</v>
      </c>
      <c r="DW72" s="1470">
        <v>247</v>
      </c>
      <c r="DX72" s="1470">
        <v>169</v>
      </c>
      <c r="DY72" s="1470">
        <v>0</v>
      </c>
      <c r="DZ72" s="1470">
        <v>28</v>
      </c>
      <c r="EA72" s="1470">
        <v>193</v>
      </c>
      <c r="EB72" s="1470">
        <v>371</v>
      </c>
      <c r="EC72" s="1470">
        <v>473</v>
      </c>
      <c r="ED72" s="1470">
        <v>0</v>
      </c>
      <c r="EE72" s="1470">
        <v>21</v>
      </c>
      <c r="EF72" s="1470">
        <v>2621</v>
      </c>
      <c r="EG72" s="1471">
        <f t="shared" ref="EG72:EG90" si="19">+(EA72+DW72+DV72)/(EF72-EE72-EB72)</f>
        <v>0.50336473755047106</v>
      </c>
      <c r="EI72" s="163"/>
      <c r="EJ72" s="163" t="s">
        <v>21</v>
      </c>
      <c r="EK72" s="80" t="s">
        <v>22</v>
      </c>
      <c r="EL72" s="80">
        <v>169</v>
      </c>
      <c r="EM72" s="80">
        <v>128</v>
      </c>
      <c r="EN72" s="80">
        <v>0</v>
      </c>
      <c r="EO72" s="80">
        <v>134</v>
      </c>
      <c r="EP72" s="80">
        <v>643</v>
      </c>
      <c r="EQ72" s="80">
        <v>218</v>
      </c>
      <c r="ER72" s="80">
        <v>169</v>
      </c>
      <c r="ES72" s="80"/>
      <c r="ET72" s="80">
        <v>24</v>
      </c>
      <c r="EU72" s="80">
        <v>201</v>
      </c>
      <c r="EV72" s="80">
        <v>360</v>
      </c>
      <c r="EW72" s="80">
        <v>490</v>
      </c>
      <c r="EX72" s="80">
        <v>0</v>
      </c>
      <c r="EY72" s="80">
        <v>21</v>
      </c>
      <c r="EZ72" s="80">
        <v>2557</v>
      </c>
      <c r="FA72" s="1472">
        <f t="shared" si="11"/>
        <v>0.48805147058823528</v>
      </c>
      <c r="FB72" s="80"/>
      <c r="FC72" s="681"/>
      <c r="FD72" s="681" t="s">
        <v>21</v>
      </c>
      <c r="FE72" s="681" t="s">
        <v>22</v>
      </c>
      <c r="FF72" s="1473">
        <v>177</v>
      </c>
      <c r="FG72" s="1473">
        <v>111</v>
      </c>
      <c r="FH72" s="1473" t="s">
        <v>332</v>
      </c>
      <c r="FI72" s="1473">
        <v>127</v>
      </c>
      <c r="FJ72" s="1473">
        <v>611</v>
      </c>
      <c r="FK72" s="1473">
        <v>207</v>
      </c>
      <c r="FL72" s="1473">
        <v>202</v>
      </c>
      <c r="FM72" s="1473" t="s">
        <v>332</v>
      </c>
      <c r="FN72" s="1473">
        <v>26</v>
      </c>
      <c r="FO72" s="1473">
        <v>240</v>
      </c>
      <c r="FP72" s="1473">
        <v>505</v>
      </c>
      <c r="FQ72" s="1473" t="s">
        <v>332</v>
      </c>
      <c r="FR72" s="1473">
        <v>2206</v>
      </c>
      <c r="FS72" s="1473">
        <f t="shared" si="12"/>
        <v>1058</v>
      </c>
      <c r="FT72" s="1474">
        <f t="shared" si="13"/>
        <v>0.47960108794197642</v>
      </c>
      <c r="FU72" s="80"/>
      <c r="FV72" s="80"/>
    </row>
    <row r="73" spans="1:178">
      <c r="A73" s="73"/>
      <c r="B73" s="73"/>
      <c r="C73" s="738" t="s">
        <v>575</v>
      </c>
      <c r="D73" s="4667">
        <v>778</v>
      </c>
      <c r="E73" s="4667">
        <v>269</v>
      </c>
      <c r="F73" s="4667"/>
      <c r="G73" s="4667">
        <v>1</v>
      </c>
      <c r="H73" s="4667">
        <v>4317</v>
      </c>
      <c r="I73" s="4667">
        <v>1159</v>
      </c>
      <c r="J73" s="4667">
        <v>316</v>
      </c>
      <c r="K73" s="4667"/>
      <c r="L73" s="4667">
        <v>1</v>
      </c>
      <c r="M73" s="4667">
        <v>52</v>
      </c>
      <c r="N73" s="4667">
        <v>1696</v>
      </c>
      <c r="O73" s="4667"/>
      <c r="P73" s="4667">
        <v>1360</v>
      </c>
      <c r="Q73" s="4667">
        <v>1</v>
      </c>
      <c r="R73" s="4667">
        <v>9950</v>
      </c>
      <c r="S73" s="4680">
        <f t="shared" si="14"/>
        <v>0.72087646999698463</v>
      </c>
      <c r="U73" s="73"/>
      <c r="V73" s="73"/>
      <c r="W73" s="738" t="s">
        <v>575</v>
      </c>
      <c r="X73" s="151">
        <v>712</v>
      </c>
      <c r="Y73" s="151">
        <v>308</v>
      </c>
      <c r="Z73" s="151">
        <v>1</v>
      </c>
      <c r="AA73" s="151">
        <v>478</v>
      </c>
      <c r="AB73" s="151">
        <v>4161</v>
      </c>
      <c r="AC73" s="151">
        <v>1190</v>
      </c>
      <c r="AD73" s="151">
        <v>382</v>
      </c>
      <c r="AE73" s="151">
        <v>4</v>
      </c>
      <c r="AF73" s="151">
        <v>4</v>
      </c>
      <c r="AG73" s="151">
        <v>44</v>
      </c>
      <c r="AH73" s="151">
        <v>1784</v>
      </c>
      <c r="AI73" s="151"/>
      <c r="AJ73" s="151">
        <v>1296</v>
      </c>
      <c r="AK73" s="151">
        <v>11</v>
      </c>
      <c r="AL73" s="151">
        <v>10375</v>
      </c>
      <c r="AM73" s="912">
        <f t="shared" si="10"/>
        <v>0.6884407564646855</v>
      </c>
      <c r="AN73" s="3197"/>
      <c r="AO73" s="73"/>
      <c r="AP73" s="73"/>
      <c r="AQ73" s="738" t="s">
        <v>575</v>
      </c>
      <c r="AR73" s="151">
        <v>717</v>
      </c>
      <c r="AS73" s="151">
        <v>324</v>
      </c>
      <c r="AT73" s="151"/>
      <c r="AU73" s="151">
        <v>463</v>
      </c>
      <c r="AV73" s="151">
        <v>4423</v>
      </c>
      <c r="AW73" s="151">
        <v>1115</v>
      </c>
      <c r="AX73" s="151">
        <v>444</v>
      </c>
      <c r="AY73" s="151"/>
      <c r="AZ73" s="151">
        <v>4</v>
      </c>
      <c r="BA73" s="151">
        <v>32</v>
      </c>
      <c r="BB73" s="151">
        <v>1703</v>
      </c>
      <c r="BC73" s="151"/>
      <c r="BD73" s="151">
        <v>1260</v>
      </c>
      <c r="BE73" s="151">
        <v>20</v>
      </c>
      <c r="BF73" s="151">
        <v>10505</v>
      </c>
      <c r="BG73" s="912">
        <f t="shared" si="15"/>
        <v>0.69060562708631379</v>
      </c>
      <c r="BI73" s="2140"/>
      <c r="BJ73" s="2140"/>
      <c r="BK73" s="2142" t="s">
        <v>575</v>
      </c>
      <c r="BL73" s="2152">
        <v>639</v>
      </c>
      <c r="BM73" s="2152">
        <v>282</v>
      </c>
      <c r="BN73" s="2153"/>
      <c r="BO73" s="2152">
        <v>442</v>
      </c>
      <c r="BP73" s="2152">
        <v>4731</v>
      </c>
      <c r="BQ73" s="2152">
        <v>1077</v>
      </c>
      <c r="BR73" s="2152">
        <v>456</v>
      </c>
      <c r="BS73" s="2153"/>
      <c r="BT73" s="2152">
        <v>3</v>
      </c>
      <c r="BU73" s="2152">
        <v>37</v>
      </c>
      <c r="BV73" s="2152">
        <v>1663</v>
      </c>
      <c r="BW73" s="2153"/>
      <c r="BX73" s="2152">
        <v>1408</v>
      </c>
      <c r="BY73" s="2152">
        <v>19</v>
      </c>
      <c r="BZ73" s="2152">
        <v>10757</v>
      </c>
      <c r="CA73" s="2154">
        <f t="shared" si="16"/>
        <v>0.69575339914322964</v>
      </c>
      <c r="CC73" s="1452"/>
      <c r="CD73" s="1452"/>
      <c r="CE73" s="1475" t="s">
        <v>575</v>
      </c>
      <c r="CF73" s="1476">
        <v>688</v>
      </c>
      <c r="CG73" s="1476">
        <v>292</v>
      </c>
      <c r="CH73" s="1477">
        <v>1</v>
      </c>
      <c r="CI73" s="1476">
        <v>592</v>
      </c>
      <c r="CJ73" s="1476">
        <v>4869</v>
      </c>
      <c r="CK73" s="1476">
        <v>1124</v>
      </c>
      <c r="CL73" s="1476">
        <v>523</v>
      </c>
      <c r="CM73" s="1477"/>
      <c r="CN73" s="1476">
        <v>1</v>
      </c>
      <c r="CO73" s="1476">
        <v>42</v>
      </c>
      <c r="CP73" s="1476">
        <v>1695</v>
      </c>
      <c r="CQ73" s="1476">
        <v>2048</v>
      </c>
      <c r="CR73" s="1476">
        <v>37</v>
      </c>
      <c r="CS73" s="1476">
        <v>11912</v>
      </c>
      <c r="CT73" s="1478">
        <f t="shared" si="17"/>
        <v>0.64539959704499661</v>
      </c>
      <c r="CV73" s="929"/>
      <c r="CW73" s="929"/>
      <c r="CX73" s="1090" t="s">
        <v>575</v>
      </c>
      <c r="CY73" s="1479">
        <v>576</v>
      </c>
      <c r="CZ73" s="1479">
        <v>369</v>
      </c>
      <c r="DA73" s="1093"/>
      <c r="DB73" s="1479">
        <v>590</v>
      </c>
      <c r="DC73" s="1479">
        <v>4740</v>
      </c>
      <c r="DD73" s="1479">
        <v>1316</v>
      </c>
      <c r="DE73" s="1479">
        <v>491</v>
      </c>
      <c r="DF73" s="1093"/>
      <c r="DG73" s="1093"/>
      <c r="DH73" s="1479">
        <v>18</v>
      </c>
      <c r="DI73" s="1479">
        <v>1570</v>
      </c>
      <c r="DJ73" s="1479">
        <v>2111</v>
      </c>
      <c r="DK73" s="1479">
        <v>37</v>
      </c>
      <c r="DL73" s="1479">
        <v>11818</v>
      </c>
      <c r="DM73" s="803">
        <f t="shared" si="18"/>
        <v>0.6452868505669318</v>
      </c>
      <c r="DO73" s="1094"/>
      <c r="DP73" s="1094"/>
      <c r="DQ73" s="1469" t="s">
        <v>23</v>
      </c>
      <c r="DR73" s="1470">
        <v>81</v>
      </c>
      <c r="DS73" s="1470">
        <v>36</v>
      </c>
      <c r="DT73" s="1470">
        <v>0</v>
      </c>
      <c r="DU73" s="1470">
        <v>39</v>
      </c>
      <c r="DV73" s="1470">
        <v>363</v>
      </c>
      <c r="DW73" s="1470">
        <v>129</v>
      </c>
      <c r="DX73" s="1470">
        <v>60</v>
      </c>
      <c r="DY73" s="1470">
        <v>0</v>
      </c>
      <c r="DZ73" s="1470">
        <v>6</v>
      </c>
      <c r="EA73" s="1470">
        <v>161</v>
      </c>
      <c r="EB73" s="1470">
        <v>128</v>
      </c>
      <c r="EC73" s="1470">
        <v>154</v>
      </c>
      <c r="ED73" s="1470">
        <v>0</v>
      </c>
      <c r="EE73" s="1470">
        <v>6</v>
      </c>
      <c r="EF73" s="1470">
        <v>1163</v>
      </c>
      <c r="EG73" s="1471">
        <f t="shared" si="19"/>
        <v>0.63459669582118561</v>
      </c>
      <c r="EI73" s="163"/>
      <c r="EJ73" s="163"/>
      <c r="EK73" s="80" t="s">
        <v>23</v>
      </c>
      <c r="EL73" s="80">
        <v>76</v>
      </c>
      <c r="EM73" s="80">
        <v>33</v>
      </c>
      <c r="EN73" s="80">
        <v>0</v>
      </c>
      <c r="EO73" s="80">
        <v>38</v>
      </c>
      <c r="EP73" s="80">
        <v>380</v>
      </c>
      <c r="EQ73" s="80">
        <v>134</v>
      </c>
      <c r="ER73" s="80">
        <v>51</v>
      </c>
      <c r="ES73" s="80"/>
      <c r="ET73" s="80">
        <v>10</v>
      </c>
      <c r="EU73" s="80">
        <v>161</v>
      </c>
      <c r="EV73" s="80">
        <v>119</v>
      </c>
      <c r="EW73" s="80">
        <v>169</v>
      </c>
      <c r="EX73" s="80">
        <v>0</v>
      </c>
      <c r="EY73" s="80">
        <v>7</v>
      </c>
      <c r="EZ73" s="80">
        <v>1178</v>
      </c>
      <c r="FA73" s="1472">
        <f t="shared" si="11"/>
        <v>0.64163498098859317</v>
      </c>
      <c r="FB73" s="80"/>
      <c r="FC73" s="681"/>
      <c r="FD73" s="681"/>
      <c r="FE73" s="681" t="s">
        <v>23</v>
      </c>
      <c r="FF73" s="1473">
        <v>62</v>
      </c>
      <c r="FG73" s="1473">
        <v>40</v>
      </c>
      <c r="FH73" s="1473" t="s">
        <v>332</v>
      </c>
      <c r="FI73" s="1473">
        <v>41</v>
      </c>
      <c r="FJ73" s="1473">
        <v>391</v>
      </c>
      <c r="FK73" s="1473">
        <v>117</v>
      </c>
      <c r="FL73" s="1473">
        <v>50</v>
      </c>
      <c r="FM73" s="1473" t="s">
        <v>332</v>
      </c>
      <c r="FN73" s="1473">
        <v>5</v>
      </c>
      <c r="FO73" s="1473">
        <v>198</v>
      </c>
      <c r="FP73" s="1473">
        <v>174</v>
      </c>
      <c r="FQ73" s="1473" t="s">
        <v>332</v>
      </c>
      <c r="FR73" s="1473">
        <v>1078</v>
      </c>
      <c r="FS73" s="1473">
        <f t="shared" si="12"/>
        <v>706</v>
      </c>
      <c r="FT73" s="1474">
        <f t="shared" si="13"/>
        <v>0.65491651205936918</v>
      </c>
      <c r="FU73" s="80"/>
      <c r="FV73" s="80"/>
    </row>
    <row r="74" spans="1:178">
      <c r="A74" s="73"/>
      <c r="B74" s="73" t="s">
        <v>21</v>
      </c>
      <c r="C74" s="73" t="s">
        <v>22</v>
      </c>
      <c r="D74" s="161">
        <v>141</v>
      </c>
      <c r="E74" s="161">
        <v>118</v>
      </c>
      <c r="F74" s="161"/>
      <c r="G74" s="161"/>
      <c r="H74" s="161">
        <v>695</v>
      </c>
      <c r="I74" s="161">
        <v>189</v>
      </c>
      <c r="J74" s="161">
        <v>105</v>
      </c>
      <c r="K74" s="161"/>
      <c r="L74" s="161"/>
      <c r="M74" s="161">
        <v>40</v>
      </c>
      <c r="N74" s="161">
        <v>155</v>
      </c>
      <c r="O74" s="161"/>
      <c r="P74" s="161">
        <v>290</v>
      </c>
      <c r="Q74" s="161"/>
      <c r="R74" s="161">
        <v>1733</v>
      </c>
      <c r="S74" s="4680">
        <f t="shared" si="14"/>
        <v>0.59953837276399302</v>
      </c>
      <c r="U74" s="73"/>
      <c r="V74" s="73" t="s">
        <v>21</v>
      </c>
      <c r="W74" s="73" t="s">
        <v>22</v>
      </c>
      <c r="X74" s="161">
        <v>155</v>
      </c>
      <c r="Y74" s="161">
        <v>143</v>
      </c>
      <c r="Z74" s="161">
        <v>0</v>
      </c>
      <c r="AA74" s="161">
        <v>74</v>
      </c>
      <c r="AB74" s="161">
        <v>673</v>
      </c>
      <c r="AC74" s="161">
        <v>176</v>
      </c>
      <c r="AD74" s="161">
        <v>139</v>
      </c>
      <c r="AE74" s="161"/>
      <c r="AF74" s="161">
        <v>0</v>
      </c>
      <c r="AG74" s="161">
        <v>37</v>
      </c>
      <c r="AH74" s="161">
        <v>168</v>
      </c>
      <c r="AI74" s="161"/>
      <c r="AJ74" s="161">
        <v>290</v>
      </c>
      <c r="AK74" s="161">
        <v>1</v>
      </c>
      <c r="AL74" s="161">
        <v>1856</v>
      </c>
      <c r="AM74" s="2585">
        <f t="shared" si="10"/>
        <v>0.54824797843665773</v>
      </c>
      <c r="AN74" s="3196"/>
      <c r="AO74" s="73"/>
      <c r="AP74" s="73" t="s">
        <v>21</v>
      </c>
      <c r="AQ74" s="73" t="s">
        <v>22</v>
      </c>
      <c r="AR74" s="161">
        <v>157</v>
      </c>
      <c r="AS74" s="161">
        <v>149</v>
      </c>
      <c r="AT74" s="161"/>
      <c r="AU74" s="161">
        <v>80</v>
      </c>
      <c r="AV74" s="161">
        <v>696</v>
      </c>
      <c r="AW74" s="161">
        <v>180</v>
      </c>
      <c r="AX74" s="161">
        <v>120</v>
      </c>
      <c r="AY74" s="161"/>
      <c r="AZ74" s="161">
        <v>0</v>
      </c>
      <c r="BA74" s="161">
        <v>29</v>
      </c>
      <c r="BB74" s="161">
        <v>162</v>
      </c>
      <c r="BC74" s="161"/>
      <c r="BD74" s="161">
        <v>299</v>
      </c>
      <c r="BE74" s="161">
        <v>1</v>
      </c>
      <c r="BF74" s="161">
        <v>1873</v>
      </c>
      <c r="BG74" s="2585">
        <f t="shared" si="15"/>
        <v>0.55448717948717952</v>
      </c>
      <c r="BI74" s="2140"/>
      <c r="BJ74" s="2140" t="s">
        <v>21</v>
      </c>
      <c r="BK74" s="2148" t="s">
        <v>22</v>
      </c>
      <c r="BL74" s="2149">
        <v>134</v>
      </c>
      <c r="BM74" s="2149">
        <v>138</v>
      </c>
      <c r="BN74" s="2150"/>
      <c r="BO74" s="2149">
        <v>85</v>
      </c>
      <c r="BP74" s="2149">
        <v>750</v>
      </c>
      <c r="BQ74" s="2149">
        <v>157</v>
      </c>
      <c r="BR74" s="2149">
        <v>129</v>
      </c>
      <c r="BS74" s="2150"/>
      <c r="BT74" s="2149">
        <v>0</v>
      </c>
      <c r="BU74" s="2149">
        <v>24</v>
      </c>
      <c r="BV74" s="2149">
        <v>183</v>
      </c>
      <c r="BW74" s="2150"/>
      <c r="BX74" s="2149">
        <v>329</v>
      </c>
      <c r="BY74" s="2149">
        <v>3</v>
      </c>
      <c r="BZ74" s="2149">
        <v>1932</v>
      </c>
      <c r="CA74" s="2151">
        <f t="shared" si="16"/>
        <v>0.56505961638154489</v>
      </c>
      <c r="CC74" s="1452"/>
      <c r="CD74" s="1452" t="s">
        <v>21</v>
      </c>
      <c r="CE74" s="1465" t="s">
        <v>22</v>
      </c>
      <c r="CF74" s="1466">
        <v>162</v>
      </c>
      <c r="CG74" s="1466">
        <v>103</v>
      </c>
      <c r="CH74" s="1466">
        <v>0</v>
      </c>
      <c r="CI74" s="1466">
        <v>128</v>
      </c>
      <c r="CJ74" s="1466">
        <v>734</v>
      </c>
      <c r="CK74" s="1466">
        <v>222</v>
      </c>
      <c r="CL74" s="1466">
        <v>122</v>
      </c>
      <c r="CM74" s="1452"/>
      <c r="CN74" s="1452"/>
      <c r="CO74" s="1466">
        <v>28</v>
      </c>
      <c r="CP74" s="1466">
        <v>192</v>
      </c>
      <c r="CQ74" s="1466">
        <v>443</v>
      </c>
      <c r="CR74" s="1466">
        <v>0</v>
      </c>
      <c r="CS74" s="1466">
        <v>2134</v>
      </c>
      <c r="CT74" s="814">
        <f t="shared" si="17"/>
        <v>0.53795688847235235</v>
      </c>
      <c r="CV74" s="929"/>
      <c r="CW74" s="929" t="s">
        <v>21</v>
      </c>
      <c r="CX74" s="1467" t="s">
        <v>22</v>
      </c>
      <c r="CY74" s="1468">
        <v>171</v>
      </c>
      <c r="CZ74" s="1468">
        <v>150</v>
      </c>
      <c r="DA74" s="929"/>
      <c r="DB74" s="1468">
        <v>133</v>
      </c>
      <c r="DC74" s="1468">
        <v>706</v>
      </c>
      <c r="DD74" s="1468">
        <v>252</v>
      </c>
      <c r="DE74" s="1468">
        <v>137</v>
      </c>
      <c r="DF74" s="929"/>
      <c r="DG74" s="929"/>
      <c r="DH74" s="1468">
        <v>30</v>
      </c>
      <c r="DI74" s="1468">
        <v>168</v>
      </c>
      <c r="DJ74" s="1468">
        <v>434</v>
      </c>
      <c r="DK74" s="1468">
        <v>0</v>
      </c>
      <c r="DL74" s="1468">
        <v>2181</v>
      </c>
      <c r="DM74" s="814">
        <f t="shared" si="18"/>
        <v>0.51627693718477763</v>
      </c>
      <c r="DO74" s="1094"/>
      <c r="DP74" s="1094"/>
      <c r="DQ74" s="1469" t="s">
        <v>24</v>
      </c>
      <c r="DR74" s="1470">
        <v>68</v>
      </c>
      <c r="DS74" s="1470">
        <v>36</v>
      </c>
      <c r="DT74" s="1470">
        <v>0</v>
      </c>
      <c r="DU74" s="1470">
        <v>54</v>
      </c>
      <c r="DV74" s="1470">
        <v>230</v>
      </c>
      <c r="DW74" s="1470">
        <v>133</v>
      </c>
      <c r="DX74" s="1470">
        <v>75</v>
      </c>
      <c r="DY74" s="1470">
        <v>0</v>
      </c>
      <c r="DZ74" s="1470">
        <v>11</v>
      </c>
      <c r="EA74" s="1470">
        <v>152</v>
      </c>
      <c r="EB74" s="1470">
        <v>169</v>
      </c>
      <c r="EC74" s="1470">
        <v>242</v>
      </c>
      <c r="ED74" s="1470">
        <v>0</v>
      </c>
      <c r="EE74" s="1470">
        <v>11</v>
      </c>
      <c r="EF74" s="1470">
        <v>1181</v>
      </c>
      <c r="EG74" s="1471">
        <f t="shared" si="19"/>
        <v>0.51448551448551449</v>
      </c>
      <c r="EI74" s="163"/>
      <c r="EJ74" s="163"/>
      <c r="EK74" s="80" t="s">
        <v>24</v>
      </c>
      <c r="EL74" s="80">
        <v>47</v>
      </c>
      <c r="EM74" s="80">
        <v>46</v>
      </c>
      <c r="EN74" s="80">
        <v>1</v>
      </c>
      <c r="EO74" s="80">
        <v>57</v>
      </c>
      <c r="EP74" s="80">
        <v>240</v>
      </c>
      <c r="EQ74" s="80">
        <v>145</v>
      </c>
      <c r="ER74" s="80">
        <v>80</v>
      </c>
      <c r="ES74" s="80"/>
      <c r="ET74" s="80">
        <v>12</v>
      </c>
      <c r="EU74" s="80">
        <v>185</v>
      </c>
      <c r="EV74" s="80">
        <v>158</v>
      </c>
      <c r="EW74" s="80">
        <v>227</v>
      </c>
      <c r="EX74" s="80">
        <v>0</v>
      </c>
      <c r="EY74" s="80">
        <v>14</v>
      </c>
      <c r="EZ74" s="80">
        <v>1212</v>
      </c>
      <c r="FA74" s="1472">
        <f t="shared" si="11"/>
        <v>0.54807692307692313</v>
      </c>
      <c r="FB74" s="80"/>
      <c r="FC74" s="681"/>
      <c r="FD74" s="681"/>
      <c r="FE74" s="681" t="s">
        <v>24</v>
      </c>
      <c r="FF74" s="1473">
        <v>62</v>
      </c>
      <c r="FG74" s="1473">
        <v>43</v>
      </c>
      <c r="FH74" s="1473" t="s">
        <v>332</v>
      </c>
      <c r="FI74" s="1473">
        <v>51</v>
      </c>
      <c r="FJ74" s="1473">
        <v>239</v>
      </c>
      <c r="FK74" s="1473">
        <v>127</v>
      </c>
      <c r="FL74" s="1473">
        <v>98</v>
      </c>
      <c r="FM74" s="1473" t="s">
        <v>332</v>
      </c>
      <c r="FN74" s="1473">
        <v>12</v>
      </c>
      <c r="FO74" s="1473">
        <v>205</v>
      </c>
      <c r="FP74" s="1473">
        <v>228</v>
      </c>
      <c r="FQ74" s="1473" t="s">
        <v>332</v>
      </c>
      <c r="FR74" s="1473">
        <v>1065</v>
      </c>
      <c r="FS74" s="1473">
        <f t="shared" si="12"/>
        <v>571</v>
      </c>
      <c r="FT74" s="1474">
        <f t="shared" si="13"/>
        <v>0.53615023474178403</v>
      </c>
      <c r="FU74" s="80"/>
      <c r="FV74" s="80"/>
    </row>
    <row r="75" spans="1:178">
      <c r="A75" s="73"/>
      <c r="B75" s="73"/>
      <c r="C75" s="73" t="s">
        <v>23</v>
      </c>
      <c r="D75" s="161">
        <v>28</v>
      </c>
      <c r="E75" s="161">
        <v>40</v>
      </c>
      <c r="F75" s="161"/>
      <c r="G75" s="161"/>
      <c r="H75" s="161">
        <v>352</v>
      </c>
      <c r="I75" s="161">
        <v>118</v>
      </c>
      <c r="J75" s="161">
        <v>30</v>
      </c>
      <c r="K75" s="161"/>
      <c r="L75" s="161"/>
      <c r="M75" s="161">
        <v>6</v>
      </c>
      <c r="N75" s="161">
        <v>171</v>
      </c>
      <c r="O75" s="161"/>
      <c r="P75" s="161">
        <v>110</v>
      </c>
      <c r="Q75" s="161"/>
      <c r="R75" s="161">
        <v>855</v>
      </c>
      <c r="S75" s="4680">
        <f t="shared" si="14"/>
        <v>0.74970760233918132</v>
      </c>
      <c r="U75" s="73"/>
      <c r="V75" s="73"/>
      <c r="W75" s="73" t="s">
        <v>23</v>
      </c>
      <c r="X75" s="161">
        <v>34</v>
      </c>
      <c r="Y75" s="161">
        <v>44</v>
      </c>
      <c r="Z75" s="161">
        <v>1</v>
      </c>
      <c r="AA75" s="161">
        <v>20</v>
      </c>
      <c r="AB75" s="161">
        <v>296</v>
      </c>
      <c r="AC75" s="161">
        <v>134</v>
      </c>
      <c r="AD75" s="161">
        <v>37</v>
      </c>
      <c r="AE75" s="161"/>
      <c r="AF75" s="161">
        <v>0</v>
      </c>
      <c r="AG75" s="161">
        <v>5</v>
      </c>
      <c r="AH75" s="161">
        <v>194</v>
      </c>
      <c r="AI75" s="161"/>
      <c r="AJ75" s="161">
        <v>101</v>
      </c>
      <c r="AK75" s="161">
        <v>0</v>
      </c>
      <c r="AL75" s="161">
        <v>866</v>
      </c>
      <c r="AM75" s="2585">
        <f t="shared" si="10"/>
        <v>0.72055427251732107</v>
      </c>
      <c r="AN75" s="3196"/>
      <c r="AO75" s="73"/>
      <c r="AP75" s="73"/>
      <c r="AQ75" s="73" t="s">
        <v>23</v>
      </c>
      <c r="AR75" s="161">
        <v>34</v>
      </c>
      <c r="AS75" s="161">
        <v>39</v>
      </c>
      <c r="AT75" s="161"/>
      <c r="AU75" s="161">
        <v>23</v>
      </c>
      <c r="AV75" s="161">
        <v>298</v>
      </c>
      <c r="AW75" s="161">
        <v>131</v>
      </c>
      <c r="AX75" s="161">
        <v>35</v>
      </c>
      <c r="AY75" s="161"/>
      <c r="AZ75" s="161">
        <v>0</v>
      </c>
      <c r="BA75" s="161">
        <v>8</v>
      </c>
      <c r="BB75" s="161">
        <v>201</v>
      </c>
      <c r="BC75" s="161"/>
      <c r="BD75" s="161">
        <v>102</v>
      </c>
      <c r="BE75" s="161">
        <v>0</v>
      </c>
      <c r="BF75" s="161">
        <v>871</v>
      </c>
      <c r="BG75" s="2585">
        <f t="shared" si="15"/>
        <v>0.72330654420206664</v>
      </c>
      <c r="BI75" s="2140"/>
      <c r="BJ75" s="2140"/>
      <c r="BK75" s="2148" t="s">
        <v>23</v>
      </c>
      <c r="BL75" s="2149">
        <v>43</v>
      </c>
      <c r="BM75" s="2149">
        <v>38</v>
      </c>
      <c r="BN75" s="2150"/>
      <c r="BO75" s="2149">
        <v>22</v>
      </c>
      <c r="BP75" s="2149">
        <v>322</v>
      </c>
      <c r="BQ75" s="2149">
        <v>131</v>
      </c>
      <c r="BR75" s="2149">
        <v>39</v>
      </c>
      <c r="BS75" s="2150"/>
      <c r="BT75" s="2149">
        <v>0</v>
      </c>
      <c r="BU75" s="2149">
        <v>10</v>
      </c>
      <c r="BV75" s="2149">
        <v>174</v>
      </c>
      <c r="BW75" s="2150"/>
      <c r="BX75" s="2149">
        <v>112</v>
      </c>
      <c r="BY75" s="2149">
        <v>0</v>
      </c>
      <c r="BZ75" s="2149">
        <v>891</v>
      </c>
      <c r="CA75" s="2151">
        <f t="shared" si="16"/>
        <v>0.70370370370370372</v>
      </c>
      <c r="CC75" s="1452"/>
      <c r="CD75" s="1452"/>
      <c r="CE75" s="1465" t="s">
        <v>23</v>
      </c>
      <c r="CF75" s="1466">
        <v>47</v>
      </c>
      <c r="CG75" s="1466">
        <v>29</v>
      </c>
      <c r="CH75" s="1466">
        <v>0</v>
      </c>
      <c r="CI75" s="1466">
        <v>32</v>
      </c>
      <c r="CJ75" s="1466">
        <v>323</v>
      </c>
      <c r="CK75" s="1466">
        <v>135</v>
      </c>
      <c r="CL75" s="1466">
        <v>53</v>
      </c>
      <c r="CM75" s="1452"/>
      <c r="CN75" s="1452"/>
      <c r="CO75" s="1466">
        <v>6</v>
      </c>
      <c r="CP75" s="1466">
        <v>191</v>
      </c>
      <c r="CQ75" s="1466">
        <v>148</v>
      </c>
      <c r="CR75" s="1466">
        <v>0</v>
      </c>
      <c r="CS75" s="1466">
        <v>964</v>
      </c>
      <c r="CT75" s="814">
        <f t="shared" si="17"/>
        <v>0.67323651452282163</v>
      </c>
      <c r="CV75" s="929"/>
      <c r="CW75" s="929"/>
      <c r="CX75" s="1467" t="s">
        <v>23</v>
      </c>
      <c r="CY75" s="1468">
        <v>44</v>
      </c>
      <c r="CZ75" s="1468">
        <v>62</v>
      </c>
      <c r="DA75" s="929"/>
      <c r="DB75" s="1468">
        <v>38</v>
      </c>
      <c r="DC75" s="1468">
        <v>349</v>
      </c>
      <c r="DD75" s="1468">
        <v>138</v>
      </c>
      <c r="DE75" s="1468">
        <v>47</v>
      </c>
      <c r="DF75" s="929"/>
      <c r="DG75" s="929"/>
      <c r="DH75" s="1468">
        <v>7</v>
      </c>
      <c r="DI75" s="1468">
        <v>174</v>
      </c>
      <c r="DJ75" s="1468">
        <v>147</v>
      </c>
      <c r="DK75" s="1468">
        <v>0</v>
      </c>
      <c r="DL75" s="1468">
        <v>1006</v>
      </c>
      <c r="DM75" s="814">
        <f t="shared" si="18"/>
        <v>0.65705765407554673</v>
      </c>
      <c r="DO75" s="1094"/>
      <c r="DP75" s="1094"/>
      <c r="DQ75" s="1469" t="s">
        <v>58</v>
      </c>
      <c r="DR75" s="1470">
        <v>57</v>
      </c>
      <c r="DS75" s="1470">
        <v>41</v>
      </c>
      <c r="DT75" s="1470">
        <v>0</v>
      </c>
      <c r="DU75" s="1470">
        <v>85</v>
      </c>
      <c r="DV75" s="1470">
        <v>190</v>
      </c>
      <c r="DW75" s="1470">
        <v>76</v>
      </c>
      <c r="DX75" s="1470">
        <v>30</v>
      </c>
      <c r="DY75" s="1470">
        <v>0</v>
      </c>
      <c r="DZ75" s="1470">
        <v>6</v>
      </c>
      <c r="EA75" s="1470">
        <v>51</v>
      </c>
      <c r="EB75" s="1470">
        <v>141</v>
      </c>
      <c r="EC75" s="1470">
        <v>142</v>
      </c>
      <c r="ED75" s="1470">
        <v>106</v>
      </c>
      <c r="EE75" s="1470">
        <v>11</v>
      </c>
      <c r="EF75" s="1470">
        <v>936</v>
      </c>
      <c r="EG75" s="1471">
        <f t="shared" si="19"/>
        <v>0.40433673469387754</v>
      </c>
      <c r="EI75" s="163"/>
      <c r="EJ75" s="163"/>
      <c r="EK75" s="80" t="s">
        <v>58</v>
      </c>
      <c r="EL75" s="80">
        <v>42</v>
      </c>
      <c r="EM75" s="80">
        <v>33</v>
      </c>
      <c r="EN75" s="80">
        <v>0</v>
      </c>
      <c r="EO75" s="80">
        <v>81</v>
      </c>
      <c r="EP75" s="80">
        <v>170</v>
      </c>
      <c r="EQ75" s="80">
        <v>72</v>
      </c>
      <c r="ER75" s="80">
        <v>46</v>
      </c>
      <c r="ES75" s="80"/>
      <c r="ET75" s="80">
        <v>8</v>
      </c>
      <c r="EU75" s="80">
        <v>57</v>
      </c>
      <c r="EV75" s="80">
        <v>145</v>
      </c>
      <c r="EW75" s="80">
        <v>141</v>
      </c>
      <c r="EX75" s="80">
        <v>106</v>
      </c>
      <c r="EY75" s="80">
        <v>12</v>
      </c>
      <c r="EZ75" s="80">
        <v>913</v>
      </c>
      <c r="FA75" s="1472">
        <f t="shared" si="11"/>
        <v>0.39550264550264552</v>
      </c>
      <c r="FB75" s="80"/>
      <c r="FC75" s="681"/>
      <c r="FD75" s="681"/>
      <c r="FE75" s="681" t="s">
        <v>58</v>
      </c>
      <c r="FF75" s="1473">
        <v>33</v>
      </c>
      <c r="FG75" s="1473">
        <v>20</v>
      </c>
      <c r="FH75" s="1473" t="s">
        <v>332</v>
      </c>
      <c r="FI75" s="1473">
        <v>75</v>
      </c>
      <c r="FJ75" s="1473">
        <v>153</v>
      </c>
      <c r="FK75" s="1473">
        <v>80</v>
      </c>
      <c r="FL75" s="1473">
        <v>45</v>
      </c>
      <c r="FM75" s="1473" t="s">
        <v>332</v>
      </c>
      <c r="FN75" s="1473">
        <v>2</v>
      </c>
      <c r="FO75" s="1473">
        <v>66</v>
      </c>
      <c r="FP75" s="1473">
        <v>149</v>
      </c>
      <c r="FQ75" s="1473">
        <v>97</v>
      </c>
      <c r="FR75" s="1473">
        <v>720</v>
      </c>
      <c r="FS75" s="1473">
        <f t="shared" si="12"/>
        <v>299</v>
      </c>
      <c r="FT75" s="1474">
        <f t="shared" si="13"/>
        <v>0.4152777777777778</v>
      </c>
      <c r="FU75" s="80"/>
      <c r="FV75" s="80"/>
    </row>
    <row r="76" spans="1:178">
      <c r="A76" s="73"/>
      <c r="B76" s="73"/>
      <c r="C76" s="73" t="s">
        <v>24</v>
      </c>
      <c r="D76" s="161">
        <v>83</v>
      </c>
      <c r="E76" s="161">
        <v>47</v>
      </c>
      <c r="F76" s="161"/>
      <c r="G76" s="161"/>
      <c r="H76" s="161">
        <v>235</v>
      </c>
      <c r="I76" s="161">
        <v>110</v>
      </c>
      <c r="J76" s="161">
        <v>56</v>
      </c>
      <c r="K76" s="161"/>
      <c r="L76" s="161"/>
      <c r="M76" s="161">
        <v>6</v>
      </c>
      <c r="N76" s="161">
        <v>137</v>
      </c>
      <c r="O76" s="161"/>
      <c r="P76" s="161">
        <v>154</v>
      </c>
      <c r="Q76" s="161"/>
      <c r="R76" s="161">
        <v>828</v>
      </c>
      <c r="S76" s="4680">
        <f t="shared" si="14"/>
        <v>0.58212560386473433</v>
      </c>
      <c r="U76" s="73"/>
      <c r="V76" s="73"/>
      <c r="W76" s="73" t="s">
        <v>24</v>
      </c>
      <c r="X76" s="161">
        <v>62</v>
      </c>
      <c r="Y76" s="161">
        <v>67</v>
      </c>
      <c r="Z76" s="161">
        <v>0</v>
      </c>
      <c r="AA76" s="161">
        <v>43</v>
      </c>
      <c r="AB76" s="161">
        <v>204</v>
      </c>
      <c r="AC76" s="161">
        <v>102</v>
      </c>
      <c r="AD76" s="161">
        <v>62</v>
      </c>
      <c r="AE76" s="161"/>
      <c r="AF76" s="161">
        <v>0</v>
      </c>
      <c r="AG76" s="161">
        <v>15</v>
      </c>
      <c r="AH76" s="161">
        <v>155</v>
      </c>
      <c r="AI76" s="161"/>
      <c r="AJ76" s="161">
        <v>152</v>
      </c>
      <c r="AK76" s="161">
        <v>1</v>
      </c>
      <c r="AL76" s="161">
        <v>863</v>
      </c>
      <c r="AM76" s="2585">
        <f t="shared" si="10"/>
        <v>0.53480278422273786</v>
      </c>
      <c r="AN76" s="3196"/>
      <c r="AO76" s="73"/>
      <c r="AP76" s="73"/>
      <c r="AQ76" s="73" t="s">
        <v>24</v>
      </c>
      <c r="AR76" s="161">
        <v>72</v>
      </c>
      <c r="AS76" s="161">
        <v>50</v>
      </c>
      <c r="AT76" s="161"/>
      <c r="AU76" s="161">
        <v>46</v>
      </c>
      <c r="AV76" s="161">
        <v>206</v>
      </c>
      <c r="AW76" s="161">
        <v>74</v>
      </c>
      <c r="AX76" s="161">
        <v>69</v>
      </c>
      <c r="AY76" s="161"/>
      <c r="AZ76" s="161">
        <v>0</v>
      </c>
      <c r="BA76" s="161">
        <v>10</v>
      </c>
      <c r="BB76" s="161">
        <v>158</v>
      </c>
      <c r="BC76" s="161"/>
      <c r="BD76" s="161">
        <v>167</v>
      </c>
      <c r="BE76" s="161">
        <v>1</v>
      </c>
      <c r="BF76" s="161">
        <v>853</v>
      </c>
      <c r="BG76" s="2585">
        <f t="shared" si="15"/>
        <v>0.5140845070422535</v>
      </c>
      <c r="BI76" s="2140"/>
      <c r="BJ76" s="2140"/>
      <c r="BK76" s="2148" t="s">
        <v>24</v>
      </c>
      <c r="BL76" s="2149">
        <v>79</v>
      </c>
      <c r="BM76" s="2149">
        <v>55</v>
      </c>
      <c r="BN76" s="2150"/>
      <c r="BO76" s="2149">
        <v>49</v>
      </c>
      <c r="BP76" s="2149">
        <v>214</v>
      </c>
      <c r="BQ76" s="2149">
        <v>98</v>
      </c>
      <c r="BR76" s="2149">
        <v>57</v>
      </c>
      <c r="BS76" s="2150"/>
      <c r="BT76" s="2149">
        <v>0</v>
      </c>
      <c r="BU76" s="2149">
        <v>9</v>
      </c>
      <c r="BV76" s="2149">
        <v>124</v>
      </c>
      <c r="BW76" s="2150"/>
      <c r="BX76" s="2149">
        <v>177</v>
      </c>
      <c r="BY76" s="2149">
        <v>2</v>
      </c>
      <c r="BZ76" s="2149">
        <v>864</v>
      </c>
      <c r="CA76" s="2151">
        <f t="shared" si="16"/>
        <v>0.50580046403712298</v>
      </c>
      <c r="CC76" s="1452"/>
      <c r="CD76" s="1452"/>
      <c r="CE76" s="1465" t="s">
        <v>24</v>
      </c>
      <c r="CF76" s="1466">
        <v>59</v>
      </c>
      <c r="CG76" s="1466">
        <v>45</v>
      </c>
      <c r="CH76" s="1466">
        <v>0</v>
      </c>
      <c r="CI76" s="1466">
        <v>61</v>
      </c>
      <c r="CJ76" s="1466">
        <v>216</v>
      </c>
      <c r="CK76" s="1466">
        <v>114</v>
      </c>
      <c r="CL76" s="1466">
        <v>79</v>
      </c>
      <c r="CM76" s="1452"/>
      <c r="CN76" s="1452"/>
      <c r="CO76" s="1466">
        <v>21</v>
      </c>
      <c r="CP76" s="1466">
        <v>140</v>
      </c>
      <c r="CQ76" s="1466">
        <v>227</v>
      </c>
      <c r="CR76" s="1466">
        <v>0</v>
      </c>
      <c r="CS76" s="1466">
        <v>962</v>
      </c>
      <c r="CT76" s="814">
        <f t="shared" si="17"/>
        <v>0.48856548856548859</v>
      </c>
      <c r="CV76" s="929"/>
      <c r="CW76" s="929"/>
      <c r="CX76" s="1467" t="s">
        <v>24</v>
      </c>
      <c r="CY76" s="1468">
        <v>48</v>
      </c>
      <c r="CZ76" s="1468">
        <v>60</v>
      </c>
      <c r="DA76" s="929"/>
      <c r="DB76" s="1468">
        <v>63</v>
      </c>
      <c r="DC76" s="1468">
        <v>220</v>
      </c>
      <c r="DD76" s="1468">
        <v>124</v>
      </c>
      <c r="DE76" s="1468">
        <v>69</v>
      </c>
      <c r="DF76" s="929"/>
      <c r="DG76" s="929"/>
      <c r="DH76" s="1468">
        <v>9</v>
      </c>
      <c r="DI76" s="1468">
        <v>147</v>
      </c>
      <c r="DJ76" s="1468">
        <v>231</v>
      </c>
      <c r="DK76" s="1468">
        <v>0</v>
      </c>
      <c r="DL76" s="1468">
        <v>971</v>
      </c>
      <c r="DM76" s="814">
        <f t="shared" si="18"/>
        <v>0.50566426364572603</v>
      </c>
      <c r="DO76" s="1485"/>
      <c r="DP76" s="1485"/>
      <c r="DQ76" s="1486" t="s">
        <v>574</v>
      </c>
      <c r="DR76" s="1487">
        <v>383</v>
      </c>
      <c r="DS76" s="1487">
        <v>240</v>
      </c>
      <c r="DT76" s="1487">
        <v>0</v>
      </c>
      <c r="DU76" s="1487">
        <v>311</v>
      </c>
      <c r="DV76" s="1487">
        <v>1465</v>
      </c>
      <c r="DW76" s="1487">
        <v>585</v>
      </c>
      <c r="DX76" s="1487">
        <v>334</v>
      </c>
      <c r="DY76" s="1487">
        <v>0</v>
      </c>
      <c r="DZ76" s="1487">
        <v>51</v>
      </c>
      <c r="EA76" s="1487">
        <v>557</v>
      </c>
      <c r="EB76" s="1487">
        <v>809</v>
      </c>
      <c r="EC76" s="1487">
        <v>1011</v>
      </c>
      <c r="ED76" s="1487">
        <v>106</v>
      </c>
      <c r="EE76" s="1487">
        <v>49</v>
      </c>
      <c r="EF76" s="1487">
        <v>5901</v>
      </c>
      <c r="EG76" s="1488">
        <f t="shared" si="19"/>
        <v>0.51695419393218323</v>
      </c>
      <c r="EI76" s="163"/>
      <c r="EJ76" s="163"/>
      <c r="EK76" s="80" t="s">
        <v>15</v>
      </c>
      <c r="EL76" s="80">
        <v>334</v>
      </c>
      <c r="EM76" s="80">
        <v>240</v>
      </c>
      <c r="EN76" s="80">
        <v>1</v>
      </c>
      <c r="EO76" s="80">
        <v>310</v>
      </c>
      <c r="EP76" s="80">
        <v>1433</v>
      </c>
      <c r="EQ76" s="80">
        <v>569</v>
      </c>
      <c r="ER76" s="80">
        <v>346</v>
      </c>
      <c r="ES76" s="80"/>
      <c r="ET76" s="80">
        <v>54</v>
      </c>
      <c r="EU76" s="80">
        <v>604</v>
      </c>
      <c r="EV76" s="80">
        <v>782</v>
      </c>
      <c r="EW76" s="80">
        <v>1027</v>
      </c>
      <c r="EX76" s="80">
        <v>106</v>
      </c>
      <c r="EY76" s="80">
        <v>54</v>
      </c>
      <c r="EZ76" s="80">
        <v>5860</v>
      </c>
      <c r="FA76" s="1472">
        <f t="shared" si="11"/>
        <v>0.51871019108280259</v>
      </c>
      <c r="FB76" s="80"/>
      <c r="FC76" s="681"/>
      <c r="FD76" s="681"/>
      <c r="FE76" s="1482" t="s">
        <v>15</v>
      </c>
      <c r="FF76" s="1483">
        <v>334</v>
      </c>
      <c r="FG76" s="1483">
        <v>214</v>
      </c>
      <c r="FH76" s="1483" t="s">
        <v>332</v>
      </c>
      <c r="FI76" s="1483">
        <v>294</v>
      </c>
      <c r="FJ76" s="1483">
        <v>1394</v>
      </c>
      <c r="FK76" s="1483">
        <v>531</v>
      </c>
      <c r="FL76" s="1483">
        <v>395</v>
      </c>
      <c r="FM76" s="1483" t="s">
        <v>332</v>
      </c>
      <c r="FN76" s="1483">
        <v>45</v>
      </c>
      <c r="FO76" s="1483">
        <v>709</v>
      </c>
      <c r="FP76" s="1483">
        <v>1056</v>
      </c>
      <c r="FQ76" s="1483">
        <v>97</v>
      </c>
      <c r="FR76" s="1483">
        <v>5069</v>
      </c>
      <c r="FS76" s="1483">
        <f t="shared" si="12"/>
        <v>2634</v>
      </c>
      <c r="FT76" s="1484">
        <f t="shared" si="13"/>
        <v>0.51962911816926416</v>
      </c>
      <c r="FU76" s="80"/>
      <c r="FV76" s="80"/>
    </row>
    <row r="77" spans="1:178">
      <c r="A77" s="73"/>
      <c r="B77" s="73"/>
      <c r="C77" s="73" t="s">
        <v>58</v>
      </c>
      <c r="D77" s="161">
        <v>34</v>
      </c>
      <c r="E77" s="161">
        <v>17</v>
      </c>
      <c r="F77" s="161"/>
      <c r="G77" s="161"/>
      <c r="H77" s="161">
        <v>272</v>
      </c>
      <c r="I77" s="161">
        <v>87</v>
      </c>
      <c r="J77" s="161">
        <v>30</v>
      </c>
      <c r="K77" s="161"/>
      <c r="L77" s="161"/>
      <c r="M77" s="161">
        <v>5</v>
      </c>
      <c r="N77" s="161">
        <v>55</v>
      </c>
      <c r="O77" s="161"/>
      <c r="P77" s="161">
        <v>109</v>
      </c>
      <c r="Q77" s="161"/>
      <c r="R77" s="161">
        <v>609</v>
      </c>
      <c r="S77" s="4680">
        <f t="shared" si="14"/>
        <v>0.67980295566502458</v>
      </c>
      <c r="U77" s="73"/>
      <c r="V77" s="73"/>
      <c r="W77" s="73" t="s">
        <v>58</v>
      </c>
      <c r="X77" s="161">
        <v>41</v>
      </c>
      <c r="Y77" s="161">
        <v>20</v>
      </c>
      <c r="Z77" s="161">
        <v>0</v>
      </c>
      <c r="AA77" s="161">
        <v>56</v>
      </c>
      <c r="AB77" s="161">
        <v>242</v>
      </c>
      <c r="AC77" s="161">
        <v>96</v>
      </c>
      <c r="AD77" s="161">
        <v>49</v>
      </c>
      <c r="AE77" s="161"/>
      <c r="AF77" s="161">
        <v>1</v>
      </c>
      <c r="AG77" s="161">
        <v>4</v>
      </c>
      <c r="AH77" s="161">
        <v>69</v>
      </c>
      <c r="AI77" s="161"/>
      <c r="AJ77" s="161">
        <v>112</v>
      </c>
      <c r="AK77" s="161">
        <v>0</v>
      </c>
      <c r="AL77" s="161">
        <v>690</v>
      </c>
      <c r="AM77" s="2585">
        <f t="shared" si="10"/>
        <v>0.58985507246376812</v>
      </c>
      <c r="AN77" s="3196"/>
      <c r="AO77" s="73"/>
      <c r="AP77" s="73"/>
      <c r="AQ77" s="73" t="s">
        <v>58</v>
      </c>
      <c r="AR77" s="161">
        <v>32</v>
      </c>
      <c r="AS77" s="161">
        <v>30</v>
      </c>
      <c r="AT77" s="161"/>
      <c r="AU77" s="161">
        <v>61</v>
      </c>
      <c r="AV77" s="161">
        <v>245</v>
      </c>
      <c r="AW77" s="161">
        <v>80</v>
      </c>
      <c r="AX77" s="161">
        <v>27</v>
      </c>
      <c r="AY77" s="161"/>
      <c r="AZ77" s="161">
        <v>1</v>
      </c>
      <c r="BA77" s="161">
        <v>5</v>
      </c>
      <c r="BB77" s="161">
        <v>74</v>
      </c>
      <c r="BC77" s="161"/>
      <c r="BD77" s="161">
        <v>133</v>
      </c>
      <c r="BE77" s="161">
        <v>0</v>
      </c>
      <c r="BF77" s="161">
        <v>688</v>
      </c>
      <c r="BG77" s="2585">
        <f t="shared" si="15"/>
        <v>0.57994186046511631</v>
      </c>
      <c r="BI77" s="2140"/>
      <c r="BJ77" s="2140"/>
      <c r="BK77" s="2148" t="s">
        <v>58</v>
      </c>
      <c r="BL77" s="2149">
        <v>58</v>
      </c>
      <c r="BM77" s="2149">
        <v>27</v>
      </c>
      <c r="BN77" s="2150"/>
      <c r="BO77" s="2149">
        <v>58</v>
      </c>
      <c r="BP77" s="2149">
        <v>232</v>
      </c>
      <c r="BQ77" s="2149">
        <v>76</v>
      </c>
      <c r="BR77" s="2149">
        <v>30</v>
      </c>
      <c r="BS77" s="2150"/>
      <c r="BT77" s="2149">
        <v>1</v>
      </c>
      <c r="BU77" s="2149">
        <v>6</v>
      </c>
      <c r="BV77" s="2149">
        <v>65</v>
      </c>
      <c r="BW77" s="2150"/>
      <c r="BX77" s="2149">
        <v>135</v>
      </c>
      <c r="BY77" s="2149">
        <v>1</v>
      </c>
      <c r="BZ77" s="2149">
        <v>689</v>
      </c>
      <c r="CA77" s="2151">
        <f t="shared" si="16"/>
        <v>0.54215116279069764</v>
      </c>
      <c r="CC77" s="1452"/>
      <c r="CD77" s="1452"/>
      <c r="CE77" s="1465" t="s">
        <v>58</v>
      </c>
      <c r="CF77" s="1466">
        <v>63</v>
      </c>
      <c r="CG77" s="1466">
        <v>21</v>
      </c>
      <c r="CH77" s="1466">
        <v>1</v>
      </c>
      <c r="CI77" s="1466">
        <v>78</v>
      </c>
      <c r="CJ77" s="1466">
        <v>234</v>
      </c>
      <c r="CK77" s="1466">
        <v>75</v>
      </c>
      <c r="CL77" s="1466">
        <v>32</v>
      </c>
      <c r="CM77" s="1452"/>
      <c r="CN77" s="1452"/>
      <c r="CO77" s="1466">
        <v>5</v>
      </c>
      <c r="CP77" s="1466">
        <v>51</v>
      </c>
      <c r="CQ77" s="1466">
        <v>164</v>
      </c>
      <c r="CR77" s="1466">
        <v>106</v>
      </c>
      <c r="CS77" s="1466">
        <v>830</v>
      </c>
      <c r="CT77" s="814">
        <f t="shared" si="17"/>
        <v>0.43373493975903615</v>
      </c>
      <c r="CV77" s="929"/>
      <c r="CW77" s="929"/>
      <c r="CX77" s="1467" t="s">
        <v>58</v>
      </c>
      <c r="CY77" s="1468">
        <v>40</v>
      </c>
      <c r="CZ77" s="1468">
        <v>39</v>
      </c>
      <c r="DA77" s="929"/>
      <c r="DB77" s="1468">
        <v>81</v>
      </c>
      <c r="DC77" s="1468">
        <v>201</v>
      </c>
      <c r="DD77" s="1468">
        <v>95</v>
      </c>
      <c r="DE77" s="1468">
        <v>28</v>
      </c>
      <c r="DF77" s="929"/>
      <c r="DG77" s="929"/>
      <c r="DH77" s="1468">
        <v>9</v>
      </c>
      <c r="DI77" s="1468">
        <v>55</v>
      </c>
      <c r="DJ77" s="1468">
        <v>149</v>
      </c>
      <c r="DK77" s="1468">
        <v>106</v>
      </c>
      <c r="DL77" s="1468">
        <v>803</v>
      </c>
      <c r="DM77" s="814">
        <f t="shared" si="18"/>
        <v>0.43711083437110837</v>
      </c>
      <c r="DO77" s="1094" t="s">
        <v>59</v>
      </c>
      <c r="DP77" s="1094" t="s">
        <v>16</v>
      </c>
      <c r="DQ77" s="1469" t="s">
        <v>17</v>
      </c>
      <c r="DR77" s="1470">
        <v>48</v>
      </c>
      <c r="DS77" s="1470">
        <v>22</v>
      </c>
      <c r="DT77" s="1470">
        <v>0</v>
      </c>
      <c r="DU77" s="1470">
        <v>8</v>
      </c>
      <c r="DV77" s="1470">
        <v>95</v>
      </c>
      <c r="DW77" s="1470">
        <v>9</v>
      </c>
      <c r="DX77" s="1470">
        <v>3</v>
      </c>
      <c r="DY77" s="1470">
        <v>0</v>
      </c>
      <c r="DZ77" s="1470">
        <v>3</v>
      </c>
      <c r="EA77" s="1470">
        <v>21</v>
      </c>
      <c r="EB77" s="1470">
        <v>26</v>
      </c>
      <c r="EC77" s="1470">
        <v>30</v>
      </c>
      <c r="ED77" s="1470">
        <v>0</v>
      </c>
      <c r="EE77" s="1470">
        <v>3</v>
      </c>
      <c r="EF77" s="1470">
        <v>268</v>
      </c>
      <c r="EG77" s="1471">
        <f t="shared" si="19"/>
        <v>0.52301255230125521</v>
      </c>
      <c r="EI77" s="163" t="s">
        <v>59</v>
      </c>
      <c r="EJ77" s="163" t="s">
        <v>16</v>
      </c>
      <c r="EK77" s="80" t="s">
        <v>17</v>
      </c>
      <c r="EL77" s="80">
        <v>25</v>
      </c>
      <c r="EM77" s="80">
        <v>12</v>
      </c>
      <c r="EN77" s="80">
        <v>0</v>
      </c>
      <c r="EO77" s="80">
        <v>5</v>
      </c>
      <c r="EP77" s="80">
        <v>71</v>
      </c>
      <c r="EQ77" s="80">
        <v>6</v>
      </c>
      <c r="ER77" s="80">
        <v>3</v>
      </c>
      <c r="ES77" s="80"/>
      <c r="ET77" s="80">
        <v>9</v>
      </c>
      <c r="EU77" s="80">
        <v>18</v>
      </c>
      <c r="EV77" s="80">
        <v>23</v>
      </c>
      <c r="EW77" s="80">
        <v>26</v>
      </c>
      <c r="EX77" s="80"/>
      <c r="EY77" s="80">
        <v>1</v>
      </c>
      <c r="EZ77" s="80">
        <v>199</v>
      </c>
      <c r="FA77" s="1472">
        <f t="shared" si="11"/>
        <v>0.54285714285714282</v>
      </c>
      <c r="FB77" s="80"/>
      <c r="FC77" s="681" t="s">
        <v>59</v>
      </c>
      <c r="FD77" s="681" t="s">
        <v>16</v>
      </c>
      <c r="FE77" s="681" t="s">
        <v>17</v>
      </c>
      <c r="FF77" s="1473">
        <v>17</v>
      </c>
      <c r="FG77" s="1473">
        <v>15</v>
      </c>
      <c r="FH77" s="1473" t="s">
        <v>332</v>
      </c>
      <c r="FI77" s="1473">
        <v>1</v>
      </c>
      <c r="FJ77" s="1473">
        <v>22</v>
      </c>
      <c r="FK77" s="1473">
        <v>9</v>
      </c>
      <c r="FL77" s="1473">
        <v>2</v>
      </c>
      <c r="FM77" s="1473" t="s">
        <v>332</v>
      </c>
      <c r="FN77" s="1473">
        <v>2</v>
      </c>
      <c r="FO77" s="1473">
        <v>23</v>
      </c>
      <c r="FP77" s="1473">
        <v>16</v>
      </c>
      <c r="FQ77" s="1473" t="s">
        <v>332</v>
      </c>
      <c r="FR77" s="1473">
        <v>107</v>
      </c>
      <c r="FS77" s="1473">
        <f t="shared" si="12"/>
        <v>54</v>
      </c>
      <c r="FT77" s="1474">
        <f t="shared" si="13"/>
        <v>0.50467289719626163</v>
      </c>
      <c r="FU77" s="80"/>
      <c r="FV77" s="80"/>
    </row>
    <row r="78" spans="1:178">
      <c r="A78" s="73"/>
      <c r="B78" s="73"/>
      <c r="C78" s="738" t="s">
        <v>574</v>
      </c>
      <c r="D78" s="4667">
        <v>286</v>
      </c>
      <c r="E78" s="4667">
        <v>222</v>
      </c>
      <c r="F78" s="4667"/>
      <c r="G78" s="4667"/>
      <c r="H78" s="4667">
        <v>1554</v>
      </c>
      <c r="I78" s="4667">
        <v>504</v>
      </c>
      <c r="J78" s="4667">
        <v>221</v>
      </c>
      <c r="K78" s="4667"/>
      <c r="L78" s="4667"/>
      <c r="M78" s="4667">
        <v>57</v>
      </c>
      <c r="N78" s="4667">
        <v>518</v>
      </c>
      <c r="O78" s="4667"/>
      <c r="P78" s="4667">
        <v>663</v>
      </c>
      <c r="Q78" s="4667"/>
      <c r="R78" s="4667">
        <v>4025</v>
      </c>
      <c r="S78" s="4680">
        <f t="shared" si="14"/>
        <v>0.64</v>
      </c>
      <c r="U78" s="73"/>
      <c r="V78" s="73"/>
      <c r="W78" s="738" t="s">
        <v>574</v>
      </c>
      <c r="X78" s="151">
        <v>292</v>
      </c>
      <c r="Y78" s="151">
        <v>274</v>
      </c>
      <c r="Z78" s="151">
        <v>1</v>
      </c>
      <c r="AA78" s="151">
        <v>193</v>
      </c>
      <c r="AB78" s="151">
        <v>1415</v>
      </c>
      <c r="AC78" s="151">
        <v>508</v>
      </c>
      <c r="AD78" s="151">
        <v>287</v>
      </c>
      <c r="AE78" s="151"/>
      <c r="AF78" s="151">
        <v>1</v>
      </c>
      <c r="AG78" s="151">
        <v>61</v>
      </c>
      <c r="AH78" s="151">
        <v>586</v>
      </c>
      <c r="AI78" s="151"/>
      <c r="AJ78" s="151">
        <v>655</v>
      </c>
      <c r="AK78" s="151">
        <v>2</v>
      </c>
      <c r="AL78" s="151">
        <v>4275</v>
      </c>
      <c r="AM78" s="912">
        <f t="shared" si="10"/>
        <v>0.58717528668382868</v>
      </c>
      <c r="AN78" s="3197"/>
      <c r="AO78" s="73"/>
      <c r="AP78" s="73"/>
      <c r="AQ78" s="738" t="s">
        <v>574</v>
      </c>
      <c r="AR78" s="151">
        <v>295</v>
      </c>
      <c r="AS78" s="151">
        <v>268</v>
      </c>
      <c r="AT78" s="151"/>
      <c r="AU78" s="151">
        <v>210</v>
      </c>
      <c r="AV78" s="151">
        <v>1445</v>
      </c>
      <c r="AW78" s="151">
        <v>465</v>
      </c>
      <c r="AX78" s="151">
        <v>251</v>
      </c>
      <c r="AY78" s="151"/>
      <c r="AZ78" s="151">
        <v>1</v>
      </c>
      <c r="BA78" s="151">
        <v>52</v>
      </c>
      <c r="BB78" s="151">
        <v>595</v>
      </c>
      <c r="BC78" s="151"/>
      <c r="BD78" s="151">
        <v>701</v>
      </c>
      <c r="BE78" s="151">
        <v>2</v>
      </c>
      <c r="BF78" s="151">
        <v>4285</v>
      </c>
      <c r="BG78" s="912">
        <f t="shared" si="15"/>
        <v>0.58487041793135652</v>
      </c>
      <c r="BI78" s="2140"/>
      <c r="BJ78" s="2140"/>
      <c r="BK78" s="2142" t="s">
        <v>574</v>
      </c>
      <c r="BL78" s="2152">
        <v>314</v>
      </c>
      <c r="BM78" s="2152">
        <v>258</v>
      </c>
      <c r="BN78" s="2153"/>
      <c r="BO78" s="2152">
        <v>214</v>
      </c>
      <c r="BP78" s="2152">
        <v>1518</v>
      </c>
      <c r="BQ78" s="2152">
        <v>462</v>
      </c>
      <c r="BR78" s="2152">
        <v>255</v>
      </c>
      <c r="BS78" s="2153"/>
      <c r="BT78" s="2152">
        <v>1</v>
      </c>
      <c r="BU78" s="2152">
        <v>49</v>
      </c>
      <c r="BV78" s="2152">
        <v>546</v>
      </c>
      <c r="BW78" s="2153"/>
      <c r="BX78" s="2152">
        <v>753</v>
      </c>
      <c r="BY78" s="2152">
        <v>6</v>
      </c>
      <c r="BZ78" s="2152">
        <v>4376</v>
      </c>
      <c r="CA78" s="2154">
        <f t="shared" si="16"/>
        <v>0.57803203661327229</v>
      </c>
      <c r="CC78" s="1452"/>
      <c r="CD78" s="1452"/>
      <c r="CE78" s="1475" t="s">
        <v>574</v>
      </c>
      <c r="CF78" s="1476">
        <v>331</v>
      </c>
      <c r="CG78" s="1476">
        <v>198</v>
      </c>
      <c r="CH78" s="1476">
        <v>1</v>
      </c>
      <c r="CI78" s="1476">
        <v>299</v>
      </c>
      <c r="CJ78" s="1476">
        <v>1507</v>
      </c>
      <c r="CK78" s="1476">
        <v>546</v>
      </c>
      <c r="CL78" s="1476">
        <v>286</v>
      </c>
      <c r="CM78" s="1477"/>
      <c r="CN78" s="1477"/>
      <c r="CO78" s="1476">
        <v>60</v>
      </c>
      <c r="CP78" s="1476">
        <v>574</v>
      </c>
      <c r="CQ78" s="1476">
        <v>982</v>
      </c>
      <c r="CR78" s="1476">
        <v>106</v>
      </c>
      <c r="CS78" s="1476">
        <v>4890</v>
      </c>
      <c r="CT78" s="1478">
        <f t="shared" si="17"/>
        <v>0.53721881390593051</v>
      </c>
      <c r="CV78" s="929"/>
      <c r="CW78" s="929"/>
      <c r="CX78" s="1090" t="s">
        <v>574</v>
      </c>
      <c r="CY78" s="1479">
        <v>303</v>
      </c>
      <c r="CZ78" s="1479">
        <v>311</v>
      </c>
      <c r="DA78" s="1093"/>
      <c r="DB78" s="1479">
        <v>315</v>
      </c>
      <c r="DC78" s="1479">
        <v>1476</v>
      </c>
      <c r="DD78" s="1479">
        <v>609</v>
      </c>
      <c r="DE78" s="1479">
        <v>281</v>
      </c>
      <c r="DF78" s="1093"/>
      <c r="DG78" s="1093"/>
      <c r="DH78" s="1479">
        <v>55</v>
      </c>
      <c r="DI78" s="1479">
        <v>544</v>
      </c>
      <c r="DJ78" s="1479">
        <v>961</v>
      </c>
      <c r="DK78" s="1479">
        <v>106</v>
      </c>
      <c r="DL78" s="1479">
        <v>4961</v>
      </c>
      <c r="DM78" s="803">
        <f t="shared" si="18"/>
        <v>0.52993348115299332</v>
      </c>
      <c r="DO78" s="1094"/>
      <c r="DP78" s="1094"/>
      <c r="DQ78" s="1493" t="s">
        <v>18</v>
      </c>
      <c r="DR78" s="1494">
        <v>1</v>
      </c>
      <c r="DS78" s="1494">
        <v>2</v>
      </c>
      <c r="DT78" s="1494">
        <v>0</v>
      </c>
      <c r="DU78" s="1494">
        <v>2</v>
      </c>
      <c r="DV78" s="1494">
        <v>21</v>
      </c>
      <c r="DW78" s="1494">
        <v>0</v>
      </c>
      <c r="DX78" s="1494">
        <v>0</v>
      </c>
      <c r="DY78" s="1494">
        <v>0</v>
      </c>
      <c r="DZ78" s="1494">
        <v>1</v>
      </c>
      <c r="EA78" s="1494">
        <v>2</v>
      </c>
      <c r="EB78" s="1494">
        <v>12</v>
      </c>
      <c r="EC78" s="1494">
        <v>5</v>
      </c>
      <c r="ED78" s="1494">
        <v>0</v>
      </c>
      <c r="EE78" s="1494">
        <v>0</v>
      </c>
      <c r="EF78" s="1494">
        <v>46</v>
      </c>
      <c r="EG78" s="1495">
        <f t="shared" si="19"/>
        <v>0.67647058823529416</v>
      </c>
      <c r="EI78" s="163"/>
      <c r="EJ78" s="163"/>
      <c r="EK78" s="80" t="s">
        <v>18</v>
      </c>
      <c r="EL78" s="80">
        <v>0</v>
      </c>
      <c r="EM78" s="80">
        <v>2</v>
      </c>
      <c r="EN78" s="80">
        <v>0</v>
      </c>
      <c r="EO78" s="80">
        <v>2</v>
      </c>
      <c r="EP78" s="80">
        <v>21</v>
      </c>
      <c r="EQ78" s="80">
        <v>0</v>
      </c>
      <c r="ER78" s="80">
        <v>0</v>
      </c>
      <c r="ES78" s="80"/>
      <c r="ET78" s="80">
        <v>1</v>
      </c>
      <c r="EU78" s="80">
        <v>2</v>
      </c>
      <c r="EV78" s="80">
        <v>12</v>
      </c>
      <c r="EW78" s="80">
        <v>6</v>
      </c>
      <c r="EX78" s="80"/>
      <c r="EY78" s="80">
        <v>0</v>
      </c>
      <c r="EZ78" s="80">
        <v>46</v>
      </c>
      <c r="FA78" s="1472">
        <f t="shared" si="11"/>
        <v>0.67647058823529416</v>
      </c>
      <c r="FB78" s="80"/>
      <c r="FC78" s="681"/>
      <c r="FD78" s="681"/>
      <c r="FE78" s="681" t="s">
        <v>18</v>
      </c>
      <c r="FF78" s="1473">
        <v>2</v>
      </c>
      <c r="FG78" s="1473">
        <v>1</v>
      </c>
      <c r="FH78" s="1473" t="s">
        <v>332</v>
      </c>
      <c r="FI78" s="1473">
        <v>2</v>
      </c>
      <c r="FJ78" s="1473">
        <v>10</v>
      </c>
      <c r="FK78" s="1473">
        <v>10</v>
      </c>
      <c r="FL78" s="1473" t="s">
        <v>332</v>
      </c>
      <c r="FM78" s="1473" t="s">
        <v>332</v>
      </c>
      <c r="FN78" s="1473">
        <v>1</v>
      </c>
      <c r="FO78" s="1473">
        <v>3</v>
      </c>
      <c r="FP78" s="1473">
        <v>5</v>
      </c>
      <c r="FQ78" s="1473" t="s">
        <v>332</v>
      </c>
      <c r="FR78" s="1473">
        <v>34</v>
      </c>
      <c r="FS78" s="1473">
        <f t="shared" si="12"/>
        <v>23</v>
      </c>
      <c r="FT78" s="1474">
        <f t="shared" si="13"/>
        <v>0.67647058823529416</v>
      </c>
      <c r="FU78" s="80"/>
      <c r="FV78" s="80"/>
    </row>
    <row r="79" spans="1:178">
      <c r="A79" s="73"/>
      <c r="B79" s="73"/>
      <c r="C79" s="738" t="s">
        <v>461</v>
      </c>
      <c r="D79" s="4667">
        <v>1617</v>
      </c>
      <c r="E79" s="4667">
        <v>909</v>
      </c>
      <c r="F79" s="4667"/>
      <c r="G79" s="4667">
        <v>4</v>
      </c>
      <c r="H79" s="4667">
        <v>9339</v>
      </c>
      <c r="I79" s="4667">
        <v>2597</v>
      </c>
      <c r="J79" s="4667">
        <v>954</v>
      </c>
      <c r="K79" s="4667"/>
      <c r="L79" s="4667">
        <v>1</v>
      </c>
      <c r="M79" s="4667">
        <v>222</v>
      </c>
      <c r="N79" s="4667">
        <v>3035</v>
      </c>
      <c r="O79" s="4667"/>
      <c r="P79" s="4667">
        <v>3414</v>
      </c>
      <c r="Q79" s="4667">
        <v>2</v>
      </c>
      <c r="R79" s="4667">
        <v>22094</v>
      </c>
      <c r="S79" s="4680">
        <f t="shared" si="14"/>
        <v>0.67766612348361399</v>
      </c>
      <c r="U79" s="73"/>
      <c r="V79" s="73"/>
      <c r="W79" s="738" t="s">
        <v>461</v>
      </c>
      <c r="X79" s="151">
        <v>1594</v>
      </c>
      <c r="Y79" s="151">
        <v>1059</v>
      </c>
      <c r="Z79" s="151">
        <v>2</v>
      </c>
      <c r="AA79" s="151">
        <v>937</v>
      </c>
      <c r="AB79" s="151">
        <v>8971</v>
      </c>
      <c r="AC79" s="151">
        <v>2736</v>
      </c>
      <c r="AD79" s="151">
        <v>1142</v>
      </c>
      <c r="AE79" s="151">
        <v>4</v>
      </c>
      <c r="AF79" s="151">
        <v>5</v>
      </c>
      <c r="AG79" s="151">
        <v>188</v>
      </c>
      <c r="AH79" s="151">
        <v>3125</v>
      </c>
      <c r="AI79" s="151"/>
      <c r="AJ79" s="151">
        <v>3267</v>
      </c>
      <c r="AK79" s="151">
        <v>23</v>
      </c>
      <c r="AL79" s="151">
        <v>23053</v>
      </c>
      <c r="AM79" s="912">
        <f t="shared" si="10"/>
        <v>0.64402952670429869</v>
      </c>
      <c r="AN79" s="3197"/>
      <c r="AO79" s="73"/>
      <c r="AP79" s="73"/>
      <c r="AQ79" s="738" t="s">
        <v>461</v>
      </c>
      <c r="AR79" s="151">
        <v>1516</v>
      </c>
      <c r="AS79" s="151">
        <v>1084</v>
      </c>
      <c r="AT79" s="151">
        <v>1</v>
      </c>
      <c r="AU79" s="151">
        <v>932</v>
      </c>
      <c r="AV79" s="151">
        <v>9428</v>
      </c>
      <c r="AW79" s="151">
        <v>2482</v>
      </c>
      <c r="AX79" s="151">
        <v>1130</v>
      </c>
      <c r="AY79" s="151"/>
      <c r="AZ79" s="151">
        <v>6</v>
      </c>
      <c r="BA79" s="151">
        <v>220</v>
      </c>
      <c r="BB79" s="151">
        <v>3052</v>
      </c>
      <c r="BC79" s="151"/>
      <c r="BD79" s="151">
        <v>3243</v>
      </c>
      <c r="BE79" s="151">
        <v>39</v>
      </c>
      <c r="BF79" s="151">
        <v>23133</v>
      </c>
      <c r="BG79" s="912">
        <f t="shared" si="15"/>
        <v>0.64787390664241795</v>
      </c>
      <c r="BI79" s="2140"/>
      <c r="BJ79" s="2140"/>
      <c r="BK79" s="2142" t="s">
        <v>461</v>
      </c>
      <c r="BL79" s="2152">
        <v>1492</v>
      </c>
      <c r="BM79" s="2152">
        <v>961</v>
      </c>
      <c r="BN79" s="2153"/>
      <c r="BO79" s="2152">
        <v>938</v>
      </c>
      <c r="BP79" s="2152">
        <v>10031</v>
      </c>
      <c r="BQ79" s="2152">
        <v>2360</v>
      </c>
      <c r="BR79" s="2152">
        <v>1189</v>
      </c>
      <c r="BS79" s="2153"/>
      <c r="BT79" s="2152">
        <v>5</v>
      </c>
      <c r="BU79" s="2152">
        <v>195</v>
      </c>
      <c r="BV79" s="2152">
        <v>2911</v>
      </c>
      <c r="BW79" s="2153"/>
      <c r="BX79" s="2152">
        <v>3506</v>
      </c>
      <c r="BY79" s="2152">
        <v>44</v>
      </c>
      <c r="BZ79" s="2152">
        <v>23632</v>
      </c>
      <c r="CA79" s="2154">
        <f t="shared" si="16"/>
        <v>0.64871968797693746</v>
      </c>
      <c r="CC79" s="1452"/>
      <c r="CD79" s="1452"/>
      <c r="CE79" s="1489" t="s">
        <v>461</v>
      </c>
      <c r="CF79" s="1490">
        <v>1546</v>
      </c>
      <c r="CG79" s="1490">
        <v>921</v>
      </c>
      <c r="CH79" s="1490">
        <v>2</v>
      </c>
      <c r="CI79" s="1490">
        <v>1314</v>
      </c>
      <c r="CJ79" s="1490">
        <v>10284</v>
      </c>
      <c r="CK79" s="1490">
        <v>2603</v>
      </c>
      <c r="CL79" s="1490">
        <v>1405</v>
      </c>
      <c r="CM79" s="1491"/>
      <c r="CN79" s="1490">
        <v>2</v>
      </c>
      <c r="CO79" s="1490">
        <v>211</v>
      </c>
      <c r="CP79" s="1490">
        <v>2943</v>
      </c>
      <c r="CQ79" s="1490">
        <v>4881</v>
      </c>
      <c r="CR79" s="1490">
        <v>143</v>
      </c>
      <c r="CS79" s="1490">
        <v>26255</v>
      </c>
      <c r="CT79" s="1492">
        <f t="shared" si="17"/>
        <v>0.60293277470957918</v>
      </c>
      <c r="CV79" s="929"/>
      <c r="CW79" s="929"/>
      <c r="CX79" s="1090" t="s">
        <v>461</v>
      </c>
      <c r="CY79" s="1479">
        <v>1337</v>
      </c>
      <c r="CZ79" s="1479">
        <v>1169</v>
      </c>
      <c r="DA79" s="1479">
        <v>1</v>
      </c>
      <c r="DB79" s="1479">
        <v>1352</v>
      </c>
      <c r="DC79" s="1479">
        <v>10091</v>
      </c>
      <c r="DD79" s="1479">
        <v>2932</v>
      </c>
      <c r="DE79" s="1479">
        <v>1310</v>
      </c>
      <c r="DF79" s="1093"/>
      <c r="DG79" s="1479">
        <v>1</v>
      </c>
      <c r="DH79" s="1479">
        <v>143</v>
      </c>
      <c r="DI79" s="1479">
        <v>2759</v>
      </c>
      <c r="DJ79" s="1479">
        <v>5004</v>
      </c>
      <c r="DK79" s="1479">
        <v>143</v>
      </c>
      <c r="DL79" s="1479">
        <v>26242</v>
      </c>
      <c r="DM79" s="803">
        <f t="shared" si="18"/>
        <v>0.6014023321393186</v>
      </c>
      <c r="DO79" s="1094"/>
      <c r="DP79" s="1094"/>
      <c r="DQ79" s="1469" t="s">
        <v>60</v>
      </c>
      <c r="DR79" s="1470">
        <v>10</v>
      </c>
      <c r="DS79" s="1470">
        <v>4</v>
      </c>
      <c r="DT79" s="1470">
        <v>0</v>
      </c>
      <c r="DU79" s="1470">
        <v>3</v>
      </c>
      <c r="DV79" s="1470">
        <v>13</v>
      </c>
      <c r="DW79" s="1470">
        <v>3</v>
      </c>
      <c r="DX79" s="1470">
        <v>0</v>
      </c>
      <c r="DY79" s="1470">
        <v>0</v>
      </c>
      <c r="DZ79" s="1470">
        <v>1</v>
      </c>
      <c r="EA79" s="1470">
        <v>9</v>
      </c>
      <c r="EB79" s="1470">
        <v>9</v>
      </c>
      <c r="EC79" s="1470">
        <v>1</v>
      </c>
      <c r="ED79" s="1470">
        <v>0</v>
      </c>
      <c r="EE79" s="1470">
        <v>0</v>
      </c>
      <c r="EF79" s="1470">
        <v>53</v>
      </c>
      <c r="EG79" s="1471">
        <f t="shared" si="19"/>
        <v>0.56818181818181823</v>
      </c>
      <c r="EI79" s="163"/>
      <c r="EJ79" s="163"/>
      <c r="EK79" s="80" t="s">
        <v>60</v>
      </c>
      <c r="EL79" s="80">
        <v>5</v>
      </c>
      <c r="EM79" s="80">
        <v>7</v>
      </c>
      <c r="EN79" s="80">
        <v>1</v>
      </c>
      <c r="EO79" s="80">
        <v>1</v>
      </c>
      <c r="EP79" s="80">
        <v>2</v>
      </c>
      <c r="EQ79" s="80">
        <v>3</v>
      </c>
      <c r="ER79" s="80">
        <v>0</v>
      </c>
      <c r="ES79" s="80"/>
      <c r="ET79" s="80">
        <v>1</v>
      </c>
      <c r="EU79" s="80">
        <v>3</v>
      </c>
      <c r="EV79" s="80">
        <v>8</v>
      </c>
      <c r="EW79" s="80">
        <v>0</v>
      </c>
      <c r="EX79" s="80"/>
      <c r="EY79" s="80">
        <v>0</v>
      </c>
      <c r="EZ79" s="80">
        <v>31</v>
      </c>
      <c r="FA79" s="1472">
        <f t="shared" si="11"/>
        <v>0.34782608695652173</v>
      </c>
      <c r="FB79" s="80"/>
      <c r="FC79" s="681"/>
      <c r="FD79" s="681"/>
      <c r="FE79" s="681" t="s">
        <v>60</v>
      </c>
      <c r="FF79" s="1473">
        <v>2</v>
      </c>
      <c r="FG79" s="1473" t="s">
        <v>332</v>
      </c>
      <c r="FH79" s="1473" t="s">
        <v>332</v>
      </c>
      <c r="FI79" s="1473" t="s">
        <v>332</v>
      </c>
      <c r="FJ79" s="1473">
        <v>0</v>
      </c>
      <c r="FK79" s="1473">
        <v>0</v>
      </c>
      <c r="FL79" s="1473" t="s">
        <v>332</v>
      </c>
      <c r="FM79" s="1473" t="s">
        <v>332</v>
      </c>
      <c r="FN79" s="1473" t="s">
        <v>332</v>
      </c>
      <c r="FO79" s="1473">
        <v>0</v>
      </c>
      <c r="FP79" s="1473" t="s">
        <v>332</v>
      </c>
      <c r="FQ79" s="1473" t="s">
        <v>332</v>
      </c>
      <c r="FR79" s="1473">
        <v>2</v>
      </c>
      <c r="FS79" s="1473">
        <f t="shared" si="12"/>
        <v>0</v>
      </c>
      <c r="FT79" s="1474">
        <f t="shared" si="13"/>
        <v>0</v>
      </c>
      <c r="FU79" s="80"/>
      <c r="FV79" s="80"/>
    </row>
    <row r="80" spans="1:178">
      <c r="A80" s="73" t="s">
        <v>59</v>
      </c>
      <c r="B80" s="73" t="s">
        <v>16</v>
      </c>
      <c r="C80" s="73" t="s">
        <v>17</v>
      </c>
      <c r="D80" s="161">
        <v>15</v>
      </c>
      <c r="E80" s="161">
        <v>21</v>
      </c>
      <c r="F80" s="161"/>
      <c r="G80" s="161">
        <v>2</v>
      </c>
      <c r="H80" s="161">
        <v>126</v>
      </c>
      <c r="I80" s="161">
        <v>19</v>
      </c>
      <c r="J80" s="161">
        <v>15</v>
      </c>
      <c r="K80" s="161">
        <v>3</v>
      </c>
      <c r="L80" s="161"/>
      <c r="M80" s="161">
        <v>12</v>
      </c>
      <c r="N80" s="161">
        <v>29</v>
      </c>
      <c r="O80" s="161"/>
      <c r="P80" s="161">
        <v>34</v>
      </c>
      <c r="Q80" s="161"/>
      <c r="R80" s="161">
        <v>276</v>
      </c>
      <c r="S80" s="4680">
        <f t="shared" si="14"/>
        <v>0.63043478260869568</v>
      </c>
      <c r="U80" s="73" t="s">
        <v>59</v>
      </c>
      <c r="V80" s="73" t="s">
        <v>16</v>
      </c>
      <c r="W80" s="73" t="s">
        <v>17</v>
      </c>
      <c r="X80" s="161">
        <v>13</v>
      </c>
      <c r="Y80" s="161">
        <v>30</v>
      </c>
      <c r="Z80" s="161"/>
      <c r="AA80" s="161">
        <v>7</v>
      </c>
      <c r="AB80" s="161">
        <v>141</v>
      </c>
      <c r="AC80" s="161">
        <v>13</v>
      </c>
      <c r="AD80" s="161">
        <v>14</v>
      </c>
      <c r="AE80" s="161">
        <v>0</v>
      </c>
      <c r="AF80" s="161"/>
      <c r="AG80" s="161">
        <v>8</v>
      </c>
      <c r="AH80" s="161">
        <v>26</v>
      </c>
      <c r="AI80" s="161"/>
      <c r="AJ80" s="161">
        <v>30</v>
      </c>
      <c r="AK80" s="161"/>
      <c r="AL80" s="161">
        <v>282</v>
      </c>
      <c r="AM80" s="2585">
        <f t="shared" si="10"/>
        <v>0.63829787234042556</v>
      </c>
      <c r="AN80" s="3196"/>
      <c r="AO80" s="73" t="s">
        <v>59</v>
      </c>
      <c r="AP80" s="73" t="s">
        <v>16</v>
      </c>
      <c r="AQ80" s="73" t="s">
        <v>17</v>
      </c>
      <c r="AR80" s="161">
        <v>10</v>
      </c>
      <c r="AS80" s="161">
        <v>30</v>
      </c>
      <c r="AT80" s="161"/>
      <c r="AU80" s="161">
        <v>5</v>
      </c>
      <c r="AV80" s="161">
        <v>158</v>
      </c>
      <c r="AW80" s="161">
        <v>18</v>
      </c>
      <c r="AX80" s="161">
        <v>8</v>
      </c>
      <c r="AY80" s="161">
        <v>0</v>
      </c>
      <c r="AZ80" s="161"/>
      <c r="BA80" s="161">
        <v>12</v>
      </c>
      <c r="BB80" s="161">
        <v>15</v>
      </c>
      <c r="BC80" s="161"/>
      <c r="BD80" s="161">
        <v>32</v>
      </c>
      <c r="BE80" s="161">
        <v>1</v>
      </c>
      <c r="BF80" s="161">
        <v>289</v>
      </c>
      <c r="BG80" s="2585">
        <f t="shared" si="15"/>
        <v>0.66319444444444442</v>
      </c>
      <c r="BI80" s="2140" t="s">
        <v>59</v>
      </c>
      <c r="BJ80" s="2140" t="s">
        <v>16</v>
      </c>
      <c r="BK80" s="2148" t="s">
        <v>17</v>
      </c>
      <c r="BL80" s="2149">
        <v>11</v>
      </c>
      <c r="BM80" s="2149">
        <v>36</v>
      </c>
      <c r="BN80" s="2150"/>
      <c r="BO80" s="2149">
        <v>6</v>
      </c>
      <c r="BP80" s="2149">
        <v>167</v>
      </c>
      <c r="BQ80" s="2149">
        <v>16</v>
      </c>
      <c r="BR80" s="2149">
        <v>21</v>
      </c>
      <c r="BS80" s="2149">
        <v>0</v>
      </c>
      <c r="BT80" s="2150"/>
      <c r="BU80" s="2149">
        <v>7</v>
      </c>
      <c r="BV80" s="2149">
        <v>21</v>
      </c>
      <c r="BW80" s="2150"/>
      <c r="BX80" s="2149">
        <v>31</v>
      </c>
      <c r="BY80" s="2149">
        <v>1</v>
      </c>
      <c r="BZ80" s="2149">
        <v>317</v>
      </c>
      <c r="CA80" s="2151">
        <f t="shared" si="16"/>
        <v>0.64556962025316456</v>
      </c>
      <c r="CC80" s="1452" t="s">
        <v>59</v>
      </c>
      <c r="CD80" s="1452" t="s">
        <v>16</v>
      </c>
      <c r="CE80" s="1465" t="s">
        <v>17</v>
      </c>
      <c r="CF80" s="1466">
        <v>9</v>
      </c>
      <c r="CG80" s="1466">
        <v>26</v>
      </c>
      <c r="CH80" s="1452"/>
      <c r="CI80" s="1466">
        <v>9</v>
      </c>
      <c r="CJ80" s="1466">
        <v>145</v>
      </c>
      <c r="CK80" s="1466">
        <v>13</v>
      </c>
      <c r="CL80" s="1466">
        <v>5</v>
      </c>
      <c r="CM80" s="1452"/>
      <c r="CN80" s="1452"/>
      <c r="CO80" s="1466">
        <v>13</v>
      </c>
      <c r="CP80" s="1466">
        <v>29</v>
      </c>
      <c r="CQ80" s="1466">
        <v>48</v>
      </c>
      <c r="CR80" s="1452"/>
      <c r="CS80" s="1466">
        <v>297</v>
      </c>
      <c r="CT80" s="814">
        <f t="shared" si="17"/>
        <v>0.62962962962962965</v>
      </c>
      <c r="CV80" s="929" t="s">
        <v>59</v>
      </c>
      <c r="CW80" s="929" t="s">
        <v>16</v>
      </c>
      <c r="CX80" s="1467" t="s">
        <v>17</v>
      </c>
      <c r="CY80" s="1468">
        <v>28</v>
      </c>
      <c r="CZ80" s="1468">
        <v>27</v>
      </c>
      <c r="DA80" s="929"/>
      <c r="DB80" s="1468">
        <v>8</v>
      </c>
      <c r="DC80" s="1468">
        <v>121</v>
      </c>
      <c r="DD80" s="1468">
        <v>12</v>
      </c>
      <c r="DE80" s="1468">
        <v>3</v>
      </c>
      <c r="DF80" s="1468">
        <v>0</v>
      </c>
      <c r="DG80" s="929"/>
      <c r="DH80" s="1468">
        <v>6</v>
      </c>
      <c r="DI80" s="1468">
        <v>24</v>
      </c>
      <c r="DJ80" s="1468">
        <v>36</v>
      </c>
      <c r="DK80" s="929"/>
      <c r="DL80" s="1468">
        <v>265</v>
      </c>
      <c r="DM80" s="814">
        <f t="shared" si="18"/>
        <v>0.59245283018867922</v>
      </c>
      <c r="DO80" s="1094"/>
      <c r="DP80" s="1094"/>
      <c r="DQ80" s="1469" t="s">
        <v>420</v>
      </c>
      <c r="DR80" s="1470">
        <v>19</v>
      </c>
      <c r="DS80" s="1470">
        <v>7</v>
      </c>
      <c r="DT80" s="1470">
        <v>0</v>
      </c>
      <c r="DU80" s="1470">
        <v>5</v>
      </c>
      <c r="DV80" s="1470">
        <v>2</v>
      </c>
      <c r="DW80" s="1470">
        <v>3</v>
      </c>
      <c r="DX80" s="1470">
        <v>2</v>
      </c>
      <c r="DY80" s="1470">
        <v>0</v>
      </c>
      <c r="DZ80" s="1470">
        <v>5</v>
      </c>
      <c r="EA80" s="1470">
        <v>5</v>
      </c>
      <c r="EB80" s="1470">
        <v>7</v>
      </c>
      <c r="EC80" s="1470">
        <v>10</v>
      </c>
      <c r="ED80" s="1470">
        <v>0</v>
      </c>
      <c r="EE80" s="1470">
        <v>0</v>
      </c>
      <c r="EF80" s="1470">
        <v>65</v>
      </c>
      <c r="EG80" s="1471">
        <f t="shared" si="19"/>
        <v>0.17241379310344829</v>
      </c>
      <c r="EI80" s="163"/>
      <c r="EJ80" s="163"/>
      <c r="EK80" s="80" t="s">
        <v>420</v>
      </c>
      <c r="EL80" s="80">
        <v>13</v>
      </c>
      <c r="EM80" s="80">
        <v>1</v>
      </c>
      <c r="EN80" s="80">
        <v>0</v>
      </c>
      <c r="EO80" s="80">
        <v>2</v>
      </c>
      <c r="EP80" s="80">
        <v>0</v>
      </c>
      <c r="EQ80" s="80">
        <v>0</v>
      </c>
      <c r="ER80" s="80">
        <v>0</v>
      </c>
      <c r="ES80" s="80"/>
      <c r="ET80" s="80">
        <v>3</v>
      </c>
      <c r="EU80" s="80">
        <v>3</v>
      </c>
      <c r="EV80" s="80">
        <v>5</v>
      </c>
      <c r="EW80" s="80">
        <v>5</v>
      </c>
      <c r="EX80" s="80"/>
      <c r="EY80" s="80">
        <v>0</v>
      </c>
      <c r="EZ80" s="80">
        <v>32</v>
      </c>
      <c r="FA80" s="1472">
        <f t="shared" si="11"/>
        <v>0.1111111111111111</v>
      </c>
      <c r="FB80" s="80"/>
      <c r="FC80" s="681"/>
      <c r="FD80" s="681"/>
      <c r="FE80" s="1482" t="s">
        <v>15</v>
      </c>
      <c r="FF80" s="1483">
        <v>21</v>
      </c>
      <c r="FG80" s="1483">
        <v>16</v>
      </c>
      <c r="FH80" s="1483" t="s">
        <v>332</v>
      </c>
      <c r="FI80" s="1483">
        <v>3</v>
      </c>
      <c r="FJ80" s="1483">
        <v>32</v>
      </c>
      <c r="FK80" s="1483">
        <v>19</v>
      </c>
      <c r="FL80" s="1483">
        <v>2</v>
      </c>
      <c r="FM80" s="1483" t="s">
        <v>332</v>
      </c>
      <c r="FN80" s="1483">
        <v>3</v>
      </c>
      <c r="FO80" s="1483">
        <v>26</v>
      </c>
      <c r="FP80" s="1483">
        <v>21</v>
      </c>
      <c r="FQ80" s="1483" t="s">
        <v>332</v>
      </c>
      <c r="FR80" s="1483">
        <v>143</v>
      </c>
      <c r="FS80" s="1483">
        <f t="shared" si="12"/>
        <v>77</v>
      </c>
      <c r="FT80" s="1484">
        <f t="shared" si="13"/>
        <v>0.53846153846153844</v>
      </c>
      <c r="FU80" s="80"/>
      <c r="FV80" s="80"/>
    </row>
    <row r="81" spans="1:178">
      <c r="A81" s="73"/>
      <c r="B81" s="73"/>
      <c r="C81" s="73" t="s">
        <v>60</v>
      </c>
      <c r="D81" s="161">
        <v>42</v>
      </c>
      <c r="E81" s="161">
        <v>20</v>
      </c>
      <c r="F81" s="161"/>
      <c r="G81" s="161">
        <v>0</v>
      </c>
      <c r="H81" s="161">
        <v>28</v>
      </c>
      <c r="I81" s="161">
        <v>11</v>
      </c>
      <c r="J81" s="161">
        <v>2</v>
      </c>
      <c r="K81" s="161">
        <v>1</v>
      </c>
      <c r="L81" s="161"/>
      <c r="M81" s="161">
        <v>24</v>
      </c>
      <c r="N81" s="161">
        <v>20</v>
      </c>
      <c r="O81" s="161"/>
      <c r="P81" s="161">
        <v>33</v>
      </c>
      <c r="Q81" s="161"/>
      <c r="R81" s="161">
        <v>181</v>
      </c>
      <c r="S81" s="4680">
        <f t="shared" si="14"/>
        <v>0.32596685082872928</v>
      </c>
      <c r="U81" s="73"/>
      <c r="V81" s="73"/>
      <c r="W81" s="73" t="s">
        <v>60</v>
      </c>
      <c r="X81" s="161">
        <v>11</v>
      </c>
      <c r="Y81" s="161">
        <v>25</v>
      </c>
      <c r="Z81" s="161"/>
      <c r="AA81" s="161">
        <v>10</v>
      </c>
      <c r="AB81" s="161">
        <v>31</v>
      </c>
      <c r="AC81" s="161">
        <v>10</v>
      </c>
      <c r="AD81" s="161">
        <v>7</v>
      </c>
      <c r="AE81" s="161">
        <v>0</v>
      </c>
      <c r="AF81" s="161"/>
      <c r="AG81" s="161">
        <v>15</v>
      </c>
      <c r="AH81" s="161">
        <v>17</v>
      </c>
      <c r="AI81" s="161"/>
      <c r="AJ81" s="161">
        <v>24</v>
      </c>
      <c r="AK81" s="161"/>
      <c r="AL81" s="161">
        <v>150</v>
      </c>
      <c r="AM81" s="2585">
        <f t="shared" si="10"/>
        <v>0.38666666666666666</v>
      </c>
      <c r="AN81" s="3196"/>
      <c r="AO81" s="73"/>
      <c r="AP81" s="73"/>
      <c r="AQ81" s="73" t="s">
        <v>60</v>
      </c>
      <c r="AR81" s="161">
        <v>4</v>
      </c>
      <c r="AS81" s="161">
        <v>22</v>
      </c>
      <c r="AT81" s="161"/>
      <c r="AU81" s="161">
        <v>8</v>
      </c>
      <c r="AV81" s="161">
        <v>29</v>
      </c>
      <c r="AW81" s="161">
        <v>8</v>
      </c>
      <c r="AX81" s="161">
        <v>1</v>
      </c>
      <c r="AY81" s="161">
        <v>2</v>
      </c>
      <c r="AZ81" s="161"/>
      <c r="BA81" s="161">
        <v>17</v>
      </c>
      <c r="BB81" s="161">
        <v>9</v>
      </c>
      <c r="BC81" s="161"/>
      <c r="BD81" s="161">
        <v>20</v>
      </c>
      <c r="BE81" s="161">
        <v>0</v>
      </c>
      <c r="BF81" s="161">
        <v>120</v>
      </c>
      <c r="BG81" s="2585">
        <f t="shared" si="15"/>
        <v>0.38333333333333336</v>
      </c>
      <c r="BI81" s="2140"/>
      <c r="BJ81" s="2140"/>
      <c r="BK81" s="2148" t="s">
        <v>18</v>
      </c>
      <c r="BL81" s="2149">
        <v>0</v>
      </c>
      <c r="BM81" s="2149">
        <v>0</v>
      </c>
      <c r="BN81" s="2150"/>
      <c r="BO81" s="2149">
        <v>2</v>
      </c>
      <c r="BP81" s="2149">
        <v>24</v>
      </c>
      <c r="BQ81" s="2149">
        <v>0</v>
      </c>
      <c r="BR81" s="2149">
        <v>6</v>
      </c>
      <c r="BS81" s="2149">
        <v>0</v>
      </c>
      <c r="BT81" s="2150"/>
      <c r="BU81" s="2149">
        <v>0</v>
      </c>
      <c r="BV81" s="2149">
        <v>1</v>
      </c>
      <c r="BW81" s="2150"/>
      <c r="BX81" s="2149">
        <v>0</v>
      </c>
      <c r="BY81" s="2149">
        <v>0</v>
      </c>
      <c r="BZ81" s="2149">
        <v>33</v>
      </c>
      <c r="CA81" s="2151">
        <f t="shared" si="16"/>
        <v>0.75757575757575757</v>
      </c>
      <c r="CC81" s="1452"/>
      <c r="CD81" s="1452"/>
      <c r="CE81" s="1465" t="s">
        <v>18</v>
      </c>
      <c r="CF81" s="1466">
        <v>0</v>
      </c>
      <c r="CG81" s="1466">
        <v>1</v>
      </c>
      <c r="CH81" s="1452"/>
      <c r="CI81" s="1466">
        <v>2</v>
      </c>
      <c r="CJ81" s="1466">
        <v>23</v>
      </c>
      <c r="CK81" s="1466">
        <v>0</v>
      </c>
      <c r="CL81" s="1466">
        <v>0</v>
      </c>
      <c r="CM81" s="1452"/>
      <c r="CN81" s="1452"/>
      <c r="CO81" s="1466">
        <v>0</v>
      </c>
      <c r="CP81" s="1466">
        <v>2</v>
      </c>
      <c r="CQ81" s="1466">
        <v>6</v>
      </c>
      <c r="CR81" s="1452"/>
      <c r="CS81" s="1466">
        <v>34</v>
      </c>
      <c r="CT81" s="814">
        <f t="shared" si="17"/>
        <v>0.73529411764705888</v>
      </c>
      <c r="CV81" s="929"/>
      <c r="CW81" s="929"/>
      <c r="CX81" s="1467" t="s">
        <v>18</v>
      </c>
      <c r="CY81" s="1468">
        <v>0</v>
      </c>
      <c r="CZ81" s="1468">
        <v>2</v>
      </c>
      <c r="DA81" s="929"/>
      <c r="DB81" s="1468">
        <v>2</v>
      </c>
      <c r="DC81" s="1468">
        <v>22</v>
      </c>
      <c r="DD81" s="1468">
        <v>0</v>
      </c>
      <c r="DE81" s="1468">
        <v>0</v>
      </c>
      <c r="DF81" s="1468">
        <v>0</v>
      </c>
      <c r="DG81" s="929"/>
      <c r="DH81" s="1468">
        <v>2</v>
      </c>
      <c r="DI81" s="1468">
        <v>1</v>
      </c>
      <c r="DJ81" s="1468">
        <v>5</v>
      </c>
      <c r="DK81" s="929"/>
      <c r="DL81" s="1468">
        <v>34</v>
      </c>
      <c r="DM81" s="814">
        <f t="shared" si="18"/>
        <v>0.67647058823529416</v>
      </c>
      <c r="DO81" s="1094"/>
      <c r="DP81" s="1094"/>
      <c r="DQ81" s="1458" t="s">
        <v>573</v>
      </c>
      <c r="DR81" s="1480">
        <v>78</v>
      </c>
      <c r="DS81" s="1480">
        <v>35</v>
      </c>
      <c r="DT81" s="1480">
        <v>0</v>
      </c>
      <c r="DU81" s="1480">
        <v>18</v>
      </c>
      <c r="DV81" s="1480">
        <v>131</v>
      </c>
      <c r="DW81" s="1480">
        <v>15</v>
      </c>
      <c r="DX81" s="1480">
        <v>5</v>
      </c>
      <c r="DY81" s="1480">
        <v>0</v>
      </c>
      <c r="DZ81" s="1480">
        <v>10</v>
      </c>
      <c r="EA81" s="1480">
        <v>37</v>
      </c>
      <c r="EB81" s="1480">
        <v>54</v>
      </c>
      <c r="EC81" s="1480">
        <v>46</v>
      </c>
      <c r="ED81" s="1480">
        <v>0</v>
      </c>
      <c r="EE81" s="1480">
        <v>3</v>
      </c>
      <c r="EF81" s="1480">
        <v>432</v>
      </c>
      <c r="EG81" s="1481">
        <f t="shared" si="19"/>
        <v>0.48799999999999999</v>
      </c>
      <c r="EI81" s="163"/>
      <c r="EJ81" s="163"/>
      <c r="EK81" s="80" t="s">
        <v>15</v>
      </c>
      <c r="EL81" s="80">
        <v>43</v>
      </c>
      <c r="EM81" s="80">
        <v>22</v>
      </c>
      <c r="EN81" s="80">
        <v>1</v>
      </c>
      <c r="EO81" s="80">
        <v>10</v>
      </c>
      <c r="EP81" s="80">
        <v>94</v>
      </c>
      <c r="EQ81" s="80">
        <v>9</v>
      </c>
      <c r="ER81" s="80">
        <v>3</v>
      </c>
      <c r="ES81" s="80"/>
      <c r="ET81" s="80">
        <v>14</v>
      </c>
      <c r="EU81" s="80">
        <v>26</v>
      </c>
      <c r="EV81" s="80">
        <v>48</v>
      </c>
      <c r="EW81" s="80">
        <v>37</v>
      </c>
      <c r="EX81" s="80"/>
      <c r="EY81" s="80">
        <v>1</v>
      </c>
      <c r="EZ81" s="80">
        <v>308</v>
      </c>
      <c r="FA81" s="1472">
        <f t="shared" si="11"/>
        <v>0.49806949806949807</v>
      </c>
      <c r="FB81" s="80"/>
      <c r="FC81" s="681"/>
      <c r="FD81" s="681" t="s">
        <v>61</v>
      </c>
      <c r="FE81" s="681" t="s">
        <v>62</v>
      </c>
      <c r="FF81" s="1473">
        <v>13</v>
      </c>
      <c r="FG81" s="1473">
        <v>14</v>
      </c>
      <c r="FH81" s="1473" t="s">
        <v>332</v>
      </c>
      <c r="FI81" s="1473">
        <v>2</v>
      </c>
      <c r="FJ81" s="1473">
        <v>4</v>
      </c>
      <c r="FK81" s="1473">
        <v>3</v>
      </c>
      <c r="FL81" s="1473" t="s">
        <v>332</v>
      </c>
      <c r="FM81" s="1473" t="s">
        <v>332</v>
      </c>
      <c r="FN81" s="1473">
        <v>6</v>
      </c>
      <c r="FO81" s="1473">
        <v>17</v>
      </c>
      <c r="FP81" s="1473">
        <v>10</v>
      </c>
      <c r="FQ81" s="1473" t="s">
        <v>332</v>
      </c>
      <c r="FR81" s="1473">
        <v>69</v>
      </c>
      <c r="FS81" s="1473">
        <f t="shared" si="12"/>
        <v>24</v>
      </c>
      <c r="FT81" s="1474">
        <f t="shared" si="13"/>
        <v>0.34782608695652173</v>
      </c>
      <c r="FU81" s="80"/>
      <c r="FV81" s="80"/>
    </row>
    <row r="82" spans="1:178">
      <c r="A82" s="73"/>
      <c r="B82" s="73"/>
      <c r="C82" s="73" t="s">
        <v>420</v>
      </c>
      <c r="D82" s="161">
        <v>50</v>
      </c>
      <c r="E82" s="161">
        <v>25</v>
      </c>
      <c r="F82" s="161"/>
      <c r="G82" s="161">
        <v>1</v>
      </c>
      <c r="H82" s="161">
        <v>30</v>
      </c>
      <c r="I82" s="161">
        <v>6</v>
      </c>
      <c r="J82" s="161">
        <v>14</v>
      </c>
      <c r="K82" s="161">
        <v>0</v>
      </c>
      <c r="L82" s="161"/>
      <c r="M82" s="161">
        <v>33</v>
      </c>
      <c r="N82" s="161">
        <v>6</v>
      </c>
      <c r="O82" s="161"/>
      <c r="P82" s="161">
        <v>51</v>
      </c>
      <c r="Q82" s="161"/>
      <c r="R82" s="161">
        <v>216</v>
      </c>
      <c r="S82" s="4680">
        <f t="shared" si="14"/>
        <v>0.19444444444444445</v>
      </c>
      <c r="U82" s="73"/>
      <c r="V82" s="73"/>
      <c r="W82" s="73" t="s">
        <v>420</v>
      </c>
      <c r="X82" s="161">
        <v>20</v>
      </c>
      <c r="Y82" s="161">
        <v>30</v>
      </c>
      <c r="Z82" s="161"/>
      <c r="AA82" s="161">
        <v>11</v>
      </c>
      <c r="AB82" s="161">
        <v>29</v>
      </c>
      <c r="AC82" s="161">
        <v>11</v>
      </c>
      <c r="AD82" s="161">
        <v>13</v>
      </c>
      <c r="AE82" s="161">
        <v>2</v>
      </c>
      <c r="AF82" s="161"/>
      <c r="AG82" s="161">
        <v>23</v>
      </c>
      <c r="AH82" s="161">
        <v>7</v>
      </c>
      <c r="AI82" s="161"/>
      <c r="AJ82" s="161">
        <v>46</v>
      </c>
      <c r="AK82" s="161"/>
      <c r="AL82" s="161">
        <v>192</v>
      </c>
      <c r="AM82" s="2585">
        <f t="shared" si="10"/>
        <v>0.24479166666666666</v>
      </c>
      <c r="AN82" s="3196"/>
      <c r="AO82" s="73"/>
      <c r="AP82" s="73"/>
      <c r="AQ82" s="73" t="s">
        <v>420</v>
      </c>
      <c r="AR82" s="161">
        <v>16</v>
      </c>
      <c r="AS82" s="161">
        <v>26</v>
      </c>
      <c r="AT82" s="161"/>
      <c r="AU82" s="161">
        <v>10</v>
      </c>
      <c r="AV82" s="161">
        <v>24</v>
      </c>
      <c r="AW82" s="161">
        <v>6</v>
      </c>
      <c r="AX82" s="161">
        <v>1</v>
      </c>
      <c r="AY82" s="161">
        <v>1</v>
      </c>
      <c r="AZ82" s="161"/>
      <c r="BA82" s="161">
        <v>28</v>
      </c>
      <c r="BB82" s="161">
        <v>8</v>
      </c>
      <c r="BC82" s="161"/>
      <c r="BD82" s="161">
        <v>40</v>
      </c>
      <c r="BE82" s="161">
        <v>0</v>
      </c>
      <c r="BF82" s="161">
        <v>160</v>
      </c>
      <c r="BG82" s="2585">
        <f t="shared" si="15"/>
        <v>0.23749999999999999</v>
      </c>
      <c r="BI82" s="2140"/>
      <c r="BJ82" s="2140"/>
      <c r="BK82" s="2148" t="s">
        <v>60</v>
      </c>
      <c r="BL82" s="2149">
        <v>5</v>
      </c>
      <c r="BM82" s="2149">
        <v>25</v>
      </c>
      <c r="BN82" s="2150"/>
      <c r="BO82" s="2149">
        <v>7</v>
      </c>
      <c r="BP82" s="2149">
        <v>26</v>
      </c>
      <c r="BQ82" s="2149">
        <v>8</v>
      </c>
      <c r="BR82" s="2149">
        <v>0</v>
      </c>
      <c r="BS82" s="2149">
        <v>0</v>
      </c>
      <c r="BT82" s="2150"/>
      <c r="BU82" s="2149">
        <v>8</v>
      </c>
      <c r="BV82" s="2149">
        <v>7</v>
      </c>
      <c r="BW82" s="2150"/>
      <c r="BX82" s="2149">
        <v>11</v>
      </c>
      <c r="BY82" s="2149">
        <v>0</v>
      </c>
      <c r="BZ82" s="2149">
        <v>97</v>
      </c>
      <c r="CA82" s="2151">
        <f t="shared" si="16"/>
        <v>0.42268041237113402</v>
      </c>
      <c r="CC82" s="1452"/>
      <c r="CD82" s="1452"/>
      <c r="CE82" s="1465" t="s">
        <v>60</v>
      </c>
      <c r="CF82" s="1466">
        <v>2</v>
      </c>
      <c r="CG82" s="1466">
        <v>15</v>
      </c>
      <c r="CH82" s="1452"/>
      <c r="CI82" s="1466">
        <v>10</v>
      </c>
      <c r="CJ82" s="1466">
        <v>20</v>
      </c>
      <c r="CK82" s="1466">
        <v>5</v>
      </c>
      <c r="CL82" s="1466">
        <v>1</v>
      </c>
      <c r="CM82" s="1452"/>
      <c r="CN82" s="1452"/>
      <c r="CO82" s="1466">
        <v>10</v>
      </c>
      <c r="CP82" s="1466">
        <v>13</v>
      </c>
      <c r="CQ82" s="1466">
        <v>12</v>
      </c>
      <c r="CR82" s="1452"/>
      <c r="CS82" s="1466">
        <v>88</v>
      </c>
      <c r="CT82" s="814">
        <f t="shared" si="17"/>
        <v>0.43181818181818182</v>
      </c>
      <c r="CV82" s="929"/>
      <c r="CW82" s="929"/>
      <c r="CX82" s="1467" t="s">
        <v>60</v>
      </c>
      <c r="CY82" s="1468">
        <v>10</v>
      </c>
      <c r="CZ82" s="1468">
        <v>7</v>
      </c>
      <c r="DA82" s="929"/>
      <c r="DB82" s="1468">
        <v>5</v>
      </c>
      <c r="DC82" s="1468">
        <v>16</v>
      </c>
      <c r="DD82" s="1468">
        <v>6</v>
      </c>
      <c r="DE82" s="1468">
        <v>1</v>
      </c>
      <c r="DF82" s="1468">
        <v>2</v>
      </c>
      <c r="DG82" s="929"/>
      <c r="DH82" s="1468">
        <v>3</v>
      </c>
      <c r="DI82" s="1468">
        <v>8</v>
      </c>
      <c r="DJ82" s="1468">
        <v>4</v>
      </c>
      <c r="DK82" s="929"/>
      <c r="DL82" s="1468">
        <v>62</v>
      </c>
      <c r="DM82" s="814">
        <f t="shared" si="18"/>
        <v>0.4838709677419355</v>
      </c>
      <c r="DO82" s="1094"/>
      <c r="DP82" s="1094" t="s">
        <v>61</v>
      </c>
      <c r="DQ82" s="1469" t="s">
        <v>62</v>
      </c>
      <c r="DR82" s="1470">
        <v>38</v>
      </c>
      <c r="DS82" s="1470">
        <v>15</v>
      </c>
      <c r="DT82" s="1470">
        <v>0</v>
      </c>
      <c r="DU82" s="1470">
        <v>8</v>
      </c>
      <c r="DV82" s="1470">
        <v>28</v>
      </c>
      <c r="DW82" s="1470">
        <v>13</v>
      </c>
      <c r="DX82" s="1470">
        <v>0</v>
      </c>
      <c r="DY82" s="1470">
        <v>0</v>
      </c>
      <c r="DZ82" s="1470">
        <v>12</v>
      </c>
      <c r="EA82" s="1470">
        <v>19</v>
      </c>
      <c r="EB82" s="1470">
        <v>28</v>
      </c>
      <c r="EC82" s="1470">
        <v>46</v>
      </c>
      <c r="ED82" s="1470">
        <v>0</v>
      </c>
      <c r="EE82" s="1470">
        <v>2</v>
      </c>
      <c r="EF82" s="1470">
        <v>209</v>
      </c>
      <c r="EG82" s="1471">
        <f t="shared" si="19"/>
        <v>0.33519553072625696</v>
      </c>
      <c r="EI82" s="163"/>
      <c r="EJ82" s="163" t="s">
        <v>61</v>
      </c>
      <c r="EK82" s="80" t="s">
        <v>62</v>
      </c>
      <c r="EL82" s="80">
        <v>35</v>
      </c>
      <c r="EM82" s="80">
        <v>19</v>
      </c>
      <c r="EN82" s="80"/>
      <c r="EO82" s="80">
        <v>3</v>
      </c>
      <c r="EP82" s="80">
        <v>12</v>
      </c>
      <c r="EQ82" s="80">
        <v>11</v>
      </c>
      <c r="ER82" s="80">
        <v>0</v>
      </c>
      <c r="ES82" s="80"/>
      <c r="ET82" s="80">
        <v>4</v>
      </c>
      <c r="EU82" s="80">
        <v>16</v>
      </c>
      <c r="EV82" s="80">
        <v>25</v>
      </c>
      <c r="EW82" s="80">
        <v>25</v>
      </c>
      <c r="EX82" s="80"/>
      <c r="EY82" s="80">
        <v>2</v>
      </c>
      <c r="EZ82" s="80">
        <v>152</v>
      </c>
      <c r="FA82" s="1472">
        <f t="shared" si="11"/>
        <v>0.312</v>
      </c>
      <c r="FB82" s="80"/>
      <c r="FC82" s="681"/>
      <c r="FD82" s="681"/>
      <c r="FE82" s="681" t="s">
        <v>63</v>
      </c>
      <c r="FF82" s="1473">
        <v>1</v>
      </c>
      <c r="FG82" s="1473" t="s">
        <v>332</v>
      </c>
      <c r="FH82" s="1473" t="s">
        <v>332</v>
      </c>
      <c r="FI82" s="1473" t="s">
        <v>332</v>
      </c>
      <c r="FJ82" s="1473">
        <v>0</v>
      </c>
      <c r="FK82" s="1473">
        <v>0</v>
      </c>
      <c r="FL82" s="1473" t="s">
        <v>332</v>
      </c>
      <c r="FM82" s="1473" t="s">
        <v>332</v>
      </c>
      <c r="FN82" s="1473" t="s">
        <v>332</v>
      </c>
      <c r="FO82" s="1473">
        <v>0</v>
      </c>
      <c r="FP82" s="1473" t="s">
        <v>332</v>
      </c>
      <c r="FQ82" s="1473" t="s">
        <v>332</v>
      </c>
      <c r="FR82" s="1473">
        <v>1</v>
      </c>
      <c r="FS82" s="1473">
        <f t="shared" si="12"/>
        <v>0</v>
      </c>
      <c r="FT82" s="1474">
        <f t="shared" si="13"/>
        <v>0</v>
      </c>
      <c r="FU82" s="80"/>
      <c r="FV82" s="80"/>
    </row>
    <row r="83" spans="1:178">
      <c r="A83" s="73"/>
      <c r="B83" s="73"/>
      <c r="C83" s="738" t="s">
        <v>573</v>
      </c>
      <c r="D83" s="4667">
        <v>107</v>
      </c>
      <c r="E83" s="4667">
        <v>66</v>
      </c>
      <c r="F83" s="4667"/>
      <c r="G83" s="4667">
        <v>3</v>
      </c>
      <c r="H83" s="4667">
        <v>184</v>
      </c>
      <c r="I83" s="4667">
        <v>36</v>
      </c>
      <c r="J83" s="4667">
        <v>31</v>
      </c>
      <c r="K83" s="4667">
        <v>4</v>
      </c>
      <c r="L83" s="4667"/>
      <c r="M83" s="4667">
        <v>69</v>
      </c>
      <c r="N83" s="4667">
        <v>55</v>
      </c>
      <c r="O83" s="4667"/>
      <c r="P83" s="4667">
        <v>118</v>
      </c>
      <c r="Q83" s="4667"/>
      <c r="R83" s="4667">
        <v>673</v>
      </c>
      <c r="S83" s="4680">
        <f t="shared" si="14"/>
        <v>0.40861812778603268</v>
      </c>
      <c r="U83" s="73"/>
      <c r="V83" s="73"/>
      <c r="W83" s="738" t="s">
        <v>573</v>
      </c>
      <c r="X83" s="151">
        <v>44</v>
      </c>
      <c r="Y83" s="151">
        <v>85</v>
      </c>
      <c r="Z83" s="151"/>
      <c r="AA83" s="151">
        <v>28</v>
      </c>
      <c r="AB83" s="151">
        <v>201</v>
      </c>
      <c r="AC83" s="151">
        <v>34</v>
      </c>
      <c r="AD83" s="151">
        <v>34</v>
      </c>
      <c r="AE83" s="151">
        <v>2</v>
      </c>
      <c r="AF83" s="151"/>
      <c r="AG83" s="151">
        <v>46</v>
      </c>
      <c r="AH83" s="151">
        <v>50</v>
      </c>
      <c r="AI83" s="151"/>
      <c r="AJ83" s="151">
        <v>100</v>
      </c>
      <c r="AK83" s="151"/>
      <c r="AL83" s="151">
        <v>624</v>
      </c>
      <c r="AM83" s="912">
        <f t="shared" si="10"/>
        <v>0.45673076923076922</v>
      </c>
      <c r="AN83" s="3197"/>
      <c r="AO83" s="73"/>
      <c r="AP83" s="73"/>
      <c r="AQ83" s="738" t="s">
        <v>573</v>
      </c>
      <c r="AR83" s="151">
        <v>30</v>
      </c>
      <c r="AS83" s="151">
        <v>78</v>
      </c>
      <c r="AT83" s="151"/>
      <c r="AU83" s="151">
        <v>23</v>
      </c>
      <c r="AV83" s="151">
        <v>211</v>
      </c>
      <c r="AW83" s="151">
        <v>32</v>
      </c>
      <c r="AX83" s="151">
        <v>10</v>
      </c>
      <c r="AY83" s="151">
        <v>3</v>
      </c>
      <c r="AZ83" s="151"/>
      <c r="BA83" s="151">
        <v>57</v>
      </c>
      <c r="BB83" s="151">
        <v>32</v>
      </c>
      <c r="BC83" s="151"/>
      <c r="BD83" s="151">
        <v>92</v>
      </c>
      <c r="BE83" s="151">
        <v>1</v>
      </c>
      <c r="BF83" s="151">
        <v>569</v>
      </c>
      <c r="BG83" s="912">
        <f t="shared" si="15"/>
        <v>0.48415492957746481</v>
      </c>
      <c r="BI83" s="2140"/>
      <c r="BJ83" s="2140"/>
      <c r="BK83" s="2148" t="s">
        <v>420</v>
      </c>
      <c r="BL83" s="2149">
        <v>12</v>
      </c>
      <c r="BM83" s="2149">
        <v>39</v>
      </c>
      <c r="BN83" s="2150"/>
      <c r="BO83" s="2149">
        <v>9</v>
      </c>
      <c r="BP83" s="2149">
        <v>21</v>
      </c>
      <c r="BQ83" s="2149">
        <v>4</v>
      </c>
      <c r="BR83" s="2149">
        <v>1</v>
      </c>
      <c r="BS83" s="2149">
        <v>2</v>
      </c>
      <c r="BT83" s="2150"/>
      <c r="BU83" s="2149">
        <v>12</v>
      </c>
      <c r="BV83" s="2149">
        <v>6</v>
      </c>
      <c r="BW83" s="2150"/>
      <c r="BX83" s="2149">
        <v>27</v>
      </c>
      <c r="BY83" s="2149">
        <v>0</v>
      </c>
      <c r="BZ83" s="2149">
        <v>133</v>
      </c>
      <c r="CA83" s="2151">
        <f t="shared" si="16"/>
        <v>0.23308270676691728</v>
      </c>
      <c r="CC83" s="1452"/>
      <c r="CD83" s="1452"/>
      <c r="CE83" s="1465" t="s">
        <v>420</v>
      </c>
      <c r="CF83" s="1466">
        <v>12</v>
      </c>
      <c r="CG83" s="1466">
        <v>17</v>
      </c>
      <c r="CH83" s="1452"/>
      <c r="CI83" s="1466">
        <v>8</v>
      </c>
      <c r="CJ83" s="1466">
        <v>15</v>
      </c>
      <c r="CK83" s="1466">
        <v>2</v>
      </c>
      <c r="CL83" s="1466">
        <v>2</v>
      </c>
      <c r="CM83" s="1452"/>
      <c r="CN83" s="1452"/>
      <c r="CO83" s="1466">
        <v>33</v>
      </c>
      <c r="CP83" s="1466">
        <v>3</v>
      </c>
      <c r="CQ83" s="1466">
        <v>25</v>
      </c>
      <c r="CR83" s="1452"/>
      <c r="CS83" s="1466">
        <v>117</v>
      </c>
      <c r="CT83" s="814">
        <f t="shared" si="17"/>
        <v>0.17094017094017094</v>
      </c>
      <c r="CV83" s="929"/>
      <c r="CW83" s="929"/>
      <c r="CX83" s="1467" t="s">
        <v>420</v>
      </c>
      <c r="CY83" s="1468">
        <v>17</v>
      </c>
      <c r="CZ83" s="1468">
        <v>17</v>
      </c>
      <c r="DA83" s="929"/>
      <c r="DB83" s="1468">
        <v>5</v>
      </c>
      <c r="DC83" s="1468">
        <v>9</v>
      </c>
      <c r="DD83" s="1468">
        <v>3</v>
      </c>
      <c r="DE83" s="1468">
        <v>2</v>
      </c>
      <c r="DF83" s="1468">
        <v>0</v>
      </c>
      <c r="DG83" s="929"/>
      <c r="DH83" s="1468">
        <v>14</v>
      </c>
      <c r="DI83" s="1468">
        <v>5</v>
      </c>
      <c r="DJ83" s="1468">
        <v>16</v>
      </c>
      <c r="DK83" s="929"/>
      <c r="DL83" s="1468">
        <v>88</v>
      </c>
      <c r="DM83" s="814">
        <f t="shared" si="18"/>
        <v>0.19318181818181818</v>
      </c>
      <c r="DO83" s="1094"/>
      <c r="DP83" s="1094"/>
      <c r="DQ83" s="1469" t="s">
        <v>421</v>
      </c>
      <c r="DR83" s="1470">
        <v>18</v>
      </c>
      <c r="DS83" s="1470">
        <v>5</v>
      </c>
      <c r="DT83" s="1470">
        <v>0</v>
      </c>
      <c r="DU83" s="1470">
        <v>6</v>
      </c>
      <c r="DV83" s="1470">
        <v>2</v>
      </c>
      <c r="DW83" s="1470">
        <v>2</v>
      </c>
      <c r="DX83" s="1470">
        <v>5</v>
      </c>
      <c r="DY83" s="1470">
        <v>0</v>
      </c>
      <c r="DZ83" s="1470">
        <v>3</v>
      </c>
      <c r="EA83" s="1470">
        <v>0</v>
      </c>
      <c r="EB83" s="1470">
        <v>9</v>
      </c>
      <c r="EC83" s="1470">
        <v>9</v>
      </c>
      <c r="ED83" s="1470">
        <v>0</v>
      </c>
      <c r="EE83" s="1470">
        <v>1</v>
      </c>
      <c r="EF83" s="1470">
        <v>60</v>
      </c>
      <c r="EG83" s="1471">
        <f t="shared" si="19"/>
        <v>0.08</v>
      </c>
      <c r="EI83" s="163"/>
      <c r="EJ83" s="163"/>
      <c r="EK83" s="80" t="s">
        <v>421</v>
      </c>
      <c r="EL83" s="80">
        <v>12</v>
      </c>
      <c r="EM83" s="80">
        <v>4</v>
      </c>
      <c r="EN83" s="80"/>
      <c r="EO83" s="80">
        <v>2</v>
      </c>
      <c r="EP83" s="80">
        <v>0</v>
      </c>
      <c r="EQ83" s="80">
        <v>1</v>
      </c>
      <c r="ER83" s="80">
        <v>2</v>
      </c>
      <c r="ES83" s="80"/>
      <c r="ET83" s="80">
        <v>2</v>
      </c>
      <c r="EU83" s="80">
        <v>1</v>
      </c>
      <c r="EV83" s="80">
        <v>5</v>
      </c>
      <c r="EW83" s="80">
        <v>4</v>
      </c>
      <c r="EX83" s="80"/>
      <c r="EY83" s="80">
        <v>0</v>
      </c>
      <c r="EZ83" s="80">
        <v>33</v>
      </c>
      <c r="FA83" s="1472">
        <f t="shared" si="11"/>
        <v>7.1428571428571425E-2</v>
      </c>
      <c r="FB83" s="80"/>
      <c r="FC83" s="681"/>
      <c r="FD83" s="681"/>
      <c r="FE83" s="1482" t="s">
        <v>15</v>
      </c>
      <c r="FF83" s="1483">
        <v>14</v>
      </c>
      <c r="FG83" s="1483">
        <v>14</v>
      </c>
      <c r="FH83" s="1483" t="s">
        <v>332</v>
      </c>
      <c r="FI83" s="1483">
        <v>2</v>
      </c>
      <c r="FJ83" s="1483">
        <v>4</v>
      </c>
      <c r="FK83" s="1483">
        <v>3</v>
      </c>
      <c r="FL83" s="1483" t="s">
        <v>332</v>
      </c>
      <c r="FM83" s="1483" t="s">
        <v>332</v>
      </c>
      <c r="FN83" s="1483">
        <v>6</v>
      </c>
      <c r="FO83" s="1483">
        <v>17</v>
      </c>
      <c r="FP83" s="1483">
        <v>10</v>
      </c>
      <c r="FQ83" s="1483" t="s">
        <v>332</v>
      </c>
      <c r="FR83" s="1483">
        <v>70</v>
      </c>
      <c r="FS83" s="1483">
        <f t="shared" si="12"/>
        <v>24</v>
      </c>
      <c r="FT83" s="1484">
        <f t="shared" si="13"/>
        <v>0.34285714285714286</v>
      </c>
      <c r="FU83" s="80"/>
      <c r="FV83" s="80"/>
    </row>
    <row r="84" spans="1:178">
      <c r="A84" s="73"/>
      <c r="B84" s="73" t="s">
        <v>61</v>
      </c>
      <c r="C84" s="73" t="s">
        <v>62</v>
      </c>
      <c r="D84" s="161">
        <v>39</v>
      </c>
      <c r="E84" s="161">
        <v>25</v>
      </c>
      <c r="F84" s="161"/>
      <c r="G84" s="161">
        <v>2</v>
      </c>
      <c r="H84" s="161">
        <v>54</v>
      </c>
      <c r="I84" s="161">
        <v>15</v>
      </c>
      <c r="J84" s="161">
        <v>28</v>
      </c>
      <c r="K84" s="161">
        <v>2</v>
      </c>
      <c r="L84" s="161"/>
      <c r="M84" s="161">
        <v>26</v>
      </c>
      <c r="N84" s="161">
        <v>35</v>
      </c>
      <c r="O84" s="161"/>
      <c r="P84" s="161">
        <v>57</v>
      </c>
      <c r="Q84" s="161"/>
      <c r="R84" s="161">
        <v>283</v>
      </c>
      <c r="S84" s="4680">
        <f t="shared" si="14"/>
        <v>0.36749116607773852</v>
      </c>
      <c r="U84" s="73"/>
      <c r="V84" s="73" t="s">
        <v>61</v>
      </c>
      <c r="W84" s="73" t="s">
        <v>62</v>
      </c>
      <c r="X84" s="161">
        <v>23</v>
      </c>
      <c r="Y84" s="161">
        <v>45</v>
      </c>
      <c r="Z84" s="161"/>
      <c r="AA84" s="161">
        <v>10</v>
      </c>
      <c r="AB84" s="161">
        <v>60</v>
      </c>
      <c r="AC84" s="161">
        <v>16</v>
      </c>
      <c r="AD84" s="161">
        <v>24</v>
      </c>
      <c r="AE84" s="161">
        <v>1</v>
      </c>
      <c r="AF84" s="161"/>
      <c r="AG84" s="161">
        <v>24</v>
      </c>
      <c r="AH84" s="161">
        <v>28</v>
      </c>
      <c r="AI84" s="161"/>
      <c r="AJ84" s="161">
        <v>57</v>
      </c>
      <c r="AK84" s="161"/>
      <c r="AL84" s="161">
        <v>288</v>
      </c>
      <c r="AM84" s="2585">
        <f t="shared" si="10"/>
        <v>0.3611111111111111</v>
      </c>
      <c r="AN84" s="3196"/>
      <c r="AO84" s="73"/>
      <c r="AP84" s="73" t="s">
        <v>61</v>
      </c>
      <c r="AQ84" s="73" t="s">
        <v>62</v>
      </c>
      <c r="AR84" s="161">
        <v>20</v>
      </c>
      <c r="AS84" s="161">
        <v>39</v>
      </c>
      <c r="AT84" s="161"/>
      <c r="AU84" s="161">
        <v>7</v>
      </c>
      <c r="AV84" s="161">
        <v>65</v>
      </c>
      <c r="AW84" s="161">
        <v>12</v>
      </c>
      <c r="AX84" s="161">
        <v>10</v>
      </c>
      <c r="AY84" s="161">
        <v>7</v>
      </c>
      <c r="AZ84" s="161"/>
      <c r="BA84" s="161">
        <v>44</v>
      </c>
      <c r="BB84" s="161">
        <v>13</v>
      </c>
      <c r="BC84" s="161"/>
      <c r="BD84" s="161">
        <v>60</v>
      </c>
      <c r="BE84" s="161">
        <v>1</v>
      </c>
      <c r="BF84" s="161">
        <v>278</v>
      </c>
      <c r="BG84" s="2585">
        <f t="shared" si="15"/>
        <v>0.32490974729241878</v>
      </c>
      <c r="BI84" s="2140"/>
      <c r="BJ84" s="2140"/>
      <c r="BK84" s="2142" t="s">
        <v>573</v>
      </c>
      <c r="BL84" s="2152">
        <v>28</v>
      </c>
      <c r="BM84" s="2152">
        <v>100</v>
      </c>
      <c r="BN84" s="2153"/>
      <c r="BO84" s="2152">
        <v>24</v>
      </c>
      <c r="BP84" s="2152">
        <v>238</v>
      </c>
      <c r="BQ84" s="2152">
        <v>28</v>
      </c>
      <c r="BR84" s="2152">
        <v>28</v>
      </c>
      <c r="BS84" s="2152">
        <v>2</v>
      </c>
      <c r="BT84" s="2153"/>
      <c r="BU84" s="2152">
        <v>27</v>
      </c>
      <c r="BV84" s="2152">
        <v>35</v>
      </c>
      <c r="BW84" s="2153"/>
      <c r="BX84" s="2152">
        <v>69</v>
      </c>
      <c r="BY84" s="2152">
        <v>1</v>
      </c>
      <c r="BZ84" s="2152">
        <v>580</v>
      </c>
      <c r="CA84" s="2154">
        <f t="shared" si="16"/>
        <v>0.51986183074265979</v>
      </c>
      <c r="CC84" s="1452"/>
      <c r="CD84" s="1452"/>
      <c r="CE84" s="1475" t="s">
        <v>573</v>
      </c>
      <c r="CF84" s="1476">
        <v>23</v>
      </c>
      <c r="CG84" s="1476">
        <v>59</v>
      </c>
      <c r="CH84" s="1477"/>
      <c r="CI84" s="1476">
        <v>29</v>
      </c>
      <c r="CJ84" s="1476">
        <v>203</v>
      </c>
      <c r="CK84" s="1476">
        <v>20</v>
      </c>
      <c r="CL84" s="1476">
        <v>8</v>
      </c>
      <c r="CM84" s="1477"/>
      <c r="CN84" s="1476"/>
      <c r="CO84" s="1476">
        <v>56</v>
      </c>
      <c r="CP84" s="1476">
        <v>47</v>
      </c>
      <c r="CQ84" s="1476">
        <v>91</v>
      </c>
      <c r="CR84" s="1476"/>
      <c r="CS84" s="1476">
        <v>536</v>
      </c>
      <c r="CT84" s="1478">
        <f t="shared" si="17"/>
        <v>0.50373134328358204</v>
      </c>
      <c r="CV84" s="929"/>
      <c r="CW84" s="929"/>
      <c r="CX84" s="1090" t="s">
        <v>573</v>
      </c>
      <c r="CY84" s="1479">
        <v>55</v>
      </c>
      <c r="CZ84" s="1479">
        <v>53</v>
      </c>
      <c r="DA84" s="1093"/>
      <c r="DB84" s="1479">
        <v>20</v>
      </c>
      <c r="DC84" s="1479">
        <v>168</v>
      </c>
      <c r="DD84" s="1479">
        <v>21</v>
      </c>
      <c r="DE84" s="1479">
        <v>6</v>
      </c>
      <c r="DF84" s="1479">
        <v>2</v>
      </c>
      <c r="DG84" s="1093"/>
      <c r="DH84" s="1479">
        <v>25</v>
      </c>
      <c r="DI84" s="1479">
        <v>38</v>
      </c>
      <c r="DJ84" s="1479">
        <v>61</v>
      </c>
      <c r="DK84" s="1093"/>
      <c r="DL84" s="1479">
        <v>449</v>
      </c>
      <c r="DM84" s="803">
        <f t="shared" si="18"/>
        <v>0.50556792873051226</v>
      </c>
      <c r="DO84" s="1094"/>
      <c r="DP84" s="1094"/>
      <c r="DQ84" s="1469" t="s">
        <v>63</v>
      </c>
      <c r="DR84" s="1470">
        <v>24</v>
      </c>
      <c r="DS84" s="1470">
        <v>12</v>
      </c>
      <c r="DT84" s="1470">
        <v>0</v>
      </c>
      <c r="DU84" s="1470">
        <v>5</v>
      </c>
      <c r="DV84" s="1470">
        <v>12</v>
      </c>
      <c r="DW84" s="1470">
        <v>9</v>
      </c>
      <c r="DX84" s="1470">
        <v>4</v>
      </c>
      <c r="DY84" s="1470">
        <v>0</v>
      </c>
      <c r="DZ84" s="1470">
        <v>4</v>
      </c>
      <c r="EA84" s="1470">
        <v>21</v>
      </c>
      <c r="EB84" s="1470">
        <v>25</v>
      </c>
      <c r="EC84" s="1470">
        <v>16</v>
      </c>
      <c r="ED84" s="1470">
        <v>0</v>
      </c>
      <c r="EE84" s="1470">
        <v>1</v>
      </c>
      <c r="EF84" s="1470">
        <v>133</v>
      </c>
      <c r="EG84" s="1471">
        <f t="shared" si="19"/>
        <v>0.3925233644859813</v>
      </c>
      <c r="EI84" s="163"/>
      <c r="EJ84" s="163"/>
      <c r="EK84" s="80" t="s">
        <v>63</v>
      </c>
      <c r="EL84" s="80">
        <v>13</v>
      </c>
      <c r="EM84" s="80">
        <v>9</v>
      </c>
      <c r="EN84" s="80"/>
      <c r="EO84" s="80">
        <v>2</v>
      </c>
      <c r="EP84" s="80">
        <v>0</v>
      </c>
      <c r="EQ84" s="80">
        <v>4</v>
      </c>
      <c r="ER84" s="80">
        <v>3</v>
      </c>
      <c r="ES84" s="80"/>
      <c r="ET84" s="80">
        <v>5</v>
      </c>
      <c r="EU84" s="80">
        <v>11</v>
      </c>
      <c r="EV84" s="80">
        <v>17</v>
      </c>
      <c r="EW84" s="80">
        <v>8</v>
      </c>
      <c r="EX84" s="80"/>
      <c r="EY84" s="80">
        <v>0</v>
      </c>
      <c r="EZ84" s="80">
        <v>72</v>
      </c>
      <c r="FA84" s="1472">
        <f t="shared" si="11"/>
        <v>0.27272727272727271</v>
      </c>
      <c r="FB84" s="80"/>
      <c r="FC84" s="681"/>
      <c r="FD84" s="681" t="s">
        <v>64</v>
      </c>
      <c r="FE84" s="681" t="s">
        <v>14</v>
      </c>
      <c r="FF84" s="1473">
        <v>12</v>
      </c>
      <c r="FG84" s="1473">
        <v>4</v>
      </c>
      <c r="FH84" s="1473" t="s">
        <v>332</v>
      </c>
      <c r="FI84" s="1473">
        <v>1</v>
      </c>
      <c r="FJ84" s="1473">
        <v>10</v>
      </c>
      <c r="FK84" s="1473">
        <v>5</v>
      </c>
      <c r="FL84" s="1473">
        <v>2</v>
      </c>
      <c r="FM84" s="1473" t="s">
        <v>332</v>
      </c>
      <c r="FN84" s="1473">
        <v>4</v>
      </c>
      <c r="FO84" s="1473">
        <v>4</v>
      </c>
      <c r="FP84" s="1473">
        <v>16</v>
      </c>
      <c r="FQ84" s="1473" t="s">
        <v>332</v>
      </c>
      <c r="FR84" s="1473">
        <v>58</v>
      </c>
      <c r="FS84" s="1473">
        <f t="shared" si="12"/>
        <v>19</v>
      </c>
      <c r="FT84" s="1474">
        <f t="shared" si="13"/>
        <v>0.32758620689655171</v>
      </c>
      <c r="FU84" s="80"/>
      <c r="FV84" s="80"/>
    </row>
    <row r="85" spans="1:178">
      <c r="A85" s="73"/>
      <c r="B85" s="73"/>
      <c r="C85" s="73" t="s">
        <v>421</v>
      </c>
      <c r="D85" s="161">
        <v>32</v>
      </c>
      <c r="E85" s="161">
        <v>22</v>
      </c>
      <c r="F85" s="161"/>
      <c r="G85" s="161">
        <v>2</v>
      </c>
      <c r="H85" s="161">
        <v>22</v>
      </c>
      <c r="I85" s="161">
        <v>9</v>
      </c>
      <c r="J85" s="161">
        <v>13</v>
      </c>
      <c r="K85" s="161">
        <v>1</v>
      </c>
      <c r="L85" s="161"/>
      <c r="M85" s="161">
        <v>31</v>
      </c>
      <c r="N85" s="161">
        <v>14</v>
      </c>
      <c r="O85" s="161"/>
      <c r="P85" s="161">
        <v>65</v>
      </c>
      <c r="Q85" s="161"/>
      <c r="R85" s="161">
        <v>211</v>
      </c>
      <c r="S85" s="4680">
        <f t="shared" si="14"/>
        <v>0.2132701421800948</v>
      </c>
      <c r="U85" s="73"/>
      <c r="V85" s="73"/>
      <c r="W85" s="73" t="s">
        <v>421</v>
      </c>
      <c r="X85" s="161">
        <v>31</v>
      </c>
      <c r="Y85" s="161">
        <v>47</v>
      </c>
      <c r="Z85" s="161"/>
      <c r="AA85" s="161">
        <v>12</v>
      </c>
      <c r="AB85" s="161">
        <v>19</v>
      </c>
      <c r="AC85" s="161">
        <v>9</v>
      </c>
      <c r="AD85" s="161">
        <v>19</v>
      </c>
      <c r="AE85" s="161">
        <v>1</v>
      </c>
      <c r="AF85" s="161"/>
      <c r="AG85" s="161">
        <v>12</v>
      </c>
      <c r="AH85" s="161">
        <v>7</v>
      </c>
      <c r="AI85" s="161"/>
      <c r="AJ85" s="161">
        <v>56</v>
      </c>
      <c r="AK85" s="161"/>
      <c r="AL85" s="161">
        <v>213</v>
      </c>
      <c r="AM85" s="2585">
        <f t="shared" si="10"/>
        <v>0.16431924882629109</v>
      </c>
      <c r="AN85" s="3196"/>
      <c r="AO85" s="73"/>
      <c r="AP85" s="73"/>
      <c r="AQ85" s="73" t="s">
        <v>421</v>
      </c>
      <c r="AR85" s="161">
        <v>29</v>
      </c>
      <c r="AS85" s="161">
        <v>31</v>
      </c>
      <c r="AT85" s="161"/>
      <c r="AU85" s="161">
        <v>8</v>
      </c>
      <c r="AV85" s="161">
        <v>16</v>
      </c>
      <c r="AW85" s="161">
        <v>5</v>
      </c>
      <c r="AX85" s="161">
        <v>2</v>
      </c>
      <c r="AY85" s="161">
        <v>0</v>
      </c>
      <c r="AZ85" s="161"/>
      <c r="BA85" s="161">
        <v>32</v>
      </c>
      <c r="BB85" s="161">
        <v>6</v>
      </c>
      <c r="BC85" s="161"/>
      <c r="BD85" s="161">
        <v>50</v>
      </c>
      <c r="BE85" s="161">
        <v>0</v>
      </c>
      <c r="BF85" s="161">
        <v>179</v>
      </c>
      <c r="BG85" s="2585">
        <f t="shared" si="15"/>
        <v>0.15083798882681565</v>
      </c>
      <c r="BI85" s="2140"/>
      <c r="BJ85" s="2140" t="s">
        <v>61</v>
      </c>
      <c r="BK85" s="2148" t="s">
        <v>62</v>
      </c>
      <c r="BL85" s="2149">
        <v>33</v>
      </c>
      <c r="BM85" s="2149">
        <v>40</v>
      </c>
      <c r="BN85" s="2150"/>
      <c r="BO85" s="2149">
        <v>6</v>
      </c>
      <c r="BP85" s="2149">
        <v>66</v>
      </c>
      <c r="BQ85" s="2149">
        <v>10</v>
      </c>
      <c r="BR85" s="2149">
        <v>17</v>
      </c>
      <c r="BS85" s="2149">
        <v>0</v>
      </c>
      <c r="BT85" s="2150"/>
      <c r="BU85" s="2149">
        <v>22</v>
      </c>
      <c r="BV85" s="2149">
        <v>16</v>
      </c>
      <c r="BW85" s="2150"/>
      <c r="BX85" s="2149">
        <v>61</v>
      </c>
      <c r="BY85" s="2149">
        <v>1</v>
      </c>
      <c r="BZ85" s="2149">
        <v>272</v>
      </c>
      <c r="CA85" s="2151">
        <f t="shared" si="16"/>
        <v>0.33948339483394835</v>
      </c>
      <c r="CC85" s="1452"/>
      <c r="CD85" s="1452" t="s">
        <v>61</v>
      </c>
      <c r="CE85" s="1465" t="s">
        <v>62</v>
      </c>
      <c r="CF85" s="1466">
        <v>28</v>
      </c>
      <c r="CG85" s="1466">
        <v>24</v>
      </c>
      <c r="CH85" s="1452"/>
      <c r="CI85" s="1466">
        <v>10</v>
      </c>
      <c r="CJ85" s="1466">
        <v>58</v>
      </c>
      <c r="CK85" s="1466">
        <v>7</v>
      </c>
      <c r="CL85" s="1466">
        <v>1</v>
      </c>
      <c r="CM85" s="1452"/>
      <c r="CN85" s="1452"/>
      <c r="CO85" s="1466">
        <v>35</v>
      </c>
      <c r="CP85" s="1466">
        <v>14</v>
      </c>
      <c r="CQ85" s="1466">
        <v>73</v>
      </c>
      <c r="CR85" s="1452"/>
      <c r="CS85" s="1466">
        <v>250</v>
      </c>
      <c r="CT85" s="814">
        <f t="shared" si="17"/>
        <v>0.316</v>
      </c>
      <c r="CV85" s="929"/>
      <c r="CW85" s="929" t="s">
        <v>61</v>
      </c>
      <c r="CX85" s="1467" t="s">
        <v>62</v>
      </c>
      <c r="CY85" s="1468">
        <v>40</v>
      </c>
      <c r="CZ85" s="1468">
        <v>26</v>
      </c>
      <c r="DA85" s="929"/>
      <c r="DB85" s="1468">
        <v>10</v>
      </c>
      <c r="DC85" s="1468">
        <v>42</v>
      </c>
      <c r="DD85" s="1468">
        <v>11</v>
      </c>
      <c r="DE85" s="1468">
        <v>0</v>
      </c>
      <c r="DF85" s="1468">
        <v>0</v>
      </c>
      <c r="DG85" s="929"/>
      <c r="DH85" s="1468">
        <v>12</v>
      </c>
      <c r="DI85" s="1468">
        <v>15</v>
      </c>
      <c r="DJ85" s="1468">
        <v>52</v>
      </c>
      <c r="DK85" s="929"/>
      <c r="DL85" s="1468">
        <v>208</v>
      </c>
      <c r="DM85" s="814">
        <f t="shared" si="18"/>
        <v>0.32692307692307693</v>
      </c>
      <c r="DO85" s="1094"/>
      <c r="DP85" s="1094"/>
      <c r="DQ85" s="1458" t="s">
        <v>576</v>
      </c>
      <c r="DR85" s="1480">
        <v>80</v>
      </c>
      <c r="DS85" s="1480">
        <v>32</v>
      </c>
      <c r="DT85" s="1480">
        <v>0</v>
      </c>
      <c r="DU85" s="1480">
        <v>19</v>
      </c>
      <c r="DV85" s="1480">
        <v>42</v>
      </c>
      <c r="DW85" s="1480">
        <v>24</v>
      </c>
      <c r="DX85" s="1480">
        <v>9</v>
      </c>
      <c r="DY85" s="1480">
        <v>0</v>
      </c>
      <c r="DZ85" s="1480">
        <v>19</v>
      </c>
      <c r="EA85" s="1480">
        <v>40</v>
      </c>
      <c r="EB85" s="1480">
        <v>62</v>
      </c>
      <c r="EC85" s="1480">
        <v>71</v>
      </c>
      <c r="ED85" s="1480">
        <v>0</v>
      </c>
      <c r="EE85" s="1480">
        <v>4</v>
      </c>
      <c r="EF85" s="1480">
        <v>402</v>
      </c>
      <c r="EG85" s="1481">
        <f t="shared" si="19"/>
        <v>0.31547619047619047</v>
      </c>
      <c r="EI85" s="163"/>
      <c r="EJ85" s="163"/>
      <c r="EK85" s="80" t="s">
        <v>15</v>
      </c>
      <c r="EL85" s="80">
        <v>60</v>
      </c>
      <c r="EM85" s="80">
        <v>32</v>
      </c>
      <c r="EN85" s="80"/>
      <c r="EO85" s="80">
        <v>7</v>
      </c>
      <c r="EP85" s="80">
        <v>12</v>
      </c>
      <c r="EQ85" s="80">
        <v>16</v>
      </c>
      <c r="ER85" s="80">
        <v>5</v>
      </c>
      <c r="ES85" s="80"/>
      <c r="ET85" s="80">
        <v>11</v>
      </c>
      <c r="EU85" s="80">
        <v>28</v>
      </c>
      <c r="EV85" s="80">
        <v>47</v>
      </c>
      <c r="EW85" s="80">
        <v>37</v>
      </c>
      <c r="EX85" s="80"/>
      <c r="EY85" s="80">
        <v>2</v>
      </c>
      <c r="EZ85" s="80">
        <v>257</v>
      </c>
      <c r="FA85" s="1472">
        <f t="shared" si="11"/>
        <v>0.26923076923076922</v>
      </c>
      <c r="FB85" s="80"/>
      <c r="FC85" s="681"/>
      <c r="FD85" s="681"/>
      <c r="FE85" s="681" t="s">
        <v>65</v>
      </c>
      <c r="FF85" s="1473">
        <v>3</v>
      </c>
      <c r="FG85" s="1473">
        <v>2</v>
      </c>
      <c r="FH85" s="1473" t="s">
        <v>332</v>
      </c>
      <c r="FI85" s="1473" t="s">
        <v>332</v>
      </c>
      <c r="FJ85" s="1473">
        <v>0</v>
      </c>
      <c r="FK85" s="1473">
        <v>2</v>
      </c>
      <c r="FL85" s="1473">
        <v>2</v>
      </c>
      <c r="FM85" s="1473" t="s">
        <v>332</v>
      </c>
      <c r="FN85" s="1473" t="s">
        <v>332</v>
      </c>
      <c r="FO85" s="1473">
        <v>0</v>
      </c>
      <c r="FP85" s="1473">
        <v>6</v>
      </c>
      <c r="FQ85" s="1473" t="s">
        <v>332</v>
      </c>
      <c r="FR85" s="1473">
        <v>15</v>
      </c>
      <c r="FS85" s="1473">
        <f t="shared" si="12"/>
        <v>2</v>
      </c>
      <c r="FT85" s="1474">
        <f t="shared" si="13"/>
        <v>0.13333333333333333</v>
      </c>
      <c r="FU85" s="80"/>
      <c r="FV85" s="80"/>
    </row>
    <row r="86" spans="1:178" ht="15.75" thickBot="1">
      <c r="A86" s="73"/>
      <c r="B86" s="73"/>
      <c r="C86" s="73" t="s">
        <v>63</v>
      </c>
      <c r="D86" s="161">
        <v>25</v>
      </c>
      <c r="E86" s="161">
        <v>37</v>
      </c>
      <c r="F86" s="161"/>
      <c r="G86" s="161">
        <v>1</v>
      </c>
      <c r="H86" s="161">
        <v>108</v>
      </c>
      <c r="I86" s="161">
        <v>19</v>
      </c>
      <c r="J86" s="161">
        <v>15</v>
      </c>
      <c r="K86" s="161">
        <v>0</v>
      </c>
      <c r="L86" s="161"/>
      <c r="M86" s="161">
        <v>40</v>
      </c>
      <c r="N86" s="161">
        <v>42</v>
      </c>
      <c r="O86" s="161"/>
      <c r="P86" s="161">
        <v>37</v>
      </c>
      <c r="Q86" s="161"/>
      <c r="R86" s="161">
        <v>324</v>
      </c>
      <c r="S86" s="4680">
        <f t="shared" si="14"/>
        <v>0.52160493827160492</v>
      </c>
      <c r="U86" s="73"/>
      <c r="V86" s="73"/>
      <c r="W86" s="73" t="s">
        <v>63</v>
      </c>
      <c r="X86" s="161">
        <v>12</v>
      </c>
      <c r="Y86" s="161">
        <v>51</v>
      </c>
      <c r="Z86" s="161"/>
      <c r="AA86" s="161">
        <v>10</v>
      </c>
      <c r="AB86" s="161">
        <v>103</v>
      </c>
      <c r="AC86" s="161">
        <v>17</v>
      </c>
      <c r="AD86" s="161">
        <v>18</v>
      </c>
      <c r="AE86" s="161">
        <v>0</v>
      </c>
      <c r="AF86" s="161"/>
      <c r="AG86" s="161">
        <v>34</v>
      </c>
      <c r="AH86" s="161">
        <v>42</v>
      </c>
      <c r="AI86" s="161"/>
      <c r="AJ86" s="161">
        <v>34</v>
      </c>
      <c r="AK86" s="161"/>
      <c r="AL86" s="161">
        <v>321</v>
      </c>
      <c r="AM86" s="2585">
        <f t="shared" si="10"/>
        <v>0.50467289719626163</v>
      </c>
      <c r="AN86" s="3196"/>
      <c r="AO86" s="73"/>
      <c r="AP86" s="73"/>
      <c r="AQ86" s="73" t="s">
        <v>63</v>
      </c>
      <c r="AR86" s="161">
        <v>17</v>
      </c>
      <c r="AS86" s="161">
        <v>32</v>
      </c>
      <c r="AT86" s="161"/>
      <c r="AU86" s="161">
        <v>9</v>
      </c>
      <c r="AV86" s="161">
        <v>82</v>
      </c>
      <c r="AW86" s="161">
        <v>12</v>
      </c>
      <c r="AX86" s="161">
        <v>4</v>
      </c>
      <c r="AY86" s="161">
        <v>6</v>
      </c>
      <c r="AZ86" s="161"/>
      <c r="BA86" s="161">
        <v>52</v>
      </c>
      <c r="BB86" s="161">
        <v>27</v>
      </c>
      <c r="BC86" s="161"/>
      <c r="BD86" s="161">
        <v>38</v>
      </c>
      <c r="BE86" s="161">
        <v>0</v>
      </c>
      <c r="BF86" s="161">
        <v>279</v>
      </c>
      <c r="BG86" s="2585">
        <f t="shared" si="15"/>
        <v>0.43369175627240142</v>
      </c>
      <c r="BI86" s="2140"/>
      <c r="BJ86" s="2140"/>
      <c r="BK86" s="2148" t="s">
        <v>421</v>
      </c>
      <c r="BL86" s="2149">
        <v>32</v>
      </c>
      <c r="BM86" s="2149">
        <v>30</v>
      </c>
      <c r="BN86" s="2150"/>
      <c r="BO86" s="2149">
        <v>7</v>
      </c>
      <c r="BP86" s="2149">
        <v>11</v>
      </c>
      <c r="BQ86" s="2149">
        <v>3</v>
      </c>
      <c r="BR86" s="2149">
        <v>2</v>
      </c>
      <c r="BS86" s="2149">
        <v>0</v>
      </c>
      <c r="BT86" s="2150"/>
      <c r="BU86" s="2149">
        <v>15</v>
      </c>
      <c r="BV86" s="2149">
        <v>5</v>
      </c>
      <c r="BW86" s="2150"/>
      <c r="BX86" s="2149">
        <v>40</v>
      </c>
      <c r="BY86" s="2149">
        <v>0</v>
      </c>
      <c r="BZ86" s="2149">
        <v>145</v>
      </c>
      <c r="CA86" s="2151">
        <f t="shared" si="16"/>
        <v>0.1310344827586207</v>
      </c>
      <c r="CC86" s="1452"/>
      <c r="CD86" s="1452"/>
      <c r="CE86" s="1465" t="s">
        <v>421</v>
      </c>
      <c r="CF86" s="1466">
        <v>31</v>
      </c>
      <c r="CG86" s="1466">
        <v>20</v>
      </c>
      <c r="CH86" s="1452"/>
      <c r="CI86" s="1466">
        <v>10</v>
      </c>
      <c r="CJ86" s="1466">
        <v>5</v>
      </c>
      <c r="CK86" s="1466">
        <v>2</v>
      </c>
      <c r="CL86" s="1466">
        <v>7</v>
      </c>
      <c r="CM86" s="1452"/>
      <c r="CN86" s="1452"/>
      <c r="CO86" s="1466">
        <v>18</v>
      </c>
      <c r="CP86" s="1466">
        <v>1</v>
      </c>
      <c r="CQ86" s="1466">
        <v>32</v>
      </c>
      <c r="CR86" s="1452"/>
      <c r="CS86" s="1466">
        <v>126</v>
      </c>
      <c r="CT86" s="814">
        <f t="shared" si="17"/>
        <v>6.3492063492063489E-2</v>
      </c>
      <c r="CV86" s="929"/>
      <c r="CW86" s="929"/>
      <c r="CX86" s="1467" t="s">
        <v>421</v>
      </c>
      <c r="CY86" s="1468">
        <v>37</v>
      </c>
      <c r="CZ86" s="1468">
        <v>13</v>
      </c>
      <c r="DA86" s="929"/>
      <c r="DB86" s="1468">
        <v>8</v>
      </c>
      <c r="DC86" s="1468">
        <v>4</v>
      </c>
      <c r="DD86" s="1468">
        <v>1</v>
      </c>
      <c r="DE86" s="1468">
        <v>7</v>
      </c>
      <c r="DF86" s="1468">
        <v>0</v>
      </c>
      <c r="DG86" s="929"/>
      <c r="DH86" s="1468">
        <v>2</v>
      </c>
      <c r="DI86" s="1468">
        <v>0</v>
      </c>
      <c r="DJ86" s="1468">
        <v>18</v>
      </c>
      <c r="DK86" s="929"/>
      <c r="DL86" s="1468">
        <v>90</v>
      </c>
      <c r="DM86" s="814">
        <f t="shared" si="18"/>
        <v>5.5555555555555552E-2</v>
      </c>
      <c r="DO86" s="1094"/>
      <c r="DP86" s="1094" t="s">
        <v>64</v>
      </c>
      <c r="DQ86" s="1469" t="s">
        <v>14</v>
      </c>
      <c r="DR86" s="1470">
        <v>33</v>
      </c>
      <c r="DS86" s="1470">
        <v>12</v>
      </c>
      <c r="DT86" s="1470">
        <v>0</v>
      </c>
      <c r="DU86" s="1470">
        <v>5</v>
      </c>
      <c r="DV86" s="1470">
        <v>25</v>
      </c>
      <c r="DW86" s="1470">
        <v>3</v>
      </c>
      <c r="DX86" s="1470">
        <v>6</v>
      </c>
      <c r="DY86" s="1470">
        <v>0</v>
      </c>
      <c r="DZ86" s="1470">
        <v>9</v>
      </c>
      <c r="EA86" s="1470">
        <v>14</v>
      </c>
      <c r="EB86" s="1470">
        <v>46</v>
      </c>
      <c r="EC86" s="1470">
        <v>42</v>
      </c>
      <c r="ED86" s="1470">
        <v>0</v>
      </c>
      <c r="EE86" s="1470">
        <v>1</v>
      </c>
      <c r="EF86" s="1470">
        <v>196</v>
      </c>
      <c r="EG86" s="1471">
        <f t="shared" si="19"/>
        <v>0.28187919463087246</v>
      </c>
      <c r="EI86" s="163"/>
      <c r="EJ86" s="163" t="s">
        <v>64</v>
      </c>
      <c r="EK86" s="80" t="s">
        <v>14</v>
      </c>
      <c r="EL86" s="80">
        <v>26</v>
      </c>
      <c r="EM86" s="80">
        <v>5</v>
      </c>
      <c r="EN86" s="80"/>
      <c r="EO86" s="80">
        <v>2</v>
      </c>
      <c r="EP86" s="80">
        <v>20</v>
      </c>
      <c r="EQ86" s="80">
        <v>5</v>
      </c>
      <c r="ER86" s="80">
        <v>4</v>
      </c>
      <c r="ES86" s="80"/>
      <c r="ET86" s="80">
        <v>3</v>
      </c>
      <c r="EU86" s="80">
        <v>4</v>
      </c>
      <c r="EV86" s="80">
        <v>29</v>
      </c>
      <c r="EW86" s="80">
        <v>27</v>
      </c>
      <c r="EX86" s="80"/>
      <c r="EY86" s="80">
        <v>1</v>
      </c>
      <c r="EZ86" s="80">
        <v>126</v>
      </c>
      <c r="FA86" s="1472">
        <f t="shared" si="11"/>
        <v>0.30208333333333331</v>
      </c>
      <c r="FB86" s="80"/>
      <c r="FC86" s="1496"/>
      <c r="FD86" s="1496"/>
      <c r="FE86" s="1497" t="s">
        <v>15</v>
      </c>
      <c r="FF86" s="1498">
        <v>15</v>
      </c>
      <c r="FG86" s="1498">
        <v>6</v>
      </c>
      <c r="FH86" s="1498" t="s">
        <v>332</v>
      </c>
      <c r="FI86" s="1498">
        <v>1</v>
      </c>
      <c r="FJ86" s="1498">
        <v>10</v>
      </c>
      <c r="FK86" s="1498">
        <v>7</v>
      </c>
      <c r="FL86" s="1498">
        <v>4</v>
      </c>
      <c r="FM86" s="1498" t="s">
        <v>332</v>
      </c>
      <c r="FN86" s="1498">
        <v>4</v>
      </c>
      <c r="FO86" s="1498">
        <v>4</v>
      </c>
      <c r="FP86" s="1498">
        <v>22</v>
      </c>
      <c r="FQ86" s="1498" t="s">
        <v>332</v>
      </c>
      <c r="FR86" s="1498">
        <v>73</v>
      </c>
      <c r="FS86" s="1498">
        <f t="shared" si="12"/>
        <v>21</v>
      </c>
      <c r="FT86" s="1499">
        <f t="shared" si="13"/>
        <v>0.28767123287671231</v>
      </c>
      <c r="FU86" s="80"/>
      <c r="FV86" s="80"/>
    </row>
    <row r="87" spans="1:178">
      <c r="A87" s="73"/>
      <c r="B87" s="73"/>
      <c r="C87" s="738" t="s">
        <v>576</v>
      </c>
      <c r="D87" s="4667">
        <v>96</v>
      </c>
      <c r="E87" s="4667">
        <v>84</v>
      </c>
      <c r="F87" s="4667"/>
      <c r="G87" s="4667">
        <v>5</v>
      </c>
      <c r="H87" s="4667">
        <v>184</v>
      </c>
      <c r="I87" s="4667">
        <v>43</v>
      </c>
      <c r="J87" s="4667">
        <v>56</v>
      </c>
      <c r="K87" s="4667">
        <v>3</v>
      </c>
      <c r="L87" s="4667"/>
      <c r="M87" s="4667">
        <v>97</v>
      </c>
      <c r="N87" s="4667">
        <v>91</v>
      </c>
      <c r="O87" s="4667"/>
      <c r="P87" s="4667">
        <v>159</v>
      </c>
      <c r="Q87" s="4667"/>
      <c r="R87" s="4667">
        <v>818</v>
      </c>
      <c r="S87" s="4680">
        <f t="shared" si="14"/>
        <v>0.38875305623471884</v>
      </c>
      <c r="U87" s="73"/>
      <c r="V87" s="73"/>
      <c r="W87" s="738" t="s">
        <v>576</v>
      </c>
      <c r="X87" s="151">
        <v>66</v>
      </c>
      <c r="Y87" s="151">
        <v>143</v>
      </c>
      <c r="Z87" s="151"/>
      <c r="AA87" s="151">
        <v>32</v>
      </c>
      <c r="AB87" s="151">
        <v>182</v>
      </c>
      <c r="AC87" s="151">
        <v>42</v>
      </c>
      <c r="AD87" s="151">
        <v>61</v>
      </c>
      <c r="AE87" s="151">
        <v>2</v>
      </c>
      <c r="AF87" s="151"/>
      <c r="AG87" s="151">
        <v>70</v>
      </c>
      <c r="AH87" s="151">
        <v>77</v>
      </c>
      <c r="AI87" s="151"/>
      <c r="AJ87" s="151">
        <v>147</v>
      </c>
      <c r="AK87" s="151"/>
      <c r="AL87" s="151">
        <v>822</v>
      </c>
      <c r="AM87" s="912">
        <f t="shared" si="10"/>
        <v>0.36618004866180048</v>
      </c>
      <c r="AN87" s="3197"/>
      <c r="AO87" s="73"/>
      <c r="AP87" s="73"/>
      <c r="AQ87" s="738" t="s">
        <v>576</v>
      </c>
      <c r="AR87" s="151">
        <v>66</v>
      </c>
      <c r="AS87" s="151">
        <v>102</v>
      </c>
      <c r="AT87" s="151"/>
      <c r="AU87" s="151">
        <v>24</v>
      </c>
      <c r="AV87" s="151">
        <v>163</v>
      </c>
      <c r="AW87" s="151">
        <v>29</v>
      </c>
      <c r="AX87" s="151">
        <v>16</v>
      </c>
      <c r="AY87" s="151">
        <v>13</v>
      </c>
      <c r="AZ87" s="151"/>
      <c r="BA87" s="151">
        <v>128</v>
      </c>
      <c r="BB87" s="151">
        <v>46</v>
      </c>
      <c r="BC87" s="151"/>
      <c r="BD87" s="151">
        <v>148</v>
      </c>
      <c r="BE87" s="151">
        <v>1</v>
      </c>
      <c r="BF87" s="151">
        <v>736</v>
      </c>
      <c r="BG87" s="912">
        <f t="shared" si="15"/>
        <v>0.32380952380952382</v>
      </c>
      <c r="BI87" s="2140"/>
      <c r="BJ87" s="2140"/>
      <c r="BK87" s="2148" t="s">
        <v>63</v>
      </c>
      <c r="BL87" s="2149">
        <v>21</v>
      </c>
      <c r="BM87" s="2149">
        <v>35</v>
      </c>
      <c r="BN87" s="2150"/>
      <c r="BO87" s="2149">
        <v>7</v>
      </c>
      <c r="BP87" s="2149">
        <v>73</v>
      </c>
      <c r="BQ87" s="2149">
        <v>6</v>
      </c>
      <c r="BR87" s="2149">
        <v>3</v>
      </c>
      <c r="BS87" s="2149">
        <v>1</v>
      </c>
      <c r="BT87" s="2150"/>
      <c r="BU87" s="2149">
        <v>34</v>
      </c>
      <c r="BV87" s="2149">
        <v>18</v>
      </c>
      <c r="BW87" s="2150"/>
      <c r="BX87" s="2149">
        <v>33</v>
      </c>
      <c r="BY87" s="2149">
        <v>0</v>
      </c>
      <c r="BZ87" s="2149">
        <v>231</v>
      </c>
      <c r="CA87" s="2151">
        <f t="shared" si="16"/>
        <v>0.41991341991341991</v>
      </c>
      <c r="CC87" s="1452"/>
      <c r="CD87" s="1452"/>
      <c r="CE87" s="1465" t="s">
        <v>63</v>
      </c>
      <c r="CF87" s="1466">
        <v>12</v>
      </c>
      <c r="CG87" s="1466">
        <v>25</v>
      </c>
      <c r="CH87" s="1452"/>
      <c r="CI87" s="1466">
        <v>6</v>
      </c>
      <c r="CJ87" s="1466">
        <v>49</v>
      </c>
      <c r="CK87" s="1466">
        <v>6</v>
      </c>
      <c r="CL87" s="1466">
        <v>4</v>
      </c>
      <c r="CM87" s="1452"/>
      <c r="CN87" s="1452"/>
      <c r="CO87" s="1466">
        <v>29</v>
      </c>
      <c r="CP87" s="1466">
        <v>25</v>
      </c>
      <c r="CQ87" s="1466">
        <v>30</v>
      </c>
      <c r="CR87" s="1452"/>
      <c r="CS87" s="1466">
        <v>186</v>
      </c>
      <c r="CT87" s="814">
        <f t="shared" si="17"/>
        <v>0.43010752688172044</v>
      </c>
      <c r="CV87" s="929"/>
      <c r="CW87" s="929"/>
      <c r="CX87" s="1467" t="s">
        <v>63</v>
      </c>
      <c r="CY87" s="1468">
        <v>24</v>
      </c>
      <c r="CZ87" s="1468">
        <v>22</v>
      </c>
      <c r="DA87" s="929"/>
      <c r="DB87" s="1468">
        <v>6</v>
      </c>
      <c r="DC87" s="1468">
        <v>35</v>
      </c>
      <c r="DD87" s="1468">
        <v>7</v>
      </c>
      <c r="DE87" s="1468">
        <v>4</v>
      </c>
      <c r="DF87" s="1468">
        <v>4</v>
      </c>
      <c r="DG87" s="929"/>
      <c r="DH87" s="1468">
        <v>5</v>
      </c>
      <c r="DI87" s="1468">
        <v>15</v>
      </c>
      <c r="DJ87" s="1468">
        <v>21</v>
      </c>
      <c r="DK87" s="929"/>
      <c r="DL87" s="1468">
        <v>143</v>
      </c>
      <c r="DM87" s="814">
        <f t="shared" si="18"/>
        <v>0.39860139860139859</v>
      </c>
      <c r="DO87" s="1094"/>
      <c r="DP87" s="1094"/>
      <c r="DQ87" s="1469" t="s">
        <v>65</v>
      </c>
      <c r="DR87" s="1470">
        <v>21</v>
      </c>
      <c r="DS87" s="1470">
        <v>2</v>
      </c>
      <c r="DT87" s="1470">
        <v>0</v>
      </c>
      <c r="DU87" s="1470">
        <v>3</v>
      </c>
      <c r="DV87" s="1470">
        <v>3</v>
      </c>
      <c r="DW87" s="1470">
        <v>3</v>
      </c>
      <c r="DX87" s="1470">
        <v>5</v>
      </c>
      <c r="DY87" s="1470">
        <v>0</v>
      </c>
      <c r="DZ87" s="1470">
        <v>1</v>
      </c>
      <c r="EA87" s="1470">
        <v>1</v>
      </c>
      <c r="EB87" s="1470">
        <v>18</v>
      </c>
      <c r="EC87" s="1470">
        <v>23</v>
      </c>
      <c r="ED87" s="1470">
        <v>0</v>
      </c>
      <c r="EE87" s="1470">
        <v>0</v>
      </c>
      <c r="EF87" s="1470">
        <v>80</v>
      </c>
      <c r="EG87" s="1471">
        <f t="shared" si="19"/>
        <v>0.11290322580645161</v>
      </c>
      <c r="EI87" s="163"/>
      <c r="EJ87" s="163"/>
      <c r="EK87" s="80" t="s">
        <v>65</v>
      </c>
      <c r="EL87" s="80">
        <v>12</v>
      </c>
      <c r="EM87" s="80">
        <v>1</v>
      </c>
      <c r="EN87" s="80"/>
      <c r="EO87" s="80">
        <v>0</v>
      </c>
      <c r="EP87" s="80">
        <v>2</v>
      </c>
      <c r="EQ87" s="80">
        <v>0</v>
      </c>
      <c r="ER87" s="80">
        <v>3</v>
      </c>
      <c r="ES87" s="80"/>
      <c r="ET87" s="80">
        <v>1</v>
      </c>
      <c r="EU87" s="80">
        <v>1</v>
      </c>
      <c r="EV87" s="80">
        <v>14</v>
      </c>
      <c r="EW87" s="80">
        <v>13</v>
      </c>
      <c r="EX87" s="80"/>
      <c r="EY87" s="80">
        <v>0</v>
      </c>
      <c r="EZ87" s="80">
        <v>47</v>
      </c>
      <c r="FA87" s="1472">
        <f t="shared" si="11"/>
        <v>9.0909090909090912E-2</v>
      </c>
      <c r="FB87" s="80"/>
      <c r="FC87" s="681"/>
      <c r="FD87" s="681"/>
      <c r="FE87" s="681"/>
      <c r="FF87" s="681"/>
      <c r="FG87" s="681"/>
      <c r="FH87" s="681"/>
      <c r="FI87" s="681"/>
      <c r="FJ87" s="681"/>
      <c r="FK87" s="681"/>
      <c r="FL87" s="681"/>
      <c r="FM87" s="681"/>
      <c r="FN87" s="681"/>
      <c r="FO87" s="681"/>
      <c r="FP87" s="681"/>
      <c r="FQ87" s="681"/>
      <c r="FR87" s="681"/>
      <c r="FS87" s="681"/>
      <c r="FT87" s="681"/>
      <c r="FU87" s="80"/>
      <c r="FV87" s="80"/>
    </row>
    <row r="88" spans="1:178">
      <c r="A88" s="73"/>
      <c r="B88" s="73" t="s">
        <v>64</v>
      </c>
      <c r="C88" s="73" t="s">
        <v>14</v>
      </c>
      <c r="D88" s="161">
        <v>54</v>
      </c>
      <c r="E88" s="161">
        <v>23</v>
      </c>
      <c r="F88" s="161">
        <v>0</v>
      </c>
      <c r="G88" s="161">
        <v>1</v>
      </c>
      <c r="H88" s="161">
        <v>37</v>
      </c>
      <c r="I88" s="161">
        <v>16</v>
      </c>
      <c r="J88" s="161">
        <v>27</v>
      </c>
      <c r="K88" s="161">
        <v>0</v>
      </c>
      <c r="L88" s="161"/>
      <c r="M88" s="161">
        <v>9</v>
      </c>
      <c r="N88" s="161">
        <v>20</v>
      </c>
      <c r="O88" s="161"/>
      <c r="P88" s="161">
        <v>50</v>
      </c>
      <c r="Q88" s="161"/>
      <c r="R88" s="161">
        <v>237</v>
      </c>
      <c r="S88" s="4680">
        <f t="shared" si="14"/>
        <v>0.30801687763713081</v>
      </c>
      <c r="U88" s="73"/>
      <c r="V88" s="73" t="s">
        <v>64</v>
      </c>
      <c r="W88" s="73" t="s">
        <v>14</v>
      </c>
      <c r="X88" s="161">
        <v>34</v>
      </c>
      <c r="Y88" s="161">
        <v>29</v>
      </c>
      <c r="Z88" s="161"/>
      <c r="AA88" s="161">
        <v>13</v>
      </c>
      <c r="AB88" s="161">
        <v>43</v>
      </c>
      <c r="AC88" s="161">
        <v>7</v>
      </c>
      <c r="AD88" s="161">
        <v>21</v>
      </c>
      <c r="AE88" s="161">
        <v>1</v>
      </c>
      <c r="AF88" s="161"/>
      <c r="AG88" s="161">
        <v>16</v>
      </c>
      <c r="AH88" s="161">
        <v>10</v>
      </c>
      <c r="AI88" s="161"/>
      <c r="AJ88" s="161">
        <v>51</v>
      </c>
      <c r="AK88" s="161"/>
      <c r="AL88" s="161">
        <v>225</v>
      </c>
      <c r="AM88" s="2585">
        <f t="shared" si="10"/>
        <v>0.26666666666666666</v>
      </c>
      <c r="AN88" s="3196"/>
      <c r="AO88" s="73"/>
      <c r="AP88" s="73" t="s">
        <v>64</v>
      </c>
      <c r="AQ88" s="73" t="s">
        <v>14</v>
      </c>
      <c r="AR88" s="161">
        <v>19</v>
      </c>
      <c r="AS88" s="161">
        <v>28</v>
      </c>
      <c r="AT88" s="161"/>
      <c r="AU88" s="161">
        <v>10</v>
      </c>
      <c r="AV88" s="161">
        <v>44</v>
      </c>
      <c r="AW88" s="161">
        <v>10</v>
      </c>
      <c r="AX88" s="161">
        <v>10</v>
      </c>
      <c r="AY88" s="161">
        <v>0</v>
      </c>
      <c r="AZ88" s="161"/>
      <c r="BA88" s="161">
        <v>25</v>
      </c>
      <c r="BB88" s="161">
        <v>8</v>
      </c>
      <c r="BC88" s="161"/>
      <c r="BD88" s="161">
        <v>51</v>
      </c>
      <c r="BE88" s="161">
        <v>1</v>
      </c>
      <c r="BF88" s="161">
        <v>206</v>
      </c>
      <c r="BG88" s="2585">
        <f t="shared" si="15"/>
        <v>0.30243902439024389</v>
      </c>
      <c r="BI88" s="2140"/>
      <c r="BJ88" s="2140"/>
      <c r="BK88" s="2142" t="s">
        <v>576</v>
      </c>
      <c r="BL88" s="2152">
        <v>86</v>
      </c>
      <c r="BM88" s="2152">
        <v>105</v>
      </c>
      <c r="BN88" s="2153"/>
      <c r="BO88" s="2152">
        <v>20</v>
      </c>
      <c r="BP88" s="2152">
        <v>150</v>
      </c>
      <c r="BQ88" s="2152">
        <v>19</v>
      </c>
      <c r="BR88" s="2152">
        <v>22</v>
      </c>
      <c r="BS88" s="2152">
        <v>1</v>
      </c>
      <c r="BT88" s="2153"/>
      <c r="BU88" s="2152">
        <v>71</v>
      </c>
      <c r="BV88" s="2152">
        <v>39</v>
      </c>
      <c r="BW88" s="2153"/>
      <c r="BX88" s="2152">
        <v>134</v>
      </c>
      <c r="BY88" s="2152">
        <v>1</v>
      </c>
      <c r="BZ88" s="2152">
        <v>648</v>
      </c>
      <c r="CA88" s="2154">
        <f t="shared" si="16"/>
        <v>0.321483771251932</v>
      </c>
      <c r="CC88" s="1452"/>
      <c r="CD88" s="1452"/>
      <c r="CE88" s="1475" t="s">
        <v>576</v>
      </c>
      <c r="CF88" s="1476">
        <v>71</v>
      </c>
      <c r="CG88" s="1476">
        <v>69</v>
      </c>
      <c r="CH88" s="1477"/>
      <c r="CI88" s="1476">
        <v>26</v>
      </c>
      <c r="CJ88" s="1476">
        <v>112</v>
      </c>
      <c r="CK88" s="1476">
        <v>15</v>
      </c>
      <c r="CL88" s="1476">
        <v>12</v>
      </c>
      <c r="CM88" s="1477"/>
      <c r="CN88" s="1476"/>
      <c r="CO88" s="1476">
        <v>82</v>
      </c>
      <c r="CP88" s="1476">
        <v>40</v>
      </c>
      <c r="CQ88" s="1476">
        <v>135</v>
      </c>
      <c r="CR88" s="1476"/>
      <c r="CS88" s="1476">
        <v>562</v>
      </c>
      <c r="CT88" s="1478">
        <f t="shared" si="17"/>
        <v>0.29715302491103202</v>
      </c>
      <c r="CV88" s="929"/>
      <c r="CW88" s="929"/>
      <c r="CX88" s="1090" t="s">
        <v>576</v>
      </c>
      <c r="CY88" s="1479">
        <v>101</v>
      </c>
      <c r="CZ88" s="1479">
        <v>61</v>
      </c>
      <c r="DA88" s="1093"/>
      <c r="DB88" s="1479">
        <v>24</v>
      </c>
      <c r="DC88" s="1479">
        <v>81</v>
      </c>
      <c r="DD88" s="1479">
        <v>19</v>
      </c>
      <c r="DE88" s="1479">
        <v>11</v>
      </c>
      <c r="DF88" s="1479">
        <v>4</v>
      </c>
      <c r="DG88" s="1093"/>
      <c r="DH88" s="1479">
        <v>19</v>
      </c>
      <c r="DI88" s="1479">
        <v>30</v>
      </c>
      <c r="DJ88" s="1479">
        <v>91</v>
      </c>
      <c r="DK88" s="1093"/>
      <c r="DL88" s="1479">
        <v>441</v>
      </c>
      <c r="DM88" s="803">
        <f t="shared" si="18"/>
        <v>0.29478458049886619</v>
      </c>
      <c r="DO88" s="1094"/>
      <c r="DP88" s="1094"/>
      <c r="DQ88" s="1469" t="s">
        <v>422</v>
      </c>
      <c r="DR88" s="1470">
        <v>11</v>
      </c>
      <c r="DS88" s="1470">
        <v>5</v>
      </c>
      <c r="DT88" s="1470">
        <v>0</v>
      </c>
      <c r="DU88" s="1470">
        <v>2</v>
      </c>
      <c r="DV88" s="1470">
        <v>0</v>
      </c>
      <c r="DW88" s="1470">
        <v>0</v>
      </c>
      <c r="DX88" s="1470">
        <v>0</v>
      </c>
      <c r="DY88" s="1470">
        <v>0</v>
      </c>
      <c r="DZ88" s="1470">
        <v>1</v>
      </c>
      <c r="EA88" s="1470">
        <v>1</v>
      </c>
      <c r="EB88" s="1470">
        <v>6</v>
      </c>
      <c r="EC88" s="1470">
        <v>4</v>
      </c>
      <c r="ED88" s="1470">
        <v>0</v>
      </c>
      <c r="EE88" s="1470">
        <v>0</v>
      </c>
      <c r="EF88" s="1470">
        <v>30</v>
      </c>
      <c r="EG88" s="1471">
        <f t="shared" si="19"/>
        <v>4.1666666666666664E-2</v>
      </c>
      <c r="EI88" s="163"/>
      <c r="EJ88" s="163"/>
      <c r="EK88" s="80" t="s">
        <v>422</v>
      </c>
      <c r="EL88" s="80">
        <v>3</v>
      </c>
      <c r="EM88" s="80">
        <v>1</v>
      </c>
      <c r="EN88" s="80"/>
      <c r="EO88" s="80">
        <v>0</v>
      </c>
      <c r="EP88" s="80">
        <v>0</v>
      </c>
      <c r="EQ88" s="80">
        <v>0</v>
      </c>
      <c r="ER88" s="80">
        <v>0</v>
      </c>
      <c r="ES88" s="80"/>
      <c r="ET88" s="80">
        <v>0</v>
      </c>
      <c r="EU88" s="80">
        <v>0</v>
      </c>
      <c r="EV88" s="80">
        <v>0</v>
      </c>
      <c r="EW88" s="80">
        <v>0</v>
      </c>
      <c r="EX88" s="80"/>
      <c r="EY88" s="80">
        <v>0</v>
      </c>
      <c r="EZ88" s="80">
        <v>4</v>
      </c>
      <c r="FA88" s="1472">
        <f t="shared" si="11"/>
        <v>0</v>
      </c>
      <c r="FB88" s="80"/>
      <c r="FC88" s="681"/>
      <c r="FD88" s="681"/>
      <c r="FE88" s="681"/>
      <c r="FF88" s="681"/>
      <c r="FG88" s="681"/>
      <c r="FH88" s="681"/>
      <c r="FI88" s="681"/>
      <c r="FJ88" s="681"/>
      <c r="FK88" s="681"/>
      <c r="FL88" s="681"/>
      <c r="FM88" s="681"/>
      <c r="FN88" s="681"/>
      <c r="FO88" s="681"/>
      <c r="FP88" s="681"/>
      <c r="FQ88" s="681"/>
      <c r="FR88" s="681"/>
      <c r="FS88" s="681"/>
      <c r="FT88" s="681"/>
      <c r="FU88" s="80"/>
      <c r="FV88" s="80"/>
    </row>
    <row r="89" spans="1:178">
      <c r="A89" s="73"/>
      <c r="B89" s="73"/>
      <c r="C89" s="73" t="s">
        <v>65</v>
      </c>
      <c r="D89" s="161">
        <v>26</v>
      </c>
      <c r="E89" s="161">
        <v>20</v>
      </c>
      <c r="F89" s="161">
        <v>0</v>
      </c>
      <c r="G89" s="161">
        <v>2</v>
      </c>
      <c r="H89" s="161">
        <v>18</v>
      </c>
      <c r="I89" s="161">
        <v>14</v>
      </c>
      <c r="J89" s="161">
        <v>18</v>
      </c>
      <c r="K89" s="161">
        <v>0</v>
      </c>
      <c r="L89" s="161"/>
      <c r="M89" s="161">
        <v>13</v>
      </c>
      <c r="N89" s="161">
        <v>4</v>
      </c>
      <c r="O89" s="161"/>
      <c r="P89" s="161">
        <v>31</v>
      </c>
      <c r="Q89" s="161"/>
      <c r="R89" s="161">
        <v>146</v>
      </c>
      <c r="S89" s="4680">
        <f t="shared" si="14"/>
        <v>0.24657534246575341</v>
      </c>
      <c r="U89" s="73"/>
      <c r="V89" s="73"/>
      <c r="W89" s="73" t="s">
        <v>65</v>
      </c>
      <c r="X89" s="161">
        <v>8</v>
      </c>
      <c r="Y89" s="161">
        <v>25</v>
      </c>
      <c r="Z89" s="161"/>
      <c r="AA89" s="161">
        <v>14</v>
      </c>
      <c r="AB89" s="161">
        <v>16</v>
      </c>
      <c r="AC89" s="161">
        <v>10</v>
      </c>
      <c r="AD89" s="161">
        <v>10</v>
      </c>
      <c r="AE89" s="161">
        <v>0</v>
      </c>
      <c r="AF89" s="161"/>
      <c r="AG89" s="161">
        <v>23</v>
      </c>
      <c r="AH89" s="161">
        <v>6</v>
      </c>
      <c r="AI89" s="161"/>
      <c r="AJ89" s="161">
        <v>34</v>
      </c>
      <c r="AK89" s="161"/>
      <c r="AL89" s="161">
        <v>146</v>
      </c>
      <c r="AM89" s="2585">
        <f t="shared" si="10"/>
        <v>0.21917808219178081</v>
      </c>
      <c r="AN89" s="3196"/>
      <c r="AO89" s="73"/>
      <c r="AP89" s="73"/>
      <c r="AQ89" s="73" t="s">
        <v>65</v>
      </c>
      <c r="AR89" s="161">
        <v>6</v>
      </c>
      <c r="AS89" s="161">
        <v>22</v>
      </c>
      <c r="AT89" s="161"/>
      <c r="AU89" s="161">
        <v>13</v>
      </c>
      <c r="AV89" s="161">
        <v>13</v>
      </c>
      <c r="AW89" s="161">
        <v>7</v>
      </c>
      <c r="AX89" s="161">
        <v>8</v>
      </c>
      <c r="AY89" s="161">
        <v>1</v>
      </c>
      <c r="AZ89" s="161"/>
      <c r="BA89" s="161">
        <v>27</v>
      </c>
      <c r="BB89" s="161">
        <v>3</v>
      </c>
      <c r="BC89" s="161"/>
      <c r="BD89" s="161">
        <v>28</v>
      </c>
      <c r="BE89" s="161">
        <v>0</v>
      </c>
      <c r="BF89" s="161">
        <v>128</v>
      </c>
      <c r="BG89" s="2585">
        <f t="shared" si="15"/>
        <v>0.1796875</v>
      </c>
      <c r="BI89" s="2140"/>
      <c r="BJ89" s="2140" t="s">
        <v>64</v>
      </c>
      <c r="BK89" s="2148" t="s">
        <v>14</v>
      </c>
      <c r="BL89" s="2149">
        <v>17</v>
      </c>
      <c r="BM89" s="2149">
        <v>29</v>
      </c>
      <c r="BN89" s="2150"/>
      <c r="BO89" s="2149">
        <v>8</v>
      </c>
      <c r="BP89" s="2149">
        <v>56</v>
      </c>
      <c r="BQ89" s="2149">
        <v>6</v>
      </c>
      <c r="BR89" s="2149">
        <v>13</v>
      </c>
      <c r="BS89" s="2149">
        <v>3</v>
      </c>
      <c r="BT89" s="2150"/>
      <c r="BU89" s="2149">
        <v>17</v>
      </c>
      <c r="BV89" s="2149">
        <v>9</v>
      </c>
      <c r="BW89" s="2150"/>
      <c r="BX89" s="2149">
        <v>45</v>
      </c>
      <c r="BY89" s="2149">
        <v>1</v>
      </c>
      <c r="BZ89" s="2149">
        <v>204</v>
      </c>
      <c r="CA89" s="2151">
        <f t="shared" si="16"/>
        <v>0.34975369458128081</v>
      </c>
      <c r="CC89" s="1452"/>
      <c r="CD89" s="1452" t="s">
        <v>64</v>
      </c>
      <c r="CE89" s="1465" t="s">
        <v>14</v>
      </c>
      <c r="CF89" s="1466">
        <v>25</v>
      </c>
      <c r="CG89" s="1466">
        <v>24</v>
      </c>
      <c r="CH89" s="1452"/>
      <c r="CI89" s="1466">
        <v>8</v>
      </c>
      <c r="CJ89" s="1466">
        <v>46</v>
      </c>
      <c r="CK89" s="1466">
        <v>7</v>
      </c>
      <c r="CL89" s="1466">
        <v>7</v>
      </c>
      <c r="CM89" s="1466">
        <v>0</v>
      </c>
      <c r="CN89" s="1452"/>
      <c r="CO89" s="1466">
        <v>12</v>
      </c>
      <c r="CP89" s="1466">
        <v>10</v>
      </c>
      <c r="CQ89" s="1466">
        <v>65</v>
      </c>
      <c r="CR89" s="1452"/>
      <c r="CS89" s="1466">
        <v>204</v>
      </c>
      <c r="CT89" s="814">
        <f t="shared" si="17"/>
        <v>0.30882352941176472</v>
      </c>
      <c r="CV89" s="929"/>
      <c r="CW89" s="929" t="s">
        <v>64</v>
      </c>
      <c r="CX89" s="1467" t="s">
        <v>14</v>
      </c>
      <c r="CY89" s="1468">
        <v>40</v>
      </c>
      <c r="CZ89" s="1468">
        <v>15</v>
      </c>
      <c r="DA89" s="929"/>
      <c r="DB89" s="1468">
        <v>8</v>
      </c>
      <c r="DC89" s="1468">
        <v>37</v>
      </c>
      <c r="DD89" s="1468">
        <v>8</v>
      </c>
      <c r="DE89" s="1468">
        <v>7</v>
      </c>
      <c r="DF89" s="1468">
        <v>1</v>
      </c>
      <c r="DG89" s="929"/>
      <c r="DH89" s="1468">
        <v>6</v>
      </c>
      <c r="DI89" s="1468">
        <v>7</v>
      </c>
      <c r="DJ89" s="1468">
        <v>51</v>
      </c>
      <c r="DK89" s="929"/>
      <c r="DL89" s="1468">
        <v>180</v>
      </c>
      <c r="DM89" s="814">
        <f t="shared" si="18"/>
        <v>0.28888888888888886</v>
      </c>
      <c r="DO89" s="1094"/>
      <c r="DP89" s="1094"/>
      <c r="DQ89" s="1469" t="s">
        <v>81</v>
      </c>
      <c r="DR89" s="1470">
        <v>1</v>
      </c>
      <c r="DS89" s="1470">
        <v>1</v>
      </c>
      <c r="DT89" s="1470">
        <v>0</v>
      </c>
      <c r="DU89" s="1470">
        <v>0</v>
      </c>
      <c r="DV89" s="1470">
        <v>0</v>
      </c>
      <c r="DW89" s="1470">
        <v>0</v>
      </c>
      <c r="DX89" s="1470">
        <v>0</v>
      </c>
      <c r="DY89" s="1470">
        <v>0</v>
      </c>
      <c r="DZ89" s="1470">
        <v>0</v>
      </c>
      <c r="EA89" s="1470">
        <v>0</v>
      </c>
      <c r="EB89" s="1470">
        <v>0</v>
      </c>
      <c r="EC89" s="1470">
        <v>0</v>
      </c>
      <c r="ED89" s="1470">
        <v>0</v>
      </c>
      <c r="EE89" s="1470">
        <v>0</v>
      </c>
      <c r="EF89" s="1470">
        <v>2</v>
      </c>
      <c r="EG89" s="1471">
        <f t="shared" si="19"/>
        <v>0</v>
      </c>
      <c r="EI89" s="163"/>
      <c r="EJ89" s="163"/>
      <c r="EK89" s="80" t="s">
        <v>81</v>
      </c>
      <c r="EL89" s="80">
        <v>1</v>
      </c>
      <c r="EM89" s="80">
        <v>0</v>
      </c>
      <c r="EN89" s="80"/>
      <c r="EO89" s="80">
        <v>0</v>
      </c>
      <c r="EP89" s="80">
        <v>0</v>
      </c>
      <c r="EQ89" s="80">
        <v>0</v>
      </c>
      <c r="ER89" s="80">
        <v>0</v>
      </c>
      <c r="ES89" s="80"/>
      <c r="ET89" s="80">
        <v>0</v>
      </c>
      <c r="EU89" s="80">
        <v>0</v>
      </c>
      <c r="EV89" s="80">
        <v>0</v>
      </c>
      <c r="EW89" s="80">
        <v>0</v>
      </c>
      <c r="EX89" s="80"/>
      <c r="EY89" s="80">
        <v>0</v>
      </c>
      <c r="EZ89" s="80">
        <v>1</v>
      </c>
      <c r="FA89" s="1472">
        <f t="shared" si="11"/>
        <v>0</v>
      </c>
      <c r="FB89" s="80"/>
      <c r="FC89" s="681"/>
      <c r="FD89" s="681"/>
      <c r="FE89" s="681"/>
      <c r="FF89" s="681"/>
      <c r="FG89" s="681"/>
      <c r="FH89" s="681"/>
      <c r="FI89" s="681"/>
      <c r="FJ89" s="681"/>
      <c r="FK89" s="681"/>
      <c r="FL89" s="681"/>
      <c r="FM89" s="681"/>
      <c r="FN89" s="681"/>
      <c r="FO89" s="681"/>
      <c r="FP89" s="681"/>
      <c r="FQ89" s="681"/>
      <c r="FR89" s="681"/>
      <c r="FS89" s="681"/>
      <c r="FT89" s="681"/>
      <c r="FU89" s="80"/>
      <c r="FV89" s="80"/>
    </row>
    <row r="90" spans="1:178" ht="15.75" thickBot="1">
      <c r="A90" s="73"/>
      <c r="B90" s="73"/>
      <c r="C90" s="73" t="s">
        <v>422</v>
      </c>
      <c r="D90" s="161">
        <v>35</v>
      </c>
      <c r="E90" s="161">
        <v>16</v>
      </c>
      <c r="F90" s="161">
        <v>1</v>
      </c>
      <c r="G90" s="161">
        <v>2</v>
      </c>
      <c r="H90" s="161">
        <v>30</v>
      </c>
      <c r="I90" s="161">
        <v>10</v>
      </c>
      <c r="J90" s="161">
        <v>10</v>
      </c>
      <c r="K90" s="161">
        <v>0</v>
      </c>
      <c r="L90" s="161"/>
      <c r="M90" s="161">
        <v>11</v>
      </c>
      <c r="N90" s="161">
        <v>13</v>
      </c>
      <c r="O90" s="161"/>
      <c r="P90" s="161">
        <v>27</v>
      </c>
      <c r="Q90" s="161"/>
      <c r="R90" s="161">
        <v>155</v>
      </c>
      <c r="S90" s="4680">
        <f t="shared" si="14"/>
        <v>0.34193548387096773</v>
      </c>
      <c r="U90" s="73"/>
      <c r="V90" s="73"/>
      <c r="W90" s="73" t="s">
        <v>422</v>
      </c>
      <c r="X90" s="161">
        <v>22</v>
      </c>
      <c r="Y90" s="161">
        <v>8</v>
      </c>
      <c r="Z90" s="161"/>
      <c r="AA90" s="161">
        <v>8</v>
      </c>
      <c r="AB90" s="161">
        <v>27</v>
      </c>
      <c r="AC90" s="161">
        <v>5</v>
      </c>
      <c r="AD90" s="161">
        <v>1</v>
      </c>
      <c r="AE90" s="161">
        <v>0</v>
      </c>
      <c r="AF90" s="161"/>
      <c r="AG90" s="161">
        <v>8</v>
      </c>
      <c r="AH90" s="161">
        <v>9</v>
      </c>
      <c r="AI90" s="161"/>
      <c r="AJ90" s="161">
        <v>30</v>
      </c>
      <c r="AK90" s="161"/>
      <c r="AL90" s="161">
        <v>118</v>
      </c>
      <c r="AM90" s="2585">
        <f t="shared" si="10"/>
        <v>0.34745762711864409</v>
      </c>
      <c r="AN90" s="3196"/>
      <c r="AO90" s="73"/>
      <c r="AP90" s="73"/>
      <c r="AQ90" s="73" t="s">
        <v>422</v>
      </c>
      <c r="AR90" s="161">
        <v>9</v>
      </c>
      <c r="AS90" s="161">
        <v>13</v>
      </c>
      <c r="AT90" s="161"/>
      <c r="AU90" s="161">
        <v>7</v>
      </c>
      <c r="AV90" s="161">
        <v>19</v>
      </c>
      <c r="AW90" s="161">
        <v>3</v>
      </c>
      <c r="AX90" s="161">
        <v>0</v>
      </c>
      <c r="AY90" s="161">
        <v>3</v>
      </c>
      <c r="AZ90" s="161"/>
      <c r="BA90" s="161">
        <v>10</v>
      </c>
      <c r="BB90" s="161">
        <v>6</v>
      </c>
      <c r="BC90" s="161"/>
      <c r="BD90" s="161">
        <v>26</v>
      </c>
      <c r="BE90" s="161">
        <v>0</v>
      </c>
      <c r="BF90" s="161">
        <v>96</v>
      </c>
      <c r="BG90" s="2585">
        <f t="shared" si="15"/>
        <v>0.29166666666666669</v>
      </c>
      <c r="BI90" s="2140"/>
      <c r="BJ90" s="2140"/>
      <c r="BK90" s="2148" t="s">
        <v>65</v>
      </c>
      <c r="BL90" s="2149">
        <v>16</v>
      </c>
      <c r="BM90" s="2149">
        <v>23</v>
      </c>
      <c r="BN90" s="2150"/>
      <c r="BO90" s="2149">
        <v>9</v>
      </c>
      <c r="BP90" s="2149">
        <v>13</v>
      </c>
      <c r="BQ90" s="2149">
        <v>4</v>
      </c>
      <c r="BR90" s="2149">
        <v>9</v>
      </c>
      <c r="BS90" s="2149">
        <v>0</v>
      </c>
      <c r="BT90" s="2150"/>
      <c r="BU90" s="2149">
        <v>16</v>
      </c>
      <c r="BV90" s="2149">
        <v>3</v>
      </c>
      <c r="BW90" s="2150"/>
      <c r="BX90" s="2149">
        <v>20</v>
      </c>
      <c r="BY90" s="2149">
        <v>0</v>
      </c>
      <c r="BZ90" s="2149">
        <v>113</v>
      </c>
      <c r="CA90" s="2151">
        <f t="shared" si="16"/>
        <v>0.17699115044247787</v>
      </c>
      <c r="CC90" s="1452"/>
      <c r="CD90" s="1452"/>
      <c r="CE90" s="1465" t="s">
        <v>65</v>
      </c>
      <c r="CF90" s="1466">
        <v>14</v>
      </c>
      <c r="CG90" s="1466">
        <v>10</v>
      </c>
      <c r="CH90" s="1452"/>
      <c r="CI90" s="1466">
        <v>12</v>
      </c>
      <c r="CJ90" s="1466">
        <v>10</v>
      </c>
      <c r="CK90" s="1466">
        <v>2</v>
      </c>
      <c r="CL90" s="1466">
        <v>8</v>
      </c>
      <c r="CM90" s="1466">
        <v>0</v>
      </c>
      <c r="CN90" s="1452"/>
      <c r="CO90" s="1466">
        <v>20</v>
      </c>
      <c r="CP90" s="1466">
        <v>1</v>
      </c>
      <c r="CQ90" s="1466">
        <v>33</v>
      </c>
      <c r="CR90" s="1452"/>
      <c r="CS90" s="1466">
        <v>110</v>
      </c>
      <c r="CT90" s="814">
        <f t="shared" si="17"/>
        <v>0.11818181818181818</v>
      </c>
      <c r="CV90" s="929"/>
      <c r="CW90" s="929"/>
      <c r="CX90" s="1467" t="s">
        <v>65</v>
      </c>
      <c r="CY90" s="1468">
        <v>23</v>
      </c>
      <c r="CZ90" s="1468">
        <v>6</v>
      </c>
      <c r="DA90" s="929"/>
      <c r="DB90" s="1468">
        <v>8</v>
      </c>
      <c r="DC90" s="1468">
        <v>9</v>
      </c>
      <c r="DD90" s="1468">
        <v>0</v>
      </c>
      <c r="DE90" s="1468">
        <v>8</v>
      </c>
      <c r="DF90" s="1468">
        <v>0</v>
      </c>
      <c r="DG90" s="929"/>
      <c r="DH90" s="1468">
        <v>5</v>
      </c>
      <c r="DI90" s="1468">
        <v>1</v>
      </c>
      <c r="DJ90" s="1468">
        <v>26</v>
      </c>
      <c r="DK90" s="929"/>
      <c r="DL90" s="1468">
        <v>86</v>
      </c>
      <c r="DM90" s="814">
        <f t="shared" si="18"/>
        <v>0.11627906976744186</v>
      </c>
      <c r="DO90" s="1500"/>
      <c r="DP90" s="1500"/>
      <c r="DQ90" s="1501" t="s">
        <v>577</v>
      </c>
      <c r="DR90" s="1502">
        <v>66</v>
      </c>
      <c r="DS90" s="1502">
        <v>20</v>
      </c>
      <c r="DT90" s="1502">
        <v>0</v>
      </c>
      <c r="DU90" s="1502">
        <v>10</v>
      </c>
      <c r="DV90" s="1502">
        <v>28</v>
      </c>
      <c r="DW90" s="1502">
        <v>6</v>
      </c>
      <c r="DX90" s="1502">
        <v>11</v>
      </c>
      <c r="DY90" s="1502">
        <v>0</v>
      </c>
      <c r="DZ90" s="1502">
        <v>11</v>
      </c>
      <c r="EA90" s="1502">
        <v>16</v>
      </c>
      <c r="EB90" s="1502">
        <v>70</v>
      </c>
      <c r="EC90" s="1502">
        <v>69</v>
      </c>
      <c r="ED90" s="1502">
        <v>0</v>
      </c>
      <c r="EE90" s="1502">
        <v>1</v>
      </c>
      <c r="EF90" s="1502">
        <v>308</v>
      </c>
      <c r="EG90" s="1503">
        <f t="shared" si="19"/>
        <v>0.2109704641350211</v>
      </c>
      <c r="EI90" s="1504"/>
      <c r="EJ90" s="1504"/>
      <c r="EK90" s="1268" t="s">
        <v>15</v>
      </c>
      <c r="EL90" s="1268">
        <v>42</v>
      </c>
      <c r="EM90" s="1268">
        <v>7</v>
      </c>
      <c r="EN90" s="1268"/>
      <c r="EO90" s="1268">
        <v>2</v>
      </c>
      <c r="EP90" s="1268">
        <v>22</v>
      </c>
      <c r="EQ90" s="1268">
        <v>5</v>
      </c>
      <c r="ER90" s="1268">
        <v>7</v>
      </c>
      <c r="ES90" s="1268"/>
      <c r="ET90" s="1268">
        <v>4</v>
      </c>
      <c r="EU90" s="1268">
        <v>5</v>
      </c>
      <c r="EV90" s="1268">
        <v>43</v>
      </c>
      <c r="EW90" s="1268">
        <v>40</v>
      </c>
      <c r="EX90" s="1268"/>
      <c r="EY90" s="1268">
        <v>1</v>
      </c>
      <c r="EZ90" s="1268">
        <v>178</v>
      </c>
      <c r="FA90" s="1505">
        <f t="shared" si="11"/>
        <v>0.23880597014925373</v>
      </c>
      <c r="FB90" s="80"/>
      <c r="FC90" s="681"/>
      <c r="FD90" s="681"/>
      <c r="FE90" s="681"/>
      <c r="FF90" s="681"/>
      <c r="FG90" s="681"/>
      <c r="FH90" s="681"/>
      <c r="FI90" s="681"/>
      <c r="FJ90" s="681"/>
      <c r="FK90" s="681"/>
      <c r="FL90" s="681"/>
      <c r="FM90" s="681"/>
      <c r="FN90" s="681"/>
      <c r="FO90" s="681"/>
      <c r="FP90" s="681"/>
      <c r="FQ90" s="681"/>
      <c r="FR90" s="681"/>
      <c r="FS90" s="681"/>
      <c r="FT90" s="681"/>
      <c r="FU90" s="80"/>
      <c r="FV90" s="80"/>
    </row>
    <row r="91" spans="1:178">
      <c r="A91" s="73"/>
      <c r="B91" s="73"/>
      <c r="C91" s="73" t="s">
        <v>81</v>
      </c>
      <c r="D91" s="161">
        <v>28</v>
      </c>
      <c r="E91" s="161">
        <v>22</v>
      </c>
      <c r="F91" s="161">
        <v>1</v>
      </c>
      <c r="G91" s="161">
        <v>1</v>
      </c>
      <c r="H91" s="161">
        <v>63</v>
      </c>
      <c r="I91" s="161">
        <v>9</v>
      </c>
      <c r="J91" s="161">
        <v>1</v>
      </c>
      <c r="K91" s="161">
        <v>4</v>
      </c>
      <c r="L91" s="161"/>
      <c r="M91" s="161">
        <v>35</v>
      </c>
      <c r="N91" s="161">
        <v>17</v>
      </c>
      <c r="O91" s="161"/>
      <c r="P91" s="161">
        <v>30</v>
      </c>
      <c r="Q91" s="161"/>
      <c r="R91" s="161">
        <v>211</v>
      </c>
      <c r="S91" s="4680">
        <f t="shared" si="14"/>
        <v>0.4218009478672986</v>
      </c>
      <c r="U91" s="73"/>
      <c r="V91" s="73"/>
      <c r="W91" s="73" t="s">
        <v>81</v>
      </c>
      <c r="X91" s="161">
        <v>19</v>
      </c>
      <c r="Y91" s="161">
        <v>27</v>
      </c>
      <c r="Z91" s="161"/>
      <c r="AA91" s="161">
        <v>13</v>
      </c>
      <c r="AB91" s="161">
        <v>40</v>
      </c>
      <c r="AC91" s="161">
        <v>11</v>
      </c>
      <c r="AD91" s="161">
        <v>1</v>
      </c>
      <c r="AE91" s="161">
        <v>0</v>
      </c>
      <c r="AF91" s="161"/>
      <c r="AG91" s="161">
        <v>21</v>
      </c>
      <c r="AH91" s="161">
        <v>9</v>
      </c>
      <c r="AI91" s="161"/>
      <c r="AJ91" s="161">
        <v>22</v>
      </c>
      <c r="AK91" s="161"/>
      <c r="AL91" s="161">
        <v>163</v>
      </c>
      <c r="AM91" s="2585">
        <f t="shared" si="10"/>
        <v>0.36809815950920244</v>
      </c>
      <c r="AN91" s="3196"/>
      <c r="AO91" s="73"/>
      <c r="AP91" s="73"/>
      <c r="AQ91" s="73" t="s">
        <v>81</v>
      </c>
      <c r="AR91" s="161">
        <v>15</v>
      </c>
      <c r="AS91" s="161">
        <v>24</v>
      </c>
      <c r="AT91" s="161"/>
      <c r="AU91" s="161">
        <v>8</v>
      </c>
      <c r="AV91" s="161">
        <v>21</v>
      </c>
      <c r="AW91" s="161">
        <v>6</v>
      </c>
      <c r="AX91" s="161">
        <v>0</v>
      </c>
      <c r="AY91" s="161">
        <v>0</v>
      </c>
      <c r="AZ91" s="161"/>
      <c r="BA91" s="161">
        <v>28</v>
      </c>
      <c r="BB91" s="161">
        <v>5</v>
      </c>
      <c r="BC91" s="161"/>
      <c r="BD91" s="161">
        <v>13</v>
      </c>
      <c r="BE91" s="161">
        <v>0</v>
      </c>
      <c r="BF91" s="161">
        <v>120</v>
      </c>
      <c r="BG91" s="2585">
        <f t="shared" si="15"/>
        <v>0.26666666666666666</v>
      </c>
      <c r="BI91" s="2140"/>
      <c r="BJ91" s="2140"/>
      <c r="BK91" s="2148" t="s">
        <v>422</v>
      </c>
      <c r="BL91" s="2149">
        <v>23</v>
      </c>
      <c r="BM91" s="2149">
        <v>15</v>
      </c>
      <c r="BN91" s="2150"/>
      <c r="BO91" s="2149">
        <v>5</v>
      </c>
      <c r="BP91" s="2149">
        <v>13</v>
      </c>
      <c r="BQ91" s="2149">
        <v>1</v>
      </c>
      <c r="BR91" s="2149">
        <v>0</v>
      </c>
      <c r="BS91" s="2149">
        <v>1</v>
      </c>
      <c r="BT91" s="2150"/>
      <c r="BU91" s="2149">
        <v>5</v>
      </c>
      <c r="BV91" s="2149">
        <v>2</v>
      </c>
      <c r="BW91" s="2150"/>
      <c r="BX91" s="2149">
        <v>21</v>
      </c>
      <c r="BY91" s="2149">
        <v>0</v>
      </c>
      <c r="BZ91" s="2149">
        <v>86</v>
      </c>
      <c r="CA91" s="2151">
        <f t="shared" si="16"/>
        <v>0.18604651162790697</v>
      </c>
      <c r="CC91" s="1452"/>
      <c r="CD91" s="1452"/>
      <c r="CE91" s="1465" t="s">
        <v>422</v>
      </c>
      <c r="CF91" s="1466">
        <v>27</v>
      </c>
      <c r="CG91" s="1466">
        <v>10</v>
      </c>
      <c r="CH91" s="1452"/>
      <c r="CI91" s="1466">
        <v>6</v>
      </c>
      <c r="CJ91" s="1466">
        <v>9</v>
      </c>
      <c r="CK91" s="1466">
        <v>0</v>
      </c>
      <c r="CL91" s="1466">
        <v>0</v>
      </c>
      <c r="CM91" s="1466">
        <v>1</v>
      </c>
      <c r="CN91" s="1452"/>
      <c r="CO91" s="1466">
        <v>6</v>
      </c>
      <c r="CP91" s="1466">
        <v>0</v>
      </c>
      <c r="CQ91" s="1466">
        <v>17</v>
      </c>
      <c r="CR91" s="1452"/>
      <c r="CS91" s="1466">
        <v>76</v>
      </c>
      <c r="CT91" s="814">
        <f t="shared" si="17"/>
        <v>0.11842105263157894</v>
      </c>
      <c r="CV91" s="929"/>
      <c r="CW91" s="929"/>
      <c r="CX91" s="1467" t="s">
        <v>422</v>
      </c>
      <c r="CY91" s="1468">
        <v>23</v>
      </c>
      <c r="CZ91" s="1468">
        <v>8</v>
      </c>
      <c r="DA91" s="929"/>
      <c r="DB91" s="1468">
        <v>3</v>
      </c>
      <c r="DC91" s="1468">
        <v>1</v>
      </c>
      <c r="DD91" s="1468">
        <v>1</v>
      </c>
      <c r="DE91" s="1468">
        <v>0</v>
      </c>
      <c r="DF91" s="1468">
        <v>0</v>
      </c>
      <c r="DG91" s="929"/>
      <c r="DH91" s="1468">
        <v>0</v>
      </c>
      <c r="DI91" s="1468">
        <v>1</v>
      </c>
      <c r="DJ91" s="1468">
        <v>11</v>
      </c>
      <c r="DK91" s="929"/>
      <c r="DL91" s="1468">
        <v>48</v>
      </c>
      <c r="DM91" s="814">
        <f t="shared" si="18"/>
        <v>6.25E-2</v>
      </c>
      <c r="EI91" s="163"/>
      <c r="EJ91" s="163"/>
      <c r="EK91" s="80"/>
      <c r="EL91" s="80"/>
      <c r="EM91" s="80"/>
      <c r="EN91" s="80"/>
      <c r="EO91" s="80"/>
      <c r="EP91" s="80"/>
      <c r="EQ91" s="80"/>
      <c r="ER91" s="80"/>
      <c r="ES91" s="80"/>
      <c r="ET91" s="80"/>
      <c r="EU91" s="80"/>
      <c r="EV91" s="80"/>
      <c r="EW91" s="80"/>
      <c r="EX91" s="80"/>
      <c r="EY91" s="80"/>
      <c r="EZ91" s="80"/>
      <c r="FA91" s="80"/>
      <c r="FB91" s="80"/>
      <c r="FC91" s="681"/>
      <c r="FD91" s="681"/>
      <c r="FU91" s="80"/>
      <c r="FV91" s="80"/>
    </row>
    <row r="92" spans="1:178">
      <c r="A92" s="73"/>
      <c r="B92" s="73"/>
      <c r="C92" s="738" t="s">
        <v>577</v>
      </c>
      <c r="D92" s="4667">
        <v>143</v>
      </c>
      <c r="E92" s="4667">
        <v>81</v>
      </c>
      <c r="F92" s="4667">
        <v>2</v>
      </c>
      <c r="G92" s="4667">
        <v>6</v>
      </c>
      <c r="H92" s="4667">
        <v>148</v>
      </c>
      <c r="I92" s="4667">
        <v>49</v>
      </c>
      <c r="J92" s="4667">
        <v>56</v>
      </c>
      <c r="K92" s="4667">
        <v>4</v>
      </c>
      <c r="L92" s="4667"/>
      <c r="M92" s="4667">
        <v>68</v>
      </c>
      <c r="N92" s="4667">
        <v>54</v>
      </c>
      <c r="O92" s="4667"/>
      <c r="P92" s="4667">
        <v>138</v>
      </c>
      <c r="Q92" s="4667"/>
      <c r="R92" s="4667">
        <v>749</v>
      </c>
      <c r="S92" s="4680">
        <f t="shared" si="14"/>
        <v>0.33511348464619495</v>
      </c>
      <c r="U92" s="73"/>
      <c r="V92" s="73"/>
      <c r="W92" s="738" t="s">
        <v>577</v>
      </c>
      <c r="X92" s="151">
        <v>83</v>
      </c>
      <c r="Y92" s="151">
        <v>89</v>
      </c>
      <c r="Z92" s="151"/>
      <c r="AA92" s="151">
        <v>48</v>
      </c>
      <c r="AB92" s="151">
        <v>126</v>
      </c>
      <c r="AC92" s="151">
        <v>33</v>
      </c>
      <c r="AD92" s="151">
        <v>33</v>
      </c>
      <c r="AE92" s="151">
        <v>1</v>
      </c>
      <c r="AF92" s="151"/>
      <c r="AG92" s="151">
        <v>68</v>
      </c>
      <c r="AH92" s="151">
        <v>34</v>
      </c>
      <c r="AI92" s="151"/>
      <c r="AJ92" s="151">
        <v>137</v>
      </c>
      <c r="AK92" s="151"/>
      <c r="AL92" s="151">
        <v>652</v>
      </c>
      <c r="AM92" s="912">
        <f t="shared" si="10"/>
        <v>0.29601226993865032</v>
      </c>
      <c r="AN92" s="3197"/>
      <c r="AO92" s="73"/>
      <c r="AP92" s="73"/>
      <c r="AQ92" s="738" t="s">
        <v>577</v>
      </c>
      <c r="AR92" s="151">
        <v>49</v>
      </c>
      <c r="AS92" s="151">
        <v>87</v>
      </c>
      <c r="AT92" s="151"/>
      <c r="AU92" s="151">
        <v>38</v>
      </c>
      <c r="AV92" s="151">
        <v>97</v>
      </c>
      <c r="AW92" s="151">
        <v>26</v>
      </c>
      <c r="AX92" s="151">
        <v>18</v>
      </c>
      <c r="AY92" s="151">
        <v>4</v>
      </c>
      <c r="AZ92" s="151"/>
      <c r="BA92" s="151">
        <v>90</v>
      </c>
      <c r="BB92" s="151">
        <v>22</v>
      </c>
      <c r="BC92" s="151"/>
      <c r="BD92" s="151">
        <v>118</v>
      </c>
      <c r="BE92" s="151">
        <v>1</v>
      </c>
      <c r="BF92" s="151">
        <v>550</v>
      </c>
      <c r="BG92" s="912">
        <f t="shared" si="15"/>
        <v>0.26411657559198543</v>
      </c>
      <c r="BI92" s="2140"/>
      <c r="BJ92" s="2140"/>
      <c r="BK92" s="2148" t="s">
        <v>81</v>
      </c>
      <c r="BL92" s="2149">
        <v>18</v>
      </c>
      <c r="BM92" s="2149">
        <v>17</v>
      </c>
      <c r="BN92" s="2150"/>
      <c r="BO92" s="2149">
        <v>3</v>
      </c>
      <c r="BP92" s="2149">
        <v>7</v>
      </c>
      <c r="BQ92" s="2149">
        <v>0</v>
      </c>
      <c r="BR92" s="2149">
        <v>0</v>
      </c>
      <c r="BS92" s="2149">
        <v>1</v>
      </c>
      <c r="BT92" s="2150"/>
      <c r="BU92" s="2149">
        <v>10</v>
      </c>
      <c r="BV92" s="2149">
        <v>3</v>
      </c>
      <c r="BW92" s="2150"/>
      <c r="BX92" s="2149">
        <v>6</v>
      </c>
      <c r="BY92" s="2149">
        <v>0</v>
      </c>
      <c r="BZ92" s="2149">
        <v>65</v>
      </c>
      <c r="CA92" s="2151">
        <f t="shared" si="16"/>
        <v>0.15384615384615385</v>
      </c>
      <c r="CC92" s="1452"/>
      <c r="CD92" s="1452"/>
      <c r="CE92" s="1465" t="s">
        <v>81</v>
      </c>
      <c r="CF92" s="1466">
        <v>5</v>
      </c>
      <c r="CG92" s="1466">
        <v>6</v>
      </c>
      <c r="CH92" s="1452"/>
      <c r="CI92" s="1466">
        <v>1</v>
      </c>
      <c r="CJ92" s="1466">
        <v>0</v>
      </c>
      <c r="CK92" s="1466">
        <v>0</v>
      </c>
      <c r="CL92" s="1466">
        <v>0</v>
      </c>
      <c r="CM92" s="1466">
        <v>0</v>
      </c>
      <c r="CN92" s="1452"/>
      <c r="CO92" s="1466">
        <v>9</v>
      </c>
      <c r="CP92" s="1466">
        <v>4</v>
      </c>
      <c r="CQ92" s="1466">
        <v>8</v>
      </c>
      <c r="CR92" s="1452"/>
      <c r="CS92" s="1466">
        <v>33</v>
      </c>
      <c r="CT92" s="814">
        <f t="shared" si="17"/>
        <v>0.12121212121212122</v>
      </c>
      <c r="CV92" s="929"/>
      <c r="CW92" s="929"/>
      <c r="CX92" s="1467" t="s">
        <v>81</v>
      </c>
      <c r="CY92" s="1468">
        <v>1</v>
      </c>
      <c r="CZ92" s="1468">
        <v>1</v>
      </c>
      <c r="DA92" s="929"/>
      <c r="DB92" s="1468">
        <v>1</v>
      </c>
      <c r="DC92" s="1468">
        <v>0</v>
      </c>
      <c r="DD92" s="1468">
        <v>0</v>
      </c>
      <c r="DE92" s="1468">
        <v>0</v>
      </c>
      <c r="DF92" s="1468">
        <v>0</v>
      </c>
      <c r="DG92" s="929"/>
      <c r="DH92" s="1468">
        <v>0</v>
      </c>
      <c r="DI92" s="1468">
        <v>0</v>
      </c>
      <c r="DJ92" s="1468">
        <v>0</v>
      </c>
      <c r="DK92" s="929"/>
      <c r="DL92" s="1468">
        <v>3</v>
      </c>
      <c r="DM92" s="814">
        <f t="shared" si="18"/>
        <v>0</v>
      </c>
      <c r="DO92" s="1094"/>
      <c r="DP92" s="1094"/>
      <c r="DQ92" s="1458"/>
      <c r="EI92" s="163"/>
      <c r="EJ92" s="163"/>
      <c r="EK92" s="80"/>
      <c r="EL92" s="80"/>
      <c r="EM92" s="80"/>
      <c r="EN92" s="80"/>
      <c r="EO92" s="80"/>
      <c r="EP92" s="80"/>
      <c r="EQ92" s="80"/>
      <c r="ER92" s="80"/>
      <c r="ES92" s="80"/>
      <c r="ET92" s="80"/>
      <c r="EU92" s="80"/>
      <c r="EV92" s="80"/>
      <c r="EW92" s="80"/>
      <c r="EX92" s="80"/>
      <c r="EY92" s="80"/>
      <c r="EZ92" s="80"/>
      <c r="FA92" s="80"/>
      <c r="FB92" s="80"/>
      <c r="FC92" s="681"/>
      <c r="FD92" s="681"/>
      <c r="FU92" s="80"/>
      <c r="FV92" s="80"/>
    </row>
    <row r="93" spans="1:178">
      <c r="A93" s="73"/>
      <c r="B93" s="73"/>
      <c r="C93" s="738" t="s">
        <v>265</v>
      </c>
      <c r="D93" s="4667">
        <v>346</v>
      </c>
      <c r="E93" s="4667">
        <v>231</v>
      </c>
      <c r="F93" s="4667">
        <v>2</v>
      </c>
      <c r="G93" s="4667">
        <v>14</v>
      </c>
      <c r="H93" s="4667">
        <v>516</v>
      </c>
      <c r="I93" s="4667">
        <v>128</v>
      </c>
      <c r="J93" s="4667">
        <v>143</v>
      </c>
      <c r="K93" s="4667">
        <v>11</v>
      </c>
      <c r="L93" s="4667"/>
      <c r="M93" s="4667">
        <v>234</v>
      </c>
      <c r="N93" s="4667">
        <v>200</v>
      </c>
      <c r="O93" s="4667"/>
      <c r="P93" s="4667">
        <v>415</v>
      </c>
      <c r="Q93" s="4667"/>
      <c r="R93" s="4667">
        <v>2240</v>
      </c>
      <c r="S93" s="4680">
        <f t="shared" si="14"/>
        <v>0.37678571428571428</v>
      </c>
      <c r="U93" s="73"/>
      <c r="V93" s="73"/>
      <c r="W93" s="738" t="s">
        <v>265</v>
      </c>
      <c r="X93" s="151">
        <v>193</v>
      </c>
      <c r="Y93" s="151">
        <v>317</v>
      </c>
      <c r="Z93" s="151"/>
      <c r="AA93" s="151">
        <v>108</v>
      </c>
      <c r="AB93" s="151">
        <v>509</v>
      </c>
      <c r="AC93" s="151">
        <v>109</v>
      </c>
      <c r="AD93" s="151">
        <v>128</v>
      </c>
      <c r="AE93" s="151">
        <v>5</v>
      </c>
      <c r="AF93" s="151"/>
      <c r="AG93" s="151">
        <v>184</v>
      </c>
      <c r="AH93" s="151">
        <v>161</v>
      </c>
      <c r="AI93" s="151"/>
      <c r="AJ93" s="151">
        <v>384</v>
      </c>
      <c r="AK93" s="151"/>
      <c r="AL93" s="151">
        <v>2098</v>
      </c>
      <c r="AM93" s="912">
        <f t="shared" si="10"/>
        <v>0.3713060057197331</v>
      </c>
      <c r="AN93" s="3197"/>
      <c r="AO93" s="73"/>
      <c r="AP93" s="73"/>
      <c r="AQ93" s="738" t="s">
        <v>265</v>
      </c>
      <c r="AR93" s="151">
        <v>145</v>
      </c>
      <c r="AS93" s="151">
        <v>267</v>
      </c>
      <c r="AT93" s="151"/>
      <c r="AU93" s="151">
        <v>85</v>
      </c>
      <c r="AV93" s="151">
        <v>471</v>
      </c>
      <c r="AW93" s="151">
        <v>87</v>
      </c>
      <c r="AX93" s="151">
        <v>44</v>
      </c>
      <c r="AY93" s="151">
        <v>20</v>
      </c>
      <c r="AZ93" s="151"/>
      <c r="BA93" s="151">
        <v>275</v>
      </c>
      <c r="BB93" s="151">
        <v>100</v>
      </c>
      <c r="BC93" s="151"/>
      <c r="BD93" s="151">
        <v>358</v>
      </c>
      <c r="BE93" s="151">
        <v>3</v>
      </c>
      <c r="BF93" s="151">
        <v>1855</v>
      </c>
      <c r="BG93" s="912">
        <f t="shared" si="15"/>
        <v>0.35529157667386607</v>
      </c>
      <c r="BI93" s="2140"/>
      <c r="BJ93" s="2140"/>
      <c r="BK93" s="2142" t="s">
        <v>577</v>
      </c>
      <c r="BL93" s="2152">
        <v>74</v>
      </c>
      <c r="BM93" s="2152">
        <v>84</v>
      </c>
      <c r="BN93" s="2153"/>
      <c r="BO93" s="2152">
        <v>25</v>
      </c>
      <c r="BP93" s="2152">
        <v>89</v>
      </c>
      <c r="BQ93" s="2152">
        <v>11</v>
      </c>
      <c r="BR93" s="2152">
        <v>22</v>
      </c>
      <c r="BS93" s="2152">
        <v>5</v>
      </c>
      <c r="BT93" s="2153"/>
      <c r="BU93" s="2152">
        <v>48</v>
      </c>
      <c r="BV93" s="2152">
        <v>17</v>
      </c>
      <c r="BW93" s="2153"/>
      <c r="BX93" s="2152">
        <v>92</v>
      </c>
      <c r="BY93" s="2152">
        <v>1</v>
      </c>
      <c r="BZ93" s="2152">
        <v>468</v>
      </c>
      <c r="CA93" s="2154">
        <f t="shared" si="16"/>
        <v>0.25053533190578159</v>
      </c>
      <c r="CC93" s="1452"/>
      <c r="CD93" s="1452"/>
      <c r="CE93" s="1475" t="s">
        <v>577</v>
      </c>
      <c r="CF93" s="1476">
        <v>71</v>
      </c>
      <c r="CG93" s="1476">
        <v>50</v>
      </c>
      <c r="CH93" s="1476"/>
      <c r="CI93" s="1476">
        <v>27</v>
      </c>
      <c r="CJ93" s="1476">
        <v>65</v>
      </c>
      <c r="CK93" s="1476">
        <v>9</v>
      </c>
      <c r="CL93" s="1476">
        <v>15</v>
      </c>
      <c r="CM93" s="1477">
        <v>1</v>
      </c>
      <c r="CN93" s="1477"/>
      <c r="CO93" s="1476">
        <v>47</v>
      </c>
      <c r="CP93" s="1476">
        <v>15</v>
      </c>
      <c r="CQ93" s="1476">
        <v>123</v>
      </c>
      <c r="CR93" s="1476"/>
      <c r="CS93" s="1476">
        <v>423</v>
      </c>
      <c r="CT93" s="1478">
        <f t="shared" si="17"/>
        <v>0.21040189125295508</v>
      </c>
      <c r="CV93" s="929"/>
      <c r="CW93" s="929"/>
      <c r="CX93" s="1090" t="s">
        <v>577</v>
      </c>
      <c r="CY93" s="1479">
        <v>87</v>
      </c>
      <c r="CZ93" s="1479">
        <v>30</v>
      </c>
      <c r="DA93" s="1093"/>
      <c r="DB93" s="1479">
        <v>20</v>
      </c>
      <c r="DC93" s="1479">
        <v>47</v>
      </c>
      <c r="DD93" s="1479">
        <v>9</v>
      </c>
      <c r="DE93" s="1479">
        <v>15</v>
      </c>
      <c r="DF93" s="1479">
        <v>1</v>
      </c>
      <c r="DG93" s="1093"/>
      <c r="DH93" s="1479">
        <v>11</v>
      </c>
      <c r="DI93" s="1479">
        <v>9</v>
      </c>
      <c r="DJ93" s="1479">
        <v>88</v>
      </c>
      <c r="DK93" s="1093"/>
      <c r="DL93" s="1479">
        <v>317</v>
      </c>
      <c r="DM93" s="803">
        <f t="shared" si="18"/>
        <v>0.20504731861198738</v>
      </c>
      <c r="DR93" s="4849" t="s">
        <v>1542</v>
      </c>
      <c r="DS93" s="4850"/>
      <c r="DT93" s="4850"/>
      <c r="DU93" s="4850"/>
      <c r="DV93" s="4850"/>
      <c r="DW93" s="4850"/>
      <c r="DX93" s="4850"/>
      <c r="DY93" s="4850"/>
      <c r="DZ93" s="4850"/>
      <c r="EA93" s="4850"/>
      <c r="EB93" s="4850"/>
      <c r="EC93" s="4850"/>
      <c r="ED93" s="4850"/>
      <c r="EE93" s="4850"/>
      <c r="EF93" s="4851"/>
      <c r="EI93" s="163"/>
      <c r="EJ93" s="163" t="s">
        <v>332</v>
      </c>
      <c r="EK93" s="80" t="s">
        <v>332</v>
      </c>
      <c r="EL93" s="4861" t="s">
        <v>1543</v>
      </c>
      <c r="EM93" s="4862"/>
      <c r="EN93" s="4862"/>
      <c r="EO93" s="4862"/>
      <c r="EP93" s="4862"/>
      <c r="EQ93" s="4862"/>
      <c r="ER93" s="4862"/>
      <c r="ES93" s="4862"/>
      <c r="ET93" s="4862"/>
      <c r="EU93" s="4862"/>
      <c r="EV93" s="4862"/>
      <c r="EW93" s="4862"/>
      <c r="EX93" s="4862"/>
      <c r="EY93" s="4862"/>
      <c r="EZ93" s="4863"/>
      <c r="FA93" s="80"/>
      <c r="FB93" s="80"/>
      <c r="FC93" s="681"/>
      <c r="FD93" s="681"/>
      <c r="FE93" s="681"/>
      <c r="FF93" s="4843" t="s">
        <v>1282</v>
      </c>
      <c r="FG93" s="4843"/>
      <c r="FH93" s="4843"/>
      <c r="FI93" s="4843"/>
      <c r="FJ93" s="4843"/>
      <c r="FK93" s="4843"/>
      <c r="FL93" s="4843"/>
      <c r="FM93" s="4843"/>
      <c r="FN93" s="4843"/>
      <c r="FO93" s="4843"/>
      <c r="FP93" s="4843"/>
      <c r="FQ93" s="4843"/>
      <c r="FR93" s="4843"/>
      <c r="FS93" s="681"/>
      <c r="FT93" s="681"/>
      <c r="FU93" s="80"/>
      <c r="FV93" s="80"/>
    </row>
    <row r="94" spans="1:178" ht="15.75" customHeight="1" thickBot="1">
      <c r="A94" s="73" t="s">
        <v>249</v>
      </c>
      <c r="B94" s="73" t="s">
        <v>4</v>
      </c>
      <c r="C94" s="73" t="s">
        <v>1687</v>
      </c>
      <c r="D94" s="161">
        <v>22</v>
      </c>
      <c r="E94" s="161">
        <v>13</v>
      </c>
      <c r="F94" s="161"/>
      <c r="G94" s="161">
        <v>1</v>
      </c>
      <c r="H94" s="161">
        <v>34</v>
      </c>
      <c r="I94" s="161">
        <v>10</v>
      </c>
      <c r="J94" s="161">
        <v>9</v>
      </c>
      <c r="K94" s="161">
        <v>1</v>
      </c>
      <c r="L94" s="161"/>
      <c r="M94" s="161">
        <v>2</v>
      </c>
      <c r="N94" s="161">
        <v>9</v>
      </c>
      <c r="O94" s="161"/>
      <c r="P94" s="161">
        <v>31</v>
      </c>
      <c r="Q94" s="161"/>
      <c r="R94" s="161">
        <v>132</v>
      </c>
      <c r="S94" s="4680">
        <f t="shared" si="14"/>
        <v>0.40151515151515149</v>
      </c>
      <c r="U94" s="73" t="s">
        <v>249</v>
      </c>
      <c r="V94" s="73" t="s">
        <v>4</v>
      </c>
      <c r="W94" s="73" t="s">
        <v>1687</v>
      </c>
      <c r="X94" s="161">
        <v>18</v>
      </c>
      <c r="Y94" s="161">
        <v>5</v>
      </c>
      <c r="Z94" s="161"/>
      <c r="AA94" s="161">
        <v>10</v>
      </c>
      <c r="AB94" s="161">
        <v>24</v>
      </c>
      <c r="AC94" s="161">
        <v>12</v>
      </c>
      <c r="AD94" s="161">
        <v>9</v>
      </c>
      <c r="AE94" s="161"/>
      <c r="AF94" s="161"/>
      <c r="AG94" s="161">
        <v>1</v>
      </c>
      <c r="AH94" s="161">
        <v>7</v>
      </c>
      <c r="AI94" s="161"/>
      <c r="AJ94" s="161">
        <v>24</v>
      </c>
      <c r="AK94" s="161"/>
      <c r="AL94" s="161">
        <v>110</v>
      </c>
      <c r="AM94" s="2585">
        <f t="shared" si="10"/>
        <v>0.39090909090909093</v>
      </c>
      <c r="AN94" s="3196"/>
      <c r="AO94" s="73" t="s">
        <v>249</v>
      </c>
      <c r="AP94" s="73" t="s">
        <v>4</v>
      </c>
      <c r="AQ94" s="73" t="s">
        <v>1687</v>
      </c>
      <c r="AR94" s="161">
        <v>8</v>
      </c>
      <c r="AS94" s="161">
        <v>8</v>
      </c>
      <c r="AT94" s="161"/>
      <c r="AU94" s="161">
        <v>2</v>
      </c>
      <c r="AV94" s="161">
        <v>21</v>
      </c>
      <c r="AW94" s="161">
        <v>8</v>
      </c>
      <c r="AX94" s="161">
        <v>8</v>
      </c>
      <c r="AY94" s="161"/>
      <c r="AZ94" s="161"/>
      <c r="BA94" s="161">
        <v>2</v>
      </c>
      <c r="BB94" s="161">
        <v>1</v>
      </c>
      <c r="BC94" s="161"/>
      <c r="BD94" s="161">
        <v>12</v>
      </c>
      <c r="BE94" s="161"/>
      <c r="BF94" s="161">
        <v>70</v>
      </c>
      <c r="BG94" s="2585">
        <f t="shared" si="15"/>
        <v>0.42857142857142855</v>
      </c>
      <c r="BI94" s="2140"/>
      <c r="BJ94" s="2140"/>
      <c r="BK94" s="2142" t="s">
        <v>265</v>
      </c>
      <c r="BL94" s="2152">
        <v>188</v>
      </c>
      <c r="BM94" s="2152">
        <v>289</v>
      </c>
      <c r="BN94" s="2153"/>
      <c r="BO94" s="2152">
        <v>69</v>
      </c>
      <c r="BP94" s="2152">
        <v>477</v>
      </c>
      <c r="BQ94" s="2152">
        <v>58</v>
      </c>
      <c r="BR94" s="2152">
        <v>72</v>
      </c>
      <c r="BS94" s="2152">
        <v>8</v>
      </c>
      <c r="BT94" s="2153"/>
      <c r="BU94" s="2152">
        <v>146</v>
      </c>
      <c r="BV94" s="2152">
        <v>91</v>
      </c>
      <c r="BW94" s="2153"/>
      <c r="BX94" s="2152">
        <v>295</v>
      </c>
      <c r="BY94" s="2152">
        <v>3</v>
      </c>
      <c r="BZ94" s="2152">
        <v>1696</v>
      </c>
      <c r="CA94" s="2154">
        <f t="shared" si="16"/>
        <v>0.36975782634376847</v>
      </c>
      <c r="CC94" s="1452"/>
      <c r="CD94" s="1452"/>
      <c r="CE94" s="1489" t="s">
        <v>265</v>
      </c>
      <c r="CF94" s="1490">
        <v>165</v>
      </c>
      <c r="CG94" s="1490">
        <v>178</v>
      </c>
      <c r="CH94" s="1490"/>
      <c r="CI94" s="1490">
        <v>82</v>
      </c>
      <c r="CJ94" s="1490">
        <v>380</v>
      </c>
      <c r="CK94" s="1490">
        <v>44</v>
      </c>
      <c r="CL94" s="1490">
        <v>35</v>
      </c>
      <c r="CM94" s="1491">
        <v>1</v>
      </c>
      <c r="CN94" s="1490"/>
      <c r="CO94" s="1490">
        <v>185</v>
      </c>
      <c r="CP94" s="1490">
        <v>102</v>
      </c>
      <c r="CQ94" s="1490">
        <v>349</v>
      </c>
      <c r="CR94" s="1490"/>
      <c r="CS94" s="1490">
        <v>1521</v>
      </c>
      <c r="CT94" s="1492">
        <f t="shared" si="17"/>
        <v>0.34582511505588431</v>
      </c>
      <c r="CV94" s="929"/>
      <c r="CW94" s="929"/>
      <c r="CX94" s="1090" t="s">
        <v>265</v>
      </c>
      <c r="CY94" s="1479">
        <v>243</v>
      </c>
      <c r="CZ94" s="1479">
        <v>144</v>
      </c>
      <c r="DA94" s="1093"/>
      <c r="DB94" s="1479">
        <v>64</v>
      </c>
      <c r="DC94" s="1479">
        <v>296</v>
      </c>
      <c r="DD94" s="1479">
        <v>49</v>
      </c>
      <c r="DE94" s="1479">
        <v>32</v>
      </c>
      <c r="DF94" s="1479">
        <v>7</v>
      </c>
      <c r="DG94" s="1093"/>
      <c r="DH94" s="1479">
        <v>55</v>
      </c>
      <c r="DI94" s="1479">
        <v>77</v>
      </c>
      <c r="DJ94" s="1479">
        <v>240</v>
      </c>
      <c r="DK94" s="1093"/>
      <c r="DL94" s="1479">
        <v>1207</v>
      </c>
      <c r="DM94" s="803">
        <f t="shared" si="18"/>
        <v>0.3496271748135874</v>
      </c>
      <c r="DQ94" s="733" t="s">
        <v>0</v>
      </c>
      <c r="DR94" s="1215" t="s">
        <v>1283</v>
      </c>
      <c r="DS94" s="993" t="s">
        <v>1284</v>
      </c>
      <c r="DT94" s="993" t="s">
        <v>1285</v>
      </c>
      <c r="DU94" s="993" t="s">
        <v>1286</v>
      </c>
      <c r="DV94" s="993" t="s">
        <v>1287</v>
      </c>
      <c r="DW94" s="993" t="s">
        <v>1288</v>
      </c>
      <c r="DX94" s="993" t="s">
        <v>1289</v>
      </c>
      <c r="DY94" s="993" t="s">
        <v>1291</v>
      </c>
      <c r="DZ94" s="993" t="s">
        <v>1292</v>
      </c>
      <c r="EA94" s="993" t="s">
        <v>1293</v>
      </c>
      <c r="EB94" s="993" t="s">
        <v>1296</v>
      </c>
      <c r="EC94" s="993" t="s">
        <v>1294</v>
      </c>
      <c r="ED94" s="993" t="s">
        <v>1295</v>
      </c>
      <c r="EE94" s="993" t="s">
        <v>1297</v>
      </c>
      <c r="EF94" s="1215" t="s">
        <v>71</v>
      </c>
      <c r="EG94" s="1463" t="s">
        <v>66</v>
      </c>
      <c r="EI94" s="163"/>
      <c r="EJ94" s="163"/>
      <c r="EK94" s="733" t="s">
        <v>0</v>
      </c>
      <c r="EL94" s="1005" t="s">
        <v>1283</v>
      </c>
      <c r="EM94" s="1005" t="s">
        <v>1284</v>
      </c>
      <c r="EN94" s="1005" t="s">
        <v>1285</v>
      </c>
      <c r="EO94" s="1005" t="s">
        <v>1286</v>
      </c>
      <c r="EP94" s="1005" t="s">
        <v>1287</v>
      </c>
      <c r="EQ94" s="1005" t="s">
        <v>1288</v>
      </c>
      <c r="ER94" s="1005" t="s">
        <v>1289</v>
      </c>
      <c r="ES94" s="1005" t="s">
        <v>1291</v>
      </c>
      <c r="ET94" s="1005" t="s">
        <v>1292</v>
      </c>
      <c r="EU94" s="1005" t="s">
        <v>1293</v>
      </c>
      <c r="EV94" s="1005" t="s">
        <v>1296</v>
      </c>
      <c r="EW94" s="1005" t="s">
        <v>1294</v>
      </c>
      <c r="EX94" s="1005" t="s">
        <v>1295</v>
      </c>
      <c r="EY94" s="1005" t="s">
        <v>1297</v>
      </c>
      <c r="EZ94" s="1005" t="s">
        <v>15</v>
      </c>
      <c r="FA94" s="1219" t="s">
        <v>66</v>
      </c>
      <c r="FB94" s="80"/>
      <c r="FC94" s="681"/>
      <c r="FD94" s="681"/>
      <c r="FE94" s="1497" t="s">
        <v>0</v>
      </c>
      <c r="FF94" s="1497" t="s">
        <v>1283</v>
      </c>
      <c r="FG94" s="1464" t="s">
        <v>1284</v>
      </c>
      <c r="FH94" s="1497" t="s">
        <v>1285</v>
      </c>
      <c r="FI94" s="1464" t="s">
        <v>1286</v>
      </c>
      <c r="FJ94" s="1497" t="s">
        <v>1287</v>
      </c>
      <c r="FK94" s="1497" t="s">
        <v>1288</v>
      </c>
      <c r="FL94" s="1464" t="s">
        <v>1289</v>
      </c>
      <c r="FM94" s="1464" t="s">
        <v>1291</v>
      </c>
      <c r="FN94" s="1464" t="s">
        <v>1292</v>
      </c>
      <c r="FO94" s="1464" t="s">
        <v>1293</v>
      </c>
      <c r="FP94" s="1497" t="s">
        <v>1294</v>
      </c>
      <c r="FQ94" s="1464" t="s">
        <v>1295</v>
      </c>
      <c r="FR94" s="1506" t="s">
        <v>15</v>
      </c>
      <c r="FS94" s="1464" t="s">
        <v>1298</v>
      </c>
      <c r="FT94" s="1464" t="s">
        <v>66</v>
      </c>
      <c r="FU94" s="80"/>
      <c r="FV94" s="80"/>
    </row>
    <row r="95" spans="1:178" ht="15.75" thickBot="1">
      <c r="A95" s="73"/>
      <c r="B95" s="73"/>
      <c r="C95" s="738" t="s">
        <v>572</v>
      </c>
      <c r="D95" s="4667">
        <v>22</v>
      </c>
      <c r="E95" s="4667">
        <v>13</v>
      </c>
      <c r="F95" s="4667"/>
      <c r="G95" s="4667">
        <v>1</v>
      </c>
      <c r="H95" s="4667">
        <v>34</v>
      </c>
      <c r="I95" s="4667">
        <v>10</v>
      </c>
      <c r="J95" s="4667">
        <v>9</v>
      </c>
      <c r="K95" s="4667">
        <v>1</v>
      </c>
      <c r="L95" s="4667"/>
      <c r="M95" s="4667">
        <v>2</v>
      </c>
      <c r="N95" s="4667">
        <v>9</v>
      </c>
      <c r="O95" s="4667"/>
      <c r="P95" s="4667">
        <v>31</v>
      </c>
      <c r="Q95" s="4667"/>
      <c r="R95" s="4667">
        <v>132</v>
      </c>
      <c r="S95" s="4680">
        <f t="shared" si="14"/>
        <v>0.40151515151515149</v>
      </c>
      <c r="U95" s="73"/>
      <c r="V95" s="73"/>
      <c r="W95" s="738" t="s">
        <v>572</v>
      </c>
      <c r="X95" s="151">
        <v>18</v>
      </c>
      <c r="Y95" s="151">
        <v>5</v>
      </c>
      <c r="Z95" s="151"/>
      <c r="AA95" s="151">
        <v>10</v>
      </c>
      <c r="AB95" s="151">
        <v>24</v>
      </c>
      <c r="AC95" s="151">
        <v>12</v>
      </c>
      <c r="AD95" s="151">
        <v>9</v>
      </c>
      <c r="AE95" s="151"/>
      <c r="AF95" s="151"/>
      <c r="AG95" s="151">
        <v>1</v>
      </c>
      <c r="AH95" s="151">
        <v>7</v>
      </c>
      <c r="AI95" s="151"/>
      <c r="AJ95" s="151">
        <v>24</v>
      </c>
      <c r="AK95" s="151"/>
      <c r="AL95" s="151">
        <v>110</v>
      </c>
      <c r="AM95" s="912">
        <f t="shared" si="10"/>
        <v>0.39090909090909093</v>
      </c>
      <c r="AN95" s="3197"/>
      <c r="AO95" s="73"/>
      <c r="AP95" s="73"/>
      <c r="AQ95" s="738" t="s">
        <v>572</v>
      </c>
      <c r="AR95" s="151">
        <v>8</v>
      </c>
      <c r="AS95" s="151">
        <v>8</v>
      </c>
      <c r="AT95" s="151"/>
      <c r="AU95" s="151">
        <v>2</v>
      </c>
      <c r="AV95" s="151">
        <v>21</v>
      </c>
      <c r="AW95" s="151">
        <v>8</v>
      </c>
      <c r="AX95" s="151">
        <v>8</v>
      </c>
      <c r="AY95" s="151"/>
      <c r="AZ95" s="151"/>
      <c r="BA95" s="151">
        <v>2</v>
      </c>
      <c r="BB95" s="151">
        <v>1</v>
      </c>
      <c r="BC95" s="151"/>
      <c r="BD95" s="151">
        <v>12</v>
      </c>
      <c r="BE95" s="151"/>
      <c r="BF95" s="151">
        <v>70</v>
      </c>
      <c r="BG95" s="912">
        <f t="shared" si="15"/>
        <v>0.42857142857142855</v>
      </c>
      <c r="BI95" s="2140" t="s">
        <v>249</v>
      </c>
      <c r="BJ95" s="2140" t="s">
        <v>4</v>
      </c>
      <c r="BK95" s="2148" t="s">
        <v>1687</v>
      </c>
      <c r="BL95" s="2149">
        <v>4</v>
      </c>
      <c r="BM95" s="2149">
        <v>3</v>
      </c>
      <c r="BN95" s="2150"/>
      <c r="BO95" s="2149">
        <v>2</v>
      </c>
      <c r="BP95" s="2149">
        <v>6</v>
      </c>
      <c r="BQ95" s="2149">
        <v>11</v>
      </c>
      <c r="BR95" s="2149">
        <v>5</v>
      </c>
      <c r="BS95" s="2149">
        <v>5</v>
      </c>
      <c r="BT95" s="2150"/>
      <c r="BU95" s="2149">
        <v>1</v>
      </c>
      <c r="BV95" s="2149">
        <v>3</v>
      </c>
      <c r="BW95" s="2150"/>
      <c r="BX95" s="2149">
        <v>4</v>
      </c>
      <c r="BY95" s="2150"/>
      <c r="BZ95" s="2149">
        <v>44</v>
      </c>
      <c r="CA95" s="2151">
        <f t="shared" si="16"/>
        <v>0.45454545454545453</v>
      </c>
      <c r="CC95" s="1507"/>
      <c r="CD95" s="1507"/>
      <c r="CE95" s="1460" t="s">
        <v>114</v>
      </c>
      <c r="CF95" s="1508">
        <v>8859</v>
      </c>
      <c r="CG95" s="1508">
        <v>4693</v>
      </c>
      <c r="CH95" s="1508">
        <v>5</v>
      </c>
      <c r="CI95" s="1508">
        <v>3953</v>
      </c>
      <c r="CJ95" s="1508">
        <v>19201</v>
      </c>
      <c r="CK95" s="1508">
        <v>4253</v>
      </c>
      <c r="CL95" s="1508">
        <v>4386</v>
      </c>
      <c r="CM95" s="1508">
        <v>1</v>
      </c>
      <c r="CN95" s="1508">
        <v>9</v>
      </c>
      <c r="CO95" s="1508">
        <v>1951</v>
      </c>
      <c r="CP95" s="1508">
        <v>4971</v>
      </c>
      <c r="CQ95" s="1508">
        <v>14196</v>
      </c>
      <c r="CR95" s="1508">
        <v>161</v>
      </c>
      <c r="CS95" s="1508">
        <v>66639</v>
      </c>
      <c r="CT95" s="852">
        <f t="shared" si="17"/>
        <v>0.42655201908792151</v>
      </c>
      <c r="CV95" s="927"/>
      <c r="CW95" s="927"/>
      <c r="CX95" s="1509" t="s">
        <v>114</v>
      </c>
      <c r="CY95" s="1510">
        <v>8693</v>
      </c>
      <c r="CZ95" s="1510">
        <v>4899</v>
      </c>
      <c r="DA95" s="1510">
        <v>4</v>
      </c>
      <c r="DB95" s="1510">
        <v>4135</v>
      </c>
      <c r="DC95" s="1510">
        <v>18339</v>
      </c>
      <c r="DD95" s="1510">
        <v>4914</v>
      </c>
      <c r="DE95" s="1510">
        <v>3892</v>
      </c>
      <c r="DF95" s="1510">
        <v>16</v>
      </c>
      <c r="DG95" s="1510">
        <v>7</v>
      </c>
      <c r="DH95" s="1510">
        <v>1158</v>
      </c>
      <c r="DI95" s="1510">
        <v>4543</v>
      </c>
      <c r="DJ95" s="1510">
        <v>14293</v>
      </c>
      <c r="DK95" s="1510">
        <v>161</v>
      </c>
      <c r="DL95" s="1510">
        <v>65054</v>
      </c>
      <c r="DM95" s="1511">
        <f t="shared" si="18"/>
        <v>0.42727580164171303</v>
      </c>
      <c r="DQ95" s="163" t="s">
        <v>3</v>
      </c>
      <c r="DR95" s="1470">
        <v>4085</v>
      </c>
      <c r="DS95" s="1470">
        <v>1569</v>
      </c>
      <c r="DT95" s="1470">
        <v>0</v>
      </c>
      <c r="DU95" s="1470">
        <v>1347</v>
      </c>
      <c r="DV95" s="1470">
        <v>3858</v>
      </c>
      <c r="DW95" s="1470">
        <v>1080</v>
      </c>
      <c r="DX95" s="1470">
        <v>1522</v>
      </c>
      <c r="DY95" s="1470">
        <v>1</v>
      </c>
      <c r="DZ95" s="1470">
        <v>489</v>
      </c>
      <c r="EA95" s="1470">
        <v>1109</v>
      </c>
      <c r="EB95" s="1470">
        <v>5097</v>
      </c>
      <c r="EC95" s="1470">
        <v>5793</v>
      </c>
      <c r="ED95" s="1470">
        <v>18</v>
      </c>
      <c r="EE95" s="1470">
        <v>90</v>
      </c>
      <c r="EF95" s="1480">
        <v>26058</v>
      </c>
      <c r="EG95" s="1471">
        <f>+(EA95+DW95+DV95)/(EF95-EE95-EB95)</f>
        <v>0.28973216424704135</v>
      </c>
      <c r="EI95" s="163"/>
      <c r="EJ95" s="163"/>
      <c r="EK95" s="163" t="s">
        <v>3</v>
      </c>
      <c r="EL95" s="80">
        <v>3640</v>
      </c>
      <c r="EM95" s="80">
        <v>1534</v>
      </c>
      <c r="EN95" s="80">
        <v>0</v>
      </c>
      <c r="EO95" s="80">
        <v>1362</v>
      </c>
      <c r="EP95" s="80">
        <v>3852</v>
      </c>
      <c r="EQ95" s="80">
        <v>1136</v>
      </c>
      <c r="ER95" s="80">
        <v>1658</v>
      </c>
      <c r="ES95" s="80">
        <v>1</v>
      </c>
      <c r="ET95" s="80">
        <v>355</v>
      </c>
      <c r="EU95" s="80">
        <v>995</v>
      </c>
      <c r="EV95" s="80">
        <v>4724</v>
      </c>
      <c r="EW95" s="80">
        <v>5732</v>
      </c>
      <c r="EX95" s="80">
        <v>18</v>
      </c>
      <c r="EY95" s="80">
        <v>61</v>
      </c>
      <c r="EZ95" s="80">
        <v>25068</v>
      </c>
      <c r="FA95" s="1472">
        <f>+(EU95+EQ95+EP95)/(EZ95-EY95-EV95)</f>
        <v>0.29497608834984962</v>
      </c>
      <c r="FB95" s="80"/>
      <c r="FC95" s="681"/>
      <c r="FD95" s="681"/>
      <c r="FE95" s="681" t="s">
        <v>3</v>
      </c>
      <c r="FF95" s="1473">
        <v>3179</v>
      </c>
      <c r="FG95" s="1473">
        <v>1444</v>
      </c>
      <c r="FH95" s="1473" t="s">
        <v>332</v>
      </c>
      <c r="FI95" s="1473">
        <v>1396</v>
      </c>
      <c r="FJ95" s="1473">
        <v>3822</v>
      </c>
      <c r="FK95" s="1473">
        <v>1078</v>
      </c>
      <c r="FL95" s="1473">
        <v>1749</v>
      </c>
      <c r="FM95" s="1473">
        <v>1</v>
      </c>
      <c r="FN95" s="1473">
        <v>706</v>
      </c>
      <c r="FO95" s="1473">
        <v>1126</v>
      </c>
      <c r="FP95" s="1473">
        <v>5743</v>
      </c>
      <c r="FQ95" s="1473">
        <v>18</v>
      </c>
      <c r="FR95" s="1473">
        <v>20262</v>
      </c>
      <c r="FS95" s="1473">
        <f>+FO95+FK95+FJ95</f>
        <v>6026</v>
      </c>
      <c r="FT95" s="1512">
        <f>+FS95/FR95</f>
        <v>0.29740400750172735</v>
      </c>
      <c r="FU95" s="80"/>
      <c r="FV95" s="80"/>
    </row>
    <row r="96" spans="1:178">
      <c r="A96" s="73"/>
      <c r="B96" s="73" t="s">
        <v>16</v>
      </c>
      <c r="C96" s="73" t="s">
        <v>830</v>
      </c>
      <c r="D96" s="161">
        <v>8</v>
      </c>
      <c r="E96" s="161">
        <v>9</v>
      </c>
      <c r="F96" s="161"/>
      <c r="G96" s="161">
        <v>0</v>
      </c>
      <c r="H96" s="161">
        <v>56</v>
      </c>
      <c r="I96" s="161">
        <v>26</v>
      </c>
      <c r="J96" s="161"/>
      <c r="K96" s="161"/>
      <c r="L96" s="161"/>
      <c r="M96" s="161">
        <v>11</v>
      </c>
      <c r="N96" s="161">
        <v>9</v>
      </c>
      <c r="O96" s="161"/>
      <c r="P96" s="161">
        <v>22</v>
      </c>
      <c r="Q96" s="161"/>
      <c r="R96" s="161">
        <v>141</v>
      </c>
      <c r="S96" s="4680">
        <f t="shared" si="14"/>
        <v>0.64539007092198586</v>
      </c>
      <c r="U96" s="73"/>
      <c r="V96" s="73" t="s">
        <v>16</v>
      </c>
      <c r="W96" s="73" t="s">
        <v>830</v>
      </c>
      <c r="X96" s="161">
        <v>12</v>
      </c>
      <c r="Y96" s="161">
        <v>4</v>
      </c>
      <c r="Z96" s="161"/>
      <c r="AA96" s="161">
        <v>4</v>
      </c>
      <c r="AB96" s="161">
        <v>31</v>
      </c>
      <c r="AC96" s="161">
        <v>30</v>
      </c>
      <c r="AD96" s="161">
        <v>1</v>
      </c>
      <c r="AE96" s="161"/>
      <c r="AF96" s="161"/>
      <c r="AG96" s="161">
        <v>9</v>
      </c>
      <c r="AH96" s="161">
        <v>14</v>
      </c>
      <c r="AI96" s="161"/>
      <c r="AJ96" s="161">
        <v>16</v>
      </c>
      <c r="AK96" s="161">
        <v>1</v>
      </c>
      <c r="AL96" s="161">
        <v>122</v>
      </c>
      <c r="AM96" s="2585">
        <f t="shared" si="10"/>
        <v>0.6198347107438017</v>
      </c>
      <c r="AN96" s="3196"/>
      <c r="AO96" s="73"/>
      <c r="AP96" s="73" t="s">
        <v>16</v>
      </c>
      <c r="AQ96" s="73" t="s">
        <v>830</v>
      </c>
      <c r="AR96" s="161">
        <v>12</v>
      </c>
      <c r="AS96" s="161">
        <v>3</v>
      </c>
      <c r="AT96" s="161"/>
      <c r="AU96" s="161">
        <v>2</v>
      </c>
      <c r="AV96" s="161">
        <v>25</v>
      </c>
      <c r="AW96" s="161">
        <v>13</v>
      </c>
      <c r="AX96" s="161"/>
      <c r="AY96" s="161">
        <v>1</v>
      </c>
      <c r="AZ96" s="161"/>
      <c r="BA96" s="161">
        <v>5</v>
      </c>
      <c r="BB96" s="161">
        <v>5</v>
      </c>
      <c r="BC96" s="161"/>
      <c r="BD96" s="161">
        <v>11</v>
      </c>
      <c r="BE96" s="161">
        <v>1</v>
      </c>
      <c r="BF96" s="161">
        <v>78</v>
      </c>
      <c r="BG96" s="2585">
        <f t="shared" si="15"/>
        <v>0.55844155844155841</v>
      </c>
      <c r="BI96" s="2140"/>
      <c r="BJ96" s="2140"/>
      <c r="BK96" s="2142" t="s">
        <v>572</v>
      </c>
      <c r="BL96" s="2152">
        <v>4</v>
      </c>
      <c r="BM96" s="2152">
        <v>3</v>
      </c>
      <c r="BN96" s="2153"/>
      <c r="BO96" s="2152">
        <v>2</v>
      </c>
      <c r="BP96" s="2152">
        <v>6</v>
      </c>
      <c r="BQ96" s="2152">
        <v>11</v>
      </c>
      <c r="BR96" s="2152">
        <v>5</v>
      </c>
      <c r="BS96" s="2152">
        <v>5</v>
      </c>
      <c r="BT96" s="2153"/>
      <c r="BU96" s="2152">
        <v>1</v>
      </c>
      <c r="BV96" s="2152">
        <v>3</v>
      </c>
      <c r="BW96" s="2153"/>
      <c r="BX96" s="2152">
        <v>4</v>
      </c>
      <c r="BY96" s="2153"/>
      <c r="BZ96" s="2152">
        <v>44</v>
      </c>
      <c r="CA96" s="2154">
        <f t="shared" si="16"/>
        <v>0.45454545454545453</v>
      </c>
      <c r="CV96" s="1513"/>
      <c r="CW96" s="1513"/>
      <c r="CX96" s="1513"/>
      <c r="CY96" s="1468"/>
      <c r="CZ96" s="1468"/>
      <c r="DA96" s="929"/>
      <c r="DB96" s="1468"/>
      <c r="DC96" s="1468"/>
      <c r="DD96" s="1468"/>
      <c r="DE96" s="1468"/>
      <c r="DF96" s="1468"/>
      <c r="DG96" s="929"/>
      <c r="DH96" s="1468"/>
      <c r="DI96" s="1468"/>
      <c r="DJ96" s="1468"/>
      <c r="DK96" s="929"/>
      <c r="DL96" s="1468"/>
      <c r="DM96" s="1514"/>
      <c r="DQ96" s="163" t="s">
        <v>25</v>
      </c>
      <c r="DR96" s="1470">
        <v>2915</v>
      </c>
      <c r="DS96" s="1470">
        <v>1161</v>
      </c>
      <c r="DT96" s="1470">
        <v>0</v>
      </c>
      <c r="DU96" s="1470">
        <v>1472</v>
      </c>
      <c r="DV96" s="1470">
        <v>3656</v>
      </c>
      <c r="DW96" s="1470">
        <v>498</v>
      </c>
      <c r="DX96" s="1470">
        <v>1172</v>
      </c>
      <c r="DY96" s="1470">
        <v>4</v>
      </c>
      <c r="DZ96" s="1470">
        <v>419</v>
      </c>
      <c r="EA96" s="1470">
        <v>537</v>
      </c>
      <c r="EB96" s="1470">
        <v>2927</v>
      </c>
      <c r="EC96" s="1470">
        <v>4017</v>
      </c>
      <c r="ED96" s="1470">
        <v>0</v>
      </c>
      <c r="EE96" s="1470">
        <v>59</v>
      </c>
      <c r="EF96" s="1480">
        <v>18837</v>
      </c>
      <c r="EG96" s="1471">
        <f>+(EA96+DW96+DV96)/(EF96-EE96-EB96)</f>
        <v>0.29594347359788026</v>
      </c>
      <c r="EI96" s="163"/>
      <c r="EJ96" s="163"/>
      <c r="EK96" s="163" t="s">
        <v>25</v>
      </c>
      <c r="EL96" s="80">
        <v>2558</v>
      </c>
      <c r="EM96" s="80">
        <v>1245</v>
      </c>
      <c r="EN96" s="80">
        <v>0</v>
      </c>
      <c r="EO96" s="80">
        <v>1399</v>
      </c>
      <c r="EP96" s="80">
        <v>3546</v>
      </c>
      <c r="EQ96" s="80">
        <v>496</v>
      </c>
      <c r="ER96" s="80">
        <v>1114</v>
      </c>
      <c r="ES96" s="80">
        <v>4</v>
      </c>
      <c r="ET96" s="80">
        <v>432</v>
      </c>
      <c r="EU96" s="80">
        <v>438</v>
      </c>
      <c r="EV96" s="80">
        <v>2695</v>
      </c>
      <c r="EW96" s="80">
        <v>4069</v>
      </c>
      <c r="EX96" s="80">
        <v>0</v>
      </c>
      <c r="EY96" s="80">
        <v>53</v>
      </c>
      <c r="EZ96" s="80">
        <v>18049</v>
      </c>
      <c r="FA96" s="1472">
        <f>+(EU96+EQ96+EP96)/(EZ96-EY96-EV96)</f>
        <v>0.29279132082870402</v>
      </c>
      <c r="FB96" s="80"/>
      <c r="FC96" s="80"/>
      <c r="FD96" s="80"/>
      <c r="FE96" s="681" t="s">
        <v>25</v>
      </c>
      <c r="FF96" s="1473">
        <v>2129</v>
      </c>
      <c r="FG96" s="1473">
        <v>1249</v>
      </c>
      <c r="FH96" s="1473" t="s">
        <v>332</v>
      </c>
      <c r="FI96" s="1473">
        <v>1367</v>
      </c>
      <c r="FJ96" s="1473">
        <v>3412</v>
      </c>
      <c r="FK96" s="1473">
        <v>483</v>
      </c>
      <c r="FL96" s="1473">
        <v>1291</v>
      </c>
      <c r="FM96" s="1473" t="s">
        <v>332</v>
      </c>
      <c r="FN96" s="1473">
        <v>605</v>
      </c>
      <c r="FO96" s="1473">
        <v>555</v>
      </c>
      <c r="FP96" s="1473">
        <v>4073</v>
      </c>
      <c r="FQ96" s="1473" t="s">
        <v>332</v>
      </c>
      <c r="FR96" s="1473">
        <v>15164</v>
      </c>
      <c r="FS96" s="1473">
        <f>+FO96+FK96+FJ96</f>
        <v>4450</v>
      </c>
      <c r="FT96" s="1512">
        <f>+FS96/FR96</f>
        <v>0.2934581904510683</v>
      </c>
      <c r="FU96" s="80"/>
      <c r="FV96" s="80"/>
    </row>
    <row r="97" spans="1:178">
      <c r="A97" s="73"/>
      <c r="B97" s="73"/>
      <c r="C97" s="73" t="s">
        <v>579</v>
      </c>
      <c r="D97" s="161">
        <v>5</v>
      </c>
      <c r="E97" s="161">
        <v>5</v>
      </c>
      <c r="F97" s="161"/>
      <c r="G97" s="161">
        <v>1</v>
      </c>
      <c r="H97" s="161">
        <v>3</v>
      </c>
      <c r="I97" s="161">
        <v>4</v>
      </c>
      <c r="J97" s="161"/>
      <c r="K97" s="161"/>
      <c r="L97" s="161"/>
      <c r="M97" s="161">
        <v>5</v>
      </c>
      <c r="N97" s="161">
        <v>6</v>
      </c>
      <c r="O97" s="161"/>
      <c r="P97" s="161">
        <v>3</v>
      </c>
      <c r="Q97" s="161"/>
      <c r="R97" s="161">
        <v>32</v>
      </c>
      <c r="S97" s="4680">
        <f t="shared" si="14"/>
        <v>0.40625</v>
      </c>
      <c r="U97" s="73"/>
      <c r="V97" s="73"/>
      <c r="W97" s="73" t="s">
        <v>579</v>
      </c>
      <c r="X97" s="161">
        <v>1</v>
      </c>
      <c r="Y97" s="161">
        <v>1</v>
      </c>
      <c r="Z97" s="161"/>
      <c r="AA97" s="161">
        <v>0</v>
      </c>
      <c r="AB97" s="161">
        <v>0</v>
      </c>
      <c r="AC97" s="161">
        <v>0</v>
      </c>
      <c r="AD97" s="161">
        <v>0</v>
      </c>
      <c r="AE97" s="161"/>
      <c r="AF97" s="161"/>
      <c r="AG97" s="161">
        <v>5</v>
      </c>
      <c r="AH97" s="161">
        <v>7</v>
      </c>
      <c r="AI97" s="161"/>
      <c r="AJ97" s="161">
        <v>1</v>
      </c>
      <c r="AK97" s="161">
        <v>0</v>
      </c>
      <c r="AL97" s="161">
        <v>15</v>
      </c>
      <c r="AM97" s="2585">
        <f t="shared" si="10"/>
        <v>0.46666666666666667</v>
      </c>
      <c r="AN97" s="3196"/>
      <c r="AO97" s="73"/>
      <c r="AP97" s="73"/>
      <c r="AQ97" s="738" t="s">
        <v>573</v>
      </c>
      <c r="AR97" s="151">
        <v>12</v>
      </c>
      <c r="AS97" s="151">
        <v>3</v>
      </c>
      <c r="AT97" s="151"/>
      <c r="AU97" s="151">
        <v>2</v>
      </c>
      <c r="AV97" s="151">
        <v>25</v>
      </c>
      <c r="AW97" s="151">
        <v>13</v>
      </c>
      <c r="AX97" s="151"/>
      <c r="AY97" s="151">
        <v>1</v>
      </c>
      <c r="AZ97" s="151"/>
      <c r="BA97" s="151">
        <v>5</v>
      </c>
      <c r="BB97" s="151">
        <v>5</v>
      </c>
      <c r="BC97" s="151"/>
      <c r="BD97" s="151">
        <v>11</v>
      </c>
      <c r="BE97" s="151">
        <v>1</v>
      </c>
      <c r="BF97" s="151">
        <v>78</v>
      </c>
      <c r="BG97" s="912">
        <f t="shared" si="15"/>
        <v>0.55844155844155841</v>
      </c>
      <c r="BI97" s="2140"/>
      <c r="BJ97" s="2140" t="s">
        <v>16</v>
      </c>
      <c r="BK97" s="2148" t="s">
        <v>830</v>
      </c>
      <c r="BL97" s="2149">
        <v>3</v>
      </c>
      <c r="BM97" s="2149">
        <v>2</v>
      </c>
      <c r="BN97" s="2150"/>
      <c r="BO97" s="2150"/>
      <c r="BP97" s="2149">
        <v>13</v>
      </c>
      <c r="BQ97" s="2149">
        <v>16</v>
      </c>
      <c r="BR97" s="2150"/>
      <c r="BS97" s="2149">
        <v>1</v>
      </c>
      <c r="BT97" s="2150"/>
      <c r="BU97" s="2149">
        <v>1</v>
      </c>
      <c r="BV97" s="2149">
        <v>3</v>
      </c>
      <c r="BW97" s="2150"/>
      <c r="BX97" s="2149">
        <v>8</v>
      </c>
      <c r="BY97" s="2149">
        <v>1</v>
      </c>
      <c r="BZ97" s="2149">
        <v>48</v>
      </c>
      <c r="CA97" s="2151">
        <f t="shared" si="16"/>
        <v>0.68085106382978722</v>
      </c>
      <c r="CV97" s="1513"/>
      <c r="CW97" s="1513"/>
      <c r="CX97" s="1513"/>
      <c r="CY97" s="1468"/>
      <c r="CZ97" s="1468"/>
      <c r="DA97" s="929"/>
      <c r="DB97" s="1468"/>
      <c r="DC97" s="1468"/>
      <c r="DD97" s="1468"/>
      <c r="DE97" s="1468"/>
      <c r="DF97" s="1468"/>
      <c r="DG97" s="929"/>
      <c r="DH97" s="1468"/>
      <c r="DI97" s="1468"/>
      <c r="DJ97" s="1468"/>
      <c r="DK97" s="929"/>
      <c r="DL97" s="1468"/>
      <c r="DM97" s="1514"/>
      <c r="DQ97" s="163" t="s">
        <v>48</v>
      </c>
      <c r="DR97" s="1470">
        <v>1623</v>
      </c>
      <c r="DS97" s="1470">
        <v>826</v>
      </c>
      <c r="DT97" s="1470">
        <v>1</v>
      </c>
      <c r="DU97" s="1470">
        <v>1412</v>
      </c>
      <c r="DV97" s="1470">
        <v>9893</v>
      </c>
      <c r="DW97" s="1470">
        <v>2819</v>
      </c>
      <c r="DX97" s="1470">
        <v>1529</v>
      </c>
      <c r="DY97" s="1470">
        <v>0</v>
      </c>
      <c r="DZ97" s="1470">
        <v>191</v>
      </c>
      <c r="EA97" s="1470">
        <v>2794</v>
      </c>
      <c r="EB97" s="1470">
        <v>4847</v>
      </c>
      <c r="EC97" s="1470">
        <v>5275</v>
      </c>
      <c r="ED97" s="1470">
        <v>143</v>
      </c>
      <c r="EE97" s="1470">
        <v>163</v>
      </c>
      <c r="EF97" s="1480">
        <v>31516</v>
      </c>
      <c r="EG97" s="1471">
        <f>+(EA97+DW97+DV97)/(EF97-EE97-EB97)</f>
        <v>0.58499962272692974</v>
      </c>
      <c r="EI97" s="163"/>
      <c r="EJ97" s="163"/>
      <c r="EK97" s="163" t="s">
        <v>48</v>
      </c>
      <c r="EL97" s="80">
        <v>1575</v>
      </c>
      <c r="EM97" s="80">
        <v>864</v>
      </c>
      <c r="EN97" s="80">
        <v>2</v>
      </c>
      <c r="EO97" s="80">
        <v>1431</v>
      </c>
      <c r="EP97" s="80">
        <v>9564</v>
      </c>
      <c r="EQ97" s="80">
        <v>2653</v>
      </c>
      <c r="ER97" s="80">
        <v>1537</v>
      </c>
      <c r="ES97" s="80">
        <v>0</v>
      </c>
      <c r="ET97" s="80">
        <v>142</v>
      </c>
      <c r="EU97" s="80">
        <v>2913</v>
      </c>
      <c r="EV97" s="80">
        <v>4588</v>
      </c>
      <c r="EW97" s="80">
        <v>5480</v>
      </c>
      <c r="EX97" s="80">
        <v>143</v>
      </c>
      <c r="EY97" s="80">
        <v>164</v>
      </c>
      <c r="EZ97" s="80">
        <v>31056</v>
      </c>
      <c r="FA97" s="1472">
        <f>+(EU97+EQ97+EP97)/(EZ97-EY97-EV97)</f>
        <v>0.57519768856447684</v>
      </c>
      <c r="FB97" s="80"/>
      <c r="FC97" s="80"/>
      <c r="FD97" s="80"/>
      <c r="FE97" s="681" t="s">
        <v>48</v>
      </c>
      <c r="FF97" s="1473">
        <v>1668</v>
      </c>
      <c r="FG97" s="1473">
        <v>804</v>
      </c>
      <c r="FH97" s="1473">
        <v>1</v>
      </c>
      <c r="FI97" s="1473">
        <v>1344</v>
      </c>
      <c r="FJ97" s="1473">
        <v>8848</v>
      </c>
      <c r="FK97" s="1473">
        <v>2531</v>
      </c>
      <c r="FL97" s="1473">
        <v>1629</v>
      </c>
      <c r="FM97" s="1473" t="s">
        <v>332</v>
      </c>
      <c r="FN97" s="1473">
        <v>161</v>
      </c>
      <c r="FO97" s="1473">
        <v>3439</v>
      </c>
      <c r="FP97" s="1473">
        <v>5641</v>
      </c>
      <c r="FQ97" s="1473">
        <v>122</v>
      </c>
      <c r="FR97" s="1473">
        <v>26188</v>
      </c>
      <c r="FS97" s="1473">
        <f>+FO97+FK97+FJ97</f>
        <v>14818</v>
      </c>
      <c r="FT97" s="1512">
        <f>+FS97/FR97</f>
        <v>0.56583167863143424</v>
      </c>
      <c r="FU97" s="80"/>
      <c r="FV97" s="80"/>
    </row>
    <row r="98" spans="1:178">
      <c r="A98" s="73"/>
      <c r="B98" s="73"/>
      <c r="C98" s="738" t="s">
        <v>573</v>
      </c>
      <c r="D98" s="4667">
        <v>13</v>
      </c>
      <c r="E98" s="4667">
        <v>14</v>
      </c>
      <c r="F98" s="4667"/>
      <c r="G98" s="4667">
        <v>1</v>
      </c>
      <c r="H98" s="4667">
        <v>59</v>
      </c>
      <c r="I98" s="4667">
        <v>30</v>
      </c>
      <c r="J98" s="4667"/>
      <c r="K98" s="4667"/>
      <c r="L98" s="4667"/>
      <c r="M98" s="4667">
        <v>16</v>
      </c>
      <c r="N98" s="4667">
        <v>15</v>
      </c>
      <c r="O98" s="4667"/>
      <c r="P98" s="4667">
        <v>25</v>
      </c>
      <c r="Q98" s="4667"/>
      <c r="R98" s="4667">
        <v>173</v>
      </c>
      <c r="S98" s="4680">
        <f t="shared" si="14"/>
        <v>0.60115606936416188</v>
      </c>
      <c r="U98" s="73"/>
      <c r="V98" s="73"/>
      <c r="W98" s="738" t="s">
        <v>573</v>
      </c>
      <c r="X98" s="151">
        <v>13</v>
      </c>
      <c r="Y98" s="151">
        <v>5</v>
      </c>
      <c r="Z98" s="151"/>
      <c r="AA98" s="151">
        <v>4</v>
      </c>
      <c r="AB98" s="151">
        <v>31</v>
      </c>
      <c r="AC98" s="151">
        <v>30</v>
      </c>
      <c r="AD98" s="151">
        <v>1</v>
      </c>
      <c r="AE98" s="151"/>
      <c r="AF98" s="151"/>
      <c r="AG98" s="151">
        <v>14</v>
      </c>
      <c r="AH98" s="151">
        <v>21</v>
      </c>
      <c r="AI98" s="151"/>
      <c r="AJ98" s="151">
        <v>17</v>
      </c>
      <c r="AK98" s="151">
        <v>1</v>
      </c>
      <c r="AL98" s="151">
        <v>137</v>
      </c>
      <c r="AM98" s="912">
        <f t="shared" si="10"/>
        <v>0.6029411764705882</v>
      </c>
      <c r="AN98" s="3197"/>
      <c r="AO98" s="73"/>
      <c r="AP98" s="73" t="s">
        <v>41</v>
      </c>
      <c r="AQ98" s="73" t="s">
        <v>831</v>
      </c>
      <c r="AR98" s="161">
        <v>10</v>
      </c>
      <c r="AS98" s="161">
        <v>5</v>
      </c>
      <c r="AT98" s="161"/>
      <c r="AU98" s="161">
        <v>2</v>
      </c>
      <c r="AV98" s="161">
        <v>22</v>
      </c>
      <c r="AW98" s="161">
        <v>14</v>
      </c>
      <c r="AX98" s="161">
        <v>2</v>
      </c>
      <c r="AY98" s="161"/>
      <c r="AZ98" s="161"/>
      <c r="BA98" s="161">
        <v>4</v>
      </c>
      <c r="BB98" s="161"/>
      <c r="BC98" s="161"/>
      <c r="BD98" s="161">
        <v>8</v>
      </c>
      <c r="BE98" s="161"/>
      <c r="BF98" s="161">
        <v>67</v>
      </c>
      <c r="BG98" s="2585">
        <f t="shared" si="15"/>
        <v>0.53731343283582089</v>
      </c>
      <c r="BI98" s="2140"/>
      <c r="BJ98" s="2140"/>
      <c r="BK98" s="2142" t="s">
        <v>573</v>
      </c>
      <c r="BL98" s="2152">
        <v>3</v>
      </c>
      <c r="BM98" s="2152">
        <v>2</v>
      </c>
      <c r="BN98" s="2153"/>
      <c r="BO98" s="2153"/>
      <c r="BP98" s="2152">
        <v>13</v>
      </c>
      <c r="BQ98" s="2152">
        <v>16</v>
      </c>
      <c r="BR98" s="2153"/>
      <c r="BS98" s="2152">
        <v>1</v>
      </c>
      <c r="BT98" s="2153"/>
      <c r="BU98" s="2152">
        <v>1</v>
      </c>
      <c r="BV98" s="2152">
        <v>3</v>
      </c>
      <c r="BW98" s="2153"/>
      <c r="BX98" s="2152">
        <v>8</v>
      </c>
      <c r="BY98" s="2152">
        <v>1</v>
      </c>
      <c r="BZ98" s="2152">
        <v>48</v>
      </c>
      <c r="CA98" s="2154">
        <f t="shared" si="16"/>
        <v>0.68085106382978722</v>
      </c>
      <c r="CV98" s="1513"/>
      <c r="CW98" s="1513"/>
      <c r="CX98" s="1513"/>
      <c r="CY98" s="1468"/>
      <c r="CZ98" s="1468"/>
      <c r="DA98" s="929"/>
      <c r="DB98" s="1468"/>
      <c r="DC98" s="1468"/>
      <c r="DD98" s="1468"/>
      <c r="DE98" s="1468"/>
      <c r="DF98" s="1468"/>
      <c r="DG98" s="929"/>
      <c r="DH98" s="1468"/>
      <c r="DI98" s="1468"/>
      <c r="DJ98" s="1468"/>
      <c r="DK98" s="929"/>
      <c r="DL98" s="1468"/>
      <c r="DM98" s="1514"/>
      <c r="DQ98" s="163" t="s">
        <v>59</v>
      </c>
      <c r="DR98" s="1470">
        <v>224</v>
      </c>
      <c r="DS98" s="1470">
        <v>87</v>
      </c>
      <c r="DT98" s="1470">
        <v>0</v>
      </c>
      <c r="DU98" s="1470">
        <v>47</v>
      </c>
      <c r="DV98" s="1470">
        <v>201</v>
      </c>
      <c r="DW98" s="1470">
        <v>45</v>
      </c>
      <c r="DX98" s="1470">
        <v>25</v>
      </c>
      <c r="DY98" s="1470">
        <v>0</v>
      </c>
      <c r="DZ98" s="1470">
        <v>40</v>
      </c>
      <c r="EA98" s="1470">
        <v>93</v>
      </c>
      <c r="EB98" s="1470">
        <v>186</v>
      </c>
      <c r="EC98" s="1470">
        <v>186</v>
      </c>
      <c r="ED98" s="1470">
        <v>0</v>
      </c>
      <c r="EE98" s="1470">
        <v>8</v>
      </c>
      <c r="EF98" s="1480">
        <v>1142</v>
      </c>
      <c r="EG98" s="1471">
        <f>+(EA98+DW98+DV98)/(EF98-EE98-EB98)</f>
        <v>0.35759493670886078</v>
      </c>
      <c r="EI98" s="163"/>
      <c r="EJ98" s="163"/>
      <c r="EK98" s="163" t="s">
        <v>59</v>
      </c>
      <c r="EL98" s="80">
        <v>145</v>
      </c>
      <c r="EM98" s="80">
        <v>61</v>
      </c>
      <c r="EN98" s="80">
        <v>1</v>
      </c>
      <c r="EO98" s="80">
        <v>19</v>
      </c>
      <c r="EP98" s="80">
        <v>128</v>
      </c>
      <c r="EQ98" s="80">
        <v>30</v>
      </c>
      <c r="ER98" s="80">
        <v>15</v>
      </c>
      <c r="ES98" s="80">
        <v>0</v>
      </c>
      <c r="ET98" s="80">
        <v>29</v>
      </c>
      <c r="EU98" s="80">
        <v>59</v>
      </c>
      <c r="EV98" s="80">
        <v>138</v>
      </c>
      <c r="EW98" s="80">
        <v>114</v>
      </c>
      <c r="EX98" s="80">
        <v>0</v>
      </c>
      <c r="EY98" s="80">
        <v>4</v>
      </c>
      <c r="EZ98" s="80">
        <v>743</v>
      </c>
      <c r="FA98" s="1472">
        <f>+(EU98+EQ98+EP98)/(EZ98-EY98-EV98)</f>
        <v>0.36106489184692181</v>
      </c>
      <c r="FB98" s="80"/>
      <c r="FC98" s="80"/>
      <c r="FD98" s="80"/>
      <c r="FE98" s="681" t="s">
        <v>59</v>
      </c>
      <c r="FF98" s="1473">
        <v>50</v>
      </c>
      <c r="FG98" s="1473">
        <v>36</v>
      </c>
      <c r="FH98" s="1473" t="s">
        <v>332</v>
      </c>
      <c r="FI98" s="1473">
        <v>6</v>
      </c>
      <c r="FJ98" s="1473">
        <v>46</v>
      </c>
      <c r="FK98" s="1473">
        <v>29</v>
      </c>
      <c r="FL98" s="1473">
        <v>6</v>
      </c>
      <c r="FM98" s="1473" t="s">
        <v>332</v>
      </c>
      <c r="FN98" s="1473">
        <v>13</v>
      </c>
      <c r="FO98" s="1473">
        <v>47</v>
      </c>
      <c r="FP98" s="1473">
        <v>53</v>
      </c>
      <c r="FQ98" s="1473" t="s">
        <v>332</v>
      </c>
      <c r="FR98" s="1473">
        <v>286</v>
      </c>
      <c r="FS98" s="1473">
        <f>+FO98+FK98+FJ98</f>
        <v>122</v>
      </c>
      <c r="FT98" s="1512">
        <f>+FS98/FR98</f>
        <v>0.42657342657342656</v>
      </c>
      <c r="FU98" s="80"/>
      <c r="FV98" s="80"/>
    </row>
    <row r="99" spans="1:178" ht="15.75" thickBot="1">
      <c r="A99" s="73"/>
      <c r="B99" s="73" t="s">
        <v>41</v>
      </c>
      <c r="C99" s="73" t="s">
        <v>831</v>
      </c>
      <c r="D99" s="161">
        <v>19</v>
      </c>
      <c r="E99" s="161">
        <v>7</v>
      </c>
      <c r="F99" s="161"/>
      <c r="G99" s="161"/>
      <c r="H99" s="161">
        <v>51</v>
      </c>
      <c r="I99" s="161">
        <v>24</v>
      </c>
      <c r="J99" s="161">
        <v>3</v>
      </c>
      <c r="K99" s="161"/>
      <c r="L99" s="161"/>
      <c r="M99" s="161">
        <v>6</v>
      </c>
      <c r="N99" s="161">
        <v>11</v>
      </c>
      <c r="O99" s="161"/>
      <c r="P99" s="161">
        <v>29</v>
      </c>
      <c r="Q99" s="161"/>
      <c r="R99" s="161">
        <v>150</v>
      </c>
      <c r="S99" s="4680">
        <f t="shared" si="14"/>
        <v>0.57333333333333336</v>
      </c>
      <c r="U99" s="73"/>
      <c r="V99" s="73" t="s">
        <v>41</v>
      </c>
      <c r="W99" s="73" t="s">
        <v>831</v>
      </c>
      <c r="X99" s="161">
        <v>15</v>
      </c>
      <c r="Y99" s="161">
        <v>6</v>
      </c>
      <c r="Z99" s="161"/>
      <c r="AA99" s="161">
        <v>3</v>
      </c>
      <c r="AB99" s="161">
        <v>29</v>
      </c>
      <c r="AC99" s="161">
        <v>22</v>
      </c>
      <c r="AD99" s="161">
        <v>3</v>
      </c>
      <c r="AE99" s="161"/>
      <c r="AF99" s="161"/>
      <c r="AG99" s="161">
        <v>3</v>
      </c>
      <c r="AH99" s="161">
        <v>16</v>
      </c>
      <c r="AI99" s="161"/>
      <c r="AJ99" s="161">
        <v>14</v>
      </c>
      <c r="AK99" s="161"/>
      <c r="AL99" s="161">
        <v>111</v>
      </c>
      <c r="AM99" s="2585">
        <f t="shared" si="10"/>
        <v>0.60360360360360366</v>
      </c>
      <c r="AN99" s="3196"/>
      <c r="AO99" s="73"/>
      <c r="AP99" s="73"/>
      <c r="AQ99" s="738" t="s">
        <v>575</v>
      </c>
      <c r="AR99" s="151">
        <v>10</v>
      </c>
      <c r="AS99" s="151">
        <v>5</v>
      </c>
      <c r="AT99" s="151"/>
      <c r="AU99" s="151">
        <v>2</v>
      </c>
      <c r="AV99" s="151">
        <v>22</v>
      </c>
      <c r="AW99" s="151">
        <v>14</v>
      </c>
      <c r="AX99" s="151">
        <v>2</v>
      </c>
      <c r="AY99" s="151"/>
      <c r="AZ99" s="151"/>
      <c r="BA99" s="151">
        <v>4</v>
      </c>
      <c r="BB99" s="151"/>
      <c r="BC99" s="151"/>
      <c r="BD99" s="151">
        <v>8</v>
      </c>
      <c r="BE99" s="151"/>
      <c r="BF99" s="151">
        <v>67</v>
      </c>
      <c r="BG99" s="912">
        <f t="shared" si="15"/>
        <v>0.53731343283582089</v>
      </c>
      <c r="BI99" s="2140"/>
      <c r="BJ99" s="2140" t="s">
        <v>41</v>
      </c>
      <c r="BK99" s="2148" t="s">
        <v>831</v>
      </c>
      <c r="BL99" s="2149">
        <v>8</v>
      </c>
      <c r="BM99" s="2149">
        <v>2</v>
      </c>
      <c r="BN99" s="2150"/>
      <c r="BO99" s="2149">
        <v>2</v>
      </c>
      <c r="BP99" s="2149">
        <v>10</v>
      </c>
      <c r="BQ99" s="2149">
        <v>13</v>
      </c>
      <c r="BR99" s="2149">
        <v>2</v>
      </c>
      <c r="BS99" s="2150"/>
      <c r="BT99" s="2150"/>
      <c r="BU99" s="2149">
        <v>4</v>
      </c>
      <c r="BV99" s="2150"/>
      <c r="BW99" s="2150"/>
      <c r="BX99" s="2149">
        <v>4</v>
      </c>
      <c r="BY99" s="2150"/>
      <c r="BZ99" s="2149">
        <v>45</v>
      </c>
      <c r="CA99" s="2151">
        <f t="shared" si="16"/>
        <v>0.51111111111111107</v>
      </c>
      <c r="CV99" s="1513"/>
      <c r="CW99" s="1513"/>
      <c r="CX99" s="1513"/>
      <c r="CY99" s="1468"/>
      <c r="CZ99" s="1468"/>
      <c r="DA99" s="929"/>
      <c r="DB99" s="1468"/>
      <c r="DC99" s="1468"/>
      <c r="DD99" s="1468"/>
      <c r="DE99" s="1468"/>
      <c r="DF99" s="1468"/>
      <c r="DG99" s="929"/>
      <c r="DH99" s="1468"/>
      <c r="DI99" s="1468"/>
      <c r="DJ99" s="1468"/>
      <c r="DK99" s="929"/>
      <c r="DL99" s="1468"/>
      <c r="DM99" s="1514"/>
      <c r="DQ99" s="733" t="s">
        <v>15</v>
      </c>
      <c r="DR99" s="1502">
        <v>8847</v>
      </c>
      <c r="DS99" s="1502">
        <v>3643</v>
      </c>
      <c r="DT99" s="1502">
        <v>1</v>
      </c>
      <c r="DU99" s="1502">
        <v>4278</v>
      </c>
      <c r="DV99" s="1502">
        <v>17608</v>
      </c>
      <c r="DW99" s="1502">
        <v>4442</v>
      </c>
      <c r="DX99" s="1502">
        <v>4248</v>
      </c>
      <c r="DY99" s="1502">
        <v>5</v>
      </c>
      <c r="DZ99" s="1502">
        <v>1139</v>
      </c>
      <c r="EA99" s="1502">
        <v>4533</v>
      </c>
      <c r="EB99" s="1502">
        <v>13057</v>
      </c>
      <c r="EC99" s="1502">
        <v>15271</v>
      </c>
      <c r="ED99" s="1502">
        <v>161</v>
      </c>
      <c r="EE99" s="1502">
        <v>320</v>
      </c>
      <c r="EF99" s="1502">
        <v>77553</v>
      </c>
      <c r="EG99" s="1503">
        <f>+(EA99+DW99+DV99)/(EF99-EE99-EB99)</f>
        <v>0.41422026925953626</v>
      </c>
      <c r="EI99" s="163"/>
      <c r="EJ99" s="163"/>
      <c r="EK99" s="733" t="s">
        <v>15</v>
      </c>
      <c r="EL99" s="1218">
        <v>7918</v>
      </c>
      <c r="EM99" s="1218">
        <v>3704</v>
      </c>
      <c r="EN99" s="1218">
        <v>3</v>
      </c>
      <c r="EO99" s="1218">
        <v>4211</v>
      </c>
      <c r="EP99" s="1218">
        <v>17090</v>
      </c>
      <c r="EQ99" s="1218">
        <v>4315</v>
      </c>
      <c r="ER99" s="1218">
        <v>4324</v>
      </c>
      <c r="ES99" s="1218">
        <v>5</v>
      </c>
      <c r="ET99" s="1218">
        <v>958</v>
      </c>
      <c r="EU99" s="1218">
        <v>4405</v>
      </c>
      <c r="EV99" s="1218">
        <v>12145</v>
      </c>
      <c r="EW99" s="1218">
        <v>15395</v>
      </c>
      <c r="EX99" s="1218">
        <v>161</v>
      </c>
      <c r="EY99" s="1218">
        <v>282</v>
      </c>
      <c r="EZ99" s="1218">
        <v>74916</v>
      </c>
      <c r="FA99" s="1515">
        <f>+(EU99+EQ99+EP99)/(EZ99-EY99-EV99)</f>
        <v>0.41303269375410073</v>
      </c>
      <c r="FB99" s="80"/>
      <c r="FC99" s="80"/>
      <c r="FD99" s="80"/>
      <c r="FE99" s="1497" t="s">
        <v>15</v>
      </c>
      <c r="FF99" s="1498">
        <v>7026</v>
      </c>
      <c r="FG99" s="1498">
        <v>3533</v>
      </c>
      <c r="FH99" s="1498">
        <v>1</v>
      </c>
      <c r="FI99" s="1498">
        <v>4113</v>
      </c>
      <c r="FJ99" s="1498">
        <v>16128</v>
      </c>
      <c r="FK99" s="1498">
        <v>4121</v>
      </c>
      <c r="FL99" s="1498">
        <v>4675</v>
      </c>
      <c r="FM99" s="1498">
        <v>1</v>
      </c>
      <c r="FN99" s="1498">
        <v>1485</v>
      </c>
      <c r="FO99" s="1498">
        <v>5167</v>
      </c>
      <c r="FP99" s="1498">
        <v>15510</v>
      </c>
      <c r="FQ99" s="1498">
        <v>140</v>
      </c>
      <c r="FR99" s="1498">
        <v>61900</v>
      </c>
      <c r="FS99" s="1498">
        <f>+FO99+FK99+FJ99</f>
        <v>25416</v>
      </c>
      <c r="FT99" s="1516">
        <f>+FS99/FR99</f>
        <v>0.41059773828756058</v>
      </c>
      <c r="FU99" s="80"/>
      <c r="FV99" s="80"/>
    </row>
    <row r="100" spans="1:178">
      <c r="A100" s="73"/>
      <c r="B100" s="73"/>
      <c r="C100" s="73" t="s">
        <v>3956</v>
      </c>
      <c r="D100" s="161">
        <v>1</v>
      </c>
      <c r="E100" s="161">
        <v>0</v>
      </c>
      <c r="F100" s="161"/>
      <c r="G100" s="161"/>
      <c r="H100" s="161">
        <v>0</v>
      </c>
      <c r="I100" s="161">
        <v>0</v>
      </c>
      <c r="J100" s="161">
        <v>0</v>
      </c>
      <c r="K100" s="161"/>
      <c r="L100" s="161"/>
      <c r="M100" s="161">
        <v>0</v>
      </c>
      <c r="N100" s="161">
        <v>0</v>
      </c>
      <c r="O100" s="161"/>
      <c r="P100" s="161">
        <v>0</v>
      </c>
      <c r="Q100" s="161"/>
      <c r="R100" s="161">
        <v>1</v>
      </c>
      <c r="S100" s="4680">
        <f t="shared" si="14"/>
        <v>0</v>
      </c>
      <c r="U100" s="738"/>
      <c r="V100" s="738"/>
      <c r="W100" s="738" t="s">
        <v>575</v>
      </c>
      <c r="X100" s="151">
        <v>15</v>
      </c>
      <c r="Y100" s="151">
        <v>6</v>
      </c>
      <c r="Z100" s="151"/>
      <c r="AA100" s="151">
        <v>3</v>
      </c>
      <c r="AB100" s="151">
        <v>29</v>
      </c>
      <c r="AC100" s="151">
        <v>22</v>
      </c>
      <c r="AD100" s="151">
        <v>3</v>
      </c>
      <c r="AE100" s="151"/>
      <c r="AF100" s="151"/>
      <c r="AG100" s="151">
        <v>3</v>
      </c>
      <c r="AH100" s="151">
        <v>16</v>
      </c>
      <c r="AI100" s="151"/>
      <c r="AJ100" s="151">
        <v>14</v>
      </c>
      <c r="AK100" s="151"/>
      <c r="AL100" s="151">
        <v>111</v>
      </c>
      <c r="AM100" s="912">
        <f t="shared" si="10"/>
        <v>0.60360360360360366</v>
      </c>
      <c r="AN100" s="3197"/>
      <c r="AO100" s="73"/>
      <c r="AP100" s="73"/>
      <c r="AQ100" s="738" t="s">
        <v>1211</v>
      </c>
      <c r="AR100" s="151">
        <v>30</v>
      </c>
      <c r="AS100" s="151">
        <v>16</v>
      </c>
      <c r="AT100" s="151"/>
      <c r="AU100" s="151">
        <v>6</v>
      </c>
      <c r="AV100" s="151">
        <v>68</v>
      </c>
      <c r="AW100" s="151">
        <v>35</v>
      </c>
      <c r="AX100" s="151">
        <v>10</v>
      </c>
      <c r="AY100" s="151">
        <v>1</v>
      </c>
      <c r="AZ100" s="151"/>
      <c r="BA100" s="151">
        <v>11</v>
      </c>
      <c r="BB100" s="151">
        <v>6</v>
      </c>
      <c r="BC100" s="151"/>
      <c r="BD100" s="151">
        <v>31</v>
      </c>
      <c r="BE100" s="151">
        <v>1</v>
      </c>
      <c r="BF100" s="151">
        <v>215</v>
      </c>
      <c r="BG100" s="912">
        <f t="shared" si="15"/>
        <v>0.50934579439252337</v>
      </c>
      <c r="BI100" s="2140"/>
      <c r="BJ100" s="2140"/>
      <c r="BK100" s="2142" t="s">
        <v>575</v>
      </c>
      <c r="BL100" s="2152">
        <v>8</v>
      </c>
      <c r="BM100" s="2152">
        <v>2</v>
      </c>
      <c r="BN100" s="2153"/>
      <c r="BO100" s="2152">
        <v>2</v>
      </c>
      <c r="BP100" s="2152">
        <v>10</v>
      </c>
      <c r="BQ100" s="2152">
        <v>13</v>
      </c>
      <c r="BR100" s="2152">
        <v>2</v>
      </c>
      <c r="BS100" s="2153"/>
      <c r="BT100" s="2153"/>
      <c r="BU100" s="2152">
        <v>4</v>
      </c>
      <c r="BV100" s="2153"/>
      <c r="BW100" s="2153"/>
      <c r="BX100" s="2152">
        <v>4</v>
      </c>
      <c r="BY100" s="2153"/>
      <c r="BZ100" s="2152">
        <v>45</v>
      </c>
      <c r="CA100" s="2154">
        <f t="shared" si="16"/>
        <v>0.51111111111111107</v>
      </c>
      <c r="CV100" s="1513"/>
      <c r="CW100" s="1513"/>
      <c r="CX100" s="1513"/>
      <c r="CY100" s="1468"/>
      <c r="CZ100" s="1468"/>
      <c r="DA100" s="929"/>
      <c r="DB100" s="1468"/>
      <c r="DC100" s="1468"/>
      <c r="DD100" s="1468"/>
      <c r="DE100" s="1468"/>
      <c r="DF100" s="1468"/>
      <c r="DG100" s="929"/>
      <c r="DH100" s="1468"/>
      <c r="DI100" s="1468"/>
      <c r="DJ100" s="1468"/>
      <c r="DK100" s="929"/>
      <c r="DL100" s="1468"/>
      <c r="DM100" s="1514"/>
      <c r="EI100" s="163"/>
      <c r="EJ100" s="163"/>
      <c r="EK100" s="80"/>
      <c r="EL100" s="80"/>
      <c r="EM100" s="80"/>
      <c r="EN100" s="80"/>
      <c r="EO100" s="80"/>
      <c r="EP100" s="80"/>
      <c r="EQ100" s="80"/>
      <c r="ER100" s="80"/>
      <c r="ES100" s="80"/>
      <c r="ET100" s="80"/>
      <c r="EU100" s="80"/>
      <c r="EV100" s="80"/>
      <c r="EW100" s="80"/>
      <c r="EX100" s="80"/>
      <c r="EY100" s="80"/>
      <c r="EZ100" s="80"/>
      <c r="FA100" s="80"/>
      <c r="FB100" s="80"/>
      <c r="FC100" s="80"/>
      <c r="FD100" s="80"/>
      <c r="FE100" s="80"/>
      <c r="FF100" s="80"/>
      <c r="FG100" s="80"/>
      <c r="FH100" s="80"/>
      <c r="FI100" s="80"/>
      <c r="FJ100" s="80"/>
      <c r="FK100" s="80"/>
      <c r="FL100" s="80"/>
      <c r="FM100" s="80"/>
      <c r="FN100" s="80"/>
      <c r="FO100" s="80"/>
      <c r="FP100" s="80"/>
      <c r="FQ100" s="80"/>
      <c r="FR100" s="80"/>
      <c r="FS100" s="80"/>
      <c r="FT100" s="80"/>
      <c r="FU100" s="80"/>
      <c r="FV100" s="80"/>
    </row>
    <row r="101" spans="1:178" ht="15.75" thickBot="1">
      <c r="A101" s="73"/>
      <c r="B101" s="73"/>
      <c r="C101" s="4613" t="s">
        <v>575</v>
      </c>
      <c r="D101" s="4615">
        <v>20</v>
      </c>
      <c r="E101" s="4615">
        <v>7</v>
      </c>
      <c r="F101" s="4615"/>
      <c r="G101" s="4615"/>
      <c r="H101" s="4615">
        <v>51</v>
      </c>
      <c r="I101" s="4615">
        <v>24</v>
      </c>
      <c r="J101" s="4615">
        <v>3</v>
      </c>
      <c r="K101" s="4615"/>
      <c r="L101" s="4615"/>
      <c r="M101" s="4615">
        <v>6</v>
      </c>
      <c r="N101" s="4615">
        <v>11</v>
      </c>
      <c r="O101" s="4615"/>
      <c r="P101" s="4615">
        <v>29</v>
      </c>
      <c r="Q101" s="4615"/>
      <c r="R101" s="4615">
        <v>151</v>
      </c>
      <c r="S101" s="4680">
        <f t="shared" si="14"/>
        <v>0.56953642384105962</v>
      </c>
      <c r="U101" s="738"/>
      <c r="V101" s="738"/>
      <c r="W101" s="738" t="s">
        <v>1211</v>
      </c>
      <c r="X101" s="151">
        <v>46</v>
      </c>
      <c r="Y101" s="151">
        <v>16</v>
      </c>
      <c r="Z101" s="151"/>
      <c r="AA101" s="151">
        <v>17</v>
      </c>
      <c r="AB101" s="151">
        <v>84</v>
      </c>
      <c r="AC101" s="151">
        <v>64</v>
      </c>
      <c r="AD101" s="151">
        <v>13</v>
      </c>
      <c r="AE101" s="151"/>
      <c r="AF101" s="151"/>
      <c r="AG101" s="151">
        <v>18</v>
      </c>
      <c r="AH101" s="151">
        <v>44</v>
      </c>
      <c r="AI101" s="151"/>
      <c r="AJ101" s="151">
        <v>55</v>
      </c>
      <c r="AK101" s="151">
        <v>1</v>
      </c>
      <c r="AL101" s="151">
        <v>358</v>
      </c>
      <c r="AM101" s="912">
        <f t="shared" si="10"/>
        <v>0.53781512605042014</v>
      </c>
      <c r="AN101" s="3197"/>
      <c r="AO101" s="746"/>
      <c r="AP101" s="746"/>
      <c r="AQ101" s="742" t="s">
        <v>114</v>
      </c>
      <c r="AR101" s="743">
        <v>8057</v>
      </c>
      <c r="AS101" s="743">
        <v>6465</v>
      </c>
      <c r="AT101" s="743">
        <v>1</v>
      </c>
      <c r="AU101" s="743">
        <v>2879</v>
      </c>
      <c r="AV101" s="743">
        <v>18443</v>
      </c>
      <c r="AW101" s="743">
        <v>4441</v>
      </c>
      <c r="AX101" s="743">
        <v>3870</v>
      </c>
      <c r="AY101" s="743">
        <v>211</v>
      </c>
      <c r="AZ101" s="743">
        <v>10</v>
      </c>
      <c r="BA101" s="743">
        <v>2124</v>
      </c>
      <c r="BB101" s="743">
        <v>5399</v>
      </c>
      <c r="BC101" s="743">
        <v>264</v>
      </c>
      <c r="BD101" s="743">
        <v>10461</v>
      </c>
      <c r="BE101" s="743">
        <v>87</v>
      </c>
      <c r="BF101" s="743">
        <v>62712</v>
      </c>
      <c r="BG101" s="939">
        <f t="shared" si="15"/>
        <v>0.45353666554417021</v>
      </c>
      <c r="BI101" s="2140"/>
      <c r="BJ101" s="2140"/>
      <c r="BK101" s="2155" t="s">
        <v>1211</v>
      </c>
      <c r="BL101" s="2156">
        <v>15</v>
      </c>
      <c r="BM101" s="2156">
        <v>7</v>
      </c>
      <c r="BN101" s="2157"/>
      <c r="BO101" s="2156">
        <v>4</v>
      </c>
      <c r="BP101" s="2156">
        <v>29</v>
      </c>
      <c r="BQ101" s="2156">
        <v>40</v>
      </c>
      <c r="BR101" s="2156">
        <v>7</v>
      </c>
      <c r="BS101" s="2156">
        <v>6</v>
      </c>
      <c r="BT101" s="2157"/>
      <c r="BU101" s="2156">
        <v>6</v>
      </c>
      <c r="BV101" s="2156">
        <v>6</v>
      </c>
      <c r="BW101" s="2157"/>
      <c r="BX101" s="2156">
        <v>16</v>
      </c>
      <c r="BY101" s="2156">
        <v>1</v>
      </c>
      <c r="BZ101" s="2156">
        <v>137</v>
      </c>
      <c r="CA101" s="803">
        <f t="shared" si="16"/>
        <v>0.55147058823529416</v>
      </c>
      <c r="CV101" s="1513"/>
      <c r="CW101" s="1513"/>
      <c r="CX101" s="1513"/>
      <c r="CY101" s="4847" t="s">
        <v>1282</v>
      </c>
      <c r="CZ101" s="4847"/>
      <c r="DA101" s="4847"/>
      <c r="DB101" s="4847"/>
      <c r="DC101" s="4847"/>
      <c r="DD101" s="4847"/>
      <c r="DE101" s="4847"/>
      <c r="DF101" s="4847"/>
      <c r="DG101" s="4847"/>
      <c r="DH101" s="4847"/>
      <c r="DI101" s="4847"/>
      <c r="DJ101" s="4847"/>
      <c r="DK101" s="4847"/>
      <c r="DL101" s="4847"/>
      <c r="DM101" s="1517"/>
      <c r="EI101" s="163"/>
      <c r="EJ101" s="163"/>
      <c r="EK101" s="80"/>
      <c r="EL101" s="80"/>
      <c r="EM101" s="80"/>
      <c r="EN101" s="80"/>
      <c r="EO101" s="80"/>
      <c r="EP101" s="80"/>
      <c r="EQ101" s="80"/>
      <c r="ER101" s="80"/>
      <c r="ES101" s="80"/>
      <c r="ET101" s="80"/>
      <c r="EU101" s="80"/>
      <c r="EV101" s="80"/>
      <c r="EW101" s="80"/>
      <c r="EX101" s="80"/>
      <c r="EY101" s="80"/>
      <c r="EZ101" s="80"/>
      <c r="FA101" s="80"/>
      <c r="FB101" s="80"/>
      <c r="FC101" s="80"/>
      <c r="FD101" s="80"/>
      <c r="FE101" s="80"/>
      <c r="FF101" s="80"/>
      <c r="FG101" s="80"/>
      <c r="FH101" s="80"/>
      <c r="FI101" s="80"/>
      <c r="FJ101" s="80"/>
      <c r="FK101" s="80"/>
      <c r="FL101" s="80"/>
      <c r="FM101" s="80"/>
      <c r="FN101" s="80"/>
      <c r="FO101" s="80"/>
      <c r="FP101" s="80"/>
      <c r="FQ101" s="80"/>
      <c r="FR101" s="80"/>
      <c r="FS101" s="80"/>
      <c r="FT101" s="80"/>
      <c r="FU101" s="80"/>
      <c r="FV101" s="80"/>
    </row>
    <row r="102" spans="1:178" ht="24.75" thickBot="1">
      <c r="A102" s="73"/>
      <c r="B102" s="73"/>
      <c r="C102" s="4613" t="s">
        <v>1211</v>
      </c>
      <c r="D102" s="4615">
        <v>55</v>
      </c>
      <c r="E102" s="4615">
        <v>34</v>
      </c>
      <c r="F102" s="4615"/>
      <c r="G102" s="4615">
        <v>2</v>
      </c>
      <c r="H102" s="4615">
        <v>144</v>
      </c>
      <c r="I102" s="4615">
        <v>64</v>
      </c>
      <c r="J102" s="4615">
        <v>12</v>
      </c>
      <c r="K102" s="4615">
        <v>1</v>
      </c>
      <c r="L102" s="4615"/>
      <c r="M102" s="4615">
        <v>24</v>
      </c>
      <c r="N102" s="4615">
        <v>35</v>
      </c>
      <c r="O102" s="4615"/>
      <c r="P102" s="4615">
        <v>85</v>
      </c>
      <c r="Q102" s="4615"/>
      <c r="R102" s="4615">
        <v>456</v>
      </c>
      <c r="S102" s="4680">
        <f t="shared" si="14"/>
        <v>0.53289473684210531</v>
      </c>
      <c r="U102" s="742"/>
      <c r="V102" s="742"/>
      <c r="W102" s="742" t="s">
        <v>114</v>
      </c>
      <c r="X102" s="743">
        <v>8739</v>
      </c>
      <c r="Y102" s="743">
        <v>5764</v>
      </c>
      <c r="Z102" s="743">
        <v>4</v>
      </c>
      <c r="AA102" s="743">
        <v>2878</v>
      </c>
      <c r="AB102" s="743">
        <v>18241</v>
      </c>
      <c r="AC102" s="743">
        <v>5144</v>
      </c>
      <c r="AD102" s="743">
        <v>4040</v>
      </c>
      <c r="AE102" s="743">
        <v>9</v>
      </c>
      <c r="AF102" s="743">
        <v>9</v>
      </c>
      <c r="AG102" s="743">
        <v>2074</v>
      </c>
      <c r="AH102" s="743">
        <v>5864</v>
      </c>
      <c r="AI102" s="743">
        <v>513</v>
      </c>
      <c r="AJ102" s="743">
        <v>10600</v>
      </c>
      <c r="AK102" s="743">
        <v>63</v>
      </c>
      <c r="AL102" s="743">
        <v>63942</v>
      </c>
      <c r="AM102" s="2586">
        <f t="shared" si="10"/>
        <v>0.46158823343749011</v>
      </c>
      <c r="AN102" s="3197"/>
      <c r="AO102" s="80"/>
      <c r="AP102" s="80"/>
      <c r="AQ102" s="80"/>
      <c r="AR102" s="80"/>
      <c r="AS102" s="80"/>
      <c r="AT102" s="80"/>
      <c r="AU102" s="80"/>
      <c r="AV102" s="80"/>
      <c r="AW102" s="80"/>
      <c r="AX102" s="80"/>
      <c r="AY102" s="80"/>
      <c r="AZ102" s="80"/>
      <c r="BA102" s="80"/>
      <c r="BB102" s="80"/>
      <c r="BC102" s="80"/>
      <c r="BD102" s="80"/>
      <c r="BE102" s="80"/>
      <c r="BF102" s="80"/>
      <c r="BG102" s="80"/>
      <c r="BH102" s="80"/>
      <c r="BI102" s="2158"/>
      <c r="BJ102" s="2158"/>
      <c r="BK102" s="2159" t="s">
        <v>114</v>
      </c>
      <c r="BL102" s="2160">
        <v>9061</v>
      </c>
      <c r="BM102" s="2160">
        <v>4973</v>
      </c>
      <c r="BN102" s="2160">
        <v>1</v>
      </c>
      <c r="BO102" s="2160">
        <v>2915</v>
      </c>
      <c r="BP102" s="2160">
        <v>19004</v>
      </c>
      <c r="BQ102" s="2160">
        <v>4020</v>
      </c>
      <c r="BR102" s="2160">
        <v>3781</v>
      </c>
      <c r="BS102" s="2160">
        <v>14</v>
      </c>
      <c r="BT102" s="2160">
        <v>11</v>
      </c>
      <c r="BU102" s="2160">
        <v>2012</v>
      </c>
      <c r="BV102" s="2160">
        <v>5179</v>
      </c>
      <c r="BW102" s="2160">
        <v>160</v>
      </c>
      <c r="BX102" s="2160">
        <v>11258</v>
      </c>
      <c r="BY102" s="2160">
        <v>91</v>
      </c>
      <c r="BZ102" s="2160">
        <v>62480</v>
      </c>
      <c r="CA102" s="2161">
        <f t="shared" si="16"/>
        <v>0.4532131321409632</v>
      </c>
      <c r="CV102" s="1513"/>
      <c r="CW102" s="1513"/>
      <c r="CX102" s="927" t="s">
        <v>1</v>
      </c>
      <c r="CY102" s="1031" t="s">
        <v>1283</v>
      </c>
      <c r="CZ102" s="1031" t="s">
        <v>1284</v>
      </c>
      <c r="DA102" s="1031" t="s">
        <v>1285</v>
      </c>
      <c r="DB102" s="1031" t="s">
        <v>1286</v>
      </c>
      <c r="DC102" s="1031" t="s">
        <v>1287</v>
      </c>
      <c r="DD102" s="1031" t="s">
        <v>1288</v>
      </c>
      <c r="DE102" s="1031" t="s">
        <v>1289</v>
      </c>
      <c r="DF102" s="1031" t="s">
        <v>1290</v>
      </c>
      <c r="DG102" s="1031" t="s">
        <v>1291</v>
      </c>
      <c r="DH102" s="1031" t="s">
        <v>1292</v>
      </c>
      <c r="DI102" s="1031" t="s">
        <v>1293</v>
      </c>
      <c r="DJ102" s="1031" t="s">
        <v>1294</v>
      </c>
      <c r="DK102" s="1031" t="s">
        <v>1295</v>
      </c>
      <c r="DL102" s="1031" t="s">
        <v>15</v>
      </c>
      <c r="DM102" s="1031" t="s">
        <v>66</v>
      </c>
      <c r="EI102" s="163"/>
      <c r="EJ102" s="163"/>
      <c r="EK102" s="80"/>
      <c r="EL102" s="80"/>
      <c r="EM102" s="80"/>
      <c r="EN102" s="80"/>
      <c r="EO102" s="80"/>
      <c r="EP102" s="80"/>
      <c r="EQ102" s="80"/>
      <c r="ER102" s="80"/>
      <c r="ES102" s="80"/>
      <c r="ET102" s="80"/>
      <c r="EU102" s="80"/>
      <c r="EV102" s="80"/>
      <c r="EW102" s="80"/>
      <c r="EX102" s="80"/>
      <c r="EY102" s="80"/>
      <c r="EZ102" s="80"/>
      <c r="FA102" s="80"/>
      <c r="FB102" s="80"/>
      <c r="FC102" s="80"/>
      <c r="FD102" s="80"/>
      <c r="FE102" s="80"/>
      <c r="FF102" s="80"/>
      <c r="FG102" s="80"/>
      <c r="FH102" s="80"/>
      <c r="FI102" s="80"/>
      <c r="FJ102" s="80"/>
      <c r="FK102" s="80"/>
      <c r="FL102" s="80"/>
      <c r="FM102" s="80"/>
      <c r="FN102" s="80"/>
      <c r="FO102" s="80"/>
      <c r="FP102" s="80"/>
      <c r="FQ102" s="80"/>
      <c r="FR102" s="80"/>
      <c r="FS102" s="80"/>
      <c r="FT102" s="80"/>
      <c r="FU102" s="80"/>
      <c r="FV102" s="80"/>
    </row>
    <row r="103" spans="1:178" ht="15.75" thickBot="1">
      <c r="A103" s="746"/>
      <c r="B103" s="746"/>
      <c r="C103" s="742" t="s">
        <v>114</v>
      </c>
      <c r="D103" s="743">
        <v>8838</v>
      </c>
      <c r="E103" s="743">
        <v>4889</v>
      </c>
      <c r="F103" s="743">
        <v>4</v>
      </c>
      <c r="G103" s="743">
        <v>115</v>
      </c>
      <c r="H103" s="743">
        <v>20220</v>
      </c>
      <c r="I103" s="743">
        <v>4444</v>
      </c>
      <c r="J103" s="743">
        <v>3965</v>
      </c>
      <c r="K103" s="743">
        <v>12</v>
      </c>
      <c r="L103" s="743">
        <v>2</v>
      </c>
      <c r="M103" s="743">
        <v>2186</v>
      </c>
      <c r="N103" s="743">
        <v>5338</v>
      </c>
      <c r="O103" s="743">
        <v>721</v>
      </c>
      <c r="P103" s="743">
        <v>11076</v>
      </c>
      <c r="Q103" s="743">
        <v>7</v>
      </c>
      <c r="R103" s="743">
        <v>61817</v>
      </c>
      <c r="S103" s="2586">
        <f t="shared" si="14"/>
        <v>0.49111951415148392</v>
      </c>
      <c r="U103"/>
      <c r="V103"/>
      <c r="W103"/>
      <c r="X103"/>
      <c r="Y103"/>
      <c r="Z103"/>
      <c r="AA103"/>
      <c r="AB103"/>
      <c r="AC103"/>
      <c r="AD103"/>
      <c r="AE103"/>
      <c r="AF103"/>
      <c r="AG103"/>
      <c r="AH103"/>
      <c r="AI103"/>
      <c r="AJ103"/>
      <c r="AK103"/>
      <c r="AL103"/>
      <c r="AM103"/>
      <c r="AN103"/>
      <c r="BI103"/>
      <c r="BJ103"/>
      <c r="BK103"/>
      <c r="BL103"/>
      <c r="BM103"/>
      <c r="BN103"/>
      <c r="BO103"/>
      <c r="BP103"/>
      <c r="BQ103"/>
      <c r="BR103"/>
      <c r="BS103"/>
      <c r="BT103"/>
      <c r="BU103"/>
      <c r="BV103"/>
      <c r="BW103"/>
      <c r="BX103"/>
      <c r="BY103"/>
      <c r="BZ103"/>
      <c r="CA103"/>
      <c r="CV103" s="1513"/>
      <c r="CW103" s="80"/>
      <c r="CX103" s="929" t="s">
        <v>4</v>
      </c>
      <c r="CY103" s="1468">
        <v>3209</v>
      </c>
      <c r="CZ103" s="1468">
        <v>1443</v>
      </c>
      <c r="DA103" s="1468">
        <v>2</v>
      </c>
      <c r="DB103" s="1468">
        <v>1500</v>
      </c>
      <c r="DC103" s="1468">
        <v>1998</v>
      </c>
      <c r="DD103" s="1468">
        <v>381</v>
      </c>
      <c r="DE103" s="1468">
        <v>1007</v>
      </c>
      <c r="DF103" s="929"/>
      <c r="DG103" s="1468">
        <v>1</v>
      </c>
      <c r="DH103" s="1468">
        <v>301</v>
      </c>
      <c r="DI103" s="1468">
        <v>271</v>
      </c>
      <c r="DJ103" s="1468">
        <v>4411</v>
      </c>
      <c r="DK103" s="1468">
        <v>18</v>
      </c>
      <c r="DL103" s="1468">
        <v>14542</v>
      </c>
      <c r="DM103" s="814">
        <f t="shared" ref="DM103:DM109" si="20">+(DI103+DD103+DC103)/DL103</f>
        <v>0.18223077981020491</v>
      </c>
      <c r="EI103" s="163"/>
      <c r="EJ103" s="163"/>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row>
    <row r="104" spans="1:178">
      <c r="V104"/>
      <c r="W104"/>
      <c r="X104"/>
      <c r="Y104"/>
      <c r="Z104"/>
      <c r="AA104"/>
      <c r="AB104"/>
      <c r="AC104"/>
      <c r="AD104"/>
      <c r="AE104"/>
      <c r="AF104"/>
      <c r="AG104"/>
      <c r="AH104"/>
      <c r="AI104"/>
      <c r="AJ104"/>
      <c r="AK104"/>
      <c r="AL104"/>
      <c r="AM104"/>
      <c r="AN104"/>
      <c r="AQ104" s="54" t="s">
        <v>1968</v>
      </c>
      <c r="BI104" s="54" t="s">
        <v>1930</v>
      </c>
      <c r="BJ104"/>
      <c r="BK104"/>
      <c r="BL104"/>
      <c r="BM104"/>
      <c r="BN104"/>
      <c r="BO104"/>
      <c r="BP104"/>
      <c r="BQ104"/>
      <c r="BR104"/>
      <c r="BS104"/>
      <c r="BT104"/>
      <c r="BU104"/>
      <c r="BV104"/>
      <c r="BW104"/>
      <c r="BX104"/>
      <c r="BY104"/>
      <c r="BZ104"/>
      <c r="CA104"/>
      <c r="CV104" s="1513"/>
      <c r="CW104" s="80"/>
      <c r="CX104" s="929" t="s">
        <v>16</v>
      </c>
      <c r="CY104" s="1468">
        <v>2622</v>
      </c>
      <c r="CZ104" s="1468">
        <v>2063</v>
      </c>
      <c r="DA104" s="1468">
        <v>2</v>
      </c>
      <c r="DB104" s="1468">
        <v>1194</v>
      </c>
      <c r="DC104" s="1468">
        <v>7771</v>
      </c>
      <c r="DD104" s="1468">
        <v>2119</v>
      </c>
      <c r="DE104" s="1468">
        <v>1516</v>
      </c>
      <c r="DF104" s="1468">
        <v>11</v>
      </c>
      <c r="DG104" s="1468">
        <v>6</v>
      </c>
      <c r="DH104" s="1468">
        <v>614</v>
      </c>
      <c r="DI104" s="1468">
        <v>1614</v>
      </c>
      <c r="DJ104" s="1468">
        <v>5148</v>
      </c>
      <c r="DK104" s="929"/>
      <c r="DL104" s="1468">
        <v>24680</v>
      </c>
      <c r="DM104" s="814">
        <f t="shared" si="20"/>
        <v>0.46612641815235006</v>
      </c>
      <c r="EI104" s="163"/>
      <c r="EJ104" s="163"/>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row>
    <row r="105" spans="1:178">
      <c r="CV105" s="1513"/>
      <c r="CW105" s="80"/>
      <c r="CX105" s="929" t="s">
        <v>41</v>
      </c>
      <c r="CY105" s="1468">
        <v>1676</v>
      </c>
      <c r="CZ105" s="1468">
        <v>667</v>
      </c>
      <c r="DA105" s="929"/>
      <c r="DB105" s="1468">
        <v>902</v>
      </c>
      <c r="DC105" s="1468">
        <v>5732</v>
      </c>
      <c r="DD105" s="1468">
        <v>1504</v>
      </c>
      <c r="DE105" s="1468">
        <v>729</v>
      </c>
      <c r="DF105" s="929"/>
      <c r="DG105" s="929"/>
      <c r="DH105" s="1468">
        <v>75</v>
      </c>
      <c r="DI105" s="1468">
        <v>1777</v>
      </c>
      <c r="DJ105" s="1468">
        <v>2954</v>
      </c>
      <c r="DK105" s="1468">
        <v>37</v>
      </c>
      <c r="DL105" s="1468">
        <v>16053</v>
      </c>
      <c r="DM105" s="814">
        <f t="shared" si="20"/>
        <v>0.56145268797109571</v>
      </c>
      <c r="EI105" s="163"/>
      <c r="EJ105" s="163"/>
      <c r="EK105" s="80"/>
      <c r="EL105" s="80"/>
      <c r="EM105" s="80"/>
      <c r="EN105" s="80"/>
      <c r="EO105" s="80"/>
      <c r="EP105" s="80"/>
      <c r="EQ105" s="80"/>
      <c r="ER105" s="80"/>
      <c r="ES105" s="80"/>
      <c r="ET105" s="80"/>
      <c r="EU105" s="80"/>
      <c r="EV105" s="80"/>
      <c r="EW105" s="80"/>
      <c r="EX105" s="80"/>
      <c r="EY105" s="80"/>
      <c r="EZ105" s="80"/>
      <c r="FA105" s="80"/>
      <c r="FB105" s="80"/>
      <c r="FC105" s="80"/>
      <c r="FD105" s="80"/>
      <c r="FE105" s="80"/>
      <c r="FF105" s="80"/>
      <c r="FG105" s="80"/>
      <c r="FH105" s="80"/>
      <c r="FI105" s="80"/>
      <c r="FJ105" s="80"/>
      <c r="FK105" s="80"/>
      <c r="FL105" s="80"/>
      <c r="FM105" s="80"/>
      <c r="FN105" s="80"/>
      <c r="FO105" s="80"/>
      <c r="FP105" s="80"/>
      <c r="FQ105" s="80"/>
      <c r="FR105" s="80"/>
      <c r="FS105" s="80"/>
      <c r="FT105" s="80"/>
      <c r="FU105" s="80"/>
      <c r="FV105" s="80"/>
    </row>
    <row r="106" spans="1:178">
      <c r="CV106" s="1513"/>
      <c r="CW106" s="80"/>
      <c r="CX106" s="929" t="s">
        <v>21</v>
      </c>
      <c r="CY106" s="1468">
        <v>998</v>
      </c>
      <c r="CZ106" s="1468">
        <v>635</v>
      </c>
      <c r="DA106" s="929"/>
      <c r="DB106" s="1468">
        <v>495</v>
      </c>
      <c r="DC106" s="1468">
        <v>2710</v>
      </c>
      <c r="DD106" s="1468">
        <v>882</v>
      </c>
      <c r="DE106" s="1468">
        <v>614</v>
      </c>
      <c r="DF106" s="929"/>
      <c r="DG106" s="929"/>
      <c r="DH106" s="1468">
        <v>138</v>
      </c>
      <c r="DI106" s="1468">
        <v>842</v>
      </c>
      <c r="DJ106" s="1468">
        <v>1601</v>
      </c>
      <c r="DK106" s="1468">
        <v>106</v>
      </c>
      <c r="DL106" s="1468">
        <v>9021</v>
      </c>
      <c r="DM106" s="814">
        <f t="shared" si="20"/>
        <v>0.49151978716328565</v>
      </c>
      <c r="EI106" s="163"/>
      <c r="EJ106" s="163"/>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row>
    <row r="107" spans="1:178">
      <c r="CV107" s="1513"/>
      <c r="CW107" s="80"/>
      <c r="CX107" s="929" t="s">
        <v>61</v>
      </c>
      <c r="CY107" s="1468">
        <v>101</v>
      </c>
      <c r="CZ107" s="1468">
        <v>61</v>
      </c>
      <c r="DA107" s="929"/>
      <c r="DB107" s="1468">
        <v>24</v>
      </c>
      <c r="DC107" s="1468">
        <v>81</v>
      </c>
      <c r="DD107" s="1468">
        <v>19</v>
      </c>
      <c r="DE107" s="1468">
        <v>11</v>
      </c>
      <c r="DF107" s="1468">
        <v>4</v>
      </c>
      <c r="DG107" s="929"/>
      <c r="DH107" s="1468">
        <v>19</v>
      </c>
      <c r="DI107" s="1468">
        <v>30</v>
      </c>
      <c r="DJ107" s="1468">
        <v>91</v>
      </c>
      <c r="DK107" s="929"/>
      <c r="DL107" s="1468">
        <v>441</v>
      </c>
      <c r="DM107" s="814">
        <f t="shared" si="20"/>
        <v>0.29478458049886619</v>
      </c>
      <c r="EI107" s="163"/>
      <c r="EJ107" s="163"/>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row>
    <row r="108" spans="1:178">
      <c r="CV108" s="1513"/>
      <c r="CW108" s="80"/>
      <c r="CX108" s="929" t="s">
        <v>64</v>
      </c>
      <c r="CY108" s="1468">
        <v>87</v>
      </c>
      <c r="CZ108" s="1468">
        <v>30</v>
      </c>
      <c r="DA108" s="929"/>
      <c r="DB108" s="1468">
        <v>20</v>
      </c>
      <c r="DC108" s="1468">
        <v>47</v>
      </c>
      <c r="DD108" s="1468">
        <v>9</v>
      </c>
      <c r="DE108" s="1468">
        <v>15</v>
      </c>
      <c r="DF108" s="1468">
        <v>1</v>
      </c>
      <c r="DG108" s="929"/>
      <c r="DH108" s="1468">
        <v>11</v>
      </c>
      <c r="DI108" s="1468">
        <v>9</v>
      </c>
      <c r="DJ108" s="1468">
        <v>88</v>
      </c>
      <c r="DK108" s="929"/>
      <c r="DL108" s="1468">
        <v>317</v>
      </c>
      <c r="DM108" s="814">
        <f t="shared" si="20"/>
        <v>0.20504731861198738</v>
      </c>
      <c r="EI108" s="163"/>
      <c r="EJ108" s="163"/>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row>
    <row r="109" spans="1:178" ht="15.75" thickBot="1">
      <c r="CV109" s="1513"/>
      <c r="CW109" s="1513"/>
      <c r="CX109" s="927" t="s">
        <v>114</v>
      </c>
      <c r="CY109" s="1510">
        <v>8693</v>
      </c>
      <c r="CZ109" s="1510">
        <v>4899</v>
      </c>
      <c r="DA109" s="1510">
        <v>4</v>
      </c>
      <c r="DB109" s="1510">
        <v>4135</v>
      </c>
      <c r="DC109" s="1510">
        <v>18339</v>
      </c>
      <c r="DD109" s="1510">
        <v>4914</v>
      </c>
      <c r="DE109" s="1510">
        <v>3892</v>
      </c>
      <c r="DF109" s="1510">
        <v>16</v>
      </c>
      <c r="DG109" s="1510">
        <v>7</v>
      </c>
      <c r="DH109" s="1510">
        <v>1158</v>
      </c>
      <c r="DI109" s="1510">
        <v>4543</v>
      </c>
      <c r="DJ109" s="1510">
        <v>14293</v>
      </c>
      <c r="DK109" s="1510">
        <v>161</v>
      </c>
      <c r="DL109" s="1510">
        <v>65054</v>
      </c>
      <c r="DM109" s="852">
        <f t="shared" si="20"/>
        <v>0.42727580164171303</v>
      </c>
      <c r="EI109" s="163"/>
      <c r="EJ109" s="163"/>
      <c r="EK109" s="80"/>
      <c r="EL109" s="80"/>
      <c r="EM109" s="80"/>
      <c r="EN109" s="80"/>
      <c r="EO109" s="80"/>
      <c r="EP109" s="80"/>
      <c r="EQ109" s="80"/>
      <c r="ER109" s="80"/>
      <c r="ES109" s="80"/>
      <c r="ET109" s="80"/>
      <c r="EU109" s="80"/>
      <c r="EV109" s="80"/>
      <c r="EW109" s="80"/>
      <c r="EX109" s="80"/>
      <c r="EY109" s="80"/>
      <c r="EZ109" s="80"/>
      <c r="FA109" s="80"/>
      <c r="FB109" s="80"/>
      <c r="FC109" s="80"/>
      <c r="FD109" s="80"/>
      <c r="FE109" s="80"/>
      <c r="FF109" s="80"/>
      <c r="FG109" s="80"/>
      <c r="FH109" s="80"/>
      <c r="FI109" s="80"/>
      <c r="FJ109" s="80"/>
      <c r="FK109" s="80"/>
      <c r="FL109" s="80"/>
      <c r="FM109" s="80"/>
      <c r="FN109" s="80"/>
      <c r="FO109" s="80"/>
      <c r="FP109" s="80"/>
      <c r="FQ109" s="80"/>
      <c r="FR109" s="80"/>
      <c r="FS109" s="80"/>
      <c r="FT109" s="80"/>
      <c r="FU109" s="80"/>
      <c r="FV109" s="80"/>
    </row>
    <row r="110" spans="1:178">
      <c r="EI110" s="163"/>
      <c r="EJ110" s="163"/>
      <c r="EK110" s="80"/>
      <c r="EL110" s="80"/>
      <c r="EM110" s="80"/>
      <c r="EN110" s="80"/>
      <c r="EO110" s="80"/>
      <c r="EP110" s="80"/>
      <c r="EQ110" s="80"/>
      <c r="ER110" s="80"/>
      <c r="ES110" s="80"/>
      <c r="ET110" s="80"/>
      <c r="EU110" s="80"/>
      <c r="EV110" s="80"/>
      <c r="EW110" s="80"/>
      <c r="EX110" s="80"/>
      <c r="EY110" s="80"/>
      <c r="EZ110" s="80"/>
      <c r="FA110" s="80"/>
      <c r="FB110" s="80"/>
      <c r="FC110" s="80"/>
      <c r="FD110" s="80"/>
      <c r="FE110" s="80"/>
      <c r="FF110" s="80"/>
      <c r="FG110" s="80"/>
      <c r="FH110" s="80"/>
      <c r="FI110" s="80"/>
      <c r="FJ110" s="80"/>
      <c r="FK110" s="80"/>
      <c r="FL110" s="80"/>
      <c r="FM110" s="80"/>
      <c r="FN110" s="80"/>
      <c r="FO110" s="80"/>
      <c r="FP110" s="80"/>
      <c r="FQ110" s="80"/>
      <c r="FR110" s="80"/>
      <c r="FS110" s="80"/>
      <c r="FT110" s="80"/>
      <c r="FU110" s="80"/>
      <c r="FV110" s="80"/>
    </row>
    <row r="111" spans="1:178">
      <c r="EI111" s="163"/>
      <c r="EJ111" s="163"/>
      <c r="EK111" s="80"/>
      <c r="EL111" s="80"/>
      <c r="EM111" s="80"/>
      <c r="EN111" s="80"/>
      <c r="EO111" s="80"/>
      <c r="EP111" s="80"/>
      <c r="EQ111" s="80"/>
      <c r="ER111" s="80"/>
      <c r="ES111" s="80"/>
      <c r="ET111" s="80"/>
      <c r="EU111" s="80"/>
      <c r="EV111" s="80"/>
      <c r="EW111" s="80"/>
      <c r="EX111" s="80"/>
      <c r="EY111" s="80"/>
      <c r="EZ111" s="80"/>
      <c r="FA111" s="80"/>
      <c r="FB111" s="80"/>
      <c r="FC111" s="80"/>
      <c r="FD111" s="80"/>
      <c r="FE111" s="80"/>
      <c r="FF111" s="80"/>
      <c r="FG111" s="80"/>
      <c r="FH111" s="80"/>
      <c r="FI111" s="80"/>
      <c r="FJ111" s="80"/>
      <c r="FK111" s="80"/>
      <c r="FL111" s="80"/>
      <c r="FM111" s="80"/>
      <c r="FN111" s="80"/>
      <c r="FO111" s="80"/>
      <c r="FP111" s="80"/>
      <c r="FQ111" s="80"/>
      <c r="FR111" s="80"/>
      <c r="FS111" s="80"/>
      <c r="FT111" s="80"/>
      <c r="FU111" s="80"/>
      <c r="FV111" s="80"/>
    </row>
    <row r="112" spans="1:178">
      <c r="EI112" s="163"/>
      <c r="EJ112" s="163"/>
      <c r="EK112" s="80"/>
      <c r="EL112" s="80"/>
      <c r="EM112" s="80"/>
      <c r="EN112" s="80"/>
      <c r="EO112" s="80"/>
      <c r="EP112" s="80"/>
      <c r="EQ112" s="80"/>
      <c r="ER112" s="80"/>
      <c r="ES112" s="80"/>
      <c r="ET112" s="80"/>
      <c r="EU112" s="80"/>
      <c r="EV112" s="80"/>
      <c r="EW112" s="80"/>
      <c r="EX112" s="80"/>
      <c r="EY112" s="80"/>
      <c r="EZ112" s="80"/>
      <c r="FA112" s="80"/>
      <c r="FB112" s="80"/>
      <c r="FC112" s="80"/>
      <c r="FD112" s="80"/>
      <c r="FE112" s="80"/>
      <c r="FF112" s="80"/>
      <c r="FG112" s="80"/>
      <c r="FH112" s="80"/>
      <c r="FI112" s="80"/>
      <c r="FJ112" s="80"/>
      <c r="FK112" s="80"/>
      <c r="FL112" s="80"/>
      <c r="FM112" s="80"/>
      <c r="FN112" s="80"/>
      <c r="FO112" s="80"/>
      <c r="FP112" s="80"/>
      <c r="FQ112" s="80"/>
      <c r="FR112" s="80"/>
      <c r="FS112" s="80"/>
      <c r="FT112" s="80"/>
      <c r="FU112" s="80"/>
      <c r="FV112" s="80"/>
    </row>
    <row r="113" spans="139:178">
      <c r="EI113" s="163"/>
      <c r="EJ113" s="163"/>
      <c r="EK113" s="80"/>
      <c r="EL113" s="80"/>
      <c r="EM113" s="80"/>
      <c r="EN113" s="80"/>
      <c r="EO113" s="80"/>
      <c r="EP113" s="80"/>
      <c r="EQ113" s="80"/>
      <c r="ER113" s="80"/>
      <c r="ES113" s="80"/>
      <c r="ET113" s="80"/>
      <c r="EU113" s="80"/>
      <c r="EV113" s="80"/>
      <c r="EW113" s="80"/>
      <c r="EX113" s="80"/>
      <c r="EY113" s="80"/>
      <c r="EZ113" s="80"/>
      <c r="FA113" s="80"/>
      <c r="FB113" s="80"/>
      <c r="FC113" s="80"/>
      <c r="FD113" s="80"/>
      <c r="FE113" s="80"/>
      <c r="FF113" s="80"/>
      <c r="FG113" s="80"/>
      <c r="FH113" s="80"/>
      <c r="FI113" s="80"/>
      <c r="FJ113" s="80"/>
      <c r="FK113" s="80"/>
      <c r="FL113" s="80"/>
      <c r="FM113" s="80"/>
      <c r="FN113" s="80"/>
      <c r="FO113" s="80"/>
      <c r="FP113" s="80"/>
      <c r="FQ113" s="80"/>
      <c r="FR113" s="80"/>
      <c r="FS113" s="80"/>
      <c r="FT113" s="80"/>
      <c r="FU113" s="80"/>
      <c r="FV113" s="80"/>
    </row>
    <row r="114" spans="139:178">
      <c r="EI114" s="163"/>
      <c r="EJ114" s="163"/>
      <c r="EK114" s="80"/>
      <c r="EL114" s="80"/>
      <c r="EM114" s="80"/>
      <c r="EN114" s="80"/>
      <c r="EO114" s="80"/>
      <c r="EP114" s="80"/>
      <c r="EQ114" s="80"/>
      <c r="ER114" s="80"/>
      <c r="ES114" s="80"/>
      <c r="ET114" s="80"/>
      <c r="EU114" s="80"/>
      <c r="EV114" s="80"/>
      <c r="EW114" s="80"/>
      <c r="EX114" s="80"/>
      <c r="EY114" s="80"/>
      <c r="EZ114" s="80"/>
      <c r="FA114" s="80"/>
      <c r="FB114" s="80"/>
      <c r="FC114" s="80"/>
      <c r="FD114" s="80"/>
      <c r="FE114" s="80"/>
      <c r="FF114" s="80"/>
      <c r="FG114" s="80"/>
      <c r="FH114" s="80"/>
      <c r="FI114" s="80"/>
      <c r="FJ114" s="80"/>
      <c r="FK114" s="80"/>
      <c r="FL114" s="80"/>
      <c r="FM114" s="80"/>
      <c r="FN114" s="80"/>
      <c r="FO114" s="80"/>
      <c r="FP114" s="80"/>
      <c r="FQ114" s="80"/>
      <c r="FR114" s="80"/>
      <c r="FS114" s="80"/>
      <c r="FT114" s="80"/>
      <c r="FU114" s="80"/>
      <c r="FV114" s="80"/>
    </row>
    <row r="115" spans="139:178">
      <c r="EI115" s="163"/>
      <c r="EJ115" s="163"/>
      <c r="EK115" s="80"/>
      <c r="EL115" s="80"/>
      <c r="EM115" s="80"/>
      <c r="EN115" s="80"/>
      <c r="EO115" s="80"/>
      <c r="EP115" s="80"/>
      <c r="EQ115" s="80"/>
      <c r="ER115" s="80"/>
      <c r="ES115" s="80"/>
      <c r="ET115" s="80"/>
      <c r="EU115" s="80"/>
      <c r="EV115" s="80"/>
      <c r="EW115" s="80"/>
      <c r="EX115" s="80"/>
      <c r="EY115" s="80"/>
      <c r="EZ115" s="80"/>
      <c r="FA115" s="80"/>
      <c r="FB115" s="80"/>
      <c r="FC115" s="80"/>
      <c r="FD115" s="80"/>
      <c r="FE115" s="80"/>
      <c r="FF115" s="80"/>
      <c r="FG115" s="80"/>
      <c r="FH115" s="80"/>
      <c r="FI115" s="80"/>
      <c r="FJ115" s="80"/>
      <c r="FK115" s="80"/>
      <c r="FL115" s="80"/>
      <c r="FM115" s="80"/>
      <c r="FN115" s="80"/>
      <c r="FO115" s="80"/>
      <c r="FP115" s="80"/>
      <c r="FQ115" s="80"/>
      <c r="FR115" s="80"/>
      <c r="FS115" s="80"/>
      <c r="FT115" s="80"/>
      <c r="FU115" s="80"/>
      <c r="FV115" s="80"/>
    </row>
    <row r="116" spans="139:178">
      <c r="EI116" s="163"/>
      <c r="EJ116" s="163"/>
      <c r="EK116" s="80"/>
      <c r="EL116" s="80"/>
      <c r="EM116" s="80"/>
      <c r="EN116" s="80"/>
      <c r="EO116" s="80"/>
      <c r="EP116" s="80"/>
      <c r="EQ116" s="80"/>
      <c r="ER116" s="80"/>
      <c r="ES116" s="80"/>
      <c r="ET116" s="80"/>
      <c r="EU116" s="80"/>
      <c r="EV116" s="80"/>
      <c r="EW116" s="80"/>
      <c r="EX116" s="80"/>
      <c r="EY116" s="80"/>
      <c r="EZ116" s="80"/>
      <c r="FA116" s="80"/>
      <c r="FB116" s="80"/>
      <c r="FC116" s="80"/>
      <c r="FD116" s="80"/>
      <c r="FE116" s="80"/>
      <c r="FF116" s="80"/>
      <c r="FG116" s="80"/>
      <c r="FH116" s="80"/>
      <c r="FI116" s="80"/>
      <c r="FJ116" s="80"/>
      <c r="FK116" s="80"/>
      <c r="FL116" s="80"/>
      <c r="FM116" s="80"/>
      <c r="FN116" s="80"/>
      <c r="FO116" s="80"/>
      <c r="FP116" s="80"/>
      <c r="FQ116" s="80"/>
      <c r="FR116" s="80"/>
      <c r="FS116" s="80"/>
      <c r="FT116" s="80"/>
      <c r="FU116" s="80"/>
      <c r="FV116" s="80"/>
    </row>
    <row r="117" spans="139:178">
      <c r="EI117" s="163"/>
      <c r="EJ117" s="163"/>
      <c r="EK117" s="80"/>
      <c r="EL117" s="80"/>
      <c r="EM117" s="80"/>
      <c r="EN117" s="80"/>
      <c r="EO117" s="80"/>
      <c r="EP117" s="80"/>
      <c r="EQ117" s="80"/>
      <c r="ER117" s="80"/>
      <c r="ES117" s="80"/>
      <c r="ET117" s="80"/>
      <c r="EU117" s="80"/>
      <c r="EV117" s="80"/>
      <c r="EW117" s="80"/>
      <c r="EX117" s="80"/>
      <c r="EY117" s="80"/>
      <c r="EZ117" s="80"/>
      <c r="FA117" s="80"/>
      <c r="FB117" s="80"/>
      <c r="FC117" s="80"/>
      <c r="FD117" s="80"/>
      <c r="FE117" s="80"/>
      <c r="FF117" s="80"/>
      <c r="FG117" s="80"/>
      <c r="FH117" s="80"/>
      <c r="FI117" s="80"/>
      <c r="FJ117" s="80"/>
      <c r="FK117" s="80"/>
      <c r="FL117" s="80"/>
      <c r="FM117" s="80"/>
      <c r="FN117" s="80"/>
      <c r="FO117" s="80"/>
      <c r="FP117" s="80"/>
      <c r="FQ117" s="80"/>
      <c r="FR117" s="80"/>
      <c r="FS117" s="80"/>
      <c r="FT117" s="80"/>
      <c r="FU117" s="80"/>
      <c r="FV117" s="80"/>
    </row>
    <row r="118" spans="139:178">
      <c r="EI118" s="163"/>
      <c r="EJ118" s="163"/>
      <c r="EK118" s="80"/>
      <c r="EL118" s="80"/>
      <c r="EM118" s="80"/>
      <c r="EN118" s="80"/>
      <c r="EO118" s="80"/>
      <c r="EP118" s="80"/>
      <c r="EQ118" s="80"/>
      <c r="ER118" s="80"/>
      <c r="ES118" s="80"/>
      <c r="ET118" s="80"/>
      <c r="EU118" s="80"/>
      <c r="EV118" s="80"/>
      <c r="EW118" s="80"/>
      <c r="EX118" s="80"/>
      <c r="EY118" s="80"/>
      <c r="EZ118" s="80"/>
      <c r="FA118" s="80"/>
      <c r="FB118" s="80"/>
      <c r="FC118" s="80"/>
      <c r="FD118" s="80"/>
      <c r="FE118" s="80"/>
      <c r="FF118" s="80"/>
      <c r="FG118" s="80"/>
      <c r="FH118" s="80"/>
      <c r="FI118" s="80"/>
      <c r="FJ118" s="80"/>
      <c r="FK118" s="80"/>
      <c r="FL118" s="80"/>
      <c r="FM118" s="80"/>
      <c r="FN118" s="80"/>
      <c r="FO118" s="80"/>
      <c r="FP118" s="80"/>
      <c r="FQ118" s="80"/>
      <c r="FR118" s="80"/>
      <c r="FS118" s="80"/>
      <c r="FT118" s="80"/>
      <c r="FU118" s="80"/>
      <c r="FV118" s="80"/>
    </row>
    <row r="119" spans="139:178">
      <c r="EI119" s="163"/>
      <c r="EJ119" s="163"/>
      <c r="EK119" s="8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c r="FL119" s="80"/>
      <c r="FM119" s="80"/>
      <c r="FN119" s="80"/>
      <c r="FO119" s="80"/>
      <c r="FP119" s="80"/>
      <c r="FQ119" s="80"/>
      <c r="FR119" s="80"/>
      <c r="FS119" s="80"/>
      <c r="FT119" s="80"/>
      <c r="FU119" s="80"/>
      <c r="FV119" s="80"/>
    </row>
    <row r="120" spans="139:178">
      <c r="EI120" s="163"/>
      <c r="EJ120" s="163"/>
      <c r="EK120" s="80"/>
      <c r="EL120" s="80"/>
      <c r="EM120" s="80"/>
      <c r="EN120" s="80"/>
      <c r="EO120" s="80"/>
      <c r="EP120" s="80"/>
      <c r="EQ120" s="80"/>
      <c r="ER120" s="80"/>
      <c r="ES120" s="80"/>
      <c r="ET120" s="80"/>
      <c r="EU120" s="80"/>
      <c r="EV120" s="80"/>
      <c r="EW120" s="80"/>
      <c r="EX120" s="80"/>
      <c r="EY120" s="80"/>
      <c r="EZ120" s="80"/>
      <c r="FA120" s="80"/>
      <c r="FB120" s="80"/>
      <c r="FC120" s="80"/>
      <c r="FD120" s="80"/>
      <c r="FE120" s="80"/>
      <c r="FF120" s="80"/>
      <c r="FG120" s="80"/>
      <c r="FH120" s="80"/>
      <c r="FI120" s="80"/>
      <c r="FJ120" s="80"/>
      <c r="FK120" s="80"/>
      <c r="FL120" s="80"/>
      <c r="FM120" s="80"/>
      <c r="FN120" s="80"/>
      <c r="FO120" s="80"/>
      <c r="FP120" s="80"/>
      <c r="FQ120" s="80"/>
      <c r="FR120" s="80"/>
      <c r="FS120" s="80"/>
      <c r="FT120" s="80"/>
      <c r="FU120" s="80"/>
      <c r="FV120" s="80"/>
    </row>
    <row r="121" spans="139:178">
      <c r="EI121" s="163"/>
      <c r="EJ121" s="163"/>
      <c r="EK121" s="80"/>
      <c r="EL121" s="80"/>
      <c r="EM121" s="80"/>
      <c r="EN121" s="80"/>
      <c r="EO121" s="80"/>
      <c r="EP121" s="80"/>
      <c r="EQ121" s="80"/>
      <c r="ER121" s="80"/>
      <c r="ES121" s="80"/>
      <c r="ET121" s="80"/>
      <c r="EU121" s="80"/>
      <c r="EV121" s="80"/>
      <c r="EW121" s="80"/>
      <c r="EX121" s="80"/>
      <c r="EY121" s="80"/>
      <c r="EZ121" s="80"/>
      <c r="FA121" s="80"/>
      <c r="FB121" s="80"/>
      <c r="FC121" s="80"/>
      <c r="FD121" s="80"/>
      <c r="FE121" s="80"/>
      <c r="FF121" s="80"/>
      <c r="FG121" s="80"/>
      <c r="FH121" s="80"/>
      <c r="FI121" s="80"/>
      <c r="FJ121" s="80"/>
      <c r="FK121" s="80"/>
      <c r="FL121" s="80"/>
      <c r="FM121" s="80"/>
      <c r="FN121" s="80"/>
      <c r="FO121" s="80"/>
      <c r="FP121" s="80"/>
      <c r="FQ121" s="80"/>
      <c r="FR121" s="80"/>
      <c r="FS121" s="80"/>
      <c r="FT121" s="80"/>
      <c r="FU121" s="80"/>
      <c r="FV121" s="80"/>
    </row>
    <row r="122" spans="139:178">
      <c r="EI122" s="163"/>
      <c r="EJ122" s="163"/>
      <c r="EK122" s="80"/>
      <c r="EL122" s="80"/>
      <c r="EM122" s="80"/>
      <c r="EN122" s="80"/>
      <c r="EO122" s="80"/>
      <c r="EP122" s="80"/>
      <c r="EQ122" s="80"/>
      <c r="ER122" s="80"/>
      <c r="ES122" s="80"/>
      <c r="ET122" s="80"/>
      <c r="EU122" s="80"/>
      <c r="EV122" s="80"/>
      <c r="EW122" s="80"/>
      <c r="EX122" s="80"/>
      <c r="EY122" s="80"/>
      <c r="EZ122" s="80"/>
      <c r="FA122" s="80"/>
      <c r="FB122" s="80"/>
      <c r="FC122" s="80"/>
      <c r="FD122" s="80"/>
      <c r="FE122" s="80"/>
      <c r="FF122" s="80"/>
      <c r="FG122" s="80"/>
      <c r="FH122" s="80"/>
      <c r="FI122" s="80"/>
      <c r="FJ122" s="80"/>
      <c r="FK122" s="80"/>
      <c r="FL122" s="80"/>
      <c r="FM122" s="80"/>
      <c r="FN122" s="80"/>
      <c r="FO122" s="80"/>
      <c r="FP122" s="80"/>
      <c r="FQ122" s="80"/>
      <c r="FR122" s="80"/>
      <c r="FS122" s="80"/>
      <c r="FT122" s="80"/>
      <c r="FU122" s="80"/>
      <c r="FV122" s="80"/>
    </row>
    <row r="123" spans="139:178">
      <c r="EI123" s="163"/>
      <c r="EJ123" s="163"/>
      <c r="EK123" s="80"/>
      <c r="EL123" s="80"/>
      <c r="EM123" s="80"/>
      <c r="EN123" s="80"/>
      <c r="EO123" s="80"/>
      <c r="EP123" s="80"/>
      <c r="EQ123" s="80"/>
      <c r="ER123" s="80"/>
      <c r="ES123" s="80"/>
      <c r="ET123" s="80"/>
      <c r="EU123" s="80"/>
      <c r="EV123" s="80"/>
      <c r="EW123" s="80"/>
      <c r="EX123" s="80"/>
      <c r="EY123" s="80"/>
      <c r="EZ123" s="80"/>
      <c r="FA123" s="80"/>
      <c r="FB123" s="80"/>
      <c r="FC123" s="80"/>
      <c r="FD123" s="80"/>
      <c r="FE123" s="80"/>
      <c r="FF123" s="80"/>
      <c r="FG123" s="80"/>
      <c r="FH123" s="80"/>
      <c r="FI123" s="80"/>
      <c r="FJ123" s="80"/>
      <c r="FK123" s="80"/>
      <c r="FL123" s="80"/>
      <c r="FM123" s="80"/>
      <c r="FN123" s="80"/>
      <c r="FO123" s="80"/>
      <c r="FP123" s="80"/>
      <c r="FQ123" s="80"/>
      <c r="FR123" s="80"/>
      <c r="FS123" s="80"/>
      <c r="FT123" s="80"/>
      <c r="FU123" s="80"/>
      <c r="FV123" s="80"/>
    </row>
    <row r="124" spans="139:178">
      <c r="EI124" s="163"/>
      <c r="EJ124" s="163"/>
      <c r="EK124" s="80"/>
      <c r="EL124" s="80"/>
      <c r="EM124" s="80"/>
      <c r="EN124" s="80"/>
      <c r="EO124" s="80"/>
      <c r="EP124" s="80"/>
      <c r="EQ124" s="80"/>
      <c r="ER124" s="80"/>
      <c r="ES124" s="80"/>
      <c r="ET124" s="80"/>
      <c r="EU124" s="80"/>
      <c r="EV124" s="80"/>
      <c r="EW124" s="80"/>
      <c r="EX124" s="80"/>
      <c r="EY124" s="80"/>
      <c r="EZ124" s="80"/>
      <c r="FA124" s="80"/>
      <c r="FB124" s="80"/>
      <c r="FC124" s="80"/>
      <c r="FD124" s="80"/>
      <c r="FE124" s="80"/>
      <c r="FF124" s="80"/>
      <c r="FG124" s="80"/>
      <c r="FH124" s="80"/>
      <c r="FI124" s="80"/>
      <c r="FJ124" s="80"/>
      <c r="FK124" s="80"/>
      <c r="FL124" s="80"/>
      <c r="FM124" s="80"/>
      <c r="FN124" s="80"/>
      <c r="FO124" s="80"/>
      <c r="FP124" s="80"/>
      <c r="FQ124" s="80"/>
      <c r="FR124" s="80"/>
      <c r="FS124" s="80"/>
      <c r="FT124" s="80"/>
      <c r="FU124" s="80"/>
      <c r="FV124" s="80"/>
    </row>
    <row r="125" spans="139:178">
      <c r="EI125" s="163"/>
      <c r="EJ125" s="163"/>
      <c r="EK125" s="80"/>
      <c r="EL125" s="80"/>
      <c r="EM125" s="80"/>
      <c r="EN125" s="80"/>
      <c r="EO125" s="80"/>
      <c r="EP125" s="80"/>
      <c r="EQ125" s="80"/>
      <c r="ER125" s="80"/>
      <c r="ES125" s="80"/>
      <c r="ET125" s="80"/>
      <c r="EU125" s="80"/>
      <c r="EV125" s="80"/>
      <c r="EW125" s="80"/>
      <c r="EX125" s="80"/>
      <c r="EY125" s="80"/>
      <c r="EZ125" s="80"/>
      <c r="FA125" s="80"/>
      <c r="FB125" s="80"/>
      <c r="FC125" s="80"/>
      <c r="FD125" s="80"/>
      <c r="FE125" s="80"/>
      <c r="FF125" s="80"/>
      <c r="FG125" s="80"/>
      <c r="FH125" s="80"/>
      <c r="FI125" s="80"/>
      <c r="FJ125" s="80"/>
      <c r="FK125" s="80"/>
      <c r="FL125" s="80"/>
      <c r="FM125" s="80"/>
      <c r="FN125" s="80"/>
      <c r="FO125" s="80"/>
      <c r="FP125" s="80"/>
      <c r="FQ125" s="80"/>
      <c r="FR125" s="80"/>
      <c r="FS125" s="80"/>
      <c r="FT125" s="80"/>
      <c r="FU125" s="80"/>
      <c r="FV125" s="80"/>
    </row>
    <row r="126" spans="139:178">
      <c r="EI126" s="163"/>
      <c r="EJ126" s="163"/>
      <c r="EK126" s="80"/>
      <c r="EL126" s="80"/>
      <c r="EM126" s="80"/>
      <c r="EN126" s="80"/>
      <c r="EO126" s="80"/>
      <c r="EP126" s="80"/>
      <c r="EQ126" s="80"/>
      <c r="ER126" s="80"/>
      <c r="ES126" s="80"/>
      <c r="ET126" s="80"/>
      <c r="EU126" s="80"/>
      <c r="EV126" s="80"/>
      <c r="EW126" s="80"/>
      <c r="EX126" s="80"/>
      <c r="EY126" s="80"/>
      <c r="EZ126" s="80"/>
      <c r="FA126" s="80"/>
      <c r="FB126" s="80"/>
      <c r="FC126" s="80"/>
      <c r="FD126" s="80"/>
      <c r="FE126" s="80"/>
      <c r="FF126" s="80"/>
      <c r="FG126" s="80"/>
      <c r="FH126" s="80"/>
      <c r="FI126" s="80"/>
      <c r="FJ126" s="80"/>
      <c r="FK126" s="80"/>
      <c r="FL126" s="80"/>
      <c r="FM126" s="80"/>
      <c r="FN126" s="80"/>
      <c r="FO126" s="80"/>
      <c r="FP126" s="80"/>
      <c r="FQ126" s="80"/>
      <c r="FR126" s="80"/>
      <c r="FS126" s="80"/>
      <c r="FT126" s="80"/>
      <c r="FU126" s="80"/>
      <c r="FV126" s="80"/>
    </row>
    <row r="127" spans="139:178">
      <c r="EI127" s="163"/>
      <c r="EJ127" s="163"/>
      <c r="EK127" s="80"/>
      <c r="EL127" s="80"/>
      <c r="EM127" s="80"/>
      <c r="EN127" s="80"/>
      <c r="EO127" s="80"/>
      <c r="EP127" s="80"/>
      <c r="EQ127" s="80"/>
      <c r="ER127" s="80"/>
      <c r="ES127" s="80"/>
      <c r="ET127" s="80"/>
      <c r="EU127" s="80"/>
      <c r="EV127" s="80"/>
      <c r="EW127" s="80"/>
      <c r="EX127" s="80"/>
      <c r="EY127" s="80"/>
      <c r="EZ127" s="80"/>
      <c r="FA127" s="80"/>
      <c r="FB127" s="80"/>
      <c r="FC127" s="80"/>
      <c r="FD127" s="80"/>
      <c r="FE127" s="80"/>
      <c r="FF127" s="80"/>
      <c r="FG127" s="80"/>
      <c r="FH127" s="80"/>
      <c r="FI127" s="80"/>
      <c r="FJ127" s="80"/>
      <c r="FK127" s="80"/>
      <c r="FL127" s="80"/>
      <c r="FM127" s="80"/>
      <c r="FN127" s="80"/>
      <c r="FO127" s="80"/>
      <c r="FP127" s="80"/>
      <c r="FQ127" s="80"/>
      <c r="FR127" s="80"/>
      <c r="FS127" s="80"/>
      <c r="FT127" s="80"/>
      <c r="FU127" s="80"/>
      <c r="FV127" s="80"/>
    </row>
    <row r="128" spans="139:178">
      <c r="EI128" s="163"/>
      <c r="EJ128" s="163"/>
      <c r="EK128" s="80"/>
      <c r="EL128" s="80"/>
      <c r="EM128" s="80"/>
      <c r="EN128" s="80"/>
      <c r="EO128" s="80"/>
      <c r="EP128" s="80"/>
      <c r="EQ128" s="80"/>
      <c r="ER128" s="80"/>
      <c r="ES128" s="80"/>
      <c r="ET128" s="80"/>
      <c r="EU128" s="80"/>
      <c r="EV128" s="80"/>
      <c r="EW128" s="80"/>
      <c r="EX128" s="80"/>
      <c r="EY128" s="80"/>
      <c r="EZ128" s="80"/>
      <c r="FA128" s="80"/>
      <c r="FB128" s="80"/>
      <c r="FC128" s="80"/>
      <c r="FD128" s="80"/>
      <c r="FE128" s="80"/>
      <c r="FF128" s="80"/>
      <c r="FG128" s="80"/>
      <c r="FH128" s="80"/>
      <c r="FI128" s="80"/>
      <c r="FJ128" s="80"/>
      <c r="FK128" s="80"/>
      <c r="FL128" s="80"/>
      <c r="FM128" s="80"/>
      <c r="FN128" s="80"/>
      <c r="FO128" s="80"/>
      <c r="FP128" s="80"/>
      <c r="FQ128" s="80"/>
      <c r="FR128" s="80"/>
      <c r="FS128" s="80"/>
      <c r="FT128" s="80"/>
      <c r="FU128" s="80"/>
      <c r="FV128" s="80"/>
    </row>
    <row r="129" spans="139:178">
      <c r="EI129" s="163"/>
      <c r="EJ129" s="163"/>
      <c r="EK129" s="80"/>
      <c r="EL129" s="80"/>
      <c r="EM129" s="80"/>
      <c r="EN129" s="80"/>
      <c r="EO129" s="80"/>
      <c r="EP129" s="80"/>
      <c r="EQ129" s="80"/>
      <c r="ER129" s="80"/>
      <c r="ES129" s="80"/>
      <c r="ET129" s="80"/>
      <c r="EU129" s="80"/>
      <c r="EV129" s="80"/>
      <c r="EW129" s="80"/>
      <c r="EX129" s="80"/>
      <c r="EY129" s="80"/>
      <c r="EZ129" s="80"/>
      <c r="FA129" s="80"/>
      <c r="FB129" s="80"/>
      <c r="FC129" s="80"/>
      <c r="FD129" s="80"/>
      <c r="FE129" s="80"/>
      <c r="FF129" s="80"/>
      <c r="FG129" s="80"/>
      <c r="FH129" s="80"/>
      <c r="FI129" s="80"/>
      <c r="FJ129" s="80"/>
      <c r="FK129" s="80"/>
      <c r="FL129" s="80"/>
      <c r="FM129" s="80"/>
      <c r="FN129" s="80"/>
      <c r="FO129" s="80"/>
      <c r="FP129" s="80"/>
      <c r="FQ129" s="80"/>
      <c r="FR129" s="80"/>
      <c r="FS129" s="80"/>
      <c r="FT129" s="80"/>
      <c r="FU129" s="80"/>
      <c r="FV129" s="80"/>
    </row>
    <row r="130" spans="139:178">
      <c r="EI130" s="163"/>
      <c r="EJ130" s="163"/>
      <c r="EK130" s="80"/>
      <c r="EL130" s="80"/>
      <c r="EM130" s="80"/>
      <c r="EN130" s="80"/>
      <c r="EO130" s="80"/>
      <c r="EP130" s="80"/>
      <c r="EQ130" s="80"/>
      <c r="ER130" s="80"/>
      <c r="ES130" s="80"/>
      <c r="ET130" s="80"/>
      <c r="EU130" s="80"/>
      <c r="EV130" s="80"/>
      <c r="EW130" s="80"/>
      <c r="EX130" s="80"/>
      <c r="EY130" s="80"/>
      <c r="EZ130" s="80"/>
      <c r="FA130" s="80"/>
      <c r="FB130" s="80"/>
      <c r="FC130" s="80"/>
      <c r="FD130" s="80"/>
      <c r="FE130" s="80"/>
      <c r="FF130" s="80"/>
      <c r="FG130" s="80"/>
      <c r="FH130" s="80"/>
      <c r="FI130" s="80"/>
      <c r="FJ130" s="80"/>
      <c r="FK130" s="80"/>
      <c r="FL130" s="80"/>
      <c r="FM130" s="80"/>
      <c r="FN130" s="80"/>
      <c r="FO130" s="80"/>
      <c r="FP130" s="80"/>
      <c r="FQ130" s="80"/>
      <c r="FR130" s="80"/>
      <c r="FS130" s="80"/>
      <c r="FT130" s="80"/>
      <c r="FU130" s="80"/>
      <c r="FV130" s="80"/>
    </row>
    <row r="131" spans="139:178">
      <c r="EI131" s="163"/>
      <c r="EJ131" s="163"/>
      <c r="EK131" s="80"/>
      <c r="EL131" s="80"/>
      <c r="EM131" s="80"/>
      <c r="EN131" s="80"/>
      <c r="EO131" s="80"/>
      <c r="EP131" s="80"/>
      <c r="EQ131" s="80"/>
      <c r="ER131" s="80"/>
      <c r="ES131" s="80"/>
      <c r="ET131" s="80"/>
      <c r="EU131" s="80"/>
      <c r="EV131" s="80"/>
      <c r="EW131" s="80"/>
      <c r="EX131" s="80"/>
      <c r="EY131" s="80"/>
      <c r="EZ131" s="80"/>
      <c r="FA131" s="80"/>
      <c r="FB131" s="80"/>
      <c r="FC131" s="80"/>
      <c r="FD131" s="80"/>
      <c r="FE131" s="80"/>
      <c r="FF131" s="80"/>
      <c r="FG131" s="80"/>
      <c r="FH131" s="80"/>
      <c r="FI131" s="80"/>
      <c r="FJ131" s="80"/>
      <c r="FK131" s="80"/>
      <c r="FL131" s="80"/>
      <c r="FM131" s="80"/>
      <c r="FN131" s="80"/>
      <c r="FO131" s="80"/>
      <c r="FP131" s="80"/>
      <c r="FQ131" s="80"/>
      <c r="FR131" s="80"/>
      <c r="FS131" s="80"/>
      <c r="FT131" s="80"/>
      <c r="FU131" s="80"/>
      <c r="FV131" s="80"/>
    </row>
    <row r="132" spans="139:178">
      <c r="EI132" s="163"/>
      <c r="EJ132" s="163"/>
      <c r="EK132" s="80"/>
      <c r="EL132" s="80"/>
      <c r="EM132" s="80"/>
      <c r="EN132" s="80"/>
      <c r="EO132" s="80"/>
      <c r="EP132" s="80"/>
      <c r="EQ132" s="80"/>
      <c r="ER132" s="80"/>
      <c r="ES132" s="80"/>
      <c r="ET132" s="80"/>
      <c r="EU132" s="80"/>
      <c r="EV132" s="80"/>
      <c r="EW132" s="80"/>
      <c r="EX132" s="80"/>
      <c r="EY132" s="80"/>
      <c r="EZ132" s="80"/>
      <c r="FA132" s="80"/>
      <c r="FB132" s="80"/>
      <c r="FC132" s="80"/>
      <c r="FD132" s="80"/>
      <c r="FE132" s="80"/>
      <c r="FF132" s="80"/>
      <c r="FG132" s="80"/>
      <c r="FH132" s="80"/>
      <c r="FI132" s="80"/>
      <c r="FJ132" s="80"/>
      <c r="FK132" s="80"/>
      <c r="FL132" s="80"/>
      <c r="FM132" s="80"/>
      <c r="FN132" s="80"/>
      <c r="FO132" s="80"/>
      <c r="FP132" s="80"/>
      <c r="FQ132" s="80"/>
      <c r="FR132" s="80"/>
      <c r="FS132" s="80"/>
      <c r="FT132" s="80"/>
      <c r="FU132" s="80"/>
      <c r="FV132" s="80"/>
    </row>
    <row r="133" spans="139:178">
      <c r="EI133" s="163"/>
      <c r="EJ133" s="163"/>
      <c r="EK133" s="80"/>
      <c r="EL133" s="80"/>
      <c r="EM133" s="80"/>
      <c r="EN133" s="80"/>
      <c r="EO133" s="80"/>
      <c r="EP133" s="80"/>
      <c r="EQ133" s="80"/>
      <c r="ER133" s="80"/>
      <c r="ES133" s="80"/>
      <c r="ET133" s="80"/>
      <c r="EU133" s="80"/>
      <c r="EV133" s="80"/>
      <c r="EW133" s="80"/>
      <c r="EX133" s="80"/>
      <c r="EY133" s="80"/>
      <c r="EZ133" s="80"/>
      <c r="FA133" s="80"/>
      <c r="FB133" s="80"/>
      <c r="FC133" s="80"/>
      <c r="FD133" s="80"/>
      <c r="FE133" s="80"/>
      <c r="FF133" s="80"/>
      <c r="FG133" s="80"/>
      <c r="FH133" s="80"/>
      <c r="FI133" s="80"/>
      <c r="FJ133" s="80"/>
      <c r="FK133" s="80"/>
      <c r="FL133" s="80"/>
      <c r="FM133" s="80"/>
      <c r="FN133" s="80"/>
      <c r="FO133" s="80"/>
      <c r="FP133" s="80"/>
      <c r="FQ133" s="80"/>
      <c r="FR133" s="80"/>
      <c r="FS133" s="80"/>
      <c r="FT133" s="80"/>
      <c r="FU133" s="80"/>
      <c r="FV133" s="80"/>
    </row>
    <row r="134" spans="139:178">
      <c r="EI134" s="163"/>
      <c r="EJ134" s="163"/>
      <c r="EK134" s="80"/>
      <c r="EL134" s="80"/>
      <c r="EM134" s="80"/>
      <c r="EN134" s="80"/>
      <c r="EO134" s="80"/>
      <c r="EP134" s="80"/>
      <c r="EQ134" s="80"/>
      <c r="ER134" s="80"/>
      <c r="ES134" s="80"/>
      <c r="ET134" s="80"/>
      <c r="EU134" s="80"/>
      <c r="EV134" s="80"/>
      <c r="EW134" s="80"/>
      <c r="EX134" s="80"/>
      <c r="EY134" s="80"/>
      <c r="EZ134" s="80"/>
      <c r="FA134" s="80"/>
      <c r="FB134" s="80"/>
      <c r="FC134" s="80"/>
      <c r="FD134" s="80"/>
      <c r="FE134" s="80"/>
      <c r="FF134" s="80"/>
      <c r="FG134" s="80"/>
      <c r="FH134" s="80"/>
      <c r="FI134" s="80"/>
      <c r="FJ134" s="80"/>
      <c r="FK134" s="80"/>
      <c r="FL134" s="80"/>
      <c r="FM134" s="80"/>
      <c r="FN134" s="80"/>
      <c r="FO134" s="80"/>
      <c r="FP134" s="80"/>
      <c r="FQ134" s="80"/>
      <c r="FR134" s="80"/>
      <c r="FS134" s="80"/>
      <c r="FT134" s="80"/>
      <c r="FU134" s="80"/>
      <c r="FV134" s="80"/>
    </row>
    <row r="135" spans="139:178">
      <c r="EI135" s="163"/>
      <c r="EJ135" s="163"/>
      <c r="EK135" s="80"/>
      <c r="EL135" s="80"/>
      <c r="EM135" s="80"/>
      <c r="EN135" s="80"/>
      <c r="EO135" s="80"/>
      <c r="EP135" s="80"/>
      <c r="EQ135" s="80"/>
      <c r="ER135" s="80"/>
      <c r="ES135" s="80"/>
      <c r="ET135" s="80"/>
      <c r="EU135" s="80"/>
      <c r="EV135" s="80"/>
      <c r="EW135" s="80"/>
      <c r="EX135" s="80"/>
      <c r="EY135" s="80"/>
      <c r="EZ135" s="80"/>
      <c r="FA135" s="80"/>
      <c r="FB135" s="80"/>
      <c r="FC135" s="80"/>
      <c r="FD135" s="80"/>
      <c r="FE135" s="80"/>
      <c r="FF135" s="80"/>
      <c r="FG135" s="80"/>
      <c r="FH135" s="80"/>
      <c r="FI135" s="80"/>
      <c r="FJ135" s="80"/>
      <c r="FK135" s="80"/>
      <c r="FL135" s="80"/>
      <c r="FM135" s="80"/>
      <c r="FN135" s="80"/>
      <c r="FO135" s="80"/>
      <c r="FP135" s="80"/>
      <c r="FQ135" s="80"/>
      <c r="FR135" s="80"/>
      <c r="FS135" s="80"/>
      <c r="FT135" s="80"/>
      <c r="FU135" s="80"/>
      <c r="FV135" s="80"/>
    </row>
    <row r="136" spans="139:178">
      <c r="EI136" s="163"/>
      <c r="EJ136" s="163"/>
      <c r="EK136" s="80"/>
      <c r="EL136" s="80"/>
      <c r="EM136" s="80"/>
      <c r="EN136" s="80"/>
      <c r="EO136" s="80"/>
      <c r="EP136" s="80"/>
      <c r="EQ136" s="80"/>
      <c r="ER136" s="80"/>
      <c r="ES136" s="80"/>
      <c r="ET136" s="80"/>
      <c r="EU136" s="80"/>
      <c r="EV136" s="80"/>
      <c r="EW136" s="80"/>
      <c r="EX136" s="80"/>
      <c r="EY136" s="80"/>
      <c r="EZ136" s="80"/>
      <c r="FA136" s="80"/>
      <c r="FB136" s="80"/>
      <c r="FC136" s="80"/>
      <c r="FD136" s="80"/>
      <c r="FE136" s="80"/>
      <c r="FF136" s="80"/>
      <c r="FG136" s="80"/>
      <c r="FH136" s="80"/>
      <c r="FI136" s="80"/>
      <c r="FJ136" s="80"/>
      <c r="FK136" s="80"/>
      <c r="FL136" s="80"/>
      <c r="FM136" s="80"/>
      <c r="FN136" s="80"/>
      <c r="FO136" s="80"/>
      <c r="FP136" s="80"/>
      <c r="FQ136" s="80"/>
      <c r="FR136" s="80"/>
      <c r="FS136" s="80"/>
      <c r="FT136" s="80"/>
      <c r="FU136" s="80"/>
      <c r="FV136" s="80"/>
    </row>
    <row r="137" spans="139:178">
      <c r="EI137" s="163"/>
      <c r="EJ137" s="163"/>
      <c r="EK137" s="80"/>
      <c r="EL137" s="80"/>
      <c r="EM137" s="80"/>
      <c r="EN137" s="80"/>
      <c r="EO137" s="80"/>
      <c r="EP137" s="80"/>
      <c r="EQ137" s="80"/>
      <c r="ER137" s="80"/>
      <c r="ES137" s="80"/>
      <c r="ET137" s="80"/>
      <c r="EU137" s="80"/>
      <c r="EV137" s="80"/>
      <c r="EW137" s="80"/>
      <c r="EX137" s="80"/>
      <c r="EY137" s="80"/>
      <c r="EZ137" s="80"/>
      <c r="FA137" s="80"/>
      <c r="FB137" s="80"/>
      <c r="FC137" s="80"/>
      <c r="FD137" s="80"/>
      <c r="FE137" s="80"/>
      <c r="FF137" s="80"/>
      <c r="FG137" s="80"/>
      <c r="FH137" s="80"/>
      <c r="FI137" s="80"/>
      <c r="FJ137" s="80"/>
      <c r="FK137" s="80"/>
      <c r="FL137" s="80"/>
      <c r="FM137" s="80"/>
      <c r="FN137" s="80"/>
      <c r="FO137" s="80"/>
      <c r="FP137" s="80"/>
      <c r="FQ137" s="80"/>
      <c r="FR137" s="80"/>
      <c r="FS137" s="80"/>
      <c r="FT137" s="80"/>
      <c r="FU137" s="80"/>
      <c r="FV137" s="80"/>
    </row>
    <row r="138" spans="139:178">
      <c r="EI138" s="163"/>
      <c r="EJ138" s="163"/>
      <c r="EK138" s="80"/>
      <c r="EL138" s="80"/>
      <c r="EM138" s="80"/>
      <c r="EN138" s="80"/>
      <c r="EO138" s="80"/>
      <c r="EP138" s="80"/>
      <c r="EQ138" s="80"/>
      <c r="ER138" s="80"/>
      <c r="ES138" s="80"/>
      <c r="ET138" s="80"/>
      <c r="EU138" s="80"/>
      <c r="EV138" s="80"/>
      <c r="EW138" s="80"/>
      <c r="EX138" s="80"/>
      <c r="EY138" s="80"/>
      <c r="EZ138" s="80"/>
      <c r="FA138" s="80"/>
      <c r="FB138" s="80"/>
      <c r="FC138" s="80"/>
      <c r="FD138" s="80"/>
      <c r="FE138" s="80"/>
      <c r="FF138" s="80"/>
      <c r="FG138" s="80"/>
      <c r="FH138" s="80"/>
      <c r="FI138" s="80"/>
      <c r="FJ138" s="80"/>
      <c r="FK138" s="80"/>
      <c r="FL138" s="80"/>
      <c r="FM138" s="80"/>
      <c r="FN138" s="80"/>
      <c r="FO138" s="80"/>
      <c r="FP138" s="80"/>
      <c r="FQ138" s="80"/>
      <c r="FR138" s="80"/>
      <c r="FS138" s="80"/>
      <c r="FT138" s="80"/>
      <c r="FU138" s="80"/>
      <c r="FV138" s="80"/>
    </row>
    <row r="139" spans="139:178">
      <c r="EI139" s="163"/>
      <c r="EJ139" s="163"/>
      <c r="EK139" s="80"/>
      <c r="EL139" s="80"/>
      <c r="EM139" s="80"/>
      <c r="EN139" s="80"/>
      <c r="EO139" s="80"/>
      <c r="EP139" s="80"/>
      <c r="EQ139" s="80"/>
      <c r="ER139" s="80"/>
      <c r="ES139" s="80"/>
      <c r="ET139" s="80"/>
      <c r="EU139" s="80"/>
      <c r="EV139" s="80"/>
      <c r="EW139" s="80"/>
      <c r="EX139" s="80"/>
      <c r="EY139" s="80"/>
      <c r="EZ139" s="80"/>
      <c r="FA139" s="80"/>
      <c r="FB139" s="80"/>
      <c r="FC139" s="80"/>
      <c r="FD139" s="80"/>
      <c r="FE139" s="80"/>
      <c r="FF139" s="80"/>
      <c r="FG139" s="80"/>
      <c r="FH139" s="80"/>
      <c r="FI139" s="80"/>
      <c r="FJ139" s="80"/>
      <c r="FK139" s="80"/>
      <c r="FL139" s="80"/>
      <c r="FM139" s="80"/>
      <c r="FN139" s="80"/>
      <c r="FO139" s="80"/>
      <c r="FP139" s="80"/>
      <c r="FQ139" s="80"/>
      <c r="FR139" s="80"/>
      <c r="FS139" s="80"/>
      <c r="FT139" s="80"/>
      <c r="FU139" s="80"/>
      <c r="FV139" s="80"/>
    </row>
    <row r="140" spans="139:178">
      <c r="EI140" s="163"/>
      <c r="EJ140" s="163"/>
      <c r="EK140" s="80"/>
      <c r="EL140" s="80"/>
      <c r="EM140" s="80"/>
      <c r="EN140" s="80"/>
      <c r="EO140" s="80"/>
      <c r="EP140" s="80"/>
      <c r="EQ140" s="80"/>
      <c r="ER140" s="80"/>
      <c r="ES140" s="80"/>
      <c r="ET140" s="80"/>
      <c r="EU140" s="80"/>
      <c r="EV140" s="80"/>
      <c r="EW140" s="80"/>
      <c r="EX140" s="80"/>
      <c r="EY140" s="80"/>
      <c r="EZ140" s="80"/>
      <c r="FA140" s="80"/>
      <c r="FB140" s="80"/>
      <c r="FC140" s="80"/>
      <c r="FD140" s="80"/>
      <c r="FE140" s="80"/>
      <c r="FF140" s="80"/>
      <c r="FG140" s="80"/>
      <c r="FH140" s="80"/>
      <c r="FI140" s="80"/>
      <c r="FJ140" s="80"/>
      <c r="FK140" s="80"/>
      <c r="FL140" s="80"/>
      <c r="FM140" s="80"/>
      <c r="FN140" s="80"/>
      <c r="FO140" s="80"/>
      <c r="FP140" s="80"/>
      <c r="FQ140" s="80"/>
      <c r="FR140" s="80"/>
      <c r="FS140" s="80"/>
      <c r="FT140" s="80"/>
      <c r="FU140" s="80"/>
      <c r="FV140" s="80"/>
    </row>
    <row r="141" spans="139:178">
      <c r="EI141" s="163"/>
      <c r="EJ141" s="163"/>
      <c r="EK141" s="80"/>
      <c r="EL141" s="80"/>
      <c r="EM141" s="80"/>
      <c r="EN141" s="80"/>
      <c r="EO141" s="80"/>
      <c r="EP141" s="80"/>
      <c r="EQ141" s="80"/>
      <c r="ER141" s="80"/>
      <c r="ES141" s="80"/>
      <c r="ET141" s="80"/>
      <c r="EU141" s="80"/>
      <c r="EV141" s="80"/>
      <c r="EW141" s="80"/>
      <c r="EX141" s="80"/>
      <c r="EY141" s="80"/>
      <c r="EZ141" s="80"/>
      <c r="FA141" s="80"/>
      <c r="FB141" s="80"/>
      <c r="FC141" s="80"/>
      <c r="FD141" s="80"/>
      <c r="FE141" s="80"/>
      <c r="FF141" s="80"/>
      <c r="FG141" s="80"/>
      <c r="FH141" s="80"/>
      <c r="FI141" s="80"/>
      <c r="FJ141" s="80"/>
      <c r="FK141" s="80"/>
      <c r="FL141" s="80"/>
      <c r="FM141" s="80"/>
      <c r="FN141" s="80"/>
      <c r="FO141" s="80"/>
      <c r="FP141" s="80"/>
      <c r="FQ141" s="80"/>
      <c r="FR141" s="80"/>
      <c r="FS141" s="80"/>
      <c r="FT141" s="80"/>
      <c r="FU141" s="80"/>
      <c r="FV141" s="80"/>
    </row>
    <row r="142" spans="139:178">
      <c r="EI142" s="163"/>
      <c r="EJ142" s="163"/>
      <c r="EK142" s="80"/>
      <c r="EL142" s="80"/>
      <c r="EM142" s="80"/>
      <c r="EN142" s="80"/>
      <c r="EO142" s="80"/>
      <c r="EP142" s="80"/>
      <c r="EQ142" s="80"/>
      <c r="ER142" s="80"/>
      <c r="ES142" s="80"/>
      <c r="ET142" s="80"/>
      <c r="EU142" s="80"/>
      <c r="EV142" s="80"/>
      <c r="EW142" s="80"/>
      <c r="EX142" s="80"/>
      <c r="EY142" s="80"/>
      <c r="EZ142" s="80"/>
      <c r="FA142" s="80"/>
      <c r="FB142" s="80"/>
      <c r="FC142" s="80"/>
      <c r="FD142" s="80"/>
      <c r="FE142" s="80"/>
      <c r="FF142" s="80"/>
      <c r="FG142" s="80"/>
      <c r="FH142" s="80"/>
      <c r="FI142" s="80"/>
      <c r="FJ142" s="80"/>
      <c r="FK142" s="80"/>
      <c r="FL142" s="80"/>
      <c r="FM142" s="80"/>
      <c r="FN142" s="80"/>
      <c r="FO142" s="80"/>
      <c r="FP142" s="80"/>
      <c r="FQ142" s="80"/>
      <c r="FR142" s="80"/>
      <c r="FS142" s="80"/>
      <c r="FT142" s="80"/>
      <c r="FU142" s="80"/>
      <c r="FV142" s="80"/>
    </row>
    <row r="143" spans="139:178">
      <c r="EI143" s="163"/>
      <c r="EJ143" s="163"/>
      <c r="EK143" s="80"/>
      <c r="EL143" s="80"/>
      <c r="EM143" s="80"/>
      <c r="EN143" s="80"/>
      <c r="EO143" s="80"/>
      <c r="EP143" s="80"/>
      <c r="EQ143" s="80"/>
      <c r="ER143" s="80"/>
      <c r="ES143" s="80"/>
      <c r="ET143" s="80"/>
      <c r="EU143" s="80"/>
      <c r="EV143" s="80"/>
      <c r="EW143" s="80"/>
      <c r="EX143" s="80"/>
      <c r="EY143" s="80"/>
      <c r="EZ143" s="80"/>
      <c r="FA143" s="80"/>
      <c r="FB143" s="80"/>
      <c r="FC143" s="80"/>
      <c r="FD143" s="80"/>
      <c r="FE143" s="80"/>
      <c r="FF143" s="80"/>
      <c r="FG143" s="80"/>
      <c r="FH143" s="80"/>
      <c r="FI143" s="80"/>
      <c r="FJ143" s="80"/>
      <c r="FK143" s="80"/>
      <c r="FL143" s="80"/>
      <c r="FM143" s="80"/>
      <c r="FN143" s="80"/>
      <c r="FO143" s="80"/>
      <c r="FP143" s="80"/>
      <c r="FQ143" s="80"/>
      <c r="FR143" s="80"/>
      <c r="FS143" s="80"/>
      <c r="FT143" s="80"/>
      <c r="FU143" s="80"/>
      <c r="FV143" s="80"/>
    </row>
    <row r="144" spans="139:178">
      <c r="EI144" s="163"/>
      <c r="EJ144" s="163"/>
      <c r="EK144" s="80"/>
      <c r="EL144" s="80"/>
      <c r="EM144" s="80"/>
      <c r="EN144" s="80"/>
      <c r="EO144" s="80"/>
      <c r="EP144" s="80"/>
      <c r="EQ144" s="80"/>
      <c r="ER144" s="80"/>
      <c r="ES144" s="80"/>
      <c r="ET144" s="80"/>
      <c r="EU144" s="80"/>
      <c r="EV144" s="80"/>
      <c r="EW144" s="80"/>
      <c r="EX144" s="80"/>
      <c r="EY144" s="80"/>
      <c r="EZ144" s="80"/>
      <c r="FA144" s="80"/>
      <c r="FB144" s="80"/>
      <c r="FC144" s="80"/>
      <c r="FD144" s="80"/>
      <c r="FE144" s="80"/>
      <c r="FF144" s="80"/>
      <c r="FG144" s="80"/>
      <c r="FH144" s="80"/>
      <c r="FI144" s="80"/>
      <c r="FJ144" s="80"/>
      <c r="FK144" s="80"/>
      <c r="FL144" s="80"/>
      <c r="FM144" s="80"/>
      <c r="FN144" s="80"/>
      <c r="FO144" s="80"/>
      <c r="FP144" s="80"/>
      <c r="FQ144" s="80"/>
      <c r="FR144" s="80"/>
      <c r="FS144" s="80"/>
      <c r="FT144" s="80"/>
      <c r="FU144" s="80"/>
      <c r="FV144" s="80"/>
    </row>
    <row r="145" spans="139:178">
      <c r="EI145" s="163"/>
      <c r="EJ145" s="163"/>
      <c r="EK145" s="80"/>
      <c r="EL145" s="80"/>
      <c r="EM145" s="80"/>
      <c r="EN145" s="80"/>
      <c r="EO145" s="80"/>
      <c r="EP145" s="80"/>
      <c r="EQ145" s="80"/>
      <c r="ER145" s="80"/>
      <c r="ES145" s="80"/>
      <c r="ET145" s="80"/>
      <c r="EU145" s="80"/>
      <c r="EV145" s="80"/>
      <c r="EW145" s="80"/>
      <c r="EX145" s="80"/>
      <c r="EY145" s="80"/>
      <c r="EZ145" s="80"/>
      <c r="FA145" s="80"/>
      <c r="FB145" s="80"/>
      <c r="FC145" s="80"/>
      <c r="FD145" s="80"/>
      <c r="FE145" s="80"/>
      <c r="FF145" s="80"/>
      <c r="FG145" s="80"/>
      <c r="FH145" s="80"/>
      <c r="FI145" s="80"/>
      <c r="FJ145" s="80"/>
      <c r="FK145" s="80"/>
      <c r="FL145" s="80"/>
      <c r="FM145" s="80"/>
      <c r="FN145" s="80"/>
      <c r="FO145" s="80"/>
      <c r="FP145" s="80"/>
      <c r="FQ145" s="80"/>
      <c r="FR145" s="80"/>
      <c r="FS145" s="80"/>
      <c r="FT145" s="80"/>
      <c r="FU145" s="80"/>
      <c r="FV145" s="80"/>
    </row>
    <row r="146" spans="139:178">
      <c r="EI146" s="163"/>
      <c r="EJ146" s="163"/>
      <c r="EK146" s="80"/>
      <c r="EL146" s="80"/>
      <c r="EM146" s="80"/>
      <c r="EN146" s="80"/>
      <c r="EO146" s="80"/>
      <c r="EP146" s="80"/>
      <c r="EQ146" s="80"/>
      <c r="ER146" s="80"/>
      <c r="ES146" s="80"/>
      <c r="ET146" s="80"/>
      <c r="EU146" s="80"/>
      <c r="EV146" s="80"/>
      <c r="EW146" s="80"/>
      <c r="EX146" s="80"/>
      <c r="EY146" s="80"/>
      <c r="EZ146" s="80"/>
      <c r="FA146" s="80"/>
      <c r="FB146" s="80"/>
      <c r="FC146" s="80"/>
      <c r="FD146" s="80"/>
      <c r="FE146" s="80"/>
      <c r="FF146" s="80"/>
      <c r="FG146" s="80"/>
      <c r="FH146" s="80"/>
      <c r="FI146" s="80"/>
      <c r="FJ146" s="80"/>
      <c r="FK146" s="80"/>
      <c r="FL146" s="80"/>
      <c r="FM146" s="80"/>
      <c r="FN146" s="80"/>
      <c r="FO146" s="80"/>
      <c r="FP146" s="80"/>
      <c r="FQ146" s="80"/>
      <c r="FR146" s="80"/>
      <c r="FS146" s="80"/>
      <c r="FT146" s="80"/>
      <c r="FU146" s="80"/>
      <c r="FV146" s="80"/>
    </row>
    <row r="147" spans="139:178">
      <c r="EI147" s="163"/>
      <c r="EJ147" s="163"/>
      <c r="EK147" s="80"/>
      <c r="EL147" s="80"/>
      <c r="EM147" s="80"/>
      <c r="EN147" s="80"/>
      <c r="EO147" s="80"/>
      <c r="EP147" s="80"/>
      <c r="EQ147" s="80"/>
      <c r="ER147" s="80"/>
      <c r="ES147" s="80"/>
      <c r="ET147" s="80"/>
      <c r="EU147" s="80"/>
      <c r="EV147" s="80"/>
      <c r="EW147" s="80"/>
      <c r="EX147" s="80"/>
      <c r="EY147" s="80"/>
      <c r="EZ147" s="80"/>
      <c r="FA147" s="80"/>
      <c r="FB147" s="80"/>
      <c r="FC147" s="80"/>
      <c r="FD147" s="80"/>
      <c r="FE147" s="80"/>
      <c r="FF147" s="80"/>
      <c r="FG147" s="80"/>
      <c r="FH147" s="80"/>
      <c r="FI147" s="80"/>
      <c r="FJ147" s="80"/>
      <c r="FK147" s="80"/>
      <c r="FL147" s="80"/>
      <c r="FM147" s="80"/>
      <c r="FN147" s="80"/>
      <c r="FO147" s="80"/>
      <c r="FP147" s="80"/>
      <c r="FQ147" s="80"/>
      <c r="FR147" s="80"/>
      <c r="FS147" s="80"/>
      <c r="FT147" s="80"/>
      <c r="FU147" s="80"/>
      <c r="FV147" s="80"/>
    </row>
    <row r="148" spans="139:178">
      <c r="EI148" s="163"/>
      <c r="EJ148" s="163"/>
      <c r="EK148" s="80"/>
      <c r="EL148" s="80"/>
      <c r="EM148" s="80"/>
      <c r="EN148" s="80"/>
      <c r="EO148" s="80"/>
      <c r="EP148" s="80"/>
      <c r="EQ148" s="80"/>
      <c r="ER148" s="80"/>
      <c r="ES148" s="80"/>
      <c r="ET148" s="80"/>
      <c r="EU148" s="80"/>
      <c r="EV148" s="80"/>
      <c r="EW148" s="80"/>
      <c r="EX148" s="80"/>
      <c r="EY148" s="80"/>
      <c r="EZ148" s="80"/>
      <c r="FA148" s="80"/>
      <c r="FB148" s="80"/>
      <c r="FC148" s="80"/>
      <c r="FD148" s="80"/>
      <c r="FE148" s="80"/>
      <c r="FF148" s="80"/>
      <c r="FG148" s="80"/>
      <c r="FH148" s="80"/>
      <c r="FI148" s="80"/>
      <c r="FJ148" s="80"/>
      <c r="FK148" s="80"/>
      <c r="FL148" s="80"/>
      <c r="FM148" s="80"/>
      <c r="FN148" s="80"/>
      <c r="FO148" s="80"/>
      <c r="FP148" s="80"/>
      <c r="FQ148" s="80"/>
      <c r="FR148" s="80"/>
      <c r="FS148" s="80"/>
      <c r="FT148" s="80"/>
      <c r="FU148" s="80"/>
      <c r="FV148" s="80"/>
    </row>
    <row r="149" spans="139:178">
      <c r="FV149" s="80"/>
    </row>
    <row r="150" spans="139:178">
      <c r="FV150" s="80"/>
    </row>
  </sheetData>
  <mergeCells count="13">
    <mergeCell ref="D5:Q5"/>
    <mergeCell ref="FF93:FR93"/>
    <mergeCell ref="FF5:FR5"/>
    <mergeCell ref="CY101:DL101"/>
    <mergeCell ref="CF5:CR5"/>
    <mergeCell ref="CY5:DM5"/>
    <mergeCell ref="DR5:EF5"/>
    <mergeCell ref="EL5:EZ5"/>
    <mergeCell ref="X5:AL5"/>
    <mergeCell ref="BL5:BY5"/>
    <mergeCell ref="AR5:BE5"/>
    <mergeCell ref="DR93:EF93"/>
    <mergeCell ref="EL93:EZ93"/>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sheetPr>
    <tabColor theme="7" tint="-0.499984740745262"/>
  </sheetPr>
  <dimension ref="B1:O101"/>
  <sheetViews>
    <sheetView showGridLines="0" workbookViewId="0">
      <selection activeCell="J27" sqref="J27"/>
    </sheetView>
  </sheetViews>
  <sheetFormatPr baseColWidth="10" defaultRowHeight="15"/>
  <cols>
    <col min="2" max="2" width="21.140625" customWidth="1"/>
    <col min="3" max="3" width="13.140625" customWidth="1"/>
    <col min="4" max="4" width="12.140625" bestFit="1" customWidth="1"/>
    <col min="5" max="5" width="6.85546875" customWidth="1"/>
    <col min="6" max="6" width="7.85546875" bestFit="1" customWidth="1"/>
    <col min="7" max="7" width="3.85546875" bestFit="1" customWidth="1"/>
  </cols>
  <sheetData>
    <row r="1" spans="2:15" ht="15.75" customHeight="1">
      <c r="B1" s="192"/>
      <c r="C1" s="192"/>
      <c r="D1" s="192"/>
      <c r="E1" s="192"/>
      <c r="F1" s="192"/>
      <c r="G1" s="63"/>
      <c r="H1" s="63"/>
      <c r="I1" s="63"/>
      <c r="J1" s="63"/>
      <c r="K1" s="63"/>
      <c r="L1" s="63"/>
      <c r="M1" s="63"/>
      <c r="N1" s="63"/>
      <c r="O1" s="63"/>
    </row>
    <row r="2" spans="2:15" ht="15.75" customHeight="1">
      <c r="B2" s="5405" t="s">
        <v>490</v>
      </c>
      <c r="C2" s="5405"/>
      <c r="D2" s="192"/>
      <c r="E2" s="192"/>
      <c r="F2" s="192"/>
      <c r="G2" s="63"/>
      <c r="H2" s="63"/>
      <c r="I2" s="63"/>
      <c r="J2" s="63"/>
      <c r="K2" s="63"/>
      <c r="L2" s="63"/>
      <c r="M2" s="63"/>
      <c r="N2" s="63"/>
      <c r="O2" s="63"/>
    </row>
    <row r="3" spans="2:15" ht="15.75" customHeight="1">
      <c r="B3" s="363"/>
      <c r="C3" s="363"/>
      <c r="D3" s="192"/>
      <c r="E3" s="192"/>
      <c r="F3" s="192"/>
      <c r="G3" s="63"/>
      <c r="H3" s="63"/>
      <c r="I3" s="63"/>
      <c r="J3" s="63"/>
      <c r="K3" s="63"/>
      <c r="L3" s="63"/>
      <c r="M3" s="63"/>
      <c r="N3" s="63"/>
      <c r="O3" s="63"/>
    </row>
    <row r="4" spans="2:15" ht="15.75" customHeight="1">
      <c r="B4" s="5412">
        <v>2018</v>
      </c>
      <c r="C4" s="5412"/>
      <c r="D4" s="192"/>
      <c r="E4" s="192"/>
      <c r="F4" s="192"/>
      <c r="G4" s="63"/>
      <c r="H4" s="63"/>
      <c r="I4" s="63"/>
      <c r="J4" s="63"/>
      <c r="K4" s="63"/>
      <c r="L4" s="63"/>
      <c r="M4" s="63"/>
      <c r="N4" s="63"/>
      <c r="O4" s="63"/>
    </row>
    <row r="5" spans="2:15" ht="15.75" customHeight="1" thickBot="1">
      <c r="B5" s="4770" t="s">
        <v>564</v>
      </c>
      <c r="C5" s="4770" t="s">
        <v>565</v>
      </c>
      <c r="D5" s="192"/>
      <c r="E5" s="192"/>
      <c r="F5" s="192"/>
      <c r="G5" s="63"/>
      <c r="H5" s="63"/>
      <c r="I5" s="63"/>
      <c r="J5" s="63"/>
      <c r="K5" s="63"/>
      <c r="L5" s="63"/>
      <c r="M5" s="63"/>
      <c r="N5" s="63"/>
      <c r="O5" s="63"/>
    </row>
    <row r="6" spans="2:15" ht="15.75" customHeight="1">
      <c r="B6" s="4771" t="s">
        <v>87</v>
      </c>
      <c r="C6" s="4772">
        <v>2600</v>
      </c>
      <c r="D6" s="192"/>
      <c r="E6" s="192"/>
      <c r="F6" s="192"/>
      <c r="G6" s="63"/>
      <c r="H6" s="63"/>
      <c r="I6" s="63"/>
      <c r="J6" s="63"/>
      <c r="K6" s="63"/>
      <c r="L6" s="63"/>
      <c r="M6" s="63"/>
      <c r="N6" s="63"/>
      <c r="O6" s="63"/>
    </row>
    <row r="7" spans="2:15" ht="15.75" customHeight="1">
      <c r="B7" s="4773" t="s">
        <v>432</v>
      </c>
      <c r="C7" s="4774">
        <v>2600</v>
      </c>
      <c r="D7" s="192"/>
      <c r="E7" s="192"/>
      <c r="F7" s="192"/>
      <c r="G7" s="63"/>
      <c r="H7" s="63"/>
      <c r="I7" s="63"/>
      <c r="J7" s="63"/>
      <c r="K7" s="63"/>
      <c r="L7" s="63"/>
      <c r="M7" s="63"/>
      <c r="N7" s="63"/>
      <c r="O7" s="63"/>
    </row>
    <row r="8" spans="2:15" ht="15.75" customHeight="1">
      <c r="B8" s="4773" t="s">
        <v>433</v>
      </c>
      <c r="C8" s="4774">
        <v>2600</v>
      </c>
      <c r="D8" s="192"/>
      <c r="E8" s="192"/>
      <c r="F8" s="192"/>
      <c r="G8" s="63"/>
      <c r="H8" s="63"/>
      <c r="I8" s="63"/>
      <c r="J8" s="63"/>
      <c r="K8" s="63"/>
      <c r="L8" s="63"/>
      <c r="M8" s="63"/>
      <c r="N8" s="63"/>
      <c r="O8" s="63"/>
    </row>
    <row r="9" spans="2:15" ht="15.75" customHeight="1">
      <c r="B9" s="4773" t="s">
        <v>435</v>
      </c>
      <c r="C9" s="4774">
        <v>2600</v>
      </c>
      <c r="D9" s="192"/>
      <c r="E9" s="192"/>
      <c r="F9" s="192"/>
      <c r="G9" s="63"/>
      <c r="H9" s="63"/>
      <c r="I9" s="63"/>
      <c r="J9" s="63"/>
      <c r="K9" s="63"/>
      <c r="L9" s="63"/>
      <c r="M9" s="63"/>
      <c r="N9" s="63"/>
      <c r="O9" s="63"/>
    </row>
    <row r="10" spans="2:15" ht="15.75" customHeight="1">
      <c r="B10" s="4773" t="s">
        <v>436</v>
      </c>
      <c r="C10" s="4774">
        <v>1600</v>
      </c>
      <c r="D10" s="192"/>
      <c r="E10" s="192"/>
      <c r="F10" s="192"/>
      <c r="G10" s="63"/>
      <c r="H10" s="63"/>
      <c r="I10" s="63"/>
      <c r="J10" s="63"/>
      <c r="K10" s="63"/>
      <c r="L10" s="63"/>
      <c r="M10" s="63"/>
      <c r="N10" s="63"/>
      <c r="O10" s="63"/>
    </row>
    <row r="11" spans="2:15" ht="15.75" customHeight="1">
      <c r="B11" s="4773" t="s">
        <v>438</v>
      </c>
      <c r="C11" s="4774">
        <v>2600</v>
      </c>
      <c r="D11" s="192"/>
      <c r="E11" s="192"/>
      <c r="F11" s="192"/>
      <c r="G11" s="63"/>
      <c r="H11" s="63"/>
      <c r="I11" s="63"/>
      <c r="J11" s="63"/>
      <c r="K11" s="63"/>
      <c r="L11" s="63"/>
      <c r="M11" s="63"/>
      <c r="N11" s="63"/>
      <c r="O11" s="63"/>
    </row>
    <row r="12" spans="2:15" ht="15.75" customHeight="1">
      <c r="B12" s="4775" t="s">
        <v>71</v>
      </c>
      <c r="C12" s="4776">
        <f>SUM(C6:C11)</f>
        <v>14600</v>
      </c>
      <c r="D12" s="192"/>
      <c r="E12" s="192"/>
      <c r="F12" s="192"/>
      <c r="G12" s="63"/>
      <c r="H12" s="63"/>
      <c r="I12" s="63"/>
      <c r="J12" s="63"/>
      <c r="K12" s="63"/>
      <c r="L12" s="63"/>
      <c r="M12" s="63"/>
      <c r="N12" s="63"/>
      <c r="O12" s="63"/>
    </row>
    <row r="13" spans="2:15" ht="15.75" customHeight="1">
      <c r="B13" s="54" t="s">
        <v>330</v>
      </c>
      <c r="D13" s="192"/>
      <c r="E13" s="192"/>
      <c r="F13" s="192"/>
      <c r="G13" s="63"/>
      <c r="H13" s="63"/>
      <c r="I13" s="63"/>
      <c r="J13" s="63"/>
      <c r="K13" s="63"/>
      <c r="L13" s="63"/>
      <c r="M13" s="63"/>
      <c r="N13" s="63"/>
      <c r="O13" s="63"/>
    </row>
    <row r="14" spans="2:15" ht="15.75" customHeight="1">
      <c r="B14" s="363"/>
      <c r="C14" s="363"/>
      <c r="D14" s="192"/>
      <c r="E14" s="192"/>
      <c r="F14" s="192"/>
      <c r="G14" s="63"/>
      <c r="H14" s="63"/>
      <c r="I14" s="63"/>
      <c r="J14" s="63"/>
      <c r="K14" s="63"/>
      <c r="L14" s="63"/>
      <c r="M14" s="63"/>
      <c r="N14" s="63"/>
      <c r="O14" s="63"/>
    </row>
    <row r="15" spans="2:15" ht="15.75" customHeight="1">
      <c r="B15" s="5411">
        <v>2017</v>
      </c>
      <c r="C15" s="5411"/>
      <c r="D15" s="192"/>
      <c r="E15" s="192"/>
      <c r="F15" s="192"/>
      <c r="G15" s="63"/>
      <c r="H15" s="63"/>
      <c r="I15" s="63"/>
      <c r="J15" s="63"/>
      <c r="K15" s="63"/>
      <c r="L15" s="63"/>
      <c r="M15" s="63"/>
      <c r="N15" s="63"/>
      <c r="O15" s="63"/>
    </row>
    <row r="16" spans="2:15" ht="15.75" customHeight="1">
      <c r="B16" s="3335" t="s">
        <v>564</v>
      </c>
      <c r="C16" s="3335" t="s">
        <v>565</v>
      </c>
      <c r="D16" s="192"/>
      <c r="E16" s="192"/>
      <c r="F16" s="192"/>
      <c r="G16" s="63"/>
      <c r="H16" s="63"/>
      <c r="I16" s="63"/>
      <c r="J16" s="63"/>
      <c r="K16" s="63"/>
      <c r="L16" s="63"/>
      <c r="M16" s="63"/>
      <c r="N16" s="63"/>
      <c r="O16" s="63"/>
    </row>
    <row r="17" spans="2:15" ht="15.75" customHeight="1">
      <c r="B17" s="3336" t="s">
        <v>87</v>
      </c>
      <c r="C17" s="3337">
        <v>2600</v>
      </c>
      <c r="D17" s="192"/>
      <c r="E17" s="192"/>
      <c r="F17" s="192"/>
      <c r="G17" s="63"/>
      <c r="H17" s="63"/>
      <c r="I17" s="63"/>
      <c r="J17" s="63"/>
      <c r="K17" s="63"/>
      <c r="L17" s="63"/>
      <c r="M17" s="63"/>
      <c r="N17" s="63"/>
      <c r="O17" s="63"/>
    </row>
    <row r="18" spans="2:15" ht="15.75" customHeight="1">
      <c r="B18" s="152" t="s">
        <v>432</v>
      </c>
      <c r="C18" s="3338">
        <v>2600</v>
      </c>
      <c r="D18" s="192"/>
      <c r="E18" s="192"/>
      <c r="F18" s="192"/>
      <c r="G18" s="63"/>
      <c r="H18" s="63"/>
      <c r="I18" s="63"/>
      <c r="J18" s="63"/>
      <c r="K18" s="63"/>
      <c r="L18" s="63"/>
      <c r="M18" s="63"/>
      <c r="N18" s="63"/>
      <c r="O18" s="63"/>
    </row>
    <row r="19" spans="2:15" ht="15.75" customHeight="1">
      <c r="B19" s="152" t="s">
        <v>433</v>
      </c>
      <c r="C19" s="3338">
        <v>2600</v>
      </c>
      <c r="D19" s="192"/>
      <c r="E19" s="192"/>
      <c r="F19" s="192"/>
      <c r="G19" s="63"/>
      <c r="H19" s="63"/>
      <c r="I19" s="63"/>
      <c r="J19" s="63"/>
      <c r="K19" s="63"/>
      <c r="L19" s="63"/>
      <c r="M19" s="63"/>
      <c r="N19" s="63"/>
      <c r="O19" s="63"/>
    </row>
    <row r="20" spans="2:15" ht="15.75" customHeight="1">
      <c r="B20" s="152" t="s">
        <v>435</v>
      </c>
      <c r="C20" s="3338">
        <v>2600</v>
      </c>
      <c r="D20" s="192"/>
      <c r="E20" s="192"/>
      <c r="F20" s="192"/>
      <c r="G20" s="63"/>
      <c r="H20" s="63"/>
      <c r="I20" s="63"/>
      <c r="J20" s="63"/>
      <c r="K20" s="63"/>
      <c r="L20" s="63"/>
      <c r="M20" s="63"/>
      <c r="N20" s="63"/>
      <c r="O20" s="63"/>
    </row>
    <row r="21" spans="2:15" ht="15.75" customHeight="1">
      <c r="B21" s="152" t="s">
        <v>436</v>
      </c>
      <c r="C21" s="3338">
        <v>1600</v>
      </c>
      <c r="D21" s="192"/>
      <c r="E21" s="192"/>
      <c r="F21" s="192"/>
      <c r="G21" s="63"/>
      <c r="H21" s="63"/>
      <c r="I21" s="63"/>
      <c r="J21" s="63"/>
      <c r="K21" s="63"/>
      <c r="L21" s="63"/>
      <c r="M21" s="63"/>
      <c r="N21" s="63"/>
      <c r="O21" s="63"/>
    </row>
    <row r="22" spans="2:15" ht="15.75" customHeight="1">
      <c r="B22" s="3339" t="s">
        <v>438</v>
      </c>
      <c r="C22" s="3340">
        <v>2600</v>
      </c>
      <c r="D22" s="192"/>
      <c r="E22" s="192"/>
      <c r="F22" s="192"/>
      <c r="G22" s="63"/>
      <c r="H22" s="63"/>
      <c r="I22" s="63"/>
      <c r="J22" s="63"/>
      <c r="K22" s="63"/>
      <c r="L22" s="63"/>
      <c r="M22" s="63"/>
      <c r="N22" s="63"/>
      <c r="O22" s="63"/>
    </row>
    <row r="23" spans="2:15" ht="15.75" customHeight="1">
      <c r="B23" s="3335" t="s">
        <v>71</v>
      </c>
      <c r="C23" s="3341">
        <v>14600</v>
      </c>
      <c r="D23" s="192"/>
      <c r="E23" s="192"/>
      <c r="F23" s="192"/>
      <c r="G23" s="63"/>
      <c r="H23" s="63"/>
      <c r="I23" s="63"/>
      <c r="J23" s="63"/>
      <c r="K23" s="63"/>
      <c r="L23" s="63"/>
      <c r="M23" s="63"/>
      <c r="N23" s="63"/>
      <c r="O23" s="63"/>
    </row>
    <row r="24" spans="2:15" ht="15.75" customHeight="1">
      <c r="B24" s="54" t="s">
        <v>330</v>
      </c>
      <c r="D24" s="192"/>
      <c r="E24" s="192"/>
      <c r="F24" s="192"/>
      <c r="G24" s="63"/>
      <c r="H24" s="63"/>
      <c r="I24" s="63"/>
      <c r="J24" s="63"/>
      <c r="K24" s="63"/>
      <c r="L24" s="63"/>
      <c r="M24" s="63"/>
      <c r="N24" s="63"/>
      <c r="O24" s="63"/>
    </row>
    <row r="25" spans="2:15" ht="15.75" customHeight="1">
      <c r="B25" s="363"/>
      <c r="C25" s="363"/>
      <c r="D25" s="192"/>
      <c r="E25" s="192"/>
      <c r="F25" s="192"/>
      <c r="G25" s="63"/>
      <c r="H25" s="63"/>
      <c r="I25" s="63"/>
      <c r="J25" s="63"/>
      <c r="K25" s="63"/>
      <c r="L25" s="63"/>
      <c r="M25" s="63"/>
      <c r="N25" s="63"/>
      <c r="O25" s="63"/>
    </row>
    <row r="26" spans="2:15" ht="15.75" customHeight="1">
      <c r="B26" s="5409">
        <v>2016</v>
      </c>
      <c r="C26" s="5409"/>
      <c r="D26" s="192"/>
      <c r="E26" s="192"/>
      <c r="F26" s="192"/>
      <c r="G26" s="63"/>
      <c r="H26" s="63"/>
      <c r="I26" s="63"/>
      <c r="J26" s="63"/>
      <c r="K26" s="63"/>
      <c r="L26" s="63"/>
      <c r="M26" s="63"/>
      <c r="N26" s="63"/>
      <c r="O26" s="63"/>
    </row>
    <row r="27" spans="2:15" ht="15.75" customHeight="1">
      <c r="B27" s="1977" t="s">
        <v>564</v>
      </c>
      <c r="C27" s="623" t="s">
        <v>565</v>
      </c>
      <c r="D27" s="2106" t="s">
        <v>1891</v>
      </c>
      <c r="E27" s="192"/>
      <c r="F27" s="192"/>
      <c r="G27" s="63"/>
      <c r="H27" s="63"/>
      <c r="I27" s="63"/>
      <c r="J27" s="63"/>
      <c r="K27" s="63"/>
      <c r="L27" s="63"/>
      <c r="M27" s="63"/>
      <c r="N27" s="63"/>
      <c r="O27" s="63"/>
    </row>
    <row r="28" spans="2:15" ht="15.75" customHeight="1">
      <c r="B28" s="1978" t="s">
        <v>87</v>
      </c>
      <c r="C28" s="1979">
        <v>2600</v>
      </c>
      <c r="D28" s="84">
        <f>C28/$F$34</f>
        <v>2.5390625</v>
      </c>
      <c r="E28" s="192"/>
      <c r="F28" s="192"/>
      <c r="G28" s="63"/>
      <c r="H28" s="63"/>
      <c r="I28" s="63"/>
      <c r="J28" s="63"/>
      <c r="K28" s="63"/>
      <c r="L28" s="63"/>
      <c r="M28" s="63"/>
      <c r="N28" s="63"/>
      <c r="O28" s="63"/>
    </row>
    <row r="29" spans="2:15" ht="15.75" customHeight="1">
      <c r="B29" s="152" t="s">
        <v>432</v>
      </c>
      <c r="C29" s="193">
        <v>2600</v>
      </c>
      <c r="D29" s="84">
        <f t="shared" ref="D29:D33" si="0">C29/$F$34</f>
        <v>2.5390625</v>
      </c>
      <c r="E29" s="192"/>
      <c r="F29" s="192"/>
      <c r="G29" s="63"/>
      <c r="H29" s="63"/>
      <c r="I29" s="63"/>
      <c r="J29" s="63"/>
      <c r="K29" s="63"/>
      <c r="L29" s="63"/>
      <c r="M29" s="63"/>
      <c r="N29" s="63"/>
      <c r="O29" s="63"/>
    </row>
    <row r="30" spans="2:15" ht="15.75" customHeight="1">
      <c r="B30" s="152" t="s">
        <v>433</v>
      </c>
      <c r="C30" s="193">
        <v>2600</v>
      </c>
      <c r="D30" s="84">
        <f t="shared" si="0"/>
        <v>2.5390625</v>
      </c>
      <c r="E30" s="192"/>
      <c r="F30" s="192"/>
      <c r="G30" s="63"/>
      <c r="H30" s="63"/>
      <c r="I30" s="63"/>
      <c r="J30" s="63"/>
      <c r="K30" s="63"/>
      <c r="L30" s="63"/>
      <c r="M30" s="63"/>
      <c r="N30" s="63"/>
      <c r="O30" s="63"/>
    </row>
    <row r="31" spans="2:15" ht="15.75" customHeight="1">
      <c r="B31" s="152" t="s">
        <v>435</v>
      </c>
      <c r="C31" s="193">
        <v>2600</v>
      </c>
      <c r="D31" s="84">
        <f t="shared" si="0"/>
        <v>2.5390625</v>
      </c>
      <c r="E31" s="192"/>
      <c r="F31" s="192"/>
      <c r="G31" s="63"/>
      <c r="H31" s="63"/>
      <c r="I31" s="63"/>
      <c r="J31" s="63"/>
      <c r="K31" s="63"/>
      <c r="L31" s="63"/>
      <c r="M31" s="63"/>
      <c r="N31" s="63"/>
      <c r="O31" s="63"/>
    </row>
    <row r="32" spans="2:15" ht="15.75" customHeight="1">
      <c r="B32" s="152" t="s">
        <v>436</v>
      </c>
      <c r="C32" s="193">
        <v>1600</v>
      </c>
      <c r="D32" s="84">
        <f t="shared" si="0"/>
        <v>1.5625</v>
      </c>
      <c r="E32" s="192"/>
      <c r="F32" s="192"/>
      <c r="G32" s="63"/>
      <c r="H32" s="63"/>
      <c r="I32" s="63"/>
      <c r="J32" s="63"/>
      <c r="K32" s="63"/>
      <c r="L32" s="63"/>
      <c r="M32" s="63"/>
      <c r="N32" s="63"/>
      <c r="O32" s="63"/>
    </row>
    <row r="33" spans="2:15" ht="15.75" customHeight="1">
      <c r="B33" s="1980" t="s">
        <v>438</v>
      </c>
      <c r="C33" s="1981">
        <v>2600</v>
      </c>
      <c r="D33" s="84">
        <f t="shared" si="0"/>
        <v>2.5390625</v>
      </c>
      <c r="E33" s="2053" t="s">
        <v>1892</v>
      </c>
      <c r="F33" s="80">
        <v>9.77E-4</v>
      </c>
      <c r="G33" s="80" t="s">
        <v>1891</v>
      </c>
      <c r="H33" s="63"/>
      <c r="I33" s="63"/>
      <c r="J33" s="63"/>
      <c r="K33" s="63"/>
      <c r="L33" s="63"/>
      <c r="M33" s="63"/>
      <c r="N33" s="63"/>
      <c r="O33" s="63"/>
    </row>
    <row r="34" spans="2:15" ht="15.75" customHeight="1">
      <c r="B34" s="1977" t="s">
        <v>71</v>
      </c>
      <c r="C34" s="1982">
        <f>SUM(C28:C33)</f>
        <v>14600</v>
      </c>
      <c r="D34" s="84">
        <f>C34/F34</f>
        <v>14.2578125</v>
      </c>
      <c r="E34" s="2053" t="s">
        <v>1893</v>
      </c>
      <c r="F34" s="2420">
        <v>1024</v>
      </c>
      <c r="G34" s="80" t="s">
        <v>565</v>
      </c>
      <c r="J34" s="63"/>
      <c r="K34" s="63"/>
      <c r="L34" s="63"/>
      <c r="M34" s="63"/>
      <c r="N34" s="63"/>
      <c r="O34" s="63"/>
    </row>
    <row r="35" spans="2:15" ht="15.75" customHeight="1">
      <c r="B35" s="54" t="s">
        <v>330</v>
      </c>
      <c r="D35" s="192"/>
      <c r="E35" s="192"/>
      <c r="F35" s="192"/>
      <c r="G35" s="63"/>
      <c r="H35" s="63"/>
      <c r="I35" s="63"/>
      <c r="J35" s="63"/>
      <c r="K35" s="63"/>
      <c r="L35" s="63"/>
      <c r="M35" s="63"/>
      <c r="N35" s="63"/>
      <c r="O35" s="63"/>
    </row>
    <row r="36" spans="2:15" ht="15.75" customHeight="1">
      <c r="B36" s="54"/>
      <c r="D36" s="192"/>
      <c r="E36" s="192"/>
      <c r="F36" s="192"/>
      <c r="G36" s="63"/>
      <c r="H36" s="63"/>
      <c r="I36" s="63"/>
      <c r="J36" s="63"/>
      <c r="K36" s="63"/>
      <c r="L36" s="63"/>
      <c r="M36" s="63"/>
      <c r="N36" s="63"/>
      <c r="O36" s="63"/>
    </row>
    <row r="37" spans="2:15" ht="15.75" customHeight="1">
      <c r="B37" s="5410">
        <v>2015</v>
      </c>
      <c r="C37" s="5410"/>
      <c r="D37" s="192"/>
      <c r="E37" s="192"/>
      <c r="F37" s="192"/>
      <c r="G37" s="63"/>
      <c r="H37" s="63"/>
      <c r="I37" s="63"/>
      <c r="J37" s="63"/>
      <c r="K37" s="63"/>
      <c r="L37" s="63"/>
      <c r="M37" s="63"/>
      <c r="N37" s="63"/>
      <c r="O37" s="63"/>
    </row>
    <row r="38" spans="2:15" ht="15.75" customHeight="1">
      <c r="B38" s="1977" t="s">
        <v>564</v>
      </c>
      <c r="C38" s="1977" t="s">
        <v>565</v>
      </c>
      <c r="D38" s="192"/>
      <c r="E38" s="192"/>
      <c r="F38" s="192"/>
      <c r="G38" s="63"/>
      <c r="H38" s="63"/>
      <c r="I38" s="63"/>
      <c r="J38" s="63"/>
      <c r="K38" s="63"/>
      <c r="L38" s="63"/>
      <c r="M38" s="63"/>
      <c r="N38" s="63"/>
      <c r="O38" s="63"/>
    </row>
    <row r="39" spans="2:15" ht="15.75" customHeight="1">
      <c r="B39" s="1978" t="s">
        <v>87</v>
      </c>
      <c r="C39" s="1979">
        <v>100</v>
      </c>
      <c r="D39" s="192"/>
      <c r="E39" s="192"/>
      <c r="F39" s="192"/>
      <c r="G39" s="63"/>
      <c r="H39" s="63"/>
      <c r="I39" s="63"/>
      <c r="J39" s="63"/>
      <c r="K39" s="63"/>
      <c r="L39" s="63"/>
      <c r="M39" s="63"/>
      <c r="N39" s="63"/>
      <c r="O39" s="63"/>
    </row>
    <row r="40" spans="2:15" ht="15.75" customHeight="1">
      <c r="B40" s="152" t="s">
        <v>432</v>
      </c>
      <c r="C40" s="193">
        <v>200</v>
      </c>
      <c r="D40" s="192"/>
      <c r="E40" s="192"/>
      <c r="F40" s="192"/>
      <c r="G40" s="63"/>
      <c r="H40" s="63"/>
      <c r="I40" s="63"/>
      <c r="J40" s="63"/>
      <c r="K40" s="63"/>
      <c r="L40" s="63"/>
      <c r="M40" s="63"/>
      <c r="N40" s="63"/>
      <c r="O40" s="63"/>
    </row>
    <row r="41" spans="2:15" ht="15.75" customHeight="1">
      <c r="B41" s="152" t="s">
        <v>433</v>
      </c>
      <c r="C41" s="193">
        <v>100</v>
      </c>
      <c r="D41" s="192"/>
      <c r="E41" s="192"/>
      <c r="F41" s="192"/>
      <c r="G41" s="63"/>
      <c r="H41" s="63"/>
      <c r="I41" s="63"/>
      <c r="J41" s="63"/>
      <c r="K41" s="63"/>
      <c r="L41" s="63"/>
      <c r="M41" s="63"/>
      <c r="N41" s="63"/>
      <c r="O41" s="63"/>
    </row>
    <row r="42" spans="2:15" ht="15.75" customHeight="1">
      <c r="B42" s="152" t="s">
        <v>435</v>
      </c>
      <c r="C42" s="193">
        <v>150</v>
      </c>
      <c r="D42" s="192"/>
      <c r="E42" s="192"/>
      <c r="F42" s="192"/>
      <c r="G42" s="63"/>
      <c r="H42" s="63"/>
      <c r="I42" s="63"/>
      <c r="J42" s="63"/>
      <c r="K42" s="63"/>
      <c r="L42" s="63"/>
      <c r="M42" s="63"/>
      <c r="N42" s="63"/>
      <c r="O42" s="63"/>
    </row>
    <row r="43" spans="2:15" ht="15.75" customHeight="1">
      <c r="B43" s="152" t="s">
        <v>436</v>
      </c>
      <c r="C43" s="193">
        <v>60</v>
      </c>
      <c r="D43" s="192"/>
      <c r="E43" s="192"/>
      <c r="F43" s="192"/>
      <c r="G43" s="63"/>
      <c r="H43" s="63"/>
      <c r="I43" s="63"/>
      <c r="J43" s="63"/>
      <c r="K43" s="63"/>
      <c r="L43" s="63"/>
      <c r="M43" s="63"/>
      <c r="N43" s="63"/>
      <c r="O43" s="63"/>
    </row>
    <row r="44" spans="2:15" ht="15.75" customHeight="1">
      <c r="B44" s="1980" t="s">
        <v>438</v>
      </c>
      <c r="C44" s="1981">
        <v>200</v>
      </c>
      <c r="D44" s="192"/>
      <c r="E44" s="192"/>
      <c r="F44" s="192"/>
      <c r="G44" s="63"/>
      <c r="H44" s="63"/>
      <c r="I44" s="63"/>
      <c r="J44" s="63"/>
      <c r="K44" s="63"/>
      <c r="L44" s="63"/>
      <c r="M44" s="63"/>
      <c r="N44" s="63"/>
      <c r="O44" s="63"/>
    </row>
    <row r="45" spans="2:15" ht="15.75" customHeight="1">
      <c r="B45" s="1977" t="s">
        <v>71</v>
      </c>
      <c r="C45" s="1982">
        <f>SUM(C39:C44)</f>
        <v>810</v>
      </c>
      <c r="D45" s="192"/>
      <c r="E45" s="192"/>
      <c r="F45" s="192"/>
      <c r="G45" s="63"/>
      <c r="H45" s="63"/>
      <c r="I45" s="63"/>
      <c r="J45" s="63"/>
      <c r="K45" s="63"/>
      <c r="L45" s="63"/>
      <c r="M45" s="63"/>
      <c r="N45" s="63"/>
      <c r="O45" s="63"/>
    </row>
    <row r="46" spans="2:15" ht="15.75" customHeight="1">
      <c r="B46" s="54" t="s">
        <v>330</v>
      </c>
      <c r="D46" s="192"/>
      <c r="E46" s="192"/>
      <c r="F46" s="192"/>
      <c r="G46" s="63"/>
      <c r="H46" s="63"/>
      <c r="I46" s="63"/>
      <c r="J46" s="63"/>
      <c r="K46" s="63"/>
      <c r="L46" s="63"/>
      <c r="M46" s="63"/>
      <c r="N46" s="63"/>
      <c r="O46" s="63"/>
    </row>
    <row r="47" spans="2:15" ht="15.75" customHeight="1">
      <c r="B47" s="363"/>
      <c r="C47" s="363"/>
      <c r="D47" s="192"/>
      <c r="E47" s="192"/>
      <c r="F47" s="192"/>
      <c r="G47" s="63"/>
      <c r="H47" s="63"/>
      <c r="I47" s="63"/>
      <c r="J47" s="63"/>
      <c r="K47" s="63"/>
      <c r="L47" s="63"/>
      <c r="M47" s="63"/>
      <c r="N47" s="63"/>
      <c r="O47" s="63"/>
    </row>
    <row r="48" spans="2:15" ht="15.75" customHeight="1">
      <c r="B48" s="5406">
        <v>2014</v>
      </c>
      <c r="C48" s="5406"/>
      <c r="D48" s="192"/>
      <c r="E48" s="192"/>
      <c r="F48" s="192"/>
      <c r="G48" s="63"/>
      <c r="H48" s="63"/>
      <c r="I48" s="63"/>
      <c r="J48" s="63"/>
      <c r="K48" s="63"/>
      <c r="L48" s="63"/>
      <c r="M48" s="63"/>
      <c r="N48" s="63"/>
      <c r="O48" s="63"/>
    </row>
    <row r="49" spans="2:15" ht="15.75" customHeight="1">
      <c r="B49" s="623" t="s">
        <v>564</v>
      </c>
      <c r="C49" s="623" t="s">
        <v>565</v>
      </c>
      <c r="D49" s="192"/>
      <c r="E49" s="192"/>
      <c r="F49" s="192"/>
      <c r="G49" s="63"/>
      <c r="H49" s="63"/>
      <c r="I49" s="63"/>
      <c r="J49" s="63"/>
      <c r="K49" s="63"/>
      <c r="L49" s="63"/>
      <c r="M49" s="63"/>
      <c r="N49" s="63"/>
      <c r="O49" s="63"/>
    </row>
    <row r="50" spans="2:15" ht="15.75" customHeight="1">
      <c r="B50" s="624" t="s">
        <v>87</v>
      </c>
      <c r="C50" s="625">
        <v>100</v>
      </c>
      <c r="D50" s="192"/>
      <c r="E50" s="192"/>
      <c r="F50" s="192"/>
      <c r="G50" s="63"/>
      <c r="H50" s="63"/>
      <c r="I50" s="63"/>
      <c r="J50" s="63"/>
      <c r="K50" s="63"/>
      <c r="L50" s="63"/>
      <c r="M50" s="63"/>
      <c r="N50" s="63"/>
      <c r="O50" s="63"/>
    </row>
    <row r="51" spans="2:15" ht="15.75" customHeight="1">
      <c r="B51" s="152" t="s">
        <v>432</v>
      </c>
      <c r="C51" s="193">
        <v>200</v>
      </c>
      <c r="D51" s="192"/>
      <c r="E51" s="192"/>
      <c r="F51" s="192"/>
      <c r="G51" s="63"/>
      <c r="H51" s="63"/>
      <c r="I51" s="63"/>
      <c r="J51" s="63"/>
      <c r="K51" s="63"/>
      <c r="L51" s="63"/>
      <c r="M51" s="63"/>
      <c r="N51" s="63"/>
      <c r="O51" s="63"/>
    </row>
    <row r="52" spans="2:15" ht="15.75" customHeight="1">
      <c r="B52" s="152" t="s">
        <v>433</v>
      </c>
      <c r="C52" s="193">
        <v>100</v>
      </c>
      <c r="D52" s="192"/>
      <c r="E52" s="192"/>
      <c r="F52" s="192"/>
      <c r="G52" s="63"/>
      <c r="H52" s="63"/>
      <c r="I52" s="63"/>
      <c r="J52" s="63"/>
      <c r="K52" s="63"/>
      <c r="L52" s="63"/>
      <c r="M52" s="63"/>
      <c r="N52" s="63"/>
      <c r="O52" s="63"/>
    </row>
    <row r="53" spans="2:15" ht="15.75" customHeight="1">
      <c r="B53" s="152" t="s">
        <v>435</v>
      </c>
      <c r="C53" s="193">
        <v>150</v>
      </c>
      <c r="D53" s="192"/>
      <c r="E53" s="192"/>
      <c r="F53" s="192"/>
      <c r="G53" s="63"/>
      <c r="H53" s="63"/>
      <c r="I53" s="63"/>
      <c r="J53" s="63"/>
      <c r="K53" s="63"/>
      <c r="L53" s="63"/>
      <c r="M53" s="63"/>
      <c r="N53" s="63"/>
      <c r="O53" s="63"/>
    </row>
    <row r="54" spans="2:15" ht="15.75" customHeight="1">
      <c r="B54" s="152" t="s">
        <v>436</v>
      </c>
      <c r="C54" s="193">
        <v>60</v>
      </c>
      <c r="D54" s="192"/>
      <c r="E54" s="192"/>
      <c r="F54" s="192"/>
      <c r="G54" s="63"/>
      <c r="H54" s="63"/>
      <c r="I54" s="63"/>
      <c r="J54" s="63"/>
      <c r="K54" s="63"/>
      <c r="L54" s="63"/>
      <c r="M54" s="63"/>
      <c r="N54" s="63"/>
      <c r="O54" s="63"/>
    </row>
    <row r="55" spans="2:15" ht="15.75" customHeight="1">
      <c r="B55" s="626" t="s">
        <v>438</v>
      </c>
      <c r="C55" s="627">
        <v>200</v>
      </c>
      <c r="D55" s="192"/>
      <c r="E55" s="192"/>
      <c r="F55" s="192"/>
      <c r="G55" s="63"/>
      <c r="H55" s="63"/>
      <c r="I55" s="63"/>
      <c r="J55" s="63"/>
      <c r="K55" s="63"/>
      <c r="L55" s="63"/>
      <c r="M55" s="63"/>
      <c r="N55" s="63"/>
      <c r="O55" s="63"/>
    </row>
    <row r="56" spans="2:15" ht="15.75" customHeight="1">
      <c r="B56" s="623" t="s">
        <v>71</v>
      </c>
      <c r="C56" s="628">
        <f>SUM(C50:C55)</f>
        <v>810</v>
      </c>
      <c r="D56" s="192"/>
      <c r="E56" s="192"/>
      <c r="F56" s="192"/>
      <c r="G56" s="63"/>
      <c r="H56" s="63"/>
      <c r="I56" s="63"/>
      <c r="J56" s="63"/>
      <c r="K56" s="63"/>
      <c r="L56" s="63"/>
      <c r="M56" s="63"/>
      <c r="N56" s="63"/>
      <c r="O56" s="63"/>
    </row>
    <row r="57" spans="2:15" ht="15.75" customHeight="1">
      <c r="B57" s="54" t="s">
        <v>330</v>
      </c>
      <c r="D57" s="192"/>
      <c r="E57" s="192"/>
      <c r="F57" s="192"/>
      <c r="G57" s="63"/>
      <c r="H57" s="63"/>
      <c r="I57" s="63"/>
      <c r="J57" s="63"/>
      <c r="K57" s="63"/>
      <c r="L57" s="63"/>
      <c r="M57" s="63"/>
      <c r="N57" s="63"/>
      <c r="O57" s="63"/>
    </row>
    <row r="58" spans="2:15" ht="15.75" customHeight="1">
      <c r="B58" s="363"/>
      <c r="C58" s="363"/>
      <c r="D58" s="192"/>
      <c r="E58" s="192"/>
      <c r="F58" s="192"/>
      <c r="G58" s="63"/>
      <c r="H58" s="63"/>
      <c r="I58" s="63"/>
      <c r="J58" s="63"/>
      <c r="K58" s="63"/>
      <c r="L58" s="63"/>
      <c r="M58" s="63"/>
      <c r="N58" s="63"/>
      <c r="O58" s="63"/>
    </row>
    <row r="59" spans="2:15" ht="15.75" customHeight="1">
      <c r="B59" s="5406">
        <v>2013</v>
      </c>
      <c r="C59" s="5406"/>
      <c r="D59" s="192"/>
      <c r="E59" s="192"/>
      <c r="F59" s="192"/>
      <c r="G59" s="63"/>
      <c r="H59" s="63"/>
      <c r="I59" s="63"/>
      <c r="J59" s="63"/>
      <c r="K59" s="63"/>
      <c r="L59" s="63"/>
      <c r="M59" s="63"/>
      <c r="N59" s="63"/>
      <c r="O59" s="63"/>
    </row>
    <row r="60" spans="2:15" ht="15.75" customHeight="1">
      <c r="B60" s="623" t="s">
        <v>564</v>
      </c>
      <c r="C60" s="623" t="s">
        <v>565</v>
      </c>
      <c r="D60" s="192"/>
      <c r="E60" s="192"/>
      <c r="F60" s="192"/>
      <c r="G60" s="63"/>
      <c r="H60" s="63"/>
      <c r="I60" s="63"/>
      <c r="J60" s="63"/>
      <c r="K60" s="63"/>
      <c r="L60" s="63"/>
      <c r="M60" s="63"/>
      <c r="N60" s="63"/>
      <c r="O60" s="63"/>
    </row>
    <row r="61" spans="2:15" ht="15.75" customHeight="1">
      <c r="B61" s="624" t="s">
        <v>87</v>
      </c>
      <c r="C61" s="625">
        <v>100</v>
      </c>
      <c r="D61" s="192"/>
      <c r="E61" s="192"/>
      <c r="F61" s="192"/>
      <c r="G61" s="63"/>
      <c r="H61" s="63"/>
      <c r="I61" s="63"/>
      <c r="J61" s="63"/>
      <c r="K61" s="63"/>
      <c r="L61" s="63"/>
      <c r="M61" s="63"/>
      <c r="N61" s="63"/>
      <c r="O61" s="63"/>
    </row>
    <row r="62" spans="2:15" ht="15.75" customHeight="1">
      <c r="B62" s="152" t="s">
        <v>432</v>
      </c>
      <c r="C62" s="193">
        <v>200</v>
      </c>
      <c r="D62" s="192"/>
      <c r="E62" s="192"/>
      <c r="F62" s="192"/>
      <c r="G62" s="63"/>
      <c r="H62" s="63"/>
      <c r="I62" s="63"/>
      <c r="J62" s="63"/>
      <c r="K62" s="63"/>
      <c r="L62" s="63"/>
      <c r="M62" s="63"/>
      <c r="N62" s="63"/>
      <c r="O62" s="63"/>
    </row>
    <row r="63" spans="2:15" ht="15.75" customHeight="1">
      <c r="B63" s="152" t="s">
        <v>433</v>
      </c>
      <c r="C63" s="193">
        <v>40</v>
      </c>
      <c r="D63" s="194" t="s">
        <v>651</v>
      </c>
      <c r="F63" s="192"/>
      <c r="G63" s="63"/>
      <c r="H63" s="63"/>
      <c r="I63" s="63"/>
      <c r="J63" s="63"/>
      <c r="K63" s="63"/>
      <c r="L63" s="63"/>
      <c r="M63" s="63"/>
      <c r="N63" s="63"/>
      <c r="O63" s="63"/>
    </row>
    <row r="64" spans="2:15" ht="15.75" customHeight="1">
      <c r="B64" s="152" t="s">
        <v>435</v>
      </c>
      <c r="C64" s="193">
        <v>100</v>
      </c>
      <c r="D64" s="194" t="s">
        <v>652</v>
      </c>
      <c r="E64" s="192"/>
      <c r="F64" s="192"/>
      <c r="G64" s="63"/>
      <c r="H64" s="63"/>
      <c r="I64" s="63"/>
      <c r="J64" s="63"/>
      <c r="K64" s="63"/>
      <c r="L64" s="63"/>
      <c r="M64" s="63"/>
      <c r="N64" s="63"/>
      <c r="O64" s="63"/>
    </row>
    <row r="65" spans="2:15" ht="15.75" customHeight="1">
      <c r="B65" s="152" t="s">
        <v>436</v>
      </c>
      <c r="C65" s="193">
        <v>60</v>
      </c>
      <c r="D65" s="192"/>
      <c r="E65" s="192"/>
      <c r="F65" s="192"/>
      <c r="G65" s="63"/>
      <c r="H65" s="63"/>
      <c r="I65" s="63"/>
      <c r="J65" s="63"/>
      <c r="K65" s="63"/>
      <c r="L65" s="63"/>
      <c r="M65" s="63"/>
      <c r="N65" s="63"/>
      <c r="O65" s="63"/>
    </row>
    <row r="66" spans="2:15" ht="15.75" customHeight="1">
      <c r="B66" s="626" t="s">
        <v>438</v>
      </c>
      <c r="C66" s="627">
        <v>200</v>
      </c>
      <c r="D66" s="192"/>
      <c r="E66" s="192"/>
      <c r="F66" s="192"/>
      <c r="G66" s="63"/>
      <c r="H66" s="63"/>
      <c r="I66" s="63"/>
      <c r="J66" s="63"/>
      <c r="K66" s="63"/>
      <c r="L66" s="63"/>
      <c r="M66" s="63"/>
      <c r="N66" s="63"/>
      <c r="O66" s="63"/>
    </row>
    <row r="67" spans="2:15" ht="15.75" customHeight="1">
      <c r="B67" s="623" t="s">
        <v>71</v>
      </c>
      <c r="C67" s="623">
        <f>SUM(C61:C66)</f>
        <v>700</v>
      </c>
      <c r="D67" s="192"/>
      <c r="E67" s="192"/>
      <c r="F67" s="192"/>
      <c r="G67" s="63"/>
      <c r="H67" s="63"/>
      <c r="I67" s="63"/>
      <c r="J67" s="63"/>
      <c r="K67" s="63"/>
      <c r="L67" s="63"/>
      <c r="M67" s="63"/>
      <c r="N67" s="63"/>
      <c r="O67" s="63"/>
    </row>
    <row r="68" spans="2:15" ht="15.75" customHeight="1">
      <c r="B68" s="54" t="s">
        <v>330</v>
      </c>
      <c r="D68" s="192"/>
      <c r="E68" s="192"/>
      <c r="F68" s="192"/>
      <c r="G68" s="63"/>
      <c r="H68" s="63"/>
      <c r="I68" s="63"/>
      <c r="J68" s="63"/>
      <c r="K68" s="63"/>
      <c r="L68" s="63"/>
      <c r="M68" s="63"/>
      <c r="N68" s="63"/>
      <c r="O68" s="63"/>
    </row>
    <row r="69" spans="2:15" ht="15.75" customHeight="1">
      <c r="B69" s="363"/>
      <c r="C69" s="363"/>
      <c r="D69" s="192"/>
      <c r="E69" s="192"/>
      <c r="F69" s="192"/>
      <c r="G69" s="63"/>
      <c r="H69" s="63"/>
      <c r="I69" s="63"/>
      <c r="J69" s="63"/>
      <c r="K69" s="63"/>
      <c r="L69" s="63"/>
      <c r="M69" s="63"/>
      <c r="N69" s="63"/>
      <c r="O69" s="63"/>
    </row>
    <row r="70" spans="2:15" ht="15.75" customHeight="1">
      <c r="B70" s="5407">
        <v>2012</v>
      </c>
      <c r="C70" s="5407"/>
      <c r="D70" s="192"/>
      <c r="E70" s="192"/>
      <c r="F70" s="192"/>
      <c r="G70" s="63"/>
      <c r="H70" s="63"/>
      <c r="I70" s="63"/>
      <c r="J70" s="63"/>
      <c r="K70" s="63"/>
      <c r="L70" s="63"/>
      <c r="M70" s="63"/>
      <c r="N70" s="63"/>
      <c r="O70" s="63"/>
    </row>
    <row r="71" spans="2:15" ht="15.75" customHeight="1">
      <c r="B71" s="623" t="s">
        <v>564</v>
      </c>
      <c r="C71" s="623" t="s">
        <v>565</v>
      </c>
      <c r="D71" s="192"/>
      <c r="E71" s="192"/>
      <c r="F71" s="192"/>
      <c r="G71" s="63"/>
      <c r="H71" s="63"/>
      <c r="I71" s="63"/>
      <c r="J71" s="63"/>
      <c r="K71" s="63"/>
      <c r="L71" s="63"/>
      <c r="M71" s="63"/>
      <c r="N71" s="63"/>
      <c r="O71" s="63"/>
    </row>
    <row r="72" spans="2:15" ht="15.75" customHeight="1">
      <c r="B72" s="624" t="s">
        <v>87</v>
      </c>
      <c r="C72" s="625">
        <v>100</v>
      </c>
      <c r="D72" s="192"/>
      <c r="E72" s="192"/>
      <c r="F72" s="192"/>
      <c r="G72" s="63"/>
      <c r="H72" s="63"/>
      <c r="I72" s="63"/>
      <c r="J72" s="63"/>
      <c r="K72" s="63"/>
      <c r="L72" s="63"/>
      <c r="M72" s="63"/>
      <c r="N72" s="63"/>
      <c r="O72" s="63"/>
    </row>
    <row r="73" spans="2:15" ht="15.75" customHeight="1">
      <c r="B73" s="152" t="s">
        <v>432</v>
      </c>
      <c r="C73" s="193">
        <v>200</v>
      </c>
      <c r="D73" s="192"/>
      <c r="E73" s="192"/>
      <c r="F73" s="192"/>
      <c r="G73" s="63"/>
      <c r="H73" s="63"/>
      <c r="I73" s="63"/>
      <c r="J73" s="63"/>
      <c r="K73" s="63"/>
      <c r="L73" s="63"/>
      <c r="M73" s="63"/>
      <c r="N73" s="63"/>
      <c r="O73" s="63"/>
    </row>
    <row r="74" spans="2:15" ht="15.75" customHeight="1">
      <c r="B74" s="152" t="s">
        <v>433</v>
      </c>
      <c r="C74" s="193">
        <v>40</v>
      </c>
      <c r="D74" s="192"/>
      <c r="E74" s="192"/>
      <c r="F74" s="192"/>
      <c r="G74" s="63"/>
      <c r="H74" s="63"/>
      <c r="I74" s="63"/>
      <c r="J74" s="63"/>
      <c r="K74" s="63"/>
      <c r="L74" s="63"/>
      <c r="M74" s="63"/>
      <c r="N74" s="63"/>
      <c r="O74" s="63"/>
    </row>
    <row r="75" spans="2:15" ht="15.75" customHeight="1">
      <c r="B75" s="152" t="s">
        <v>435</v>
      </c>
      <c r="C75" s="193">
        <v>100</v>
      </c>
      <c r="D75" s="192"/>
      <c r="E75" s="192"/>
      <c r="F75" s="192"/>
      <c r="G75" s="63"/>
      <c r="H75" s="63"/>
      <c r="I75" s="63"/>
      <c r="J75" s="63"/>
      <c r="K75" s="63"/>
      <c r="L75" s="63"/>
      <c r="M75" s="63"/>
      <c r="N75" s="63"/>
      <c r="O75" s="63"/>
    </row>
    <row r="76" spans="2:15" ht="15.75" customHeight="1">
      <c r="B76" s="152" t="s">
        <v>436</v>
      </c>
      <c r="C76" s="193">
        <v>4</v>
      </c>
      <c r="D76" s="192"/>
      <c r="E76" s="192"/>
      <c r="F76" s="192"/>
      <c r="G76" s="63"/>
      <c r="H76" s="63"/>
      <c r="I76" s="63"/>
      <c r="J76" s="63"/>
      <c r="K76" s="63"/>
      <c r="L76" s="63"/>
      <c r="M76" s="63"/>
      <c r="N76" s="63"/>
      <c r="O76" s="63"/>
    </row>
    <row r="77" spans="2:15" ht="15.75" customHeight="1">
      <c r="B77" s="626" t="s">
        <v>438</v>
      </c>
      <c r="C77" s="627">
        <v>100</v>
      </c>
      <c r="D77" s="192"/>
      <c r="E77" s="192"/>
      <c r="F77" s="192"/>
      <c r="G77" s="63"/>
      <c r="H77" s="63"/>
      <c r="I77" s="63"/>
      <c r="J77" s="63"/>
      <c r="K77" s="63"/>
      <c r="L77" s="63"/>
      <c r="M77" s="63"/>
      <c r="N77" s="63"/>
      <c r="O77" s="63"/>
    </row>
    <row r="78" spans="2:15" ht="15.75" customHeight="1">
      <c r="B78" s="623" t="s">
        <v>71</v>
      </c>
      <c r="C78" s="623">
        <f>SUM(C72:C77)</f>
        <v>544</v>
      </c>
      <c r="D78" s="192"/>
      <c r="E78" s="192"/>
      <c r="F78" s="192"/>
      <c r="G78" s="63"/>
      <c r="H78" s="63"/>
      <c r="I78" s="63"/>
      <c r="J78" s="63"/>
      <c r="K78" s="63"/>
      <c r="L78" s="63"/>
      <c r="M78" s="63"/>
      <c r="N78" s="63"/>
      <c r="O78" s="63"/>
    </row>
    <row r="79" spans="2:15" ht="15.75" customHeight="1">
      <c r="B79" s="54" t="s">
        <v>330</v>
      </c>
      <c r="D79" s="192"/>
      <c r="E79" s="192"/>
      <c r="F79" s="192"/>
      <c r="G79" s="63"/>
      <c r="H79" s="63"/>
      <c r="I79" s="63"/>
      <c r="J79" s="63"/>
      <c r="K79" s="63"/>
      <c r="L79" s="63"/>
      <c r="M79" s="63"/>
      <c r="N79" s="63"/>
      <c r="O79" s="63"/>
    </row>
    <row r="80" spans="2:15" ht="15.75" customHeight="1">
      <c r="B80" s="363"/>
      <c r="C80" s="363"/>
      <c r="D80" s="192"/>
      <c r="E80" s="192"/>
      <c r="F80" s="192"/>
      <c r="G80" s="63"/>
      <c r="H80" s="63"/>
      <c r="I80" s="63"/>
      <c r="J80" s="63"/>
      <c r="K80" s="63"/>
      <c r="L80" s="63"/>
      <c r="M80" s="63"/>
      <c r="N80" s="63"/>
      <c r="O80" s="63"/>
    </row>
    <row r="81" spans="2:4" ht="20.100000000000001" customHeight="1" thickBot="1">
      <c r="B81" s="5408">
        <v>2011</v>
      </c>
      <c r="C81" s="5408"/>
      <c r="D81" s="126"/>
    </row>
    <row r="82" spans="2:4" ht="20.100000000000001" customHeight="1">
      <c r="B82" s="90" t="s">
        <v>87</v>
      </c>
      <c r="C82" s="91" t="s">
        <v>431</v>
      </c>
    </row>
    <row r="83" spans="2:4" ht="20.100000000000001" customHeight="1">
      <c r="B83" s="90" t="s">
        <v>432</v>
      </c>
      <c r="C83" s="91" t="s">
        <v>431</v>
      </c>
    </row>
    <row r="84" spans="2:4" ht="20.100000000000001" customHeight="1">
      <c r="B84" s="90" t="s">
        <v>433</v>
      </c>
      <c r="C84" s="91" t="s">
        <v>434</v>
      </c>
    </row>
    <row r="85" spans="2:4" ht="20.100000000000001" customHeight="1">
      <c r="B85" s="90" t="s">
        <v>435</v>
      </c>
      <c r="C85" s="91" t="s">
        <v>431</v>
      </c>
    </row>
    <row r="86" spans="2:4" ht="20.100000000000001" customHeight="1">
      <c r="B86" s="90" t="s">
        <v>436</v>
      </c>
      <c r="C86" s="91" t="s">
        <v>437</v>
      </c>
    </row>
    <row r="87" spans="2:4" ht="20.100000000000001" customHeight="1">
      <c r="B87" s="90" t="s">
        <v>438</v>
      </c>
      <c r="C87" s="91" t="s">
        <v>431</v>
      </c>
    </row>
    <row r="88" spans="2:4" ht="15.75" thickBot="1">
      <c r="B88" s="92" t="s">
        <v>71</v>
      </c>
      <c r="C88" s="195" t="s">
        <v>518</v>
      </c>
    </row>
    <row r="89" spans="2:4" ht="20.100000000000001" customHeight="1">
      <c r="B89" s="54" t="s">
        <v>330</v>
      </c>
    </row>
    <row r="90" spans="2:4">
      <c r="B90" s="237"/>
      <c r="C90" s="1"/>
    </row>
    <row r="92" spans="2:4" ht="20.100000000000001" customHeight="1">
      <c r="B92" s="5403">
        <v>2010</v>
      </c>
      <c r="C92" s="5404"/>
    </row>
    <row r="93" spans="2:4" ht="20.100000000000001" customHeight="1">
      <c r="B93" s="629" t="s">
        <v>445</v>
      </c>
      <c r="C93" s="301">
        <v>90</v>
      </c>
    </row>
    <row r="94" spans="2:4" ht="20.100000000000001" customHeight="1">
      <c r="B94" s="629" t="s">
        <v>3</v>
      </c>
      <c r="C94" s="301">
        <v>8</v>
      </c>
    </row>
    <row r="95" spans="2:4" ht="20.100000000000001" customHeight="1">
      <c r="B95" s="629" t="s">
        <v>25</v>
      </c>
      <c r="C95" s="301">
        <v>34</v>
      </c>
    </row>
    <row r="96" spans="2:4" ht="20.100000000000001" customHeight="1">
      <c r="B96" s="629" t="s">
        <v>249</v>
      </c>
      <c r="C96" s="301">
        <v>4</v>
      </c>
    </row>
    <row r="97" spans="2:3" ht="20.100000000000001" customHeight="1">
      <c r="B97" s="299" t="s">
        <v>71</v>
      </c>
      <c r="C97" s="299">
        <f>SUM(C93:C96)</f>
        <v>136</v>
      </c>
    </row>
    <row r="98" spans="2:3" ht="20.100000000000001" customHeight="1">
      <c r="B98" s="54" t="s">
        <v>330</v>
      </c>
    </row>
    <row r="99" spans="2:3" ht="20.100000000000001" customHeight="1"/>
    <row r="100" spans="2:3">
      <c r="B100" s="54"/>
    </row>
    <row r="101" spans="2:3" ht="20.100000000000001" customHeight="1"/>
  </sheetData>
  <mergeCells count="10">
    <mergeCell ref="B92:C92"/>
    <mergeCell ref="B2:C2"/>
    <mergeCell ref="B48:C48"/>
    <mergeCell ref="B59:C59"/>
    <mergeCell ref="B70:C70"/>
    <mergeCell ref="B81:C81"/>
    <mergeCell ref="B26:C26"/>
    <mergeCell ref="B37:C37"/>
    <mergeCell ref="B15:C15"/>
    <mergeCell ref="B4:C4"/>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sheetPr>
    <tabColor theme="7" tint="-0.499984740745262"/>
    <pageSetUpPr fitToPage="1"/>
  </sheetPr>
  <dimension ref="A2:E248"/>
  <sheetViews>
    <sheetView showGridLines="0" workbookViewId="0"/>
  </sheetViews>
  <sheetFormatPr baseColWidth="10" defaultColWidth="17.42578125" defaultRowHeight="15"/>
  <cols>
    <col min="1" max="1" width="24.42578125" customWidth="1"/>
    <col min="2" max="2" width="13.85546875" customWidth="1"/>
    <col min="3" max="3" width="16.7109375" customWidth="1"/>
    <col min="4" max="4" width="23.7109375" bestFit="1" customWidth="1"/>
    <col min="5" max="5" width="11.7109375" customWidth="1"/>
    <col min="6" max="224" width="11.42578125" customWidth="1"/>
    <col min="225" max="225" width="43.85546875" customWidth="1"/>
    <col min="226" max="226" width="17" customWidth="1"/>
  </cols>
  <sheetData>
    <row r="2" spans="1:5" ht="15.75">
      <c r="A2" s="5289" t="s">
        <v>182</v>
      </c>
      <c r="B2" s="5289"/>
      <c r="C2" s="5289"/>
      <c r="D2" s="5289"/>
      <c r="E2" s="5289"/>
    </row>
    <row r="3" spans="1:5" ht="15.75">
      <c r="A3" s="368"/>
      <c r="B3" s="368"/>
      <c r="C3" s="368"/>
      <c r="D3" s="368"/>
      <c r="E3" s="368"/>
    </row>
    <row r="4" spans="1:5" ht="34.5" thickBot="1">
      <c r="A4" s="4778" t="s">
        <v>68</v>
      </c>
      <c r="B4" s="4778" t="s">
        <v>416</v>
      </c>
      <c r="C4" s="4778" t="s">
        <v>183</v>
      </c>
      <c r="D4" s="4779" t="s">
        <v>1889</v>
      </c>
      <c r="E4" s="4780" t="s">
        <v>2817</v>
      </c>
    </row>
    <row r="5" spans="1:5">
      <c r="A5" s="4781" t="s">
        <v>70</v>
      </c>
      <c r="B5" s="4781">
        <v>24</v>
      </c>
      <c r="C5" s="4782">
        <v>8418</v>
      </c>
      <c r="D5" s="4782">
        <v>20990</v>
      </c>
      <c r="E5" s="4783">
        <f>C5/D5</f>
        <v>0.40104811815150071</v>
      </c>
    </row>
    <row r="6" spans="1:5">
      <c r="A6" s="4784" t="s">
        <v>72</v>
      </c>
      <c r="B6" s="4784">
        <v>17</v>
      </c>
      <c r="C6" s="4785">
        <v>1285</v>
      </c>
      <c r="D6" s="4785">
        <v>4069</v>
      </c>
      <c r="E6" s="4786">
        <f t="shared" ref="E6:E8" si="0">C6/D6</f>
        <v>0.31580240845416563</v>
      </c>
    </row>
    <row r="7" spans="1:5">
      <c r="A7" s="4784" t="s">
        <v>73</v>
      </c>
      <c r="B7" s="4784">
        <v>7</v>
      </c>
      <c r="C7" s="4785">
        <v>15570</v>
      </c>
      <c r="D7" s="4785">
        <v>19430</v>
      </c>
      <c r="E7" s="4786">
        <f t="shared" si="0"/>
        <v>0.80133813690169842</v>
      </c>
    </row>
    <row r="8" spans="1:5">
      <c r="A8" s="4784" t="s">
        <v>82</v>
      </c>
      <c r="B8" s="4784">
        <v>15</v>
      </c>
      <c r="C8" s="4785">
        <v>1258</v>
      </c>
      <c r="D8" s="4785">
        <v>1266</v>
      </c>
      <c r="E8" s="4786">
        <f t="shared" si="0"/>
        <v>0.99368088467614535</v>
      </c>
    </row>
    <row r="9" spans="1:5">
      <c r="A9" s="4784" t="s">
        <v>74</v>
      </c>
      <c r="B9" s="4784">
        <v>13</v>
      </c>
      <c r="C9" s="4785">
        <v>2045</v>
      </c>
      <c r="D9" s="4785">
        <v>21560</v>
      </c>
      <c r="E9" s="4786">
        <f>C9/D9</f>
        <v>9.4851576994434139E-2</v>
      </c>
    </row>
    <row r="10" spans="1:5">
      <c r="A10" s="4784" t="s">
        <v>192</v>
      </c>
      <c r="B10" s="4784">
        <v>11</v>
      </c>
      <c r="C10" s="4785">
        <v>1324</v>
      </c>
      <c r="D10" s="4785">
        <v>1226</v>
      </c>
      <c r="E10" s="4786">
        <f t="shared" ref="E10" si="1">C10/D10</f>
        <v>1.0799347471451877</v>
      </c>
    </row>
    <row r="11" spans="1:5">
      <c r="A11" s="4787" t="s">
        <v>67</v>
      </c>
      <c r="B11" s="4787">
        <f>SUM(B5:B10)</f>
        <v>87</v>
      </c>
      <c r="C11" s="4788">
        <f>SUM(C5:C10)</f>
        <v>29900</v>
      </c>
      <c r="D11" s="4788">
        <f>SUM(D5:D10)</f>
        <v>68541</v>
      </c>
      <c r="E11" s="4789">
        <f>C11/D11</f>
        <v>0.43623524605710451</v>
      </c>
    </row>
    <row r="12" spans="1:5" ht="15.75">
      <c r="A12" s="368"/>
      <c r="B12" s="368"/>
      <c r="C12" s="4777" t="s">
        <v>2875</v>
      </c>
      <c r="E12" s="368"/>
    </row>
    <row r="13" spans="1:5" ht="15.75">
      <c r="A13" s="368"/>
      <c r="B13" s="368"/>
      <c r="C13" s="368"/>
      <c r="D13" s="368"/>
      <c r="E13" s="368"/>
    </row>
    <row r="14" spans="1:5" ht="33.75">
      <c r="A14" s="1939" t="s">
        <v>68</v>
      </c>
      <c r="B14" s="1939" t="s">
        <v>416</v>
      </c>
      <c r="C14" s="1939" t="s">
        <v>183</v>
      </c>
      <c r="D14" s="1983" t="s">
        <v>464</v>
      </c>
      <c r="E14" s="2103" t="s">
        <v>2526</v>
      </c>
    </row>
    <row r="15" spans="1:5">
      <c r="A15" s="1931" t="s">
        <v>70</v>
      </c>
      <c r="B15" s="1931">
        <v>24</v>
      </c>
      <c r="C15" s="1940">
        <v>13006</v>
      </c>
      <c r="D15" s="1940">
        <v>20764</v>
      </c>
      <c r="E15" s="1984">
        <f>C15/D15</f>
        <v>0.62637256790599116</v>
      </c>
    </row>
    <row r="16" spans="1:5">
      <c r="A16" s="1931" t="s">
        <v>72</v>
      </c>
      <c r="B16" s="1931">
        <v>12</v>
      </c>
      <c r="C16" s="1940">
        <v>923</v>
      </c>
      <c r="D16" s="1940">
        <v>3813</v>
      </c>
      <c r="E16" s="1984">
        <f t="shared" ref="E16:E20" si="2">C16/D16</f>
        <v>0.24206661421452924</v>
      </c>
    </row>
    <row r="17" spans="1:5">
      <c r="A17" s="1931" t="s">
        <v>73</v>
      </c>
      <c r="B17" s="1931">
        <v>9</v>
      </c>
      <c r="C17" s="1940">
        <v>11218</v>
      </c>
      <c r="D17" s="1940">
        <v>19615</v>
      </c>
      <c r="E17" s="1984">
        <f t="shared" si="2"/>
        <v>0.57190925312261021</v>
      </c>
    </row>
    <row r="18" spans="1:5">
      <c r="A18" s="1931" t="s">
        <v>82</v>
      </c>
      <c r="B18" s="1931">
        <v>11</v>
      </c>
      <c r="C18" s="1940">
        <v>1199</v>
      </c>
      <c r="D18" s="1940">
        <v>1074</v>
      </c>
      <c r="E18" s="1984">
        <f t="shared" si="2"/>
        <v>1.1163873370577282</v>
      </c>
    </row>
    <row r="19" spans="1:5">
      <c r="A19" s="1931" t="s">
        <v>74</v>
      </c>
      <c r="B19" s="1931">
        <v>45</v>
      </c>
      <c r="C19" s="1940">
        <v>24003</v>
      </c>
      <c r="D19" s="1940">
        <v>21184</v>
      </c>
      <c r="E19" s="1984">
        <f>C19/D19</f>
        <v>1.1330721299093656</v>
      </c>
    </row>
    <row r="20" spans="1:5">
      <c r="A20" s="1931" t="s">
        <v>192</v>
      </c>
      <c r="B20" s="1931">
        <v>21</v>
      </c>
      <c r="C20" s="1940">
        <v>1205</v>
      </c>
      <c r="D20" s="1940">
        <v>1244</v>
      </c>
      <c r="E20" s="1984">
        <f t="shared" si="2"/>
        <v>0.9686495176848875</v>
      </c>
    </row>
    <row r="21" spans="1:5">
      <c r="A21" s="1916" t="s">
        <v>67</v>
      </c>
      <c r="B21" s="1916">
        <f>SUM(B15:B20)</f>
        <v>122</v>
      </c>
      <c r="C21" s="1935">
        <f>SUM(C15:C20)</f>
        <v>51554</v>
      </c>
      <c r="D21" s="1935">
        <f>SUM(D15:D20)</f>
        <v>67694</v>
      </c>
      <c r="E21" s="1985">
        <f>C21/D21</f>
        <v>0.76157414246462019</v>
      </c>
    </row>
    <row r="23" spans="1:5" ht="15.75">
      <c r="A23" s="368"/>
      <c r="B23" s="368"/>
      <c r="C23" s="368"/>
      <c r="D23" s="368"/>
      <c r="E23" s="368"/>
    </row>
    <row r="24" spans="1:5" ht="33.75">
      <c r="A24" s="1939" t="s">
        <v>68</v>
      </c>
      <c r="B24" s="1939" t="s">
        <v>416</v>
      </c>
      <c r="C24" s="1939" t="s">
        <v>183</v>
      </c>
      <c r="D24" s="1983" t="s">
        <v>464</v>
      </c>
      <c r="E24" s="2103" t="s">
        <v>1888</v>
      </c>
    </row>
    <row r="25" spans="1:5">
      <c r="A25" s="1931" t="s">
        <v>70</v>
      </c>
      <c r="B25" s="1931">
        <v>22</v>
      </c>
      <c r="C25" s="1940">
        <v>4452</v>
      </c>
      <c r="D25" s="1940">
        <f>18364+2761</f>
        <v>21125</v>
      </c>
      <c r="E25" s="1984">
        <f>C25/D25</f>
        <v>0.21074556213017751</v>
      </c>
    </row>
    <row r="26" spans="1:5">
      <c r="A26" s="1931" t="s">
        <v>72</v>
      </c>
      <c r="B26" s="1931">
        <v>18</v>
      </c>
      <c r="C26" s="1940">
        <v>648</v>
      </c>
      <c r="D26" s="1940">
        <f>2950+525</f>
        <v>3475</v>
      </c>
      <c r="E26" s="1984">
        <f t="shared" ref="E26:E31" si="3">C26/D26</f>
        <v>0.18647482014388489</v>
      </c>
    </row>
    <row r="27" spans="1:5">
      <c r="A27" s="1931" t="s">
        <v>73</v>
      </c>
      <c r="B27" s="1931">
        <v>8</v>
      </c>
      <c r="C27" s="1940">
        <v>12025</v>
      </c>
      <c r="D27" s="1940">
        <f>17611+2450</f>
        <v>20061</v>
      </c>
      <c r="E27" s="1984">
        <f t="shared" si="3"/>
        <v>0.59942176362095612</v>
      </c>
    </row>
    <row r="28" spans="1:5">
      <c r="A28" s="1931" t="s">
        <v>82</v>
      </c>
      <c r="B28" s="1931">
        <v>18</v>
      </c>
      <c r="C28" s="1940">
        <v>1305</v>
      </c>
      <c r="D28" s="1940">
        <f>674+145</f>
        <v>819</v>
      </c>
      <c r="E28" s="1984">
        <f t="shared" si="3"/>
        <v>1.5934065934065933</v>
      </c>
    </row>
    <row r="29" spans="1:5">
      <c r="A29" s="1931" t="s">
        <v>74</v>
      </c>
      <c r="B29" s="1931">
        <v>10</v>
      </c>
      <c r="C29" s="1940">
        <v>1512</v>
      </c>
      <c r="D29" s="1940">
        <f>18143+2781</f>
        <v>20924</v>
      </c>
      <c r="E29" s="1984">
        <f t="shared" si="3"/>
        <v>7.2261517874211437E-2</v>
      </c>
    </row>
    <row r="30" spans="1:5">
      <c r="A30" s="1931" t="s">
        <v>192</v>
      </c>
      <c r="B30" s="1931">
        <v>21</v>
      </c>
      <c r="C30" s="1940">
        <v>1205</v>
      </c>
      <c r="D30" s="1940">
        <v>1260</v>
      </c>
      <c r="E30" s="1984">
        <f t="shared" si="3"/>
        <v>0.95634920634920639</v>
      </c>
    </row>
    <row r="31" spans="1:5">
      <c r="A31" s="1916" t="s">
        <v>67</v>
      </c>
      <c r="B31" s="1916">
        <f>SUM(B25:B30)</f>
        <v>97</v>
      </c>
      <c r="C31" s="1935">
        <f>SUM(C25:C30)</f>
        <v>21147</v>
      </c>
      <c r="D31" s="1935">
        <f>SUM(D25:D30)</f>
        <v>67664</v>
      </c>
      <c r="E31" s="1985">
        <f t="shared" si="3"/>
        <v>0.31252955781508629</v>
      </c>
    </row>
    <row r="33" spans="1:5" ht="15.75">
      <c r="A33" s="368"/>
      <c r="B33" s="368"/>
      <c r="C33" s="368"/>
      <c r="D33" s="368"/>
      <c r="E33" s="368"/>
    </row>
    <row r="34" spans="1:5" ht="33.75">
      <c r="A34" s="1939" t="s">
        <v>68</v>
      </c>
      <c r="B34" s="1939" t="s">
        <v>416</v>
      </c>
      <c r="C34" s="1939" t="s">
        <v>183</v>
      </c>
      <c r="D34" s="1983" t="s">
        <v>464</v>
      </c>
      <c r="E34" s="2103" t="s">
        <v>1821</v>
      </c>
    </row>
    <row r="35" spans="1:5">
      <c r="A35" s="1931" t="s">
        <v>70</v>
      </c>
      <c r="B35" s="1931">
        <v>29</v>
      </c>
      <c r="C35" s="1940">
        <v>10587</v>
      </c>
      <c r="D35" s="1940">
        <f>18515+1454+1307</f>
        <v>21276</v>
      </c>
      <c r="E35" s="1984">
        <f>C35/D35</f>
        <v>0.49760293288212071</v>
      </c>
    </row>
    <row r="36" spans="1:5">
      <c r="A36" s="1931" t="s">
        <v>72</v>
      </c>
      <c r="B36" s="1931">
        <v>9</v>
      </c>
      <c r="C36" s="1940">
        <v>2165</v>
      </c>
      <c r="D36" s="1940">
        <f>2545+239+286</f>
        <v>3070</v>
      </c>
      <c r="E36" s="1984">
        <f t="shared" ref="E36:E41" si="4">C36/D36</f>
        <v>0.7052117263843648</v>
      </c>
    </row>
    <row r="37" spans="1:5">
      <c r="A37" s="1931" t="s">
        <v>73</v>
      </c>
      <c r="B37" s="1931">
        <v>8</v>
      </c>
      <c r="C37" s="1940">
        <v>14583</v>
      </c>
      <c r="D37" s="1940">
        <f>17479+1273+1177</f>
        <v>19929</v>
      </c>
      <c r="E37" s="1984">
        <f t="shared" si="4"/>
        <v>0.73174770435044412</v>
      </c>
    </row>
    <row r="38" spans="1:5">
      <c r="A38" s="1931" t="s">
        <v>82</v>
      </c>
      <c r="B38" s="1931">
        <v>13</v>
      </c>
      <c r="C38" s="1940">
        <v>855</v>
      </c>
      <c r="D38" s="1940">
        <f>594+64+81</f>
        <v>739</v>
      </c>
      <c r="E38" s="1984">
        <f t="shared" si="4"/>
        <v>1.1569688768606226</v>
      </c>
    </row>
    <row r="39" spans="1:5">
      <c r="A39" s="1931" t="s">
        <v>74</v>
      </c>
      <c r="B39" s="1931">
        <v>23</v>
      </c>
      <c r="C39" s="1940">
        <v>10777</v>
      </c>
      <c r="D39" s="1940">
        <f>17959+1410+1371</f>
        <v>20740</v>
      </c>
      <c r="E39" s="1984">
        <f t="shared" si="4"/>
        <v>0.51962391513982642</v>
      </c>
    </row>
    <row r="40" spans="1:5">
      <c r="A40" s="1931" t="s">
        <v>192</v>
      </c>
      <c r="B40" s="1931">
        <v>12</v>
      </c>
      <c r="C40" s="1940">
        <v>963</v>
      </c>
      <c r="D40" s="1940">
        <f>5+1225</f>
        <v>1230</v>
      </c>
      <c r="E40" s="1984">
        <f t="shared" si="4"/>
        <v>0.78292682926829271</v>
      </c>
    </row>
    <row r="41" spans="1:5">
      <c r="A41" s="1916" t="s">
        <v>67</v>
      </c>
      <c r="B41" s="1916">
        <f>SUM(B35:B40)</f>
        <v>94</v>
      </c>
      <c r="C41" s="1935">
        <f>SUM(C35:C40)</f>
        <v>39930</v>
      </c>
      <c r="D41" s="1935">
        <f>SUM(D35:D40)</f>
        <v>66984</v>
      </c>
      <c r="E41" s="2102">
        <f t="shared" si="4"/>
        <v>0.59611250447868147</v>
      </c>
    </row>
    <row r="42" spans="1:5" ht="15.75">
      <c r="A42" s="368"/>
      <c r="B42" s="368"/>
      <c r="C42" s="368"/>
      <c r="D42" s="368"/>
      <c r="E42" s="368"/>
    </row>
    <row r="43" spans="1:5" ht="15.75">
      <c r="A43" s="368"/>
      <c r="B43" s="368"/>
      <c r="C43" s="368"/>
      <c r="D43" s="368"/>
      <c r="E43" s="368"/>
    </row>
    <row r="44" spans="1:5" ht="33.75">
      <c r="A44" s="565" t="s">
        <v>68</v>
      </c>
      <c r="B44" s="565" t="s">
        <v>416</v>
      </c>
      <c r="C44" s="565" t="s">
        <v>183</v>
      </c>
      <c r="D44" s="630" t="s">
        <v>464</v>
      </c>
      <c r="E44" s="631" t="s">
        <v>840</v>
      </c>
    </row>
    <row r="45" spans="1:5">
      <c r="A45" s="296" t="s">
        <v>70</v>
      </c>
      <c r="B45" s="296">
        <v>11</v>
      </c>
      <c r="C45" s="632">
        <v>7131</v>
      </c>
      <c r="D45" s="632">
        <f>18664+1456+1313</f>
        <v>21433</v>
      </c>
      <c r="E45" s="633">
        <f>C45/D45</f>
        <v>0.3327112396771334</v>
      </c>
    </row>
    <row r="46" spans="1:5">
      <c r="A46" s="296" t="s">
        <v>72</v>
      </c>
      <c r="B46" s="296">
        <v>3</v>
      </c>
      <c r="C46" s="632">
        <v>314</v>
      </c>
      <c r="D46" s="632">
        <f>2188+228+271</f>
        <v>2687</v>
      </c>
      <c r="E46" s="633">
        <f t="shared" ref="E46:E50" si="5">C46/D46</f>
        <v>0.11685895050241905</v>
      </c>
    </row>
    <row r="47" spans="1:5">
      <c r="A47" s="296" t="s">
        <v>73</v>
      </c>
      <c r="B47" s="296">
        <v>3</v>
      </c>
      <c r="C47" s="632">
        <v>1025</v>
      </c>
      <c r="D47" s="632">
        <f>17457+1295+1189</f>
        <v>19941</v>
      </c>
      <c r="E47" s="633">
        <f t="shared" si="5"/>
        <v>5.1401634822727048E-2</v>
      </c>
    </row>
    <row r="48" spans="1:5">
      <c r="A48" s="296" t="s">
        <v>82</v>
      </c>
      <c r="B48" s="296">
        <v>9</v>
      </c>
      <c r="C48" s="632">
        <v>753</v>
      </c>
      <c r="D48" s="632">
        <f>458+72+80</f>
        <v>610</v>
      </c>
      <c r="E48" s="633">
        <f t="shared" si="5"/>
        <v>1.2344262295081967</v>
      </c>
    </row>
    <row r="49" spans="1:5">
      <c r="A49" s="296" t="s">
        <v>74</v>
      </c>
      <c r="B49" s="296">
        <v>18</v>
      </c>
      <c r="C49" s="632">
        <v>13100</v>
      </c>
      <c r="D49" s="632">
        <f>17839+1398+1379</f>
        <v>20616</v>
      </c>
      <c r="E49" s="633">
        <f t="shared" si="5"/>
        <v>0.63542879317035317</v>
      </c>
    </row>
    <row r="50" spans="1:5">
      <c r="A50" s="296" t="s">
        <v>192</v>
      </c>
      <c r="B50" s="296">
        <v>14</v>
      </c>
      <c r="C50" s="632">
        <v>1056</v>
      </c>
      <c r="D50" s="632">
        <f>5+1248</f>
        <v>1253</v>
      </c>
      <c r="E50" s="633">
        <f t="shared" si="5"/>
        <v>0.84277733439744618</v>
      </c>
    </row>
    <row r="51" spans="1:5">
      <c r="A51" s="299" t="s">
        <v>67</v>
      </c>
      <c r="B51" s="299">
        <f>SUM(B45:B50)</f>
        <v>58</v>
      </c>
      <c r="C51" s="302">
        <f>SUM(C45:C50)</f>
        <v>23379</v>
      </c>
      <c r="D51" s="302">
        <f>SUM(D45:D50)</f>
        <v>66540</v>
      </c>
      <c r="E51" s="634">
        <f t="shared" ref="E51" si="6">C51/D51</f>
        <v>0.3513525698827773</v>
      </c>
    </row>
    <row r="52" spans="1:5" ht="15.75">
      <c r="A52" s="368"/>
      <c r="B52" s="368"/>
      <c r="C52" s="368"/>
      <c r="D52" s="368"/>
      <c r="E52" s="368"/>
    </row>
    <row r="53" spans="1:5">
      <c r="E53" s="126"/>
    </row>
    <row r="54" spans="1:5" ht="33.75">
      <c r="A54" s="565" t="s">
        <v>68</v>
      </c>
      <c r="B54" s="565" t="s">
        <v>416</v>
      </c>
      <c r="C54" s="565" t="s">
        <v>183</v>
      </c>
      <c r="D54" s="630" t="s">
        <v>464</v>
      </c>
      <c r="E54" s="631" t="s">
        <v>650</v>
      </c>
    </row>
    <row r="55" spans="1:5">
      <c r="A55" s="296" t="s">
        <v>70</v>
      </c>
      <c r="B55" s="296">
        <v>16</v>
      </c>
      <c r="C55" s="632">
        <v>9629</v>
      </c>
      <c r="D55" s="632">
        <f>18745+1430+1329</f>
        <v>21504</v>
      </c>
      <c r="E55" s="633">
        <f>C55/D55</f>
        <v>0.44777715773809523</v>
      </c>
    </row>
    <row r="56" spans="1:5">
      <c r="A56" s="296" t="s">
        <v>72</v>
      </c>
      <c r="B56" s="296">
        <v>9</v>
      </c>
      <c r="C56" s="632">
        <v>478</v>
      </c>
      <c r="D56" s="632">
        <f>1792+207+216</f>
        <v>2215</v>
      </c>
      <c r="E56" s="633">
        <f t="shared" ref="E56:E60" si="7">C56/D56</f>
        <v>0.21580135440180587</v>
      </c>
    </row>
    <row r="57" spans="1:5">
      <c r="A57" s="296" t="s">
        <v>73</v>
      </c>
      <c r="B57" s="296">
        <v>8</v>
      </c>
      <c r="C57" s="632">
        <v>0</v>
      </c>
      <c r="D57" s="632">
        <f>17088+1292+1198</f>
        <v>19578</v>
      </c>
      <c r="E57" s="633">
        <f t="shared" si="7"/>
        <v>0</v>
      </c>
    </row>
    <row r="58" spans="1:5">
      <c r="A58" s="296" t="s">
        <v>82</v>
      </c>
      <c r="B58" s="296">
        <v>1</v>
      </c>
      <c r="C58" s="632">
        <v>246</v>
      </c>
      <c r="D58" s="632">
        <f>377+63+56</f>
        <v>496</v>
      </c>
      <c r="E58" s="633">
        <f t="shared" si="7"/>
        <v>0.49596774193548387</v>
      </c>
    </row>
    <row r="59" spans="1:5">
      <c r="A59" s="296" t="s">
        <v>74</v>
      </c>
      <c r="B59" s="296">
        <v>18</v>
      </c>
      <c r="C59" s="632">
        <v>13100</v>
      </c>
      <c r="D59" s="632">
        <f>17965+1391+1346</f>
        <v>20702</v>
      </c>
      <c r="E59" s="633">
        <f t="shared" si="7"/>
        <v>0.63278910250217368</v>
      </c>
    </row>
    <row r="60" spans="1:5">
      <c r="A60" s="296" t="s">
        <v>192</v>
      </c>
      <c r="B60" s="296">
        <v>18</v>
      </c>
      <c r="C60" s="632">
        <v>1282</v>
      </c>
      <c r="D60" s="632">
        <f>5+1211</f>
        <v>1216</v>
      </c>
      <c r="E60" s="633">
        <f t="shared" si="7"/>
        <v>1.0542763157894737</v>
      </c>
    </row>
    <row r="61" spans="1:5">
      <c r="A61" s="299" t="s">
        <v>67</v>
      </c>
      <c r="B61" s="299">
        <f>SUM(B55:B60)</f>
        <v>70</v>
      </c>
      <c r="C61" s="302">
        <f>SUM(C55:C60)</f>
        <v>24735</v>
      </c>
      <c r="D61" s="302">
        <f>SUM(D55:D60)</f>
        <v>65711</v>
      </c>
      <c r="E61" s="634">
        <f t="shared" ref="E61" si="8">C61/D61</f>
        <v>0.37642099496279163</v>
      </c>
    </row>
    <row r="62" spans="1:5">
      <c r="E62" s="126"/>
    </row>
    <row r="63" spans="1:5">
      <c r="E63" s="126"/>
    </row>
    <row r="64" spans="1:5" ht="33.75">
      <c r="A64" s="565" t="s">
        <v>68</v>
      </c>
      <c r="B64" s="565" t="s">
        <v>416</v>
      </c>
      <c r="C64" s="565" t="s">
        <v>183</v>
      </c>
      <c r="D64" s="630" t="s">
        <v>1889</v>
      </c>
      <c r="E64" s="631" t="s">
        <v>617</v>
      </c>
    </row>
    <row r="65" spans="1:5">
      <c r="A65" s="296" t="s">
        <v>70</v>
      </c>
      <c r="B65" s="296">
        <v>20</v>
      </c>
      <c r="C65" s="632">
        <v>7928</v>
      </c>
      <c r="D65" s="632">
        <f>18444+1480+1334</f>
        <v>21258</v>
      </c>
      <c r="E65" s="633">
        <f>C65/D65</f>
        <v>0.37294195126540597</v>
      </c>
    </row>
    <row r="66" spans="1:5">
      <c r="A66" s="296" t="s">
        <v>72</v>
      </c>
      <c r="B66" s="296">
        <v>13</v>
      </c>
      <c r="C66" s="632">
        <v>862</v>
      </c>
      <c r="D66" s="632">
        <f>1613+214+218</f>
        <v>2045</v>
      </c>
      <c r="E66" s="633">
        <f t="shared" ref="E66:E71" si="9">C66/D66</f>
        <v>0.42151589242053789</v>
      </c>
    </row>
    <row r="67" spans="1:5">
      <c r="A67" s="296" t="s">
        <v>73</v>
      </c>
      <c r="B67" s="296">
        <v>9</v>
      </c>
      <c r="C67" s="632">
        <v>4134</v>
      </c>
      <c r="D67" s="632">
        <f>16373+1290+1199</f>
        <v>18862</v>
      </c>
      <c r="E67" s="633">
        <f t="shared" si="9"/>
        <v>0.21917081963736612</v>
      </c>
    </row>
    <row r="68" spans="1:5">
      <c r="A68" s="296" t="s">
        <v>82</v>
      </c>
      <c r="B68" s="296"/>
      <c r="C68" s="632"/>
      <c r="D68" s="632">
        <f>228+46+50</f>
        <v>324</v>
      </c>
      <c r="E68" s="633">
        <f t="shared" si="9"/>
        <v>0</v>
      </c>
    </row>
    <row r="69" spans="1:5">
      <c r="A69" s="296" t="s">
        <v>74</v>
      </c>
      <c r="B69" s="296">
        <v>37</v>
      </c>
      <c r="C69" s="632">
        <v>7751</v>
      </c>
      <c r="D69" s="632">
        <f>17706+1378+1363</f>
        <v>20447</v>
      </c>
      <c r="E69" s="633">
        <f t="shared" si="9"/>
        <v>0.37907761529808776</v>
      </c>
    </row>
    <row r="70" spans="1:5">
      <c r="A70" s="296" t="s">
        <v>192</v>
      </c>
      <c r="B70" s="296">
        <v>13</v>
      </c>
      <c r="C70" s="632">
        <v>825</v>
      </c>
      <c r="D70" s="632">
        <f>4+1219</f>
        <v>1223</v>
      </c>
      <c r="E70" s="633">
        <f t="shared" si="9"/>
        <v>0.67457072771872439</v>
      </c>
    </row>
    <row r="71" spans="1:5" ht="20.100000000000001" hidden="1" customHeight="1">
      <c r="A71" s="299" t="s">
        <v>67</v>
      </c>
      <c r="B71" s="299">
        <f>SUM(B65:B70)</f>
        <v>92</v>
      </c>
      <c r="C71" s="302">
        <f>SUM(C65:C70)</f>
        <v>21500</v>
      </c>
      <c r="D71" s="302">
        <f>SUM(D65:D70)</f>
        <v>64159</v>
      </c>
      <c r="E71" s="634">
        <f t="shared" si="9"/>
        <v>0.33510497358125907</v>
      </c>
    </row>
    <row r="72" spans="1:5">
      <c r="D72" s="2105" t="s">
        <v>1890</v>
      </c>
      <c r="E72" s="2104"/>
    </row>
    <row r="73" spans="1:5" ht="20.100000000000001" customHeight="1"/>
    <row r="74" spans="1:5" ht="33.75">
      <c r="A74" s="565" t="s">
        <v>68</v>
      </c>
      <c r="B74" s="565" t="s">
        <v>416</v>
      </c>
      <c r="C74" s="565" t="s">
        <v>183</v>
      </c>
      <c r="D74" s="630" t="s">
        <v>464</v>
      </c>
      <c r="E74" s="635" t="s">
        <v>618</v>
      </c>
    </row>
    <row r="75" spans="1:5">
      <c r="A75" s="296" t="s">
        <v>70</v>
      </c>
      <c r="B75" s="296">
        <v>16</v>
      </c>
      <c r="C75" s="632">
        <v>4692</v>
      </c>
      <c r="D75" s="632">
        <v>20776</v>
      </c>
      <c r="E75" s="633">
        <f>C75/D75</f>
        <v>0.22583750481324605</v>
      </c>
    </row>
    <row r="76" spans="1:5">
      <c r="A76" s="296" t="s">
        <v>72</v>
      </c>
      <c r="B76" s="296">
        <v>10</v>
      </c>
      <c r="C76" s="632">
        <v>1522</v>
      </c>
      <c r="D76" s="632">
        <v>1813</v>
      </c>
      <c r="E76" s="633">
        <f t="shared" ref="E76:E81" si="10">C76/D76</f>
        <v>0.83949255377826804</v>
      </c>
    </row>
    <row r="77" spans="1:5">
      <c r="A77" s="296" t="s">
        <v>73</v>
      </c>
      <c r="B77" s="296">
        <v>6</v>
      </c>
      <c r="C77" s="632">
        <v>3853</v>
      </c>
      <c r="D77" s="632">
        <v>18147</v>
      </c>
      <c r="E77" s="633">
        <f t="shared" si="10"/>
        <v>0.21232159585606436</v>
      </c>
    </row>
    <row r="78" spans="1:5">
      <c r="A78" s="296" t="s">
        <v>82</v>
      </c>
      <c r="B78" s="296"/>
      <c r="C78" s="632"/>
      <c r="D78" s="632">
        <v>241</v>
      </c>
      <c r="E78" s="633">
        <f t="shared" si="10"/>
        <v>0</v>
      </c>
    </row>
    <row r="79" spans="1:5" ht="15" customHeight="1">
      <c r="A79" s="296" t="s">
        <v>74</v>
      </c>
      <c r="B79" s="296">
        <v>15</v>
      </c>
      <c r="C79" s="632">
        <v>2760</v>
      </c>
      <c r="D79" s="632">
        <v>20424</v>
      </c>
      <c r="E79" s="633">
        <f t="shared" si="10"/>
        <v>0.13513513513513514</v>
      </c>
    </row>
    <row r="80" spans="1:5">
      <c r="A80" s="296" t="s">
        <v>192</v>
      </c>
      <c r="B80" s="296">
        <v>17</v>
      </c>
      <c r="C80" s="632">
        <v>1947</v>
      </c>
      <c r="D80" s="632">
        <v>1200</v>
      </c>
      <c r="E80" s="633">
        <f t="shared" si="10"/>
        <v>1.6225000000000001</v>
      </c>
    </row>
    <row r="81" spans="1:5">
      <c r="A81" s="299" t="s">
        <v>67</v>
      </c>
      <c r="B81" s="302">
        <f>SUM(B75:B80)</f>
        <v>64</v>
      </c>
      <c r="C81" s="302">
        <f>SUM(C75:C80)</f>
        <v>14774</v>
      </c>
      <c r="D81" s="302">
        <f>SUM(D75:D80)</f>
        <v>62601</v>
      </c>
      <c r="E81" s="636">
        <f t="shared" si="10"/>
        <v>0.23600261976645739</v>
      </c>
    </row>
    <row r="83" spans="1:5" s="74" customFormat="1" ht="15" customHeight="1"/>
    <row r="84" spans="1:5" s="74" customFormat="1" ht="12.75"/>
    <row r="85" spans="1:5" s="74" customFormat="1" ht="12.75"/>
    <row r="86" spans="1:5" s="74" customFormat="1" ht="12.75"/>
    <row r="87" spans="1:5" s="74" customFormat="1" ht="12.75"/>
    <row r="88" spans="1:5" s="74" customFormat="1" ht="12.75"/>
    <row r="89" spans="1:5" s="74" customFormat="1" ht="12.75"/>
    <row r="90" spans="1:5" s="74" customFormat="1" ht="12.75"/>
    <row r="91" spans="1:5" s="74" customFormat="1" ht="12.75" customHeight="1"/>
    <row r="92" spans="1:5" s="74" customFormat="1" ht="12.75"/>
    <row r="93" spans="1:5" s="74" customFormat="1" ht="12.75"/>
    <row r="94" spans="1:5" s="74" customFormat="1" ht="12.75"/>
    <row r="95" spans="1:5" s="74" customFormat="1" ht="12.75"/>
    <row r="96" spans="1:5" s="74" customFormat="1" ht="12.75"/>
    <row r="97" s="74" customFormat="1" ht="12.75"/>
    <row r="98" s="74" customFormat="1" ht="12.75"/>
    <row r="99" s="74" customFormat="1" ht="12.75"/>
    <row r="100" s="74" customFormat="1" ht="12.75"/>
    <row r="101" s="74" customFormat="1" ht="15" customHeight="1"/>
    <row r="102" s="74" customFormat="1" ht="12.75"/>
    <row r="103" s="74" customFormat="1" ht="12.75"/>
    <row r="104" s="74" customFormat="1" ht="12.75"/>
    <row r="105" s="74" customFormat="1" ht="12.75"/>
    <row r="106" s="74" customFormat="1" ht="12.75"/>
    <row r="107" s="74" customFormat="1" ht="12.75"/>
    <row r="108" s="74" customFormat="1" ht="12.75"/>
    <row r="109" s="74" customFormat="1" ht="12.75"/>
    <row r="110" s="74" customFormat="1" ht="12.75"/>
    <row r="111" s="74" customFormat="1" ht="12.75"/>
    <row r="112" s="74" customFormat="1" ht="12.75"/>
    <row r="113" s="74" customFormat="1" ht="12.75"/>
    <row r="114" s="74" customFormat="1" ht="12.75"/>
    <row r="115" s="74" customFormat="1" ht="12.75"/>
    <row r="116" s="74" customFormat="1" ht="12.75"/>
    <row r="117" s="74" customFormat="1" ht="12.75"/>
    <row r="118" s="74" customFormat="1" ht="12.75"/>
    <row r="124" ht="15" customHeight="1"/>
    <row r="126" ht="15" customHeight="1"/>
    <row r="128" ht="15" customHeight="1"/>
    <row r="129" ht="15" customHeight="1"/>
    <row r="135" ht="15" customHeight="1"/>
    <row r="160" ht="15" customHeight="1"/>
    <row r="161" ht="15" customHeight="1"/>
    <row r="162" ht="15" customHeight="1"/>
    <row r="163" ht="15" customHeight="1"/>
    <row r="164" ht="15" customHeight="1"/>
    <row r="165" ht="15" customHeight="1"/>
    <row r="166" ht="15" customHeight="1"/>
    <row r="170" ht="15" customHeight="1"/>
    <row r="171" ht="15" customHeight="1"/>
    <row r="175" ht="15" customHeight="1"/>
    <row r="191" ht="15" customHeight="1"/>
    <row r="192" ht="12.75" customHeight="1"/>
    <row r="198" ht="15" customHeight="1"/>
    <row r="202" ht="15" customHeight="1"/>
    <row r="210" ht="15" customHeight="1"/>
    <row r="220" ht="15" customHeight="1"/>
    <row r="225" ht="15" customHeight="1"/>
    <row r="244" ht="15" customHeight="1"/>
    <row r="248" ht="15" customHeight="1"/>
  </sheetData>
  <mergeCells count="1">
    <mergeCell ref="A2:E2"/>
  </mergeCells>
  <pageMargins left="0.70866141732283472" right="0.70866141732283472" top="0.74803149606299213" bottom="0.74803149606299213" header="0.31496062992125984" footer="0.31496062992125984"/>
  <pageSetup scale="40" orientation="portrait" r:id="rId1"/>
  <drawing r:id="rId2"/>
</worksheet>
</file>

<file path=xl/worksheets/sheet52.xml><?xml version="1.0" encoding="utf-8"?>
<worksheet xmlns="http://schemas.openxmlformats.org/spreadsheetml/2006/main" xmlns:r="http://schemas.openxmlformats.org/officeDocument/2006/relationships">
  <sheetPr>
    <tabColor theme="7" tint="-0.499984740745262"/>
  </sheetPr>
  <dimension ref="A1:H594"/>
  <sheetViews>
    <sheetView workbookViewId="0">
      <selection activeCell="F30" sqref="F30"/>
    </sheetView>
  </sheetViews>
  <sheetFormatPr baseColWidth="10" defaultRowHeight="15"/>
  <cols>
    <col min="1" max="1" width="40.42578125" bestFit="1" customWidth="1"/>
    <col min="2" max="2" width="11.5703125" customWidth="1"/>
    <col min="3" max="3" width="17.5703125" customWidth="1"/>
    <col min="4" max="4" width="8.5703125" customWidth="1"/>
    <col min="5" max="5" width="40.140625" customWidth="1"/>
    <col min="6" max="6" width="25.7109375" customWidth="1"/>
    <col min="7" max="8" width="18.7109375" customWidth="1"/>
  </cols>
  <sheetData>
    <row r="1" spans="1:8">
      <c r="E1" s="5424"/>
      <c r="F1" s="5424"/>
      <c r="G1" s="5424"/>
    </row>
    <row r="2" spans="1:8" ht="15.75">
      <c r="A2" s="5289" t="s">
        <v>526</v>
      </c>
      <c r="B2" s="5289"/>
      <c r="C2" s="5289"/>
      <c r="D2" s="160"/>
      <c r="E2" s="191"/>
      <c r="F2" s="191"/>
      <c r="G2" s="191"/>
    </row>
    <row r="3" spans="1:8" s="4410" customFormat="1" ht="15.75">
      <c r="A3" s="4411"/>
      <c r="B3" s="4411"/>
      <c r="C3" s="4411"/>
      <c r="D3" s="160"/>
      <c r="E3" s="4413"/>
      <c r="F3" s="4413"/>
      <c r="G3" s="4413"/>
    </row>
    <row r="4" spans="1:8" s="4410" customFormat="1" ht="18.75">
      <c r="A4" s="5549" t="s">
        <v>2888</v>
      </c>
      <c r="B4" s="5550"/>
      <c r="C4" s="5551"/>
      <c r="E4" s="5552" t="s">
        <v>2889</v>
      </c>
      <c r="F4" s="5553"/>
      <c r="G4" s="5553"/>
      <c r="H4" s="5554"/>
    </row>
    <row r="5" spans="1:8" s="4410" customFormat="1" ht="15.75">
      <c r="A5" s="5556" t="s">
        <v>317</v>
      </c>
      <c r="B5" s="5557"/>
      <c r="C5" s="5558"/>
      <c r="E5" s="5458" t="s">
        <v>319</v>
      </c>
      <c r="F5" s="5543" t="s">
        <v>320</v>
      </c>
      <c r="G5" s="5544" t="s">
        <v>2613</v>
      </c>
      <c r="H5" s="5545"/>
    </row>
    <row r="6" spans="1:8" s="4410" customFormat="1">
      <c r="A6" s="5555" t="s">
        <v>184</v>
      </c>
      <c r="B6" s="5443" t="s">
        <v>855</v>
      </c>
      <c r="C6" s="5443" t="s">
        <v>856</v>
      </c>
      <c r="E6" s="5459"/>
      <c r="F6" s="5459"/>
      <c r="G6" s="4426" t="s">
        <v>522</v>
      </c>
      <c r="H6" s="4427" t="s">
        <v>2061</v>
      </c>
    </row>
    <row r="7" spans="1:8" s="4410" customFormat="1">
      <c r="A7" s="5555"/>
      <c r="B7" s="5444"/>
      <c r="C7" s="5444"/>
      <c r="E7" s="4428"/>
      <c r="F7" s="4428"/>
      <c r="G7" s="2722"/>
    </row>
    <row r="8" spans="1:8" s="4410" customFormat="1">
      <c r="A8" s="4429" t="s">
        <v>187</v>
      </c>
      <c r="B8" s="4430" t="s">
        <v>2880</v>
      </c>
      <c r="C8" s="4431">
        <v>306</v>
      </c>
      <c r="E8" s="4432"/>
      <c r="F8" s="4433"/>
      <c r="G8" s="4434"/>
      <c r="H8" s="4435"/>
    </row>
    <row r="9" spans="1:8" s="4410" customFormat="1" ht="15.75">
      <c r="A9" s="4436" t="s">
        <v>186</v>
      </c>
      <c r="B9" s="4437">
        <v>20</v>
      </c>
      <c r="C9" s="4438">
        <v>1157</v>
      </c>
      <c r="E9" s="4439" t="s">
        <v>862</v>
      </c>
      <c r="F9" s="4440" t="s">
        <v>2614</v>
      </c>
      <c r="G9" s="4441">
        <v>4819</v>
      </c>
      <c r="H9" s="4442">
        <v>7850</v>
      </c>
    </row>
    <row r="10" spans="1:8" s="4410" customFormat="1" ht="15.75">
      <c r="A10" s="4443" t="s">
        <v>2603</v>
      </c>
      <c r="B10" s="4437">
        <v>1</v>
      </c>
      <c r="C10" s="4438">
        <v>20</v>
      </c>
      <c r="E10" s="4444" t="s">
        <v>2881</v>
      </c>
      <c r="F10" s="4445" t="s">
        <v>2614</v>
      </c>
      <c r="G10" s="4446">
        <v>6335</v>
      </c>
      <c r="H10" s="4447">
        <v>7850</v>
      </c>
    </row>
    <row r="11" spans="1:8" s="4410" customFormat="1" ht="15.75">
      <c r="A11" s="4436" t="s">
        <v>321</v>
      </c>
      <c r="B11" s="4437">
        <v>33</v>
      </c>
      <c r="C11" s="4438">
        <v>5670</v>
      </c>
      <c r="E11" s="4448" t="s">
        <v>2882</v>
      </c>
      <c r="F11" s="4449" t="s">
        <v>2615</v>
      </c>
      <c r="G11" s="4450">
        <v>1600</v>
      </c>
      <c r="H11" s="4435">
        <v>9605</v>
      </c>
    </row>
    <row r="12" spans="1:8" s="4410" customFormat="1">
      <c r="A12" s="4436" t="s">
        <v>2883</v>
      </c>
      <c r="B12" s="4437">
        <v>2</v>
      </c>
      <c r="C12" s="4438">
        <v>35</v>
      </c>
      <c r="E12" s="4467">
        <v>3</v>
      </c>
      <c r="F12" s="4451" t="s">
        <v>71</v>
      </c>
      <c r="G12" s="4452">
        <f>SUM(G8:G11)</f>
        <v>12754</v>
      </c>
      <c r="H12" s="4452">
        <f>SUM(H8:H11)</f>
        <v>25305</v>
      </c>
    </row>
    <row r="13" spans="1:8" s="4410" customFormat="1">
      <c r="A13" s="4436" t="s">
        <v>2884</v>
      </c>
      <c r="B13" s="4437">
        <v>1</v>
      </c>
      <c r="C13" s="4438">
        <v>50</v>
      </c>
    </row>
    <row r="14" spans="1:8" s="4410" customFormat="1">
      <c r="A14" s="4436" t="s">
        <v>413</v>
      </c>
      <c r="B14" s="4437">
        <v>12</v>
      </c>
      <c r="C14" s="4438">
        <v>2282</v>
      </c>
    </row>
    <row r="15" spans="1:8" s="4410" customFormat="1">
      <c r="A15" s="4436" t="s">
        <v>322</v>
      </c>
      <c r="B15" s="4453">
        <v>6</v>
      </c>
      <c r="C15" s="4453">
        <v>1500</v>
      </c>
    </row>
    <row r="16" spans="1:8" s="4410" customFormat="1">
      <c r="A16" s="4436" t="s">
        <v>2885</v>
      </c>
      <c r="B16" s="4437">
        <v>2</v>
      </c>
      <c r="C16" s="4438">
        <v>50</v>
      </c>
      <c r="E16" s="4454"/>
      <c r="F16" s="4454"/>
      <c r="G16" s="4454"/>
      <c r="H16" s="4454"/>
    </row>
    <row r="17" spans="1:8" s="4410" customFormat="1">
      <c r="A17" s="4436" t="s">
        <v>1900</v>
      </c>
      <c r="B17" s="4437">
        <v>9</v>
      </c>
      <c r="C17" s="4438">
        <v>136</v>
      </c>
      <c r="G17" s="4455"/>
    </row>
    <row r="18" spans="1:8" s="4410" customFormat="1">
      <c r="A18" s="4436" t="s">
        <v>1898</v>
      </c>
      <c r="B18" s="4437">
        <v>15</v>
      </c>
      <c r="C18" s="4438">
        <v>328</v>
      </c>
      <c r="G18" s="4455"/>
    </row>
    <row r="19" spans="1:8" s="4410" customFormat="1">
      <c r="A19" s="4456" t="s">
        <v>2886</v>
      </c>
      <c r="B19" s="4437">
        <v>4</v>
      </c>
      <c r="C19" s="4438">
        <v>80</v>
      </c>
      <c r="G19" s="4457"/>
      <c r="H19" s="4455"/>
    </row>
    <row r="20" spans="1:8" s="4410" customFormat="1">
      <c r="A20" s="4436" t="s">
        <v>189</v>
      </c>
      <c r="B20" s="4437">
        <v>3</v>
      </c>
      <c r="C20" s="4438">
        <v>80</v>
      </c>
      <c r="F20" s="2"/>
      <c r="G20" s="4458"/>
      <c r="H20" s="2"/>
    </row>
    <row r="21" spans="1:8" s="4410" customFormat="1">
      <c r="A21" s="4436" t="s">
        <v>188</v>
      </c>
      <c r="B21" s="4437">
        <v>6</v>
      </c>
      <c r="C21" s="4438">
        <v>120</v>
      </c>
    </row>
    <row r="22" spans="1:8" s="4410" customFormat="1">
      <c r="A22" s="4436" t="s">
        <v>327</v>
      </c>
      <c r="B22" s="4437">
        <v>10</v>
      </c>
      <c r="C22" s="4438">
        <v>161</v>
      </c>
    </row>
    <row r="23" spans="1:8" s="4410" customFormat="1">
      <c r="A23" s="4459" t="s">
        <v>414</v>
      </c>
      <c r="B23" s="4437">
        <v>2</v>
      </c>
      <c r="C23" s="4438">
        <v>120</v>
      </c>
    </row>
    <row r="24" spans="1:8" s="4410" customFormat="1">
      <c r="A24" s="4460" t="s">
        <v>2606</v>
      </c>
      <c r="B24" s="4437">
        <v>61</v>
      </c>
      <c r="C24" s="4438">
        <v>997</v>
      </c>
    </row>
    <row r="25" spans="1:8" s="4410" customFormat="1">
      <c r="A25" s="4456" t="s">
        <v>2052</v>
      </c>
      <c r="B25" s="4437">
        <v>4</v>
      </c>
      <c r="C25" s="4438">
        <v>80</v>
      </c>
    </row>
    <row r="26" spans="1:8" s="4410" customFormat="1">
      <c r="A26" s="4456" t="s">
        <v>580</v>
      </c>
      <c r="B26" s="4437">
        <v>6</v>
      </c>
      <c r="C26" s="4438">
        <v>180</v>
      </c>
      <c r="E26" s="5546" t="s">
        <v>821</v>
      </c>
    </row>
    <row r="27" spans="1:8" s="4410" customFormat="1">
      <c r="A27" s="4461" t="s">
        <v>2152</v>
      </c>
      <c r="B27" s="4437">
        <v>13</v>
      </c>
      <c r="C27" s="4438">
        <v>886</v>
      </c>
      <c r="E27" s="5468"/>
    </row>
    <row r="28" spans="1:8" s="4410" customFormat="1">
      <c r="A28" s="4462" t="s">
        <v>71</v>
      </c>
      <c r="B28" s="4467">
        <f>SUM(B8:B27)</f>
        <v>210</v>
      </c>
      <c r="C28" s="4466">
        <f>SUM(C8:C27)</f>
        <v>14238</v>
      </c>
      <c r="E28" s="1986">
        <f>SUM(E12,B28)</f>
        <v>213</v>
      </c>
    </row>
    <row r="29" spans="1:8" s="4410" customFormat="1">
      <c r="A29" s="4463" t="s">
        <v>328</v>
      </c>
      <c r="B29" s="4413"/>
      <c r="C29" s="4413"/>
    </row>
    <row r="30" spans="1:8" s="4410" customFormat="1">
      <c r="B30" s="4413"/>
      <c r="C30" s="4413"/>
      <c r="D30" s="4454"/>
    </row>
    <row r="31" spans="1:8" s="4410" customFormat="1" ht="18.75">
      <c r="A31" s="5549" t="s">
        <v>2888</v>
      </c>
      <c r="B31" s="5550"/>
      <c r="C31" s="5551"/>
      <c r="D31" s="4413"/>
    </row>
    <row r="32" spans="1:8" s="4410" customFormat="1" ht="18.75">
      <c r="A32" s="5552" t="s">
        <v>318</v>
      </c>
      <c r="B32" s="5553"/>
      <c r="C32" s="5554"/>
    </row>
    <row r="33" spans="1:3" s="4410" customFormat="1">
      <c r="A33" s="5555" t="s">
        <v>319</v>
      </c>
      <c r="B33" s="5443" t="s">
        <v>857</v>
      </c>
      <c r="C33" s="5443" t="s">
        <v>185</v>
      </c>
    </row>
    <row r="34" spans="1:3" s="4410" customFormat="1">
      <c r="A34" s="5555"/>
      <c r="B34" s="5444"/>
      <c r="C34" s="5444"/>
    </row>
    <row r="35" spans="1:3" s="4410" customFormat="1">
      <c r="A35" s="4429" t="s">
        <v>2080</v>
      </c>
      <c r="B35" s="4461">
        <v>5006</v>
      </c>
      <c r="C35" s="4431">
        <v>10013</v>
      </c>
    </row>
    <row r="36" spans="1:3" s="4410" customFormat="1">
      <c r="A36" s="4453" t="s">
        <v>2607</v>
      </c>
      <c r="B36" s="4460">
        <v>2</v>
      </c>
      <c r="C36" s="4464">
        <v>44</v>
      </c>
    </row>
    <row r="37" spans="1:3" s="4410" customFormat="1">
      <c r="A37" s="4436" t="s">
        <v>2053</v>
      </c>
      <c r="B37" s="4437">
        <v>4481</v>
      </c>
      <c r="C37" s="4438">
        <v>27078</v>
      </c>
    </row>
    <row r="38" spans="1:3" s="4410" customFormat="1">
      <c r="A38" s="4436" t="s">
        <v>2055</v>
      </c>
      <c r="B38" s="4437">
        <v>90</v>
      </c>
      <c r="C38" s="4438">
        <v>1620</v>
      </c>
    </row>
    <row r="39" spans="1:3" s="4410" customFormat="1">
      <c r="A39" s="4436" t="s">
        <v>2041</v>
      </c>
      <c r="B39" s="4437">
        <v>1157</v>
      </c>
      <c r="C39" s="4438">
        <v>4627</v>
      </c>
    </row>
    <row r="40" spans="1:3" s="4410" customFormat="1">
      <c r="A40" s="4436" t="s">
        <v>321</v>
      </c>
      <c r="B40" s="4437">
        <v>135</v>
      </c>
      <c r="C40" s="4438">
        <v>3500</v>
      </c>
    </row>
    <row r="41" spans="1:3" s="4410" customFormat="1">
      <c r="A41" s="4436" t="s">
        <v>322</v>
      </c>
      <c r="B41" s="4437">
        <v>442</v>
      </c>
      <c r="C41" s="4438">
        <v>13419</v>
      </c>
    </row>
    <row r="42" spans="1:3" s="4410" customFormat="1">
      <c r="A42" s="4436" t="s">
        <v>323</v>
      </c>
      <c r="B42" s="4437">
        <v>249300</v>
      </c>
      <c r="C42" s="4438">
        <v>249300</v>
      </c>
    </row>
    <row r="43" spans="1:3" s="4410" customFormat="1">
      <c r="A43" s="4436" t="s">
        <v>2608</v>
      </c>
      <c r="B43" s="4437">
        <v>34608</v>
      </c>
      <c r="C43" s="4438">
        <v>34608</v>
      </c>
    </row>
    <row r="44" spans="1:3" s="4410" customFormat="1">
      <c r="A44" s="4436" t="s">
        <v>860</v>
      </c>
      <c r="B44" s="4437">
        <v>2053</v>
      </c>
      <c r="C44" s="4438">
        <v>11373</v>
      </c>
    </row>
    <row r="45" spans="1:3" s="4410" customFormat="1">
      <c r="A45" s="4436" t="s">
        <v>1899</v>
      </c>
      <c r="B45" s="4437">
        <v>72</v>
      </c>
      <c r="C45" s="4438">
        <v>720</v>
      </c>
    </row>
    <row r="46" spans="1:3" s="4410" customFormat="1">
      <c r="A46" s="4436" t="s">
        <v>415</v>
      </c>
      <c r="B46" s="4437">
        <v>72</v>
      </c>
      <c r="C46" s="4438">
        <v>1440</v>
      </c>
    </row>
    <row r="47" spans="1:3" s="4410" customFormat="1">
      <c r="A47" s="4436" t="s">
        <v>2887</v>
      </c>
      <c r="B47" s="4437">
        <v>2120</v>
      </c>
      <c r="C47" s="4438">
        <v>2120</v>
      </c>
    </row>
    <row r="48" spans="1:3" s="4410" customFormat="1">
      <c r="A48" s="4436" t="s">
        <v>713</v>
      </c>
      <c r="B48" s="4437">
        <v>2450</v>
      </c>
      <c r="C48" s="4438">
        <v>2450</v>
      </c>
    </row>
    <row r="49" spans="1:8" s="4410" customFormat="1">
      <c r="A49" s="4443" t="s">
        <v>324</v>
      </c>
      <c r="B49" s="4437">
        <v>21920</v>
      </c>
      <c r="C49" s="4437">
        <v>21920</v>
      </c>
    </row>
    <row r="50" spans="1:8" s="4410" customFormat="1">
      <c r="A50" s="4443" t="s">
        <v>1914</v>
      </c>
      <c r="B50" s="4437">
        <v>6917</v>
      </c>
      <c r="C50" s="4437">
        <v>92282</v>
      </c>
    </row>
    <row r="51" spans="1:8" s="4410" customFormat="1">
      <c r="A51" s="4436" t="s">
        <v>325</v>
      </c>
      <c r="B51" s="4437">
        <v>17700</v>
      </c>
      <c r="C51" s="4438">
        <v>17700</v>
      </c>
    </row>
    <row r="52" spans="1:8" s="4410" customFormat="1">
      <c r="A52" s="4436" t="s">
        <v>189</v>
      </c>
      <c r="B52" s="4437">
        <v>1748</v>
      </c>
      <c r="C52" s="4438">
        <v>3496</v>
      </c>
    </row>
    <row r="53" spans="1:8" s="4410" customFormat="1">
      <c r="A53" s="4436" t="s">
        <v>326</v>
      </c>
      <c r="B53" s="4437">
        <v>243</v>
      </c>
      <c r="C53" s="4438">
        <v>4189</v>
      </c>
    </row>
    <row r="54" spans="1:8" s="4410" customFormat="1">
      <c r="A54" s="4436" t="s">
        <v>327</v>
      </c>
      <c r="B54" s="4437">
        <v>3479</v>
      </c>
      <c r="C54" s="4438">
        <v>15269</v>
      </c>
    </row>
    <row r="55" spans="1:8" s="4410" customFormat="1">
      <c r="A55" s="4436" t="s">
        <v>2610</v>
      </c>
      <c r="B55" s="4437">
        <v>560</v>
      </c>
      <c r="C55" s="4438">
        <v>9886</v>
      </c>
    </row>
    <row r="56" spans="1:8" s="4410" customFormat="1">
      <c r="A56" s="4465" t="s">
        <v>2113</v>
      </c>
      <c r="B56" s="4453">
        <v>150</v>
      </c>
      <c r="C56" s="4453">
        <v>900</v>
      </c>
    </row>
    <row r="57" spans="1:8" s="4410" customFormat="1">
      <c r="A57" s="4436" t="s">
        <v>2116</v>
      </c>
      <c r="B57" s="4437">
        <v>874</v>
      </c>
      <c r="C57" s="4438">
        <v>18685</v>
      </c>
    </row>
    <row r="58" spans="1:8" s="4410" customFormat="1">
      <c r="A58" s="4436" t="s">
        <v>2612</v>
      </c>
      <c r="B58" s="4437">
        <v>1080</v>
      </c>
      <c r="C58" s="4438">
        <v>6480</v>
      </c>
    </row>
    <row r="59" spans="1:8" s="4410" customFormat="1">
      <c r="A59" s="4436" t="s">
        <v>1826</v>
      </c>
      <c r="B59" s="4437">
        <v>120</v>
      </c>
      <c r="C59" s="4438">
        <v>4200</v>
      </c>
    </row>
    <row r="60" spans="1:8" s="4410" customFormat="1">
      <c r="A60" s="4462" t="s">
        <v>71</v>
      </c>
      <c r="B60" s="4467">
        <f>SUM(B35:B59)</f>
        <v>356779</v>
      </c>
      <c r="C60" s="4468">
        <f>SUM(C35:C59)</f>
        <v>557319</v>
      </c>
    </row>
    <row r="61" spans="1:8" s="4410" customFormat="1">
      <c r="A61" s="4463" t="s">
        <v>328</v>
      </c>
      <c r="B61" s="4413"/>
      <c r="C61" s="4413"/>
    </row>
    <row r="62" spans="1:8" s="4410" customFormat="1" ht="15.75">
      <c r="A62" s="4411"/>
      <c r="B62" s="4411"/>
      <c r="C62" s="4411"/>
      <c r="D62" s="160"/>
      <c r="E62" s="4413"/>
      <c r="F62" s="4413"/>
      <c r="G62" s="4413"/>
    </row>
    <row r="63" spans="1:8" ht="15.75">
      <c r="A63" s="4411"/>
      <c r="B63" s="4411"/>
      <c r="C63" s="4411"/>
      <c r="D63" s="160"/>
      <c r="E63" s="4413"/>
      <c r="F63" s="4413"/>
      <c r="G63" s="4413"/>
      <c r="H63" s="4410"/>
    </row>
    <row r="64" spans="1:8" ht="15.75">
      <c r="A64" s="5435" t="s">
        <v>2616</v>
      </c>
      <c r="B64" s="5436"/>
      <c r="C64" s="5437"/>
      <c r="D64" s="160"/>
      <c r="E64" s="5540" t="s">
        <v>2617</v>
      </c>
      <c r="F64" s="5541"/>
      <c r="G64" s="5541"/>
      <c r="H64" s="5542"/>
    </row>
    <row r="65" spans="1:8" ht="15.75">
      <c r="A65" s="5438" t="s">
        <v>317</v>
      </c>
      <c r="B65" s="5439"/>
      <c r="C65" s="5440"/>
      <c r="D65" s="160"/>
      <c r="E65" s="5543" t="s">
        <v>319</v>
      </c>
      <c r="F65" s="5543" t="s">
        <v>320</v>
      </c>
      <c r="G65" s="5544" t="s">
        <v>2613</v>
      </c>
      <c r="H65" s="5545"/>
    </row>
    <row r="66" spans="1:8" ht="15" customHeight="1">
      <c r="A66" s="5441" t="s">
        <v>184</v>
      </c>
      <c r="B66" s="5443" t="s">
        <v>855</v>
      </c>
      <c r="C66" s="5445" t="s">
        <v>856</v>
      </c>
      <c r="D66" s="160"/>
      <c r="E66" s="5459"/>
      <c r="F66" s="5459"/>
      <c r="G66" s="2721" t="s">
        <v>522</v>
      </c>
      <c r="H66" s="3176" t="s">
        <v>2061</v>
      </c>
    </row>
    <row r="67" spans="1:8">
      <c r="A67" s="5442"/>
      <c r="B67" s="5444"/>
      <c r="C67" s="5446"/>
      <c r="D67" s="160"/>
      <c r="E67" s="2722"/>
      <c r="F67" s="2722"/>
      <c r="G67" s="2722"/>
      <c r="H67" s="4410"/>
    </row>
    <row r="68" spans="1:8" ht="15.75">
      <c r="A68" s="3161" t="s">
        <v>187</v>
      </c>
      <c r="B68" s="3437">
        <v>11</v>
      </c>
      <c r="C68" s="3162">
        <v>206</v>
      </c>
      <c r="D68" s="160"/>
      <c r="E68" s="3178" t="s">
        <v>862</v>
      </c>
      <c r="F68" s="3179" t="s">
        <v>2614</v>
      </c>
      <c r="G68" s="3180">
        <v>4131</v>
      </c>
      <c r="H68" s="5548">
        <v>8000</v>
      </c>
    </row>
    <row r="69" spans="1:8" ht="15.75">
      <c r="A69" s="3163" t="s">
        <v>186</v>
      </c>
      <c r="B69" s="3164">
        <v>15</v>
      </c>
      <c r="C69" s="3165">
        <v>734</v>
      </c>
      <c r="D69" s="160"/>
      <c r="E69" s="3181" t="s">
        <v>863</v>
      </c>
      <c r="F69" s="3182" t="s">
        <v>2614</v>
      </c>
      <c r="G69" s="3183">
        <v>6385</v>
      </c>
      <c r="H69" s="5452"/>
    </row>
    <row r="70" spans="1:8" ht="15.75">
      <c r="A70" s="3166" t="s">
        <v>2603</v>
      </c>
      <c r="B70" s="3164">
        <v>3</v>
      </c>
      <c r="C70" s="3165">
        <v>60</v>
      </c>
      <c r="D70" s="160"/>
      <c r="E70" s="3184" t="s">
        <v>864</v>
      </c>
      <c r="F70" s="3185" t="s">
        <v>2615</v>
      </c>
      <c r="G70" s="3186">
        <v>1192</v>
      </c>
      <c r="H70" s="3177">
        <v>8762</v>
      </c>
    </row>
    <row r="71" spans="1:8">
      <c r="A71" s="3163" t="s">
        <v>1897</v>
      </c>
      <c r="B71" s="3164">
        <v>3</v>
      </c>
      <c r="C71" s="3165">
        <v>45</v>
      </c>
      <c r="D71" s="160"/>
      <c r="E71" s="3187">
        <v>3</v>
      </c>
      <c r="F71" s="3187" t="s">
        <v>71</v>
      </c>
      <c r="G71" s="3188">
        <f>SUM(G68:G70)</f>
        <v>11708</v>
      </c>
      <c r="H71" s="3188">
        <f>SUM(H68:H70)</f>
        <v>16762</v>
      </c>
    </row>
    <row r="72" spans="1:8">
      <c r="A72" s="3166" t="s">
        <v>2604</v>
      </c>
      <c r="B72" s="3164">
        <v>1</v>
      </c>
      <c r="C72" s="3165">
        <v>40</v>
      </c>
      <c r="D72" s="160"/>
      <c r="E72" s="4410"/>
      <c r="F72" s="4410"/>
      <c r="G72" s="4410"/>
      <c r="H72" s="4410"/>
    </row>
    <row r="73" spans="1:8">
      <c r="A73" s="3163" t="s">
        <v>1898</v>
      </c>
      <c r="B73" s="3164">
        <v>12</v>
      </c>
      <c r="C73" s="3165">
        <v>198</v>
      </c>
      <c r="D73" s="160"/>
      <c r="E73" s="4410"/>
      <c r="F73" s="4410"/>
      <c r="G73" s="4410"/>
      <c r="H73" s="4410"/>
    </row>
    <row r="74" spans="1:8">
      <c r="A74" s="3163" t="s">
        <v>2605</v>
      </c>
      <c r="B74" s="3164">
        <v>2</v>
      </c>
      <c r="C74" s="3165">
        <v>138</v>
      </c>
      <c r="D74" s="160"/>
      <c r="E74" s="4410"/>
      <c r="F74" s="4410"/>
      <c r="G74" s="4410"/>
      <c r="H74" s="4410"/>
    </row>
    <row r="75" spans="1:8">
      <c r="A75" s="3163" t="s">
        <v>321</v>
      </c>
      <c r="B75" s="3164">
        <v>26</v>
      </c>
      <c r="C75" s="3165">
        <v>6542</v>
      </c>
      <c r="D75" s="160"/>
      <c r="E75" s="4410"/>
      <c r="F75" s="4410"/>
      <c r="G75" s="4410"/>
      <c r="H75" s="4410"/>
    </row>
    <row r="76" spans="1:8">
      <c r="A76" s="3163" t="s">
        <v>413</v>
      </c>
      <c r="B76" s="3164">
        <v>6</v>
      </c>
      <c r="C76" s="3165">
        <v>1608</v>
      </c>
      <c r="D76" s="160"/>
      <c r="E76" s="4410"/>
      <c r="F76" s="4410"/>
      <c r="G76" s="4410"/>
      <c r="H76" s="4410"/>
    </row>
    <row r="77" spans="1:8">
      <c r="A77" s="3163" t="s">
        <v>322</v>
      </c>
      <c r="B77" s="3164">
        <v>5</v>
      </c>
      <c r="C77" s="3165">
        <v>1416</v>
      </c>
      <c r="D77" s="160"/>
      <c r="E77" s="4410"/>
      <c r="F77" s="4410"/>
      <c r="G77" s="4410"/>
      <c r="H77" s="4410"/>
    </row>
    <row r="78" spans="1:8">
      <c r="A78" s="3163" t="s">
        <v>1900</v>
      </c>
      <c r="B78" s="3164">
        <v>9</v>
      </c>
      <c r="C78" s="3165">
        <v>81</v>
      </c>
      <c r="D78" s="160"/>
      <c r="E78" s="4410"/>
      <c r="F78" s="4410"/>
      <c r="G78" s="4410"/>
      <c r="H78" s="4410"/>
    </row>
    <row r="79" spans="1:8">
      <c r="A79" s="3163" t="s">
        <v>2047</v>
      </c>
      <c r="B79" s="3164">
        <v>2</v>
      </c>
      <c r="C79" s="3165">
        <v>265</v>
      </c>
      <c r="D79" s="160"/>
      <c r="E79" s="4410"/>
      <c r="F79" s="4410"/>
      <c r="G79" s="4410"/>
      <c r="H79" s="4410"/>
    </row>
    <row r="80" spans="1:8">
      <c r="A80" s="3167" t="s">
        <v>2049</v>
      </c>
      <c r="B80" s="3164">
        <v>2</v>
      </c>
      <c r="C80" s="3165">
        <v>66</v>
      </c>
      <c r="D80" s="160"/>
      <c r="E80" s="4410"/>
      <c r="F80" s="2"/>
      <c r="G80" s="4410"/>
      <c r="H80" s="4410"/>
    </row>
    <row r="81" spans="1:8">
      <c r="A81" s="3163" t="s">
        <v>1916</v>
      </c>
      <c r="B81" s="3168">
        <v>1</v>
      </c>
      <c r="C81" s="3168">
        <v>90</v>
      </c>
      <c r="D81" s="160"/>
      <c r="E81" s="4410"/>
      <c r="F81" s="4410"/>
      <c r="G81" s="4410"/>
      <c r="H81" s="4410"/>
    </row>
    <row r="82" spans="1:8">
      <c r="A82" s="3163" t="s">
        <v>189</v>
      </c>
      <c r="B82" s="3164">
        <v>1</v>
      </c>
      <c r="C82" s="3165">
        <v>30</v>
      </c>
      <c r="D82" s="160"/>
      <c r="E82" s="4410"/>
      <c r="F82" s="4410"/>
      <c r="G82" s="4410"/>
      <c r="H82" s="4410"/>
    </row>
    <row r="83" spans="1:8">
      <c r="A83" s="3163" t="s">
        <v>188</v>
      </c>
      <c r="B83" s="3164">
        <v>3</v>
      </c>
      <c r="C83" s="3165">
        <v>75</v>
      </c>
      <c r="D83" s="160"/>
      <c r="E83" s="4410"/>
      <c r="F83" s="4410"/>
      <c r="G83" s="4410"/>
      <c r="H83" s="4410"/>
    </row>
    <row r="84" spans="1:8">
      <c r="A84" s="3163" t="s">
        <v>327</v>
      </c>
      <c r="B84" s="3164">
        <v>7</v>
      </c>
      <c r="C84" s="3165">
        <v>133</v>
      </c>
      <c r="D84" s="160"/>
      <c r="E84" s="4410"/>
      <c r="F84" s="4410"/>
      <c r="G84" s="4410"/>
      <c r="H84" s="4410"/>
    </row>
    <row r="85" spans="1:8">
      <c r="A85" s="3169" t="s">
        <v>414</v>
      </c>
      <c r="B85" s="3164">
        <v>3</v>
      </c>
      <c r="C85" s="3165">
        <v>72</v>
      </c>
      <c r="D85" s="160"/>
      <c r="E85" s="4410"/>
      <c r="F85" s="127"/>
      <c r="G85" s="4410"/>
      <c r="H85" s="4410"/>
    </row>
    <row r="86" spans="1:8">
      <c r="A86" s="3170" t="s">
        <v>2606</v>
      </c>
      <c r="B86" s="3164">
        <v>60</v>
      </c>
      <c r="C86" s="3165">
        <v>900</v>
      </c>
      <c r="D86" s="160"/>
      <c r="E86" s="4410"/>
      <c r="F86" s="4410"/>
      <c r="G86" s="4410"/>
      <c r="H86" s="4410"/>
    </row>
    <row r="87" spans="1:8" ht="15" customHeight="1">
      <c r="A87" s="3167" t="s">
        <v>2052</v>
      </c>
      <c r="B87" s="3164">
        <v>3</v>
      </c>
      <c r="C87" s="3165">
        <v>77</v>
      </c>
      <c r="D87" s="160"/>
      <c r="E87" s="5546" t="s">
        <v>821</v>
      </c>
      <c r="F87" s="5547" t="s">
        <v>522</v>
      </c>
      <c r="G87" s="4410"/>
      <c r="H87" s="4410"/>
    </row>
    <row r="88" spans="1:8">
      <c r="A88" s="3171" t="s">
        <v>2152</v>
      </c>
      <c r="B88" s="3164">
        <v>10</v>
      </c>
      <c r="C88" s="3165">
        <v>586</v>
      </c>
      <c r="D88" s="160"/>
      <c r="E88" s="5468"/>
      <c r="F88" s="5434"/>
      <c r="G88" s="4410"/>
      <c r="H88" s="4410"/>
    </row>
    <row r="89" spans="1:8">
      <c r="A89" s="4412" t="s">
        <v>71</v>
      </c>
      <c r="B89" s="3173">
        <f>SUM(B68:B88)</f>
        <v>185</v>
      </c>
      <c r="C89" s="3174">
        <f>SUM(C68:C88)</f>
        <v>13362</v>
      </c>
      <c r="D89" s="160"/>
      <c r="E89" s="1986">
        <f>SUM(E71,B89)</f>
        <v>188</v>
      </c>
      <c r="F89" s="1986">
        <f>SUM(G71,C89)</f>
        <v>25070</v>
      </c>
      <c r="G89" s="4410"/>
      <c r="H89" s="4410"/>
    </row>
    <row r="90" spans="1:8">
      <c r="A90" s="75" t="s">
        <v>328</v>
      </c>
      <c r="B90" s="4413"/>
      <c r="C90" s="4413"/>
      <c r="D90" s="160"/>
      <c r="E90" s="4413"/>
      <c r="F90" s="4413"/>
      <c r="G90" s="4413"/>
      <c r="H90" s="4410"/>
    </row>
    <row r="91" spans="1:8" ht="15.75">
      <c r="A91" s="4411"/>
      <c r="B91" s="4411"/>
      <c r="C91" s="4411"/>
      <c r="D91" s="160"/>
      <c r="E91" s="4413"/>
      <c r="F91" s="4413"/>
      <c r="G91" s="4413"/>
      <c r="H91" s="4410"/>
    </row>
    <row r="92" spans="1:8" ht="15.75">
      <c r="A92" s="5435" t="s">
        <v>2616</v>
      </c>
      <c r="B92" s="5436"/>
      <c r="C92" s="5437"/>
      <c r="D92" s="160"/>
      <c r="E92" s="4413"/>
      <c r="F92" s="4413"/>
      <c r="G92" s="4413"/>
      <c r="H92" s="4410"/>
    </row>
    <row r="93" spans="1:8" ht="15.75">
      <c r="A93" s="5534" t="s">
        <v>318</v>
      </c>
      <c r="B93" s="5535"/>
      <c r="C93" s="5536"/>
      <c r="D93" s="160"/>
      <c r="E93" s="191"/>
      <c r="F93" s="191"/>
      <c r="G93" s="191"/>
    </row>
    <row r="94" spans="1:8">
      <c r="A94" s="5537" t="s">
        <v>319</v>
      </c>
      <c r="B94" s="5538" t="s">
        <v>857</v>
      </c>
      <c r="C94" s="5539" t="s">
        <v>185</v>
      </c>
      <c r="D94" s="160"/>
      <c r="E94" s="191"/>
      <c r="F94" s="191"/>
      <c r="G94" s="191"/>
    </row>
    <row r="95" spans="1:8">
      <c r="A95" s="5537"/>
      <c r="B95" s="5444"/>
      <c r="C95" s="5446"/>
      <c r="D95" s="160"/>
      <c r="E95" s="191"/>
      <c r="F95" s="191"/>
      <c r="G95" s="191"/>
    </row>
    <row r="96" spans="1:8">
      <c r="A96" s="3161" t="s">
        <v>2080</v>
      </c>
      <c r="B96" s="3171">
        <v>693</v>
      </c>
      <c r="C96" s="3162">
        <v>2326</v>
      </c>
      <c r="D96" s="160"/>
      <c r="E96" s="191"/>
      <c r="F96" s="191"/>
      <c r="G96" s="191"/>
    </row>
    <row r="97" spans="1:7">
      <c r="A97" s="3168" t="s">
        <v>2607</v>
      </c>
      <c r="B97" s="3170">
        <v>360</v>
      </c>
      <c r="C97" s="3175">
        <v>13390</v>
      </c>
      <c r="D97" s="160"/>
      <c r="E97" s="191"/>
      <c r="F97" s="191"/>
      <c r="G97" s="191"/>
    </row>
    <row r="98" spans="1:7">
      <c r="A98" s="3163" t="s">
        <v>2053</v>
      </c>
      <c r="B98" s="3164">
        <v>1864</v>
      </c>
      <c r="C98" s="3165">
        <v>30250</v>
      </c>
      <c r="D98" s="160"/>
      <c r="E98" s="191"/>
      <c r="F98" s="191"/>
      <c r="G98" s="191"/>
    </row>
    <row r="99" spans="1:7">
      <c r="A99" s="3163" t="s">
        <v>2055</v>
      </c>
      <c r="B99" s="3164">
        <v>974</v>
      </c>
      <c r="C99" s="3165">
        <v>2954</v>
      </c>
      <c r="D99" s="160"/>
      <c r="E99" s="191"/>
      <c r="F99" s="191"/>
      <c r="G99" s="191"/>
    </row>
    <row r="100" spans="1:7">
      <c r="A100" s="3163" t="s">
        <v>2041</v>
      </c>
      <c r="B100" s="3164">
        <v>298</v>
      </c>
      <c r="C100" s="3165">
        <v>1028</v>
      </c>
      <c r="D100" s="160"/>
      <c r="E100" s="191"/>
      <c r="F100" s="191"/>
      <c r="G100" s="191"/>
    </row>
    <row r="101" spans="1:7">
      <c r="A101" s="3163" t="s">
        <v>321</v>
      </c>
      <c r="B101" s="3164">
        <v>90</v>
      </c>
      <c r="C101" s="3165">
        <v>2700</v>
      </c>
      <c r="D101" s="160"/>
      <c r="E101" s="191"/>
      <c r="F101" s="191"/>
      <c r="G101" s="191"/>
    </row>
    <row r="102" spans="1:7">
      <c r="A102" s="3163" t="s">
        <v>322</v>
      </c>
      <c r="B102" s="3164">
        <v>1409</v>
      </c>
      <c r="C102" s="3165">
        <v>23084</v>
      </c>
      <c r="D102" s="160"/>
      <c r="E102" s="191"/>
      <c r="F102" s="191"/>
      <c r="G102" s="191"/>
    </row>
    <row r="103" spans="1:7">
      <c r="A103" s="3163" t="s">
        <v>323</v>
      </c>
      <c r="B103" s="3164">
        <v>239458</v>
      </c>
      <c r="C103" s="3165">
        <v>239458</v>
      </c>
      <c r="D103" s="160"/>
      <c r="E103" s="191"/>
      <c r="F103" s="191"/>
      <c r="G103" s="191"/>
    </row>
    <row r="104" spans="1:7">
      <c r="A104" s="3163" t="s">
        <v>2608</v>
      </c>
      <c r="B104" s="3164">
        <v>19500</v>
      </c>
      <c r="C104" s="3165">
        <v>19500</v>
      </c>
      <c r="D104" s="160"/>
      <c r="E104" s="191"/>
      <c r="F104" s="191"/>
      <c r="G104" s="191"/>
    </row>
    <row r="105" spans="1:7">
      <c r="A105" s="3163" t="s">
        <v>860</v>
      </c>
      <c r="B105" s="3164">
        <v>2399</v>
      </c>
      <c r="C105" s="3165">
        <v>10185</v>
      </c>
      <c r="D105" s="160"/>
      <c r="E105" s="191"/>
      <c r="F105" s="191"/>
      <c r="G105" s="191"/>
    </row>
    <row r="106" spans="1:7">
      <c r="A106" s="3163" t="s">
        <v>1899</v>
      </c>
      <c r="B106" s="3164">
        <v>76</v>
      </c>
      <c r="C106" s="3165">
        <v>1260</v>
      </c>
      <c r="D106" s="160"/>
      <c r="E106" s="191"/>
      <c r="F106" s="191"/>
      <c r="G106" s="191"/>
    </row>
    <row r="107" spans="1:7">
      <c r="A107" s="3163" t="s">
        <v>415</v>
      </c>
      <c r="B107" s="3164">
        <v>66</v>
      </c>
      <c r="C107" s="3165">
        <v>1625</v>
      </c>
      <c r="D107" s="160"/>
      <c r="E107" s="191"/>
      <c r="F107" s="191"/>
      <c r="G107" s="191"/>
    </row>
    <row r="108" spans="1:7">
      <c r="A108" s="3163" t="s">
        <v>713</v>
      </c>
      <c r="B108" s="3164">
        <v>2273</v>
      </c>
      <c r="C108" s="3165">
        <v>2273</v>
      </c>
      <c r="D108" s="160"/>
      <c r="E108" s="191"/>
      <c r="F108" s="191"/>
      <c r="G108" s="191"/>
    </row>
    <row r="109" spans="1:7">
      <c r="A109" s="3166" t="s">
        <v>324</v>
      </c>
      <c r="B109" s="3164">
        <v>20883</v>
      </c>
      <c r="C109" s="3164">
        <v>20883</v>
      </c>
      <c r="D109" s="160"/>
      <c r="E109" s="191"/>
      <c r="F109" s="191"/>
      <c r="G109" s="191"/>
    </row>
    <row r="110" spans="1:7">
      <c r="A110" s="3166" t="s">
        <v>1914</v>
      </c>
      <c r="B110" s="3164">
        <v>1603</v>
      </c>
      <c r="C110" s="3164">
        <v>12460</v>
      </c>
      <c r="D110" s="160"/>
      <c r="E110" s="191"/>
      <c r="F110" s="191"/>
      <c r="G110" s="191"/>
    </row>
    <row r="111" spans="1:7">
      <c r="A111" s="3166" t="s">
        <v>2609</v>
      </c>
      <c r="B111" s="3164">
        <v>5597</v>
      </c>
      <c r="C111" s="3164">
        <v>16634</v>
      </c>
      <c r="D111" s="160"/>
      <c r="E111" s="191"/>
      <c r="F111" s="191"/>
      <c r="G111" s="191"/>
    </row>
    <row r="112" spans="1:7">
      <c r="A112" s="3163" t="s">
        <v>325</v>
      </c>
      <c r="B112" s="3164">
        <v>267</v>
      </c>
      <c r="C112" s="3165">
        <v>21276</v>
      </c>
      <c r="D112" s="160"/>
      <c r="E112" s="191"/>
      <c r="F112" s="191"/>
      <c r="G112" s="191"/>
    </row>
    <row r="113" spans="1:8">
      <c r="A113" s="3163" t="s">
        <v>189</v>
      </c>
      <c r="B113" s="3164">
        <v>5400</v>
      </c>
      <c r="C113" s="3165">
        <v>21600</v>
      </c>
      <c r="D113" s="160"/>
      <c r="E113" s="191"/>
      <c r="F113" s="191"/>
      <c r="G113" s="191"/>
    </row>
    <row r="114" spans="1:8">
      <c r="A114" s="3163" t="s">
        <v>326</v>
      </c>
      <c r="B114" s="3164">
        <v>216</v>
      </c>
      <c r="C114" s="3165">
        <v>3515</v>
      </c>
      <c r="D114" s="160"/>
      <c r="E114" s="191"/>
      <c r="F114" s="191"/>
      <c r="G114" s="191"/>
    </row>
    <row r="115" spans="1:8">
      <c r="A115" s="3163" t="s">
        <v>327</v>
      </c>
      <c r="B115" s="3164">
        <v>2215</v>
      </c>
      <c r="C115" s="3165">
        <v>12041</v>
      </c>
      <c r="D115" s="160"/>
      <c r="E115" s="191"/>
      <c r="F115" s="191"/>
      <c r="G115" s="191"/>
    </row>
    <row r="116" spans="1:8">
      <c r="A116" s="3163" t="s">
        <v>2610</v>
      </c>
      <c r="B116" s="3164">
        <v>535</v>
      </c>
      <c r="C116" s="3165">
        <v>9080</v>
      </c>
      <c r="D116" s="160"/>
      <c r="E116" s="191"/>
      <c r="F116" s="191"/>
      <c r="G116" s="191"/>
    </row>
    <row r="117" spans="1:8">
      <c r="A117" s="3163" t="s">
        <v>2611</v>
      </c>
      <c r="B117" s="3168">
        <v>99</v>
      </c>
      <c r="C117" s="3168">
        <v>772</v>
      </c>
      <c r="D117" s="160"/>
      <c r="E117" s="191"/>
      <c r="F117" s="191"/>
      <c r="G117" s="191"/>
    </row>
    <row r="118" spans="1:8">
      <c r="A118" s="3163" t="s">
        <v>2116</v>
      </c>
      <c r="B118" s="3164">
        <v>782</v>
      </c>
      <c r="C118" s="3165">
        <v>8816</v>
      </c>
      <c r="D118" s="160"/>
      <c r="E118" s="191"/>
      <c r="F118" s="191"/>
      <c r="G118" s="191"/>
    </row>
    <row r="119" spans="1:8">
      <c r="A119" s="3163" t="s">
        <v>2612</v>
      </c>
      <c r="B119" s="3164">
        <v>720</v>
      </c>
      <c r="C119" s="3165">
        <v>8640</v>
      </c>
      <c r="D119" s="160"/>
      <c r="E119" s="191"/>
      <c r="F119" s="191"/>
      <c r="G119" s="191"/>
    </row>
    <row r="120" spans="1:8">
      <c r="A120" s="3163" t="s">
        <v>1826</v>
      </c>
      <c r="B120" s="3164">
        <v>117</v>
      </c>
      <c r="C120" s="3165">
        <v>2925</v>
      </c>
      <c r="D120" s="160"/>
      <c r="E120" s="191"/>
      <c r="F120" s="191"/>
      <c r="G120" s="191"/>
    </row>
    <row r="121" spans="1:8">
      <c r="A121" s="3172" t="s">
        <v>71</v>
      </c>
      <c r="B121" s="3173">
        <f>SUM(B96:B120)</f>
        <v>307894</v>
      </c>
      <c r="C121" s="3174">
        <f>SUM(C96:C120)</f>
        <v>488675</v>
      </c>
      <c r="D121" s="160"/>
      <c r="E121" s="191"/>
      <c r="F121" s="191"/>
      <c r="G121" s="191"/>
    </row>
    <row r="122" spans="1:8">
      <c r="A122" s="75" t="s">
        <v>328</v>
      </c>
      <c r="B122" s="191"/>
      <c r="C122" s="191"/>
      <c r="D122" s="160"/>
      <c r="E122" s="191"/>
      <c r="F122" s="191"/>
      <c r="G122" s="191"/>
    </row>
    <row r="123" spans="1:8" ht="15.75">
      <c r="A123" s="368"/>
      <c r="B123" s="368"/>
      <c r="C123" s="368"/>
      <c r="D123" s="160"/>
      <c r="E123" s="191"/>
      <c r="F123" s="191"/>
      <c r="G123" s="191"/>
    </row>
    <row r="124" spans="1:8">
      <c r="A124" s="191"/>
      <c r="B124" s="191"/>
      <c r="C124" s="191"/>
      <c r="D124" s="191"/>
    </row>
    <row r="125" spans="1:8" ht="15.75">
      <c r="A125" s="5415" t="s">
        <v>2172</v>
      </c>
      <c r="B125" s="5416"/>
      <c r="C125" s="5417"/>
      <c r="E125" s="5425" t="s">
        <v>2173</v>
      </c>
      <c r="F125" s="5426"/>
      <c r="G125" s="5426"/>
      <c r="H125" s="5427"/>
    </row>
    <row r="126" spans="1:8" ht="15.75">
      <c r="A126" s="5418" t="s">
        <v>317</v>
      </c>
      <c r="B126" s="5419"/>
      <c r="C126" s="5420"/>
      <c r="E126" s="5428" t="s">
        <v>319</v>
      </c>
      <c r="F126" s="5430" t="s">
        <v>320</v>
      </c>
      <c r="G126" s="5431" t="s">
        <v>185</v>
      </c>
      <c r="H126" s="5432"/>
    </row>
    <row r="127" spans="1:8" ht="15" customHeight="1">
      <c r="A127" s="5421" t="s">
        <v>184</v>
      </c>
      <c r="B127" s="5422" t="s">
        <v>855</v>
      </c>
      <c r="C127" s="5422" t="s">
        <v>856</v>
      </c>
      <c r="E127" s="5429"/>
      <c r="F127" s="5429"/>
      <c r="G127" s="2132" t="s">
        <v>1822</v>
      </c>
      <c r="H127" s="2133" t="s">
        <v>1823</v>
      </c>
    </row>
    <row r="128" spans="1:8" ht="15" customHeight="1">
      <c r="A128" s="5421"/>
      <c r="B128" s="5423"/>
      <c r="C128" s="5423"/>
      <c r="E128" s="2118" t="s">
        <v>862</v>
      </c>
      <c r="F128" s="2107" t="s">
        <v>1921</v>
      </c>
      <c r="G128" s="2108">
        <v>4110</v>
      </c>
      <c r="H128" s="2109">
        <v>13460</v>
      </c>
    </row>
    <row r="129" spans="1:8" ht="15" customHeight="1">
      <c r="A129" s="2112" t="s">
        <v>187</v>
      </c>
      <c r="B129" s="2112">
        <v>7</v>
      </c>
      <c r="C129" s="2113">
        <v>136</v>
      </c>
      <c r="E129" s="2120" t="s">
        <v>863</v>
      </c>
      <c r="F129" s="2107" t="s">
        <v>1921</v>
      </c>
      <c r="G129" s="2134">
        <v>6080</v>
      </c>
      <c r="H129" s="2135">
        <v>13460</v>
      </c>
    </row>
    <row r="130" spans="1:8" ht="15" customHeight="1">
      <c r="A130" s="2112" t="s">
        <v>1824</v>
      </c>
      <c r="B130" s="2112">
        <v>2</v>
      </c>
      <c r="C130" s="2113">
        <v>45</v>
      </c>
      <c r="E130" s="2121" t="s">
        <v>864</v>
      </c>
      <c r="F130" s="2107" t="s">
        <v>1921</v>
      </c>
      <c r="G130" s="2134">
        <v>1142</v>
      </c>
      <c r="H130" s="2119">
        <v>6785</v>
      </c>
    </row>
    <row r="131" spans="1:8">
      <c r="A131" s="2112" t="s">
        <v>186</v>
      </c>
      <c r="B131" s="2114">
        <v>19</v>
      </c>
      <c r="C131" s="2114">
        <v>756</v>
      </c>
      <c r="E131" s="2137">
        <v>3</v>
      </c>
      <c r="F131" s="2110" t="s">
        <v>71</v>
      </c>
      <c r="G131" s="2111">
        <f>SUM(G128:G130)</f>
        <v>11332</v>
      </c>
      <c r="H131" s="2111">
        <f>SUM(H128:H130)</f>
        <v>33705</v>
      </c>
    </row>
    <row r="132" spans="1:8">
      <c r="A132" s="2112" t="s">
        <v>1896</v>
      </c>
      <c r="B132" s="2114">
        <v>2</v>
      </c>
      <c r="C132" s="2114">
        <v>60</v>
      </c>
      <c r="E132" s="2136"/>
    </row>
    <row r="133" spans="1:8" ht="15" customHeight="1">
      <c r="A133" s="2112" t="s">
        <v>1897</v>
      </c>
      <c r="B133" s="2114">
        <v>2</v>
      </c>
      <c r="C133" s="2114">
        <v>40</v>
      </c>
    </row>
    <row r="134" spans="1:8" ht="15" customHeight="1">
      <c r="A134" s="2112" t="s">
        <v>1898</v>
      </c>
      <c r="B134" s="2114">
        <v>15</v>
      </c>
      <c r="C134" s="2114">
        <v>177</v>
      </c>
    </row>
    <row r="135" spans="1:8">
      <c r="A135" s="2112" t="s">
        <v>1899</v>
      </c>
      <c r="B135" s="2114">
        <v>2</v>
      </c>
      <c r="C135" s="2114">
        <v>40</v>
      </c>
    </row>
    <row r="136" spans="1:8">
      <c r="A136" s="2112" t="s">
        <v>321</v>
      </c>
      <c r="B136" s="2114">
        <v>22</v>
      </c>
      <c r="C136" s="2114">
        <v>6000</v>
      </c>
    </row>
    <row r="137" spans="1:8">
      <c r="A137" s="2112" t="s">
        <v>413</v>
      </c>
      <c r="B137" s="2114">
        <v>12</v>
      </c>
      <c r="C137" s="2114">
        <v>2897</v>
      </c>
    </row>
    <row r="138" spans="1:8">
      <c r="A138" s="2112" t="s">
        <v>322</v>
      </c>
      <c r="B138" s="2114">
        <v>9</v>
      </c>
      <c r="C138" s="2114">
        <v>1364</v>
      </c>
    </row>
    <row r="139" spans="1:8" ht="15" customHeight="1">
      <c r="A139" s="2112" t="s">
        <v>1900</v>
      </c>
      <c r="B139" s="2114">
        <v>19</v>
      </c>
      <c r="C139" s="2114">
        <v>180</v>
      </c>
    </row>
    <row r="140" spans="1:8" ht="15" customHeight="1">
      <c r="A140" s="2112" t="s">
        <v>1901</v>
      </c>
      <c r="B140" s="2114">
        <v>1</v>
      </c>
      <c r="C140" s="2114">
        <v>40</v>
      </c>
    </row>
    <row r="141" spans="1:8" ht="15" customHeight="1">
      <c r="A141" s="2112" t="s">
        <v>1902</v>
      </c>
      <c r="B141" s="2114">
        <v>3</v>
      </c>
      <c r="C141" s="2114">
        <v>699</v>
      </c>
      <c r="D141" s="191"/>
    </row>
    <row r="142" spans="1:8">
      <c r="A142" s="2112" t="s">
        <v>1903</v>
      </c>
      <c r="B142" s="2114">
        <v>2</v>
      </c>
      <c r="C142" s="2114">
        <v>20</v>
      </c>
      <c r="D142" s="191"/>
    </row>
    <row r="143" spans="1:8">
      <c r="A143" s="2112" t="s">
        <v>189</v>
      </c>
      <c r="B143" s="2114">
        <v>4</v>
      </c>
      <c r="C143" s="2114">
        <v>94</v>
      </c>
      <c r="D143" s="81"/>
    </row>
    <row r="144" spans="1:8" ht="15" customHeight="1">
      <c r="A144" s="2112" t="s">
        <v>188</v>
      </c>
      <c r="B144" s="2114">
        <v>3</v>
      </c>
      <c r="C144" s="2114">
        <v>32</v>
      </c>
    </row>
    <row r="145" spans="1:6">
      <c r="A145" s="2112" t="s">
        <v>327</v>
      </c>
      <c r="B145" s="2114">
        <v>7</v>
      </c>
      <c r="C145" s="2114">
        <v>121</v>
      </c>
    </row>
    <row r="146" spans="1:6">
      <c r="A146" s="2112" t="s">
        <v>414</v>
      </c>
      <c r="B146" s="2114">
        <v>6</v>
      </c>
      <c r="C146" s="2114">
        <v>380</v>
      </c>
    </row>
    <row r="147" spans="1:6">
      <c r="A147" s="2112" t="s">
        <v>580</v>
      </c>
      <c r="B147" s="2114">
        <v>3</v>
      </c>
      <c r="C147" s="2114">
        <v>237</v>
      </c>
      <c r="E147" s="5413" t="s">
        <v>821</v>
      </c>
      <c r="F147" s="5433" t="s">
        <v>522</v>
      </c>
    </row>
    <row r="148" spans="1:6" ht="15" customHeight="1">
      <c r="A148" s="2112" t="s">
        <v>712</v>
      </c>
      <c r="B148" s="2114">
        <v>12</v>
      </c>
      <c r="C148" s="2114">
        <v>694</v>
      </c>
      <c r="E148" s="5414"/>
      <c r="F148" s="5434"/>
    </row>
    <row r="149" spans="1:6">
      <c r="A149" s="2115" t="s">
        <v>71</v>
      </c>
      <c r="B149" s="2116">
        <f>SUM(B129:B148)</f>
        <v>152</v>
      </c>
      <c r="C149" s="2117">
        <f>SUM(C129:C148)</f>
        <v>14012</v>
      </c>
      <c r="E149" s="1986">
        <f>SUM(B149,E131)</f>
        <v>155</v>
      </c>
      <c r="F149" s="1986">
        <f>SUM(C149,G131)</f>
        <v>25344</v>
      </c>
    </row>
    <row r="150" spans="1:6" ht="18.75" customHeight="1">
      <c r="A150" s="75" t="s">
        <v>328</v>
      </c>
    </row>
    <row r="151" spans="1:6">
      <c r="A151" s="191"/>
      <c r="B151" s="191"/>
      <c r="C151" s="191"/>
    </row>
    <row r="152" spans="1:6">
      <c r="A152" s="1987"/>
      <c r="B152" s="1987"/>
      <c r="C152" s="1987"/>
    </row>
    <row r="153" spans="1:6" ht="15.75">
      <c r="A153" s="5415" t="s">
        <v>2174</v>
      </c>
      <c r="B153" s="5416"/>
      <c r="C153" s="5417"/>
    </row>
    <row r="154" spans="1:6" ht="15.75">
      <c r="A154" s="5418" t="s">
        <v>318</v>
      </c>
      <c r="B154" s="5419"/>
      <c r="C154" s="5420"/>
    </row>
    <row r="155" spans="1:6" ht="15" customHeight="1">
      <c r="A155" s="5421" t="s">
        <v>319</v>
      </c>
      <c r="B155" s="5422" t="s">
        <v>857</v>
      </c>
      <c r="C155" s="5422" t="s">
        <v>185</v>
      </c>
    </row>
    <row r="156" spans="1:6">
      <c r="A156" s="5421"/>
      <c r="B156" s="5423"/>
      <c r="C156" s="5423"/>
    </row>
    <row r="157" spans="1:6">
      <c r="A157" s="2122" t="s">
        <v>858</v>
      </c>
      <c r="B157" s="2123">
        <v>13146</v>
      </c>
      <c r="C157" s="2123">
        <v>13146</v>
      </c>
    </row>
    <row r="158" spans="1:6">
      <c r="A158" s="2122" t="s">
        <v>1825</v>
      </c>
      <c r="B158" s="2123">
        <v>248</v>
      </c>
      <c r="C158" s="2123">
        <v>873</v>
      </c>
    </row>
    <row r="159" spans="1:6">
      <c r="A159" s="2124" t="s">
        <v>1904</v>
      </c>
      <c r="B159" s="2123">
        <v>112</v>
      </c>
      <c r="C159" s="2123">
        <v>4480</v>
      </c>
    </row>
    <row r="160" spans="1:6">
      <c r="A160" s="2125" t="s">
        <v>1905</v>
      </c>
      <c r="B160" s="2114">
        <v>4964</v>
      </c>
      <c r="C160" s="2123">
        <v>30790</v>
      </c>
    </row>
    <row r="161" spans="1:4">
      <c r="A161" s="2126" t="s">
        <v>1906</v>
      </c>
      <c r="B161" s="2114">
        <v>441</v>
      </c>
      <c r="C161" s="2123">
        <v>2073</v>
      </c>
    </row>
    <row r="162" spans="1:4">
      <c r="A162" s="2126" t="s">
        <v>1907</v>
      </c>
      <c r="B162" s="2127">
        <v>1</v>
      </c>
      <c r="C162" s="2123">
        <v>12</v>
      </c>
    </row>
    <row r="163" spans="1:4">
      <c r="A163" s="2126" t="s">
        <v>859</v>
      </c>
      <c r="B163" s="2127">
        <v>2</v>
      </c>
      <c r="C163" s="2123">
        <v>95</v>
      </c>
    </row>
    <row r="164" spans="1:4">
      <c r="A164" s="2126" t="s">
        <v>1908</v>
      </c>
      <c r="B164" s="2127">
        <v>2703</v>
      </c>
      <c r="C164" s="2123">
        <v>2703</v>
      </c>
    </row>
    <row r="165" spans="1:4">
      <c r="A165" s="2128" t="s">
        <v>581</v>
      </c>
      <c r="B165" s="2114">
        <v>1770</v>
      </c>
      <c r="C165" s="2123">
        <v>2028</v>
      </c>
    </row>
    <row r="166" spans="1:4" ht="30">
      <c r="A166" s="2125" t="s">
        <v>1909</v>
      </c>
      <c r="B166" s="2114">
        <v>1171</v>
      </c>
      <c r="C166" s="2123">
        <v>1210</v>
      </c>
    </row>
    <row r="167" spans="1:4">
      <c r="A167" s="2128" t="s">
        <v>321</v>
      </c>
      <c r="B167" s="2114">
        <v>98</v>
      </c>
      <c r="C167" s="2123">
        <v>1536</v>
      </c>
    </row>
    <row r="168" spans="1:4">
      <c r="A168" s="2128" t="s">
        <v>322</v>
      </c>
      <c r="B168" s="2114">
        <v>744</v>
      </c>
      <c r="C168" s="2123">
        <v>11160</v>
      </c>
    </row>
    <row r="169" spans="1:4">
      <c r="A169" s="2128" t="s">
        <v>323</v>
      </c>
      <c r="B169" s="2114">
        <v>149850</v>
      </c>
      <c r="C169" s="2123">
        <v>316686</v>
      </c>
      <c r="D169" s="127"/>
    </row>
    <row r="170" spans="1:4">
      <c r="A170" s="2128" t="s">
        <v>1910</v>
      </c>
      <c r="B170" s="2114">
        <v>2750</v>
      </c>
      <c r="C170" s="2123">
        <v>2750</v>
      </c>
    </row>
    <row r="171" spans="1:4">
      <c r="A171" s="2128" t="s">
        <v>860</v>
      </c>
      <c r="B171" s="2114">
        <v>279</v>
      </c>
      <c r="C171" s="2123">
        <v>1116</v>
      </c>
    </row>
    <row r="172" spans="1:4">
      <c r="A172" s="2128" t="s">
        <v>861</v>
      </c>
      <c r="B172" s="2114">
        <v>55</v>
      </c>
      <c r="C172" s="2123">
        <v>550</v>
      </c>
    </row>
    <row r="173" spans="1:4">
      <c r="A173" s="2128" t="s">
        <v>415</v>
      </c>
      <c r="B173" s="2114">
        <v>35</v>
      </c>
      <c r="C173" s="2123">
        <v>525</v>
      </c>
    </row>
    <row r="174" spans="1:4">
      <c r="A174" s="2128" t="s">
        <v>713</v>
      </c>
      <c r="B174" s="2114">
        <v>1580</v>
      </c>
      <c r="C174" s="2123">
        <v>1658</v>
      </c>
    </row>
    <row r="175" spans="1:4">
      <c r="A175" s="2129" t="s">
        <v>1911</v>
      </c>
      <c r="B175" s="2114">
        <v>2436</v>
      </c>
      <c r="C175" s="2123">
        <v>2436</v>
      </c>
    </row>
    <row r="176" spans="1:4" ht="30">
      <c r="A176" s="2125" t="s">
        <v>324</v>
      </c>
      <c r="B176" s="2114">
        <v>5270</v>
      </c>
      <c r="C176" s="2123">
        <v>5270</v>
      </c>
    </row>
    <row r="177" spans="1:3">
      <c r="A177" s="2128" t="s">
        <v>1912</v>
      </c>
      <c r="B177" s="2114">
        <v>6510</v>
      </c>
      <c r="C177" s="2123">
        <v>6510</v>
      </c>
    </row>
    <row r="178" spans="1:3">
      <c r="A178" s="2124" t="s">
        <v>1913</v>
      </c>
      <c r="B178" s="2130">
        <v>4507</v>
      </c>
      <c r="C178" s="2123">
        <v>4507</v>
      </c>
    </row>
    <row r="179" spans="1:3">
      <c r="A179" s="2129" t="s">
        <v>1914</v>
      </c>
      <c r="B179" s="2130">
        <v>19404</v>
      </c>
      <c r="C179" s="2123">
        <v>19404</v>
      </c>
    </row>
    <row r="180" spans="1:3" ht="15" customHeight="1">
      <c r="A180" s="2124" t="s">
        <v>1915</v>
      </c>
      <c r="B180" s="2130">
        <v>395</v>
      </c>
      <c r="C180" s="2123">
        <v>395</v>
      </c>
    </row>
    <row r="181" spans="1:3">
      <c r="A181" s="2124" t="s">
        <v>1916</v>
      </c>
      <c r="B181" s="2130">
        <v>2</v>
      </c>
      <c r="C181" s="2123">
        <v>120</v>
      </c>
    </row>
    <row r="182" spans="1:3">
      <c r="A182" s="2128" t="s">
        <v>325</v>
      </c>
      <c r="B182" s="2114">
        <v>137</v>
      </c>
      <c r="C182" s="2123">
        <v>15850</v>
      </c>
    </row>
    <row r="183" spans="1:3">
      <c r="A183" s="2128" t="s">
        <v>189</v>
      </c>
      <c r="B183" s="2114">
        <v>1634</v>
      </c>
      <c r="C183" s="2123">
        <v>3268</v>
      </c>
    </row>
    <row r="184" spans="1:3">
      <c r="A184" s="2128" t="s">
        <v>1917</v>
      </c>
      <c r="B184" s="2114">
        <v>2</v>
      </c>
      <c r="C184" s="2123">
        <v>10</v>
      </c>
    </row>
    <row r="185" spans="1:3">
      <c r="A185" s="2128" t="s">
        <v>326</v>
      </c>
      <c r="B185" s="2114">
        <v>136</v>
      </c>
      <c r="C185" s="2123">
        <v>2852</v>
      </c>
    </row>
    <row r="186" spans="1:3">
      <c r="A186" s="2131" t="s">
        <v>1918</v>
      </c>
      <c r="B186" s="2113">
        <v>1600</v>
      </c>
      <c r="C186" s="2123">
        <v>3200</v>
      </c>
    </row>
    <row r="187" spans="1:3">
      <c r="A187" s="2128" t="s">
        <v>1919</v>
      </c>
      <c r="B187" s="2114">
        <v>1890</v>
      </c>
      <c r="C187" s="2123">
        <v>8512</v>
      </c>
    </row>
    <row r="188" spans="1:3">
      <c r="A188" s="2128" t="s">
        <v>1920</v>
      </c>
      <c r="B188" s="2114"/>
      <c r="C188" s="2123">
        <v>5394</v>
      </c>
    </row>
    <row r="189" spans="1:3">
      <c r="A189" s="2128" t="s">
        <v>580</v>
      </c>
      <c r="B189" s="2114">
        <v>250</v>
      </c>
      <c r="C189" s="2123">
        <v>1000</v>
      </c>
    </row>
    <row r="190" spans="1:3">
      <c r="A190" s="2128" t="s">
        <v>712</v>
      </c>
      <c r="B190" s="2114">
        <v>852</v>
      </c>
      <c r="C190" s="2123">
        <v>8082</v>
      </c>
    </row>
    <row r="191" spans="1:3">
      <c r="A191" s="2128" t="s">
        <v>1826</v>
      </c>
      <c r="B191" s="2114">
        <v>60</v>
      </c>
      <c r="C191" s="2123">
        <v>720</v>
      </c>
    </row>
    <row r="192" spans="1:3">
      <c r="A192" s="2128" t="s">
        <v>1827</v>
      </c>
      <c r="B192" s="2114">
        <v>1</v>
      </c>
      <c r="C192" s="2123">
        <v>12</v>
      </c>
    </row>
    <row r="193" spans="1:8">
      <c r="A193" s="2115" t="s">
        <v>71</v>
      </c>
      <c r="B193" s="2116">
        <f>SUM(B157:B192)</f>
        <v>225035</v>
      </c>
      <c r="C193" s="2117">
        <f>SUM(C157:C192)</f>
        <v>480933</v>
      </c>
    </row>
    <row r="197" spans="1:8" ht="15.75">
      <c r="A197" s="5453" t="s">
        <v>2058</v>
      </c>
      <c r="B197" s="5416"/>
      <c r="C197" s="5454"/>
      <c r="E197" s="5453" t="s">
        <v>2059</v>
      </c>
      <c r="F197" s="5416"/>
      <c r="G197" s="5416"/>
      <c r="H197" s="5454"/>
    </row>
    <row r="198" spans="1:8" ht="15.75">
      <c r="A198" s="5455" t="s">
        <v>317</v>
      </c>
      <c r="B198" s="5456"/>
      <c r="C198" s="5457"/>
      <c r="E198" s="5458" t="s">
        <v>319</v>
      </c>
      <c r="F198" s="5460" t="s">
        <v>320</v>
      </c>
      <c r="G198" s="5461" t="s">
        <v>185</v>
      </c>
      <c r="H198" s="5462"/>
    </row>
    <row r="199" spans="1:8">
      <c r="A199" s="5463" t="s">
        <v>184</v>
      </c>
      <c r="B199" s="5464" t="s">
        <v>855</v>
      </c>
      <c r="C199" s="5464" t="s">
        <v>856</v>
      </c>
      <c r="E199" s="5459"/>
      <c r="F199" s="5459"/>
      <c r="G199" s="2654" t="s">
        <v>1822</v>
      </c>
      <c r="H199" s="2655" t="s">
        <v>1823</v>
      </c>
    </row>
    <row r="200" spans="1:8">
      <c r="A200" s="5463"/>
      <c r="B200" s="5444"/>
      <c r="C200" s="5444"/>
      <c r="E200" s="5465" t="s">
        <v>862</v>
      </c>
      <c r="F200" s="2656" t="s">
        <v>2034</v>
      </c>
      <c r="G200" s="2657"/>
      <c r="H200" s="2658"/>
    </row>
    <row r="201" spans="1:8">
      <c r="A201" s="2659" t="s">
        <v>187</v>
      </c>
      <c r="B201" s="2660">
        <v>12</v>
      </c>
      <c r="C201" s="2661">
        <v>218</v>
      </c>
      <c r="E201" s="5466"/>
      <c r="F201" s="2656" t="s">
        <v>2035</v>
      </c>
      <c r="G201" s="2657"/>
      <c r="H201" s="2658"/>
    </row>
    <row r="202" spans="1:8">
      <c r="A202" s="2659" t="s">
        <v>1824</v>
      </c>
      <c r="B202" s="2660">
        <v>1</v>
      </c>
      <c r="C202" s="2661">
        <v>55</v>
      </c>
      <c r="E202" s="2662" t="s">
        <v>863</v>
      </c>
      <c r="F202" s="2656" t="s">
        <v>2036</v>
      </c>
      <c r="G202" s="2657">
        <v>5987</v>
      </c>
      <c r="H202" s="2658">
        <v>7150</v>
      </c>
    </row>
    <row r="203" spans="1:8">
      <c r="A203" s="2663" t="s">
        <v>186</v>
      </c>
      <c r="B203" s="2664">
        <v>6</v>
      </c>
      <c r="C203" s="2664">
        <v>350</v>
      </c>
      <c r="E203" s="5471" t="s">
        <v>2037</v>
      </c>
      <c r="F203" s="2656" t="s">
        <v>2038</v>
      </c>
      <c r="G203" s="2657">
        <v>3846</v>
      </c>
      <c r="H203" s="2658">
        <v>7150</v>
      </c>
    </row>
    <row r="204" spans="1:8">
      <c r="A204" s="2663" t="s">
        <v>2039</v>
      </c>
      <c r="B204" s="2664">
        <v>10</v>
      </c>
      <c r="C204" s="2664">
        <v>233</v>
      </c>
      <c r="E204" s="5472"/>
      <c r="F204" s="2656" t="s">
        <v>2040</v>
      </c>
      <c r="G204" s="2657"/>
      <c r="H204" s="2658"/>
    </row>
    <row r="205" spans="1:8">
      <c r="A205" s="2663" t="s">
        <v>2041</v>
      </c>
      <c r="B205" s="2664">
        <v>1</v>
      </c>
      <c r="C205" s="2664">
        <v>16</v>
      </c>
      <c r="E205" s="2665" t="s">
        <v>864</v>
      </c>
      <c r="F205" s="2656"/>
      <c r="G205" s="2657"/>
      <c r="H205" s="2658"/>
    </row>
    <row r="206" spans="1:8">
      <c r="A206" s="2663" t="s">
        <v>321</v>
      </c>
      <c r="B206" s="2664">
        <v>22</v>
      </c>
      <c r="C206" s="2664">
        <v>6010</v>
      </c>
      <c r="E206" s="5473" t="s">
        <v>2042</v>
      </c>
      <c r="F206" s="5476" t="s">
        <v>2043</v>
      </c>
      <c r="G206" s="5447">
        <v>1133</v>
      </c>
      <c r="H206" s="5450">
        <v>4450</v>
      </c>
    </row>
    <row r="207" spans="1:8">
      <c r="A207" s="2663" t="s">
        <v>413</v>
      </c>
      <c r="B207" s="2664">
        <v>14</v>
      </c>
      <c r="C207" s="2664">
        <v>3207</v>
      </c>
      <c r="E207" s="5474"/>
      <c r="F207" s="5477"/>
      <c r="G207" s="5448"/>
      <c r="H207" s="5451"/>
    </row>
    <row r="208" spans="1:8">
      <c r="A208" s="2663" t="s">
        <v>322</v>
      </c>
      <c r="B208" s="2664">
        <v>4</v>
      </c>
      <c r="C208" s="2664">
        <v>1116</v>
      </c>
      <c r="E208" s="5475"/>
      <c r="F208" s="5478"/>
      <c r="G208" s="5449"/>
      <c r="H208" s="5452"/>
    </row>
    <row r="209" spans="1:8">
      <c r="A209" s="2663" t="s">
        <v>2044</v>
      </c>
      <c r="B209" s="2664">
        <v>1</v>
      </c>
      <c r="C209" s="2664">
        <v>15</v>
      </c>
      <c r="E209" s="2666">
        <v>3</v>
      </c>
      <c r="F209" s="2667" t="s">
        <v>15</v>
      </c>
      <c r="G209" s="2668">
        <f>SUM(G200:G208)</f>
        <v>10966</v>
      </c>
      <c r="H209" s="2668">
        <f>SUM(H200:H208)</f>
        <v>18750</v>
      </c>
    </row>
    <row r="210" spans="1:8">
      <c r="A210" s="2663" t="s">
        <v>2045</v>
      </c>
      <c r="B210" s="2664">
        <v>1</v>
      </c>
      <c r="C210" s="2664">
        <v>36</v>
      </c>
    </row>
    <row r="211" spans="1:8">
      <c r="A211" s="2663" t="s">
        <v>2046</v>
      </c>
      <c r="B211" s="2664">
        <v>2</v>
      </c>
      <c r="C211" s="2664">
        <v>260</v>
      </c>
    </row>
    <row r="212" spans="1:8">
      <c r="A212" s="2663" t="s">
        <v>2047</v>
      </c>
      <c r="B212" s="2664">
        <v>2</v>
      </c>
      <c r="C212" s="2664">
        <v>530</v>
      </c>
    </row>
    <row r="213" spans="1:8">
      <c r="A213" s="2663" t="s">
        <v>2048</v>
      </c>
      <c r="B213" s="2664">
        <v>1</v>
      </c>
      <c r="C213" s="2664">
        <v>175</v>
      </c>
      <c r="D213" s="191"/>
    </row>
    <row r="214" spans="1:8">
      <c r="A214" s="2669" t="s">
        <v>2049</v>
      </c>
      <c r="B214" s="2664">
        <v>6</v>
      </c>
      <c r="C214" s="2664">
        <v>107</v>
      </c>
      <c r="D214" s="191"/>
    </row>
    <row r="215" spans="1:8">
      <c r="A215" s="2663" t="s">
        <v>189</v>
      </c>
      <c r="B215" s="2664">
        <v>6</v>
      </c>
      <c r="C215" s="2664">
        <v>110</v>
      </c>
      <c r="D215" s="81"/>
    </row>
    <row r="216" spans="1:8">
      <c r="A216" s="2663" t="s">
        <v>188</v>
      </c>
      <c r="B216" s="2664">
        <v>3</v>
      </c>
      <c r="C216" s="2664">
        <v>46</v>
      </c>
    </row>
    <row r="217" spans="1:8">
      <c r="A217" s="2663" t="s">
        <v>327</v>
      </c>
      <c r="B217" s="2664">
        <v>7</v>
      </c>
      <c r="C217" s="2664">
        <v>108</v>
      </c>
    </row>
    <row r="218" spans="1:8">
      <c r="A218" s="2670" t="s">
        <v>414</v>
      </c>
      <c r="B218" s="2664">
        <v>4</v>
      </c>
      <c r="C218" s="2664">
        <v>348</v>
      </c>
    </row>
    <row r="219" spans="1:8">
      <c r="A219" s="2663" t="s">
        <v>2050</v>
      </c>
      <c r="B219" s="2664">
        <v>8</v>
      </c>
      <c r="C219" s="2664">
        <v>125</v>
      </c>
    </row>
    <row r="220" spans="1:8">
      <c r="A220" s="2660" t="s">
        <v>2051</v>
      </c>
      <c r="B220" s="2664">
        <v>6</v>
      </c>
      <c r="C220" s="2664">
        <v>120</v>
      </c>
    </row>
    <row r="221" spans="1:8">
      <c r="A221" s="2660" t="s">
        <v>712</v>
      </c>
      <c r="B221" s="2664">
        <v>7</v>
      </c>
      <c r="C221" s="2664">
        <v>308</v>
      </c>
      <c r="E221" s="5467" t="s">
        <v>821</v>
      </c>
    </row>
    <row r="222" spans="1:8">
      <c r="A222" s="2444" t="s">
        <v>2052</v>
      </c>
      <c r="B222" s="2444">
        <v>2</v>
      </c>
      <c r="C222" s="2444">
        <v>41</v>
      </c>
      <c r="E222" s="5468"/>
    </row>
    <row r="223" spans="1:8">
      <c r="A223" s="2671" t="s">
        <v>71</v>
      </c>
      <c r="B223" s="2672">
        <f>SUM(B201:B222)</f>
        <v>126</v>
      </c>
      <c r="C223" s="2673">
        <f>SUM(C201:C222)</f>
        <v>13534</v>
      </c>
      <c r="E223" s="2674">
        <f>SUM(B223,E209)</f>
        <v>129</v>
      </c>
    </row>
    <row r="224" spans="1:8">
      <c r="A224" s="75" t="s">
        <v>328</v>
      </c>
    </row>
    <row r="225" spans="1:3">
      <c r="A225" s="1987"/>
      <c r="B225" s="1987"/>
      <c r="C225" s="1987"/>
    </row>
    <row r="226" spans="1:3">
      <c r="A226" s="1987"/>
      <c r="B226" s="1987"/>
      <c r="C226" s="1987"/>
    </row>
    <row r="227" spans="1:3" ht="15.75">
      <c r="A227" s="5453" t="s">
        <v>2058</v>
      </c>
      <c r="B227" s="5416"/>
      <c r="C227" s="5454"/>
    </row>
    <row r="228" spans="1:3" ht="15.75">
      <c r="A228" s="5469" t="s">
        <v>318</v>
      </c>
      <c r="B228" s="5419"/>
      <c r="C228" s="5470"/>
    </row>
    <row r="229" spans="1:3">
      <c r="A229" s="5463" t="s">
        <v>319</v>
      </c>
      <c r="B229" s="5464" t="s">
        <v>857</v>
      </c>
      <c r="C229" s="5464" t="s">
        <v>185</v>
      </c>
    </row>
    <row r="230" spans="1:3">
      <c r="A230" s="5463"/>
      <c r="B230" s="5444"/>
      <c r="C230" s="5444"/>
    </row>
    <row r="231" spans="1:3">
      <c r="A231" s="2675" t="s">
        <v>858</v>
      </c>
      <c r="B231" s="2675">
        <v>26457</v>
      </c>
      <c r="C231" s="2676">
        <v>26457</v>
      </c>
    </row>
    <row r="232" spans="1:3">
      <c r="A232" s="2675" t="s">
        <v>1825</v>
      </c>
      <c r="B232" s="2675">
        <v>449</v>
      </c>
      <c r="C232" s="2676">
        <v>897</v>
      </c>
    </row>
    <row r="233" spans="1:3">
      <c r="A233" s="2663" t="s">
        <v>2053</v>
      </c>
      <c r="B233" s="2664">
        <v>5517</v>
      </c>
      <c r="C233" s="2664">
        <v>55170</v>
      </c>
    </row>
    <row r="234" spans="1:3">
      <c r="A234" s="2663" t="s">
        <v>2054</v>
      </c>
      <c r="B234" s="2664">
        <v>25</v>
      </c>
      <c r="C234" s="2664">
        <v>300</v>
      </c>
    </row>
    <row r="235" spans="1:3">
      <c r="A235" s="2444" t="s">
        <v>2055</v>
      </c>
      <c r="B235" s="2444">
        <v>440</v>
      </c>
      <c r="C235" s="2444">
        <v>440</v>
      </c>
    </row>
    <row r="236" spans="1:3">
      <c r="A236" s="2444" t="s">
        <v>859</v>
      </c>
      <c r="B236" s="2444">
        <v>2</v>
      </c>
      <c r="C236" s="2444">
        <v>60</v>
      </c>
    </row>
    <row r="237" spans="1:3">
      <c r="A237" s="2444" t="s">
        <v>2041</v>
      </c>
      <c r="B237" s="2444">
        <v>562</v>
      </c>
      <c r="C237" s="2444">
        <v>1942</v>
      </c>
    </row>
    <row r="238" spans="1:3">
      <c r="A238" s="2663" t="s">
        <v>581</v>
      </c>
      <c r="B238" s="2664">
        <v>6055</v>
      </c>
      <c r="C238" s="2664">
        <v>6055</v>
      </c>
    </row>
    <row r="239" spans="1:3">
      <c r="A239" s="2663" t="s">
        <v>2056</v>
      </c>
      <c r="B239" s="2664">
        <v>809</v>
      </c>
      <c r="C239" s="2664">
        <v>4121</v>
      </c>
    </row>
    <row r="240" spans="1:3">
      <c r="A240" s="2663" t="s">
        <v>321</v>
      </c>
      <c r="B240" s="2664">
        <v>1046</v>
      </c>
      <c r="C240" s="2664">
        <v>7522</v>
      </c>
    </row>
    <row r="241" spans="1:4">
      <c r="A241" s="2663" t="s">
        <v>322</v>
      </c>
      <c r="B241" s="2664">
        <v>1036</v>
      </c>
      <c r="C241" s="2664">
        <v>15964</v>
      </c>
    </row>
    <row r="242" spans="1:4">
      <c r="A242" s="2663" t="s">
        <v>2057</v>
      </c>
      <c r="B242" s="2664">
        <v>246</v>
      </c>
      <c r="C242" s="2664">
        <v>3291</v>
      </c>
    </row>
    <row r="243" spans="1:4">
      <c r="A243" s="2663" t="s">
        <v>323</v>
      </c>
      <c r="B243" s="2664">
        <v>296379</v>
      </c>
      <c r="C243" s="2664">
        <v>296379</v>
      </c>
      <c r="D243" s="127"/>
    </row>
    <row r="244" spans="1:4">
      <c r="A244" s="2663" t="s">
        <v>860</v>
      </c>
      <c r="B244" s="2664">
        <v>185</v>
      </c>
      <c r="C244" s="2664">
        <v>740</v>
      </c>
    </row>
    <row r="245" spans="1:4">
      <c r="A245" s="2663" t="s">
        <v>861</v>
      </c>
      <c r="B245" s="2664">
        <v>39</v>
      </c>
      <c r="C245" s="2664">
        <v>234</v>
      </c>
    </row>
    <row r="246" spans="1:4">
      <c r="A246" s="2663" t="s">
        <v>415</v>
      </c>
      <c r="B246" s="2664">
        <v>63</v>
      </c>
      <c r="C246" s="2664">
        <v>1260</v>
      </c>
    </row>
    <row r="247" spans="1:4">
      <c r="A247" s="2663" t="s">
        <v>713</v>
      </c>
      <c r="B247" s="2664">
        <v>2265</v>
      </c>
      <c r="C247" s="2664">
        <v>2265</v>
      </c>
    </row>
    <row r="248" spans="1:4">
      <c r="A248" s="2670" t="s">
        <v>324</v>
      </c>
      <c r="B248" s="2664">
        <v>55700</v>
      </c>
      <c r="C248" s="2664">
        <v>55700</v>
      </c>
    </row>
    <row r="249" spans="1:4">
      <c r="A249" s="2663" t="s">
        <v>578</v>
      </c>
      <c r="B249" s="2664">
        <v>1821</v>
      </c>
      <c r="C249" s="2664">
        <v>1821</v>
      </c>
    </row>
    <row r="250" spans="1:4">
      <c r="A250" s="2663" t="s">
        <v>325</v>
      </c>
      <c r="B250" s="2664">
        <v>16238</v>
      </c>
      <c r="C250" s="2664">
        <v>16238</v>
      </c>
    </row>
    <row r="251" spans="1:4">
      <c r="A251" s="2663" t="s">
        <v>189</v>
      </c>
      <c r="B251" s="2664">
        <v>5792</v>
      </c>
      <c r="C251" s="2664">
        <v>11596</v>
      </c>
    </row>
    <row r="252" spans="1:4">
      <c r="A252" s="2663" t="s">
        <v>326</v>
      </c>
      <c r="B252" s="2664">
        <v>106</v>
      </c>
      <c r="C252" s="2664">
        <v>1630</v>
      </c>
    </row>
    <row r="253" spans="1:4">
      <c r="A253" s="2659" t="s">
        <v>188</v>
      </c>
      <c r="B253" s="2660">
        <v>825</v>
      </c>
      <c r="C253" s="2661">
        <v>1650</v>
      </c>
    </row>
    <row r="254" spans="1:4">
      <c r="A254" s="2663" t="s">
        <v>327</v>
      </c>
      <c r="B254" s="2664">
        <v>3758</v>
      </c>
      <c r="C254" s="2664">
        <v>13976</v>
      </c>
    </row>
    <row r="255" spans="1:4">
      <c r="A255" s="2663" t="s">
        <v>580</v>
      </c>
      <c r="B255" s="2664">
        <v>100</v>
      </c>
      <c r="C255" s="2664">
        <v>400</v>
      </c>
    </row>
    <row r="256" spans="1:4">
      <c r="A256" s="2663" t="s">
        <v>712</v>
      </c>
      <c r="B256" s="2664">
        <v>589</v>
      </c>
      <c r="C256" s="2664">
        <v>6099</v>
      </c>
    </row>
    <row r="257" spans="1:8">
      <c r="A257" s="2663" t="s">
        <v>1826</v>
      </c>
      <c r="B257" s="2664">
        <v>5400</v>
      </c>
      <c r="C257" s="2664">
        <v>5400</v>
      </c>
    </row>
    <row r="258" spans="1:8">
      <c r="A258" s="2663" t="s">
        <v>1827</v>
      </c>
      <c r="B258" s="2664">
        <v>9000</v>
      </c>
      <c r="C258" s="2664">
        <v>9000</v>
      </c>
    </row>
    <row r="259" spans="1:8">
      <c r="A259" s="2671" t="s">
        <v>71</v>
      </c>
      <c r="B259" s="2672">
        <f>SUM(B231:B258)</f>
        <v>440904</v>
      </c>
      <c r="C259" s="2673">
        <f>SUM(C231:C258)</f>
        <v>546607</v>
      </c>
    </row>
    <row r="260" spans="1:8">
      <c r="A260" s="75" t="s">
        <v>328</v>
      </c>
    </row>
    <row r="264" spans="1:8" ht="15.75">
      <c r="A264" s="5453" t="s">
        <v>2081</v>
      </c>
      <c r="B264" s="5416"/>
      <c r="C264" s="5454"/>
      <c r="E264" s="5453" t="s">
        <v>2082</v>
      </c>
      <c r="F264" s="5416"/>
      <c r="G264" s="5416"/>
      <c r="H264" s="5454"/>
    </row>
    <row r="265" spans="1:8" ht="15.75">
      <c r="A265" s="5455" t="s">
        <v>317</v>
      </c>
      <c r="B265" s="5456"/>
      <c r="C265" s="5457"/>
      <c r="E265" s="5460" t="s">
        <v>319</v>
      </c>
      <c r="F265" s="5460" t="s">
        <v>320</v>
      </c>
      <c r="G265" s="5479" t="s">
        <v>2060</v>
      </c>
      <c r="H265" s="5480"/>
    </row>
    <row r="266" spans="1:8">
      <c r="A266" s="5463" t="s">
        <v>184</v>
      </c>
      <c r="B266" s="5464" t="s">
        <v>855</v>
      </c>
      <c r="C266" s="5464" t="s">
        <v>856</v>
      </c>
      <c r="E266" s="5459"/>
      <c r="F266" s="5459"/>
      <c r="G266" s="2654" t="s">
        <v>522</v>
      </c>
      <c r="H266" s="2655" t="s">
        <v>2061</v>
      </c>
    </row>
    <row r="267" spans="1:8">
      <c r="A267" s="5463"/>
      <c r="B267" s="5444"/>
      <c r="C267" s="5444"/>
      <c r="E267" s="2677"/>
      <c r="F267" s="2677"/>
      <c r="G267" s="2677"/>
      <c r="H267" s="2678"/>
    </row>
    <row r="268" spans="1:8">
      <c r="A268" s="2659" t="s">
        <v>187</v>
      </c>
      <c r="B268" s="2660">
        <f>2+2+1+4</f>
        <v>9</v>
      </c>
      <c r="C268" s="2661">
        <f>40+36+20+82</f>
        <v>178</v>
      </c>
      <c r="E268" s="2677" t="s">
        <v>2062</v>
      </c>
      <c r="F268" s="5484" t="s">
        <v>2063</v>
      </c>
      <c r="G268" s="5487">
        <v>1876</v>
      </c>
      <c r="H268" s="5450">
        <v>2755</v>
      </c>
    </row>
    <row r="269" spans="1:8">
      <c r="A269" s="2663" t="s">
        <v>186</v>
      </c>
      <c r="B269" s="2664">
        <f>0+1+3+0+4</f>
        <v>8</v>
      </c>
      <c r="C269" s="2664">
        <f>0+18+145+0+308</f>
        <v>471</v>
      </c>
      <c r="E269" s="5484" t="s">
        <v>2064</v>
      </c>
      <c r="F269" s="5485"/>
      <c r="G269" s="5488"/>
      <c r="H269" s="5451"/>
    </row>
    <row r="270" spans="1:8">
      <c r="A270" s="2663" t="s">
        <v>2065</v>
      </c>
      <c r="B270" s="2664">
        <v>2</v>
      </c>
      <c r="C270" s="2664">
        <v>34</v>
      </c>
      <c r="E270" s="5485"/>
      <c r="F270" s="5485"/>
      <c r="G270" s="5488"/>
      <c r="H270" s="5451"/>
    </row>
    <row r="271" spans="1:8">
      <c r="A271" s="2663" t="s">
        <v>2041</v>
      </c>
      <c r="B271" s="2664">
        <v>3</v>
      </c>
      <c r="C271" s="2664">
        <v>16</v>
      </c>
      <c r="E271" s="5486"/>
      <c r="F271" s="5486"/>
      <c r="G271" s="5489"/>
      <c r="H271" s="5452"/>
    </row>
    <row r="272" spans="1:8">
      <c r="A272" s="2663" t="s">
        <v>321</v>
      </c>
      <c r="B272" s="2664">
        <f>6+2+4+2+8</f>
        <v>22</v>
      </c>
      <c r="C272" s="2664">
        <f>2880+516+1550+210+1812</f>
        <v>6968</v>
      </c>
      <c r="E272" s="2665" t="s">
        <v>2066</v>
      </c>
      <c r="F272" s="5490" t="s">
        <v>2067</v>
      </c>
      <c r="G272" s="5447">
        <v>1009</v>
      </c>
      <c r="H272" s="5450">
        <v>2480</v>
      </c>
    </row>
    <row r="273" spans="1:8">
      <c r="A273" s="2663" t="s">
        <v>413</v>
      </c>
      <c r="B273" s="2664">
        <f>1+3+3</f>
        <v>7</v>
      </c>
      <c r="C273" s="2664">
        <f>192+314+576</f>
        <v>1082</v>
      </c>
      <c r="E273" s="5481" t="s">
        <v>2068</v>
      </c>
      <c r="F273" s="5491"/>
      <c r="G273" s="5448"/>
      <c r="H273" s="5451"/>
    </row>
    <row r="274" spans="1:8">
      <c r="A274" s="2663" t="s">
        <v>322</v>
      </c>
      <c r="B274" s="2664">
        <f>2+4+4</f>
        <v>10</v>
      </c>
      <c r="C274" s="2664">
        <f>210+1230+1576</f>
        <v>3016</v>
      </c>
      <c r="E274" s="5482"/>
      <c r="F274" s="5491"/>
      <c r="G274" s="5448"/>
      <c r="H274" s="5451"/>
    </row>
    <row r="275" spans="1:8">
      <c r="A275" s="2663" t="s">
        <v>1900</v>
      </c>
      <c r="B275" s="2664">
        <f>3+1</f>
        <v>4</v>
      </c>
      <c r="C275" s="2664">
        <f>69+25</f>
        <v>94</v>
      </c>
      <c r="E275" s="5482"/>
      <c r="F275" s="5491"/>
      <c r="G275" s="5448"/>
      <c r="H275" s="5451"/>
    </row>
    <row r="276" spans="1:8">
      <c r="A276" s="2663" t="s">
        <v>2069</v>
      </c>
      <c r="B276" s="2664">
        <v>1</v>
      </c>
      <c r="C276" s="2664">
        <v>310</v>
      </c>
      <c r="E276" s="5483"/>
      <c r="F276" s="5492"/>
      <c r="G276" s="5449"/>
      <c r="H276" s="5452"/>
    </row>
    <row r="277" spans="1:8">
      <c r="A277" s="2663" t="s">
        <v>2047</v>
      </c>
      <c r="B277" s="2664">
        <v>1</v>
      </c>
      <c r="C277" s="2664">
        <v>248</v>
      </c>
      <c r="E277" s="5465" t="s">
        <v>862</v>
      </c>
      <c r="F277" s="2656" t="s">
        <v>2070</v>
      </c>
      <c r="G277" s="2657"/>
      <c r="H277" s="2658"/>
    </row>
    <row r="278" spans="1:8">
      <c r="A278" s="2669" t="s">
        <v>2049</v>
      </c>
      <c r="B278" s="2664">
        <v>6</v>
      </c>
      <c r="C278" s="2664">
        <v>130</v>
      </c>
      <c r="E278" s="5466"/>
      <c r="F278" s="2656" t="s">
        <v>2071</v>
      </c>
      <c r="G278" s="2657"/>
      <c r="H278" s="2658"/>
    </row>
    <row r="279" spans="1:8">
      <c r="A279" s="2663" t="s">
        <v>189</v>
      </c>
      <c r="B279" s="2664">
        <v>4</v>
      </c>
      <c r="C279" s="2664">
        <v>70</v>
      </c>
      <c r="E279" s="2662" t="s">
        <v>863</v>
      </c>
      <c r="F279" s="2656" t="s">
        <v>2072</v>
      </c>
      <c r="G279" s="2657">
        <v>4332</v>
      </c>
      <c r="H279" s="2658">
        <v>7350</v>
      </c>
    </row>
    <row r="280" spans="1:8">
      <c r="A280" s="2663" t="s">
        <v>188</v>
      </c>
      <c r="B280" s="2664">
        <v>2</v>
      </c>
      <c r="C280" s="2664">
        <v>26</v>
      </c>
      <c r="E280" s="5471" t="s">
        <v>2037</v>
      </c>
      <c r="F280" s="2656" t="s">
        <v>2073</v>
      </c>
      <c r="G280" s="2657">
        <v>4975</v>
      </c>
      <c r="H280" s="2658">
        <v>7350</v>
      </c>
    </row>
    <row r="281" spans="1:8">
      <c r="A281" s="2663" t="s">
        <v>327</v>
      </c>
      <c r="B281" s="2664">
        <f>1+2+6</f>
        <v>9</v>
      </c>
      <c r="C281" s="2664">
        <f>40+40+92</f>
        <v>172</v>
      </c>
      <c r="E281" s="5472"/>
      <c r="F281" s="2656" t="s">
        <v>2074</v>
      </c>
      <c r="G281" s="2657"/>
      <c r="H281" s="2658"/>
    </row>
    <row r="282" spans="1:8">
      <c r="A282" s="2670" t="s">
        <v>414</v>
      </c>
      <c r="B282" s="2664">
        <v>2</v>
      </c>
      <c r="C282" s="2664">
        <v>128</v>
      </c>
      <c r="E282" s="2665" t="s">
        <v>864</v>
      </c>
      <c r="F282" s="2656"/>
      <c r="G282" s="2657"/>
      <c r="H282" s="2658"/>
    </row>
    <row r="283" spans="1:8">
      <c r="A283" s="2663" t="s">
        <v>2050</v>
      </c>
      <c r="B283" s="2664">
        <v>7</v>
      </c>
      <c r="C283" s="2664">
        <v>52</v>
      </c>
      <c r="E283" s="5481" t="s">
        <v>2075</v>
      </c>
      <c r="F283" s="5476" t="s">
        <v>2043</v>
      </c>
      <c r="G283" s="5447">
        <v>777</v>
      </c>
      <c r="H283" s="5450">
        <v>2300</v>
      </c>
    </row>
    <row r="284" spans="1:8">
      <c r="A284" s="2660" t="s">
        <v>2051</v>
      </c>
      <c r="B284" s="2664">
        <v>6</v>
      </c>
      <c r="C284" s="2664">
        <v>100</v>
      </c>
      <c r="E284" s="5482"/>
      <c r="F284" s="5477"/>
      <c r="G284" s="5448"/>
      <c r="H284" s="5451"/>
    </row>
    <row r="285" spans="1:8">
      <c r="A285" s="2660" t="s">
        <v>712</v>
      </c>
      <c r="B285" s="2664">
        <f>1+7</f>
        <v>8</v>
      </c>
      <c r="C285" s="2664">
        <f>40+664</f>
        <v>704</v>
      </c>
      <c r="E285" s="5483"/>
      <c r="F285" s="5478"/>
      <c r="G285" s="5449"/>
      <c r="H285" s="5452"/>
    </row>
    <row r="286" spans="1:8">
      <c r="A286" s="2671" t="s">
        <v>71</v>
      </c>
      <c r="B286" s="2672">
        <f>SUM(B268:B285)</f>
        <v>111</v>
      </c>
      <c r="C286" s="2673">
        <f>SUM(C268:C285)</f>
        <v>13799</v>
      </c>
      <c r="E286" s="2666">
        <v>4</v>
      </c>
      <c r="F286" s="2667" t="s">
        <v>15</v>
      </c>
      <c r="G286" s="2668">
        <f>SUM(G268:G285)</f>
        <v>12969</v>
      </c>
      <c r="H286" s="2668">
        <f>SUM(H268:H285)</f>
        <v>22235</v>
      </c>
    </row>
    <row r="287" spans="1:8">
      <c r="A287" s="5493" t="s">
        <v>328</v>
      </c>
      <c r="B287" s="5493"/>
      <c r="C287" s="5493"/>
    </row>
    <row r="288" spans="1:8">
      <c r="A288" s="2679"/>
      <c r="B288" s="2679"/>
      <c r="C288" s="2679"/>
    </row>
    <row r="289" spans="1:5" ht="15.75">
      <c r="A289" s="5453" t="s">
        <v>2083</v>
      </c>
      <c r="B289" s="5416"/>
      <c r="C289" s="5454"/>
      <c r="E289" s="5467" t="s">
        <v>821</v>
      </c>
    </row>
    <row r="290" spans="1:5" ht="15.75">
      <c r="A290" s="5469" t="s">
        <v>318</v>
      </c>
      <c r="B290" s="5419"/>
      <c r="C290" s="5470"/>
      <c r="D290" s="191"/>
      <c r="E290" s="5468"/>
    </row>
    <row r="291" spans="1:5">
      <c r="A291" s="5463" t="s">
        <v>319</v>
      </c>
      <c r="B291" s="5464" t="s">
        <v>857</v>
      </c>
      <c r="C291" s="5464" t="s">
        <v>185</v>
      </c>
      <c r="D291" s="191"/>
      <c r="E291" s="2674">
        <f>SUM(E286,B286)</f>
        <v>115</v>
      </c>
    </row>
    <row r="292" spans="1:5">
      <c r="A292" s="5463"/>
      <c r="B292" s="5444"/>
      <c r="C292" s="5444"/>
      <c r="D292" s="81"/>
    </row>
    <row r="293" spans="1:5">
      <c r="A293" s="2675" t="s">
        <v>858</v>
      </c>
      <c r="B293" s="2675">
        <v>85</v>
      </c>
      <c r="C293" s="2676">
        <v>1700</v>
      </c>
    </row>
    <row r="294" spans="1:5">
      <c r="A294" s="2663" t="s">
        <v>2053</v>
      </c>
      <c r="B294" s="2664">
        <f>4213+212+280+2034</f>
        <v>6739</v>
      </c>
      <c r="C294" s="2664">
        <f>42130+2120+1120+20340</f>
        <v>65710</v>
      </c>
    </row>
    <row r="295" spans="1:5">
      <c r="A295" s="2663" t="s">
        <v>2076</v>
      </c>
      <c r="B295" s="2664">
        <v>60</v>
      </c>
      <c r="C295" s="2664">
        <v>60</v>
      </c>
    </row>
    <row r="296" spans="1:5">
      <c r="A296" s="2663" t="s">
        <v>2054</v>
      </c>
      <c r="B296" s="2664">
        <v>21</v>
      </c>
      <c r="C296" s="2664">
        <v>252</v>
      </c>
    </row>
    <row r="297" spans="1:5">
      <c r="A297" s="2663" t="s">
        <v>2077</v>
      </c>
      <c r="B297" s="2664">
        <v>10</v>
      </c>
      <c r="C297" s="2664">
        <v>150</v>
      </c>
    </row>
    <row r="298" spans="1:5">
      <c r="A298" s="2663" t="s">
        <v>859</v>
      </c>
      <c r="B298" s="2664">
        <v>2</v>
      </c>
      <c r="C298" s="2664">
        <v>50</v>
      </c>
    </row>
    <row r="299" spans="1:5">
      <c r="A299" s="2663" t="s">
        <v>2041</v>
      </c>
      <c r="B299" s="2664">
        <v>388</v>
      </c>
      <c r="C299" s="2664">
        <v>1552</v>
      </c>
    </row>
    <row r="300" spans="1:5">
      <c r="A300" s="2663" t="s">
        <v>581</v>
      </c>
      <c r="B300" s="2664">
        <f>3599+2290</f>
        <v>5889</v>
      </c>
      <c r="C300" s="2664">
        <f>3599+2290</f>
        <v>5889</v>
      </c>
    </row>
    <row r="301" spans="1:5">
      <c r="A301" s="2663" t="s">
        <v>2056</v>
      </c>
      <c r="B301" s="2664">
        <v>1142</v>
      </c>
      <c r="C301" s="2664">
        <v>22840</v>
      </c>
    </row>
    <row r="302" spans="1:5">
      <c r="A302" s="2663" t="s">
        <v>321</v>
      </c>
      <c r="B302" s="2664">
        <f>535+230</f>
        <v>765</v>
      </c>
      <c r="C302" s="2664">
        <f>5295+1380</f>
        <v>6675</v>
      </c>
    </row>
    <row r="303" spans="1:5">
      <c r="A303" s="2663" t="s">
        <v>322</v>
      </c>
      <c r="B303" s="2664">
        <f>1213+680</f>
        <v>1893</v>
      </c>
      <c r="C303" s="2664">
        <f>24706+14960</f>
        <v>39666</v>
      </c>
    </row>
    <row r="304" spans="1:5">
      <c r="A304" s="2663" t="s">
        <v>2057</v>
      </c>
      <c r="B304" s="2664">
        <f>80+161</f>
        <v>241</v>
      </c>
      <c r="C304" s="2664">
        <f>600+2415</f>
        <v>3015</v>
      </c>
    </row>
    <row r="305" spans="1:3">
      <c r="A305" s="2663" t="s">
        <v>323</v>
      </c>
      <c r="B305" s="2664">
        <f>3955+142285+163300</f>
        <v>309540</v>
      </c>
      <c r="C305" s="2664">
        <f>3955+142285+163300</f>
        <v>309540</v>
      </c>
    </row>
    <row r="306" spans="1:3">
      <c r="A306" s="2663" t="s">
        <v>2078</v>
      </c>
      <c r="B306" s="2664">
        <v>8</v>
      </c>
      <c r="C306" s="2664">
        <v>96</v>
      </c>
    </row>
    <row r="307" spans="1:3">
      <c r="A307" s="2663" t="s">
        <v>860</v>
      </c>
      <c r="B307" s="2664">
        <f>251+556</f>
        <v>807</v>
      </c>
      <c r="C307" s="2664">
        <f>1004+2224</f>
        <v>3228</v>
      </c>
    </row>
    <row r="308" spans="1:3">
      <c r="A308" s="2663" t="s">
        <v>2079</v>
      </c>
      <c r="B308" s="2664">
        <v>1</v>
      </c>
      <c r="C308" s="2664">
        <v>35</v>
      </c>
    </row>
    <row r="309" spans="1:3">
      <c r="A309" s="2663" t="s">
        <v>861</v>
      </c>
      <c r="B309" s="2664">
        <v>40</v>
      </c>
      <c r="C309" s="2664">
        <v>240</v>
      </c>
    </row>
    <row r="310" spans="1:3">
      <c r="A310" s="2663" t="s">
        <v>415</v>
      </c>
      <c r="B310" s="2664">
        <v>66</v>
      </c>
      <c r="C310" s="2664">
        <v>1320</v>
      </c>
    </row>
    <row r="311" spans="1:3">
      <c r="A311" s="2663" t="s">
        <v>713</v>
      </c>
      <c r="B311" s="2664">
        <v>4158</v>
      </c>
      <c r="C311" s="2664">
        <v>4158</v>
      </c>
    </row>
    <row r="312" spans="1:3">
      <c r="A312" s="2670" t="s">
        <v>324</v>
      </c>
      <c r="B312" s="2664">
        <f>800+21300</f>
        <v>22100</v>
      </c>
      <c r="C312" s="2664">
        <f>800+21300</f>
        <v>22100</v>
      </c>
    </row>
    <row r="313" spans="1:3">
      <c r="A313" s="2663" t="s">
        <v>578</v>
      </c>
      <c r="B313" s="2664">
        <v>485</v>
      </c>
      <c r="C313" s="2664">
        <v>485</v>
      </c>
    </row>
    <row r="314" spans="1:3">
      <c r="A314" s="2663" t="s">
        <v>325</v>
      </c>
      <c r="B314" s="2664">
        <v>16380</v>
      </c>
      <c r="C314" s="2664">
        <v>16380</v>
      </c>
    </row>
    <row r="315" spans="1:3">
      <c r="A315" s="2663" t="s">
        <v>189</v>
      </c>
      <c r="B315" s="2664">
        <v>4039</v>
      </c>
      <c r="C315" s="2664">
        <v>8078</v>
      </c>
    </row>
    <row r="316" spans="1:3">
      <c r="A316" s="2663" t="s">
        <v>326</v>
      </c>
      <c r="B316" s="2664">
        <v>91</v>
      </c>
      <c r="C316" s="2664">
        <v>910</v>
      </c>
    </row>
    <row r="317" spans="1:3">
      <c r="A317" s="2659" t="s">
        <v>2080</v>
      </c>
      <c r="B317" s="2660">
        <f>488+153+165</f>
        <v>806</v>
      </c>
      <c r="C317" s="2661">
        <f>976+306+330</f>
        <v>1612</v>
      </c>
    </row>
    <row r="318" spans="1:3">
      <c r="A318" s="2663" t="s">
        <v>327</v>
      </c>
      <c r="B318" s="2664">
        <f>5184+872+2430+322</f>
        <v>8808</v>
      </c>
      <c r="C318" s="2664">
        <f>10368+3488+4860+1932</f>
        <v>20648</v>
      </c>
    </row>
    <row r="319" spans="1:3">
      <c r="A319" s="2663" t="s">
        <v>580</v>
      </c>
      <c r="B319" s="2664">
        <v>114</v>
      </c>
      <c r="C319" s="2664">
        <v>456</v>
      </c>
    </row>
    <row r="320" spans="1:3">
      <c r="A320" s="2663" t="s">
        <v>712</v>
      </c>
      <c r="B320" s="2664">
        <f>12+241</f>
        <v>253</v>
      </c>
      <c r="C320" s="2664">
        <f>482+2892</f>
        <v>3374</v>
      </c>
    </row>
    <row r="321" spans="1:8">
      <c r="A321" s="2671" t="s">
        <v>71</v>
      </c>
      <c r="B321" s="2672">
        <f>SUM(B293:B320)</f>
        <v>384931</v>
      </c>
      <c r="C321" s="2673">
        <f>SUM(C293:C320)</f>
        <v>540219</v>
      </c>
      <c r="D321" s="127"/>
    </row>
    <row r="322" spans="1:8">
      <c r="A322" s="75" t="s">
        <v>328</v>
      </c>
    </row>
    <row r="326" spans="1:8" ht="15.75">
      <c r="A326" s="5453" t="s">
        <v>2117</v>
      </c>
      <c r="B326" s="5416"/>
      <c r="C326" s="5454"/>
      <c r="E326" s="5453" t="s">
        <v>2118</v>
      </c>
      <c r="F326" s="5416"/>
      <c r="G326" s="5416"/>
      <c r="H326" s="5454"/>
    </row>
    <row r="327" spans="1:8" ht="15.75">
      <c r="A327" s="5453" t="s">
        <v>317</v>
      </c>
      <c r="B327" s="5416"/>
      <c r="C327" s="5454"/>
      <c r="E327" s="5494" t="s">
        <v>319</v>
      </c>
      <c r="F327" s="5495" t="s">
        <v>320</v>
      </c>
      <c r="G327" s="5496" t="s">
        <v>185</v>
      </c>
      <c r="H327" s="5497"/>
    </row>
    <row r="328" spans="1:8" ht="25.5">
      <c r="A328" s="2680" t="s">
        <v>184</v>
      </c>
      <c r="B328" s="2681" t="s">
        <v>2084</v>
      </c>
      <c r="C328" s="2681" t="s">
        <v>2085</v>
      </c>
      <c r="E328" s="5442"/>
      <c r="F328" s="5442"/>
      <c r="G328" s="2682" t="s">
        <v>1822</v>
      </c>
      <c r="H328" s="2683" t="s">
        <v>1823</v>
      </c>
    </row>
    <row r="329" spans="1:8">
      <c r="A329" s="2684" t="s">
        <v>187</v>
      </c>
      <c r="B329" s="2660">
        <v>13</v>
      </c>
      <c r="C329" s="2661">
        <v>292</v>
      </c>
      <c r="E329" s="2685" t="s">
        <v>2086</v>
      </c>
      <c r="F329" s="5498" t="s">
        <v>2087</v>
      </c>
      <c r="G329" s="5447">
        <v>1044</v>
      </c>
      <c r="H329" s="5450">
        <f>4840-1044</f>
        <v>3796</v>
      </c>
    </row>
    <row r="330" spans="1:8">
      <c r="A330" s="2684" t="s">
        <v>1824</v>
      </c>
      <c r="B330" s="2660">
        <v>8</v>
      </c>
      <c r="C330" s="2661">
        <v>2298</v>
      </c>
      <c r="E330" s="5500" t="s">
        <v>2088</v>
      </c>
      <c r="F330" s="5499"/>
      <c r="G330" s="5448"/>
      <c r="H330" s="5451"/>
    </row>
    <row r="331" spans="1:8">
      <c r="A331" s="2686" t="s">
        <v>186</v>
      </c>
      <c r="B331" s="2687">
        <v>13</v>
      </c>
      <c r="C331" s="2687">
        <v>600</v>
      </c>
      <c r="E331" s="5500"/>
      <c r="F331" s="5501" t="s">
        <v>2089</v>
      </c>
      <c r="G331" s="5448"/>
      <c r="H331" s="5451"/>
    </row>
    <row r="332" spans="1:8" ht="25.5">
      <c r="A332" s="2688" t="s">
        <v>2090</v>
      </c>
      <c r="B332" s="2689">
        <v>4</v>
      </c>
      <c r="C332" s="2689">
        <v>121</v>
      </c>
      <c r="E332" s="5500"/>
      <c r="F332" s="5501"/>
      <c r="G332" s="5448"/>
      <c r="H332" s="5451"/>
    </row>
    <row r="333" spans="1:8">
      <c r="A333" s="2686"/>
      <c r="B333" s="2687"/>
      <c r="C333" s="2687"/>
      <c r="E333" s="5500"/>
      <c r="F333" s="5501"/>
      <c r="G333" s="5448"/>
      <c r="H333" s="5451"/>
    </row>
    <row r="334" spans="1:8">
      <c r="A334" s="2686" t="s">
        <v>1897</v>
      </c>
      <c r="B334" s="2687">
        <v>4</v>
      </c>
      <c r="C334" s="2687">
        <v>125</v>
      </c>
      <c r="E334" s="5500" t="s">
        <v>2091</v>
      </c>
      <c r="F334" s="5501"/>
      <c r="G334" s="5448"/>
      <c r="H334" s="5451"/>
    </row>
    <row r="335" spans="1:8">
      <c r="A335" s="2686" t="s">
        <v>2092</v>
      </c>
      <c r="B335" s="2687">
        <v>6</v>
      </c>
      <c r="C335" s="2687">
        <v>18</v>
      </c>
      <c r="E335" s="5500"/>
      <c r="F335" s="5501"/>
      <c r="G335" s="5448"/>
      <c r="H335" s="5451"/>
    </row>
    <row r="336" spans="1:8">
      <c r="A336" s="2686" t="s">
        <v>321</v>
      </c>
      <c r="B336" s="2687">
        <v>17</v>
      </c>
      <c r="C336" s="2687">
        <v>9366</v>
      </c>
      <c r="E336" s="5500"/>
      <c r="F336" s="5501"/>
      <c r="G336" s="5448"/>
      <c r="H336" s="5451"/>
    </row>
    <row r="337" spans="1:8">
      <c r="A337" s="2686" t="s">
        <v>413</v>
      </c>
      <c r="B337" s="2687">
        <v>6</v>
      </c>
      <c r="C337" s="2687">
        <v>1092</v>
      </c>
      <c r="E337" s="5500"/>
      <c r="F337" s="5501"/>
      <c r="G337" s="5448"/>
      <c r="H337" s="5451"/>
    </row>
    <row r="338" spans="1:8">
      <c r="A338" s="2690" t="s">
        <v>322</v>
      </c>
      <c r="B338" s="2687">
        <v>8</v>
      </c>
      <c r="C338" s="2687">
        <v>2842</v>
      </c>
      <c r="E338" s="5500"/>
      <c r="F338" s="5501"/>
      <c r="G338" s="5448"/>
      <c r="H338" s="5451"/>
    </row>
    <row r="339" spans="1:8">
      <c r="A339" s="2690" t="s">
        <v>2093</v>
      </c>
      <c r="B339" s="2687">
        <v>5</v>
      </c>
      <c r="C339" s="2687">
        <v>115</v>
      </c>
      <c r="E339" s="5503"/>
      <c r="F339" s="5502"/>
      <c r="G339" s="5449"/>
      <c r="H339" s="5452"/>
    </row>
    <row r="340" spans="1:8">
      <c r="A340" s="2690" t="s">
        <v>1900</v>
      </c>
      <c r="B340" s="2687">
        <v>11</v>
      </c>
      <c r="C340" s="2687">
        <v>411</v>
      </c>
      <c r="E340" s="5465" t="s">
        <v>2094</v>
      </c>
      <c r="F340" s="2691" t="s">
        <v>2095</v>
      </c>
      <c r="G340" s="5506">
        <v>4580</v>
      </c>
      <c r="H340" s="5450">
        <v>6460</v>
      </c>
    </row>
    <row r="341" spans="1:8">
      <c r="A341" s="2690" t="s">
        <v>2069</v>
      </c>
      <c r="B341" s="2687">
        <v>2</v>
      </c>
      <c r="C341" s="2687">
        <v>670</v>
      </c>
      <c r="E341" s="5466"/>
      <c r="F341" s="2692" t="s">
        <v>2096</v>
      </c>
      <c r="G341" s="5507"/>
      <c r="H341" s="5452"/>
    </row>
    <row r="342" spans="1:8">
      <c r="A342" s="2690" t="s">
        <v>1899</v>
      </c>
      <c r="B342" s="2687">
        <v>3</v>
      </c>
      <c r="C342" s="2664">
        <v>24</v>
      </c>
      <c r="E342" s="5465" t="s">
        <v>2097</v>
      </c>
      <c r="F342" s="2693" t="s">
        <v>2098</v>
      </c>
      <c r="G342" s="5506">
        <v>3231</v>
      </c>
      <c r="H342" s="5450">
        <v>6460</v>
      </c>
    </row>
    <row r="343" spans="1:8">
      <c r="A343" s="2690" t="s">
        <v>2044</v>
      </c>
      <c r="B343" s="2687">
        <v>4</v>
      </c>
      <c r="C343" s="2687">
        <v>51</v>
      </c>
      <c r="E343" s="5508"/>
      <c r="F343" s="2692" t="s">
        <v>2099</v>
      </c>
      <c r="G343" s="5509"/>
      <c r="H343" s="5451"/>
    </row>
    <row r="344" spans="1:8">
      <c r="A344" s="2690" t="s">
        <v>2047</v>
      </c>
      <c r="B344" s="2687">
        <v>3</v>
      </c>
      <c r="C344" s="2687">
        <v>540</v>
      </c>
      <c r="E344" s="5466"/>
      <c r="F344" s="2694" t="s">
        <v>2100</v>
      </c>
      <c r="G344" s="5507"/>
      <c r="H344" s="5452"/>
    </row>
    <row r="345" spans="1:8">
      <c r="A345" s="2690" t="s">
        <v>2049</v>
      </c>
      <c r="B345" s="2687">
        <v>6</v>
      </c>
      <c r="C345" s="2687">
        <v>107</v>
      </c>
      <c r="E345" s="2695">
        <v>3</v>
      </c>
      <c r="F345" s="2673" t="s">
        <v>15</v>
      </c>
      <c r="G345" s="2673">
        <f>SUM(G329:G344)</f>
        <v>8855</v>
      </c>
      <c r="H345" s="2673">
        <f>SUM(H329:H344)</f>
        <v>16716</v>
      </c>
    </row>
    <row r="346" spans="1:8">
      <c r="A346" s="2690" t="s">
        <v>189</v>
      </c>
      <c r="B346" s="2687">
        <v>3</v>
      </c>
      <c r="C346" s="2687">
        <v>90</v>
      </c>
    </row>
    <row r="347" spans="1:8">
      <c r="A347" s="2696" t="s">
        <v>188</v>
      </c>
      <c r="B347" s="2687">
        <v>3</v>
      </c>
      <c r="C347" s="2687">
        <v>90</v>
      </c>
    </row>
    <row r="348" spans="1:8">
      <c r="A348" s="2690" t="s">
        <v>327</v>
      </c>
      <c r="B348" s="2687">
        <v>8</v>
      </c>
      <c r="C348" s="2664">
        <v>114</v>
      </c>
    </row>
    <row r="349" spans="1:8">
      <c r="A349" s="2690" t="s">
        <v>2101</v>
      </c>
      <c r="B349" s="2687">
        <v>3</v>
      </c>
      <c r="C349" s="2687">
        <v>19</v>
      </c>
    </row>
    <row r="350" spans="1:8">
      <c r="A350" s="2690" t="s">
        <v>414</v>
      </c>
      <c r="B350" s="2687">
        <v>5</v>
      </c>
      <c r="C350" s="2687">
        <v>543</v>
      </c>
    </row>
    <row r="351" spans="1:8">
      <c r="A351" s="2690" t="s">
        <v>712</v>
      </c>
      <c r="B351" s="2689">
        <v>13</v>
      </c>
      <c r="C351" s="2689">
        <v>477</v>
      </c>
      <c r="E351" s="5467" t="s">
        <v>821</v>
      </c>
    </row>
    <row r="352" spans="1:8">
      <c r="A352" s="2690" t="s">
        <v>580</v>
      </c>
      <c r="B352" s="2664">
        <v>4</v>
      </c>
      <c r="C352" s="2664">
        <v>29</v>
      </c>
      <c r="E352" s="5468"/>
    </row>
    <row r="353" spans="1:5">
      <c r="A353" s="2671" t="s">
        <v>71</v>
      </c>
      <c r="B353" s="2672">
        <f>SUM(B329:B352)</f>
        <v>152</v>
      </c>
      <c r="C353" s="2673">
        <f>SUM(C329:C352)</f>
        <v>20034</v>
      </c>
      <c r="E353" s="2674">
        <f>SUM(B353,E345)</f>
        <v>155</v>
      </c>
    </row>
    <row r="354" spans="1:5">
      <c r="A354" s="5493" t="s">
        <v>328</v>
      </c>
      <c r="B354" s="5493"/>
      <c r="C354" s="5493"/>
    </row>
    <row r="355" spans="1:5">
      <c r="A355" s="2679"/>
      <c r="B355" s="2679"/>
      <c r="C355" s="2679"/>
    </row>
    <row r="356" spans="1:5">
      <c r="A356" s="5504" t="s">
        <v>2119</v>
      </c>
      <c r="B356" s="5426"/>
      <c r="C356" s="5505"/>
    </row>
    <row r="357" spans="1:5">
      <c r="A357" s="5504" t="s">
        <v>318</v>
      </c>
      <c r="B357" s="5426"/>
      <c r="C357" s="5505"/>
      <c r="D357" s="191"/>
    </row>
    <row r="358" spans="1:5" ht="25.5">
      <c r="A358" s="2680" t="s">
        <v>319</v>
      </c>
      <c r="B358" s="2681" t="s">
        <v>2102</v>
      </c>
      <c r="C358" s="2681" t="s">
        <v>183</v>
      </c>
      <c r="D358" s="191"/>
    </row>
    <row r="359" spans="1:5">
      <c r="A359" s="2697" t="s">
        <v>2080</v>
      </c>
      <c r="B359" s="2698">
        <f>96+0+0+320</f>
        <v>416</v>
      </c>
      <c r="C359" s="2699">
        <f>2112+0+0+675</f>
        <v>2787</v>
      </c>
      <c r="D359" s="81"/>
    </row>
    <row r="360" spans="1:5">
      <c r="A360" s="2700" t="s">
        <v>2103</v>
      </c>
      <c r="B360" s="2444">
        <f>0+0+140</f>
        <v>140</v>
      </c>
      <c r="C360" s="2444">
        <f>0+0+274</f>
        <v>274</v>
      </c>
    </row>
    <row r="361" spans="1:5">
      <c r="A361" s="2701" t="s">
        <v>2104</v>
      </c>
      <c r="B361" s="2702">
        <f>75+51</f>
        <v>126</v>
      </c>
      <c r="C361" s="2702">
        <f>715+128+51</f>
        <v>894</v>
      </c>
    </row>
    <row r="362" spans="1:5" ht="15.75">
      <c r="A362" s="2703" t="s">
        <v>2105</v>
      </c>
      <c r="B362" s="2444">
        <f>0+0+213</f>
        <v>213</v>
      </c>
      <c r="C362" s="2444">
        <f>0+0+1700</f>
        <v>1700</v>
      </c>
    </row>
    <row r="363" spans="1:5">
      <c r="A363" s="2704" t="s">
        <v>2053</v>
      </c>
      <c r="B363" s="2705">
        <f>0+2880+2024+606</f>
        <v>5510</v>
      </c>
      <c r="C363" s="2705">
        <f>B363*6</f>
        <v>33060</v>
      </c>
    </row>
    <row r="364" spans="1:5">
      <c r="A364" s="2704" t="s">
        <v>2106</v>
      </c>
      <c r="B364" s="2705">
        <v>72</v>
      </c>
      <c r="C364" s="2705">
        <v>185</v>
      </c>
    </row>
    <row r="365" spans="1:5">
      <c r="A365" s="2700" t="s">
        <v>2107</v>
      </c>
      <c r="B365" s="2444">
        <f>0+37+0</f>
        <v>37</v>
      </c>
      <c r="C365" s="2444">
        <f>0+235+0</f>
        <v>235</v>
      </c>
    </row>
    <row r="366" spans="1:5">
      <c r="A366" s="2704" t="s">
        <v>2108</v>
      </c>
      <c r="B366" s="2705">
        <f>0+0+42</f>
        <v>42</v>
      </c>
      <c r="C366" s="2705">
        <f>0+0+333</f>
        <v>333</v>
      </c>
    </row>
    <row r="367" spans="1:5">
      <c r="A367" s="2704" t="s">
        <v>2077</v>
      </c>
      <c r="B367" s="2705">
        <v>79</v>
      </c>
      <c r="C367" s="2705">
        <v>227</v>
      </c>
    </row>
    <row r="368" spans="1:5">
      <c r="A368" s="2704" t="s">
        <v>2109</v>
      </c>
      <c r="B368" s="2705">
        <v>225</v>
      </c>
      <c r="C368" s="2705">
        <v>451</v>
      </c>
    </row>
    <row r="369" spans="1:3">
      <c r="A369" s="2704" t="s">
        <v>581</v>
      </c>
      <c r="B369" s="2705">
        <v>6</v>
      </c>
      <c r="C369" s="2705">
        <v>3420</v>
      </c>
    </row>
    <row r="370" spans="1:3">
      <c r="A370" s="2704" t="s">
        <v>2110</v>
      </c>
      <c r="B370" s="2705">
        <v>73</v>
      </c>
      <c r="C370" s="2705">
        <v>331</v>
      </c>
    </row>
    <row r="371" spans="1:3">
      <c r="A371" s="2704" t="s">
        <v>2056</v>
      </c>
      <c r="B371" s="2705">
        <f>95+287</f>
        <v>382</v>
      </c>
      <c r="C371" s="2705">
        <f>403+574</f>
        <v>977</v>
      </c>
    </row>
    <row r="372" spans="1:3">
      <c r="A372" s="2704" t="s">
        <v>321</v>
      </c>
      <c r="B372" s="2705">
        <f>96+540+182+124</f>
        <v>942</v>
      </c>
      <c r="C372" s="2705">
        <f>2464+4320+1092+496</f>
        <v>8372</v>
      </c>
    </row>
    <row r="373" spans="1:3">
      <c r="A373" s="2706" t="s">
        <v>322</v>
      </c>
      <c r="B373" s="2707">
        <f>0+0+796+170</f>
        <v>966</v>
      </c>
      <c r="C373" s="2707">
        <f>0+0+7956+1589</f>
        <v>9545</v>
      </c>
    </row>
    <row r="374" spans="1:3">
      <c r="A374" s="2706" t="s">
        <v>2111</v>
      </c>
      <c r="B374" s="2707">
        <v>70</v>
      </c>
      <c r="C374" s="2707">
        <v>127</v>
      </c>
    </row>
    <row r="375" spans="1:3">
      <c r="A375" s="2706" t="s">
        <v>2112</v>
      </c>
      <c r="B375" s="2707">
        <v>165</v>
      </c>
      <c r="C375" s="2707">
        <v>4000</v>
      </c>
    </row>
    <row r="376" spans="1:3">
      <c r="A376" s="2706" t="s">
        <v>323</v>
      </c>
      <c r="B376" s="2707">
        <f>274+90400+130500+2974</f>
        <v>224148</v>
      </c>
      <c r="C376" s="2707">
        <f>274+90400+130500+2974</f>
        <v>224148</v>
      </c>
    </row>
    <row r="377" spans="1:3">
      <c r="A377" s="2708" t="s">
        <v>2079</v>
      </c>
      <c r="B377" s="2707">
        <f>33+0+0</f>
        <v>33</v>
      </c>
      <c r="C377" s="2707">
        <f>462+0+0</f>
        <v>462</v>
      </c>
    </row>
    <row r="378" spans="1:3">
      <c r="A378" s="2708" t="s">
        <v>1899</v>
      </c>
      <c r="B378" s="2707">
        <f>0+0+136</f>
        <v>136</v>
      </c>
      <c r="C378" s="2707">
        <f>0+0+1088</f>
        <v>1088</v>
      </c>
    </row>
    <row r="379" spans="1:3">
      <c r="A379" s="2706" t="s">
        <v>415</v>
      </c>
      <c r="B379" s="2707">
        <f>0+0+169</f>
        <v>169</v>
      </c>
      <c r="C379" s="2707">
        <f>0+0+674</f>
        <v>674</v>
      </c>
    </row>
    <row r="380" spans="1:3">
      <c r="A380" s="2706" t="s">
        <v>2113</v>
      </c>
      <c r="B380" s="2707">
        <v>108</v>
      </c>
      <c r="C380" s="2707">
        <v>291</v>
      </c>
    </row>
    <row r="381" spans="1:3">
      <c r="A381" s="2706" t="s">
        <v>713</v>
      </c>
      <c r="B381" s="2707">
        <v>2256</v>
      </c>
      <c r="C381" s="2707">
        <v>2256</v>
      </c>
    </row>
    <row r="382" spans="1:3">
      <c r="A382" s="2706" t="s">
        <v>2114</v>
      </c>
      <c r="B382" s="2707">
        <v>51</v>
      </c>
      <c r="C382" s="2707">
        <v>135</v>
      </c>
    </row>
    <row r="383" spans="1:3">
      <c r="A383" s="2709" t="s">
        <v>324</v>
      </c>
      <c r="B383" s="2707">
        <f>0+39900+0</f>
        <v>39900</v>
      </c>
      <c r="C383" s="2707">
        <f>0+39900+0</f>
        <v>39900</v>
      </c>
    </row>
    <row r="384" spans="1:3">
      <c r="A384" s="2706" t="s">
        <v>2115</v>
      </c>
      <c r="B384" s="2707">
        <v>1</v>
      </c>
      <c r="C384" s="2707">
        <v>120</v>
      </c>
    </row>
    <row r="385" spans="1:8">
      <c r="A385" s="2706" t="s">
        <v>2093</v>
      </c>
      <c r="B385" s="2707">
        <v>79</v>
      </c>
      <c r="C385" s="2707">
        <v>244</v>
      </c>
    </row>
    <row r="386" spans="1:8">
      <c r="A386" s="2706" t="s">
        <v>578</v>
      </c>
      <c r="B386" s="2707">
        <f>0+0+997</f>
        <v>997</v>
      </c>
      <c r="C386" s="2707">
        <f>0+0+997</f>
        <v>997</v>
      </c>
    </row>
    <row r="387" spans="1:8">
      <c r="A387" s="2710" t="s">
        <v>325</v>
      </c>
      <c r="B387" s="2707">
        <f>0+0+15000+5250</f>
        <v>20250</v>
      </c>
      <c r="C387" s="2707">
        <f>0+0+15000+5250</f>
        <v>20250</v>
      </c>
    </row>
    <row r="388" spans="1:8">
      <c r="A388" s="2706" t="s">
        <v>189</v>
      </c>
      <c r="B388" s="2707">
        <f>0+5103+0</f>
        <v>5103</v>
      </c>
      <c r="C388" s="2707">
        <f>0+10206+0</f>
        <v>10206</v>
      </c>
      <c r="D388" s="127"/>
    </row>
    <row r="389" spans="1:8">
      <c r="A389" s="2706" t="s">
        <v>326</v>
      </c>
      <c r="B389" s="2707">
        <f>0+0+105</f>
        <v>105</v>
      </c>
      <c r="C389" s="2707">
        <f>0+0+1050</f>
        <v>1050</v>
      </c>
    </row>
    <row r="390" spans="1:8">
      <c r="A390" s="2710" t="s">
        <v>327</v>
      </c>
      <c r="B390" s="2705">
        <f>96+750+1475+780+1440</f>
        <v>4541</v>
      </c>
      <c r="C390" s="2705">
        <f>1856+6000+2956+1548+2288</f>
        <v>14648</v>
      </c>
    </row>
    <row r="391" spans="1:8">
      <c r="A391" s="2710" t="s">
        <v>2116</v>
      </c>
      <c r="B391" s="2705">
        <f>0+0+477+49</f>
        <v>526</v>
      </c>
      <c r="C391" s="2705">
        <f>0+0+2862+98</f>
        <v>2960</v>
      </c>
    </row>
    <row r="392" spans="1:8">
      <c r="A392" s="2710" t="s">
        <v>1826</v>
      </c>
      <c r="B392" s="2705">
        <f>96+0+0+75</f>
        <v>171</v>
      </c>
      <c r="C392" s="2705">
        <f>2144+0+0+304</f>
        <v>2448</v>
      </c>
    </row>
    <row r="393" spans="1:8">
      <c r="A393" s="2706" t="s">
        <v>1827</v>
      </c>
      <c r="B393" s="2707">
        <f>96+0+0+50</f>
        <v>146</v>
      </c>
      <c r="C393" s="2705">
        <f>2112+0+0+419</f>
        <v>2531</v>
      </c>
    </row>
    <row r="394" spans="1:8">
      <c r="A394" s="2671" t="s">
        <v>71</v>
      </c>
      <c r="B394" s="2672">
        <f>SUM(B359:B393)</f>
        <v>308184</v>
      </c>
      <c r="C394" s="2673">
        <f>SUM(C359:C393)</f>
        <v>391326</v>
      </c>
    </row>
    <row r="398" spans="1:8" ht="15.75">
      <c r="A398" s="5453" t="s">
        <v>2141</v>
      </c>
      <c r="B398" s="5416"/>
      <c r="C398" s="5454"/>
      <c r="E398" s="5453" t="s">
        <v>2142</v>
      </c>
      <c r="F398" s="5416"/>
      <c r="G398" s="5416"/>
      <c r="H398" s="5454"/>
    </row>
    <row r="399" spans="1:8" ht="15.75">
      <c r="A399" s="5453" t="s">
        <v>317</v>
      </c>
      <c r="B399" s="5416"/>
      <c r="C399" s="5454"/>
      <c r="E399" s="5494" t="s">
        <v>319</v>
      </c>
      <c r="F399" s="5495" t="s">
        <v>320</v>
      </c>
      <c r="G399" s="5496" t="s">
        <v>185</v>
      </c>
      <c r="H399" s="5497"/>
    </row>
    <row r="400" spans="1:8" ht="25.5">
      <c r="A400" s="2680" t="s">
        <v>184</v>
      </c>
      <c r="B400" s="2681" t="s">
        <v>2084</v>
      </c>
      <c r="C400" s="2681" t="s">
        <v>2085</v>
      </c>
      <c r="E400" s="5442"/>
      <c r="F400" s="5442"/>
      <c r="G400" s="2682" t="s">
        <v>1822</v>
      </c>
      <c r="H400" s="2683" t="s">
        <v>1823</v>
      </c>
    </row>
    <row r="401" spans="1:8">
      <c r="A401" s="2684" t="s">
        <v>187</v>
      </c>
      <c r="B401" s="2660">
        <v>8</v>
      </c>
      <c r="C401" s="2661">
        <f>0+18+30+91</f>
        <v>139</v>
      </c>
      <c r="E401" s="2711" t="s">
        <v>2120</v>
      </c>
      <c r="F401" s="5520" t="s">
        <v>2121</v>
      </c>
      <c r="G401" s="5522">
        <v>940</v>
      </c>
      <c r="H401" s="5513">
        <v>3100</v>
      </c>
    </row>
    <row r="402" spans="1:8">
      <c r="A402" s="2684" t="s">
        <v>1824</v>
      </c>
      <c r="B402" s="2660">
        <v>8</v>
      </c>
      <c r="C402" s="2661">
        <f>0+0+0+1842</f>
        <v>1842</v>
      </c>
      <c r="E402" s="5516" t="s">
        <v>2088</v>
      </c>
      <c r="F402" s="5521"/>
      <c r="G402" s="5523"/>
      <c r="H402" s="5514"/>
    </row>
    <row r="403" spans="1:8">
      <c r="A403" s="2686" t="s">
        <v>186</v>
      </c>
      <c r="B403" s="2687">
        <v>18</v>
      </c>
      <c r="C403" s="2687">
        <f>141+0+50+538</f>
        <v>729</v>
      </c>
      <c r="E403" s="5516"/>
      <c r="F403" s="5518" t="s">
        <v>2089</v>
      </c>
      <c r="G403" s="5523"/>
      <c r="H403" s="5514"/>
    </row>
    <row r="404" spans="1:8">
      <c r="A404" s="2688" t="s">
        <v>2122</v>
      </c>
      <c r="B404" s="2689">
        <v>1</v>
      </c>
      <c r="C404" s="2689">
        <f>0+24</f>
        <v>24</v>
      </c>
      <c r="E404" s="5516"/>
      <c r="F404" s="5518"/>
      <c r="G404" s="5523"/>
      <c r="H404" s="5514"/>
    </row>
    <row r="405" spans="1:8">
      <c r="A405" s="2686" t="s">
        <v>1897</v>
      </c>
      <c r="B405" s="2687">
        <v>1</v>
      </c>
      <c r="C405" s="2687">
        <v>34</v>
      </c>
      <c r="E405" s="5516"/>
      <c r="F405" s="5518"/>
      <c r="G405" s="5523"/>
      <c r="H405" s="5514"/>
    </row>
    <row r="406" spans="1:8">
      <c r="A406" s="2686" t="s">
        <v>2092</v>
      </c>
      <c r="B406" s="2687">
        <v>7</v>
      </c>
      <c r="C406" s="2687">
        <f>0+0+0+28</f>
        <v>28</v>
      </c>
      <c r="E406" s="5516" t="s">
        <v>2091</v>
      </c>
      <c r="F406" s="5518"/>
      <c r="G406" s="5523"/>
      <c r="H406" s="5514"/>
    </row>
    <row r="407" spans="1:8">
      <c r="A407" s="2686" t="s">
        <v>1898</v>
      </c>
      <c r="B407" s="2687">
        <v>5</v>
      </c>
      <c r="C407" s="2687">
        <f>0+0+80+289</f>
        <v>369</v>
      </c>
      <c r="E407" s="5516"/>
      <c r="F407" s="5518"/>
      <c r="G407" s="5523"/>
      <c r="H407" s="5514"/>
    </row>
    <row r="408" spans="1:8">
      <c r="A408" s="2686" t="s">
        <v>2065</v>
      </c>
      <c r="B408" s="2687">
        <v>2</v>
      </c>
      <c r="C408" s="2687">
        <f>0+0+0+34</f>
        <v>34</v>
      </c>
      <c r="E408" s="5516"/>
      <c r="F408" s="5518"/>
      <c r="G408" s="5523"/>
      <c r="H408" s="5514"/>
    </row>
    <row r="409" spans="1:8">
      <c r="A409" s="2686" t="s">
        <v>2041</v>
      </c>
      <c r="B409" s="2687">
        <v>4</v>
      </c>
      <c r="C409" s="2687">
        <f>0+0+0+112</f>
        <v>112</v>
      </c>
      <c r="E409" s="5516"/>
      <c r="F409" s="5518"/>
      <c r="G409" s="5523"/>
      <c r="H409" s="5514"/>
    </row>
    <row r="410" spans="1:8">
      <c r="A410" s="2690" t="s">
        <v>2123</v>
      </c>
      <c r="B410" s="2687">
        <v>2</v>
      </c>
      <c r="C410" s="2687">
        <f>0+0+17+3</f>
        <v>20</v>
      </c>
      <c r="E410" s="5516"/>
      <c r="F410" s="5518"/>
      <c r="G410" s="5523"/>
      <c r="H410" s="5514"/>
    </row>
    <row r="411" spans="1:8">
      <c r="A411" s="2690" t="s">
        <v>321</v>
      </c>
      <c r="B411" s="2687">
        <v>21</v>
      </c>
      <c r="C411" s="2687">
        <f>4752+120+4464+1687</f>
        <v>11023</v>
      </c>
      <c r="E411" s="5517"/>
      <c r="F411" s="5519"/>
      <c r="G411" s="5524"/>
      <c r="H411" s="5515"/>
    </row>
    <row r="412" spans="1:8">
      <c r="A412" s="2690" t="s">
        <v>2124</v>
      </c>
      <c r="B412" s="2687">
        <v>1</v>
      </c>
      <c r="C412" s="2687">
        <f>0+0+0+387</f>
        <v>387</v>
      </c>
      <c r="E412" s="2712" t="s">
        <v>2125</v>
      </c>
      <c r="F412" s="5510" t="s">
        <v>2126</v>
      </c>
      <c r="G412" s="5510">
        <v>1332</v>
      </c>
      <c r="H412" s="5513">
        <v>13642</v>
      </c>
    </row>
    <row r="413" spans="1:8">
      <c r="A413" s="2690" t="s">
        <v>413</v>
      </c>
      <c r="B413" s="2687">
        <v>2</v>
      </c>
      <c r="C413" s="2687">
        <f>0+210</f>
        <v>210</v>
      </c>
      <c r="E413" s="5516" t="s">
        <v>2127</v>
      </c>
      <c r="F413" s="5511"/>
      <c r="G413" s="5511"/>
      <c r="H413" s="5514"/>
    </row>
    <row r="414" spans="1:8">
      <c r="A414" s="2690" t="s">
        <v>322</v>
      </c>
      <c r="B414" s="2687">
        <v>14</v>
      </c>
      <c r="C414" s="2664">
        <f>1297+1929</f>
        <v>3226</v>
      </c>
      <c r="E414" s="5516"/>
      <c r="F414" s="5518" t="s">
        <v>2089</v>
      </c>
      <c r="G414" s="5511"/>
      <c r="H414" s="5514"/>
    </row>
    <row r="415" spans="1:8">
      <c r="A415" s="2690" t="s">
        <v>1900</v>
      </c>
      <c r="B415" s="2687">
        <v>2</v>
      </c>
      <c r="C415" s="2687">
        <f>140+37</f>
        <v>177</v>
      </c>
      <c r="E415" s="5516"/>
      <c r="F415" s="5518"/>
      <c r="G415" s="5511"/>
      <c r="H415" s="5514"/>
    </row>
    <row r="416" spans="1:8">
      <c r="A416" s="2690" t="s">
        <v>2069</v>
      </c>
      <c r="B416" s="2687">
        <v>1</v>
      </c>
      <c r="C416" s="2687">
        <f>281</f>
        <v>281</v>
      </c>
      <c r="E416" s="5516"/>
      <c r="F416" s="5518"/>
      <c r="G416" s="5511"/>
      <c r="H416" s="5514"/>
    </row>
    <row r="417" spans="1:8">
      <c r="A417" s="2690" t="s">
        <v>2128</v>
      </c>
      <c r="B417" s="2687">
        <v>1</v>
      </c>
      <c r="C417" s="2687">
        <f>318</f>
        <v>318</v>
      </c>
      <c r="E417" s="5516"/>
      <c r="F417" s="5518"/>
      <c r="G417" s="5511"/>
      <c r="H417" s="5514"/>
    </row>
    <row r="418" spans="1:8">
      <c r="A418" s="2690" t="s">
        <v>1899</v>
      </c>
      <c r="B418" s="2687">
        <v>3</v>
      </c>
      <c r="C418" s="2687">
        <v>17</v>
      </c>
      <c r="E418" s="5516"/>
      <c r="F418" s="5518"/>
      <c r="G418" s="5511"/>
      <c r="H418" s="5514"/>
    </row>
    <row r="419" spans="1:8">
      <c r="A419" s="2696" t="s">
        <v>2044</v>
      </c>
      <c r="B419" s="2687">
        <v>2</v>
      </c>
      <c r="C419" s="2687">
        <v>67</v>
      </c>
      <c r="E419" s="5516"/>
      <c r="F419" s="5518"/>
      <c r="G419" s="5511"/>
      <c r="H419" s="5514"/>
    </row>
    <row r="420" spans="1:8">
      <c r="A420" s="2690" t="s">
        <v>2047</v>
      </c>
      <c r="B420" s="2687">
        <v>3</v>
      </c>
      <c r="C420" s="2664">
        <f>225+360</f>
        <v>585</v>
      </c>
      <c r="E420" s="5516"/>
      <c r="F420" s="5518"/>
      <c r="G420" s="5511"/>
      <c r="H420" s="5514"/>
    </row>
    <row r="421" spans="1:8">
      <c r="A421" s="2690" t="s">
        <v>2049</v>
      </c>
      <c r="B421" s="2687">
        <v>6</v>
      </c>
      <c r="C421" s="2687">
        <f>0+0+0+122</f>
        <v>122</v>
      </c>
      <c r="E421" s="5517"/>
      <c r="F421" s="5519"/>
      <c r="G421" s="5512"/>
      <c r="H421" s="5515"/>
    </row>
    <row r="422" spans="1:8">
      <c r="A422" s="2690" t="s">
        <v>189</v>
      </c>
      <c r="B422" s="2687">
        <v>3</v>
      </c>
      <c r="C422" s="2687">
        <f>0+0+65</f>
        <v>65</v>
      </c>
      <c r="E422" s="5526" t="s">
        <v>2129</v>
      </c>
      <c r="F422" s="2713" t="s">
        <v>2130</v>
      </c>
      <c r="G422" s="5510">
        <f>1469+239+133+1696+1309</f>
        <v>4846</v>
      </c>
      <c r="H422" s="5513">
        <f>1700+60+30+2000+1600</f>
        <v>5390</v>
      </c>
    </row>
    <row r="423" spans="1:8">
      <c r="A423" s="2690" t="s">
        <v>188</v>
      </c>
      <c r="B423" s="2687">
        <v>2</v>
      </c>
      <c r="C423" s="2687">
        <f>0+0+56</f>
        <v>56</v>
      </c>
      <c r="E423" s="5527"/>
      <c r="F423" s="2714" t="s">
        <v>2131</v>
      </c>
      <c r="G423" s="5512"/>
      <c r="H423" s="5515"/>
    </row>
    <row r="424" spans="1:8">
      <c r="A424" s="2690" t="s">
        <v>327</v>
      </c>
      <c r="B424" s="2687">
        <v>6</v>
      </c>
      <c r="C424" s="2687">
        <f>0+15+0+99</f>
        <v>114</v>
      </c>
      <c r="E424" s="5526" t="s">
        <v>2132</v>
      </c>
      <c r="F424" s="2714" t="s">
        <v>2133</v>
      </c>
      <c r="G424" s="5510">
        <f>526+101+141+757+675</f>
        <v>2200</v>
      </c>
      <c r="H424" s="5513">
        <v>5390</v>
      </c>
    </row>
    <row r="425" spans="1:8">
      <c r="A425" s="2690" t="s">
        <v>414</v>
      </c>
      <c r="B425" s="2689">
        <v>4</v>
      </c>
      <c r="C425" s="2689">
        <f>522</f>
        <v>522</v>
      </c>
      <c r="E425" s="5528"/>
      <c r="F425" s="2714" t="s">
        <v>2134</v>
      </c>
      <c r="G425" s="5511"/>
      <c r="H425" s="5514"/>
    </row>
    <row r="426" spans="1:8">
      <c r="A426" s="2690" t="s">
        <v>2050</v>
      </c>
      <c r="B426" s="2664">
        <v>3</v>
      </c>
      <c r="C426" s="2664">
        <v>50</v>
      </c>
      <c r="E426" s="5527"/>
      <c r="F426" s="2715" t="s">
        <v>2135</v>
      </c>
      <c r="G426" s="5512"/>
      <c r="H426" s="5515"/>
    </row>
    <row r="427" spans="1:8">
      <c r="A427" s="2716" t="s">
        <v>2116</v>
      </c>
      <c r="B427" s="2687">
        <v>11</v>
      </c>
      <c r="C427" s="2664">
        <f>22+0+144+355</f>
        <v>521</v>
      </c>
      <c r="E427" s="2695">
        <v>4</v>
      </c>
      <c r="F427" s="2673" t="s">
        <v>15</v>
      </c>
      <c r="G427" s="2673">
        <f>SUM(G401:G426)</f>
        <v>9318</v>
      </c>
      <c r="H427" s="2673">
        <f>SUM(H401:H426)</f>
        <v>27522</v>
      </c>
    </row>
    <row r="428" spans="1:8">
      <c r="A428" s="2716" t="s">
        <v>580</v>
      </c>
      <c r="B428" s="2687">
        <v>6</v>
      </c>
      <c r="C428" s="2664">
        <v>26</v>
      </c>
    </row>
    <row r="429" spans="1:8">
      <c r="A429" s="2671" t="s">
        <v>71</v>
      </c>
      <c r="B429" s="2672">
        <f>SUM(B401:B428)</f>
        <v>147</v>
      </c>
      <c r="C429" s="2673">
        <f>SUM(C401:C428)</f>
        <v>21098</v>
      </c>
    </row>
    <row r="430" spans="1:8">
      <c r="A430" s="5493" t="s">
        <v>328</v>
      </c>
      <c r="B430" s="5493"/>
      <c r="C430" s="5493"/>
      <c r="F430" s="2674">
        <f>SUM(B429,E427)</f>
        <v>151</v>
      </c>
    </row>
    <row r="431" spans="1:8">
      <c r="A431" s="2679"/>
      <c r="B431" s="2679"/>
      <c r="C431" s="2679"/>
      <c r="D431" s="191"/>
    </row>
    <row r="432" spans="1:8">
      <c r="A432" s="5504" t="s">
        <v>2143</v>
      </c>
      <c r="B432" s="5426"/>
      <c r="C432" s="5505"/>
      <c r="D432" s="191"/>
    </row>
    <row r="433" spans="1:4">
      <c r="A433" s="5504" t="s">
        <v>318</v>
      </c>
      <c r="B433" s="5426"/>
      <c r="C433" s="5505"/>
      <c r="D433" s="81"/>
    </row>
    <row r="434" spans="1:4" ht="25.5">
      <c r="A434" s="2680" t="s">
        <v>319</v>
      </c>
      <c r="B434" s="2681" t="s">
        <v>2102</v>
      </c>
      <c r="C434" s="2681" t="s">
        <v>183</v>
      </c>
    </row>
    <row r="435" spans="1:4">
      <c r="A435" s="2717" t="s">
        <v>2080</v>
      </c>
      <c r="B435" s="2660">
        <f>332+96+23</f>
        <v>451</v>
      </c>
      <c r="C435" s="2661">
        <f>665+1440+46</f>
        <v>2151</v>
      </c>
    </row>
    <row r="436" spans="1:4">
      <c r="A436" s="2686" t="s">
        <v>2136</v>
      </c>
      <c r="B436" s="2687">
        <v>108</v>
      </c>
      <c r="C436" s="2687">
        <v>1620</v>
      </c>
    </row>
    <row r="437" spans="1:4">
      <c r="A437" s="2718" t="s">
        <v>2104</v>
      </c>
      <c r="B437" s="2719">
        <f>3+315+820</f>
        <v>1138</v>
      </c>
      <c r="C437" s="2719">
        <f>213+1260+9020</f>
        <v>10493</v>
      </c>
    </row>
    <row r="438" spans="1:4">
      <c r="A438" s="2720" t="s">
        <v>2053</v>
      </c>
      <c r="B438" s="2664">
        <f>1194+685+1669</f>
        <v>3548</v>
      </c>
      <c r="C438" s="2664">
        <f>4775+6850+10014</f>
        <v>21639</v>
      </c>
    </row>
    <row r="439" spans="1:4">
      <c r="A439" s="2720" t="s">
        <v>2137</v>
      </c>
      <c r="B439" s="2664">
        <v>1</v>
      </c>
      <c r="C439" s="2664">
        <v>167</v>
      </c>
    </row>
    <row r="440" spans="1:4">
      <c r="A440" s="2720" t="s">
        <v>2138</v>
      </c>
      <c r="B440" s="2664">
        <v>3</v>
      </c>
      <c r="C440" s="2664">
        <v>5438</v>
      </c>
    </row>
    <row r="441" spans="1:4">
      <c r="A441" s="2720" t="s">
        <v>2041</v>
      </c>
      <c r="B441" s="2664">
        <v>10</v>
      </c>
      <c r="C441" s="2664">
        <v>406</v>
      </c>
    </row>
    <row r="442" spans="1:4">
      <c r="A442" s="2720" t="s">
        <v>581</v>
      </c>
      <c r="B442" s="2664">
        <v>10</v>
      </c>
      <c r="C442" s="2664">
        <v>4451</v>
      </c>
    </row>
    <row r="443" spans="1:4">
      <c r="A443" s="2720" t="s">
        <v>2056</v>
      </c>
      <c r="B443" s="2664">
        <v>185</v>
      </c>
      <c r="C443" s="2664">
        <v>1486</v>
      </c>
    </row>
    <row r="444" spans="1:4">
      <c r="A444" s="2720" t="s">
        <v>321</v>
      </c>
      <c r="B444" s="2664">
        <f>11+525+350</f>
        <v>886</v>
      </c>
      <c r="C444" s="2664">
        <f>113+4200+4560</f>
        <v>8873</v>
      </c>
    </row>
    <row r="445" spans="1:4">
      <c r="A445" s="2690" t="s">
        <v>322</v>
      </c>
      <c r="B445" s="2687">
        <f>362+96+270+339</f>
        <v>1067</v>
      </c>
      <c r="C445" s="2687">
        <f>3623+1920+6558+4068</f>
        <v>16169</v>
      </c>
    </row>
    <row r="446" spans="1:4">
      <c r="A446" s="2690" t="s">
        <v>2139</v>
      </c>
      <c r="B446" s="2687">
        <v>38</v>
      </c>
      <c r="C446" s="2687">
        <v>380</v>
      </c>
    </row>
    <row r="447" spans="1:4">
      <c r="A447" s="2690" t="s">
        <v>2057</v>
      </c>
      <c r="B447" s="2687">
        <v>10</v>
      </c>
      <c r="C447" s="2687">
        <v>50</v>
      </c>
    </row>
    <row r="448" spans="1:4">
      <c r="A448" s="2690" t="s">
        <v>323</v>
      </c>
      <c r="B448" s="2687">
        <f>168000+26400+180</f>
        <v>194580</v>
      </c>
      <c r="C448" s="2687">
        <f>168000+26400+90000</f>
        <v>284400</v>
      </c>
    </row>
    <row r="449" spans="1:4">
      <c r="A449" s="2686" t="s">
        <v>2079</v>
      </c>
      <c r="B449" s="2687">
        <f>33</f>
        <v>33</v>
      </c>
      <c r="C449" s="2687">
        <f>396</f>
        <v>396</v>
      </c>
    </row>
    <row r="450" spans="1:4">
      <c r="A450" s="2686" t="s">
        <v>1899</v>
      </c>
      <c r="B450" s="2687">
        <f>32+72</f>
        <v>104</v>
      </c>
      <c r="C450" s="2687">
        <f>320+1296</f>
        <v>1616</v>
      </c>
    </row>
    <row r="451" spans="1:4">
      <c r="A451" s="2690" t="s">
        <v>415</v>
      </c>
      <c r="B451" s="2687">
        <v>108</v>
      </c>
      <c r="C451" s="2687">
        <v>756</v>
      </c>
    </row>
    <row r="452" spans="1:4">
      <c r="A452" s="2690" t="s">
        <v>324</v>
      </c>
      <c r="B452" s="2687">
        <f>42000+180</f>
        <v>42180</v>
      </c>
      <c r="C452" s="2687">
        <f>42000+10800</f>
        <v>52800</v>
      </c>
    </row>
    <row r="453" spans="1:4">
      <c r="A453" s="2690" t="s">
        <v>2115</v>
      </c>
      <c r="B453" s="2687">
        <v>1</v>
      </c>
      <c r="C453" s="2687">
        <v>102</v>
      </c>
    </row>
    <row r="454" spans="1:4">
      <c r="A454" s="2690" t="s">
        <v>2093</v>
      </c>
      <c r="B454" s="2687">
        <v>3</v>
      </c>
      <c r="C454" s="2687">
        <v>69</v>
      </c>
    </row>
    <row r="455" spans="1:4">
      <c r="A455" s="2690" t="s">
        <v>578</v>
      </c>
      <c r="B455" s="2687">
        <v>231</v>
      </c>
      <c r="C455" s="2687">
        <v>3465</v>
      </c>
    </row>
    <row r="456" spans="1:4">
      <c r="A456" s="2696" t="s">
        <v>325</v>
      </c>
      <c r="B456" s="2687">
        <v>180</v>
      </c>
      <c r="C456" s="2687">
        <v>12600</v>
      </c>
    </row>
    <row r="457" spans="1:4">
      <c r="A457" s="2690" t="s">
        <v>189</v>
      </c>
      <c r="B457" s="2687">
        <v>8750</v>
      </c>
      <c r="C457" s="2687">
        <v>17500</v>
      </c>
    </row>
    <row r="458" spans="1:4">
      <c r="A458" s="2690" t="s">
        <v>326</v>
      </c>
      <c r="B458" s="2687">
        <f>4+108</f>
        <v>112</v>
      </c>
      <c r="C458" s="2687">
        <f>25+1404</f>
        <v>1429</v>
      </c>
    </row>
    <row r="459" spans="1:4">
      <c r="A459" s="2696" t="s">
        <v>188</v>
      </c>
      <c r="B459" s="2687">
        <f>40+595+7</f>
        <v>642</v>
      </c>
      <c r="C459" s="2664">
        <f>80+1190+14</f>
        <v>1284</v>
      </c>
    </row>
    <row r="460" spans="1:4">
      <c r="A460" s="2696" t="s">
        <v>327</v>
      </c>
      <c r="B460" s="2664">
        <f>527+96+443</f>
        <v>1066</v>
      </c>
      <c r="C460" s="2664">
        <f>2110+1152+1772</f>
        <v>5034</v>
      </c>
    </row>
    <row r="461" spans="1:4">
      <c r="A461" s="2696" t="s">
        <v>2116</v>
      </c>
      <c r="B461" s="2664">
        <f>84+365</f>
        <v>449</v>
      </c>
      <c r="C461" s="2664">
        <f>421+2920</f>
        <v>3341</v>
      </c>
    </row>
    <row r="462" spans="1:4">
      <c r="A462" s="2696" t="s">
        <v>1826</v>
      </c>
      <c r="B462" s="2664">
        <f>0+96</f>
        <v>96</v>
      </c>
      <c r="C462" s="2664">
        <f>0+1536</f>
        <v>1536</v>
      </c>
      <c r="D462" s="127"/>
    </row>
    <row r="463" spans="1:4">
      <c r="A463" s="2690" t="s">
        <v>1827</v>
      </c>
      <c r="B463" s="2687">
        <f>0+96</f>
        <v>96</v>
      </c>
      <c r="C463" s="2664">
        <f>0+1728</f>
        <v>1728</v>
      </c>
    </row>
    <row r="464" spans="1:4">
      <c r="A464" s="2671" t="s">
        <v>71</v>
      </c>
      <c r="B464" s="2672">
        <f>SUM(B435:B463)</f>
        <v>256086</v>
      </c>
      <c r="C464" s="2673">
        <f>SUM(C435:C463)</f>
        <v>461379</v>
      </c>
    </row>
    <row r="465" spans="1:8">
      <c r="A465" s="5525" t="s">
        <v>328</v>
      </c>
      <c r="B465" s="5525"/>
      <c r="C465" s="5525"/>
    </row>
    <row r="466" spans="1:8">
      <c r="A466" s="5525" t="s">
        <v>2140</v>
      </c>
      <c r="B466" s="5525"/>
      <c r="C466" s="5525"/>
    </row>
    <row r="470" spans="1:8" ht="15.75">
      <c r="A470" s="5453" t="s">
        <v>2158</v>
      </c>
      <c r="B470" s="5416"/>
      <c r="C470" s="5454"/>
      <c r="E470" s="5469" t="s">
        <v>2159</v>
      </c>
      <c r="F470" s="5419"/>
      <c r="G470" s="5419"/>
      <c r="H470" s="5470"/>
    </row>
    <row r="471" spans="1:8" ht="15.75">
      <c r="A471" s="5469" t="s">
        <v>317</v>
      </c>
      <c r="B471" s="5419"/>
      <c r="C471" s="5470"/>
      <c r="E471" s="5458" t="s">
        <v>319</v>
      </c>
      <c r="F471" s="5460" t="s">
        <v>320</v>
      </c>
      <c r="G471" s="5461" t="s">
        <v>185</v>
      </c>
      <c r="H471" s="5462"/>
    </row>
    <row r="472" spans="1:8">
      <c r="A472" s="5463" t="s">
        <v>184</v>
      </c>
      <c r="B472" s="5464" t="s">
        <v>855</v>
      </c>
      <c r="C472" s="5464" t="s">
        <v>856</v>
      </c>
      <c r="E472" s="5459"/>
      <c r="F472" s="5459"/>
      <c r="G472" s="2721" t="s">
        <v>1822</v>
      </c>
      <c r="H472" s="2678" t="s">
        <v>1823</v>
      </c>
    </row>
    <row r="473" spans="1:8">
      <c r="A473" s="5463"/>
      <c r="B473" s="5444"/>
      <c r="C473" s="5444"/>
      <c r="E473" s="2722"/>
      <c r="F473" s="2722"/>
      <c r="G473" s="2722"/>
    </row>
    <row r="474" spans="1:8">
      <c r="A474" s="2659" t="s">
        <v>187</v>
      </c>
      <c r="B474" s="2660">
        <v>12</v>
      </c>
      <c r="C474" s="2661">
        <v>900</v>
      </c>
      <c r="E474" s="2723" t="s">
        <v>2066</v>
      </c>
      <c r="F474" s="2656" t="s">
        <v>2144</v>
      </c>
      <c r="G474" s="2657">
        <v>1149</v>
      </c>
      <c r="H474" s="2702">
        <f>15426-1149</f>
        <v>14277</v>
      </c>
    </row>
    <row r="475" spans="1:8">
      <c r="A475" s="2663" t="s">
        <v>2145</v>
      </c>
      <c r="B475" s="2664">
        <v>2</v>
      </c>
      <c r="C475" s="2664">
        <v>35</v>
      </c>
      <c r="E475" s="5529" t="s">
        <v>862</v>
      </c>
      <c r="F475" s="5530" t="s">
        <v>2146</v>
      </c>
      <c r="G475" s="5530">
        <v>3563</v>
      </c>
      <c r="H475" s="5450">
        <v>4945</v>
      </c>
    </row>
    <row r="476" spans="1:8">
      <c r="A476" s="2663" t="s">
        <v>186</v>
      </c>
      <c r="B476" s="2664">
        <v>11</v>
      </c>
      <c r="C476" s="2664">
        <v>774</v>
      </c>
      <c r="E476" s="5529"/>
      <c r="F476" s="5530"/>
      <c r="G476" s="5530"/>
      <c r="H476" s="5452"/>
    </row>
    <row r="477" spans="1:8" ht="25.5">
      <c r="A477" s="2724" t="s">
        <v>2090</v>
      </c>
      <c r="B477" s="2664">
        <v>20</v>
      </c>
      <c r="C477" s="2664">
        <v>858</v>
      </c>
      <c r="E477" s="2704" t="s">
        <v>863</v>
      </c>
      <c r="F477" s="2705" t="s">
        <v>2147</v>
      </c>
      <c r="G477" s="2705">
        <v>2698</v>
      </c>
      <c r="H477" s="2725">
        <v>4945</v>
      </c>
    </row>
    <row r="478" spans="1:8">
      <c r="A478" s="2663" t="s">
        <v>1897</v>
      </c>
      <c r="B478" s="2664">
        <v>1</v>
      </c>
      <c r="C478" s="2664">
        <v>36</v>
      </c>
      <c r="E478" s="2708" t="s">
        <v>864</v>
      </c>
      <c r="F478" s="2707" t="s">
        <v>2144</v>
      </c>
      <c r="G478" s="2707">
        <v>558</v>
      </c>
      <c r="H478" s="2702">
        <v>2360</v>
      </c>
    </row>
    <row r="479" spans="1:8">
      <c r="A479" s="2663" t="s">
        <v>2092</v>
      </c>
      <c r="B479" s="2664">
        <v>8</v>
      </c>
      <c r="C479" s="2664">
        <v>43</v>
      </c>
    </row>
    <row r="480" spans="1:8">
      <c r="A480" s="2724" t="s">
        <v>2148</v>
      </c>
      <c r="B480" s="2664">
        <v>4</v>
      </c>
      <c r="C480" s="2664">
        <v>191</v>
      </c>
      <c r="E480" s="2667" t="s">
        <v>71</v>
      </c>
      <c r="F480" s="2732">
        <v>10</v>
      </c>
      <c r="G480" s="2668">
        <f>SUM(G474:G478)</f>
        <v>7968</v>
      </c>
      <c r="H480" s="2668">
        <f>SUM(H474:H478)</f>
        <v>26527</v>
      </c>
    </row>
    <row r="481" spans="1:6">
      <c r="A481" s="2663" t="s">
        <v>2149</v>
      </c>
      <c r="B481" s="2664">
        <v>3</v>
      </c>
      <c r="C481" s="2664">
        <v>1162</v>
      </c>
    </row>
    <row r="482" spans="1:6">
      <c r="A482" s="2663" t="s">
        <v>1898</v>
      </c>
      <c r="B482" s="2664">
        <v>8</v>
      </c>
      <c r="C482" s="2664">
        <v>355</v>
      </c>
    </row>
    <row r="483" spans="1:6">
      <c r="A483" s="2663" t="s">
        <v>2065</v>
      </c>
      <c r="B483" s="2664">
        <v>1</v>
      </c>
      <c r="C483" s="2664">
        <v>15</v>
      </c>
    </row>
    <row r="484" spans="1:6">
      <c r="A484" s="2663" t="s">
        <v>2041</v>
      </c>
      <c r="B484" s="2664">
        <v>1</v>
      </c>
      <c r="C484" s="2664">
        <v>23</v>
      </c>
    </row>
    <row r="485" spans="1:6">
      <c r="A485" s="2663" t="s">
        <v>2123</v>
      </c>
      <c r="B485" s="2664">
        <v>1</v>
      </c>
      <c r="C485" s="2664">
        <v>32</v>
      </c>
    </row>
    <row r="486" spans="1:6">
      <c r="A486" s="2663" t="s">
        <v>321</v>
      </c>
      <c r="B486" s="2664">
        <v>24</v>
      </c>
      <c r="C486" s="2664">
        <v>8887</v>
      </c>
    </row>
    <row r="487" spans="1:6">
      <c r="A487" s="2663" t="s">
        <v>2150</v>
      </c>
      <c r="B487" s="2664">
        <v>3</v>
      </c>
      <c r="C487" s="2664">
        <v>407</v>
      </c>
    </row>
    <row r="488" spans="1:6">
      <c r="A488" s="2663" t="s">
        <v>413</v>
      </c>
      <c r="B488" s="2664">
        <v>2</v>
      </c>
      <c r="C488" s="2664">
        <v>430</v>
      </c>
    </row>
    <row r="489" spans="1:6">
      <c r="A489" s="2663" t="s">
        <v>322</v>
      </c>
      <c r="B489" s="2664">
        <v>10</v>
      </c>
      <c r="C489" s="2664">
        <v>3460</v>
      </c>
    </row>
    <row r="490" spans="1:6">
      <c r="A490" s="2663" t="s">
        <v>1900</v>
      </c>
      <c r="B490" s="2664">
        <v>6</v>
      </c>
      <c r="C490" s="2664">
        <v>195</v>
      </c>
    </row>
    <row r="491" spans="1:6">
      <c r="A491" s="2663" t="s">
        <v>2044</v>
      </c>
      <c r="B491" s="2664">
        <v>3</v>
      </c>
      <c r="C491" s="2664">
        <v>85</v>
      </c>
    </row>
    <row r="492" spans="1:6">
      <c r="A492" s="2663" t="s">
        <v>2047</v>
      </c>
      <c r="B492" s="2664">
        <v>1</v>
      </c>
      <c r="C492" s="2664">
        <v>412</v>
      </c>
    </row>
    <row r="493" spans="1:6">
      <c r="A493" s="2669" t="s">
        <v>2049</v>
      </c>
      <c r="B493" s="2664">
        <v>9</v>
      </c>
      <c r="C493" s="2664">
        <f>32+93</f>
        <v>125</v>
      </c>
    </row>
    <row r="494" spans="1:6">
      <c r="A494" s="2663" t="s">
        <v>189</v>
      </c>
      <c r="B494" s="2664">
        <v>2</v>
      </c>
      <c r="C494" s="2664">
        <v>125</v>
      </c>
    </row>
    <row r="495" spans="1:6">
      <c r="A495" s="2663" t="s">
        <v>188</v>
      </c>
      <c r="B495" s="2664">
        <v>4</v>
      </c>
      <c r="C495" s="2664">
        <v>266</v>
      </c>
    </row>
    <row r="496" spans="1:6">
      <c r="A496" s="2663" t="s">
        <v>327</v>
      </c>
      <c r="B496" s="2664">
        <v>10</v>
      </c>
      <c r="C496" s="2664">
        <v>180</v>
      </c>
      <c r="F496" s="127" t="s">
        <v>2151</v>
      </c>
    </row>
    <row r="497" spans="1:6">
      <c r="A497" s="2670" t="s">
        <v>414</v>
      </c>
      <c r="B497" s="2664">
        <v>5</v>
      </c>
      <c r="C497" s="2664">
        <f>593+60</f>
        <v>653</v>
      </c>
    </row>
    <row r="498" spans="1:6">
      <c r="A498" s="2669" t="s">
        <v>2052</v>
      </c>
      <c r="B498" s="2664">
        <v>2</v>
      </c>
      <c r="C498" s="2664">
        <v>127</v>
      </c>
    </row>
    <row r="499" spans="1:6">
      <c r="A499" s="2660" t="s">
        <v>2152</v>
      </c>
      <c r="B499" s="2664">
        <v>16</v>
      </c>
      <c r="C499" s="2664">
        <v>704</v>
      </c>
    </row>
    <row r="500" spans="1:6">
      <c r="A500" s="2671" t="s">
        <v>71</v>
      </c>
      <c r="B500" s="2672">
        <f>SUM(B474:B499)</f>
        <v>169</v>
      </c>
      <c r="C500" s="2673">
        <f>SUM(C474:C499)</f>
        <v>20480</v>
      </c>
      <c r="F500" s="2733">
        <f>SUM(B500,F480)</f>
        <v>179</v>
      </c>
    </row>
    <row r="501" spans="1:6">
      <c r="A501" s="75" t="s">
        <v>328</v>
      </c>
    </row>
    <row r="503" spans="1:6" ht="15.75">
      <c r="A503" s="5453" t="s">
        <v>2158</v>
      </c>
      <c r="B503" s="5416"/>
      <c r="C503" s="5454"/>
      <c r="D503" s="191"/>
    </row>
    <row r="504" spans="1:6" ht="15.75">
      <c r="A504" s="5469" t="s">
        <v>318</v>
      </c>
      <c r="B504" s="5419"/>
      <c r="C504" s="5470"/>
      <c r="D504" s="81"/>
    </row>
    <row r="505" spans="1:6">
      <c r="A505" s="5463" t="s">
        <v>319</v>
      </c>
      <c r="B505" s="5464" t="s">
        <v>857</v>
      </c>
      <c r="C505" s="5464" t="s">
        <v>185</v>
      </c>
    </row>
    <row r="506" spans="1:6">
      <c r="A506" s="5463"/>
      <c r="B506" s="5444"/>
      <c r="C506" s="5444"/>
    </row>
    <row r="507" spans="1:6">
      <c r="A507" s="82"/>
      <c r="B507" s="82"/>
      <c r="C507" s="82"/>
    </row>
    <row r="508" spans="1:6">
      <c r="A508" s="2659" t="s">
        <v>2080</v>
      </c>
      <c r="B508" s="2660">
        <f>87+87</f>
        <v>174</v>
      </c>
      <c r="C508" s="2661">
        <v>348</v>
      </c>
    </row>
    <row r="509" spans="1:6">
      <c r="A509" s="2663" t="s">
        <v>2145</v>
      </c>
      <c r="B509" s="2664">
        <v>72</v>
      </c>
      <c r="C509" s="2664">
        <v>855</v>
      </c>
    </row>
    <row r="510" spans="1:6">
      <c r="A510" s="2675" t="s">
        <v>2153</v>
      </c>
      <c r="B510" s="2675">
        <v>2873</v>
      </c>
      <c r="C510" s="2675">
        <v>6746</v>
      </c>
    </row>
    <row r="511" spans="1:6">
      <c r="A511" s="2663" t="s">
        <v>2053</v>
      </c>
      <c r="B511" s="2664">
        <f>659+174+1057</f>
        <v>1890</v>
      </c>
      <c r="C511" s="2664">
        <v>9677</v>
      </c>
    </row>
    <row r="512" spans="1:6">
      <c r="A512" s="2663" t="s">
        <v>2076</v>
      </c>
      <c r="B512" s="2664">
        <v>24</v>
      </c>
      <c r="C512" s="2664">
        <v>164</v>
      </c>
    </row>
    <row r="513" spans="1:3">
      <c r="A513" s="2663" t="s">
        <v>2154</v>
      </c>
      <c r="B513" s="2664">
        <v>24</v>
      </c>
      <c r="C513" s="2664">
        <v>186</v>
      </c>
    </row>
    <row r="514" spans="1:3">
      <c r="A514" s="2663" t="s">
        <v>2041</v>
      </c>
      <c r="B514" s="2664">
        <v>16</v>
      </c>
      <c r="C514" s="2664">
        <v>64</v>
      </c>
    </row>
    <row r="515" spans="1:3">
      <c r="A515" s="2663" t="s">
        <v>321</v>
      </c>
      <c r="B515" s="2664">
        <f>110+3948+36</f>
        <v>4094</v>
      </c>
      <c r="C515" s="2664">
        <v>49122</v>
      </c>
    </row>
    <row r="516" spans="1:3">
      <c r="A516" s="2663" t="s">
        <v>322</v>
      </c>
      <c r="B516" s="2664">
        <f>396+171</f>
        <v>567</v>
      </c>
      <c r="C516" s="2664">
        <f>7924+6020</f>
        <v>13944</v>
      </c>
    </row>
    <row r="517" spans="1:3">
      <c r="A517" s="2663" t="s">
        <v>323</v>
      </c>
      <c r="B517" s="2664">
        <f>93210+61050+18975</f>
        <v>173235</v>
      </c>
      <c r="C517" s="2664">
        <v>173235</v>
      </c>
    </row>
    <row r="518" spans="1:3">
      <c r="A518" s="2663" t="s">
        <v>2155</v>
      </c>
      <c r="B518" s="2664">
        <v>36</v>
      </c>
      <c r="C518" s="2664">
        <v>420</v>
      </c>
    </row>
    <row r="519" spans="1:3">
      <c r="A519" s="2663" t="s">
        <v>860</v>
      </c>
      <c r="B519" s="2664">
        <v>780</v>
      </c>
      <c r="C519" s="2664">
        <v>8680</v>
      </c>
    </row>
    <row r="520" spans="1:3">
      <c r="A520" s="2663" t="s">
        <v>2079</v>
      </c>
      <c r="B520" s="2664">
        <v>33</v>
      </c>
      <c r="C520" s="2664">
        <v>462</v>
      </c>
    </row>
    <row r="521" spans="1:3">
      <c r="A521" s="2663" t="s">
        <v>1899</v>
      </c>
      <c r="B521" s="2664">
        <v>72</v>
      </c>
      <c r="C521" s="2664">
        <v>642</v>
      </c>
    </row>
    <row r="522" spans="1:3">
      <c r="A522" s="2663" t="s">
        <v>415</v>
      </c>
      <c r="B522" s="2664">
        <v>72</v>
      </c>
      <c r="C522" s="2664">
        <v>562</v>
      </c>
    </row>
    <row r="523" spans="1:3">
      <c r="A523" s="2663" t="s">
        <v>2114</v>
      </c>
      <c r="B523" s="2664">
        <v>24</v>
      </c>
      <c r="C523" s="2664">
        <v>145</v>
      </c>
    </row>
    <row r="524" spans="1:3">
      <c r="A524" s="2724" t="s">
        <v>324</v>
      </c>
      <c r="B524" s="2664">
        <v>10920</v>
      </c>
      <c r="C524" s="2664">
        <v>10920</v>
      </c>
    </row>
    <row r="525" spans="1:3">
      <c r="A525" s="2663" t="s">
        <v>325</v>
      </c>
      <c r="B525" s="2664">
        <f>180+132</f>
        <v>312</v>
      </c>
      <c r="C525" s="2664">
        <v>13421</v>
      </c>
    </row>
    <row r="526" spans="1:3">
      <c r="A526" s="2663" t="s">
        <v>189</v>
      </c>
      <c r="B526" s="2664">
        <v>8664</v>
      </c>
      <c r="C526" s="2664">
        <v>17328</v>
      </c>
    </row>
    <row r="527" spans="1:3">
      <c r="A527" s="2663" t="s">
        <v>2156</v>
      </c>
      <c r="B527" s="2664">
        <v>24</v>
      </c>
      <c r="C527" s="2664">
        <v>179</v>
      </c>
    </row>
    <row r="528" spans="1:3">
      <c r="A528" s="2663" t="s">
        <v>326</v>
      </c>
      <c r="B528" s="2664">
        <v>72</v>
      </c>
      <c r="C528" s="2664">
        <v>848</v>
      </c>
    </row>
    <row r="529" spans="1:8">
      <c r="A529" s="2663" t="s">
        <v>188</v>
      </c>
      <c r="B529" s="2664">
        <v>630</v>
      </c>
      <c r="C529" s="2664">
        <v>1260</v>
      </c>
    </row>
    <row r="530" spans="1:8">
      <c r="A530" s="2663" t="s">
        <v>327</v>
      </c>
      <c r="B530" s="2664">
        <f>87+651</f>
        <v>738</v>
      </c>
      <c r="C530" s="2664">
        <v>4404</v>
      </c>
    </row>
    <row r="531" spans="1:8">
      <c r="A531" s="2663" t="s">
        <v>2116</v>
      </c>
      <c r="B531" s="2664">
        <v>49</v>
      </c>
      <c r="C531" s="2664">
        <v>125</v>
      </c>
    </row>
    <row r="532" spans="1:8">
      <c r="A532" s="2663" t="s">
        <v>1826</v>
      </c>
      <c r="B532" s="2664">
        <v>87</v>
      </c>
      <c r="C532" s="2664">
        <v>1218</v>
      </c>
    </row>
    <row r="533" spans="1:8">
      <c r="A533" s="2671" t="s">
        <v>71</v>
      </c>
      <c r="B533" s="2672">
        <f>SUM(B508:B532)</f>
        <v>205482</v>
      </c>
      <c r="C533" s="2673">
        <f>SUM(C508:C532)</f>
        <v>314955</v>
      </c>
      <c r="D533" s="2304" t="s">
        <v>2157</v>
      </c>
    </row>
    <row r="534" spans="1:8">
      <c r="A534" s="75" t="s">
        <v>328</v>
      </c>
    </row>
    <row r="538" spans="1:8" ht="15.75">
      <c r="A538" s="5453" t="s">
        <v>2170</v>
      </c>
      <c r="B538" s="5416"/>
      <c r="C538" s="5454"/>
      <c r="E538" s="5453" t="s">
        <v>2171</v>
      </c>
      <c r="F538" s="5416"/>
      <c r="G538" s="5416"/>
      <c r="H538" s="5454"/>
    </row>
    <row r="539" spans="1:8">
      <c r="A539" s="5531" t="s">
        <v>317</v>
      </c>
      <c r="B539" s="5532"/>
      <c r="C539" s="5533"/>
      <c r="E539" s="5442" t="s">
        <v>319</v>
      </c>
      <c r="F539" s="2729" t="s">
        <v>320</v>
      </c>
      <c r="G539" s="2730" t="s">
        <v>185</v>
      </c>
      <c r="H539" s="2731"/>
    </row>
    <row r="540" spans="1:8">
      <c r="A540" s="5463" t="s">
        <v>184</v>
      </c>
      <c r="B540" s="5464" t="s">
        <v>2084</v>
      </c>
      <c r="C540" s="5464" t="s">
        <v>2085</v>
      </c>
      <c r="E540" s="5463"/>
      <c r="F540" s="2682"/>
      <c r="G540" s="2682" t="s">
        <v>1822</v>
      </c>
      <c r="H540" s="2682" t="s">
        <v>1823</v>
      </c>
    </row>
    <row r="541" spans="1:8">
      <c r="A541" s="5463"/>
      <c r="B541" s="5444"/>
      <c r="C541" s="5444"/>
      <c r="E541" s="82"/>
      <c r="F541" s="82"/>
      <c r="G541" s="82"/>
      <c r="H541" s="718"/>
    </row>
    <row r="542" spans="1:8">
      <c r="A542" s="82"/>
      <c r="B542" s="82"/>
      <c r="C542" s="82"/>
      <c r="E542" s="2726" t="s">
        <v>2160</v>
      </c>
      <c r="F542" s="2660" t="s">
        <v>2144</v>
      </c>
      <c r="G542" s="2661">
        <v>1256</v>
      </c>
      <c r="H542" s="2661">
        <v>11361</v>
      </c>
    </row>
    <row r="543" spans="1:8">
      <c r="A543" s="2726" t="s">
        <v>187</v>
      </c>
      <c r="B543" s="2664">
        <f>3+3+1+2</f>
        <v>9</v>
      </c>
      <c r="C543" s="2664">
        <f>74+193+18+30+42</f>
        <v>357</v>
      </c>
      <c r="E543" s="2726" t="s">
        <v>862</v>
      </c>
      <c r="F543" s="2664" t="s">
        <v>2146</v>
      </c>
      <c r="G543" s="2664">
        <v>2658</v>
      </c>
      <c r="H543" s="2664">
        <v>3040</v>
      </c>
    </row>
    <row r="544" spans="1:8">
      <c r="A544" s="2726" t="s">
        <v>186</v>
      </c>
      <c r="B544" s="2664">
        <v>10</v>
      </c>
      <c r="C544" s="2664">
        <v>912</v>
      </c>
      <c r="E544" s="2726" t="s">
        <v>863</v>
      </c>
      <c r="F544" s="2664" t="s">
        <v>2147</v>
      </c>
      <c r="G544" s="2664">
        <v>2052</v>
      </c>
      <c r="H544" s="2664">
        <v>3040</v>
      </c>
    </row>
    <row r="545" spans="1:8">
      <c r="A545" s="2726" t="s">
        <v>1896</v>
      </c>
      <c r="B545" s="2664">
        <v>1</v>
      </c>
      <c r="C545" s="2664">
        <v>18</v>
      </c>
      <c r="E545" s="2726" t="s">
        <v>864</v>
      </c>
      <c r="F545" s="2664" t="s">
        <v>2144</v>
      </c>
      <c r="G545" s="2664">
        <v>866</v>
      </c>
      <c r="H545" s="2664">
        <v>2764</v>
      </c>
    </row>
    <row r="546" spans="1:8">
      <c r="A546" s="2726" t="s">
        <v>2161</v>
      </c>
      <c r="B546" s="2664">
        <v>1</v>
      </c>
      <c r="C546" s="2664">
        <v>478</v>
      </c>
      <c r="E546" s="82"/>
      <c r="F546" s="82"/>
      <c r="G546" s="2727"/>
      <c r="H546" s="718"/>
    </row>
    <row r="547" spans="1:8">
      <c r="A547" s="2726" t="s">
        <v>2162</v>
      </c>
      <c r="B547" s="2660">
        <f>1+1</f>
        <v>2</v>
      </c>
      <c r="C547" s="2661">
        <f>49+64</f>
        <v>113</v>
      </c>
      <c r="E547" s="2671" t="s">
        <v>71</v>
      </c>
      <c r="F547" s="2672">
        <v>10</v>
      </c>
      <c r="G547" s="2673">
        <f>SUM(G542:G546)</f>
        <v>6832</v>
      </c>
      <c r="H547" s="2673">
        <f>SUM(H542:H546)</f>
        <v>20205</v>
      </c>
    </row>
    <row r="548" spans="1:8">
      <c r="A548" s="2726" t="s">
        <v>2163</v>
      </c>
      <c r="B548" s="2664">
        <v>1</v>
      </c>
      <c r="C548" s="2664">
        <v>26</v>
      </c>
      <c r="E548" s="1"/>
      <c r="F548" s="1"/>
      <c r="G548" s="1"/>
      <c r="H548" s="1"/>
    </row>
    <row r="549" spans="1:8">
      <c r="A549" s="2726" t="s">
        <v>2164</v>
      </c>
      <c r="B549" s="2664">
        <v>1</v>
      </c>
      <c r="C549" s="2664">
        <v>16</v>
      </c>
      <c r="D549" s="1"/>
      <c r="E549" s="1"/>
      <c r="F549" s="1"/>
      <c r="G549" s="1"/>
    </row>
    <row r="550" spans="1:8">
      <c r="A550" s="2726" t="s">
        <v>2041</v>
      </c>
      <c r="B550" s="2664">
        <v>3</v>
      </c>
      <c r="C550" s="2664">
        <f>29+20+34</f>
        <v>83</v>
      </c>
      <c r="D550" s="1"/>
      <c r="E550" s="1"/>
      <c r="F550" s="1"/>
      <c r="G550" s="1"/>
    </row>
    <row r="551" spans="1:8">
      <c r="A551" s="2726" t="s">
        <v>2123</v>
      </c>
      <c r="B551" s="2664">
        <v>1</v>
      </c>
      <c r="C551" s="2664">
        <v>21</v>
      </c>
      <c r="D551" s="1"/>
      <c r="E551" s="1"/>
      <c r="F551" s="1"/>
      <c r="G551" s="1"/>
    </row>
    <row r="552" spans="1:8">
      <c r="A552" s="2726" t="s">
        <v>321</v>
      </c>
      <c r="B552" s="2664">
        <v>13</v>
      </c>
      <c r="C552" s="2664">
        <f>5407+75+580</f>
        <v>6062</v>
      </c>
      <c r="D552" s="1"/>
      <c r="E552" s="1"/>
      <c r="F552" s="1"/>
      <c r="G552" s="1"/>
    </row>
    <row r="553" spans="1:8">
      <c r="A553" s="2726" t="s">
        <v>2165</v>
      </c>
      <c r="B553" s="2664">
        <v>1</v>
      </c>
      <c r="C553" s="2664">
        <v>219</v>
      </c>
      <c r="D553" s="1"/>
      <c r="E553" s="1"/>
      <c r="F553" s="1"/>
      <c r="G553" s="1"/>
    </row>
    <row r="554" spans="1:8">
      <c r="A554" s="2726" t="s">
        <v>322</v>
      </c>
      <c r="B554" s="2664">
        <v>7</v>
      </c>
      <c r="C554" s="2664">
        <f>3285+838</f>
        <v>4123</v>
      </c>
      <c r="D554" s="1"/>
      <c r="E554" s="1"/>
      <c r="F554" s="1"/>
      <c r="G554" s="1"/>
    </row>
    <row r="555" spans="1:8">
      <c r="A555" s="2726" t="s">
        <v>2047</v>
      </c>
      <c r="B555" s="2664">
        <v>1</v>
      </c>
      <c r="C555" s="2664">
        <v>500</v>
      </c>
      <c r="D555" s="1"/>
      <c r="E555" s="1"/>
      <c r="F555" s="1"/>
      <c r="G555" s="1"/>
    </row>
    <row r="556" spans="1:8">
      <c r="A556" s="2726" t="s">
        <v>2166</v>
      </c>
      <c r="B556" s="2664">
        <v>3</v>
      </c>
      <c r="C556" s="2664">
        <f>56+46+22</f>
        <v>124</v>
      </c>
      <c r="D556" s="1"/>
      <c r="E556" s="1"/>
      <c r="F556" s="1"/>
      <c r="G556" s="1"/>
    </row>
    <row r="557" spans="1:8">
      <c r="A557" s="2726" t="s">
        <v>189</v>
      </c>
      <c r="B557" s="2664">
        <v>2</v>
      </c>
      <c r="C557" s="2664">
        <v>115</v>
      </c>
      <c r="D557" s="1"/>
      <c r="E557" s="1"/>
      <c r="F557" s="1"/>
      <c r="G557" s="1"/>
    </row>
    <row r="558" spans="1:8">
      <c r="A558" s="2726" t="s">
        <v>188</v>
      </c>
      <c r="B558" s="2664">
        <v>3</v>
      </c>
      <c r="C558" s="2664">
        <v>168</v>
      </c>
      <c r="D558" s="1"/>
      <c r="E558" s="1"/>
      <c r="F558" s="1"/>
      <c r="G558" s="1"/>
    </row>
    <row r="559" spans="1:8">
      <c r="A559" s="2726" t="s">
        <v>327</v>
      </c>
      <c r="B559" s="2664">
        <f>1+2+1+1</f>
        <v>5</v>
      </c>
      <c r="C559" s="2664">
        <f>18+30+24+32</f>
        <v>104</v>
      </c>
      <c r="D559" s="1"/>
      <c r="E559" s="1"/>
      <c r="F559" s="1"/>
      <c r="G559" s="1"/>
    </row>
    <row r="560" spans="1:8">
      <c r="A560" s="2726" t="s">
        <v>2167</v>
      </c>
      <c r="B560" s="2664">
        <v>3</v>
      </c>
      <c r="C560" s="2664">
        <v>834</v>
      </c>
      <c r="D560" s="1"/>
      <c r="E560" s="1"/>
      <c r="F560" s="1"/>
      <c r="G560" s="1"/>
    </row>
    <row r="561" spans="1:7">
      <c r="A561" s="2726" t="s">
        <v>2116</v>
      </c>
      <c r="B561" s="2664">
        <f>4+2</f>
        <v>6</v>
      </c>
      <c r="C561" s="2664">
        <f>98+80+172</f>
        <v>350</v>
      </c>
      <c r="D561" s="1"/>
      <c r="E561" s="1"/>
      <c r="F561" s="1"/>
      <c r="G561" s="1"/>
    </row>
    <row r="562" spans="1:7">
      <c r="A562" s="82"/>
      <c r="B562" s="82"/>
      <c r="C562" s="2727"/>
      <c r="D562" s="78"/>
      <c r="E562" s="1"/>
      <c r="F562" s="1"/>
      <c r="G562" s="1"/>
    </row>
    <row r="563" spans="1:7">
      <c r="A563" s="2671" t="s">
        <v>71</v>
      </c>
      <c r="B563" s="2672">
        <f>SUM(B543:B562)</f>
        <v>73</v>
      </c>
      <c r="C563" s="2672">
        <f>SUM(C543:C562)</f>
        <v>14623</v>
      </c>
      <c r="D563" s="1"/>
      <c r="E563" s="1"/>
      <c r="F563" s="1"/>
      <c r="G563" s="1"/>
    </row>
    <row r="564" spans="1:7">
      <c r="A564" s="2728" t="s">
        <v>328</v>
      </c>
      <c r="B564" s="1"/>
      <c r="C564" s="1"/>
      <c r="D564" s="1"/>
      <c r="E564" s="1"/>
      <c r="F564" s="1"/>
      <c r="G564" s="1"/>
    </row>
    <row r="565" spans="1:7">
      <c r="A565" s="1"/>
      <c r="B565" s="237"/>
      <c r="C565" s="237"/>
      <c r="D565" s="1"/>
      <c r="E565" s="1"/>
      <c r="F565" s="1"/>
      <c r="G565" s="1"/>
    </row>
    <row r="566" spans="1:7" ht="15.75">
      <c r="A566" s="5453" t="s">
        <v>2170</v>
      </c>
      <c r="B566" s="5416"/>
      <c r="C566" s="5454"/>
    </row>
    <row r="567" spans="1:7">
      <c r="A567" s="5531" t="s">
        <v>318</v>
      </c>
      <c r="B567" s="5532"/>
      <c r="C567" s="5533"/>
    </row>
    <row r="568" spans="1:7">
      <c r="A568" s="5463" t="s">
        <v>319</v>
      </c>
      <c r="B568" s="5464" t="s">
        <v>2102</v>
      </c>
      <c r="C568" s="5464" t="s">
        <v>183</v>
      </c>
    </row>
    <row r="569" spans="1:7">
      <c r="A569" s="5463"/>
      <c r="B569" s="5444"/>
      <c r="C569" s="5444"/>
    </row>
    <row r="570" spans="1:7">
      <c r="A570" s="82"/>
      <c r="B570" s="82"/>
      <c r="C570" s="82"/>
    </row>
    <row r="571" spans="1:7">
      <c r="A571" s="2726" t="s">
        <v>187</v>
      </c>
      <c r="B571" s="2664">
        <f>500+49+63+20</f>
        <v>632</v>
      </c>
      <c r="C571" s="2664">
        <f>1000+98+126+40</f>
        <v>1264</v>
      </c>
    </row>
    <row r="572" spans="1:7">
      <c r="A572" s="2726" t="s">
        <v>2145</v>
      </c>
      <c r="B572" s="2664">
        <v>11</v>
      </c>
      <c r="C572" s="2664">
        <v>111</v>
      </c>
    </row>
    <row r="573" spans="1:7">
      <c r="A573" s="2726" t="s">
        <v>2053</v>
      </c>
      <c r="B573" s="2664">
        <f>250+432</f>
        <v>682</v>
      </c>
      <c r="C573" s="2664">
        <f>750+2592</f>
        <v>3342</v>
      </c>
    </row>
    <row r="574" spans="1:7">
      <c r="A574" s="2726" t="s">
        <v>2041</v>
      </c>
      <c r="B574" s="2664">
        <f>4+19</f>
        <v>23</v>
      </c>
      <c r="C574" s="2664">
        <v>92</v>
      </c>
    </row>
    <row r="575" spans="1:7">
      <c r="A575" s="2726" t="s">
        <v>2168</v>
      </c>
      <c r="B575" s="2664">
        <v>6187</v>
      </c>
      <c r="C575" s="2664">
        <v>6187</v>
      </c>
    </row>
    <row r="576" spans="1:7">
      <c r="A576" s="2726" t="s">
        <v>321</v>
      </c>
      <c r="B576" s="2664">
        <f>1915+500+5+23</f>
        <v>2443</v>
      </c>
      <c r="C576" s="2664">
        <v>27448</v>
      </c>
    </row>
    <row r="577" spans="1:3">
      <c r="A577" s="2726" t="s">
        <v>322</v>
      </c>
      <c r="B577" s="2664">
        <f>209+500+20+154+33+167+17</f>
        <v>1100</v>
      </c>
      <c r="C577" s="2664">
        <v>19363</v>
      </c>
    </row>
    <row r="578" spans="1:3">
      <c r="A578" s="2726" t="s">
        <v>323</v>
      </c>
      <c r="B578" s="2664">
        <f>19672+105600</f>
        <v>125272</v>
      </c>
      <c r="C578" s="2664">
        <f>19672+105600</f>
        <v>125272</v>
      </c>
    </row>
    <row r="579" spans="1:3">
      <c r="A579" s="2726" t="s">
        <v>2155</v>
      </c>
      <c r="B579" s="2664">
        <v>90</v>
      </c>
      <c r="C579" s="2664">
        <v>90</v>
      </c>
    </row>
    <row r="580" spans="1:3">
      <c r="A580" s="2726" t="s">
        <v>860</v>
      </c>
      <c r="B580" s="2664">
        <v>3000</v>
      </c>
      <c r="C580" s="2664">
        <v>9000</v>
      </c>
    </row>
    <row r="581" spans="1:3">
      <c r="A581" s="2726" t="s">
        <v>1899</v>
      </c>
      <c r="B581" s="2664">
        <v>360</v>
      </c>
      <c r="C581" s="2664">
        <v>360</v>
      </c>
    </row>
    <row r="582" spans="1:3">
      <c r="A582" s="2726" t="s">
        <v>324</v>
      </c>
      <c r="B582" s="2664">
        <v>11000</v>
      </c>
      <c r="C582" s="2664">
        <v>11000</v>
      </c>
    </row>
    <row r="583" spans="1:3">
      <c r="A583" s="2726" t="s">
        <v>578</v>
      </c>
      <c r="B583" s="2660">
        <v>154</v>
      </c>
      <c r="C583" s="2661">
        <v>154</v>
      </c>
    </row>
    <row r="584" spans="1:3">
      <c r="A584" s="2726" t="s">
        <v>325</v>
      </c>
      <c r="B584" s="2664">
        <v>1357</v>
      </c>
      <c r="C584" s="2664">
        <v>1357</v>
      </c>
    </row>
    <row r="585" spans="1:3">
      <c r="A585" s="2726" t="s">
        <v>189</v>
      </c>
      <c r="B585" s="2664">
        <v>8815</v>
      </c>
      <c r="C585" s="2664">
        <v>17630</v>
      </c>
    </row>
    <row r="586" spans="1:3">
      <c r="A586" s="2726" t="s">
        <v>326</v>
      </c>
      <c r="B586" s="2664">
        <v>186</v>
      </c>
      <c r="C586" s="2664">
        <v>186</v>
      </c>
    </row>
    <row r="587" spans="1:3">
      <c r="A587" s="2726" t="s">
        <v>188</v>
      </c>
      <c r="B587" s="2664">
        <v>603</v>
      </c>
      <c r="C587" s="2664">
        <v>1206</v>
      </c>
    </row>
    <row r="588" spans="1:3">
      <c r="A588" s="2726" t="s">
        <v>327</v>
      </c>
      <c r="B588" s="2664">
        <v>2687</v>
      </c>
      <c r="C588" s="2664">
        <f>150+4000+508+550+166</f>
        <v>5374</v>
      </c>
    </row>
    <row r="589" spans="1:3">
      <c r="A589" s="2726" t="s">
        <v>2169</v>
      </c>
      <c r="B589" s="2664">
        <v>250</v>
      </c>
      <c r="C589" s="2664">
        <v>3250</v>
      </c>
    </row>
    <row r="590" spans="1:3">
      <c r="A590" s="2726" t="s">
        <v>2116</v>
      </c>
      <c r="B590" s="2664">
        <v>63</v>
      </c>
      <c r="C590" s="2664">
        <v>252</v>
      </c>
    </row>
    <row r="591" spans="1:3">
      <c r="A591" s="2726" t="s">
        <v>1826</v>
      </c>
      <c r="B591" s="2664">
        <v>118</v>
      </c>
      <c r="C591" s="2664">
        <v>118</v>
      </c>
    </row>
    <row r="592" spans="1:3">
      <c r="A592" s="82"/>
      <c r="B592" s="82"/>
      <c r="C592" s="2727"/>
    </row>
    <row r="593" spans="1:3">
      <c r="A593" s="2671" t="s">
        <v>71</v>
      </c>
      <c r="B593" s="2672">
        <f>SUM(B571:B592)</f>
        <v>165033</v>
      </c>
      <c r="C593" s="2673">
        <f>SUM(C571:C592)</f>
        <v>233056</v>
      </c>
    </row>
    <row r="594" spans="1:3">
      <c r="A594" s="2728" t="s">
        <v>328</v>
      </c>
    </row>
  </sheetData>
  <mergeCells count="181">
    <mergeCell ref="A31:C31"/>
    <mergeCell ref="A32:C32"/>
    <mergeCell ref="A33:A34"/>
    <mergeCell ref="B33:B34"/>
    <mergeCell ref="C33:C34"/>
    <mergeCell ref="E26:E27"/>
    <mergeCell ref="A4:C4"/>
    <mergeCell ref="E4:H4"/>
    <mergeCell ref="A5:C5"/>
    <mergeCell ref="E5:E6"/>
    <mergeCell ref="F5:F6"/>
    <mergeCell ref="G5:H5"/>
    <mergeCell ref="A6:A7"/>
    <mergeCell ref="B6:B7"/>
    <mergeCell ref="C6:C7"/>
    <mergeCell ref="A93:C93"/>
    <mergeCell ref="A94:A95"/>
    <mergeCell ref="B94:B95"/>
    <mergeCell ref="C94:C95"/>
    <mergeCell ref="E64:H64"/>
    <mergeCell ref="E65:E66"/>
    <mergeCell ref="F65:F66"/>
    <mergeCell ref="G65:H65"/>
    <mergeCell ref="E87:E88"/>
    <mergeCell ref="F87:F88"/>
    <mergeCell ref="H68:H69"/>
    <mergeCell ref="A566:C566"/>
    <mergeCell ref="A567:C567"/>
    <mergeCell ref="A568:A569"/>
    <mergeCell ref="B568:B569"/>
    <mergeCell ref="C568:C569"/>
    <mergeCell ref="A539:C539"/>
    <mergeCell ref="E539:E540"/>
    <mergeCell ref="A540:A541"/>
    <mergeCell ref="B540:B541"/>
    <mergeCell ref="C540:C541"/>
    <mergeCell ref="E538:H538"/>
    <mergeCell ref="A504:C504"/>
    <mergeCell ref="A505:A506"/>
    <mergeCell ref="B505:B506"/>
    <mergeCell ref="C505:C506"/>
    <mergeCell ref="A538:C538"/>
    <mergeCell ref="E475:E476"/>
    <mergeCell ref="F475:F476"/>
    <mergeCell ref="G475:G476"/>
    <mergeCell ref="H475:H476"/>
    <mergeCell ref="A503:C503"/>
    <mergeCell ref="A470:C470"/>
    <mergeCell ref="E470:H470"/>
    <mergeCell ref="A471:C471"/>
    <mergeCell ref="E471:E472"/>
    <mergeCell ref="F471:F472"/>
    <mergeCell ref="G471:H471"/>
    <mergeCell ref="A472:A473"/>
    <mergeCell ref="B472:B473"/>
    <mergeCell ref="C472:C473"/>
    <mergeCell ref="A430:C430"/>
    <mergeCell ref="A432:C432"/>
    <mergeCell ref="A433:C433"/>
    <mergeCell ref="A465:C465"/>
    <mergeCell ref="A466:C466"/>
    <mergeCell ref="E422:E423"/>
    <mergeCell ref="G422:G423"/>
    <mergeCell ref="H422:H423"/>
    <mergeCell ref="E424:E426"/>
    <mergeCell ref="G424:G426"/>
    <mergeCell ref="H424:H426"/>
    <mergeCell ref="F412:F413"/>
    <mergeCell ref="G412:G421"/>
    <mergeCell ref="H412:H421"/>
    <mergeCell ref="E413:E421"/>
    <mergeCell ref="F414:F421"/>
    <mergeCell ref="A399:C399"/>
    <mergeCell ref="E399:E400"/>
    <mergeCell ref="F399:F400"/>
    <mergeCell ref="G399:H399"/>
    <mergeCell ref="F401:F402"/>
    <mergeCell ref="G401:G411"/>
    <mergeCell ref="H401:H411"/>
    <mergeCell ref="E402:E405"/>
    <mergeCell ref="F403:F411"/>
    <mergeCell ref="E406:E411"/>
    <mergeCell ref="E351:E352"/>
    <mergeCell ref="A354:C354"/>
    <mergeCell ref="A356:C356"/>
    <mergeCell ref="A357:C357"/>
    <mergeCell ref="A398:C398"/>
    <mergeCell ref="E398:H398"/>
    <mergeCell ref="E340:E341"/>
    <mergeCell ref="G340:G341"/>
    <mergeCell ref="H340:H341"/>
    <mergeCell ref="E342:E344"/>
    <mergeCell ref="G342:G344"/>
    <mergeCell ref="H342:H344"/>
    <mergeCell ref="A327:C327"/>
    <mergeCell ref="E327:E328"/>
    <mergeCell ref="F327:F328"/>
    <mergeCell ref="G327:H327"/>
    <mergeCell ref="F329:F330"/>
    <mergeCell ref="G329:G339"/>
    <mergeCell ref="H329:H339"/>
    <mergeCell ref="E330:E333"/>
    <mergeCell ref="F331:F339"/>
    <mergeCell ref="E334:E339"/>
    <mergeCell ref="A291:A292"/>
    <mergeCell ref="B291:B292"/>
    <mergeCell ref="C291:C292"/>
    <mergeCell ref="A326:C326"/>
    <mergeCell ref="E326:H326"/>
    <mergeCell ref="H283:H285"/>
    <mergeCell ref="A287:C287"/>
    <mergeCell ref="A289:C289"/>
    <mergeCell ref="E289:E290"/>
    <mergeCell ref="A290:C290"/>
    <mergeCell ref="E277:E278"/>
    <mergeCell ref="E280:E281"/>
    <mergeCell ref="E283:E285"/>
    <mergeCell ref="F283:F285"/>
    <mergeCell ref="G283:G285"/>
    <mergeCell ref="F268:F271"/>
    <mergeCell ref="G268:G271"/>
    <mergeCell ref="H268:H271"/>
    <mergeCell ref="E269:E271"/>
    <mergeCell ref="F272:F276"/>
    <mergeCell ref="G272:G276"/>
    <mergeCell ref="H272:H276"/>
    <mergeCell ref="E273:E276"/>
    <mergeCell ref="A264:C264"/>
    <mergeCell ref="E264:H264"/>
    <mergeCell ref="A265:C265"/>
    <mergeCell ref="E265:E266"/>
    <mergeCell ref="F265:F266"/>
    <mergeCell ref="G265:H265"/>
    <mergeCell ref="A266:A267"/>
    <mergeCell ref="B266:B267"/>
    <mergeCell ref="C266:C267"/>
    <mergeCell ref="E221:E222"/>
    <mergeCell ref="A227:C227"/>
    <mergeCell ref="A228:C228"/>
    <mergeCell ref="A229:A230"/>
    <mergeCell ref="B229:B230"/>
    <mergeCell ref="C229:C230"/>
    <mergeCell ref="E203:E204"/>
    <mergeCell ref="E206:E208"/>
    <mergeCell ref="F206:F208"/>
    <mergeCell ref="G206:G208"/>
    <mergeCell ref="H206:H208"/>
    <mergeCell ref="A197:C197"/>
    <mergeCell ref="E197:H197"/>
    <mergeCell ref="A198:C198"/>
    <mergeCell ref="E198:E199"/>
    <mergeCell ref="F198:F199"/>
    <mergeCell ref="G198:H198"/>
    <mergeCell ref="A199:A200"/>
    <mergeCell ref="B199:B200"/>
    <mergeCell ref="C199:C200"/>
    <mergeCell ref="E200:E201"/>
    <mergeCell ref="E147:E148"/>
    <mergeCell ref="A153:C153"/>
    <mergeCell ref="A154:C154"/>
    <mergeCell ref="A155:A156"/>
    <mergeCell ref="B155:B156"/>
    <mergeCell ref="C155:C156"/>
    <mergeCell ref="E1:G1"/>
    <mergeCell ref="A2:C2"/>
    <mergeCell ref="A125:C125"/>
    <mergeCell ref="E125:H125"/>
    <mergeCell ref="A126:C126"/>
    <mergeCell ref="E126:E127"/>
    <mergeCell ref="F126:F127"/>
    <mergeCell ref="G126:H126"/>
    <mergeCell ref="A127:A128"/>
    <mergeCell ref="B127:B128"/>
    <mergeCell ref="C127:C128"/>
    <mergeCell ref="F147:F148"/>
    <mergeCell ref="A64:C64"/>
    <mergeCell ref="A65:C65"/>
    <mergeCell ref="A66:A67"/>
    <mergeCell ref="B66:B67"/>
    <mergeCell ref="C66:C67"/>
    <mergeCell ref="A92:C92"/>
  </mergeCells>
  <printOptions horizontalCentered="1"/>
  <pageMargins left="0.19685039370078741" right="0.19685039370078741" top="0.19685039370078741" bottom="0.31496062992125984" header="0.15748031496062992"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sheetPr>
    <tabColor theme="7" tint="-0.499984740745262"/>
    <pageSetUpPr fitToPage="1"/>
  </sheetPr>
  <dimension ref="B2:K236"/>
  <sheetViews>
    <sheetView showGridLines="0" workbookViewId="0"/>
  </sheetViews>
  <sheetFormatPr baseColWidth="10" defaultRowHeight="18" customHeight="1"/>
  <cols>
    <col min="1" max="1" width="11.42578125" style="197"/>
    <col min="2" max="2" width="55.28515625" style="197" bestFit="1" customWidth="1"/>
    <col min="3" max="3" width="9.7109375" style="197" customWidth="1"/>
    <col min="4" max="4" width="13.42578125" style="197" bestFit="1" customWidth="1"/>
    <col min="5" max="5" width="9.7109375" style="197" customWidth="1"/>
    <col min="6" max="6" width="5.7109375" style="197" customWidth="1"/>
    <col min="7" max="7" width="55.7109375" style="197" customWidth="1"/>
    <col min="8" max="8" width="9.7109375" style="197" customWidth="1"/>
    <col min="9" max="9" width="13.42578125" style="197" bestFit="1" customWidth="1"/>
    <col min="10" max="10" width="9.7109375" style="197" customWidth="1"/>
    <col min="11" max="11" width="11.42578125" style="197" customWidth="1"/>
    <col min="12" max="16384" width="11.42578125" style="197"/>
  </cols>
  <sheetData>
    <row r="2" spans="2:11" ht="36" customHeight="1">
      <c r="B2" s="5559" t="s">
        <v>2862</v>
      </c>
      <c r="C2" s="5559"/>
      <c r="D2" s="5559"/>
      <c r="E2" s="5559"/>
    </row>
    <row r="3" spans="2:11" ht="18" customHeight="1">
      <c r="B3" s="368"/>
    </row>
    <row r="4" spans="2:11" ht="52.5" customHeight="1">
      <c r="B4" s="5565" t="s">
        <v>689</v>
      </c>
      <c r="C4" s="5565"/>
      <c r="D4" s="5565"/>
      <c r="E4" s="5565"/>
      <c r="F4" s="236"/>
      <c r="G4" s="236"/>
      <c r="H4" s="236"/>
      <c r="I4" s="236"/>
      <c r="J4" s="236"/>
      <c r="K4" s="233"/>
    </row>
    <row r="5" spans="2:11" ht="15">
      <c r="B5" s="140"/>
      <c r="C5" s="140"/>
      <c r="D5" s="140"/>
      <c r="E5" s="140"/>
      <c r="F5" s="236"/>
      <c r="G5" s="236"/>
      <c r="H5" s="236"/>
      <c r="I5" s="236"/>
      <c r="J5" s="236"/>
      <c r="K5" s="233"/>
    </row>
    <row r="6" spans="2:11" ht="15.75">
      <c r="B6" s="5575" t="s">
        <v>2870</v>
      </c>
      <c r="C6" s="5575"/>
      <c r="D6" s="5575"/>
      <c r="E6" s="5575"/>
      <c r="F6" s="236"/>
      <c r="G6" s="236"/>
      <c r="H6" s="236"/>
      <c r="I6" s="236"/>
      <c r="J6" s="236"/>
      <c r="K6" s="233"/>
    </row>
    <row r="7" spans="2:11" ht="30.75" thickBot="1">
      <c r="B7" s="3532" t="s">
        <v>88</v>
      </c>
      <c r="C7" s="4085" t="s">
        <v>89</v>
      </c>
      <c r="D7" s="4085" t="s">
        <v>654</v>
      </c>
      <c r="E7" s="4085" t="s">
        <v>90</v>
      </c>
      <c r="F7" s="236"/>
      <c r="G7" s="236"/>
      <c r="H7" s="236"/>
      <c r="I7" s="236"/>
      <c r="J7" s="236"/>
      <c r="K7" s="233"/>
    </row>
    <row r="8" spans="2:11" ht="20.100000000000001" customHeight="1">
      <c r="B8" s="4065" t="s">
        <v>153</v>
      </c>
      <c r="C8" s="4064">
        <v>1</v>
      </c>
      <c r="D8" s="4064">
        <v>2</v>
      </c>
      <c r="E8" s="4086">
        <v>155</v>
      </c>
      <c r="F8" s="236"/>
      <c r="G8" s="236"/>
      <c r="H8" s="236"/>
      <c r="I8" s="236"/>
      <c r="J8" s="236"/>
      <c r="K8" s="233"/>
    </row>
    <row r="9" spans="2:11" ht="30">
      <c r="B9" s="4067" t="s">
        <v>1960</v>
      </c>
      <c r="C9" s="4066">
        <v>2</v>
      </c>
      <c r="D9" s="4066">
        <v>18</v>
      </c>
      <c r="E9" s="4087">
        <v>670</v>
      </c>
      <c r="F9" s="236"/>
      <c r="G9" s="236"/>
      <c r="H9" s="236"/>
      <c r="I9" s="236"/>
      <c r="J9" s="236"/>
      <c r="K9" s="233"/>
    </row>
    <row r="10" spans="2:11" ht="20.100000000000001" customHeight="1">
      <c r="B10" s="4067" t="s">
        <v>155</v>
      </c>
      <c r="C10" s="4066">
        <v>3</v>
      </c>
      <c r="D10" s="4066">
        <v>32</v>
      </c>
      <c r="E10" s="4087">
        <v>882</v>
      </c>
      <c r="F10" s="236"/>
      <c r="G10" s="236"/>
      <c r="H10" s="236"/>
      <c r="I10" s="236"/>
      <c r="J10" s="236"/>
      <c r="K10" s="233"/>
    </row>
    <row r="11" spans="2:11" ht="20.100000000000001" customHeight="1">
      <c r="B11" s="4067" t="s">
        <v>96</v>
      </c>
      <c r="C11" s="4066">
        <v>4</v>
      </c>
      <c r="D11" s="4066">
        <v>34</v>
      </c>
      <c r="E11" s="4087">
        <v>935</v>
      </c>
      <c r="F11" s="236"/>
      <c r="G11" s="236"/>
      <c r="H11" s="236"/>
      <c r="I11" s="236"/>
      <c r="J11" s="236"/>
      <c r="K11" s="233"/>
    </row>
    <row r="12" spans="2:11" ht="20.100000000000001" customHeight="1">
      <c r="B12" s="4069" t="s">
        <v>95</v>
      </c>
      <c r="C12" s="4068">
        <v>5</v>
      </c>
      <c r="D12" s="4068">
        <v>35</v>
      </c>
      <c r="E12" s="4089">
        <v>990</v>
      </c>
      <c r="F12" s="236"/>
      <c r="G12" s="236"/>
      <c r="H12" s="236"/>
      <c r="I12" s="236"/>
      <c r="J12" s="236"/>
      <c r="K12" s="233"/>
    </row>
    <row r="13" spans="2:11" ht="20.100000000000001" customHeight="1">
      <c r="B13" s="4067" t="s">
        <v>655</v>
      </c>
      <c r="C13" s="4066">
        <v>6</v>
      </c>
      <c r="D13" s="4066">
        <v>46</v>
      </c>
      <c r="E13" s="4087">
        <v>1132</v>
      </c>
      <c r="F13" s="236"/>
      <c r="G13" s="236"/>
      <c r="H13" s="236"/>
      <c r="I13" s="236"/>
      <c r="J13" s="236"/>
      <c r="K13" s="233"/>
    </row>
    <row r="14" spans="2:11" ht="20.100000000000001" customHeight="1">
      <c r="B14" s="4067" t="s">
        <v>158</v>
      </c>
      <c r="C14" s="4066">
        <v>7</v>
      </c>
      <c r="D14" s="4066">
        <v>50</v>
      </c>
      <c r="E14" s="4087">
        <v>1161</v>
      </c>
      <c r="F14" s="236"/>
      <c r="G14" s="236"/>
      <c r="H14" s="236"/>
      <c r="I14" s="236"/>
      <c r="J14" s="236"/>
      <c r="K14" s="233"/>
    </row>
    <row r="15" spans="2:11" ht="20.100000000000001" customHeight="1">
      <c r="B15" s="4067" t="s">
        <v>1961</v>
      </c>
      <c r="C15" s="4066">
        <v>8</v>
      </c>
      <c r="D15" s="4066">
        <v>61</v>
      </c>
      <c r="E15" s="4066">
        <v>1393</v>
      </c>
      <c r="F15" s="236"/>
      <c r="G15" s="236"/>
      <c r="H15" s="236"/>
      <c r="I15" s="236"/>
      <c r="J15" s="236"/>
      <c r="K15" s="233"/>
    </row>
    <row r="16" spans="2:11" ht="20.100000000000001" customHeight="1">
      <c r="B16" s="4067" t="s">
        <v>553</v>
      </c>
      <c r="C16" s="4066">
        <v>9</v>
      </c>
      <c r="D16" s="4066">
        <v>65</v>
      </c>
      <c r="E16" s="4087">
        <v>1463</v>
      </c>
      <c r="F16" s="236"/>
      <c r="G16" s="236"/>
      <c r="H16" s="236"/>
      <c r="I16" s="236"/>
      <c r="J16" s="236"/>
      <c r="K16" s="233"/>
    </row>
    <row r="17" spans="2:11" ht="20.100000000000001" customHeight="1">
      <c r="B17" s="4067" t="s">
        <v>343</v>
      </c>
      <c r="C17" s="4066">
        <v>10</v>
      </c>
      <c r="D17" s="4066">
        <v>68</v>
      </c>
      <c r="E17" s="4087">
        <v>1519</v>
      </c>
      <c r="F17" s="236"/>
      <c r="G17" s="236"/>
      <c r="H17" s="236"/>
      <c r="I17" s="236"/>
      <c r="J17" s="236"/>
      <c r="K17" s="233"/>
    </row>
    <row r="18" spans="2:11" ht="20.100000000000001" customHeight="1">
      <c r="B18" s="4067" t="s">
        <v>735</v>
      </c>
      <c r="C18" s="4066">
        <v>11</v>
      </c>
      <c r="D18" s="4066">
        <v>69</v>
      </c>
      <c r="E18" s="4087">
        <v>1562</v>
      </c>
      <c r="F18" s="236"/>
      <c r="G18" s="236"/>
      <c r="H18" s="236"/>
      <c r="I18" s="236"/>
      <c r="J18" s="236"/>
      <c r="K18" s="233"/>
    </row>
    <row r="19" spans="2:11" ht="20.100000000000001" customHeight="1">
      <c r="B19" s="4067" t="s">
        <v>736</v>
      </c>
      <c r="C19" s="4066">
        <v>12</v>
      </c>
      <c r="D19" s="4066">
        <v>78</v>
      </c>
      <c r="E19" s="4087">
        <v>1664</v>
      </c>
      <c r="F19" s="236"/>
      <c r="G19" s="236"/>
      <c r="H19" s="236"/>
      <c r="I19" s="236"/>
      <c r="J19" s="236"/>
      <c r="K19" s="233"/>
    </row>
    <row r="20" spans="2:11" ht="20.100000000000001" customHeight="1">
      <c r="B20" s="4067" t="s">
        <v>552</v>
      </c>
      <c r="C20" s="4066">
        <v>13</v>
      </c>
      <c r="D20" s="4066">
        <v>80</v>
      </c>
      <c r="E20" s="4066">
        <v>1693</v>
      </c>
      <c r="F20" s="236"/>
      <c r="G20" s="236"/>
      <c r="H20" s="236"/>
      <c r="I20" s="236"/>
      <c r="J20" s="236"/>
      <c r="K20" s="233"/>
    </row>
    <row r="21" spans="2:11" ht="20.100000000000001" customHeight="1">
      <c r="B21" s="4067" t="s">
        <v>342</v>
      </c>
      <c r="C21" s="4066">
        <v>14</v>
      </c>
      <c r="D21" s="4066">
        <v>85</v>
      </c>
      <c r="E21" s="4066">
        <v>1730</v>
      </c>
      <c r="F21" s="236"/>
      <c r="G21" s="236"/>
      <c r="H21" s="236"/>
      <c r="I21" s="236"/>
      <c r="J21" s="236"/>
      <c r="K21" s="233"/>
    </row>
    <row r="22" spans="2:11" ht="20.100000000000001" customHeight="1">
      <c r="B22" s="4073" t="s">
        <v>743</v>
      </c>
      <c r="C22" s="4072">
        <v>15</v>
      </c>
      <c r="D22" s="4072">
        <v>104</v>
      </c>
      <c r="E22" s="4088">
        <v>2016</v>
      </c>
      <c r="F22" s="236"/>
      <c r="G22" s="236"/>
      <c r="H22" s="236"/>
      <c r="I22" s="236"/>
      <c r="J22" s="236"/>
      <c r="K22" s="233"/>
    </row>
    <row r="23" spans="2:11" ht="15">
      <c r="B23" s="140"/>
      <c r="C23" s="140"/>
      <c r="D23" s="140"/>
      <c r="E23" s="140"/>
      <c r="F23" s="236"/>
      <c r="G23" s="236"/>
      <c r="H23" s="236"/>
      <c r="I23" s="236"/>
      <c r="J23" s="236"/>
      <c r="K23" s="233"/>
    </row>
    <row r="24" spans="2:11" ht="15">
      <c r="B24" s="140"/>
      <c r="C24" s="140"/>
      <c r="D24" s="140"/>
      <c r="E24" s="140"/>
      <c r="F24" s="236"/>
      <c r="G24" s="236"/>
      <c r="H24" s="236"/>
      <c r="I24" s="236"/>
      <c r="J24" s="236"/>
      <c r="K24" s="233"/>
    </row>
    <row r="25" spans="2:11" ht="20.100000000000001" customHeight="1">
      <c r="B25" s="5560" t="s">
        <v>2864</v>
      </c>
      <c r="C25" s="5560"/>
      <c r="D25" s="5560"/>
      <c r="E25" s="5560"/>
      <c r="F25" s="236"/>
      <c r="G25" s="236"/>
      <c r="H25" s="236"/>
      <c r="I25" s="236"/>
      <c r="J25" s="236"/>
      <c r="K25" s="233"/>
    </row>
    <row r="26" spans="2:11" ht="30.75" thickBot="1">
      <c r="B26" s="3532" t="s">
        <v>88</v>
      </c>
      <c r="C26" s="4085" t="s">
        <v>89</v>
      </c>
      <c r="D26" s="4085" t="s">
        <v>654</v>
      </c>
      <c r="E26" s="4085" t="s">
        <v>90</v>
      </c>
      <c r="F26" s="236"/>
      <c r="G26" s="236"/>
      <c r="H26" s="236"/>
      <c r="I26" s="236"/>
      <c r="J26" s="236"/>
      <c r="K26" s="233"/>
    </row>
    <row r="27" spans="2:11" s="78" customFormat="1" ht="20.100000000000001" customHeight="1">
      <c r="B27" s="4065" t="s">
        <v>92</v>
      </c>
      <c r="C27" s="4064">
        <v>1</v>
      </c>
      <c r="D27" s="4064">
        <v>2</v>
      </c>
      <c r="E27" s="4086">
        <v>120</v>
      </c>
      <c r="F27" s="236"/>
      <c r="G27" s="236"/>
      <c r="H27" s="236"/>
      <c r="I27" s="236"/>
      <c r="J27" s="236"/>
      <c r="K27" s="236"/>
    </row>
    <row r="28" spans="2:11" s="78" customFormat="1" ht="20.100000000000001" customHeight="1">
      <c r="B28" s="4067" t="s">
        <v>2863</v>
      </c>
      <c r="C28" s="4066">
        <v>2</v>
      </c>
      <c r="D28" s="4066">
        <v>19</v>
      </c>
      <c r="E28" s="4087">
        <v>659</v>
      </c>
      <c r="F28" s="236"/>
      <c r="G28" s="236"/>
      <c r="H28" s="236"/>
      <c r="I28" s="236"/>
      <c r="J28" s="236"/>
      <c r="K28" s="236"/>
    </row>
    <row r="29" spans="2:11" s="78" customFormat="1" ht="20.100000000000001" customHeight="1">
      <c r="B29" s="4067" t="s">
        <v>155</v>
      </c>
      <c r="C29" s="4066">
        <v>3</v>
      </c>
      <c r="D29" s="4066">
        <v>33</v>
      </c>
      <c r="E29" s="4087">
        <v>895</v>
      </c>
      <c r="F29" s="236"/>
      <c r="G29" s="236"/>
      <c r="H29" s="236"/>
      <c r="I29" s="236"/>
      <c r="J29" s="236"/>
      <c r="K29" s="236"/>
    </row>
    <row r="30" spans="2:11" s="78" customFormat="1" ht="20.100000000000001" customHeight="1">
      <c r="B30" s="4067" t="s">
        <v>96</v>
      </c>
      <c r="C30" s="4066">
        <v>4</v>
      </c>
      <c r="D30" s="4066">
        <v>34</v>
      </c>
      <c r="E30" s="4087">
        <v>943</v>
      </c>
      <c r="F30" s="236"/>
      <c r="G30" s="236"/>
      <c r="H30" s="236"/>
      <c r="I30" s="236"/>
      <c r="J30" s="236"/>
      <c r="K30" s="236"/>
    </row>
    <row r="31" spans="2:11" s="78" customFormat="1" ht="20.100000000000001" customHeight="1">
      <c r="B31" s="4069" t="s">
        <v>95</v>
      </c>
      <c r="C31" s="4068">
        <v>5</v>
      </c>
      <c r="D31" s="4068">
        <v>35</v>
      </c>
      <c r="E31" s="4089">
        <v>991</v>
      </c>
      <c r="F31" s="236"/>
      <c r="G31" s="236"/>
      <c r="H31" s="236"/>
      <c r="I31" s="236"/>
      <c r="J31" s="236"/>
      <c r="K31" s="236"/>
    </row>
    <row r="32" spans="2:11" s="78" customFormat="1" ht="20.100000000000001" customHeight="1">
      <c r="B32" s="4067" t="s">
        <v>655</v>
      </c>
      <c r="C32" s="4066">
        <v>6</v>
      </c>
      <c r="D32" s="4066">
        <v>43</v>
      </c>
      <c r="E32" s="4087">
        <v>1153</v>
      </c>
      <c r="F32" s="236"/>
      <c r="G32" s="236"/>
      <c r="H32" s="236"/>
      <c r="I32" s="236"/>
      <c r="J32" s="236"/>
      <c r="K32" s="236"/>
    </row>
    <row r="33" spans="2:11" s="78" customFormat="1" ht="20.100000000000001" customHeight="1">
      <c r="B33" s="4067" t="s">
        <v>158</v>
      </c>
      <c r="C33" s="4066">
        <v>7</v>
      </c>
      <c r="D33" s="4066">
        <v>53</v>
      </c>
      <c r="E33" s="4087">
        <v>1288</v>
      </c>
      <c r="F33" s="236"/>
      <c r="G33" s="236"/>
      <c r="H33" s="236"/>
      <c r="I33" s="236"/>
      <c r="J33" s="236"/>
      <c r="K33" s="236"/>
    </row>
    <row r="34" spans="2:11" s="78" customFormat="1" ht="20.100000000000001" customHeight="1">
      <c r="B34" s="4067" t="s">
        <v>553</v>
      </c>
      <c r="C34" s="4066">
        <v>8</v>
      </c>
      <c r="D34" s="4066">
        <v>62</v>
      </c>
      <c r="E34" s="4066">
        <v>1478</v>
      </c>
      <c r="F34" s="236"/>
      <c r="G34" s="236"/>
      <c r="H34" s="236"/>
      <c r="I34" s="236"/>
      <c r="J34" s="236"/>
      <c r="K34" s="236"/>
    </row>
    <row r="35" spans="2:11" s="78" customFormat="1" ht="20.100000000000001" customHeight="1">
      <c r="B35" s="4067" t="s">
        <v>1961</v>
      </c>
      <c r="C35" s="4066">
        <v>9</v>
      </c>
      <c r="D35" s="4066">
        <v>63</v>
      </c>
      <c r="E35" s="4087">
        <v>1487</v>
      </c>
      <c r="F35" s="236"/>
      <c r="G35" s="236"/>
      <c r="H35" s="236"/>
      <c r="I35" s="236"/>
      <c r="J35" s="236"/>
      <c r="K35" s="236"/>
    </row>
    <row r="36" spans="2:11" s="78" customFormat="1" ht="20.100000000000001" customHeight="1">
      <c r="B36" s="4067" t="s">
        <v>343</v>
      </c>
      <c r="C36" s="4066">
        <v>10</v>
      </c>
      <c r="D36" s="4066">
        <v>67</v>
      </c>
      <c r="E36" s="4087">
        <v>1522</v>
      </c>
      <c r="F36" s="236"/>
      <c r="G36" s="236"/>
      <c r="H36" s="236"/>
      <c r="I36" s="236"/>
      <c r="J36" s="236"/>
      <c r="K36" s="236"/>
    </row>
    <row r="37" spans="2:11" s="78" customFormat="1" ht="20.100000000000001" customHeight="1">
      <c r="B37" s="4067" t="s">
        <v>735</v>
      </c>
      <c r="C37" s="4066">
        <v>11</v>
      </c>
      <c r="D37" s="4066">
        <v>73</v>
      </c>
      <c r="E37" s="4087">
        <v>1614</v>
      </c>
      <c r="F37" s="236"/>
      <c r="G37" s="236"/>
      <c r="H37" s="236"/>
      <c r="I37" s="236"/>
      <c r="J37" s="236"/>
      <c r="K37" s="236"/>
    </row>
    <row r="38" spans="2:11" s="78" customFormat="1" ht="20.100000000000001" customHeight="1">
      <c r="B38" s="4067" t="s">
        <v>736</v>
      </c>
      <c r="C38" s="4066">
        <v>12</v>
      </c>
      <c r="D38" s="4066">
        <v>78</v>
      </c>
      <c r="E38" s="4087">
        <v>1677</v>
      </c>
      <c r="F38" s="236"/>
      <c r="G38" s="236"/>
      <c r="H38" s="236"/>
      <c r="I38" s="236"/>
      <c r="J38" s="236"/>
      <c r="K38" s="236"/>
    </row>
    <row r="39" spans="2:11" s="78" customFormat="1" ht="20.100000000000001" customHeight="1">
      <c r="B39" s="4067" t="s">
        <v>552</v>
      </c>
      <c r="C39" s="4066">
        <v>13</v>
      </c>
      <c r="D39" s="4066">
        <v>79</v>
      </c>
      <c r="E39" s="4066">
        <v>1685</v>
      </c>
      <c r="F39" s="236"/>
      <c r="G39" s="236"/>
      <c r="H39" s="236"/>
      <c r="I39" s="236"/>
      <c r="J39" s="236"/>
      <c r="K39" s="236"/>
    </row>
    <row r="40" spans="2:11" s="78" customFormat="1" ht="20.100000000000001" customHeight="1">
      <c r="B40" s="4067" t="s">
        <v>342</v>
      </c>
      <c r="C40" s="4066">
        <v>14</v>
      </c>
      <c r="D40" s="4066">
        <v>81</v>
      </c>
      <c r="E40" s="4066">
        <v>1716</v>
      </c>
      <c r="F40" s="236"/>
      <c r="G40" s="236"/>
      <c r="H40" s="236"/>
      <c r="I40" s="236"/>
      <c r="J40" s="236"/>
      <c r="K40" s="236"/>
    </row>
    <row r="41" spans="2:11" s="78" customFormat="1" ht="20.100000000000001" customHeight="1">
      <c r="B41" s="4073" t="s">
        <v>2751</v>
      </c>
      <c r="C41" s="4072">
        <v>15</v>
      </c>
      <c r="D41" s="4072">
        <v>116</v>
      </c>
      <c r="E41" s="4088">
        <v>2114</v>
      </c>
      <c r="F41" s="236"/>
      <c r="G41" s="236"/>
      <c r="H41" s="236"/>
      <c r="I41" s="236"/>
      <c r="J41" s="236"/>
      <c r="K41" s="236"/>
    </row>
    <row r="42" spans="2:11" ht="15">
      <c r="B42" s="1437"/>
      <c r="C42" s="1437"/>
      <c r="D42" s="1437"/>
      <c r="E42" s="1437"/>
      <c r="F42" s="236"/>
      <c r="G42" s="236"/>
      <c r="H42" s="236"/>
      <c r="I42" s="236"/>
      <c r="J42" s="236"/>
      <c r="K42" s="233"/>
    </row>
    <row r="43" spans="2:11" ht="15">
      <c r="B43" s="1437"/>
      <c r="C43" s="1437"/>
      <c r="D43" s="1437"/>
      <c r="E43" s="1437"/>
      <c r="F43" s="236"/>
      <c r="G43" s="236"/>
      <c r="H43" s="236"/>
      <c r="I43" s="236"/>
      <c r="J43" s="236"/>
      <c r="K43" s="233"/>
    </row>
    <row r="44" spans="2:11" ht="15" customHeight="1">
      <c r="B44" s="5572" t="s">
        <v>2752</v>
      </c>
      <c r="C44" s="5573"/>
      <c r="D44" s="5573"/>
      <c r="E44" s="5574"/>
      <c r="F44" s="236"/>
      <c r="G44" s="236"/>
      <c r="H44" s="236"/>
      <c r="I44" s="236"/>
      <c r="J44" s="236"/>
      <c r="K44" s="233"/>
    </row>
    <row r="45" spans="2:11" ht="30">
      <c r="B45" s="2854" t="s">
        <v>88</v>
      </c>
      <c r="C45" s="3025" t="s">
        <v>89</v>
      </c>
      <c r="D45" s="3026" t="s">
        <v>654</v>
      </c>
      <c r="E45" s="3025" t="s">
        <v>90</v>
      </c>
      <c r="F45" s="236"/>
      <c r="G45" s="236"/>
      <c r="H45" s="236"/>
      <c r="I45" s="236"/>
      <c r="J45" s="236"/>
      <c r="K45" s="233"/>
    </row>
    <row r="46" spans="2:11" ht="15">
      <c r="B46" s="2550" t="s">
        <v>92</v>
      </c>
      <c r="C46" s="2878">
        <v>1</v>
      </c>
      <c r="D46" s="2878">
        <v>2</v>
      </c>
      <c r="E46" s="3027">
        <v>128</v>
      </c>
      <c r="F46" s="236"/>
      <c r="G46" s="236"/>
      <c r="H46" s="236"/>
      <c r="I46" s="236"/>
      <c r="J46" s="236"/>
      <c r="K46" s="233"/>
    </row>
    <row r="47" spans="2:11" ht="30">
      <c r="B47" s="2550" t="s">
        <v>1960</v>
      </c>
      <c r="C47" s="2878">
        <v>2</v>
      </c>
      <c r="D47" s="2878">
        <v>14</v>
      </c>
      <c r="E47" s="3027">
        <v>615</v>
      </c>
      <c r="F47" s="236"/>
      <c r="G47" s="236"/>
      <c r="H47" s="236"/>
      <c r="I47" s="236"/>
      <c r="J47" s="236"/>
      <c r="K47" s="233"/>
    </row>
    <row r="48" spans="2:11" ht="15">
      <c r="B48" s="2550" t="s">
        <v>155</v>
      </c>
      <c r="C48" s="2878">
        <v>3</v>
      </c>
      <c r="D48" s="2878">
        <v>32</v>
      </c>
      <c r="E48" s="3027">
        <v>892</v>
      </c>
      <c r="F48" s="236"/>
      <c r="G48" s="236"/>
      <c r="H48" s="236"/>
      <c r="I48" s="236"/>
      <c r="J48" s="236"/>
      <c r="K48" s="233"/>
    </row>
    <row r="49" spans="2:11" ht="15">
      <c r="B49" s="2882" t="s">
        <v>95</v>
      </c>
      <c r="C49" s="2881">
        <v>4</v>
      </c>
      <c r="D49" s="2881">
        <v>34</v>
      </c>
      <c r="E49" s="3029">
        <v>974</v>
      </c>
      <c r="F49" s="236"/>
      <c r="G49" s="236"/>
      <c r="H49" s="236"/>
      <c r="I49" s="236"/>
      <c r="J49" s="236"/>
      <c r="K49" s="233"/>
    </row>
    <row r="50" spans="2:11" ht="15">
      <c r="B50" s="2550" t="s">
        <v>96</v>
      </c>
      <c r="C50" s="2878">
        <v>5</v>
      </c>
      <c r="D50" s="2878">
        <v>36</v>
      </c>
      <c r="E50" s="3027">
        <v>1047</v>
      </c>
      <c r="F50" s="236"/>
      <c r="G50" s="236"/>
      <c r="H50" s="236"/>
      <c r="I50" s="236"/>
      <c r="J50" s="236"/>
      <c r="K50" s="233"/>
    </row>
    <row r="51" spans="2:11" ht="15">
      <c r="B51" s="2550" t="s">
        <v>655</v>
      </c>
      <c r="C51" s="2878">
        <v>6</v>
      </c>
      <c r="D51" s="2878">
        <v>45</v>
      </c>
      <c r="E51" s="3027">
        <v>1152</v>
      </c>
      <c r="F51" s="236"/>
      <c r="G51" s="236"/>
      <c r="H51" s="236"/>
      <c r="I51" s="236"/>
      <c r="J51" s="236"/>
      <c r="K51" s="233"/>
    </row>
    <row r="52" spans="2:11" ht="15">
      <c r="B52" s="2550" t="s">
        <v>158</v>
      </c>
      <c r="C52" s="2878">
        <v>7</v>
      </c>
      <c r="D52" s="2878">
        <v>53</v>
      </c>
      <c r="E52" s="3027">
        <v>1320</v>
      </c>
      <c r="F52" s="236"/>
      <c r="G52" s="236"/>
      <c r="H52" s="236"/>
      <c r="I52" s="236"/>
      <c r="J52" s="236"/>
      <c r="K52" s="233"/>
    </row>
    <row r="53" spans="2:11" ht="15">
      <c r="B53" s="2550" t="s">
        <v>553</v>
      </c>
      <c r="C53" s="2878">
        <v>8</v>
      </c>
      <c r="D53" s="2878">
        <v>55</v>
      </c>
      <c r="E53" s="2878">
        <v>1375</v>
      </c>
      <c r="F53" s="236"/>
      <c r="G53" s="236"/>
      <c r="H53" s="236"/>
      <c r="I53" s="236"/>
      <c r="J53" s="236"/>
      <c r="K53" s="233"/>
    </row>
    <row r="54" spans="2:11" ht="15">
      <c r="B54" s="2550" t="s">
        <v>343</v>
      </c>
      <c r="C54" s="2878">
        <v>9</v>
      </c>
      <c r="D54" s="2878">
        <v>61</v>
      </c>
      <c r="E54" s="3027">
        <v>1480</v>
      </c>
      <c r="F54" s="236"/>
      <c r="G54" s="236"/>
      <c r="H54" s="236"/>
      <c r="I54" s="236"/>
      <c r="J54" s="236"/>
      <c r="K54" s="233"/>
    </row>
    <row r="55" spans="2:11" ht="15">
      <c r="B55" s="2550" t="s">
        <v>552</v>
      </c>
      <c r="C55" s="2878">
        <v>10</v>
      </c>
      <c r="D55" s="2878">
        <v>69</v>
      </c>
      <c r="E55" s="3027">
        <v>1571</v>
      </c>
      <c r="F55" s="236"/>
      <c r="G55" s="236"/>
      <c r="H55" s="236"/>
      <c r="I55" s="236"/>
      <c r="J55" s="236"/>
      <c r="K55" s="233"/>
    </row>
    <row r="56" spans="2:11" ht="15">
      <c r="B56" s="2550" t="s">
        <v>735</v>
      </c>
      <c r="C56" s="2878">
        <v>11</v>
      </c>
      <c r="D56" s="2878">
        <v>74</v>
      </c>
      <c r="E56" s="3027">
        <v>1606</v>
      </c>
      <c r="F56" s="236"/>
      <c r="G56" s="236"/>
      <c r="H56" s="236"/>
      <c r="I56" s="236"/>
      <c r="J56" s="236"/>
      <c r="K56" s="233"/>
    </row>
    <row r="57" spans="2:11" ht="15">
      <c r="B57" s="2550" t="s">
        <v>342</v>
      </c>
      <c r="C57" s="2878">
        <v>12</v>
      </c>
      <c r="D57" s="2878">
        <v>79</v>
      </c>
      <c r="E57" s="3027">
        <v>1702</v>
      </c>
      <c r="F57" s="236"/>
      <c r="G57" s="236"/>
      <c r="H57" s="236"/>
      <c r="I57" s="236"/>
      <c r="J57" s="236"/>
      <c r="K57" s="233"/>
    </row>
    <row r="58" spans="2:11" ht="15">
      <c r="B58" s="3028" t="s">
        <v>2750</v>
      </c>
      <c r="C58" s="2878">
        <v>13</v>
      </c>
      <c r="D58" s="2878">
        <v>102</v>
      </c>
      <c r="E58" s="3027">
        <v>1991</v>
      </c>
      <c r="F58" s="236"/>
      <c r="G58" s="236"/>
      <c r="H58" s="236"/>
      <c r="I58" s="236"/>
      <c r="J58" s="236"/>
      <c r="K58" s="233"/>
    </row>
    <row r="59" spans="2:11" ht="15">
      <c r="B59" s="2550" t="s">
        <v>2751</v>
      </c>
      <c r="C59" s="2878">
        <v>14</v>
      </c>
      <c r="D59" s="2878">
        <v>105</v>
      </c>
      <c r="E59" s="2878">
        <v>2022</v>
      </c>
      <c r="F59" s="236"/>
      <c r="G59" s="236"/>
      <c r="H59" s="236"/>
      <c r="I59" s="236"/>
      <c r="J59" s="236"/>
      <c r="K59" s="233"/>
    </row>
    <row r="60" spans="2:11" ht="15">
      <c r="B60" s="2550" t="s">
        <v>743</v>
      </c>
      <c r="C60" s="2878">
        <v>15</v>
      </c>
      <c r="D60" s="2878">
        <v>108</v>
      </c>
      <c r="E60" s="3027">
        <v>2047</v>
      </c>
      <c r="F60" s="236"/>
      <c r="G60" s="236"/>
      <c r="H60" s="236"/>
      <c r="I60" s="236"/>
      <c r="J60" s="236"/>
      <c r="K60" s="233"/>
    </row>
    <row r="61" spans="2:11" ht="15">
      <c r="B61" s="1437"/>
      <c r="C61" s="1437"/>
      <c r="D61" s="1437"/>
      <c r="E61" s="1437"/>
      <c r="F61" s="236"/>
      <c r="G61" s="236"/>
      <c r="H61" s="236"/>
      <c r="I61" s="236"/>
      <c r="J61" s="236"/>
      <c r="K61" s="233"/>
    </row>
    <row r="62" spans="2:11" ht="15">
      <c r="B62" s="1437"/>
      <c r="C62" s="1437"/>
      <c r="D62" s="1437"/>
      <c r="E62" s="1437"/>
      <c r="F62" s="236"/>
      <c r="G62" s="236"/>
      <c r="H62" s="236"/>
      <c r="I62" s="236"/>
      <c r="J62" s="236"/>
      <c r="K62" s="233"/>
    </row>
    <row r="63" spans="2:11" ht="15">
      <c r="B63" s="5569" t="s">
        <v>1959</v>
      </c>
      <c r="C63" s="5570"/>
      <c r="D63" s="5570"/>
      <c r="E63" s="5571"/>
      <c r="F63" s="236"/>
      <c r="G63" s="236"/>
      <c r="H63" s="236"/>
      <c r="I63" s="236"/>
      <c r="J63" s="236"/>
      <c r="K63" s="233"/>
    </row>
    <row r="64" spans="2:11" ht="30">
      <c r="B64" s="2421" t="s">
        <v>88</v>
      </c>
      <c r="C64" s="2422" t="s">
        <v>89</v>
      </c>
      <c r="D64" s="2423" t="s">
        <v>654</v>
      </c>
      <c r="E64" s="2422" t="s">
        <v>90</v>
      </c>
      <c r="F64" s="236"/>
      <c r="G64" s="236"/>
      <c r="H64" s="236"/>
      <c r="I64" s="236"/>
      <c r="J64" s="236"/>
      <c r="K64" s="233"/>
    </row>
    <row r="65" spans="2:11" ht="15">
      <c r="B65" s="2424" t="s">
        <v>92</v>
      </c>
      <c r="C65" s="2424">
        <v>1</v>
      </c>
      <c r="D65" s="2424">
        <v>2</v>
      </c>
      <c r="E65" s="2425">
        <v>120</v>
      </c>
      <c r="F65" s="236"/>
      <c r="G65" s="236"/>
      <c r="H65" s="236"/>
      <c r="I65" s="236"/>
      <c r="J65" s="236"/>
      <c r="K65" s="233"/>
    </row>
    <row r="66" spans="2:11" ht="30">
      <c r="B66" s="2424" t="s">
        <v>1960</v>
      </c>
      <c r="C66" s="2424">
        <v>2</v>
      </c>
      <c r="D66" s="2424">
        <v>20</v>
      </c>
      <c r="E66" s="2425">
        <v>631</v>
      </c>
      <c r="F66" s="236"/>
      <c r="G66" s="236"/>
      <c r="H66" s="236"/>
      <c r="I66" s="236"/>
      <c r="J66" s="236"/>
      <c r="K66" s="233"/>
    </row>
    <row r="67" spans="2:11" ht="15">
      <c r="B67" s="2424" t="s">
        <v>1961</v>
      </c>
      <c r="C67" s="2424">
        <v>3</v>
      </c>
      <c r="D67" s="2424">
        <v>28</v>
      </c>
      <c r="E67" s="2425">
        <v>757</v>
      </c>
      <c r="F67" s="236"/>
      <c r="G67" s="236"/>
      <c r="H67" s="236"/>
      <c r="I67" s="236"/>
      <c r="J67" s="236"/>
      <c r="K67" s="233"/>
    </row>
    <row r="68" spans="2:11" ht="15">
      <c r="B68" s="2426" t="s">
        <v>95</v>
      </c>
      <c r="C68" s="2426">
        <v>4</v>
      </c>
      <c r="D68" s="2426">
        <v>31</v>
      </c>
      <c r="E68" s="2427">
        <v>809</v>
      </c>
      <c r="F68" s="236"/>
      <c r="G68" s="236"/>
      <c r="H68" s="236"/>
      <c r="I68" s="236"/>
      <c r="J68" s="236"/>
      <c r="K68" s="233"/>
    </row>
    <row r="69" spans="2:11" ht="15">
      <c r="B69" s="2424" t="s">
        <v>155</v>
      </c>
      <c r="C69" s="2424">
        <v>5</v>
      </c>
      <c r="D69" s="2424">
        <v>32</v>
      </c>
      <c r="E69" s="2425">
        <v>830</v>
      </c>
      <c r="F69" s="236"/>
      <c r="G69" s="236"/>
      <c r="H69" s="236"/>
      <c r="I69" s="236"/>
      <c r="J69" s="236"/>
      <c r="K69" s="233"/>
    </row>
    <row r="70" spans="2:11" ht="15">
      <c r="B70" s="2424" t="s">
        <v>96</v>
      </c>
      <c r="C70" s="2424">
        <v>6</v>
      </c>
      <c r="D70" s="2424">
        <v>36</v>
      </c>
      <c r="E70" s="2425">
        <v>888</v>
      </c>
      <c r="F70" s="236"/>
      <c r="G70" s="236"/>
      <c r="H70" s="236"/>
      <c r="I70" s="236"/>
      <c r="J70" s="236"/>
      <c r="K70" s="233"/>
    </row>
    <row r="71" spans="2:11" ht="15">
      <c r="B71" s="2424" t="s">
        <v>655</v>
      </c>
      <c r="C71" s="2424">
        <v>7</v>
      </c>
      <c r="D71" s="2424">
        <v>45</v>
      </c>
      <c r="E71" s="2425">
        <v>1147</v>
      </c>
      <c r="F71" s="236"/>
      <c r="G71" s="236"/>
      <c r="H71" s="236"/>
      <c r="I71" s="236"/>
      <c r="J71" s="236"/>
      <c r="K71" s="233"/>
    </row>
    <row r="72" spans="2:11" ht="15">
      <c r="B72" s="2424" t="s">
        <v>158</v>
      </c>
      <c r="C72" s="2424">
        <v>8</v>
      </c>
      <c r="D72" s="2424">
        <v>50</v>
      </c>
      <c r="E72" s="2424">
        <v>1228</v>
      </c>
      <c r="F72" s="236"/>
      <c r="G72" s="236"/>
      <c r="H72" s="236"/>
      <c r="I72" s="236"/>
      <c r="J72" s="236"/>
      <c r="K72" s="233"/>
    </row>
    <row r="73" spans="2:11" ht="15">
      <c r="B73" s="2424" t="s">
        <v>553</v>
      </c>
      <c r="C73" s="2424">
        <v>9</v>
      </c>
      <c r="D73" s="2424">
        <v>58</v>
      </c>
      <c r="E73" s="2425">
        <v>1406</v>
      </c>
      <c r="F73" s="236"/>
      <c r="G73" s="236"/>
      <c r="H73" s="236"/>
      <c r="I73" s="236"/>
      <c r="J73" s="236"/>
      <c r="K73" s="233"/>
    </row>
    <row r="74" spans="2:11" ht="15">
      <c r="B74" s="2424" t="s">
        <v>343</v>
      </c>
      <c r="C74" s="2424">
        <v>10</v>
      </c>
      <c r="D74" s="2424">
        <v>69</v>
      </c>
      <c r="E74" s="2425">
        <v>1484</v>
      </c>
      <c r="F74" s="236"/>
      <c r="G74" s="236"/>
      <c r="H74" s="236"/>
      <c r="I74" s="236"/>
      <c r="J74" s="236"/>
      <c r="K74" s="233"/>
    </row>
    <row r="75" spans="2:11" ht="15">
      <c r="B75" s="2424" t="s">
        <v>552</v>
      </c>
      <c r="C75" s="2424">
        <v>11</v>
      </c>
      <c r="D75" s="2424">
        <v>70</v>
      </c>
      <c r="E75" s="2425">
        <v>1484</v>
      </c>
      <c r="F75" s="236"/>
      <c r="G75" s="236"/>
      <c r="H75" s="236"/>
      <c r="I75" s="236"/>
      <c r="J75" s="236"/>
      <c r="K75" s="233"/>
    </row>
    <row r="76" spans="2:11" ht="15">
      <c r="B76" s="2424" t="s">
        <v>735</v>
      </c>
      <c r="C76" s="2424">
        <v>12</v>
      </c>
      <c r="D76" s="2424">
        <v>73</v>
      </c>
      <c r="E76" s="2425">
        <v>1493</v>
      </c>
      <c r="F76" s="236"/>
      <c r="G76" s="236"/>
      <c r="H76" s="236"/>
      <c r="I76" s="236"/>
      <c r="J76" s="236"/>
      <c r="K76" s="233"/>
    </row>
    <row r="77" spans="2:11" ht="15">
      <c r="B77" s="2424" t="s">
        <v>342</v>
      </c>
      <c r="C77" s="2424">
        <v>13</v>
      </c>
      <c r="D77" s="2424">
        <v>81</v>
      </c>
      <c r="E77" s="2425">
        <v>1631</v>
      </c>
      <c r="F77" s="236"/>
      <c r="G77" s="236"/>
      <c r="H77" s="236"/>
      <c r="I77" s="236"/>
      <c r="J77" s="236"/>
      <c r="K77" s="233"/>
    </row>
    <row r="78" spans="2:11" ht="15">
      <c r="B78" s="2424" t="s">
        <v>696</v>
      </c>
      <c r="C78" s="2424">
        <v>14</v>
      </c>
      <c r="D78" s="2424">
        <v>82</v>
      </c>
      <c r="E78" s="2424">
        <v>1642</v>
      </c>
      <c r="F78" s="236"/>
      <c r="G78" s="236"/>
      <c r="H78" s="236"/>
      <c r="I78" s="236"/>
      <c r="J78" s="236"/>
      <c r="K78" s="233"/>
    </row>
    <row r="79" spans="2:11" ht="15">
      <c r="B79" s="2424" t="s">
        <v>632</v>
      </c>
      <c r="C79" s="2424">
        <v>15</v>
      </c>
      <c r="D79" s="2424">
        <v>84</v>
      </c>
      <c r="E79" s="2425">
        <v>1658</v>
      </c>
      <c r="F79" s="236"/>
      <c r="G79" s="236"/>
      <c r="H79" s="236"/>
      <c r="I79" s="236"/>
      <c r="J79" s="236"/>
      <c r="K79" s="233"/>
    </row>
    <row r="80" spans="2:11" ht="15">
      <c r="B80" s="1437"/>
      <c r="C80" s="1437"/>
      <c r="D80" s="1437"/>
      <c r="E80" s="1437"/>
      <c r="F80" s="236"/>
      <c r="G80" s="236"/>
      <c r="H80" s="236"/>
      <c r="I80" s="236"/>
      <c r="J80" s="236"/>
      <c r="K80" s="233"/>
    </row>
    <row r="81" spans="2:11" ht="15">
      <c r="B81" s="1437"/>
      <c r="C81" s="1437"/>
      <c r="D81" s="1437"/>
      <c r="E81" s="1437"/>
      <c r="F81" s="236"/>
      <c r="G81" s="236"/>
      <c r="H81" s="236"/>
      <c r="I81" s="236"/>
      <c r="J81" s="236"/>
      <c r="K81" s="233"/>
    </row>
    <row r="82" spans="2:11" ht="15">
      <c r="B82" s="5566" t="s">
        <v>1828</v>
      </c>
      <c r="C82" s="5567"/>
      <c r="D82" s="5567"/>
      <c r="E82" s="5568"/>
      <c r="F82" s="236"/>
      <c r="G82" s="236"/>
      <c r="H82" s="236"/>
      <c r="I82" s="236"/>
      <c r="J82" s="236"/>
      <c r="K82" s="233"/>
    </row>
    <row r="83" spans="2:11" ht="30">
      <c r="B83" s="1988" t="s">
        <v>88</v>
      </c>
      <c r="C83" s="1989" t="s">
        <v>89</v>
      </c>
      <c r="D83" s="1990" t="s">
        <v>654</v>
      </c>
      <c r="E83" s="1989" t="s">
        <v>90</v>
      </c>
      <c r="F83" s="236"/>
      <c r="G83" s="236"/>
      <c r="H83" s="236"/>
      <c r="I83" s="236"/>
      <c r="J83" s="236"/>
      <c r="K83" s="233"/>
    </row>
    <row r="84" spans="2:11" ht="15">
      <c r="B84" s="1991" t="s">
        <v>92</v>
      </c>
      <c r="C84" s="1932">
        <v>1</v>
      </c>
      <c r="D84" s="1932">
        <v>2</v>
      </c>
      <c r="E84" s="1992">
        <v>58</v>
      </c>
      <c r="F84" s="236"/>
      <c r="G84" s="236"/>
      <c r="H84" s="236"/>
      <c r="I84" s="236"/>
      <c r="J84" s="236"/>
      <c r="K84" s="233"/>
    </row>
    <row r="85" spans="2:11" ht="30">
      <c r="B85" s="1991" t="s">
        <v>876</v>
      </c>
      <c r="C85" s="1932">
        <v>2</v>
      </c>
      <c r="D85" s="1932">
        <v>21</v>
      </c>
      <c r="E85" s="1992">
        <v>663</v>
      </c>
      <c r="F85" s="236"/>
      <c r="G85" s="236"/>
      <c r="H85" s="236"/>
      <c r="I85" s="236"/>
      <c r="J85" s="236"/>
      <c r="K85" s="233"/>
    </row>
    <row r="86" spans="2:11" ht="15">
      <c r="B86" s="1993" t="s">
        <v>551</v>
      </c>
      <c r="C86" s="1994">
        <v>3</v>
      </c>
      <c r="D86" s="1994">
        <v>26</v>
      </c>
      <c r="E86" s="1995">
        <v>739</v>
      </c>
      <c r="F86" s="236"/>
      <c r="G86" s="236"/>
      <c r="H86" s="236"/>
      <c r="I86" s="236"/>
      <c r="J86" s="236"/>
      <c r="K86" s="233"/>
    </row>
    <row r="87" spans="2:11" ht="15">
      <c r="B87" s="1991" t="s">
        <v>448</v>
      </c>
      <c r="C87" s="1932">
        <v>4</v>
      </c>
      <c r="D87" s="1932">
        <v>27</v>
      </c>
      <c r="E87" s="1992">
        <v>744</v>
      </c>
      <c r="F87" s="236"/>
      <c r="G87" s="236"/>
      <c r="H87" s="236"/>
      <c r="I87" s="236"/>
      <c r="J87" s="236"/>
      <c r="K87" s="233"/>
    </row>
    <row r="88" spans="2:11" ht="15">
      <c r="B88" s="1991" t="s">
        <v>877</v>
      </c>
      <c r="C88" s="1932">
        <v>5</v>
      </c>
      <c r="D88" s="1932">
        <v>30</v>
      </c>
      <c r="E88" s="1992">
        <v>772</v>
      </c>
      <c r="F88" s="236"/>
      <c r="G88" s="236"/>
      <c r="H88" s="236"/>
      <c r="I88" s="236"/>
      <c r="J88" s="236"/>
      <c r="K88" s="233"/>
    </row>
    <row r="89" spans="2:11" ht="15">
      <c r="B89" s="1991" t="s">
        <v>96</v>
      </c>
      <c r="C89" s="1932">
        <v>6</v>
      </c>
      <c r="D89" s="1932">
        <v>31</v>
      </c>
      <c r="E89" s="1992">
        <v>779</v>
      </c>
      <c r="F89" s="236"/>
      <c r="G89" s="236"/>
      <c r="H89" s="236"/>
      <c r="I89" s="236"/>
      <c r="J89" s="236"/>
      <c r="K89" s="233"/>
    </row>
    <row r="90" spans="2:11" ht="15">
      <c r="B90" s="1991" t="s">
        <v>339</v>
      </c>
      <c r="C90" s="1932">
        <v>7</v>
      </c>
      <c r="D90" s="1932">
        <v>42</v>
      </c>
      <c r="E90" s="1992">
        <v>1004</v>
      </c>
      <c r="F90" s="236"/>
      <c r="G90" s="236"/>
      <c r="H90" s="236"/>
      <c r="I90" s="236"/>
      <c r="J90" s="236"/>
      <c r="K90" s="233"/>
    </row>
    <row r="91" spans="2:11" ht="15">
      <c r="B91" s="1991" t="s">
        <v>333</v>
      </c>
      <c r="C91" s="1932">
        <v>8</v>
      </c>
      <c r="D91" s="1932">
        <v>48</v>
      </c>
      <c r="E91" s="1992">
        <v>1093</v>
      </c>
      <c r="F91" s="236"/>
      <c r="G91" s="236"/>
      <c r="H91" s="236"/>
      <c r="I91" s="236"/>
      <c r="J91" s="236"/>
      <c r="K91" s="233"/>
    </row>
    <row r="92" spans="2:11" ht="15">
      <c r="B92" s="1991" t="s">
        <v>553</v>
      </c>
      <c r="C92" s="1932">
        <v>9</v>
      </c>
      <c r="D92" s="1932">
        <v>59</v>
      </c>
      <c r="E92" s="1992">
        <v>1281</v>
      </c>
      <c r="F92" s="236"/>
      <c r="G92" s="236"/>
      <c r="H92" s="236"/>
      <c r="I92" s="236"/>
      <c r="J92" s="236"/>
      <c r="K92" s="233"/>
    </row>
    <row r="93" spans="2:11" ht="15">
      <c r="B93" s="1991" t="s">
        <v>344</v>
      </c>
      <c r="C93" s="1932">
        <v>10</v>
      </c>
      <c r="D93" s="1932">
        <v>67</v>
      </c>
      <c r="E93" s="1992">
        <v>1343</v>
      </c>
      <c r="F93" s="236"/>
      <c r="G93" s="236"/>
      <c r="H93" s="236"/>
      <c r="I93" s="236"/>
      <c r="J93" s="236"/>
      <c r="K93" s="233"/>
    </row>
    <row r="94" spans="2:11" ht="15">
      <c r="B94" s="1991" t="s">
        <v>736</v>
      </c>
      <c r="C94" s="1932">
        <v>11</v>
      </c>
      <c r="D94" s="1690">
        <v>69</v>
      </c>
      <c r="E94" s="1932">
        <v>1356</v>
      </c>
      <c r="F94" s="236"/>
      <c r="G94" s="236"/>
      <c r="H94" s="236"/>
      <c r="I94" s="236"/>
      <c r="J94" s="236"/>
      <c r="K94" s="233"/>
    </row>
    <row r="95" spans="2:11" ht="15">
      <c r="B95" s="1991" t="s">
        <v>735</v>
      </c>
      <c r="C95" s="1932">
        <v>12</v>
      </c>
      <c r="D95" s="1932">
        <v>75</v>
      </c>
      <c r="E95" s="1992">
        <v>1405</v>
      </c>
      <c r="F95" s="236"/>
      <c r="G95" s="236"/>
      <c r="H95" s="236"/>
      <c r="I95" s="236"/>
      <c r="J95" s="236"/>
      <c r="K95" s="233"/>
    </row>
    <row r="96" spans="2:11" ht="15">
      <c r="B96" s="1991" t="s">
        <v>738</v>
      </c>
      <c r="C96" s="1932">
        <v>13</v>
      </c>
      <c r="D96" s="1932">
        <v>78</v>
      </c>
      <c r="E96" s="1992">
        <v>1475</v>
      </c>
      <c r="F96" s="236"/>
      <c r="G96" s="236"/>
      <c r="H96" s="236"/>
      <c r="I96" s="236"/>
      <c r="J96" s="236"/>
      <c r="K96" s="233"/>
    </row>
    <row r="97" spans="2:11" ht="15">
      <c r="B97" s="1991" t="s">
        <v>552</v>
      </c>
      <c r="C97" s="1932">
        <v>14</v>
      </c>
      <c r="D97" s="1932">
        <v>79</v>
      </c>
      <c r="E97" s="1992">
        <v>1482</v>
      </c>
      <c r="F97" s="236"/>
      <c r="G97" s="236"/>
      <c r="H97" s="236"/>
      <c r="I97" s="236"/>
      <c r="J97" s="236"/>
      <c r="K97" s="233"/>
    </row>
    <row r="98" spans="2:11" ht="15">
      <c r="B98" s="1991" t="s">
        <v>343</v>
      </c>
      <c r="C98" s="1932">
        <v>15</v>
      </c>
      <c r="D98" s="1932">
        <v>84</v>
      </c>
      <c r="E98" s="1992">
        <v>1522</v>
      </c>
      <c r="F98" s="236"/>
      <c r="G98" s="236"/>
      <c r="H98" s="236"/>
      <c r="I98" s="236"/>
      <c r="J98" s="236"/>
      <c r="K98" s="233"/>
    </row>
    <row r="99" spans="2:11" ht="15">
      <c r="B99" s="3438" t="s">
        <v>1829</v>
      </c>
      <c r="C99" s="1437"/>
      <c r="D99" s="1437"/>
      <c r="E99" s="1437"/>
      <c r="F99" s="236"/>
      <c r="G99" s="236"/>
      <c r="H99" s="236"/>
      <c r="I99" s="236"/>
      <c r="J99" s="236"/>
      <c r="K99" s="233"/>
    </row>
    <row r="100" spans="2:11" ht="15">
      <c r="B100" s="1437"/>
      <c r="C100" s="1437"/>
      <c r="D100" s="1437"/>
      <c r="E100" s="1437"/>
      <c r="F100" s="236"/>
      <c r="G100" s="236"/>
      <c r="H100" s="236"/>
      <c r="I100" s="236"/>
      <c r="J100" s="236"/>
      <c r="K100" s="233"/>
    </row>
    <row r="101" spans="2:11" ht="15">
      <c r="C101" s="140"/>
      <c r="D101" s="140"/>
      <c r="E101" s="140"/>
      <c r="F101" s="140"/>
      <c r="G101" s="140"/>
      <c r="H101" s="236"/>
      <c r="I101" s="236"/>
      <c r="J101" s="236"/>
      <c r="K101" s="233"/>
    </row>
    <row r="102" spans="2:11" ht="20.25" customHeight="1">
      <c r="B102" s="5562" t="s">
        <v>875</v>
      </c>
      <c r="C102" s="5563"/>
      <c r="D102" s="5563"/>
      <c r="E102" s="5564"/>
      <c r="F102" s="140"/>
      <c r="G102" s="140"/>
      <c r="H102" s="236"/>
      <c r="I102" s="236"/>
      <c r="J102" s="236"/>
      <c r="K102" s="233"/>
    </row>
    <row r="103" spans="2:11" ht="30">
      <c r="B103" s="241" t="s">
        <v>88</v>
      </c>
      <c r="C103" s="309" t="s">
        <v>89</v>
      </c>
      <c r="D103" s="637" t="s">
        <v>654</v>
      </c>
      <c r="E103" s="309" t="s">
        <v>90</v>
      </c>
      <c r="F103" s="140"/>
      <c r="G103" s="140"/>
      <c r="H103" s="236"/>
      <c r="I103" s="236"/>
      <c r="J103" s="236"/>
      <c r="K103" s="233"/>
    </row>
    <row r="104" spans="2:11" ht="15">
      <c r="B104" s="298" t="s">
        <v>92</v>
      </c>
      <c r="C104" s="297">
        <v>1</v>
      </c>
      <c r="D104" s="297">
        <v>2</v>
      </c>
      <c r="E104" s="310">
        <v>56</v>
      </c>
      <c r="F104" s="140"/>
      <c r="G104" s="140"/>
      <c r="H104" s="236"/>
      <c r="I104" s="236"/>
      <c r="J104" s="236"/>
      <c r="K104" s="233"/>
    </row>
    <row r="105" spans="2:11" ht="30">
      <c r="B105" s="298" t="s">
        <v>876</v>
      </c>
      <c r="C105" s="297">
        <v>2</v>
      </c>
      <c r="D105" s="297">
        <v>22</v>
      </c>
      <c r="E105" s="310">
        <v>597</v>
      </c>
      <c r="F105" s="140"/>
      <c r="G105" s="140"/>
      <c r="H105" s="236"/>
      <c r="I105" s="236"/>
      <c r="J105" s="236"/>
      <c r="K105" s="233"/>
    </row>
    <row r="106" spans="2:11" ht="15">
      <c r="B106" s="298" t="s">
        <v>96</v>
      </c>
      <c r="C106" s="297">
        <v>3</v>
      </c>
      <c r="D106" s="297">
        <v>25</v>
      </c>
      <c r="E106" s="310">
        <v>683</v>
      </c>
      <c r="F106" s="140"/>
      <c r="G106" s="140"/>
      <c r="H106" s="236"/>
      <c r="I106" s="236"/>
      <c r="J106" s="236"/>
      <c r="K106" s="233"/>
    </row>
    <row r="107" spans="2:11" ht="15">
      <c r="B107" s="314" t="s">
        <v>551</v>
      </c>
      <c r="C107" s="311">
        <v>4</v>
      </c>
      <c r="D107" s="311">
        <v>29</v>
      </c>
      <c r="E107" s="312">
        <v>742</v>
      </c>
      <c r="F107" s="140"/>
      <c r="G107" s="140"/>
      <c r="H107" s="236"/>
      <c r="I107" s="236"/>
      <c r="J107" s="236"/>
      <c r="K107" s="233"/>
    </row>
    <row r="108" spans="2:11" ht="15">
      <c r="B108" s="298" t="s">
        <v>448</v>
      </c>
      <c r="C108" s="297">
        <v>5</v>
      </c>
      <c r="D108" s="297">
        <v>34</v>
      </c>
      <c r="E108" s="310">
        <v>791</v>
      </c>
      <c r="F108" s="140"/>
      <c r="G108" s="140"/>
      <c r="H108" s="236"/>
      <c r="I108" s="236"/>
      <c r="J108" s="236"/>
      <c r="K108" s="233"/>
    </row>
    <row r="109" spans="2:11" ht="15">
      <c r="B109" s="298" t="s">
        <v>333</v>
      </c>
      <c r="C109" s="313">
        <v>6</v>
      </c>
      <c r="D109" s="297">
        <v>41</v>
      </c>
      <c r="E109" s="310">
        <v>878</v>
      </c>
      <c r="F109" s="140"/>
      <c r="G109" s="140"/>
      <c r="H109" s="236"/>
      <c r="I109" s="236"/>
      <c r="J109" s="236"/>
      <c r="K109" s="233"/>
    </row>
    <row r="110" spans="2:11" ht="15">
      <c r="B110" s="298" t="s">
        <v>877</v>
      </c>
      <c r="C110" s="297">
        <v>7</v>
      </c>
      <c r="D110" s="297">
        <v>46</v>
      </c>
      <c r="E110" s="310">
        <v>912</v>
      </c>
      <c r="F110" s="140"/>
      <c r="G110" s="140"/>
      <c r="H110" s="236"/>
      <c r="I110" s="236"/>
      <c r="J110" s="236"/>
      <c r="K110" s="233"/>
    </row>
    <row r="111" spans="2:11" ht="15">
      <c r="B111" s="298" t="s">
        <v>344</v>
      </c>
      <c r="C111" s="297">
        <v>8</v>
      </c>
      <c r="D111" s="297">
        <v>62</v>
      </c>
      <c r="E111" s="310">
        <v>1262</v>
      </c>
      <c r="F111" s="140"/>
      <c r="G111" s="140"/>
      <c r="H111" s="236"/>
      <c r="I111" s="236"/>
      <c r="J111" s="236"/>
      <c r="K111" s="233"/>
    </row>
    <row r="112" spans="2:11" ht="15">
      <c r="B112" s="298" t="s">
        <v>552</v>
      </c>
      <c r="C112" s="297">
        <v>9</v>
      </c>
      <c r="D112" s="297">
        <v>69</v>
      </c>
      <c r="E112" s="310">
        <v>1358</v>
      </c>
      <c r="F112" s="140"/>
      <c r="G112" s="140"/>
      <c r="H112" s="236"/>
      <c r="I112" s="236"/>
      <c r="J112" s="236"/>
      <c r="K112" s="233"/>
    </row>
    <row r="113" spans="2:11" ht="15">
      <c r="B113" s="298" t="s">
        <v>553</v>
      </c>
      <c r="C113" s="297">
        <v>10</v>
      </c>
      <c r="D113" s="297">
        <v>71</v>
      </c>
      <c r="E113" s="310">
        <v>1385</v>
      </c>
      <c r="F113" s="140"/>
      <c r="G113" s="140"/>
      <c r="H113" s="236"/>
      <c r="I113" s="236"/>
      <c r="J113" s="236"/>
      <c r="K113" s="233"/>
    </row>
    <row r="114" spans="2:11" ht="15">
      <c r="B114" s="298" t="s">
        <v>735</v>
      </c>
      <c r="C114" s="297">
        <v>11</v>
      </c>
      <c r="D114" s="297">
        <v>75</v>
      </c>
      <c r="E114" s="310">
        <v>1436</v>
      </c>
      <c r="F114" s="140"/>
      <c r="G114" s="140"/>
      <c r="H114" s="236"/>
      <c r="I114" s="236"/>
      <c r="J114" s="236"/>
      <c r="K114" s="233"/>
    </row>
    <row r="115" spans="2:11" ht="15">
      <c r="B115" s="298" t="s">
        <v>339</v>
      </c>
      <c r="C115" s="297">
        <v>12</v>
      </c>
      <c r="D115" s="297">
        <v>76</v>
      </c>
      <c r="E115" s="310">
        <v>1437</v>
      </c>
      <c r="F115" s="140"/>
      <c r="G115" s="140"/>
      <c r="H115" s="236"/>
      <c r="I115" s="236"/>
      <c r="J115" s="236"/>
      <c r="K115" s="233"/>
    </row>
    <row r="116" spans="2:11" ht="15">
      <c r="B116" s="298" t="s">
        <v>878</v>
      </c>
      <c r="C116" s="297">
        <v>13</v>
      </c>
      <c r="D116" s="297">
        <v>86</v>
      </c>
      <c r="E116" s="297">
        <v>1522</v>
      </c>
      <c r="F116" s="140"/>
      <c r="G116" s="140"/>
      <c r="H116" s="236"/>
      <c r="I116" s="236"/>
      <c r="J116" s="236"/>
      <c r="K116" s="233"/>
    </row>
    <row r="117" spans="2:11" ht="15">
      <c r="B117" s="298" t="s">
        <v>736</v>
      </c>
      <c r="C117" s="297">
        <v>14</v>
      </c>
      <c r="D117" s="297">
        <v>87</v>
      </c>
      <c r="E117" s="297">
        <v>1546</v>
      </c>
      <c r="F117" s="140"/>
      <c r="G117" s="140"/>
      <c r="H117" s="236"/>
      <c r="I117" s="236"/>
      <c r="J117" s="236"/>
      <c r="K117" s="233"/>
    </row>
    <row r="118" spans="2:11" ht="15">
      <c r="B118" s="298" t="s">
        <v>734</v>
      </c>
      <c r="C118" s="297">
        <v>15</v>
      </c>
      <c r="D118" s="297">
        <v>94</v>
      </c>
      <c r="E118" s="310">
        <v>1638</v>
      </c>
      <c r="F118" s="140"/>
      <c r="G118" s="140"/>
      <c r="H118" s="236"/>
      <c r="I118" s="236"/>
      <c r="J118" s="236"/>
      <c r="K118" s="233"/>
    </row>
    <row r="119" spans="2:11" ht="15">
      <c r="C119" s="140"/>
      <c r="D119" s="140"/>
      <c r="E119" s="140"/>
      <c r="F119" s="140"/>
      <c r="G119" s="140"/>
      <c r="H119" s="236"/>
      <c r="I119" s="236"/>
      <c r="J119" s="236"/>
      <c r="K119" s="233"/>
    </row>
    <row r="120" spans="2:11" ht="15">
      <c r="G120" s="230"/>
      <c r="H120" s="230"/>
      <c r="I120" s="230"/>
      <c r="J120" s="230"/>
      <c r="K120" s="230"/>
    </row>
    <row r="121" spans="2:11" ht="18" customHeight="1">
      <c r="B121" s="5562" t="s">
        <v>730</v>
      </c>
      <c r="C121" s="5563"/>
      <c r="D121" s="5563"/>
      <c r="E121" s="5564"/>
    </row>
    <row r="122" spans="2:11" ht="30">
      <c r="B122" s="241" t="s">
        <v>88</v>
      </c>
      <c r="C122" s="309" t="s">
        <v>89</v>
      </c>
      <c r="D122" s="637" t="s">
        <v>654</v>
      </c>
      <c r="E122" s="309" t="s">
        <v>90</v>
      </c>
    </row>
    <row r="123" spans="2:11" ht="15">
      <c r="B123" s="298" t="s">
        <v>92</v>
      </c>
      <c r="C123" s="297">
        <v>1</v>
      </c>
      <c r="D123" s="297">
        <v>2</v>
      </c>
      <c r="E123" s="310">
        <v>50</v>
      </c>
    </row>
    <row r="124" spans="2:11" ht="15">
      <c r="B124" s="314" t="s">
        <v>551</v>
      </c>
      <c r="C124" s="311">
        <v>2</v>
      </c>
      <c r="D124" s="311">
        <v>15</v>
      </c>
      <c r="E124" s="312">
        <v>503</v>
      </c>
    </row>
    <row r="125" spans="2:11" ht="15">
      <c r="B125" s="298" t="s">
        <v>93</v>
      </c>
      <c r="C125" s="297">
        <v>3</v>
      </c>
      <c r="D125" s="297">
        <v>22</v>
      </c>
      <c r="E125" s="310">
        <v>678</v>
      </c>
    </row>
    <row r="126" spans="2:11" ht="15">
      <c r="B126" s="298" t="s">
        <v>448</v>
      </c>
      <c r="C126" s="297">
        <v>4</v>
      </c>
      <c r="D126" s="297">
        <v>23</v>
      </c>
      <c r="E126" s="310">
        <v>693</v>
      </c>
    </row>
    <row r="127" spans="2:11" ht="15">
      <c r="B127" s="298" t="s">
        <v>96</v>
      </c>
      <c r="C127" s="297">
        <v>5</v>
      </c>
      <c r="D127" s="297">
        <v>25</v>
      </c>
      <c r="E127" s="310">
        <v>764</v>
      </c>
    </row>
    <row r="128" spans="2:11" ht="15">
      <c r="B128" s="298" t="s">
        <v>340</v>
      </c>
      <c r="C128" s="297">
        <v>6</v>
      </c>
      <c r="D128" s="297">
        <v>28</v>
      </c>
      <c r="E128" s="310">
        <v>785</v>
      </c>
    </row>
    <row r="129" spans="2:5" ht="15">
      <c r="B129" s="298" t="s">
        <v>333</v>
      </c>
      <c r="C129" s="313">
        <v>7</v>
      </c>
      <c r="D129" s="297">
        <v>51</v>
      </c>
      <c r="E129" s="310">
        <v>1150</v>
      </c>
    </row>
    <row r="130" spans="2:5" ht="15">
      <c r="B130" s="298" t="s">
        <v>734</v>
      </c>
      <c r="C130" s="297">
        <v>8</v>
      </c>
      <c r="D130" s="297">
        <v>53</v>
      </c>
      <c r="E130" s="310">
        <v>1167</v>
      </c>
    </row>
    <row r="131" spans="2:5" ht="15">
      <c r="B131" s="298" t="s">
        <v>553</v>
      </c>
      <c r="C131" s="297">
        <v>9</v>
      </c>
      <c r="D131" s="297">
        <v>56</v>
      </c>
      <c r="E131" s="310">
        <v>1218</v>
      </c>
    </row>
    <row r="132" spans="2:5" ht="15">
      <c r="B132" s="298" t="s">
        <v>552</v>
      </c>
      <c r="C132" s="297">
        <v>10</v>
      </c>
      <c r="D132" s="297">
        <v>63</v>
      </c>
      <c r="E132" s="310">
        <v>1309</v>
      </c>
    </row>
    <row r="133" spans="2:5" ht="15">
      <c r="B133" s="298" t="s">
        <v>339</v>
      </c>
      <c r="C133" s="297">
        <v>11</v>
      </c>
      <c r="D133" s="297">
        <v>66</v>
      </c>
      <c r="E133" s="310">
        <v>1395</v>
      </c>
    </row>
    <row r="134" spans="2:5" ht="15">
      <c r="B134" s="298" t="s">
        <v>344</v>
      </c>
      <c r="C134" s="297">
        <v>12</v>
      </c>
      <c r="D134" s="297">
        <v>81</v>
      </c>
      <c r="E134" s="310">
        <v>1536</v>
      </c>
    </row>
    <row r="135" spans="2:5" ht="15">
      <c r="B135" s="298" t="s">
        <v>632</v>
      </c>
      <c r="C135" s="297">
        <v>13</v>
      </c>
      <c r="D135" s="297">
        <v>85</v>
      </c>
      <c r="E135" s="310">
        <v>1600</v>
      </c>
    </row>
    <row r="136" spans="2:5" ht="15">
      <c r="B136" s="298" t="s">
        <v>735</v>
      </c>
      <c r="C136" s="297">
        <v>14</v>
      </c>
      <c r="D136" s="297">
        <v>89</v>
      </c>
      <c r="E136" s="310">
        <v>1624</v>
      </c>
    </row>
    <row r="137" spans="2:5" ht="15">
      <c r="B137" s="298" t="s">
        <v>736</v>
      </c>
      <c r="C137" s="297">
        <v>15</v>
      </c>
      <c r="D137" s="297">
        <v>90</v>
      </c>
      <c r="E137" s="310">
        <v>1627</v>
      </c>
    </row>
    <row r="138" spans="2:5" ht="15">
      <c r="B138" s="298" t="s">
        <v>342</v>
      </c>
      <c r="C138" s="297">
        <v>16</v>
      </c>
      <c r="D138" s="297">
        <v>95</v>
      </c>
      <c r="E138" s="310">
        <v>1676</v>
      </c>
    </row>
    <row r="139" spans="2:5" ht="15">
      <c r="B139" s="229"/>
    </row>
    <row r="140" spans="2:5" ht="15">
      <c r="B140" s="638" t="s">
        <v>75</v>
      </c>
      <c r="C140" s="639"/>
      <c r="D140" s="465"/>
    </row>
    <row r="141" spans="2:5" ht="15">
      <c r="B141" s="640" t="s">
        <v>657</v>
      </c>
      <c r="C141" s="640" t="s">
        <v>658</v>
      </c>
      <c r="D141" s="640" t="s">
        <v>659</v>
      </c>
    </row>
    <row r="142" spans="2:5" ht="15">
      <c r="B142" s="371">
        <v>915</v>
      </c>
      <c r="C142" s="371">
        <v>352</v>
      </c>
      <c r="D142" s="371">
        <v>442</v>
      </c>
    </row>
    <row r="143" spans="2:5" ht="15">
      <c r="B143" s="198" t="s">
        <v>660</v>
      </c>
    </row>
    <row r="144" spans="2:5" ht="15">
      <c r="B144" s="199" t="s">
        <v>746</v>
      </c>
      <c r="D144" s="234">
        <v>41681</v>
      </c>
    </row>
    <row r="145" spans="2:11" ht="15"/>
    <row r="146" spans="2:11" ht="18" customHeight="1">
      <c r="B146" s="5562" t="s">
        <v>549</v>
      </c>
      <c r="C146" s="5563"/>
      <c r="D146" s="5563"/>
      <c r="E146" s="5564"/>
      <c r="G146" s="5562" t="s">
        <v>653</v>
      </c>
      <c r="H146" s="5563"/>
      <c r="I146" s="5563"/>
      <c r="J146" s="5564"/>
      <c r="K146" s="232"/>
    </row>
    <row r="147" spans="2:11" ht="30">
      <c r="B147" s="241" t="s">
        <v>88</v>
      </c>
      <c r="C147" s="309" t="s">
        <v>89</v>
      </c>
      <c r="D147" s="637" t="s">
        <v>654</v>
      </c>
      <c r="E147" s="309" t="s">
        <v>90</v>
      </c>
      <c r="G147" s="241" t="s">
        <v>88</v>
      </c>
      <c r="H147" s="309" t="s">
        <v>89</v>
      </c>
      <c r="I147" s="637" t="s">
        <v>654</v>
      </c>
      <c r="J147" s="309" t="s">
        <v>90</v>
      </c>
      <c r="K147" s="78"/>
    </row>
    <row r="148" spans="2:11" ht="18" customHeight="1">
      <c r="B148" s="298" t="s">
        <v>92</v>
      </c>
      <c r="C148" s="297">
        <v>1</v>
      </c>
      <c r="D148" s="297">
        <v>2</v>
      </c>
      <c r="E148" s="310">
        <v>36</v>
      </c>
      <c r="G148" s="298" t="s">
        <v>92</v>
      </c>
      <c r="H148" s="297">
        <v>1</v>
      </c>
      <c r="I148" s="297">
        <v>2</v>
      </c>
      <c r="J148" s="310">
        <v>70</v>
      </c>
      <c r="K148" s="78"/>
    </row>
    <row r="149" spans="2:11" ht="18" customHeight="1">
      <c r="B149" s="314" t="s">
        <v>551</v>
      </c>
      <c r="C149" s="311">
        <v>2</v>
      </c>
      <c r="D149" s="311">
        <v>20</v>
      </c>
      <c r="E149" s="312">
        <v>496</v>
      </c>
      <c r="G149" s="298" t="s">
        <v>93</v>
      </c>
      <c r="H149" s="297">
        <v>2</v>
      </c>
      <c r="I149" s="297">
        <v>19</v>
      </c>
      <c r="J149" s="297">
        <v>591</v>
      </c>
      <c r="K149" s="78"/>
    </row>
    <row r="150" spans="2:11" ht="18" customHeight="1">
      <c r="B150" s="298" t="s">
        <v>448</v>
      </c>
      <c r="C150" s="297">
        <v>3</v>
      </c>
      <c r="D150" s="297">
        <v>28</v>
      </c>
      <c r="E150" s="310">
        <v>660</v>
      </c>
      <c r="G150" s="314" t="s">
        <v>551</v>
      </c>
      <c r="H150" s="311">
        <v>3</v>
      </c>
      <c r="I150" s="311">
        <v>20</v>
      </c>
      <c r="J150" s="312">
        <v>592</v>
      </c>
      <c r="K150" s="78"/>
    </row>
    <row r="151" spans="2:11" ht="18" customHeight="1">
      <c r="B151" s="298" t="s">
        <v>96</v>
      </c>
      <c r="C151" s="297">
        <v>4</v>
      </c>
      <c r="D151" s="297">
        <v>30</v>
      </c>
      <c r="E151" s="310">
        <v>676</v>
      </c>
      <c r="G151" s="298" t="s">
        <v>96</v>
      </c>
      <c r="H151" s="297">
        <v>4</v>
      </c>
      <c r="I151" s="297">
        <v>30</v>
      </c>
      <c r="J151" s="310">
        <v>861</v>
      </c>
      <c r="K151" s="78"/>
    </row>
    <row r="152" spans="2:11" ht="18" customHeight="1">
      <c r="B152" s="298" t="s">
        <v>340</v>
      </c>
      <c r="C152" s="297">
        <v>5</v>
      </c>
      <c r="D152" s="297">
        <v>41</v>
      </c>
      <c r="E152" s="310">
        <v>799</v>
      </c>
      <c r="G152" s="298" t="s">
        <v>340</v>
      </c>
      <c r="H152" s="297">
        <v>5</v>
      </c>
      <c r="I152" s="297">
        <v>38</v>
      </c>
      <c r="J152" s="310">
        <v>950</v>
      </c>
      <c r="K152" s="78"/>
    </row>
    <row r="153" spans="2:11" ht="18" customHeight="1">
      <c r="B153" s="298" t="s">
        <v>93</v>
      </c>
      <c r="C153" s="297">
        <v>6</v>
      </c>
      <c r="D153" s="297">
        <v>51</v>
      </c>
      <c r="E153" s="310">
        <v>963</v>
      </c>
      <c r="G153" s="298" t="s">
        <v>448</v>
      </c>
      <c r="H153" s="297">
        <v>6</v>
      </c>
      <c r="I153" s="297">
        <v>39</v>
      </c>
      <c r="J153" s="310">
        <v>974</v>
      </c>
      <c r="K153" s="78"/>
    </row>
    <row r="154" spans="2:11" ht="18" customHeight="1">
      <c r="B154" s="298" t="s">
        <v>333</v>
      </c>
      <c r="C154" s="313">
        <v>7</v>
      </c>
      <c r="D154" s="297">
        <v>66</v>
      </c>
      <c r="E154" s="310">
        <v>1100</v>
      </c>
      <c r="G154" s="298" t="s">
        <v>553</v>
      </c>
      <c r="H154" s="297">
        <v>7</v>
      </c>
      <c r="I154" s="297">
        <v>49</v>
      </c>
      <c r="J154" s="310">
        <v>1120</v>
      </c>
      <c r="K154" s="78"/>
    </row>
    <row r="155" spans="2:11" ht="18" customHeight="1">
      <c r="B155" s="298" t="s">
        <v>552</v>
      </c>
      <c r="C155" s="297">
        <v>8</v>
      </c>
      <c r="D155" s="297">
        <v>68</v>
      </c>
      <c r="E155" s="310">
        <v>1129</v>
      </c>
      <c r="G155" s="298" t="s">
        <v>552</v>
      </c>
      <c r="H155" s="297">
        <v>8</v>
      </c>
      <c r="I155" s="297">
        <v>61</v>
      </c>
      <c r="J155" s="310">
        <v>1327</v>
      </c>
      <c r="K155" s="78"/>
    </row>
    <row r="156" spans="2:11" ht="18" customHeight="1">
      <c r="B156" s="298" t="s">
        <v>632</v>
      </c>
      <c r="C156" s="297">
        <v>9</v>
      </c>
      <c r="D156" s="297">
        <v>69</v>
      </c>
      <c r="E156" s="310">
        <v>1129</v>
      </c>
      <c r="G156" s="298" t="s">
        <v>632</v>
      </c>
      <c r="H156" s="297">
        <v>9</v>
      </c>
      <c r="I156" s="297">
        <v>62</v>
      </c>
      <c r="J156" s="310">
        <v>1327</v>
      </c>
      <c r="K156" s="78"/>
    </row>
    <row r="157" spans="2:11" ht="18" customHeight="1">
      <c r="B157" s="298" t="s">
        <v>159</v>
      </c>
      <c r="C157" s="297">
        <v>10</v>
      </c>
      <c r="D157" s="297">
        <v>75</v>
      </c>
      <c r="E157" s="310">
        <v>1221</v>
      </c>
      <c r="G157" s="298" t="s">
        <v>333</v>
      </c>
      <c r="H157" s="297">
        <v>10</v>
      </c>
      <c r="I157" s="297">
        <v>68</v>
      </c>
      <c r="J157" s="310">
        <v>1407</v>
      </c>
      <c r="K157" s="78"/>
    </row>
    <row r="158" spans="2:11" ht="18" customHeight="1">
      <c r="B158" s="298" t="s">
        <v>735</v>
      </c>
      <c r="C158" s="297">
        <v>11</v>
      </c>
      <c r="D158" s="297">
        <v>88</v>
      </c>
      <c r="E158" s="310">
        <v>1357</v>
      </c>
      <c r="G158" s="298" t="s">
        <v>344</v>
      </c>
      <c r="H158" s="297">
        <v>11</v>
      </c>
      <c r="I158" s="297">
        <v>70</v>
      </c>
      <c r="J158" s="310">
        <v>1434</v>
      </c>
      <c r="K158" s="78"/>
    </row>
    <row r="159" spans="2:11" ht="18" customHeight="1">
      <c r="B159" s="298" t="s">
        <v>734</v>
      </c>
      <c r="C159" s="297">
        <v>12</v>
      </c>
      <c r="D159" s="297">
        <v>91</v>
      </c>
      <c r="E159" s="310">
        <v>1390</v>
      </c>
      <c r="G159" s="298" t="s">
        <v>734</v>
      </c>
      <c r="H159" s="297">
        <v>12</v>
      </c>
      <c r="I159" s="297">
        <v>75</v>
      </c>
      <c r="J159" s="310">
        <v>1488</v>
      </c>
      <c r="K159" s="78"/>
    </row>
    <row r="160" spans="2:11" ht="18" customHeight="1">
      <c r="B160" s="298" t="s">
        <v>342</v>
      </c>
      <c r="C160" s="297">
        <v>13</v>
      </c>
      <c r="D160" s="297">
        <v>102</v>
      </c>
      <c r="E160" s="310">
        <v>1557</v>
      </c>
      <c r="G160" s="298" t="s">
        <v>736</v>
      </c>
      <c r="H160" s="297">
        <v>13</v>
      </c>
      <c r="I160" s="297">
        <v>77</v>
      </c>
      <c r="J160" s="310">
        <v>1542</v>
      </c>
      <c r="K160" s="78"/>
    </row>
    <row r="161" spans="2:11" ht="18" customHeight="1">
      <c r="B161" s="298" t="s">
        <v>737</v>
      </c>
      <c r="C161" s="297">
        <v>14</v>
      </c>
      <c r="D161" s="297">
        <v>104</v>
      </c>
      <c r="E161" s="310">
        <v>1564</v>
      </c>
      <c r="G161" s="298" t="s">
        <v>737</v>
      </c>
      <c r="H161" s="297">
        <v>14</v>
      </c>
      <c r="I161" s="297">
        <v>82</v>
      </c>
      <c r="J161" s="310">
        <v>1588</v>
      </c>
      <c r="K161" s="78"/>
    </row>
    <row r="162" spans="2:11" ht="18" customHeight="1">
      <c r="B162" s="298" t="s">
        <v>742</v>
      </c>
      <c r="C162" s="297">
        <v>15</v>
      </c>
      <c r="D162" s="297">
        <v>107</v>
      </c>
      <c r="E162" s="310">
        <v>1615</v>
      </c>
      <c r="G162" s="298" t="s">
        <v>738</v>
      </c>
      <c r="H162" s="297">
        <v>15</v>
      </c>
      <c r="I162" s="297">
        <v>85</v>
      </c>
      <c r="J162" s="310">
        <v>1652</v>
      </c>
      <c r="K162" s="78"/>
    </row>
    <row r="163" spans="2:11" ht="18" customHeight="1">
      <c r="B163" s="298" t="s">
        <v>344</v>
      </c>
      <c r="C163" s="297">
        <v>16</v>
      </c>
      <c r="D163" s="297">
        <v>111</v>
      </c>
      <c r="E163" s="310">
        <v>1650</v>
      </c>
      <c r="G163" s="298" t="s">
        <v>735</v>
      </c>
      <c r="H163" s="297">
        <v>16</v>
      </c>
      <c r="I163" s="641" t="s">
        <v>656</v>
      </c>
      <c r="J163" s="310">
        <v>1787</v>
      </c>
      <c r="K163" s="78"/>
    </row>
    <row r="164" spans="2:11" ht="18" customHeight="1">
      <c r="B164" s="298" t="s">
        <v>743</v>
      </c>
      <c r="C164" s="297">
        <v>17</v>
      </c>
      <c r="D164" s="297">
        <v>126</v>
      </c>
      <c r="E164" s="310">
        <v>1760</v>
      </c>
      <c r="G164" s="298" t="s">
        <v>344</v>
      </c>
      <c r="H164" s="297">
        <v>17</v>
      </c>
      <c r="I164" s="641" t="s">
        <v>656</v>
      </c>
      <c r="J164" s="310">
        <v>1911</v>
      </c>
      <c r="K164" s="78"/>
    </row>
    <row r="165" spans="2:11" ht="18" customHeight="1">
      <c r="B165" s="298" t="s">
        <v>553</v>
      </c>
      <c r="C165" s="297">
        <v>18</v>
      </c>
      <c r="D165" s="297">
        <v>132</v>
      </c>
      <c r="E165" s="310">
        <v>1800</v>
      </c>
      <c r="G165" s="298" t="s">
        <v>342</v>
      </c>
      <c r="H165" s="297">
        <v>18</v>
      </c>
      <c r="I165" s="641" t="s">
        <v>656</v>
      </c>
      <c r="J165" s="310">
        <v>1977</v>
      </c>
      <c r="K165" s="78"/>
    </row>
    <row r="166" spans="2:11" ht="18" customHeight="1">
      <c r="G166" s="642"/>
    </row>
    <row r="167" spans="2:11" ht="15">
      <c r="B167" s="638" t="s">
        <v>75</v>
      </c>
      <c r="C167" s="639"/>
      <c r="D167" s="465"/>
      <c r="E167" s="78"/>
      <c r="F167" s="78"/>
      <c r="G167" s="638" t="s">
        <v>75</v>
      </c>
      <c r="H167" s="639"/>
      <c r="I167" s="465"/>
    </row>
    <row r="168" spans="2:11" ht="15">
      <c r="B168" s="643" t="s">
        <v>657</v>
      </c>
      <c r="C168" s="643" t="s">
        <v>658</v>
      </c>
      <c r="D168" s="643" t="s">
        <v>659</v>
      </c>
      <c r="E168" s="78"/>
      <c r="F168" s="78"/>
      <c r="G168" s="643" t="s">
        <v>657</v>
      </c>
      <c r="H168" s="643" t="s">
        <v>658</v>
      </c>
      <c r="I168" s="643" t="s">
        <v>659</v>
      </c>
    </row>
    <row r="169" spans="2:11" ht="15">
      <c r="B169" s="371">
        <v>810</v>
      </c>
      <c r="C169" s="371">
        <v>599</v>
      </c>
      <c r="D169" s="371">
        <v>250</v>
      </c>
      <c r="E169" s="78"/>
      <c r="F169" s="78"/>
      <c r="G169" s="371">
        <v>926</v>
      </c>
      <c r="H169" s="371">
        <v>514</v>
      </c>
      <c r="I169" s="371">
        <v>467</v>
      </c>
    </row>
    <row r="170" spans="2:11" ht="15">
      <c r="B170" s="198" t="s">
        <v>660</v>
      </c>
      <c r="G170" s="199" t="s">
        <v>660</v>
      </c>
    </row>
    <row r="171" spans="2:11" ht="15">
      <c r="B171" s="199" t="s">
        <v>746</v>
      </c>
      <c r="D171" s="234">
        <v>41312</v>
      </c>
      <c r="G171" s="199" t="s">
        <v>746</v>
      </c>
      <c r="I171" s="234">
        <v>41505</v>
      </c>
    </row>
    <row r="173" spans="2:11" ht="18" customHeight="1">
      <c r="B173" s="5562" t="s">
        <v>398</v>
      </c>
      <c r="C173" s="5563"/>
      <c r="D173" s="5563"/>
      <c r="E173" s="5564"/>
      <c r="G173" s="5562" t="s">
        <v>684</v>
      </c>
      <c r="H173" s="5563"/>
      <c r="I173" s="5563"/>
      <c r="J173" s="5564"/>
      <c r="K173" s="232"/>
    </row>
    <row r="174" spans="2:11" ht="30">
      <c r="B174" s="241" t="s">
        <v>88</v>
      </c>
      <c r="C174" s="309" t="s">
        <v>89</v>
      </c>
      <c r="D174" s="637" t="s">
        <v>654</v>
      </c>
      <c r="E174" s="309" t="s">
        <v>90</v>
      </c>
      <c r="G174" s="241" t="s">
        <v>88</v>
      </c>
      <c r="H174" s="309" t="s">
        <v>89</v>
      </c>
      <c r="I174" s="637" t="s">
        <v>654</v>
      </c>
      <c r="J174" s="309" t="s">
        <v>90</v>
      </c>
      <c r="K174" s="78"/>
    </row>
    <row r="175" spans="2:11" ht="18" customHeight="1">
      <c r="B175" s="298" t="s">
        <v>92</v>
      </c>
      <c r="C175" s="297">
        <v>1</v>
      </c>
      <c r="D175" s="297">
        <v>2</v>
      </c>
      <c r="E175" s="310">
        <v>38</v>
      </c>
      <c r="G175" s="298" t="s">
        <v>92</v>
      </c>
      <c r="H175" s="297">
        <v>1</v>
      </c>
      <c r="I175" s="297">
        <v>2</v>
      </c>
      <c r="J175" s="310">
        <v>41</v>
      </c>
      <c r="K175" s="78"/>
    </row>
    <row r="176" spans="2:11" ht="18" customHeight="1">
      <c r="B176" s="298" t="s">
        <v>96</v>
      </c>
      <c r="C176" s="297">
        <v>2</v>
      </c>
      <c r="D176" s="297">
        <v>18</v>
      </c>
      <c r="E176" s="310">
        <v>493</v>
      </c>
      <c r="G176" s="298" t="s">
        <v>96</v>
      </c>
      <c r="H176" s="297">
        <v>2</v>
      </c>
      <c r="I176" s="297">
        <v>23</v>
      </c>
      <c r="J176" s="310">
        <v>575</v>
      </c>
      <c r="K176" s="78"/>
    </row>
    <row r="177" spans="2:11" ht="18" customHeight="1">
      <c r="B177" s="298" t="s">
        <v>340</v>
      </c>
      <c r="C177" s="297">
        <v>3</v>
      </c>
      <c r="D177" s="297">
        <v>24</v>
      </c>
      <c r="E177" s="310">
        <v>572</v>
      </c>
      <c r="G177" s="314" t="s">
        <v>551</v>
      </c>
      <c r="H177" s="311">
        <v>3</v>
      </c>
      <c r="I177" s="311">
        <v>27</v>
      </c>
      <c r="J177" s="312">
        <v>650</v>
      </c>
      <c r="K177" s="78"/>
    </row>
    <row r="178" spans="2:11" ht="18" customHeight="1">
      <c r="B178" s="298" t="s">
        <v>448</v>
      </c>
      <c r="C178" s="297">
        <v>4</v>
      </c>
      <c r="D178" s="297">
        <v>35</v>
      </c>
      <c r="E178" s="310">
        <v>685</v>
      </c>
      <c r="G178" s="298" t="s">
        <v>448</v>
      </c>
      <c r="H178" s="297">
        <v>4</v>
      </c>
      <c r="I178" s="297">
        <v>28</v>
      </c>
      <c r="J178" s="310">
        <v>658</v>
      </c>
      <c r="K178" s="78"/>
    </row>
    <row r="179" spans="2:11" ht="18" customHeight="1">
      <c r="B179" s="314" t="s">
        <v>551</v>
      </c>
      <c r="C179" s="311">
        <v>5</v>
      </c>
      <c r="D179" s="311">
        <v>36</v>
      </c>
      <c r="E179" s="312">
        <v>704</v>
      </c>
      <c r="G179" s="298" t="s">
        <v>333</v>
      </c>
      <c r="H179" s="297">
        <v>5</v>
      </c>
      <c r="I179" s="297">
        <v>37</v>
      </c>
      <c r="J179" s="310">
        <v>711</v>
      </c>
      <c r="K179" s="78"/>
    </row>
    <row r="180" spans="2:11" ht="18" customHeight="1">
      <c r="B180" s="298" t="s">
        <v>333</v>
      </c>
      <c r="C180" s="297">
        <v>6</v>
      </c>
      <c r="D180" s="297">
        <v>37</v>
      </c>
      <c r="E180" s="310">
        <v>718</v>
      </c>
      <c r="G180" s="298" t="s">
        <v>93</v>
      </c>
      <c r="H180" s="297">
        <v>6</v>
      </c>
      <c r="I180" s="297">
        <v>51</v>
      </c>
      <c r="J180" s="310">
        <v>951</v>
      </c>
      <c r="K180" s="78"/>
    </row>
    <row r="181" spans="2:11" ht="18" customHeight="1">
      <c r="B181" s="298" t="s">
        <v>93</v>
      </c>
      <c r="C181" s="297">
        <v>7</v>
      </c>
      <c r="D181" s="297">
        <v>47</v>
      </c>
      <c r="E181" s="310">
        <v>853</v>
      </c>
      <c r="G181" s="298" t="s">
        <v>632</v>
      </c>
      <c r="H181" s="297">
        <v>7</v>
      </c>
      <c r="I181" s="644">
        <v>62</v>
      </c>
      <c r="J181" s="310">
        <v>1078</v>
      </c>
      <c r="K181" s="78"/>
    </row>
    <row r="182" spans="2:11" ht="18" customHeight="1">
      <c r="B182" s="298" t="s">
        <v>632</v>
      </c>
      <c r="C182" s="297">
        <v>8</v>
      </c>
      <c r="D182" s="297">
        <v>48</v>
      </c>
      <c r="E182" s="310">
        <v>871</v>
      </c>
      <c r="G182" s="298" t="s">
        <v>552</v>
      </c>
      <c r="H182" s="297">
        <v>8</v>
      </c>
      <c r="I182" s="297">
        <v>68</v>
      </c>
      <c r="J182" s="310">
        <v>1162</v>
      </c>
      <c r="K182" s="78"/>
    </row>
    <row r="183" spans="2:11" ht="18" customHeight="1">
      <c r="B183" s="298" t="s">
        <v>552</v>
      </c>
      <c r="C183" s="297">
        <v>9</v>
      </c>
      <c r="D183" s="297">
        <v>56</v>
      </c>
      <c r="E183" s="310">
        <v>973</v>
      </c>
      <c r="G183" s="298" t="s">
        <v>159</v>
      </c>
      <c r="H183" s="297">
        <v>9</v>
      </c>
      <c r="I183" s="297">
        <v>70</v>
      </c>
      <c r="J183" s="310">
        <v>1171</v>
      </c>
      <c r="K183" s="78"/>
    </row>
    <row r="184" spans="2:11" ht="18" customHeight="1">
      <c r="B184" s="298" t="s">
        <v>553</v>
      </c>
      <c r="C184" s="297">
        <v>10</v>
      </c>
      <c r="D184" s="297">
        <v>62</v>
      </c>
      <c r="E184" s="310">
        <v>1079</v>
      </c>
      <c r="G184" s="298" t="s">
        <v>553</v>
      </c>
      <c r="H184" s="297">
        <v>10</v>
      </c>
      <c r="I184" s="297">
        <v>75</v>
      </c>
      <c r="J184" s="310">
        <v>1211</v>
      </c>
      <c r="K184" s="78"/>
    </row>
    <row r="185" spans="2:11" ht="18" customHeight="1">
      <c r="B185" s="298" t="s">
        <v>159</v>
      </c>
      <c r="C185" s="297">
        <v>11</v>
      </c>
      <c r="D185" s="297">
        <v>69</v>
      </c>
      <c r="E185" s="310">
        <v>1140</v>
      </c>
      <c r="G185" s="298" t="s">
        <v>735</v>
      </c>
      <c r="H185" s="297">
        <v>11</v>
      </c>
      <c r="I185" s="297">
        <v>80</v>
      </c>
      <c r="J185" s="310">
        <v>1240</v>
      </c>
      <c r="K185" s="78"/>
    </row>
    <row r="186" spans="2:11" ht="18" customHeight="1">
      <c r="B186" s="298" t="s">
        <v>742</v>
      </c>
      <c r="C186" s="297">
        <v>12</v>
      </c>
      <c r="D186" s="297">
        <v>70</v>
      </c>
      <c r="E186" s="310">
        <v>1143</v>
      </c>
      <c r="G186" s="298" t="s">
        <v>344</v>
      </c>
      <c r="H186" s="297">
        <v>12</v>
      </c>
      <c r="I186" s="297" t="s">
        <v>642</v>
      </c>
      <c r="J186" s="310">
        <v>1563</v>
      </c>
      <c r="K186" s="78"/>
    </row>
    <row r="187" spans="2:11" ht="18" customHeight="1">
      <c r="B187" s="298" t="s">
        <v>735</v>
      </c>
      <c r="C187" s="297">
        <v>13</v>
      </c>
      <c r="D187" s="297">
        <v>72</v>
      </c>
      <c r="E187" s="310">
        <v>1166</v>
      </c>
      <c r="G187" s="298" t="s">
        <v>740</v>
      </c>
      <c r="H187" s="297">
        <v>13</v>
      </c>
      <c r="I187" s="297" t="s">
        <v>642</v>
      </c>
      <c r="J187" s="310">
        <v>1602</v>
      </c>
      <c r="K187" s="78"/>
    </row>
    <row r="188" spans="2:11" ht="18" customHeight="1">
      <c r="B188" s="298" t="s">
        <v>344</v>
      </c>
      <c r="C188" s="297">
        <v>14</v>
      </c>
      <c r="D188" s="297">
        <v>78</v>
      </c>
      <c r="E188" s="310">
        <v>1193</v>
      </c>
      <c r="G188" s="298" t="s">
        <v>741</v>
      </c>
      <c r="H188" s="297">
        <v>14</v>
      </c>
      <c r="I188" s="297" t="s">
        <v>642</v>
      </c>
      <c r="J188" s="310">
        <v>1643</v>
      </c>
      <c r="K188" s="78"/>
    </row>
    <row r="189" spans="2:11" ht="18" customHeight="1">
      <c r="B189" s="298" t="s">
        <v>743</v>
      </c>
      <c r="C189" s="297">
        <v>15</v>
      </c>
      <c r="D189" s="297">
        <v>90</v>
      </c>
      <c r="E189" s="310">
        <v>1243</v>
      </c>
      <c r="G189" s="298" t="s">
        <v>342</v>
      </c>
      <c r="H189" s="297">
        <v>15</v>
      </c>
      <c r="I189" s="297" t="s">
        <v>642</v>
      </c>
      <c r="J189" s="310">
        <v>1666</v>
      </c>
      <c r="K189" s="78"/>
    </row>
    <row r="190" spans="2:11" ht="18" customHeight="1">
      <c r="B190" s="298" t="s">
        <v>734</v>
      </c>
      <c r="C190" s="297">
        <v>16</v>
      </c>
      <c r="D190" s="297">
        <v>97</v>
      </c>
      <c r="E190" s="310">
        <v>1327</v>
      </c>
      <c r="G190" s="298" t="s">
        <v>734</v>
      </c>
      <c r="H190" s="297">
        <v>16</v>
      </c>
      <c r="I190" s="297" t="s">
        <v>642</v>
      </c>
      <c r="J190" s="310">
        <v>1671</v>
      </c>
      <c r="K190" s="78"/>
    </row>
    <row r="191" spans="2:11" ht="18" customHeight="1">
      <c r="B191" s="298" t="s">
        <v>342</v>
      </c>
      <c r="C191" s="297">
        <v>17</v>
      </c>
      <c r="D191" s="297">
        <v>99</v>
      </c>
      <c r="E191" s="310">
        <v>1337</v>
      </c>
      <c r="G191" s="298" t="s">
        <v>739</v>
      </c>
      <c r="H191" s="297">
        <v>17</v>
      </c>
      <c r="I191" s="297" t="s">
        <v>642</v>
      </c>
      <c r="J191" s="310">
        <v>1217</v>
      </c>
      <c r="K191" s="78"/>
    </row>
    <row r="192" spans="2:11" ht="15">
      <c r="B192" s="235">
        <v>40947</v>
      </c>
      <c r="C192" s="78"/>
      <c r="E192" s="78"/>
      <c r="G192" s="77" t="s">
        <v>687</v>
      </c>
      <c r="H192" s="78"/>
      <c r="I192" s="78"/>
      <c r="J192" s="78"/>
      <c r="K192" s="78"/>
    </row>
    <row r="193" spans="2:11" ht="15">
      <c r="G193" s="196" t="s">
        <v>688</v>
      </c>
      <c r="H193" s="234">
        <v>41148</v>
      </c>
    </row>
    <row r="194" spans="2:11" ht="15"/>
    <row r="195" spans="2:11" ht="18" customHeight="1">
      <c r="B195" s="5561" t="s">
        <v>477</v>
      </c>
      <c r="C195" s="5561"/>
      <c r="D195" s="5561"/>
      <c r="E195" s="5561"/>
      <c r="G195" s="5562" t="s">
        <v>685</v>
      </c>
      <c r="H195" s="5563"/>
      <c r="I195" s="5563"/>
      <c r="J195" s="5564"/>
      <c r="K195" s="231"/>
    </row>
    <row r="196" spans="2:11" ht="30">
      <c r="B196" s="241" t="s">
        <v>88</v>
      </c>
      <c r="C196" s="309" t="s">
        <v>89</v>
      </c>
      <c r="D196" s="309" t="s">
        <v>654</v>
      </c>
      <c r="E196" s="309" t="s">
        <v>90</v>
      </c>
      <c r="G196" s="241" t="s">
        <v>88</v>
      </c>
      <c r="H196" s="309" t="s">
        <v>89</v>
      </c>
      <c r="I196" s="637" t="s">
        <v>654</v>
      </c>
      <c r="J196" s="309" t="s">
        <v>90</v>
      </c>
      <c r="K196" s="153"/>
    </row>
    <row r="197" spans="2:11" ht="18" customHeight="1">
      <c r="B197" s="298" t="s">
        <v>92</v>
      </c>
      <c r="C197" s="297">
        <v>1</v>
      </c>
      <c r="D197" s="297">
        <v>2</v>
      </c>
      <c r="E197" s="310">
        <v>66</v>
      </c>
      <c r="G197" s="298" t="s">
        <v>92</v>
      </c>
      <c r="H197" s="297">
        <v>1</v>
      </c>
      <c r="I197" s="297">
        <v>2</v>
      </c>
      <c r="J197" s="310">
        <v>49</v>
      </c>
      <c r="K197" s="221"/>
    </row>
    <row r="198" spans="2:11" ht="18" customHeight="1">
      <c r="B198" s="298" t="s">
        <v>96</v>
      </c>
      <c r="C198" s="297">
        <v>2</v>
      </c>
      <c r="D198" s="297">
        <v>22</v>
      </c>
      <c r="E198" s="310">
        <v>550</v>
      </c>
      <c r="G198" s="298" t="s">
        <v>96</v>
      </c>
      <c r="H198" s="297">
        <v>2</v>
      </c>
      <c r="I198" s="297">
        <v>19</v>
      </c>
      <c r="J198" s="310">
        <v>522</v>
      </c>
      <c r="K198" s="221"/>
    </row>
    <row r="199" spans="2:11" ht="18" customHeight="1">
      <c r="B199" s="298" t="s">
        <v>340</v>
      </c>
      <c r="C199" s="297">
        <v>3</v>
      </c>
      <c r="D199" s="297">
        <v>25</v>
      </c>
      <c r="E199" s="310">
        <v>593</v>
      </c>
      <c r="G199" s="314" t="s">
        <v>551</v>
      </c>
      <c r="H199" s="311">
        <v>3</v>
      </c>
      <c r="I199" s="311">
        <v>26</v>
      </c>
      <c r="J199" s="312">
        <v>593</v>
      </c>
      <c r="K199" s="79"/>
    </row>
    <row r="200" spans="2:11" ht="18" customHeight="1">
      <c r="B200" s="298" t="s">
        <v>553</v>
      </c>
      <c r="C200" s="297">
        <v>4</v>
      </c>
      <c r="D200" s="297">
        <v>38</v>
      </c>
      <c r="E200" s="310">
        <v>765</v>
      </c>
      <c r="G200" s="298" t="s">
        <v>448</v>
      </c>
      <c r="H200" s="297">
        <v>4</v>
      </c>
      <c r="I200" s="297">
        <v>27</v>
      </c>
      <c r="J200" s="310">
        <v>616</v>
      </c>
      <c r="K200" s="221"/>
    </row>
    <row r="201" spans="2:11" ht="18" customHeight="1">
      <c r="B201" s="314" t="s">
        <v>551</v>
      </c>
      <c r="C201" s="311">
        <v>5</v>
      </c>
      <c r="D201" s="311">
        <v>41</v>
      </c>
      <c r="E201" s="312">
        <v>823</v>
      </c>
      <c r="G201" s="298" t="s">
        <v>340</v>
      </c>
      <c r="H201" s="297">
        <v>5</v>
      </c>
      <c r="I201" s="297">
        <v>32</v>
      </c>
      <c r="J201" s="310">
        <v>737</v>
      </c>
      <c r="K201" s="221"/>
    </row>
    <row r="202" spans="2:11" ht="18" customHeight="1">
      <c r="B202" s="298" t="s">
        <v>448</v>
      </c>
      <c r="C202" s="297">
        <v>6</v>
      </c>
      <c r="D202" s="297">
        <v>52</v>
      </c>
      <c r="E202" s="310">
        <v>956</v>
      </c>
      <c r="G202" s="298" t="s">
        <v>333</v>
      </c>
      <c r="H202" s="297">
        <v>6</v>
      </c>
      <c r="I202" s="297">
        <v>45</v>
      </c>
      <c r="J202" s="310">
        <v>1017</v>
      </c>
      <c r="K202" s="221"/>
    </row>
    <row r="203" spans="2:11" ht="18" customHeight="1">
      <c r="B203" s="298" t="s">
        <v>742</v>
      </c>
      <c r="C203" s="297">
        <v>7</v>
      </c>
      <c r="D203" s="297">
        <v>60</v>
      </c>
      <c r="E203" s="310">
        <v>1019</v>
      </c>
      <c r="G203" s="298" t="s">
        <v>735</v>
      </c>
      <c r="H203" s="297">
        <v>7</v>
      </c>
      <c r="I203" s="297">
        <v>54</v>
      </c>
      <c r="J203" s="310">
        <v>1087</v>
      </c>
      <c r="K203" s="221"/>
    </row>
    <row r="204" spans="2:11" ht="18" customHeight="1">
      <c r="B204" s="298" t="s">
        <v>333</v>
      </c>
      <c r="C204" s="297">
        <v>8</v>
      </c>
      <c r="D204" s="297">
        <v>61</v>
      </c>
      <c r="E204" s="310">
        <v>1029</v>
      </c>
      <c r="G204" s="298" t="s">
        <v>159</v>
      </c>
      <c r="H204" s="297">
        <v>8</v>
      </c>
      <c r="I204" s="297">
        <v>56</v>
      </c>
      <c r="J204" s="310">
        <v>1094</v>
      </c>
      <c r="K204" s="221"/>
    </row>
    <row r="205" spans="2:11" ht="18" customHeight="1">
      <c r="B205" s="298" t="s">
        <v>735</v>
      </c>
      <c r="C205" s="297">
        <v>9</v>
      </c>
      <c r="D205" s="297">
        <v>62</v>
      </c>
      <c r="E205" s="310">
        <v>1066</v>
      </c>
      <c r="G205" s="298" t="s">
        <v>552</v>
      </c>
      <c r="H205" s="297">
        <v>9</v>
      </c>
      <c r="I205" s="297">
        <v>63</v>
      </c>
      <c r="J205" s="310">
        <v>1150</v>
      </c>
      <c r="K205" s="221"/>
    </row>
    <row r="206" spans="2:11" ht="18" customHeight="1">
      <c r="B206" s="298" t="s">
        <v>159</v>
      </c>
      <c r="C206" s="297">
        <v>10</v>
      </c>
      <c r="D206" s="297">
        <v>70</v>
      </c>
      <c r="E206" s="310">
        <v>1157</v>
      </c>
      <c r="G206" s="298" t="s">
        <v>632</v>
      </c>
      <c r="H206" s="297">
        <v>10</v>
      </c>
      <c r="I206" s="297">
        <v>68</v>
      </c>
      <c r="J206" s="310">
        <v>1189</v>
      </c>
      <c r="K206" s="221"/>
    </row>
    <row r="207" spans="2:11" ht="18" customHeight="1">
      <c r="B207" s="298" t="s">
        <v>93</v>
      </c>
      <c r="C207" s="297">
        <v>11</v>
      </c>
      <c r="D207" s="297">
        <v>76</v>
      </c>
      <c r="E207" s="310">
        <v>1172</v>
      </c>
      <c r="G207" s="298" t="s">
        <v>742</v>
      </c>
      <c r="H207" s="297">
        <v>11</v>
      </c>
      <c r="I207" s="297">
        <v>71</v>
      </c>
      <c r="J207" s="310">
        <v>1220</v>
      </c>
      <c r="K207" s="221"/>
    </row>
    <row r="208" spans="2:11" ht="18" customHeight="1">
      <c r="B208" s="298" t="s">
        <v>632</v>
      </c>
      <c r="C208" s="297">
        <v>12</v>
      </c>
      <c r="D208" s="297">
        <v>81</v>
      </c>
      <c r="E208" s="310">
        <v>1227</v>
      </c>
      <c r="G208" s="298" t="s">
        <v>553</v>
      </c>
      <c r="H208" s="297">
        <v>12</v>
      </c>
      <c r="I208" s="297">
        <v>76</v>
      </c>
      <c r="J208" s="310">
        <v>1256</v>
      </c>
      <c r="K208" s="221"/>
    </row>
    <row r="209" spans="2:11" ht="18" customHeight="1">
      <c r="B209" s="298" t="s">
        <v>552</v>
      </c>
      <c r="C209" s="297">
        <v>13</v>
      </c>
      <c r="D209" s="297">
        <v>84</v>
      </c>
      <c r="E209" s="310">
        <v>1251</v>
      </c>
      <c r="G209" s="298" t="s">
        <v>343</v>
      </c>
      <c r="H209" s="297">
        <v>13</v>
      </c>
      <c r="I209" s="297">
        <v>80</v>
      </c>
      <c r="J209" s="310">
        <v>1303</v>
      </c>
      <c r="K209" s="221"/>
    </row>
    <row r="210" spans="2:11" ht="18" customHeight="1">
      <c r="B210" s="298" t="s">
        <v>744</v>
      </c>
      <c r="C210" s="297">
        <v>14</v>
      </c>
      <c r="D210" s="297">
        <v>85</v>
      </c>
      <c r="E210" s="310">
        <v>1258</v>
      </c>
      <c r="G210" s="298" t="s">
        <v>344</v>
      </c>
      <c r="H210" s="297">
        <v>14</v>
      </c>
      <c r="I210" s="297">
        <v>81</v>
      </c>
      <c r="J210" s="310">
        <v>1309</v>
      </c>
      <c r="K210" s="221"/>
    </row>
    <row r="211" spans="2:11" ht="18" customHeight="1">
      <c r="B211" s="298" t="s">
        <v>344</v>
      </c>
      <c r="C211" s="297">
        <v>15</v>
      </c>
      <c r="D211" s="297">
        <v>92</v>
      </c>
      <c r="E211" s="310">
        <v>1355</v>
      </c>
      <c r="G211" s="298" t="s">
        <v>342</v>
      </c>
      <c r="H211" s="297">
        <v>15</v>
      </c>
      <c r="I211" s="297">
        <v>83</v>
      </c>
      <c r="J211" s="310">
        <v>1324</v>
      </c>
      <c r="K211" s="221"/>
    </row>
    <row r="212" spans="2:11" ht="18" customHeight="1">
      <c r="B212" s="298" t="s">
        <v>743</v>
      </c>
      <c r="C212" s="297">
        <v>16</v>
      </c>
      <c r="D212" s="297">
        <v>98</v>
      </c>
      <c r="E212" s="310">
        <v>1464</v>
      </c>
      <c r="G212" s="298" t="s">
        <v>743</v>
      </c>
      <c r="H212" s="297">
        <v>16</v>
      </c>
      <c r="I212" s="297">
        <v>89</v>
      </c>
      <c r="J212" s="310">
        <v>1367</v>
      </c>
      <c r="K212" s="221"/>
    </row>
    <row r="213" spans="2:11" ht="18" customHeight="1">
      <c r="B213" s="235">
        <v>40688</v>
      </c>
      <c r="C213" s="78"/>
      <c r="E213" s="78"/>
      <c r="G213" s="235">
        <v>40792</v>
      </c>
      <c r="H213" s="78"/>
      <c r="J213" s="78"/>
      <c r="K213" s="78"/>
    </row>
    <row r="215" spans="2:11" ht="18" customHeight="1">
      <c r="G215" s="5562" t="s">
        <v>686</v>
      </c>
      <c r="H215" s="5563"/>
      <c r="I215" s="5563"/>
      <c r="J215" s="5564"/>
    </row>
    <row r="216" spans="2:11" ht="30">
      <c r="G216" s="241" t="s">
        <v>88</v>
      </c>
      <c r="H216" s="309" t="s">
        <v>89</v>
      </c>
      <c r="I216" s="309" t="s">
        <v>654</v>
      </c>
      <c r="J216" s="309" t="s">
        <v>90</v>
      </c>
    </row>
    <row r="217" spans="2:11" ht="18" customHeight="1">
      <c r="G217" s="298" t="s">
        <v>92</v>
      </c>
      <c r="H217" s="297">
        <v>1</v>
      </c>
      <c r="I217" s="297">
        <v>1</v>
      </c>
      <c r="J217" s="644">
        <v>70</v>
      </c>
    </row>
    <row r="218" spans="2:11" ht="18" customHeight="1">
      <c r="G218" s="298" t="s">
        <v>340</v>
      </c>
      <c r="H218" s="297">
        <v>2</v>
      </c>
      <c r="I218" s="297">
        <v>8</v>
      </c>
      <c r="J218" s="644">
        <v>460</v>
      </c>
    </row>
    <row r="219" spans="2:11" ht="18" customHeight="1">
      <c r="G219" s="298" t="s">
        <v>96</v>
      </c>
      <c r="H219" s="297">
        <v>3</v>
      </c>
      <c r="I219" s="297">
        <v>20</v>
      </c>
      <c r="J219" s="644">
        <v>653</v>
      </c>
    </row>
    <row r="220" spans="2:11" ht="18" customHeight="1">
      <c r="G220" s="314" t="s">
        <v>551</v>
      </c>
      <c r="H220" s="311">
        <v>4</v>
      </c>
      <c r="I220" s="311">
        <v>24</v>
      </c>
      <c r="J220" s="645">
        <v>698</v>
      </c>
    </row>
    <row r="221" spans="2:11" ht="18" customHeight="1">
      <c r="G221" s="298" t="s">
        <v>448</v>
      </c>
      <c r="H221" s="297">
        <v>5</v>
      </c>
      <c r="I221" s="297">
        <v>38</v>
      </c>
      <c r="J221" s="644">
        <v>948</v>
      </c>
    </row>
    <row r="222" spans="2:11" ht="18" customHeight="1">
      <c r="G222" s="298" t="s">
        <v>333</v>
      </c>
      <c r="H222" s="297">
        <v>6</v>
      </c>
      <c r="I222" s="297">
        <v>40</v>
      </c>
      <c r="J222" s="644">
        <v>1026</v>
      </c>
    </row>
    <row r="223" spans="2:11" ht="18" customHeight="1">
      <c r="G223" s="298" t="s">
        <v>159</v>
      </c>
      <c r="H223" s="297">
        <v>7</v>
      </c>
      <c r="I223" s="297">
        <v>56</v>
      </c>
      <c r="J223" s="644">
        <v>1283</v>
      </c>
    </row>
    <row r="224" spans="2:11" ht="18" customHeight="1">
      <c r="G224" s="298" t="s">
        <v>734</v>
      </c>
      <c r="H224" s="297">
        <v>8</v>
      </c>
      <c r="I224" s="297">
        <v>62</v>
      </c>
      <c r="J224" s="644">
        <v>1347</v>
      </c>
    </row>
    <row r="225" spans="7:10" ht="18" customHeight="1">
      <c r="G225" s="298" t="s">
        <v>739</v>
      </c>
      <c r="H225" s="297">
        <v>9</v>
      </c>
      <c r="I225" s="297">
        <v>67</v>
      </c>
      <c r="J225" s="644">
        <v>1366</v>
      </c>
    </row>
    <row r="226" spans="7:10" ht="18" customHeight="1">
      <c r="G226" s="298" t="s">
        <v>552</v>
      </c>
      <c r="H226" s="297">
        <v>10</v>
      </c>
      <c r="I226" s="297">
        <v>69</v>
      </c>
      <c r="J226" s="644">
        <v>1381</v>
      </c>
    </row>
    <row r="227" spans="7:10" ht="18" customHeight="1">
      <c r="G227" s="298" t="s">
        <v>735</v>
      </c>
      <c r="H227" s="297">
        <v>11</v>
      </c>
      <c r="I227" s="297">
        <v>70</v>
      </c>
      <c r="J227" s="644">
        <v>1394</v>
      </c>
    </row>
    <row r="228" spans="7:10" ht="18" customHeight="1">
      <c r="G228" s="298" t="s">
        <v>632</v>
      </c>
      <c r="H228" s="297">
        <v>12</v>
      </c>
      <c r="I228" s="297">
        <v>72</v>
      </c>
      <c r="J228" s="644">
        <v>1412</v>
      </c>
    </row>
    <row r="229" spans="7:10" ht="18" customHeight="1">
      <c r="G229" s="298" t="s">
        <v>742</v>
      </c>
      <c r="H229" s="297">
        <v>13</v>
      </c>
      <c r="I229" s="297">
        <v>75</v>
      </c>
      <c r="J229" s="644">
        <v>1444</v>
      </c>
    </row>
    <row r="230" spans="7:10" ht="18" customHeight="1">
      <c r="G230" s="298" t="s">
        <v>344</v>
      </c>
      <c r="H230" s="297">
        <v>14</v>
      </c>
      <c r="I230" s="297">
        <v>79</v>
      </c>
      <c r="J230" s="644">
        <v>1550</v>
      </c>
    </row>
    <row r="231" spans="7:10" ht="18" customHeight="1">
      <c r="G231" s="298" t="s">
        <v>744</v>
      </c>
      <c r="H231" s="297">
        <v>15</v>
      </c>
      <c r="I231" s="297">
        <v>81</v>
      </c>
      <c r="J231" s="644">
        <v>1559</v>
      </c>
    </row>
    <row r="232" spans="7:10" ht="18" customHeight="1">
      <c r="G232" s="298" t="s">
        <v>553</v>
      </c>
      <c r="H232" s="297">
        <v>16</v>
      </c>
      <c r="I232" s="297">
        <v>86</v>
      </c>
      <c r="J232" s="644">
        <v>1589</v>
      </c>
    </row>
    <row r="233" spans="7:10" ht="18" customHeight="1">
      <c r="G233" s="298" t="s">
        <v>736</v>
      </c>
      <c r="H233" s="297">
        <v>17</v>
      </c>
      <c r="I233" s="297">
        <v>95</v>
      </c>
      <c r="J233" s="644">
        <v>1681</v>
      </c>
    </row>
    <row r="234" spans="7:10" ht="18" customHeight="1">
      <c r="G234" s="298" t="s">
        <v>343</v>
      </c>
      <c r="H234" s="297">
        <v>18</v>
      </c>
      <c r="I234" s="297">
        <v>96</v>
      </c>
      <c r="J234" s="644">
        <v>1689</v>
      </c>
    </row>
    <row r="235" spans="7:10" ht="18" customHeight="1">
      <c r="G235" s="298" t="s">
        <v>745</v>
      </c>
      <c r="H235" s="297">
        <v>19</v>
      </c>
      <c r="I235" s="297">
        <v>99</v>
      </c>
      <c r="J235" s="644">
        <v>1704</v>
      </c>
    </row>
    <row r="236" spans="7:10" ht="18" customHeight="1">
      <c r="G236" s="234">
        <v>40395</v>
      </c>
    </row>
  </sheetData>
  <mergeCells count="16">
    <mergeCell ref="B2:E2"/>
    <mergeCell ref="B25:E25"/>
    <mergeCell ref="B195:E195"/>
    <mergeCell ref="G195:J195"/>
    <mergeCell ref="G215:J215"/>
    <mergeCell ref="B4:E4"/>
    <mergeCell ref="B102:E102"/>
    <mergeCell ref="B121:E121"/>
    <mergeCell ref="B146:E146"/>
    <mergeCell ref="G146:J146"/>
    <mergeCell ref="B173:E173"/>
    <mergeCell ref="G173:J173"/>
    <mergeCell ref="B82:E82"/>
    <mergeCell ref="B63:E63"/>
    <mergeCell ref="B44:E44"/>
    <mergeCell ref="B6:E6"/>
  </mergeCells>
  <hyperlinks>
    <hyperlink ref="B99" r:id="rId1"/>
  </hyperlinks>
  <pageMargins left="0.31496062992125984" right="0.11811023622047245" top="0.55118110236220474" bottom="0.74803149606299213" header="0" footer="0"/>
  <pageSetup scale="31" orientation="landscape" r:id="rId2"/>
  <drawing r:id="rId3"/>
</worksheet>
</file>

<file path=xl/worksheets/sheet54.xml><?xml version="1.0" encoding="utf-8"?>
<worksheet xmlns="http://schemas.openxmlformats.org/spreadsheetml/2006/main" xmlns:r="http://schemas.openxmlformats.org/officeDocument/2006/relationships">
  <sheetPr>
    <tabColor theme="7" tint="-0.499984740745262"/>
    <pageSetUpPr fitToPage="1"/>
  </sheetPr>
  <dimension ref="B2:D183"/>
  <sheetViews>
    <sheetView showGridLines="0" workbookViewId="0"/>
  </sheetViews>
  <sheetFormatPr baseColWidth="10" defaultRowHeight="15"/>
  <cols>
    <col min="2" max="2" width="13.5703125" customWidth="1"/>
    <col min="3" max="3" width="57" customWidth="1"/>
    <col min="4" max="4" width="13.85546875" customWidth="1"/>
    <col min="5" max="5" width="5.140625" customWidth="1"/>
    <col min="6" max="8" width="5.5703125" customWidth="1"/>
    <col min="9" max="9" width="5.28515625" customWidth="1"/>
    <col min="10" max="10" width="6.5703125" customWidth="1"/>
    <col min="11" max="11" width="4.5703125" customWidth="1"/>
    <col min="12" max="12" width="6" customWidth="1"/>
    <col min="13" max="13" width="5.42578125" customWidth="1"/>
    <col min="14" max="14" width="5.28515625" customWidth="1"/>
    <col min="15" max="15" width="6.28515625" customWidth="1"/>
    <col min="16" max="16" width="5.5703125" customWidth="1"/>
    <col min="17" max="17" width="5.140625" customWidth="1"/>
    <col min="18" max="18" width="8.5703125" bestFit="1" customWidth="1"/>
    <col min="19" max="19" width="5.140625" customWidth="1"/>
    <col min="21" max="21" width="45.5703125" bestFit="1" customWidth="1"/>
    <col min="22" max="22" width="7.7109375" bestFit="1" customWidth="1"/>
    <col min="23" max="23" width="3.5703125" customWidth="1"/>
    <col min="25" max="25" width="45.5703125" bestFit="1" customWidth="1"/>
    <col min="26" max="26" width="5.28515625" bestFit="1" customWidth="1"/>
  </cols>
  <sheetData>
    <row r="2" spans="2:3" ht="20.100000000000001" customHeight="1">
      <c r="B2" s="4084" t="s">
        <v>2853</v>
      </c>
      <c r="C2" s="4084"/>
    </row>
    <row r="3" spans="2:3" ht="30.75" thickBot="1">
      <c r="B3" s="3532" t="s">
        <v>1963</v>
      </c>
      <c r="C3" s="3532" t="s">
        <v>1831</v>
      </c>
    </row>
    <row r="4" spans="2:3" ht="20.100000000000001" customHeight="1">
      <c r="B4" s="4064">
        <v>4</v>
      </c>
      <c r="C4" s="4065" t="s">
        <v>1833</v>
      </c>
    </row>
    <row r="5" spans="2:3" ht="20.100000000000001" customHeight="1">
      <c r="B5" s="4066">
        <v>6</v>
      </c>
      <c r="C5" s="4067" t="s">
        <v>340</v>
      </c>
    </row>
    <row r="6" spans="2:3" ht="20.100000000000001" customHeight="1">
      <c r="B6" s="4066">
        <v>23</v>
      </c>
      <c r="C6" s="4067" t="s">
        <v>1836</v>
      </c>
    </row>
    <row r="7" spans="2:3" ht="20.100000000000001" customHeight="1">
      <c r="B7" s="4068">
        <v>29</v>
      </c>
      <c r="C7" s="4069" t="s">
        <v>1837</v>
      </c>
    </row>
    <row r="8" spans="2:3" ht="20.100000000000001" customHeight="1">
      <c r="B8" s="4066">
        <v>39</v>
      </c>
      <c r="C8" s="4067" t="s">
        <v>2851</v>
      </c>
    </row>
    <row r="9" spans="2:3" ht="20.100000000000001" customHeight="1">
      <c r="B9" s="4066">
        <v>42</v>
      </c>
      <c r="C9" s="4067" t="s">
        <v>1838</v>
      </c>
    </row>
    <row r="10" spans="2:3" ht="20.100000000000001" customHeight="1">
      <c r="B10" s="4066">
        <v>47</v>
      </c>
      <c r="C10" s="4067" t="s">
        <v>1839</v>
      </c>
    </row>
    <row r="11" spans="2:3" ht="20.100000000000001" customHeight="1">
      <c r="B11" s="4066">
        <v>55</v>
      </c>
      <c r="C11" s="4067" t="s">
        <v>1842</v>
      </c>
    </row>
    <row r="12" spans="2:3" ht="20.100000000000001" customHeight="1">
      <c r="B12" s="4066">
        <v>56</v>
      </c>
      <c r="C12" s="4067" t="s">
        <v>1841</v>
      </c>
    </row>
    <row r="13" spans="2:3" ht="20.100000000000001" customHeight="1">
      <c r="B13" s="4066">
        <v>63</v>
      </c>
      <c r="C13" s="3459" t="s">
        <v>1840</v>
      </c>
    </row>
    <row r="14" spans="2:3" ht="20.100000000000001" customHeight="1">
      <c r="B14" s="4070">
        <v>66</v>
      </c>
      <c r="C14" s="4067" t="s">
        <v>553</v>
      </c>
    </row>
    <row r="15" spans="2:3" ht="20.100000000000001" customHeight="1">
      <c r="B15" s="4066">
        <v>86</v>
      </c>
      <c r="C15" s="4067" t="s">
        <v>2852</v>
      </c>
    </row>
    <row r="16" spans="2:3" ht="20.100000000000001" customHeight="1">
      <c r="B16" s="4066">
        <v>91</v>
      </c>
      <c r="C16" s="4071" t="s">
        <v>655</v>
      </c>
    </row>
    <row r="17" spans="2:4" ht="20.100000000000001" customHeight="1">
      <c r="B17" s="4066">
        <v>96</v>
      </c>
      <c r="C17" s="4067" t="s">
        <v>342</v>
      </c>
    </row>
    <row r="18" spans="2:4" ht="20.100000000000001" customHeight="1">
      <c r="B18" s="4072">
        <v>98</v>
      </c>
      <c r="C18" s="4073" t="s">
        <v>343</v>
      </c>
    </row>
    <row r="19" spans="2:4" ht="26.25" customHeight="1">
      <c r="B19" s="5576" t="s">
        <v>2861</v>
      </c>
      <c r="C19" s="5576"/>
    </row>
    <row r="22" spans="2:4" ht="15.75" customHeight="1">
      <c r="B22" s="5577" t="s">
        <v>2527</v>
      </c>
      <c r="C22" s="5577"/>
      <c r="D22" s="5577"/>
    </row>
    <row r="23" spans="2:4" ht="30">
      <c r="B23" s="1988" t="s">
        <v>1963</v>
      </c>
      <c r="C23" s="2875" t="s">
        <v>1831</v>
      </c>
      <c r="D23" s="2421" t="s">
        <v>1832</v>
      </c>
    </row>
    <row r="24" spans="2:4">
      <c r="B24" s="3034">
        <v>4</v>
      </c>
      <c r="C24" s="3030" t="s">
        <v>1833</v>
      </c>
      <c r="D24" s="3037">
        <v>95.9</v>
      </c>
    </row>
    <row r="25" spans="2:4" ht="30">
      <c r="B25" s="3034">
        <v>5</v>
      </c>
      <c r="C25" s="3030" t="s">
        <v>1834</v>
      </c>
      <c r="D25" s="3037">
        <v>95.2</v>
      </c>
    </row>
    <row r="26" spans="2:4">
      <c r="B26" s="2878">
        <v>30</v>
      </c>
      <c r="C26" s="3030" t="s">
        <v>1836</v>
      </c>
      <c r="D26" s="2879">
        <v>74</v>
      </c>
    </row>
    <row r="27" spans="2:4">
      <c r="B27" s="2881">
        <v>32</v>
      </c>
      <c r="C27" s="2882" t="s">
        <v>1837</v>
      </c>
      <c r="D27" s="2883">
        <v>73.400000000000006</v>
      </c>
    </row>
    <row r="28" spans="2:4">
      <c r="B28" s="3034">
        <v>35</v>
      </c>
      <c r="C28" s="2550" t="s">
        <v>1835</v>
      </c>
      <c r="D28" s="3037">
        <v>71</v>
      </c>
    </row>
    <row r="29" spans="2:4">
      <c r="B29" s="2878">
        <v>37</v>
      </c>
      <c r="C29" s="2550" t="s">
        <v>1838</v>
      </c>
      <c r="D29" s="2879">
        <v>69</v>
      </c>
    </row>
    <row r="30" spans="2:4">
      <c r="B30" s="2878">
        <v>50</v>
      </c>
      <c r="C30" s="3030" t="s">
        <v>553</v>
      </c>
      <c r="D30" s="2879">
        <v>62.1</v>
      </c>
    </row>
    <row r="31" spans="2:4">
      <c r="B31" s="3034">
        <v>52</v>
      </c>
      <c r="C31" s="2550" t="s">
        <v>1839</v>
      </c>
      <c r="D31" s="3037">
        <v>60.7</v>
      </c>
    </row>
    <row r="32" spans="2:4">
      <c r="B32" s="3034">
        <v>56</v>
      </c>
      <c r="C32" s="3030" t="s">
        <v>1842</v>
      </c>
      <c r="D32" s="3037">
        <v>59</v>
      </c>
    </row>
    <row r="33" spans="2:4">
      <c r="B33" s="3034">
        <v>61</v>
      </c>
      <c r="C33" s="2700" t="s">
        <v>1840</v>
      </c>
      <c r="D33" s="3037">
        <v>57</v>
      </c>
    </row>
    <row r="34" spans="2:4">
      <c r="B34" s="2444">
        <v>62</v>
      </c>
      <c r="C34" s="3031" t="s">
        <v>1841</v>
      </c>
      <c r="D34" s="2880">
        <v>56.9</v>
      </c>
    </row>
    <row r="35" spans="2:4">
      <c r="B35" s="2878">
        <v>88</v>
      </c>
      <c r="C35" s="2550" t="s">
        <v>655</v>
      </c>
      <c r="D35" s="2879">
        <v>49</v>
      </c>
    </row>
    <row r="36" spans="2:4">
      <c r="B36" s="3035">
        <v>99</v>
      </c>
      <c r="C36" s="3032" t="s">
        <v>342</v>
      </c>
      <c r="D36" s="3038">
        <v>46.4</v>
      </c>
    </row>
    <row r="37" spans="2:4">
      <c r="B37" s="2878">
        <v>108</v>
      </c>
      <c r="C37" s="2550" t="s">
        <v>739</v>
      </c>
      <c r="D37" s="2879">
        <v>44.3</v>
      </c>
    </row>
    <row r="38" spans="2:4">
      <c r="B38" s="3036">
        <v>111</v>
      </c>
      <c r="C38" s="3033" t="s">
        <v>1854</v>
      </c>
      <c r="D38" s="3039">
        <v>43.3</v>
      </c>
    </row>
    <row r="41" spans="2:4" ht="15.75" customHeight="1">
      <c r="B41" s="5577" t="s">
        <v>1962</v>
      </c>
      <c r="C41" s="5577"/>
      <c r="D41" s="5577"/>
    </row>
    <row r="42" spans="2:4" ht="30">
      <c r="B42" s="1988" t="s">
        <v>1963</v>
      </c>
      <c r="C42" s="2875" t="s">
        <v>1831</v>
      </c>
      <c r="D42" s="2421" t="s">
        <v>1832</v>
      </c>
    </row>
    <row r="43" spans="2:4">
      <c r="B43" s="2428">
        <v>4</v>
      </c>
      <c r="C43" s="2441" t="s">
        <v>1833</v>
      </c>
      <c r="D43" s="2429">
        <v>96.5</v>
      </c>
    </row>
    <row r="44" spans="2:4" ht="30" customHeight="1">
      <c r="B44" s="2428">
        <v>7</v>
      </c>
      <c r="C44" s="2437" t="s">
        <v>1834</v>
      </c>
      <c r="D44" s="2429">
        <v>93.7</v>
      </c>
    </row>
    <row r="45" spans="2:4">
      <c r="B45" s="2424">
        <v>23</v>
      </c>
      <c r="C45" s="2438" t="s">
        <v>1835</v>
      </c>
      <c r="D45" s="2430">
        <v>80.7</v>
      </c>
    </row>
    <row r="46" spans="2:4">
      <c r="B46" s="2431">
        <v>30</v>
      </c>
      <c r="C46" s="2439" t="s">
        <v>1837</v>
      </c>
      <c r="D46" s="2432">
        <v>77.599999999999994</v>
      </c>
    </row>
    <row r="47" spans="2:4">
      <c r="B47" s="2428">
        <v>32</v>
      </c>
      <c r="C47" s="2438" t="s">
        <v>1836</v>
      </c>
      <c r="D47" s="2429">
        <v>76.099999999999994</v>
      </c>
    </row>
    <row r="48" spans="2:4">
      <c r="B48" s="2424">
        <v>39</v>
      </c>
      <c r="C48" s="2438" t="s">
        <v>1838</v>
      </c>
      <c r="D48" s="2430">
        <v>69.5</v>
      </c>
    </row>
    <row r="49" spans="2:4">
      <c r="B49" s="2424">
        <v>51</v>
      </c>
      <c r="C49" s="2438" t="s">
        <v>1839</v>
      </c>
      <c r="D49" s="2430">
        <v>65.400000000000006</v>
      </c>
    </row>
    <row r="50" spans="2:4">
      <c r="B50" s="2428">
        <v>53</v>
      </c>
      <c r="C50" s="2438" t="s">
        <v>1842</v>
      </c>
      <c r="D50" s="2429">
        <v>64.2</v>
      </c>
    </row>
    <row r="51" spans="2:4">
      <c r="B51" s="2428">
        <v>55</v>
      </c>
      <c r="C51" s="2438" t="s">
        <v>553</v>
      </c>
      <c r="D51" s="2429">
        <v>63.6</v>
      </c>
    </row>
    <row r="52" spans="2:4">
      <c r="B52" s="2428">
        <v>56</v>
      </c>
      <c r="C52" s="2438" t="s">
        <v>1841</v>
      </c>
      <c r="D52" s="2429">
        <v>63.1</v>
      </c>
    </row>
    <row r="53" spans="2:4">
      <c r="B53" s="2122">
        <v>64</v>
      </c>
      <c r="C53" s="2440" t="s">
        <v>1840</v>
      </c>
      <c r="D53" s="2433">
        <v>60.8</v>
      </c>
    </row>
    <row r="54" spans="2:4">
      <c r="B54" s="2424">
        <v>72</v>
      </c>
      <c r="C54" s="2438" t="s">
        <v>655</v>
      </c>
      <c r="D54" s="2430">
        <v>57.9</v>
      </c>
    </row>
    <row r="55" spans="2:4">
      <c r="B55" s="2434">
        <v>96</v>
      </c>
      <c r="C55" s="2438" t="s">
        <v>1844</v>
      </c>
      <c r="D55" s="2001">
        <v>49.3</v>
      </c>
    </row>
    <row r="56" spans="2:4">
      <c r="B56" s="2424">
        <v>98</v>
      </c>
      <c r="C56" s="2438" t="s">
        <v>343</v>
      </c>
      <c r="D56" s="2430">
        <v>48.5</v>
      </c>
    </row>
    <row r="57" spans="2:4">
      <c r="B57" s="2435">
        <v>101</v>
      </c>
      <c r="C57" s="2438" t="s">
        <v>1854</v>
      </c>
      <c r="D57" s="2436">
        <v>47.9</v>
      </c>
    </row>
    <row r="58" spans="2:4">
      <c r="B58" s="54" t="s">
        <v>2326</v>
      </c>
    </row>
    <row r="59" spans="2:4">
      <c r="B59" s="54"/>
    </row>
    <row r="61" spans="2:4" ht="15.75">
      <c r="B61" s="5577" t="s">
        <v>2350</v>
      </c>
      <c r="C61" s="5577"/>
      <c r="D61" s="5577"/>
    </row>
    <row r="62" spans="2:4" ht="45">
      <c r="B62" s="1988" t="s">
        <v>1830</v>
      </c>
      <c r="C62" s="2876" t="s">
        <v>1831</v>
      </c>
      <c r="D62" s="1988" t="s">
        <v>1832</v>
      </c>
    </row>
    <row r="63" spans="2:4">
      <c r="B63" s="1996">
        <v>6</v>
      </c>
      <c r="C63" s="1991" t="s">
        <v>1833</v>
      </c>
      <c r="D63" s="1997">
        <v>94.9</v>
      </c>
    </row>
    <row r="64" spans="2:4" ht="15" customHeight="1">
      <c r="B64" s="1996">
        <v>9</v>
      </c>
      <c r="C64" s="1991" t="s">
        <v>1834</v>
      </c>
      <c r="D64" s="1997">
        <v>86.7</v>
      </c>
    </row>
    <row r="65" spans="2:4">
      <c r="B65" s="1932">
        <v>22</v>
      </c>
      <c r="C65" s="1991" t="s">
        <v>1835</v>
      </c>
      <c r="D65" s="1998">
        <v>75.8</v>
      </c>
    </row>
    <row r="66" spans="2:4">
      <c r="B66" s="1996">
        <v>35</v>
      </c>
      <c r="C66" s="1991" t="s">
        <v>1836</v>
      </c>
      <c r="D66" s="1997">
        <v>68.2</v>
      </c>
    </row>
    <row r="67" spans="2:4">
      <c r="B67" s="1994">
        <v>36</v>
      </c>
      <c r="C67" s="2877" t="s">
        <v>1837</v>
      </c>
      <c r="D67" s="1999">
        <v>68.099999999999994</v>
      </c>
    </row>
    <row r="68" spans="2:4">
      <c r="B68" s="1932">
        <v>37</v>
      </c>
      <c r="C68" s="1991" t="s">
        <v>1838</v>
      </c>
      <c r="D68" s="1998">
        <v>67.2</v>
      </c>
    </row>
    <row r="69" spans="2:4">
      <c r="B69" s="1932">
        <v>42</v>
      </c>
      <c r="C69" s="1991" t="s">
        <v>1839</v>
      </c>
      <c r="D69" s="1998">
        <v>62.2</v>
      </c>
    </row>
    <row r="70" spans="2:4">
      <c r="B70" s="1929">
        <v>51</v>
      </c>
      <c r="C70" s="2011" t="s">
        <v>1840</v>
      </c>
      <c r="D70" s="2000">
        <v>58.5</v>
      </c>
    </row>
    <row r="71" spans="2:4">
      <c r="B71" s="1996">
        <v>58</v>
      </c>
      <c r="C71" s="1991" t="s">
        <v>1841</v>
      </c>
      <c r="D71" s="1997">
        <v>55.8</v>
      </c>
    </row>
    <row r="72" spans="2:4">
      <c r="B72" s="1996">
        <v>59</v>
      </c>
      <c r="C72" s="1991" t="s">
        <v>553</v>
      </c>
      <c r="D72" s="1997">
        <v>55.6</v>
      </c>
    </row>
    <row r="73" spans="2:4">
      <c r="B73" s="1996">
        <v>65</v>
      </c>
      <c r="C73" s="1991" t="s">
        <v>1842</v>
      </c>
      <c r="D73" s="1997">
        <v>53.3</v>
      </c>
    </row>
    <row r="74" spans="2:4">
      <c r="B74" s="1932">
        <v>74</v>
      </c>
      <c r="C74" s="1991" t="s">
        <v>655</v>
      </c>
      <c r="D74" s="1998">
        <v>48.3</v>
      </c>
    </row>
    <row r="75" spans="2:4">
      <c r="B75" s="1932">
        <v>76</v>
      </c>
      <c r="C75" s="1991" t="s">
        <v>1843</v>
      </c>
      <c r="D75" s="2001">
        <v>47.9</v>
      </c>
    </row>
    <row r="76" spans="2:4">
      <c r="B76" s="1932">
        <v>82</v>
      </c>
      <c r="C76" s="1991" t="s">
        <v>1844</v>
      </c>
      <c r="D76" s="2001">
        <v>46.5</v>
      </c>
    </row>
    <row r="77" spans="2:4">
      <c r="B77" s="1932">
        <v>104</v>
      </c>
      <c r="C77" s="1991" t="s">
        <v>343</v>
      </c>
      <c r="D77" s="1998">
        <v>39.799999999999997</v>
      </c>
    </row>
    <row r="78" spans="2:4">
      <c r="B78" s="2002" t="s">
        <v>2327</v>
      </c>
      <c r="C78" s="153"/>
      <c r="D78" s="2003"/>
    </row>
    <row r="81" spans="2:4" ht="15.75">
      <c r="B81" s="5577" t="s">
        <v>2351</v>
      </c>
      <c r="C81" s="5577"/>
      <c r="D81" s="5577"/>
    </row>
    <row r="82" spans="2:4" ht="45">
      <c r="B82" s="1988" t="s">
        <v>2319</v>
      </c>
      <c r="C82" s="2854" t="s">
        <v>1831</v>
      </c>
      <c r="D82" s="2854" t="s">
        <v>1832</v>
      </c>
    </row>
    <row r="83" spans="2:4" ht="30">
      <c r="B83" s="2878">
        <v>7</v>
      </c>
      <c r="C83" s="2550" t="s">
        <v>1834</v>
      </c>
      <c r="D83" s="2879">
        <v>91.4</v>
      </c>
    </row>
    <row r="84" spans="2:4">
      <c r="B84" s="2444">
        <v>8</v>
      </c>
      <c r="C84" s="2550" t="s">
        <v>1833</v>
      </c>
      <c r="D84" s="2879">
        <v>91</v>
      </c>
    </row>
    <row r="85" spans="2:4">
      <c r="B85" s="2878">
        <v>26</v>
      </c>
      <c r="C85" s="2550" t="s">
        <v>1836</v>
      </c>
      <c r="D85" s="2879">
        <v>78</v>
      </c>
    </row>
    <row r="86" spans="2:4">
      <c r="B86" s="2878">
        <v>28</v>
      </c>
      <c r="C86" s="2550" t="s">
        <v>1835</v>
      </c>
      <c r="D86" s="2879">
        <v>77.8</v>
      </c>
    </row>
    <row r="87" spans="2:4">
      <c r="B87" s="2881">
        <v>35</v>
      </c>
      <c r="C87" s="2882" t="s">
        <v>1837</v>
      </c>
      <c r="D87" s="2883">
        <v>74.7</v>
      </c>
    </row>
    <row r="88" spans="2:4">
      <c r="B88" s="2878">
        <v>36</v>
      </c>
      <c r="C88" s="2550" t="s">
        <v>1838</v>
      </c>
      <c r="D88" s="2879">
        <v>73.8</v>
      </c>
    </row>
    <row r="89" spans="2:4">
      <c r="B89" s="2878">
        <v>50</v>
      </c>
      <c r="C89" s="2550" t="s">
        <v>1841</v>
      </c>
      <c r="D89" s="2879">
        <v>65.599999999999994</v>
      </c>
    </row>
    <row r="90" spans="2:4">
      <c r="B90" s="2878">
        <v>59</v>
      </c>
      <c r="C90" s="2550" t="s">
        <v>1839</v>
      </c>
      <c r="D90" s="2879">
        <v>63</v>
      </c>
    </row>
    <row r="91" spans="2:4">
      <c r="B91" s="2878">
        <v>64</v>
      </c>
      <c r="C91" s="2550" t="s">
        <v>1842</v>
      </c>
      <c r="D91" s="2879">
        <v>59.8</v>
      </c>
    </row>
    <row r="92" spans="2:4">
      <c r="B92" s="2878">
        <v>68</v>
      </c>
      <c r="C92" s="2550" t="s">
        <v>553</v>
      </c>
      <c r="D92" s="2879">
        <v>58.7</v>
      </c>
    </row>
    <row r="93" spans="2:4">
      <c r="B93" s="2878">
        <v>70</v>
      </c>
      <c r="C93" s="2550" t="s">
        <v>655</v>
      </c>
      <c r="D93" s="2879">
        <v>57.6</v>
      </c>
    </row>
    <row r="94" spans="2:4">
      <c r="B94" s="2444">
        <v>95</v>
      </c>
      <c r="C94" s="2700" t="s">
        <v>1840</v>
      </c>
      <c r="D94" s="2880">
        <v>50.4</v>
      </c>
    </row>
    <row r="95" spans="2:4">
      <c r="B95" s="2878">
        <v>98</v>
      </c>
      <c r="C95" s="2550" t="s">
        <v>343</v>
      </c>
      <c r="D95" s="2879">
        <v>50</v>
      </c>
    </row>
    <row r="96" spans="2:4">
      <c r="B96" s="2878">
        <v>99</v>
      </c>
      <c r="C96" s="2550" t="s">
        <v>1844</v>
      </c>
      <c r="D96" s="2879">
        <v>49.8</v>
      </c>
    </row>
    <row r="97" spans="2:4">
      <c r="B97" s="2878">
        <v>100</v>
      </c>
      <c r="C97" s="2550" t="s">
        <v>342</v>
      </c>
      <c r="D97" s="2879">
        <v>49.1</v>
      </c>
    </row>
    <row r="98" spans="2:4">
      <c r="B98" s="54" t="s">
        <v>2325</v>
      </c>
    </row>
    <row r="100" spans="2:4" ht="15.75">
      <c r="C100" s="31"/>
    </row>
    <row r="101" spans="2:4" ht="15.75">
      <c r="B101" s="5577" t="s">
        <v>2352</v>
      </c>
      <c r="C101" s="5577"/>
      <c r="D101" s="5577"/>
    </row>
    <row r="102" spans="2:4" ht="45">
      <c r="B102" s="1988" t="s">
        <v>2322</v>
      </c>
      <c r="C102" s="2854" t="s">
        <v>1831</v>
      </c>
      <c r="D102" s="2854" t="s">
        <v>1832</v>
      </c>
    </row>
    <row r="103" spans="2:4">
      <c r="B103" s="2874">
        <v>6</v>
      </c>
      <c r="C103" s="2884" t="s">
        <v>1833</v>
      </c>
      <c r="D103" s="2886">
        <v>93.1</v>
      </c>
    </row>
    <row r="104" spans="2:4">
      <c r="B104" s="2874">
        <v>7</v>
      </c>
      <c r="C104" s="2884" t="s">
        <v>2320</v>
      </c>
      <c r="D104" s="2886">
        <v>89.8</v>
      </c>
    </row>
    <row r="105" spans="2:4">
      <c r="B105" s="2874">
        <v>16</v>
      </c>
      <c r="C105" s="2884" t="s">
        <v>1836</v>
      </c>
      <c r="D105" s="2886">
        <v>78.599999999999994</v>
      </c>
    </row>
    <row r="106" spans="2:4">
      <c r="B106" s="2878">
        <v>27</v>
      </c>
      <c r="C106" s="2550" t="s">
        <v>1835</v>
      </c>
      <c r="D106" s="2887">
        <v>70.599999999999994</v>
      </c>
    </row>
    <row r="107" spans="2:4">
      <c r="B107" s="2878">
        <v>31</v>
      </c>
      <c r="C107" s="2550" t="s">
        <v>1838</v>
      </c>
      <c r="D107" s="2887">
        <v>72.2</v>
      </c>
    </row>
    <row r="108" spans="2:4">
      <c r="B108" s="2881">
        <v>33</v>
      </c>
      <c r="C108" s="2882" t="s">
        <v>1837</v>
      </c>
      <c r="D108" s="2889">
        <v>70.5</v>
      </c>
    </row>
    <row r="109" spans="2:4" ht="21.75" customHeight="1">
      <c r="B109" s="2874">
        <v>48</v>
      </c>
      <c r="C109" s="2884" t="s">
        <v>1841</v>
      </c>
      <c r="D109" s="2886">
        <v>60.7</v>
      </c>
    </row>
    <row r="110" spans="2:4">
      <c r="B110" s="2878">
        <v>60</v>
      </c>
      <c r="C110" s="2550" t="s">
        <v>1839</v>
      </c>
      <c r="D110" s="2888">
        <v>54.8</v>
      </c>
    </row>
    <row r="111" spans="2:4">
      <c r="B111" s="2874">
        <v>61</v>
      </c>
      <c r="C111" s="2884" t="s">
        <v>1842</v>
      </c>
      <c r="D111" s="2886">
        <v>54.5</v>
      </c>
    </row>
    <row r="112" spans="2:4">
      <c r="B112" s="2444">
        <v>74</v>
      </c>
      <c r="C112" s="2700" t="s">
        <v>1840</v>
      </c>
      <c r="D112" s="2885">
        <v>50.6</v>
      </c>
    </row>
    <row r="113" spans="2:4">
      <c r="B113" s="2878">
        <v>77</v>
      </c>
      <c r="C113" s="2550" t="s">
        <v>655</v>
      </c>
      <c r="D113" s="2887">
        <v>50</v>
      </c>
    </row>
    <row r="114" spans="2:4">
      <c r="B114" s="2874">
        <v>79</v>
      </c>
      <c r="C114" s="2884" t="s">
        <v>553</v>
      </c>
      <c r="D114" s="2886">
        <v>49.4</v>
      </c>
    </row>
    <row r="115" spans="2:4">
      <c r="B115" s="2878">
        <v>93</v>
      </c>
      <c r="C115" s="2550" t="s">
        <v>343</v>
      </c>
      <c r="D115" s="2887">
        <v>46.3</v>
      </c>
    </row>
    <row r="116" spans="2:4">
      <c r="B116" s="2444">
        <v>99</v>
      </c>
      <c r="C116" s="2700" t="s">
        <v>342</v>
      </c>
      <c r="D116" s="2700">
        <v>44.4</v>
      </c>
    </row>
    <row r="117" spans="2:4">
      <c r="B117" s="2878">
        <v>102</v>
      </c>
      <c r="C117" s="2550" t="s">
        <v>739</v>
      </c>
      <c r="D117" s="2887">
        <v>42.9</v>
      </c>
    </row>
    <row r="118" spans="2:4">
      <c r="B118" s="54" t="s">
        <v>2324</v>
      </c>
    </row>
    <row r="120" spans="2:4" ht="15.75">
      <c r="C120" s="31"/>
    </row>
    <row r="121" spans="2:4" ht="15.75">
      <c r="B121" s="5577" t="s">
        <v>2353</v>
      </c>
      <c r="C121" s="5577"/>
      <c r="D121" s="5577"/>
    </row>
    <row r="122" spans="2:4" ht="45">
      <c r="B122" s="1988" t="s">
        <v>2321</v>
      </c>
      <c r="C122" s="2854" t="s">
        <v>1831</v>
      </c>
      <c r="D122" s="2854" t="s">
        <v>1832</v>
      </c>
    </row>
    <row r="123" spans="2:4">
      <c r="B123" s="2874">
        <v>5</v>
      </c>
      <c r="C123" s="2884" t="s">
        <v>1833</v>
      </c>
      <c r="D123" s="2890">
        <v>92.83</v>
      </c>
    </row>
    <row r="124" spans="2:4">
      <c r="B124" s="2874">
        <v>7</v>
      </c>
      <c r="C124" s="2884" t="s">
        <v>2320</v>
      </c>
      <c r="D124" s="2890">
        <v>85.81</v>
      </c>
    </row>
    <row r="125" spans="2:4">
      <c r="B125" s="2874">
        <v>16</v>
      </c>
      <c r="C125" s="2884" t="s">
        <v>1836</v>
      </c>
      <c r="D125" s="2890">
        <v>78.44</v>
      </c>
    </row>
    <row r="126" spans="2:4">
      <c r="B126" s="2874">
        <v>19</v>
      </c>
      <c r="C126" s="2884" t="s">
        <v>1838</v>
      </c>
      <c r="D126" s="2890">
        <v>74.680000000000007</v>
      </c>
    </row>
    <row r="127" spans="2:4">
      <c r="B127" s="2881">
        <v>21</v>
      </c>
      <c r="C127" s="2882" t="s">
        <v>1837</v>
      </c>
      <c r="D127" s="2892">
        <v>73.58</v>
      </c>
    </row>
    <row r="128" spans="2:4">
      <c r="B128" s="2878">
        <v>30</v>
      </c>
      <c r="C128" s="2550" t="s">
        <v>1835</v>
      </c>
      <c r="D128" s="2891">
        <v>70.73</v>
      </c>
    </row>
    <row r="129" spans="2:4">
      <c r="B129" s="2878">
        <v>32</v>
      </c>
      <c r="C129" s="2550" t="s">
        <v>1841</v>
      </c>
      <c r="D129" s="2891">
        <v>68.81</v>
      </c>
    </row>
    <row r="130" spans="2:4">
      <c r="B130" s="2878">
        <v>50</v>
      </c>
      <c r="C130" s="2550" t="s">
        <v>1839</v>
      </c>
      <c r="D130" s="2891">
        <v>56.31</v>
      </c>
    </row>
    <row r="131" spans="2:4">
      <c r="B131" s="2878">
        <v>51</v>
      </c>
      <c r="C131" s="2550" t="s">
        <v>1842</v>
      </c>
      <c r="D131" s="2891">
        <v>55.34</v>
      </c>
    </row>
    <row r="132" spans="2:4">
      <c r="B132" s="2878">
        <v>58</v>
      </c>
      <c r="C132" s="2550" t="s">
        <v>655</v>
      </c>
      <c r="D132" s="2891">
        <v>52.18</v>
      </c>
    </row>
    <row r="133" spans="2:4">
      <c r="B133" s="2878">
        <v>61</v>
      </c>
      <c r="C133" s="2550" t="s">
        <v>553</v>
      </c>
      <c r="D133" s="2891">
        <v>50.71</v>
      </c>
    </row>
    <row r="134" spans="2:4">
      <c r="B134" s="2878">
        <v>88</v>
      </c>
      <c r="C134" s="2550" t="s">
        <v>739</v>
      </c>
      <c r="D134" s="2891">
        <v>43.83</v>
      </c>
    </row>
    <row r="135" spans="2:4">
      <c r="B135" s="2878">
        <v>90</v>
      </c>
      <c r="C135" s="2550" t="s">
        <v>343</v>
      </c>
      <c r="D135" s="2891">
        <v>42.93</v>
      </c>
    </row>
    <row r="136" spans="2:4">
      <c r="B136" s="54" t="s">
        <v>2323</v>
      </c>
    </row>
    <row r="138" spans="2:4">
      <c r="B138" s="200"/>
    </row>
    <row r="139" spans="2:4" ht="15.75">
      <c r="C139" s="31"/>
    </row>
    <row r="140" spans="2:4" ht="15.75">
      <c r="B140" s="5577" t="s">
        <v>2354</v>
      </c>
      <c r="C140" s="5577"/>
      <c r="D140" s="5577"/>
    </row>
    <row r="141" spans="2:4" ht="45">
      <c r="B141" s="1988" t="s">
        <v>2329</v>
      </c>
      <c r="C141" s="2854" t="s">
        <v>1831</v>
      </c>
      <c r="D141" s="2854" t="s">
        <v>1832</v>
      </c>
    </row>
    <row r="142" spans="2:4">
      <c r="B142" s="2874">
        <v>5</v>
      </c>
      <c r="C142" s="2884" t="s">
        <v>1833</v>
      </c>
      <c r="D142" s="2890">
        <v>92.1</v>
      </c>
    </row>
    <row r="143" spans="2:4">
      <c r="B143" s="2874">
        <v>7</v>
      </c>
      <c r="C143" s="2884" t="s">
        <v>2320</v>
      </c>
      <c r="D143" s="2890">
        <v>83</v>
      </c>
    </row>
    <row r="144" spans="2:4">
      <c r="B144" s="2874">
        <v>22</v>
      </c>
      <c r="C144" s="2884" t="s">
        <v>1836</v>
      </c>
      <c r="D144" s="2890">
        <v>68.400000000000006</v>
      </c>
    </row>
    <row r="145" spans="2:4">
      <c r="B145" s="2874">
        <v>24</v>
      </c>
      <c r="C145" s="2884" t="s">
        <v>1835</v>
      </c>
      <c r="D145" s="2890">
        <v>63.2</v>
      </c>
    </row>
    <row r="146" spans="2:4">
      <c r="B146" s="2881">
        <v>25</v>
      </c>
      <c r="C146" s="2882" t="s">
        <v>1837</v>
      </c>
      <c r="D146" s="2892">
        <v>62.6</v>
      </c>
    </row>
    <row r="147" spans="2:4">
      <c r="B147" s="2878">
        <v>29</v>
      </c>
      <c r="C147" s="2550" t="s">
        <v>1838</v>
      </c>
      <c r="D147" s="2891">
        <v>60.7</v>
      </c>
    </row>
    <row r="148" spans="2:4">
      <c r="B148" s="2878">
        <v>46</v>
      </c>
      <c r="C148" s="2550" t="s">
        <v>1841</v>
      </c>
      <c r="D148" s="2891">
        <v>50.5</v>
      </c>
    </row>
    <row r="149" spans="2:4">
      <c r="B149" s="2878">
        <v>51</v>
      </c>
      <c r="C149" s="2550" t="s">
        <v>1839</v>
      </c>
      <c r="D149" s="2891">
        <v>49.1</v>
      </c>
    </row>
    <row r="150" spans="2:4">
      <c r="B150" s="2878">
        <v>57</v>
      </c>
      <c r="C150" s="2550" t="s">
        <v>1842</v>
      </c>
      <c r="D150" s="2891">
        <v>46.2</v>
      </c>
    </row>
    <row r="151" spans="2:4">
      <c r="B151" s="2878">
        <v>63</v>
      </c>
      <c r="C151" s="2550" t="s">
        <v>553</v>
      </c>
      <c r="D151" s="2891">
        <v>44.3</v>
      </c>
    </row>
    <row r="152" spans="2:4">
      <c r="B152" s="2878">
        <v>70</v>
      </c>
      <c r="C152" s="2550" t="s">
        <v>655</v>
      </c>
      <c r="D152" s="2891">
        <v>42.1</v>
      </c>
    </row>
    <row r="153" spans="2:4">
      <c r="B153" s="2878">
        <v>78</v>
      </c>
      <c r="C153" s="2550" t="s">
        <v>343</v>
      </c>
      <c r="D153" s="2891">
        <v>39.4</v>
      </c>
    </row>
    <row r="154" spans="2:4">
      <c r="B154" s="54" t="s">
        <v>2328</v>
      </c>
    </row>
    <row r="157" spans="2:4" ht="15" customHeight="1">
      <c r="B157" s="5577" t="s">
        <v>2331</v>
      </c>
      <c r="C157" s="5577"/>
    </row>
    <row r="158" spans="2:4" ht="45">
      <c r="B158" s="1988" t="s">
        <v>2332</v>
      </c>
      <c r="C158" s="2854" t="s">
        <v>1831</v>
      </c>
    </row>
    <row r="159" spans="2:4">
      <c r="B159" s="2648">
        <v>1</v>
      </c>
      <c r="C159" s="2648" t="s">
        <v>673</v>
      </c>
    </row>
    <row r="160" spans="2:4">
      <c r="B160" s="2648">
        <v>2</v>
      </c>
      <c r="C160" s="2648" t="s">
        <v>153</v>
      </c>
    </row>
    <row r="161" spans="2:3">
      <c r="B161" s="2648">
        <v>3</v>
      </c>
      <c r="C161" s="2648" t="s">
        <v>550</v>
      </c>
    </row>
    <row r="162" spans="2:3">
      <c r="B162" s="2648">
        <v>4</v>
      </c>
      <c r="C162" s="2648" t="s">
        <v>662</v>
      </c>
    </row>
    <row r="163" spans="2:3">
      <c r="B163" s="2648">
        <v>5</v>
      </c>
      <c r="C163" s="2648" t="s">
        <v>674</v>
      </c>
    </row>
    <row r="164" spans="2:3">
      <c r="B164" s="2648">
        <v>6</v>
      </c>
      <c r="C164" s="2648" t="s">
        <v>664</v>
      </c>
    </row>
    <row r="165" spans="2:3">
      <c r="B165" s="2648">
        <v>7</v>
      </c>
      <c r="C165" s="2648" t="s">
        <v>675</v>
      </c>
    </row>
    <row r="166" spans="2:3">
      <c r="B166" s="2648">
        <v>8</v>
      </c>
      <c r="C166" s="2648" t="s">
        <v>665</v>
      </c>
    </row>
    <row r="167" spans="2:3">
      <c r="B167" s="2648">
        <v>9</v>
      </c>
      <c r="C167" s="2648" t="s">
        <v>667</v>
      </c>
    </row>
    <row r="168" spans="2:3">
      <c r="B168" s="2648">
        <v>10</v>
      </c>
      <c r="C168" s="2648" t="s">
        <v>666</v>
      </c>
    </row>
    <row r="169" spans="2:3">
      <c r="B169" s="2648">
        <v>11</v>
      </c>
      <c r="C169" s="2648" t="s">
        <v>676</v>
      </c>
    </row>
    <row r="170" spans="2:3">
      <c r="B170" s="2648">
        <v>12</v>
      </c>
      <c r="C170" s="2648" t="s">
        <v>677</v>
      </c>
    </row>
    <row r="171" spans="2:3">
      <c r="B171" s="2648">
        <v>13</v>
      </c>
      <c r="C171" s="2648" t="s">
        <v>668</v>
      </c>
    </row>
    <row r="172" spans="2:3">
      <c r="B172" s="2648">
        <v>15</v>
      </c>
      <c r="C172" s="2648" t="s">
        <v>678</v>
      </c>
    </row>
    <row r="173" spans="2:3">
      <c r="B173" s="2648">
        <v>16</v>
      </c>
      <c r="C173" s="2648" t="s">
        <v>155</v>
      </c>
    </row>
    <row r="174" spans="2:3">
      <c r="B174" s="2648">
        <v>17</v>
      </c>
      <c r="C174" s="2648" t="s">
        <v>679</v>
      </c>
    </row>
    <row r="175" spans="2:3">
      <c r="B175" s="2648">
        <v>18</v>
      </c>
      <c r="C175" s="2648" t="s">
        <v>680</v>
      </c>
    </row>
    <row r="176" spans="2:3">
      <c r="B176" s="2648">
        <v>19</v>
      </c>
      <c r="C176" s="2648" t="s">
        <v>669</v>
      </c>
    </row>
    <row r="177" spans="2:3">
      <c r="B177" s="2648">
        <v>20</v>
      </c>
      <c r="C177" s="2648" t="s">
        <v>670</v>
      </c>
    </row>
    <row r="178" spans="2:3">
      <c r="B178" s="2444">
        <v>21</v>
      </c>
      <c r="C178" s="2444" t="s">
        <v>681</v>
      </c>
    </row>
    <row r="179" spans="2:3">
      <c r="B179" s="2893">
        <v>22</v>
      </c>
      <c r="C179" s="2893" t="s">
        <v>95</v>
      </c>
    </row>
    <row r="180" spans="2:3">
      <c r="B180" s="2444">
        <v>23</v>
      </c>
      <c r="C180" s="2444" t="s">
        <v>671</v>
      </c>
    </row>
    <row r="181" spans="2:3">
      <c r="B181" s="2444">
        <v>24</v>
      </c>
      <c r="C181" s="2444" t="s">
        <v>682</v>
      </c>
    </row>
    <row r="182" spans="2:3">
      <c r="B182" s="2444">
        <v>25</v>
      </c>
      <c r="C182" s="2444" t="s">
        <v>683</v>
      </c>
    </row>
    <row r="183" spans="2:3">
      <c r="B183" s="2002" t="s">
        <v>2330</v>
      </c>
    </row>
  </sheetData>
  <mergeCells count="9">
    <mergeCell ref="B19:C19"/>
    <mergeCell ref="B22:D22"/>
    <mergeCell ref="B157:C157"/>
    <mergeCell ref="B41:D41"/>
    <mergeCell ref="B61:D61"/>
    <mergeCell ref="B81:D81"/>
    <mergeCell ref="B101:D101"/>
    <mergeCell ref="B121:D121"/>
    <mergeCell ref="B140:D140"/>
  </mergeCells>
  <hyperlinks>
    <hyperlink ref="B78" r:id="rId1" location="sorting=rank+region=+country=241+faculty=+stars=false+search=" display="http://www.topuniversities.com/university-rankings/latam-university-rankings/2015#sorting=rank+region=+country=241+faculty=+stars=false+search="/>
    <hyperlink ref="B183" r:id="rId2" display="http://www.scimagoir.com"/>
    <hyperlink ref="C4" r:id="rId3" location="889738" display="889738"/>
    <hyperlink ref="C5" r:id="rId4" location="889738" display="https://www.topuniversities.com/universities/instituto-tecnologico-y-de-estudios-superiores-de-monterrey - 889738"/>
    <hyperlink ref="C6" r:id="rId5" location="889738" display="https://www.topuniversities.com/universities/instituto-politecnico-nacional-ipn - 889738"/>
    <hyperlink ref="C7" r:id="rId6" location="889738" display="889738"/>
    <hyperlink ref="C8" r:id="rId7" location="889738" display="https://www.topuniversities.com/universities/universidad-iberoamericana-ibero - 889738"/>
    <hyperlink ref="B19" r:id="rId8"/>
  </hyperlinks>
  <printOptions horizontalCentered="1" verticalCentered="1"/>
  <pageMargins left="0.31496062992125984" right="0.31496062992125984" top="7.874015748031496E-2" bottom="0.11811023622047245" header="0" footer="0.31496062992125984"/>
  <pageSetup scale="39" fitToHeight="4" orientation="landscape" r:id="rId9"/>
  <drawing r:id="rId10"/>
</worksheet>
</file>

<file path=xl/worksheets/sheet55.xml><?xml version="1.0" encoding="utf-8"?>
<worksheet xmlns="http://schemas.openxmlformats.org/spreadsheetml/2006/main" xmlns:r="http://schemas.openxmlformats.org/officeDocument/2006/relationships">
  <sheetPr>
    <tabColor theme="7" tint="-0.499984740745262"/>
    <pageSetUpPr fitToPage="1"/>
  </sheetPr>
  <dimension ref="A2:G204"/>
  <sheetViews>
    <sheetView showGridLines="0" workbookViewId="0"/>
  </sheetViews>
  <sheetFormatPr baseColWidth="10" defaultRowHeight="15"/>
  <cols>
    <col min="1" max="3" width="10.42578125" customWidth="1"/>
    <col min="4" max="4" width="66.7109375" customWidth="1"/>
    <col min="5" max="5" width="5.42578125" customWidth="1"/>
    <col min="6" max="6" width="13.28515625" customWidth="1"/>
    <col min="7" max="7" width="3.28515625" bestFit="1" customWidth="1"/>
    <col min="8" max="8" width="46.28515625" customWidth="1"/>
    <col min="9" max="9" width="7.5703125" bestFit="1" customWidth="1"/>
    <col min="11" max="11" width="3.28515625" bestFit="1" customWidth="1"/>
    <col min="12" max="12" width="46.7109375" customWidth="1"/>
    <col min="13" max="13" width="5.5703125" bestFit="1" customWidth="1"/>
    <col min="14" max="14" width="7.5703125" customWidth="1"/>
    <col min="15" max="15" width="2.140625" bestFit="1" customWidth="1"/>
    <col min="16" max="16" width="45.5703125" bestFit="1" customWidth="1"/>
    <col min="17" max="17" width="6.7109375" bestFit="1" customWidth="1"/>
    <col min="18" max="18" width="6.140625" customWidth="1"/>
    <col min="19" max="19" width="2.140625" bestFit="1" customWidth="1"/>
    <col min="20" max="20" width="42.85546875" customWidth="1"/>
  </cols>
  <sheetData>
    <row r="2" spans="2:4" ht="20.100000000000001" customHeight="1">
      <c r="B2" s="5579" t="s">
        <v>2854</v>
      </c>
      <c r="C2" s="5579"/>
      <c r="D2" s="5579"/>
    </row>
    <row r="3" spans="2:4" ht="30.75" thickBot="1">
      <c r="B3" s="4074" t="s">
        <v>1958</v>
      </c>
      <c r="C3" s="4074" t="s">
        <v>879</v>
      </c>
      <c r="D3" s="3652" t="s">
        <v>661</v>
      </c>
    </row>
    <row r="4" spans="2:4" ht="20.100000000000001" customHeight="1">
      <c r="B4" s="4076">
        <v>1</v>
      </c>
      <c r="C4" s="4076">
        <v>113</v>
      </c>
      <c r="D4" s="4080" t="s">
        <v>1833</v>
      </c>
    </row>
    <row r="5" spans="2:4" ht="20.100000000000001" customHeight="1">
      <c r="B5" s="4077">
        <v>2</v>
      </c>
      <c r="C5" s="4077">
        <v>178</v>
      </c>
      <c r="D5" s="4081" t="s">
        <v>2858</v>
      </c>
    </row>
    <row r="6" spans="2:4" ht="20.100000000000001" customHeight="1">
      <c r="B6" s="4077">
        <v>3</v>
      </c>
      <c r="C6" s="4077" t="s">
        <v>2855</v>
      </c>
      <c r="D6" s="4081" t="s">
        <v>2860</v>
      </c>
    </row>
    <row r="7" spans="2:4" ht="20.100000000000001" customHeight="1">
      <c r="B7" s="4077">
        <v>4</v>
      </c>
      <c r="C7" s="4077" t="s">
        <v>1848</v>
      </c>
      <c r="D7" s="4081" t="s">
        <v>1836</v>
      </c>
    </row>
    <row r="8" spans="2:4" ht="20.100000000000001" customHeight="1">
      <c r="B8" s="4077">
        <v>5</v>
      </c>
      <c r="C8" s="4077" t="s">
        <v>1848</v>
      </c>
      <c r="D8" s="4081" t="s">
        <v>1838</v>
      </c>
    </row>
    <row r="9" spans="2:4" ht="20.100000000000001" customHeight="1">
      <c r="B9" s="4077">
        <v>6</v>
      </c>
      <c r="C9" s="4077" t="s">
        <v>2856</v>
      </c>
      <c r="D9" s="4081" t="s">
        <v>1835</v>
      </c>
    </row>
    <row r="10" spans="2:4" ht="20.100000000000001" customHeight="1">
      <c r="B10" s="4079">
        <v>7</v>
      </c>
      <c r="C10" s="4079" t="s">
        <v>2530</v>
      </c>
      <c r="D10" s="4083" t="s">
        <v>1837</v>
      </c>
    </row>
    <row r="11" spans="2:4" ht="20.100000000000001" customHeight="1">
      <c r="B11" s="4075">
        <v>8</v>
      </c>
      <c r="C11" s="4077" t="s">
        <v>2530</v>
      </c>
      <c r="D11" s="4081" t="s">
        <v>1839</v>
      </c>
    </row>
    <row r="12" spans="2:4" ht="20.100000000000001" customHeight="1">
      <c r="B12" s="4077">
        <v>9</v>
      </c>
      <c r="C12" s="4077" t="s">
        <v>2530</v>
      </c>
      <c r="D12" s="4081" t="s">
        <v>1841</v>
      </c>
    </row>
    <row r="13" spans="2:4" ht="20.100000000000001" customHeight="1">
      <c r="B13" s="4077">
        <v>10</v>
      </c>
      <c r="C13" s="4077" t="s">
        <v>2530</v>
      </c>
      <c r="D13" s="4081" t="s">
        <v>1850</v>
      </c>
    </row>
    <row r="14" spans="2:4" ht="20.100000000000001" customHeight="1">
      <c r="B14" s="4077">
        <v>11</v>
      </c>
      <c r="C14" s="4077" t="s">
        <v>2528</v>
      </c>
      <c r="D14" s="4081" t="s">
        <v>2859</v>
      </c>
    </row>
    <row r="15" spans="2:4" ht="20.100000000000001" customHeight="1">
      <c r="B15" s="4077">
        <v>12</v>
      </c>
      <c r="C15" s="4077" t="s">
        <v>2528</v>
      </c>
      <c r="D15" s="4081" t="s">
        <v>1852</v>
      </c>
    </row>
    <row r="16" spans="2:4" ht="20.100000000000001" customHeight="1">
      <c r="B16" s="4077">
        <v>13</v>
      </c>
      <c r="C16" s="4077" t="s">
        <v>2528</v>
      </c>
      <c r="D16" s="4081" t="s">
        <v>1853</v>
      </c>
    </row>
    <row r="17" spans="2:4" ht="20.100000000000001" customHeight="1">
      <c r="B17" s="4078">
        <v>14</v>
      </c>
      <c r="C17" s="4078" t="s">
        <v>2528</v>
      </c>
      <c r="D17" s="4082" t="s">
        <v>1854</v>
      </c>
    </row>
    <row r="18" spans="2:4">
      <c r="B18" s="2002" t="s">
        <v>2857</v>
      </c>
    </row>
    <row r="21" spans="2:4" ht="20.100000000000001" customHeight="1">
      <c r="B21" s="5580" t="s">
        <v>2529</v>
      </c>
      <c r="C21" s="5580"/>
      <c r="D21" s="5580"/>
    </row>
    <row r="22" spans="2:4" ht="30">
      <c r="B22" s="2442" t="s">
        <v>1958</v>
      </c>
      <c r="C22" s="2442" t="s">
        <v>879</v>
      </c>
      <c r="D22" s="2443" t="s">
        <v>661</v>
      </c>
    </row>
    <row r="23" spans="2:4">
      <c r="B23" s="2444">
        <v>1</v>
      </c>
      <c r="C23" s="2444">
        <v>122</v>
      </c>
      <c r="D23" s="2445" t="s">
        <v>1833</v>
      </c>
    </row>
    <row r="24" spans="2:4">
      <c r="B24" s="2444">
        <v>2</v>
      </c>
      <c r="C24" s="2444">
        <v>199</v>
      </c>
      <c r="D24" s="2445" t="s">
        <v>340</v>
      </c>
    </row>
    <row r="25" spans="2:4">
      <c r="B25" s="2444">
        <v>3</v>
      </c>
      <c r="C25" s="2444" t="s">
        <v>1847</v>
      </c>
      <c r="D25" s="2445" t="s">
        <v>1849</v>
      </c>
    </row>
    <row r="26" spans="2:4">
      <c r="B26" s="2444">
        <v>4</v>
      </c>
      <c r="C26" s="2444" t="s">
        <v>1847</v>
      </c>
      <c r="D26" s="2445" t="s">
        <v>1835</v>
      </c>
    </row>
    <row r="27" spans="2:4">
      <c r="B27" s="2444">
        <v>5</v>
      </c>
      <c r="C27" s="2444" t="s">
        <v>1848</v>
      </c>
      <c r="D27" s="2445" t="s">
        <v>1836</v>
      </c>
    </row>
    <row r="28" spans="2:4">
      <c r="B28" s="2444">
        <v>6</v>
      </c>
      <c r="C28" s="2444" t="s">
        <v>1848</v>
      </c>
      <c r="D28" s="2445" t="s">
        <v>1838</v>
      </c>
    </row>
    <row r="29" spans="2:4">
      <c r="B29" s="2448">
        <v>7</v>
      </c>
      <c r="C29" s="2448" t="s">
        <v>2530</v>
      </c>
      <c r="D29" s="2895" t="s">
        <v>1837</v>
      </c>
    </row>
    <row r="30" spans="2:4">
      <c r="B30" s="2446">
        <v>8</v>
      </c>
      <c r="C30" s="2444" t="s">
        <v>2528</v>
      </c>
      <c r="D30" s="2445" t="s">
        <v>655</v>
      </c>
    </row>
    <row r="31" spans="2:4">
      <c r="B31" s="2444">
        <v>9</v>
      </c>
      <c r="C31" s="2444" t="s">
        <v>2528</v>
      </c>
      <c r="D31" s="2445" t="s">
        <v>1852</v>
      </c>
    </row>
    <row r="32" spans="2:4">
      <c r="B32" s="2444">
        <v>10</v>
      </c>
      <c r="C32" s="2444" t="s">
        <v>2528</v>
      </c>
      <c r="D32" s="2447" t="s">
        <v>1853</v>
      </c>
    </row>
    <row r="33" spans="2:4">
      <c r="B33" s="2444">
        <v>11</v>
      </c>
      <c r="C33" s="2444" t="s">
        <v>2528</v>
      </c>
      <c r="D33" s="2445" t="s">
        <v>1839</v>
      </c>
    </row>
    <row r="34" spans="2:4">
      <c r="B34" s="2444">
        <v>12</v>
      </c>
      <c r="C34" s="2444" t="s">
        <v>2528</v>
      </c>
      <c r="D34" s="2450" t="s">
        <v>1841</v>
      </c>
    </row>
    <row r="35" spans="2:4">
      <c r="B35" s="2444">
        <v>13</v>
      </c>
      <c r="C35" s="2444" t="s">
        <v>2528</v>
      </c>
      <c r="D35" s="2445" t="s">
        <v>1854</v>
      </c>
    </row>
    <row r="36" spans="2:4">
      <c r="B36" s="2444">
        <v>14</v>
      </c>
      <c r="C36" s="2444" t="s">
        <v>2528</v>
      </c>
      <c r="D36" s="2445" t="s">
        <v>1850</v>
      </c>
    </row>
    <row r="39" spans="2:4" ht="20.100000000000001" customHeight="1">
      <c r="B39" s="5578" t="s">
        <v>2345</v>
      </c>
      <c r="C39" s="5578"/>
      <c r="D39" s="5578"/>
    </row>
    <row r="40" spans="2:4" ht="30">
      <c r="B40" s="2908" t="s">
        <v>1958</v>
      </c>
      <c r="C40" s="2908" t="s">
        <v>879</v>
      </c>
      <c r="D40" s="2909" t="s">
        <v>661</v>
      </c>
    </row>
    <row r="41" spans="2:4">
      <c r="B41" s="2444">
        <v>1</v>
      </c>
      <c r="C41" s="2444">
        <v>160</v>
      </c>
      <c r="D41" s="2445" t="s">
        <v>1833</v>
      </c>
    </row>
    <row r="42" spans="2:4">
      <c r="B42" s="2444">
        <v>2</v>
      </c>
      <c r="C42" s="2444">
        <v>238</v>
      </c>
      <c r="D42" s="2445" t="s">
        <v>340</v>
      </c>
    </row>
    <row r="43" spans="2:4">
      <c r="B43" s="2444">
        <v>3</v>
      </c>
      <c r="C43" s="2444" t="s">
        <v>1846</v>
      </c>
      <c r="D43" s="2445" t="s">
        <v>1838</v>
      </c>
    </row>
    <row r="44" spans="2:4">
      <c r="B44" s="2444">
        <v>4</v>
      </c>
      <c r="C44" s="2444" t="s">
        <v>1847</v>
      </c>
      <c r="D44" s="2445" t="s">
        <v>1836</v>
      </c>
    </row>
    <row r="45" spans="2:4">
      <c r="B45" s="2444">
        <v>5</v>
      </c>
      <c r="C45" s="2444" t="s">
        <v>1848</v>
      </c>
      <c r="D45" s="2445" t="s">
        <v>1849</v>
      </c>
    </row>
    <row r="46" spans="2:4">
      <c r="B46" s="2444">
        <v>6</v>
      </c>
      <c r="C46" s="2444" t="s">
        <v>1848</v>
      </c>
      <c r="D46" s="2445" t="s">
        <v>1839</v>
      </c>
    </row>
    <row r="47" spans="2:4">
      <c r="B47" s="2444">
        <v>7</v>
      </c>
      <c r="C47" s="2444" t="s">
        <v>1848</v>
      </c>
      <c r="D47" s="2445" t="s">
        <v>1835</v>
      </c>
    </row>
    <row r="48" spans="2:4">
      <c r="B48" s="2446">
        <v>8</v>
      </c>
      <c r="C48" s="2444" t="s">
        <v>1848</v>
      </c>
      <c r="D48" s="2445" t="s">
        <v>1850</v>
      </c>
    </row>
    <row r="49" spans="2:4">
      <c r="B49" s="2444">
        <v>9</v>
      </c>
      <c r="C49" s="2444" t="s">
        <v>1851</v>
      </c>
      <c r="D49" s="2445" t="s">
        <v>655</v>
      </c>
    </row>
    <row r="50" spans="2:4">
      <c r="B50" s="2444">
        <v>10</v>
      </c>
      <c r="C50" s="2444" t="s">
        <v>1851</v>
      </c>
      <c r="D50" s="2445" t="s">
        <v>1852</v>
      </c>
    </row>
    <row r="51" spans="2:4">
      <c r="B51" s="2444">
        <v>11</v>
      </c>
      <c r="C51" s="2444" t="s">
        <v>1851</v>
      </c>
      <c r="D51" s="2447" t="s">
        <v>1853</v>
      </c>
    </row>
    <row r="52" spans="2:4">
      <c r="B52" s="2448">
        <v>12</v>
      </c>
      <c r="C52" s="2448" t="s">
        <v>1851</v>
      </c>
      <c r="D52" s="2449" t="s">
        <v>1837</v>
      </c>
    </row>
    <row r="53" spans="2:4">
      <c r="B53" s="2444">
        <v>13</v>
      </c>
      <c r="C53" s="2444" t="s">
        <v>1851</v>
      </c>
      <c r="D53" s="2450" t="s">
        <v>1841</v>
      </c>
    </row>
    <row r="54" spans="2:4">
      <c r="B54" s="2444">
        <v>14</v>
      </c>
      <c r="C54" s="2444" t="s">
        <v>1851</v>
      </c>
      <c r="D54" s="2445" t="s">
        <v>1854</v>
      </c>
    </row>
    <row r="55" spans="2:4">
      <c r="B55" s="2002" t="s">
        <v>1855</v>
      </c>
    </row>
    <row r="57" spans="2:4" ht="15.75">
      <c r="D57" s="31"/>
    </row>
    <row r="58" spans="2:4" ht="20.100000000000001" customHeight="1">
      <c r="B58" s="5578" t="s">
        <v>2346</v>
      </c>
      <c r="C58" s="5578"/>
      <c r="D58" s="5578"/>
    </row>
    <row r="59" spans="2:4" ht="45">
      <c r="B59" s="2004" t="s">
        <v>1845</v>
      </c>
      <c r="C59" s="2004" t="s">
        <v>879</v>
      </c>
      <c r="D59" s="2005" t="s">
        <v>661</v>
      </c>
    </row>
    <row r="60" spans="2:4">
      <c r="B60" s="1929">
        <v>1</v>
      </c>
      <c r="C60" s="1929">
        <v>160</v>
      </c>
      <c r="D60" s="2006" t="s">
        <v>1833</v>
      </c>
    </row>
    <row r="61" spans="2:4">
      <c r="B61" s="1929">
        <v>2</v>
      </c>
      <c r="C61" s="1929">
        <v>238</v>
      </c>
      <c r="D61" s="2006" t="s">
        <v>340</v>
      </c>
    </row>
    <row r="62" spans="2:4">
      <c r="B62" s="1929">
        <v>3</v>
      </c>
      <c r="C62" s="1929" t="s">
        <v>1846</v>
      </c>
      <c r="D62" s="2006" t="s">
        <v>1838</v>
      </c>
    </row>
    <row r="63" spans="2:4">
      <c r="B63" s="1929">
        <v>4</v>
      </c>
      <c r="C63" s="1929" t="s">
        <v>1847</v>
      </c>
      <c r="D63" s="2006" t="s">
        <v>1836</v>
      </c>
    </row>
    <row r="64" spans="2:4">
      <c r="B64" s="1929">
        <v>5</v>
      </c>
      <c r="C64" s="1929" t="s">
        <v>1848</v>
      </c>
      <c r="D64" s="2006" t="s">
        <v>1849</v>
      </c>
    </row>
    <row r="65" spans="2:6">
      <c r="B65" s="1929">
        <v>6</v>
      </c>
      <c r="C65" s="1929" t="s">
        <v>1848</v>
      </c>
      <c r="D65" s="2006" t="s">
        <v>1839</v>
      </c>
    </row>
    <row r="66" spans="2:6">
      <c r="B66" s="1929">
        <v>7</v>
      </c>
      <c r="C66" s="1929" t="s">
        <v>1848</v>
      </c>
      <c r="D66" s="2006" t="s">
        <v>1835</v>
      </c>
    </row>
    <row r="67" spans="2:6">
      <c r="B67" s="2007">
        <v>8</v>
      </c>
      <c r="C67" s="1929" t="s">
        <v>1848</v>
      </c>
      <c r="D67" s="2006" t="s">
        <v>1850</v>
      </c>
    </row>
    <row r="68" spans="2:6">
      <c r="B68" s="1929">
        <v>9</v>
      </c>
      <c r="C68" s="1929" t="s">
        <v>1851</v>
      </c>
      <c r="D68" s="2006" t="s">
        <v>655</v>
      </c>
    </row>
    <row r="69" spans="2:6">
      <c r="B69" s="1929">
        <v>10</v>
      </c>
      <c r="C69" s="1929" t="s">
        <v>1851</v>
      </c>
      <c r="D69" s="2006" t="s">
        <v>1852</v>
      </c>
    </row>
    <row r="70" spans="2:6">
      <c r="B70" s="1929">
        <v>11</v>
      </c>
      <c r="C70" s="1929" t="s">
        <v>1851</v>
      </c>
      <c r="D70" s="2008" t="s">
        <v>1853</v>
      </c>
    </row>
    <row r="71" spans="2:6">
      <c r="B71" s="2009">
        <v>12</v>
      </c>
      <c r="C71" s="2009" t="s">
        <v>1851</v>
      </c>
      <c r="D71" s="2010" t="s">
        <v>1837</v>
      </c>
    </row>
    <row r="72" spans="2:6">
      <c r="B72" s="1929">
        <v>13</v>
      </c>
      <c r="C72" s="1929" t="s">
        <v>1851</v>
      </c>
      <c r="D72" s="2011" t="s">
        <v>1841</v>
      </c>
    </row>
    <row r="73" spans="2:6">
      <c r="B73" s="1929">
        <v>14</v>
      </c>
      <c r="C73" s="1929" t="s">
        <v>1851</v>
      </c>
      <c r="D73" s="2006" t="s">
        <v>1854</v>
      </c>
    </row>
    <row r="74" spans="2:6" ht="15" customHeight="1">
      <c r="B74" s="2906" t="s">
        <v>1855</v>
      </c>
      <c r="C74" s="2905"/>
      <c r="D74" s="2905"/>
    </row>
    <row r="77" spans="2:6" ht="20.100000000000001" customHeight="1">
      <c r="B77" s="5578" t="s">
        <v>2347</v>
      </c>
      <c r="C77" s="5578"/>
      <c r="D77" s="5578"/>
      <c r="E77" s="364"/>
      <c r="F77" s="364"/>
    </row>
    <row r="78" spans="2:6" ht="30">
      <c r="B78" s="2442" t="s">
        <v>1958</v>
      </c>
      <c r="C78" s="2442" t="s">
        <v>879</v>
      </c>
      <c r="D78" s="2443" t="s">
        <v>661</v>
      </c>
      <c r="E78" s="364"/>
      <c r="F78" s="364"/>
    </row>
    <row r="79" spans="2:6" ht="15.75">
      <c r="B79" s="2444">
        <v>1</v>
      </c>
      <c r="C79" s="2444">
        <v>175</v>
      </c>
      <c r="D79" s="2450" t="s">
        <v>2333</v>
      </c>
      <c r="E79" s="364"/>
      <c r="F79" s="364"/>
    </row>
    <row r="80" spans="2:6" ht="15.75">
      <c r="B80" s="2444">
        <v>2</v>
      </c>
      <c r="C80" s="2444">
        <v>253</v>
      </c>
      <c r="D80" s="2450" t="s">
        <v>340</v>
      </c>
      <c r="E80" s="364"/>
      <c r="F80" s="364"/>
    </row>
    <row r="81" spans="1:6" ht="15.75">
      <c r="B81" s="2444">
        <v>3</v>
      </c>
      <c r="C81" s="2444" t="s">
        <v>1846</v>
      </c>
      <c r="D81" s="2450" t="s">
        <v>1836</v>
      </c>
      <c r="E81" s="364"/>
      <c r="F81" s="364"/>
    </row>
    <row r="82" spans="1:6" ht="15.75">
      <c r="B82" s="2444">
        <v>4</v>
      </c>
      <c r="C82" s="2444" t="s">
        <v>1846</v>
      </c>
      <c r="D82" s="2450" t="s">
        <v>1835</v>
      </c>
      <c r="E82" s="364"/>
      <c r="F82" s="364"/>
    </row>
    <row r="83" spans="1:6" ht="15.75">
      <c r="B83" s="2444">
        <v>5</v>
      </c>
      <c r="C83" s="2444" t="s">
        <v>1846</v>
      </c>
      <c r="D83" s="2450" t="s">
        <v>1850</v>
      </c>
      <c r="E83" s="364"/>
      <c r="F83" s="364"/>
    </row>
    <row r="84" spans="1:6" ht="15.75">
      <c r="B84" s="2444">
        <v>6</v>
      </c>
      <c r="C84" s="2444" t="s">
        <v>1847</v>
      </c>
      <c r="D84" s="2450" t="s">
        <v>1849</v>
      </c>
      <c r="E84" s="364"/>
      <c r="F84" s="364"/>
    </row>
    <row r="85" spans="1:6" ht="15.75">
      <c r="B85" s="2444">
        <v>7</v>
      </c>
      <c r="C85" s="2444" t="s">
        <v>1847</v>
      </c>
      <c r="D85" s="2450" t="s">
        <v>1839</v>
      </c>
      <c r="E85" s="364"/>
      <c r="F85" s="364"/>
    </row>
    <row r="86" spans="1:6" ht="15.75">
      <c r="B86" s="2446">
        <v>8</v>
      </c>
      <c r="C86" s="2444" t="s">
        <v>1848</v>
      </c>
      <c r="D86" s="2450" t="s">
        <v>1838</v>
      </c>
      <c r="E86" s="364"/>
      <c r="F86" s="364"/>
    </row>
    <row r="87" spans="1:6" ht="15.75">
      <c r="B87" s="2444">
        <v>9</v>
      </c>
      <c r="C87" s="2444" t="s">
        <v>1851</v>
      </c>
      <c r="D87" s="2450" t="s">
        <v>655</v>
      </c>
      <c r="E87" s="364"/>
      <c r="F87" s="364"/>
    </row>
    <row r="88" spans="1:6" ht="15.75">
      <c r="B88" s="2444">
        <v>10</v>
      </c>
      <c r="C88" s="2444" t="s">
        <v>1851</v>
      </c>
      <c r="D88" s="2450" t="s">
        <v>1852</v>
      </c>
      <c r="E88" s="364"/>
      <c r="F88" s="364"/>
    </row>
    <row r="89" spans="1:6" ht="15.75">
      <c r="B89" s="2444">
        <v>11</v>
      </c>
      <c r="C89" s="2444" t="s">
        <v>1851</v>
      </c>
      <c r="D89" s="2450" t="s">
        <v>1853</v>
      </c>
      <c r="E89" s="364"/>
      <c r="F89" s="364"/>
    </row>
    <row r="90" spans="1:6" ht="15.75">
      <c r="B90" s="2894">
        <v>12</v>
      </c>
      <c r="C90" s="2894" t="s">
        <v>1851</v>
      </c>
      <c r="D90" s="2895" t="s">
        <v>1837</v>
      </c>
      <c r="E90" s="364"/>
      <c r="F90" s="364"/>
    </row>
    <row r="91" spans="1:6" ht="15.75">
      <c r="B91" s="2444">
        <v>13</v>
      </c>
      <c r="C91" s="2444" t="s">
        <v>1851</v>
      </c>
      <c r="D91" s="2450" t="s">
        <v>1841</v>
      </c>
      <c r="E91" s="364"/>
      <c r="F91" s="364"/>
    </row>
    <row r="92" spans="1:6" ht="15.75">
      <c r="B92" s="2002" t="s">
        <v>2334</v>
      </c>
      <c r="D92" s="31"/>
      <c r="E92" s="364"/>
      <c r="F92" s="364"/>
    </row>
    <row r="93" spans="1:6" ht="15.75">
      <c r="B93" s="2002"/>
      <c r="D93" s="31"/>
      <c r="E93" s="364"/>
      <c r="F93" s="364"/>
    </row>
    <row r="94" spans="1:6" ht="15.75">
      <c r="B94" s="2002"/>
      <c r="D94" s="31"/>
      <c r="E94" s="364"/>
      <c r="F94" s="364"/>
    </row>
    <row r="95" spans="1:6" ht="20.100000000000001" customHeight="1">
      <c r="A95" s="308"/>
      <c r="B95" s="5578" t="s">
        <v>2348</v>
      </c>
      <c r="C95" s="5578"/>
      <c r="D95" s="5578"/>
    </row>
    <row r="96" spans="1:6" ht="30">
      <c r="A96" s="308"/>
      <c r="B96" s="2442" t="s">
        <v>1958</v>
      </c>
      <c r="C96" s="2442" t="s">
        <v>879</v>
      </c>
      <c r="D96" s="2443" t="s">
        <v>661</v>
      </c>
    </row>
    <row r="97" spans="1:6" ht="15.75">
      <c r="A97" s="308"/>
      <c r="B97" s="2444">
        <v>1</v>
      </c>
      <c r="C97" s="2896">
        <v>163</v>
      </c>
      <c r="D97" s="2897" t="s">
        <v>1833</v>
      </c>
    </row>
    <row r="98" spans="1:6" ht="15.75">
      <c r="A98" s="308"/>
      <c r="B98" s="2444">
        <v>2</v>
      </c>
      <c r="C98" s="2896">
        <v>279</v>
      </c>
      <c r="D98" s="2897" t="s">
        <v>2320</v>
      </c>
    </row>
    <row r="99" spans="1:6" ht="15.75">
      <c r="A99" s="308"/>
      <c r="B99" s="2444">
        <v>3</v>
      </c>
      <c r="C99" s="2896" t="s">
        <v>2335</v>
      </c>
      <c r="D99" s="2897" t="s">
        <v>1836</v>
      </c>
    </row>
    <row r="100" spans="1:6" ht="15.75">
      <c r="A100" s="308"/>
      <c r="B100" s="2444">
        <v>4</v>
      </c>
      <c r="C100" s="2444" t="s">
        <v>1847</v>
      </c>
      <c r="D100" s="2897" t="s">
        <v>1839</v>
      </c>
    </row>
    <row r="101" spans="1:6" ht="15.75">
      <c r="A101" s="308"/>
      <c r="B101" s="2444">
        <v>5</v>
      </c>
      <c r="C101" s="2444" t="s">
        <v>2336</v>
      </c>
      <c r="D101" s="2897" t="s">
        <v>1835</v>
      </c>
    </row>
    <row r="102" spans="1:6" ht="15.75">
      <c r="A102" s="308"/>
      <c r="B102" s="2444">
        <v>6</v>
      </c>
      <c r="C102" s="2896" t="s">
        <v>1848</v>
      </c>
      <c r="D102" s="2897" t="s">
        <v>2337</v>
      </c>
    </row>
    <row r="103" spans="1:6" ht="15.75">
      <c r="A103" s="308"/>
      <c r="B103" s="2444">
        <v>7</v>
      </c>
      <c r="C103" s="2896" t="s">
        <v>1848</v>
      </c>
      <c r="D103" s="2897" t="s">
        <v>553</v>
      </c>
    </row>
    <row r="104" spans="1:6" ht="15.75">
      <c r="A104" s="308"/>
      <c r="B104" s="2900">
        <v>8</v>
      </c>
      <c r="C104" s="2900" t="s">
        <v>1848</v>
      </c>
      <c r="D104" s="2901" t="s">
        <v>1837</v>
      </c>
    </row>
    <row r="105" spans="1:6" ht="15.75">
      <c r="A105" s="308"/>
      <c r="B105" s="2444">
        <v>9</v>
      </c>
      <c r="C105" s="2898" t="s">
        <v>1851</v>
      </c>
      <c r="D105" s="2899" t="s">
        <v>655</v>
      </c>
    </row>
    <row r="106" spans="1:6" ht="15.75">
      <c r="A106" s="308"/>
      <c r="B106" s="2444">
        <v>10</v>
      </c>
      <c r="C106" s="2896" t="s">
        <v>2338</v>
      </c>
      <c r="D106" s="2700" t="s">
        <v>1849</v>
      </c>
    </row>
    <row r="107" spans="1:6" ht="15.75">
      <c r="A107" s="308"/>
      <c r="B107" s="2444">
        <v>11</v>
      </c>
      <c r="C107" s="2552" t="s">
        <v>1851</v>
      </c>
      <c r="D107" s="2897" t="s">
        <v>2339</v>
      </c>
    </row>
    <row r="108" spans="1:6" ht="15.75">
      <c r="A108" s="308"/>
      <c r="B108" s="2444">
        <v>12</v>
      </c>
      <c r="C108" s="2552" t="s">
        <v>1851</v>
      </c>
      <c r="D108" s="2897" t="s">
        <v>1841</v>
      </c>
    </row>
    <row r="109" spans="1:6" ht="15.75">
      <c r="A109" s="308"/>
      <c r="B109" s="2002" t="s">
        <v>2344</v>
      </c>
      <c r="C109" s="308"/>
      <c r="D109" s="308"/>
      <c r="E109" s="308"/>
      <c r="F109" s="308"/>
    </row>
    <row r="110" spans="1:6" ht="15.75">
      <c r="A110" s="308"/>
      <c r="B110" s="308"/>
      <c r="C110" s="308"/>
      <c r="D110" s="308"/>
      <c r="E110" s="308"/>
      <c r="F110" s="308"/>
    </row>
    <row r="111" spans="1:6" ht="15.75">
      <c r="A111" s="308"/>
      <c r="B111" s="308"/>
      <c r="C111" s="308"/>
      <c r="D111" s="31"/>
      <c r="E111" s="308"/>
      <c r="F111" s="308"/>
    </row>
    <row r="112" spans="1:6" ht="15.75">
      <c r="A112" s="308"/>
      <c r="B112" s="5578" t="s">
        <v>2349</v>
      </c>
      <c r="C112" s="5578"/>
      <c r="D112" s="5578"/>
      <c r="E112" s="308"/>
      <c r="F112" s="308"/>
    </row>
    <row r="113" spans="1:6" ht="30">
      <c r="A113" s="308"/>
      <c r="B113" s="2442" t="s">
        <v>1958</v>
      </c>
      <c r="C113" s="2442" t="s">
        <v>879</v>
      </c>
      <c r="D113" s="2443" t="s">
        <v>661</v>
      </c>
      <c r="E113" s="308"/>
      <c r="F113" s="308"/>
    </row>
    <row r="114" spans="1:6" ht="15.75">
      <c r="A114" s="308"/>
      <c r="B114" s="2444">
        <v>1</v>
      </c>
      <c r="C114" s="2896">
        <v>146</v>
      </c>
      <c r="D114" s="2897" t="s">
        <v>1833</v>
      </c>
      <c r="E114" s="308"/>
      <c r="F114" s="308"/>
    </row>
    <row r="115" spans="1:6" ht="15.75">
      <c r="A115" s="308"/>
      <c r="B115" s="2444">
        <v>2</v>
      </c>
      <c r="C115" s="2896" t="s">
        <v>2340</v>
      </c>
      <c r="D115" s="2897" t="s">
        <v>2320</v>
      </c>
      <c r="E115" s="308"/>
      <c r="F115" s="308"/>
    </row>
    <row r="116" spans="1:6" ht="15.75">
      <c r="A116" s="308"/>
      <c r="B116" s="2444">
        <v>3</v>
      </c>
      <c r="C116" s="2896" t="s">
        <v>2341</v>
      </c>
      <c r="D116" s="2897" t="s">
        <v>1839</v>
      </c>
      <c r="E116" s="308"/>
      <c r="F116" s="308"/>
    </row>
    <row r="117" spans="1:6" ht="15.75">
      <c r="A117" s="308"/>
      <c r="B117" s="2444">
        <v>4</v>
      </c>
      <c r="C117" s="2896" t="s">
        <v>2335</v>
      </c>
      <c r="D117" s="2897" t="s">
        <v>1836</v>
      </c>
      <c r="E117" s="308"/>
      <c r="F117" s="308"/>
    </row>
    <row r="118" spans="1:6" ht="15.75">
      <c r="A118" s="308"/>
      <c r="B118" s="2444">
        <v>5</v>
      </c>
      <c r="C118" s="2896" t="s">
        <v>2335</v>
      </c>
      <c r="D118" s="2897" t="s">
        <v>1835</v>
      </c>
      <c r="E118" s="308"/>
      <c r="F118" s="308"/>
    </row>
    <row r="119" spans="1:6" ht="15.75">
      <c r="A119" s="308"/>
      <c r="B119" s="2444">
        <v>6</v>
      </c>
      <c r="C119" s="2896" t="s">
        <v>2338</v>
      </c>
      <c r="D119" s="2899" t="s">
        <v>655</v>
      </c>
      <c r="E119" s="308"/>
      <c r="F119" s="308"/>
    </row>
    <row r="120" spans="1:6" ht="15.75">
      <c r="A120" s="308"/>
      <c r="B120" s="2444">
        <v>7</v>
      </c>
      <c r="C120" s="2896" t="s">
        <v>2338</v>
      </c>
      <c r="D120" s="2897" t="s">
        <v>553</v>
      </c>
      <c r="E120" s="308"/>
      <c r="F120" s="308"/>
    </row>
    <row r="121" spans="1:6" ht="15.75">
      <c r="A121" s="308"/>
      <c r="B121" s="2900">
        <v>8</v>
      </c>
      <c r="C121" s="2903" t="s">
        <v>2338</v>
      </c>
      <c r="D121" s="2904" t="s">
        <v>1837</v>
      </c>
      <c r="E121" s="308"/>
      <c r="F121" s="308"/>
    </row>
    <row r="122" spans="1:6" ht="15.75">
      <c r="A122" s="308"/>
      <c r="B122" s="2444">
        <v>9</v>
      </c>
      <c r="C122" s="2898" t="s">
        <v>2338</v>
      </c>
      <c r="D122" s="2902" t="s">
        <v>1841</v>
      </c>
      <c r="E122" s="308"/>
      <c r="F122" s="308"/>
    </row>
    <row r="123" spans="1:6" ht="15.75">
      <c r="A123" s="308"/>
      <c r="B123" s="2444">
        <v>10</v>
      </c>
      <c r="C123" s="2896" t="s">
        <v>2338</v>
      </c>
      <c r="D123" s="2897" t="s">
        <v>2337</v>
      </c>
      <c r="E123" s="308"/>
      <c r="F123" s="308"/>
    </row>
    <row r="124" spans="1:6" ht="15.75">
      <c r="A124" s="308"/>
      <c r="B124" s="2444">
        <v>11</v>
      </c>
      <c r="C124" s="2555" t="s">
        <v>2342</v>
      </c>
      <c r="D124" s="2897" t="s">
        <v>739</v>
      </c>
      <c r="E124" s="308"/>
      <c r="F124" s="308"/>
    </row>
    <row r="125" spans="1:6" ht="15.75">
      <c r="A125" s="308"/>
      <c r="B125" s="2002" t="s">
        <v>2343</v>
      </c>
      <c r="C125" s="308"/>
      <c r="D125" s="308"/>
      <c r="E125" s="308"/>
      <c r="F125" s="308"/>
    </row>
    <row r="126" spans="1:6" ht="15.75">
      <c r="A126" s="308"/>
      <c r="B126" s="308"/>
      <c r="C126" s="308"/>
      <c r="D126" s="308"/>
      <c r="E126" s="308"/>
      <c r="F126" s="308"/>
    </row>
    <row r="128" spans="1:6" ht="15.75">
      <c r="C128" s="31" t="s">
        <v>690</v>
      </c>
      <c r="D128" s="31"/>
      <c r="E128" s="31"/>
    </row>
    <row r="129" spans="3:5" ht="15.75">
      <c r="C129" s="31" t="s">
        <v>399</v>
      </c>
      <c r="D129" s="31"/>
      <c r="E129" s="31"/>
    </row>
    <row r="130" spans="3:5" ht="15.75">
      <c r="D130" s="191"/>
      <c r="E130" s="31"/>
    </row>
    <row r="131" spans="3:5" ht="30">
      <c r="C131" s="294" t="s">
        <v>346</v>
      </c>
      <c r="D131" s="2757" t="s">
        <v>91</v>
      </c>
      <c r="E131" s="31"/>
    </row>
    <row r="132" spans="3:5" ht="15.75">
      <c r="C132" s="296">
        <v>1</v>
      </c>
      <c r="D132" s="300" t="s">
        <v>92</v>
      </c>
      <c r="E132" s="31"/>
    </row>
    <row r="133" spans="3:5" ht="15.75">
      <c r="C133" s="296">
        <v>2</v>
      </c>
      <c r="D133" s="300" t="s">
        <v>93</v>
      </c>
      <c r="E133" s="31"/>
    </row>
    <row r="134" spans="3:5" ht="15.75">
      <c r="C134" s="296">
        <v>3</v>
      </c>
      <c r="D134" s="300" t="s">
        <v>94</v>
      </c>
      <c r="E134" s="31"/>
    </row>
    <row r="135" spans="3:5" ht="15.75">
      <c r="C135" s="332">
        <v>4</v>
      </c>
      <c r="D135" s="2907" t="s">
        <v>95</v>
      </c>
      <c r="E135" s="31"/>
    </row>
    <row r="136" spans="3:5" ht="15.75">
      <c r="C136" s="296">
        <v>5</v>
      </c>
      <c r="D136" s="300" t="s">
        <v>96</v>
      </c>
      <c r="E136" s="31"/>
    </row>
    <row r="137" spans="3:5" ht="15.75">
      <c r="C137" s="296">
        <v>6</v>
      </c>
      <c r="D137" s="300" t="s">
        <v>339</v>
      </c>
      <c r="E137" s="31"/>
    </row>
    <row r="138" spans="3:5" ht="15.75">
      <c r="C138" s="296">
        <v>7</v>
      </c>
      <c r="D138" s="300" t="s">
        <v>340</v>
      </c>
      <c r="E138" s="31"/>
    </row>
    <row r="139" spans="3:5" ht="15.75">
      <c r="C139" s="296">
        <v>8</v>
      </c>
      <c r="D139" s="300" t="s">
        <v>333</v>
      </c>
      <c r="E139" s="31"/>
    </row>
    <row r="140" spans="3:5" ht="15.75">
      <c r="C140" s="296">
        <v>9</v>
      </c>
      <c r="D140" s="300" t="s">
        <v>341</v>
      </c>
      <c r="E140" s="31"/>
    </row>
    <row r="141" spans="3:5" ht="15.75">
      <c r="C141" s="296">
        <v>10</v>
      </c>
      <c r="D141" s="300" t="s">
        <v>342</v>
      </c>
      <c r="E141" s="31"/>
    </row>
    <row r="142" spans="3:5" ht="15.75">
      <c r="C142" s="296">
        <v>11</v>
      </c>
      <c r="D142" s="300" t="s">
        <v>691</v>
      </c>
      <c r="E142" s="31"/>
    </row>
    <row r="143" spans="3:5" ht="15.75">
      <c r="C143" s="296">
        <v>12</v>
      </c>
      <c r="D143" s="300" t="s">
        <v>343</v>
      </c>
      <c r="E143" s="31"/>
    </row>
    <row r="144" spans="3:5" ht="15.75">
      <c r="C144" s="296">
        <v>13</v>
      </c>
      <c r="D144" s="300" t="s">
        <v>344</v>
      </c>
      <c r="E144" s="31"/>
    </row>
    <row r="145" spans="3:6" ht="15.75">
      <c r="C145" s="296">
        <v>14</v>
      </c>
      <c r="D145" s="300" t="s">
        <v>345</v>
      </c>
      <c r="E145" s="31"/>
    </row>
    <row r="146" spans="3:6" ht="15.75">
      <c r="C146" s="296">
        <v>15</v>
      </c>
      <c r="D146" s="300" t="s">
        <v>632</v>
      </c>
      <c r="E146" s="31"/>
    </row>
    <row r="147" spans="3:6" ht="15.75">
      <c r="C147" s="77" t="s">
        <v>663</v>
      </c>
      <c r="D147" s="191"/>
      <c r="E147" s="31"/>
    </row>
    <row r="150" spans="3:6" ht="15.75">
      <c r="C150" s="31" t="s">
        <v>672</v>
      </c>
      <c r="D150" s="31"/>
      <c r="E150" s="31"/>
      <c r="F150" s="31"/>
    </row>
    <row r="151" spans="3:6" ht="15.75">
      <c r="C151" s="31" t="s">
        <v>399</v>
      </c>
      <c r="D151" s="31"/>
      <c r="E151" s="31"/>
      <c r="F151" s="31"/>
    </row>
    <row r="152" spans="3:6" ht="30">
      <c r="C152" s="294" t="s">
        <v>692</v>
      </c>
      <c r="D152" s="299" t="s">
        <v>91</v>
      </c>
      <c r="E152" s="31"/>
      <c r="F152" s="31"/>
    </row>
    <row r="153" spans="3:6" ht="15.75">
      <c r="C153" s="296">
        <v>1</v>
      </c>
      <c r="D153" s="629" t="s">
        <v>153</v>
      </c>
      <c r="E153" s="31"/>
      <c r="F153" s="31"/>
    </row>
    <row r="154" spans="3:6" ht="15.75">
      <c r="C154" s="296">
        <v>2</v>
      </c>
      <c r="D154" s="629" t="s">
        <v>676</v>
      </c>
      <c r="E154" s="31"/>
      <c r="F154" s="31"/>
    </row>
    <row r="155" spans="3:6" ht="15.75">
      <c r="C155" s="296">
        <v>3</v>
      </c>
      <c r="D155" s="629" t="s">
        <v>155</v>
      </c>
      <c r="E155" s="31"/>
      <c r="F155" s="31"/>
    </row>
    <row r="156" spans="3:6" ht="15.75">
      <c r="C156" s="332">
        <v>4</v>
      </c>
      <c r="D156" s="2907" t="s">
        <v>95</v>
      </c>
      <c r="E156" s="31"/>
      <c r="F156" s="31"/>
    </row>
    <row r="157" spans="3:6" ht="15.75">
      <c r="C157" s="296">
        <v>5</v>
      </c>
      <c r="D157" s="629" t="s">
        <v>655</v>
      </c>
      <c r="E157" s="31"/>
      <c r="F157" s="31"/>
    </row>
    <row r="158" spans="3:6" ht="15.75">
      <c r="C158" s="296">
        <v>6</v>
      </c>
      <c r="D158" s="629" t="s">
        <v>96</v>
      </c>
      <c r="E158" s="31"/>
      <c r="F158" s="31"/>
    </row>
    <row r="159" spans="3:6" ht="15.75">
      <c r="C159" s="296">
        <v>7</v>
      </c>
      <c r="D159" s="629" t="s">
        <v>333</v>
      </c>
      <c r="E159" s="31"/>
      <c r="F159" s="31"/>
    </row>
    <row r="160" spans="3:6" ht="15.75">
      <c r="C160" s="296">
        <v>8</v>
      </c>
      <c r="D160" s="629" t="s">
        <v>693</v>
      </c>
      <c r="E160" s="31"/>
      <c r="F160" s="31"/>
    </row>
    <row r="161" spans="3:6" ht="15.75">
      <c r="C161" s="296">
        <v>9</v>
      </c>
      <c r="D161" s="629" t="s">
        <v>694</v>
      </c>
      <c r="E161" s="31"/>
      <c r="F161" s="31"/>
    </row>
    <row r="162" spans="3:6" ht="15.75">
      <c r="C162" s="296">
        <v>10</v>
      </c>
      <c r="D162" s="629" t="s">
        <v>695</v>
      </c>
      <c r="E162" s="31"/>
      <c r="F162" s="31"/>
    </row>
    <row r="163" spans="3:6" ht="15.75">
      <c r="C163" s="296">
        <v>11</v>
      </c>
      <c r="D163" s="629" t="s">
        <v>343</v>
      </c>
      <c r="E163" s="31"/>
      <c r="F163" s="31"/>
    </row>
    <row r="164" spans="3:6" ht="15.75">
      <c r="C164" s="296">
        <v>12</v>
      </c>
      <c r="D164" s="629" t="s">
        <v>552</v>
      </c>
      <c r="E164" s="31"/>
      <c r="F164" s="31"/>
    </row>
    <row r="165" spans="3:6" ht="15.75">
      <c r="C165" s="296">
        <v>13</v>
      </c>
      <c r="D165" s="629" t="s">
        <v>696</v>
      </c>
      <c r="E165" s="31"/>
      <c r="F165" s="31"/>
    </row>
    <row r="166" spans="3:6" ht="15.75">
      <c r="C166" s="296">
        <v>14</v>
      </c>
      <c r="D166" s="629" t="s">
        <v>697</v>
      </c>
      <c r="E166" s="31"/>
      <c r="F166" s="31"/>
    </row>
    <row r="167" spans="3:6" ht="15.75">
      <c r="C167" s="296">
        <v>15</v>
      </c>
      <c r="D167" s="629" t="s">
        <v>698</v>
      </c>
      <c r="E167" s="31"/>
      <c r="F167" s="31"/>
    </row>
    <row r="168" spans="3:6" ht="15.75">
      <c r="C168" s="77" t="s">
        <v>663</v>
      </c>
      <c r="E168" s="31"/>
      <c r="F168" s="31"/>
    </row>
    <row r="174" spans="3:6" ht="6" customHeight="1"/>
    <row r="204" spans="3:7" ht="4.5" customHeight="1">
      <c r="C204" s="201"/>
      <c r="D204" s="201"/>
      <c r="E204" s="201"/>
      <c r="F204" s="201"/>
      <c r="G204" s="201"/>
    </row>
  </sheetData>
  <mergeCells count="7">
    <mergeCell ref="B112:D112"/>
    <mergeCell ref="B39:D39"/>
    <mergeCell ref="B2:D2"/>
    <mergeCell ref="B21:D21"/>
    <mergeCell ref="B58:D58"/>
    <mergeCell ref="B77:D77"/>
    <mergeCell ref="B95:D95"/>
  </mergeCells>
  <hyperlinks>
    <hyperlink ref="D70" r:id="rId1" display="http://www.topuniversities.com/universities/universidad-aut%C3%B3noma-del-estado-de-mexico-uaemex/undergrad"/>
    <hyperlink ref="D71" r:id="rId2" display="http://www.topuniversities.com/universities/universidad-aut%C3%B3noma-metropolitana-uam/undergrad"/>
    <hyperlink ref="D72" r:id="rId3" display="http://www.topuniversities.com/universities/universidad-de-las-am%C3%A9ricas-puebla-udlap/undergrad"/>
    <hyperlink ref="D60" r:id="rId4" location="wur" display="http://www.topuniversities.com/universities/universidad-nacional-aut%C3%B3noma-de-m%C3%A9xico-unam - wur"/>
    <hyperlink ref="D61" r:id="rId5" location="wur" display="http://www.topuniversities.com/universities/instituto-tecnol%C3%B3gico-y-de-estudios-superiores-de-monterrey - wur"/>
    <hyperlink ref="D62" r:id="rId6" location="wur" display="http://www.topuniversities.com/universities/instituto-tecnol%C3%B3gico-aut%C3%B3nomo-de-m%C3%A9xico-itam - wur"/>
    <hyperlink ref="D63" r:id="rId7" location="wur" display="http://www.topuniversities.com/universities/instituto-polit%C3%A9cnico-nacional-ipn - wur"/>
    <hyperlink ref="D64" r:id="rId8" location="wur" display="http://www.topuniversities.com/universities/universidad-anahuac - wur"/>
    <hyperlink ref="D65" r:id="rId9" location="wur" display="http://www.topuniversities.com/universities/universidad-de-guadalajara-udg - wur"/>
    <hyperlink ref="D66" r:id="rId10" location="wur" display="http://www.topuniversities.com/universities/universidad-iberoamericana-uia - wur"/>
    <hyperlink ref="D67" r:id="rId11" location="wur-0" display="http://www.topuniversities.com/universities/universidad-panamericana - wur-0"/>
    <hyperlink ref="D68" r:id="rId12" location="wur" display="http://www.topuniversities.com/universities/benem%C3%A9rita-universidad-aut%C3%B3noma-de-puebla - wur"/>
    <hyperlink ref="D69" r:id="rId13" location="wur" display="http://www.topuniversities.com/universities/universidad-autonoma-de-nuevo-leon-uanl - wur"/>
    <hyperlink ref="D73" r:id="rId14" location="wur" display="http://www.topuniversities.com/universities/universidad-de-monterrey-udem - wur"/>
    <hyperlink ref="B74" r:id="rId15" location="sorting=rank+region=213+country=241+faculty=+stars=false+search="/>
    <hyperlink ref="D51" r:id="rId16" display="http://www.topuniversities.com/universities/universidad-aut%C3%B3noma-del-estado-de-mexico-uaemex/undergrad"/>
    <hyperlink ref="D52" r:id="rId17" display="http://www.topuniversities.com/universities/universidad-aut%C3%B3noma-metropolitana-uam/undergrad"/>
    <hyperlink ref="D53" r:id="rId18" display="http://www.topuniversities.com/universities/universidad-de-las-am%C3%A9ricas-puebla-udlap/undergrad"/>
    <hyperlink ref="D41" r:id="rId19" location="wur" display="http://www.topuniversities.com/universities/universidad-nacional-aut%C3%B3noma-de-m%C3%A9xico-unam - wur"/>
    <hyperlink ref="D42" r:id="rId20" location="wur" display="http://www.topuniversities.com/universities/instituto-tecnol%C3%B3gico-y-de-estudios-superiores-de-monterrey - wur"/>
    <hyperlink ref="D43" r:id="rId21" location="wur" display="http://www.topuniversities.com/universities/instituto-tecnol%C3%B3gico-aut%C3%B3nomo-de-m%C3%A9xico-itam - wur"/>
    <hyperlink ref="D44" r:id="rId22" location="wur" display="http://www.topuniversities.com/universities/instituto-polit%C3%A9cnico-nacional-ipn - wur"/>
    <hyperlink ref="D45" r:id="rId23" location="wur" display="http://www.topuniversities.com/universities/universidad-anahuac - wur"/>
    <hyperlink ref="D46" r:id="rId24" location="wur" display="http://www.topuniversities.com/universities/universidad-de-guadalajara-udg - wur"/>
    <hyperlink ref="D47" r:id="rId25" location="wur" display="http://www.topuniversities.com/universities/universidad-iberoamericana-uia - wur"/>
    <hyperlink ref="D48" r:id="rId26" location="wur-0" display="http://www.topuniversities.com/universities/universidad-panamericana - wur-0"/>
    <hyperlink ref="D49" r:id="rId27" location="wur" display="http://www.topuniversities.com/universities/benem%C3%A9rita-universidad-aut%C3%B3noma-de-puebla - wur"/>
    <hyperlink ref="D50" r:id="rId28" location="wur" display="http://www.topuniversities.com/universities/universidad-autonoma-de-nuevo-leon-uanl - wur"/>
    <hyperlink ref="D54" r:id="rId29" location="wur" display="http://www.topuniversities.com/universities/universidad-de-monterrey-udem - wur"/>
    <hyperlink ref="D79" r:id="rId30" display="http://www.topuniversities.com/universities/universidad-nacional-aut%C3%B3noma-de-mexico-unam/undergrad"/>
    <hyperlink ref="D80" r:id="rId31" display="http://www.topuniversities.com/universities/instituto-tecnol%C3%B3gico-y-de-estudios-superiores-de-monterrey/undergrad"/>
    <hyperlink ref="D81" r:id="rId32" display="http://www.topuniversities.com/universities/instituto-polit%C3%A9cnico-nacional-ipn/undergrad"/>
    <hyperlink ref="D82" r:id="rId33" display="http://www.topuniversities.com/universities/universidad-iberoamericana-uia/undergrad"/>
    <hyperlink ref="D83" r:id="rId34" display="http://www.topuniversities.com/universities/universidad-panamericana/undergrad-0"/>
    <hyperlink ref="D84" r:id="rId35" display="http://www.topuniversities.com/universities/universidad-anahuac/undergrad"/>
    <hyperlink ref="D85" r:id="rId36" display="http://www.topuniversities.com/universities/universidad-de-guadalajara-udg/undergrad"/>
    <hyperlink ref="D86" r:id="rId37" display="http://www.topuniversities.com/universities/instituto-tecnol%C3%B3gico-aut%C3%B3nomo-de-m%C3%A9xico-itam/undergrad"/>
    <hyperlink ref="D87" r:id="rId38" display="http://www.topuniversities.com/universities/benem%C3%A9rita-universidad-aut%C3%B3noma-de-puebla/undergrad"/>
    <hyperlink ref="D88" r:id="rId39" display="http://www.topuniversities.com/universities/universidad-autonoma-de-nuevo-leon-uanl/undergrad"/>
    <hyperlink ref="D89" r:id="rId40" display="http://www.topuniversities.com/universities/universidad-aut%C3%B3noma-del-estado-de-mexico-uaemex/undergrad"/>
    <hyperlink ref="D90" r:id="rId41" display="http://www.topuniversities.com/universities/universidad-aut%C3%B3noma-metropolitana-uam/undergrad"/>
    <hyperlink ref="D91" r:id="rId42" display="http://www.topuniversities.com/universities/universidad-de-las-am%C3%A9ricas-puebla-udlap/undergrad"/>
    <hyperlink ref="B92" r:id="rId43" location="sorting=rank+region=213+country=241+faculty=+stars=false+search="/>
    <hyperlink ref="D97" r:id="rId44" display="http://www.topuniversities.com/universities/universidad-nacional-aut%C3%B3noma-de-m%C3%A9xico-unam"/>
    <hyperlink ref="D98" r:id="rId45" display="http://www.topuniversities.com/universities/tecnol%C3%B3gico-de-monterrey-itesm"/>
    <hyperlink ref="D100" r:id="rId46" display="http://www.topuniversities.com/universities/universidad-de-guadalajara-udg"/>
    <hyperlink ref="D99" r:id="rId47" display="http://www.topuniversities.com/universities/instituto-polit%C3%A9cnico-nacional-ipn"/>
    <hyperlink ref="D101" r:id="rId48" display="http://www.topuniversities.com/universities/universidad-iberoamericana-uia"/>
    <hyperlink ref="D108" r:id="rId49" display="http://www.topuniversities.com/universities/universidad-de-las-am%C3%A9ricas-puebla-udlap"/>
    <hyperlink ref="D104" r:id="rId50" display="http://www.topuniversities.com/universities/universidad-aut%C3%B3noma-metropolitana-uam"/>
    <hyperlink ref="D103" r:id="rId51" display="http://www.topuniversities.com/universities/universidad-aut%C3%B3noma-del-estado-de-m%C3%A9xico-1"/>
    <hyperlink ref="D102" r:id="rId52" display="http://www.topuniversities.com/universities/instituto-tecnol%C3%B3gico-autonomo-de-m%C3%A9xico-itam"/>
    <hyperlink ref="D105" r:id="rId53" display="http://www.topuniversities.com/universities/benem%C3%A9rita-universidad-aut%C3%B3noma-de-puebla-0"/>
    <hyperlink ref="D114" r:id="rId54" display="http://www.topuniversities.com/universities/universidad-nacional-aut%C3%B3noma-de-m%C3%A9xico-unam"/>
    <hyperlink ref="D115" r:id="rId55" display="http://www.topuniversities.com/universities/tecnol%C3%B3gico-de-monterrey-itesm"/>
    <hyperlink ref="D116" r:id="rId56" display="http://www.topuniversities.com/universities/universidad-de-guadalajara-udg"/>
    <hyperlink ref="D117" r:id="rId57" display="http://www.topuniversities.com/universities/instituto-polit%C3%A9cnico-nacional-ipn"/>
    <hyperlink ref="D118" r:id="rId58" display="http://www.topuniversities.com/universities/universidad-iberoamericana-uia"/>
    <hyperlink ref="D122" r:id="rId59" display="http://www.topuniversities.com/universities/universidad-de-las-am%C3%A9ricas-puebla-udlap"/>
    <hyperlink ref="D121" r:id="rId60" display="http://www.topuniversities.com/universities/universidad-aut%C3%B3noma-metropolitana-uam"/>
    <hyperlink ref="D120" r:id="rId61" display="http://www.topuniversities.com/universities/universidad-aut%C3%B3noma-del-estado-de-m%C3%A9xico-1"/>
    <hyperlink ref="D123" r:id="rId62" display="http://www.topuniversities.com/universities/instituto-tecnol%C3%B3gico-autonomo-de-m%C3%A9xico-itam"/>
    <hyperlink ref="D119" r:id="rId63" display="http://www.topuniversities.com/universities/benem%C3%A9rita-universidad-aut%C3%B3noma-de-puebla-0"/>
    <hyperlink ref="D124" r:id="rId64" display="http://www.topuniversities.com/universities/colegio-de-m%C3%A9xico"/>
    <hyperlink ref="B125" r:id="rId65"/>
    <hyperlink ref="B109" r:id="rId66" location="sorting=rank+region=213+country=241+faculty=+stars=false+search="/>
    <hyperlink ref="B55" r:id="rId67" location="sorting=rank+region=213+country=241+faculty=+stars=false+search="/>
    <hyperlink ref="D32" r:id="rId68" display="http://www.topuniversities.com/universities/universidad-aut%C3%B3noma-del-estado-de-mexico-uaemex/undergrad"/>
    <hyperlink ref="D29" r:id="rId69" display="http://www.topuniversities.com/universities/universidad-aut%C3%B3noma-metropolitana-uam/undergrad"/>
    <hyperlink ref="D34" r:id="rId70" display="http://www.topuniversities.com/universities/universidad-de-las-am%C3%A9ricas-puebla-udlap/undergrad"/>
    <hyperlink ref="D27" r:id="rId71" location="wur" display="http://www.topuniversities.com/universities/instituto-polit%C3%A9cnico-nacional-ipn - wur"/>
    <hyperlink ref="D33" r:id="rId72" location="wur" display="http://www.topuniversities.com/universities/universidad-de-guadalajara-udg - wur"/>
    <hyperlink ref="D36" r:id="rId73" location="wur-0" display="http://www.topuniversities.com/universities/universidad-panamericana - wur-0"/>
    <hyperlink ref="D31" r:id="rId74" location="wur" display="http://www.topuniversities.com/universities/universidad-autonoma-de-nuevo-leon-uanl - wur"/>
    <hyperlink ref="D35" r:id="rId75" location="wur" display="http://www.topuniversities.com/universities/universidad-de-monterrey-udem - wur"/>
    <hyperlink ref="D23" r:id="rId76" location="wur" display="http://www.topuniversities.com/universities/universidad-nacional-aut%C3%B3noma-de-m%C3%A9xico-unam - wur"/>
    <hyperlink ref="D24" r:id="rId77" location="wur" display="http://www.topuniversities.com/universities/instituto-tecnol%C3%B3gico-y-de-estudios-superiores-de-monterrey - wur"/>
    <hyperlink ref="D28" r:id="rId78" location="wur" display="http://www.topuniversities.com/universities/instituto-tecnol%C3%B3gico-aut%C3%B3nomo-de-m%C3%A9xico-itam - wur"/>
    <hyperlink ref="D25" r:id="rId79" location="wur" display="http://www.topuniversities.com/universities/universidad-anahuac - wur"/>
    <hyperlink ref="D26" r:id="rId80" location="wur" display="http://www.topuniversities.com/universities/universidad-iberoamericana-uia - wur"/>
    <hyperlink ref="D30" r:id="rId81" location="wur" display="http://www.topuniversities.com/universities/benem%C3%A9rita-universidad-aut%C3%B3noma-de-puebla - wur"/>
    <hyperlink ref="B18" r:id="rId82"/>
  </hyperlinks>
  <pageMargins left="0.70866141732283472" right="0.31496062992125984" top="0.15748031496062992" bottom="0" header="0" footer="0"/>
  <pageSetup scale="26" fitToHeight="2" orientation="landscape" r:id="rId83"/>
  <drawing r:id="rId84"/>
</worksheet>
</file>

<file path=xl/worksheets/sheet56.xml><?xml version="1.0" encoding="utf-8"?>
<worksheet xmlns="http://schemas.openxmlformats.org/spreadsheetml/2006/main" xmlns:r="http://schemas.openxmlformats.org/officeDocument/2006/relationships">
  <sheetPr>
    <tabColor theme="7" tint="-0.499984740745262"/>
  </sheetPr>
  <dimension ref="A2:U20"/>
  <sheetViews>
    <sheetView workbookViewId="0">
      <pane xSplit="1" topLeftCell="B1" activePane="topRight" state="frozen"/>
      <selection pane="topRight" activeCell="L24" sqref="L24"/>
    </sheetView>
  </sheetViews>
  <sheetFormatPr baseColWidth="10" defaultColWidth="8.7109375" defaultRowHeight="15"/>
  <cols>
    <col min="1" max="1" width="28.42578125" customWidth="1"/>
    <col min="2" max="5" width="8.7109375" customWidth="1"/>
    <col min="6" max="6" width="9.42578125" customWidth="1"/>
    <col min="7" max="8" width="8.7109375" customWidth="1"/>
    <col min="9" max="9" width="9.42578125" customWidth="1"/>
    <col min="10" max="11" width="8.7109375" customWidth="1"/>
    <col min="12" max="12" width="11.42578125" customWidth="1"/>
    <col min="13" max="14" width="8.7109375" customWidth="1"/>
    <col min="15" max="15" width="9.7109375" customWidth="1"/>
    <col min="16" max="24" width="8.7109375" customWidth="1"/>
    <col min="25" max="252" width="11.42578125" customWidth="1"/>
    <col min="253" max="253" width="25.42578125" bestFit="1" customWidth="1"/>
  </cols>
  <sheetData>
    <row r="2" spans="1:21" ht="18.75">
      <c r="A2" s="2652" t="s">
        <v>488</v>
      </c>
      <c r="B2" s="2652"/>
      <c r="C2" s="2652"/>
      <c r="D2" s="2652"/>
      <c r="E2" s="2652"/>
      <c r="F2" s="2652"/>
      <c r="G2" s="2652"/>
      <c r="H2" s="2652"/>
      <c r="I2" s="2652"/>
      <c r="L2" s="2910" t="s">
        <v>2355</v>
      </c>
    </row>
    <row r="3" spans="1:21" ht="15" customHeight="1">
      <c r="A3" s="2653" t="s">
        <v>250</v>
      </c>
    </row>
    <row r="4" spans="1:21" ht="15" customHeight="1">
      <c r="C4" s="646"/>
      <c r="D4" s="646"/>
      <c r="E4" s="646"/>
      <c r="F4" s="646"/>
      <c r="G4" s="646"/>
      <c r="H4" s="646"/>
      <c r="I4" s="646"/>
      <c r="J4" s="646"/>
      <c r="K4" s="646"/>
      <c r="L4" s="646"/>
    </row>
    <row r="5" spans="1:21" ht="14.45" customHeight="1">
      <c r="A5" s="647" t="s">
        <v>169</v>
      </c>
      <c r="B5" s="5584">
        <v>2009</v>
      </c>
      <c r="C5" s="5586"/>
      <c r="D5" s="5584">
        <v>2010</v>
      </c>
      <c r="E5" s="5585"/>
      <c r="F5" s="5586"/>
      <c r="G5" s="5584">
        <v>2011</v>
      </c>
      <c r="H5" s="5585"/>
      <c r="I5" s="5586"/>
      <c r="J5" s="5584">
        <v>2012</v>
      </c>
      <c r="K5" s="5585"/>
      <c r="L5" s="5586"/>
      <c r="M5" s="5584">
        <v>2013</v>
      </c>
      <c r="N5" s="5585"/>
      <c r="O5" s="5586"/>
      <c r="P5" s="5584">
        <v>2014</v>
      </c>
      <c r="Q5" s="5585"/>
      <c r="R5" s="5586"/>
      <c r="S5" s="5581">
        <v>2015</v>
      </c>
      <c r="T5" s="5582"/>
      <c r="U5" s="5583"/>
    </row>
    <row r="6" spans="1:21" ht="30">
      <c r="A6" s="647"/>
      <c r="B6" s="648" t="s">
        <v>170</v>
      </c>
      <c r="C6" s="649" t="s">
        <v>76</v>
      </c>
      <c r="D6" s="650" t="s">
        <v>170</v>
      </c>
      <c r="E6" s="650" t="s">
        <v>76</v>
      </c>
      <c r="F6" s="650" t="s">
        <v>520</v>
      </c>
      <c r="G6" s="650" t="s">
        <v>170</v>
      </c>
      <c r="H6" s="650" t="s">
        <v>76</v>
      </c>
      <c r="I6" s="650" t="s">
        <v>520</v>
      </c>
      <c r="J6" s="650" t="s">
        <v>170</v>
      </c>
      <c r="K6" s="650" t="s">
        <v>76</v>
      </c>
      <c r="L6" s="650" t="s">
        <v>520</v>
      </c>
      <c r="M6" s="650" t="s">
        <v>170</v>
      </c>
      <c r="N6" s="650" t="s">
        <v>76</v>
      </c>
      <c r="O6" s="650" t="s">
        <v>520</v>
      </c>
      <c r="P6" s="650" t="s">
        <v>170</v>
      </c>
      <c r="Q6" s="650" t="s">
        <v>76</v>
      </c>
      <c r="R6" s="650" t="s">
        <v>520</v>
      </c>
      <c r="S6" s="2012" t="s">
        <v>170</v>
      </c>
      <c r="T6" s="2012" t="s">
        <v>76</v>
      </c>
      <c r="U6" s="2012" t="s">
        <v>520</v>
      </c>
    </row>
    <row r="7" spans="1:21" ht="17.100000000000001" customHeight="1">
      <c r="A7" s="133" t="s">
        <v>171</v>
      </c>
      <c r="B7" s="133">
        <v>54</v>
      </c>
      <c r="C7" s="137">
        <f>(B7/B18)*100</f>
        <v>33.540372670807457</v>
      </c>
      <c r="D7" s="133">
        <v>42</v>
      </c>
      <c r="E7" s="134">
        <f>(D7/D18)*100</f>
        <v>26.582278481012654</v>
      </c>
      <c r="F7" s="157">
        <f>D7/B7-1</f>
        <v>-0.22222222222222221</v>
      </c>
      <c r="G7" s="133">
        <v>49</v>
      </c>
      <c r="H7" s="134">
        <f>(G7/G18)*100</f>
        <v>20.416666666666668</v>
      </c>
      <c r="I7" s="157">
        <f>G7/D7-1</f>
        <v>0.16666666666666674</v>
      </c>
      <c r="J7" s="133">
        <v>27</v>
      </c>
      <c r="K7" s="134">
        <f>(J7/J18)*100</f>
        <v>10.384615384615385</v>
      </c>
      <c r="L7" s="157">
        <f>J7/G7-1</f>
        <v>-0.44897959183673475</v>
      </c>
      <c r="M7" s="133">
        <v>29</v>
      </c>
      <c r="N7" s="134">
        <f>(M7/M18)*100</f>
        <v>14.009661835748794</v>
      </c>
      <c r="O7" s="157">
        <f>M7/J7-1</f>
        <v>7.4074074074074181E-2</v>
      </c>
      <c r="P7" s="133">
        <v>23</v>
      </c>
      <c r="Q7" s="134">
        <f>(P7/P18)*100</f>
        <v>14.935064935064934</v>
      </c>
      <c r="R7" s="157">
        <f>P7/M7-1</f>
        <v>-0.2068965517241379</v>
      </c>
      <c r="S7" s="133">
        <v>12</v>
      </c>
      <c r="T7" s="134">
        <f>(S7/S18)*100</f>
        <v>10.810810810810811</v>
      </c>
      <c r="U7" s="157">
        <f>S7/P7-1</f>
        <v>-0.47826086956521741</v>
      </c>
    </row>
    <row r="8" spans="1:21" ht="17.100000000000001" customHeight="1">
      <c r="A8" s="129" t="s">
        <v>172</v>
      </c>
      <c r="B8" s="129">
        <v>33</v>
      </c>
      <c r="C8" s="138">
        <f>(B8/B18)*100</f>
        <v>20.496894409937887</v>
      </c>
      <c r="D8" s="129">
        <v>37</v>
      </c>
      <c r="E8" s="135">
        <f>(D8/D18)*100</f>
        <v>23.417721518987342</v>
      </c>
      <c r="F8" s="158">
        <f t="shared" ref="F8:F18" si="0">D8/B8-1</f>
        <v>0.1212121212121211</v>
      </c>
      <c r="G8" s="129">
        <v>50</v>
      </c>
      <c r="H8" s="135">
        <f>(G8/G18)*100</f>
        <v>20.833333333333336</v>
      </c>
      <c r="I8" s="158">
        <f t="shared" ref="I8:I18" si="1">G8/D8-1</f>
        <v>0.35135135135135132</v>
      </c>
      <c r="J8" s="129">
        <v>74</v>
      </c>
      <c r="K8" s="135">
        <f>(J8/J18)*100</f>
        <v>28.46153846153846</v>
      </c>
      <c r="L8" s="158">
        <f t="shared" ref="L8:L18" si="2">J8/G8-1</f>
        <v>0.48</v>
      </c>
      <c r="M8" s="129">
        <v>59</v>
      </c>
      <c r="N8" s="135">
        <f>(M8/M18)*100</f>
        <v>28.502415458937197</v>
      </c>
      <c r="O8" s="158">
        <f t="shared" ref="O8:O15" si="3">M8/J8-1</f>
        <v>-0.20270270270270274</v>
      </c>
      <c r="P8" s="129">
        <v>40</v>
      </c>
      <c r="Q8" s="135">
        <f>(P8/P18)*100</f>
        <v>25.97402597402597</v>
      </c>
      <c r="R8" s="158">
        <f t="shared" ref="R8:R15" si="4">P8/M8-1</f>
        <v>-0.32203389830508478</v>
      </c>
      <c r="S8" s="129">
        <v>17</v>
      </c>
      <c r="T8" s="135">
        <f>(S8/S18)*100</f>
        <v>15.315315315315313</v>
      </c>
      <c r="U8" s="158">
        <f t="shared" ref="U8:U14" si="5">S8/P8-1</f>
        <v>-0.57499999999999996</v>
      </c>
    </row>
    <row r="9" spans="1:21" ht="17.100000000000001" customHeight="1">
      <c r="A9" s="130" t="s">
        <v>173</v>
      </c>
      <c r="B9" s="131">
        <v>8</v>
      </c>
      <c r="C9" s="138">
        <f>(B9/B18)*100</f>
        <v>4.9689440993788816</v>
      </c>
      <c r="D9" s="131">
        <v>7</v>
      </c>
      <c r="E9" s="135">
        <f>(D9/D18)*100</f>
        <v>4.4303797468354427</v>
      </c>
      <c r="F9" s="158">
        <f t="shared" si="0"/>
        <v>-0.125</v>
      </c>
      <c r="G9" s="131">
        <v>13</v>
      </c>
      <c r="H9" s="135">
        <f>(G9/G18)*100</f>
        <v>5.416666666666667</v>
      </c>
      <c r="I9" s="158">
        <f t="shared" si="1"/>
        <v>0.85714285714285721</v>
      </c>
      <c r="J9" s="131">
        <v>10</v>
      </c>
      <c r="K9" s="135">
        <f>(J9/J18)*100</f>
        <v>3.8461538461538463</v>
      </c>
      <c r="L9" s="158">
        <f t="shared" si="2"/>
        <v>-0.23076923076923073</v>
      </c>
      <c r="M9" s="131">
        <v>9</v>
      </c>
      <c r="N9" s="135">
        <f>(M9/M18)*100</f>
        <v>4.3478260869565215</v>
      </c>
      <c r="O9" s="158">
        <f t="shared" si="3"/>
        <v>-9.9999999999999978E-2</v>
      </c>
      <c r="P9" s="131">
        <v>2</v>
      </c>
      <c r="Q9" s="135">
        <f>(P9/P18)*100</f>
        <v>1.2987012987012987</v>
      </c>
      <c r="R9" s="158">
        <f t="shared" si="4"/>
        <v>-0.77777777777777779</v>
      </c>
      <c r="S9" s="131">
        <v>5</v>
      </c>
      <c r="T9" s="135">
        <f>(S9/S18)*100</f>
        <v>4.5045045045045047</v>
      </c>
      <c r="U9" s="158">
        <f t="shared" si="5"/>
        <v>1.5</v>
      </c>
    </row>
    <row r="10" spans="1:21" ht="17.100000000000001" customHeight="1">
      <c r="A10" s="129" t="s">
        <v>174</v>
      </c>
      <c r="B10" s="129">
        <v>18</v>
      </c>
      <c r="C10" s="138">
        <f>(B10/B18)*100</f>
        <v>11.180124223602485</v>
      </c>
      <c r="D10" s="129">
        <v>17</v>
      </c>
      <c r="E10" s="135">
        <f>(D10/D18)*100</f>
        <v>10.759493670886076</v>
      </c>
      <c r="F10" s="158">
        <f t="shared" si="0"/>
        <v>-5.555555555555558E-2</v>
      </c>
      <c r="G10" s="129">
        <v>9</v>
      </c>
      <c r="H10" s="135">
        <f>(G10/G18)*100</f>
        <v>3.75</v>
      </c>
      <c r="I10" s="158">
        <f t="shared" si="1"/>
        <v>-0.47058823529411764</v>
      </c>
      <c r="J10" s="129">
        <v>19</v>
      </c>
      <c r="K10" s="135">
        <f>(J10/J18)*100</f>
        <v>7.3076923076923084</v>
      </c>
      <c r="L10" s="158">
        <f t="shared" si="2"/>
        <v>1.1111111111111112</v>
      </c>
      <c r="M10" s="129">
        <v>8</v>
      </c>
      <c r="N10" s="135">
        <f>(M10/M18)*100</f>
        <v>3.8647342995169081</v>
      </c>
      <c r="O10" s="158">
        <f t="shared" si="3"/>
        <v>-0.57894736842105265</v>
      </c>
      <c r="P10" s="129">
        <v>40</v>
      </c>
      <c r="Q10" s="135">
        <f>(P10/P18)*100</f>
        <v>25.97402597402597</v>
      </c>
      <c r="R10" s="158">
        <f t="shared" si="4"/>
        <v>4</v>
      </c>
      <c r="S10" s="129">
        <v>13</v>
      </c>
      <c r="T10" s="135">
        <f>(S10/S18)*100</f>
        <v>11.711711711711711</v>
      </c>
      <c r="U10" s="158">
        <f t="shared" si="5"/>
        <v>-0.67500000000000004</v>
      </c>
    </row>
    <row r="11" spans="1:21" ht="16.5" customHeight="1">
      <c r="A11" s="131" t="s">
        <v>175</v>
      </c>
      <c r="B11" s="131">
        <v>11</v>
      </c>
      <c r="C11" s="138">
        <f>(B11/B18)*100</f>
        <v>6.8322981366459627</v>
      </c>
      <c r="D11" s="131">
        <v>13</v>
      </c>
      <c r="E11" s="135">
        <f>(D11/D18)*100</f>
        <v>8.2278481012658222</v>
      </c>
      <c r="F11" s="158">
        <f t="shared" si="0"/>
        <v>0.18181818181818188</v>
      </c>
      <c r="G11" s="131">
        <v>13</v>
      </c>
      <c r="H11" s="135">
        <f>(G11/G18)*100</f>
        <v>5.416666666666667</v>
      </c>
      <c r="I11" s="158">
        <f t="shared" si="1"/>
        <v>0</v>
      </c>
      <c r="J11" s="131">
        <v>48</v>
      </c>
      <c r="K11" s="135">
        <f>(J11/J18)*100</f>
        <v>18.461538461538463</v>
      </c>
      <c r="L11" s="158">
        <f t="shared" si="2"/>
        <v>2.6923076923076925</v>
      </c>
      <c r="M11" s="131">
        <v>36</v>
      </c>
      <c r="N11" s="135">
        <f>(M11/M18)*100</f>
        <v>17.391304347826086</v>
      </c>
      <c r="O11" s="158">
        <f t="shared" si="3"/>
        <v>-0.25</v>
      </c>
      <c r="P11" s="131">
        <v>21</v>
      </c>
      <c r="Q11" s="135">
        <f>(P11/P18)*100</f>
        <v>13.636363636363635</v>
      </c>
      <c r="R11" s="158">
        <f t="shared" si="4"/>
        <v>-0.41666666666666663</v>
      </c>
      <c r="S11" s="131">
        <v>18</v>
      </c>
      <c r="T11" s="135">
        <f>(S11/S18)*100</f>
        <v>16.216216216216218</v>
      </c>
      <c r="U11" s="158">
        <f t="shared" si="5"/>
        <v>-0.1428571428571429</v>
      </c>
    </row>
    <row r="12" spans="1:21" ht="17.100000000000001" customHeight="1">
      <c r="A12" s="129" t="s">
        <v>176</v>
      </c>
      <c r="B12" s="129">
        <v>16</v>
      </c>
      <c r="C12" s="138">
        <f>(B12/B18)*100</f>
        <v>9.9378881987577632</v>
      </c>
      <c r="D12" s="129">
        <v>9</v>
      </c>
      <c r="E12" s="135">
        <f>(D12/D18)*100</f>
        <v>5.6962025316455698</v>
      </c>
      <c r="F12" s="158">
        <f t="shared" si="0"/>
        <v>-0.4375</v>
      </c>
      <c r="G12" s="129">
        <v>16</v>
      </c>
      <c r="H12" s="135">
        <f>(G12/G18)*100</f>
        <v>6.666666666666667</v>
      </c>
      <c r="I12" s="158">
        <f t="shared" si="1"/>
        <v>0.77777777777777768</v>
      </c>
      <c r="J12" s="129">
        <v>11</v>
      </c>
      <c r="K12" s="135">
        <f>(J12/J18)*100</f>
        <v>4.2307692307692308</v>
      </c>
      <c r="L12" s="158">
        <f t="shared" si="2"/>
        <v>-0.3125</v>
      </c>
      <c r="M12" s="129">
        <v>13</v>
      </c>
      <c r="N12" s="135">
        <f>(M12/M18)*100</f>
        <v>6.2801932367149762</v>
      </c>
      <c r="O12" s="158">
        <f t="shared" si="3"/>
        <v>0.18181818181818188</v>
      </c>
      <c r="P12" s="129"/>
      <c r="Q12" s="135">
        <f>(P12/P18)*100</f>
        <v>0</v>
      </c>
      <c r="R12" s="158">
        <f t="shared" si="4"/>
        <v>-1</v>
      </c>
      <c r="S12" s="129">
        <v>2</v>
      </c>
      <c r="T12" s="135">
        <f>(S12/S18)*100</f>
        <v>1.8018018018018018</v>
      </c>
      <c r="U12" s="158"/>
    </row>
    <row r="13" spans="1:21" ht="17.100000000000001" customHeight="1">
      <c r="A13" s="131" t="s">
        <v>177</v>
      </c>
      <c r="B13" s="131">
        <v>4</v>
      </c>
      <c r="C13" s="138">
        <f>(B13/B18)*100</f>
        <v>2.4844720496894408</v>
      </c>
      <c r="D13" s="131">
        <v>18</v>
      </c>
      <c r="E13" s="135">
        <f>(D13/D18)*100</f>
        <v>11.39240506329114</v>
      </c>
      <c r="F13" s="158">
        <f t="shared" si="0"/>
        <v>3.5</v>
      </c>
      <c r="G13" s="131">
        <v>34</v>
      </c>
      <c r="H13" s="135">
        <f>(G13/G18)*100</f>
        <v>14.166666666666666</v>
      </c>
      <c r="I13" s="158">
        <f t="shared" si="1"/>
        <v>0.88888888888888884</v>
      </c>
      <c r="J13" s="131">
        <v>40</v>
      </c>
      <c r="K13" s="135">
        <f>(J13/J18)*100</f>
        <v>15.384615384615385</v>
      </c>
      <c r="L13" s="158">
        <f t="shared" si="2"/>
        <v>0.17647058823529416</v>
      </c>
      <c r="M13" s="131">
        <v>19</v>
      </c>
      <c r="N13" s="135">
        <f>(M13/M18)*100</f>
        <v>9.1787439613526569</v>
      </c>
      <c r="O13" s="158">
        <f t="shared" si="3"/>
        <v>-0.52500000000000002</v>
      </c>
      <c r="P13" s="131">
        <v>14</v>
      </c>
      <c r="Q13" s="135">
        <f>(P13/P18)*100</f>
        <v>9.0909090909090917</v>
      </c>
      <c r="R13" s="158">
        <f t="shared" si="4"/>
        <v>-0.26315789473684215</v>
      </c>
      <c r="S13" s="131">
        <v>25</v>
      </c>
      <c r="T13" s="135">
        <f>(S13/S18)*100</f>
        <v>22.522522522522522</v>
      </c>
      <c r="U13" s="158">
        <f t="shared" si="5"/>
        <v>0.78571428571428581</v>
      </c>
    </row>
    <row r="14" spans="1:21" ht="17.100000000000001" customHeight="1">
      <c r="A14" s="129" t="s">
        <v>178</v>
      </c>
      <c r="B14" s="129">
        <v>1</v>
      </c>
      <c r="C14" s="138">
        <f>(B14/B18)*100</f>
        <v>0.6211180124223602</v>
      </c>
      <c r="D14" s="129">
        <v>0</v>
      </c>
      <c r="E14" s="135">
        <f>(D14/D18)*100</f>
        <v>0</v>
      </c>
      <c r="F14" s="158">
        <f t="shared" si="0"/>
        <v>-1</v>
      </c>
      <c r="G14" s="129">
        <v>4</v>
      </c>
      <c r="H14" s="135">
        <f>(G14/G18)*100</f>
        <v>1.6666666666666667</v>
      </c>
      <c r="I14" s="158">
        <v>3</v>
      </c>
      <c r="J14" s="129">
        <v>2</v>
      </c>
      <c r="K14" s="135">
        <f>(J14/J18)*100</f>
        <v>0.76923076923076927</v>
      </c>
      <c r="L14" s="158">
        <f t="shared" si="2"/>
        <v>-0.5</v>
      </c>
      <c r="M14" s="129">
        <v>5</v>
      </c>
      <c r="N14" s="135">
        <f>(M14/M18)*100</f>
        <v>2.4154589371980677</v>
      </c>
      <c r="O14" s="158">
        <f t="shared" si="3"/>
        <v>1.5</v>
      </c>
      <c r="P14" s="129">
        <v>2</v>
      </c>
      <c r="Q14" s="135">
        <f>(P14/P18)*100</f>
        <v>1.2987012987012987</v>
      </c>
      <c r="R14" s="158">
        <f t="shared" si="4"/>
        <v>-0.6</v>
      </c>
      <c r="S14" s="129">
        <v>1</v>
      </c>
      <c r="T14" s="135">
        <f>(S14/S18)*100</f>
        <v>0.90090090090090091</v>
      </c>
      <c r="U14" s="158">
        <f t="shared" si="5"/>
        <v>-0.5</v>
      </c>
    </row>
    <row r="15" spans="1:21" ht="17.100000000000001" customHeight="1">
      <c r="A15" s="131" t="s">
        <v>179</v>
      </c>
      <c r="B15" s="131">
        <v>2</v>
      </c>
      <c r="C15" s="138">
        <f>(B15/B18)*100</f>
        <v>1.2422360248447204</v>
      </c>
      <c r="D15" s="131">
        <v>7</v>
      </c>
      <c r="E15" s="135">
        <f>(D15/D18)*100</f>
        <v>4.4303797468354427</v>
      </c>
      <c r="F15" s="158">
        <f t="shared" si="0"/>
        <v>2.5</v>
      </c>
      <c r="G15" s="131">
        <v>9</v>
      </c>
      <c r="H15" s="135">
        <f>(G15/G18)*100</f>
        <v>3.75</v>
      </c>
      <c r="I15" s="158">
        <f t="shared" si="1"/>
        <v>0.28571428571428581</v>
      </c>
      <c r="J15" s="131">
        <v>3</v>
      </c>
      <c r="K15" s="135">
        <f>(J15/J18)*100</f>
        <v>1.153846153846154</v>
      </c>
      <c r="L15" s="158">
        <f t="shared" si="2"/>
        <v>-0.66666666666666674</v>
      </c>
      <c r="M15" s="131">
        <v>1</v>
      </c>
      <c r="N15" s="135">
        <f>(M15/M18)*100</f>
        <v>0.48309178743961351</v>
      </c>
      <c r="O15" s="158">
        <f t="shared" si="3"/>
        <v>-0.66666666666666674</v>
      </c>
      <c r="P15" s="131"/>
      <c r="Q15" s="135">
        <f>(P15/P18)*100</f>
        <v>0</v>
      </c>
      <c r="R15" s="158">
        <f t="shared" si="4"/>
        <v>-1</v>
      </c>
      <c r="S15" s="131">
        <v>0</v>
      </c>
      <c r="T15" s="135">
        <f>(S15/S18)*100</f>
        <v>0</v>
      </c>
      <c r="U15" s="158"/>
    </row>
    <row r="16" spans="1:21" ht="17.100000000000001" customHeight="1">
      <c r="A16" s="129" t="s">
        <v>180</v>
      </c>
      <c r="B16" s="129">
        <v>2</v>
      </c>
      <c r="C16" s="138">
        <f>(B16/B18)*100</f>
        <v>1.2422360248447204</v>
      </c>
      <c r="D16" s="129">
        <v>2</v>
      </c>
      <c r="E16" s="135">
        <f>(D16/D18)*100</f>
        <v>1.2658227848101267</v>
      </c>
      <c r="F16" s="158">
        <f t="shared" si="0"/>
        <v>0</v>
      </c>
      <c r="G16" s="129">
        <v>0</v>
      </c>
      <c r="H16" s="135">
        <f>(G16/G18)*100</f>
        <v>0</v>
      </c>
      <c r="I16" s="158"/>
      <c r="J16" s="129">
        <v>0</v>
      </c>
      <c r="K16" s="135">
        <f>(J16/J18)*100</f>
        <v>0</v>
      </c>
      <c r="L16" s="158"/>
      <c r="M16" s="129">
        <v>0</v>
      </c>
      <c r="N16" s="135">
        <f>(M16/M18)*100</f>
        <v>0</v>
      </c>
      <c r="O16" s="158"/>
      <c r="P16" s="129"/>
      <c r="Q16" s="135">
        <f>(P16/P18)*100</f>
        <v>0</v>
      </c>
      <c r="R16" s="158"/>
      <c r="S16" s="129">
        <v>0</v>
      </c>
      <c r="T16" s="135">
        <f>(S16/S18)*100</f>
        <v>0</v>
      </c>
      <c r="U16" s="158"/>
    </row>
    <row r="17" spans="1:21" ht="17.100000000000001" customHeight="1">
      <c r="A17" s="132" t="s">
        <v>181</v>
      </c>
      <c r="B17" s="132">
        <v>12</v>
      </c>
      <c r="C17" s="139">
        <f>(B17/B18)*100</f>
        <v>7.4534161490683228</v>
      </c>
      <c r="D17" s="132">
        <v>6</v>
      </c>
      <c r="E17" s="136">
        <f>(D17/D18)*100</f>
        <v>3.79746835443038</v>
      </c>
      <c r="F17" s="159">
        <f t="shared" si="0"/>
        <v>-0.5</v>
      </c>
      <c r="G17" s="132">
        <v>43</v>
      </c>
      <c r="H17" s="136">
        <f>(G17/G18)*100</f>
        <v>17.916666666666668</v>
      </c>
      <c r="I17" s="159">
        <f t="shared" si="1"/>
        <v>6.166666666666667</v>
      </c>
      <c r="J17" s="132">
        <v>26</v>
      </c>
      <c r="K17" s="136">
        <f>(J17/J18)*100</f>
        <v>10</v>
      </c>
      <c r="L17" s="159">
        <f t="shared" si="2"/>
        <v>-0.39534883720930236</v>
      </c>
      <c r="M17" s="132">
        <v>28</v>
      </c>
      <c r="N17" s="136">
        <f>(M17/M18)*100</f>
        <v>13.526570048309178</v>
      </c>
      <c r="O17" s="159">
        <f t="shared" ref="O17:O18" si="6">M17/J17-1</f>
        <v>7.6923076923076872E-2</v>
      </c>
      <c r="P17" s="132">
        <v>12</v>
      </c>
      <c r="Q17" s="136">
        <f>(P17/P18)*100</f>
        <v>7.7922077922077921</v>
      </c>
      <c r="R17" s="159">
        <f t="shared" ref="R17:R18" si="7">P17/M17-1</f>
        <v>-0.5714285714285714</v>
      </c>
      <c r="S17" s="132">
        <v>18</v>
      </c>
      <c r="T17" s="136">
        <f>(S17/S18)*100</f>
        <v>16.216216216216218</v>
      </c>
      <c r="U17" s="159">
        <f t="shared" ref="U17:U18" si="8">S17/P17-1</f>
        <v>0.5</v>
      </c>
    </row>
    <row r="18" spans="1:21" ht="17.100000000000001" customHeight="1">
      <c r="A18" s="648" t="s">
        <v>403</v>
      </c>
      <c r="B18" s="651">
        <v>161</v>
      </c>
      <c r="C18" s="652">
        <f>(B18/B18)*100</f>
        <v>100</v>
      </c>
      <c r="D18" s="651">
        <v>158</v>
      </c>
      <c r="E18" s="653">
        <f>(D18/D18)*100</f>
        <v>100</v>
      </c>
      <c r="F18" s="654">
        <f t="shared" si="0"/>
        <v>-1.8633540372670843E-2</v>
      </c>
      <c r="G18" s="651">
        <v>240</v>
      </c>
      <c r="H18" s="653">
        <f>(G18/G18)*100</f>
        <v>100</v>
      </c>
      <c r="I18" s="654">
        <f t="shared" si="1"/>
        <v>0.518987341772152</v>
      </c>
      <c r="J18" s="651">
        <f>SUM(J7:J17)</f>
        <v>260</v>
      </c>
      <c r="K18" s="653">
        <f>(J18/J18)*100</f>
        <v>100</v>
      </c>
      <c r="L18" s="654">
        <f t="shared" si="2"/>
        <v>8.3333333333333259E-2</v>
      </c>
      <c r="M18" s="651">
        <f>SUM(M7:M17)</f>
        <v>207</v>
      </c>
      <c r="N18" s="653">
        <f>(M18/M18)*100</f>
        <v>100</v>
      </c>
      <c r="O18" s="654">
        <f t="shared" si="6"/>
        <v>-0.2038461538461539</v>
      </c>
      <c r="P18" s="651">
        <f>SUM(P7:P17)</f>
        <v>154</v>
      </c>
      <c r="Q18" s="653">
        <f>(P18/P18)*100</f>
        <v>100</v>
      </c>
      <c r="R18" s="654">
        <f t="shared" si="7"/>
        <v>-0.2560386473429952</v>
      </c>
      <c r="S18" s="2013">
        <f>SUM(S7:S17)</f>
        <v>111</v>
      </c>
      <c r="T18" s="2014">
        <f>(S18/S18)*100</f>
        <v>100</v>
      </c>
      <c r="U18" s="2015">
        <f t="shared" si="8"/>
        <v>-0.27922077922077926</v>
      </c>
    </row>
    <row r="20" spans="1:21">
      <c r="A20" t="s">
        <v>248</v>
      </c>
    </row>
  </sheetData>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sheetPr>
    <tabColor theme="7" tint="-0.499984740745262"/>
  </sheetPr>
  <dimension ref="B2:AI32"/>
  <sheetViews>
    <sheetView showGridLines="0" workbookViewId="0">
      <pane xSplit="3" ySplit="5" topLeftCell="Z6" activePane="bottomRight" state="frozen"/>
      <selection pane="topRight" activeCell="D1" sqref="D1"/>
      <selection pane="bottomLeft" activeCell="A6" sqref="A6"/>
      <selection pane="bottomRight" activeCell="AF1" sqref="AF1"/>
    </sheetView>
  </sheetViews>
  <sheetFormatPr baseColWidth="10" defaultRowHeight="15"/>
  <cols>
    <col min="1" max="1" width="3.140625" customWidth="1"/>
    <col min="2" max="2" width="4.140625" customWidth="1"/>
    <col min="3" max="3" width="69.140625" customWidth="1"/>
    <col min="4" max="4" width="11.7109375" customWidth="1"/>
    <col min="5" max="5" width="5.7109375" customWidth="1"/>
    <col min="6" max="6" width="11.7109375" customWidth="1"/>
    <col min="7" max="7" width="5.7109375" customWidth="1"/>
    <col min="8" max="9" width="11.7109375" customWidth="1"/>
    <col min="10" max="10" width="5.7109375" customWidth="1"/>
    <col min="11" max="11" width="11.7109375" customWidth="1"/>
    <col min="12" max="12" width="11.42578125" customWidth="1"/>
    <col min="13" max="13" width="5.7109375" customWidth="1"/>
    <col min="14" max="14" width="11.7109375" customWidth="1"/>
    <col min="15" max="15" width="11.42578125" customWidth="1"/>
    <col min="16" max="16" width="5.7109375" customWidth="1"/>
    <col min="17" max="17" width="11.7109375" customWidth="1"/>
    <col min="18" max="18" width="11.42578125" customWidth="1"/>
    <col min="19" max="19" width="5.7109375" customWidth="1"/>
    <col min="20" max="20" width="11.7109375" customWidth="1"/>
    <col min="21" max="21" width="11.42578125" customWidth="1"/>
    <col min="22" max="22" width="5.7109375" customWidth="1"/>
    <col min="23" max="24" width="11.42578125" customWidth="1"/>
    <col min="25" max="25" width="5.7109375" customWidth="1"/>
    <col min="26" max="27" width="11.42578125" customWidth="1"/>
    <col min="28" max="28" width="5.7109375" customWidth="1"/>
    <col min="29" max="29" width="11.42578125" customWidth="1"/>
    <col min="31" max="31" width="5.7109375" customWidth="1"/>
    <col min="34" max="34" width="5.7109375" customWidth="1"/>
  </cols>
  <sheetData>
    <row r="2" spans="2:35">
      <c r="C2" s="220" t="s">
        <v>489</v>
      </c>
      <c r="D2" s="220"/>
      <c r="E2" s="220"/>
      <c r="F2" s="220"/>
      <c r="G2" s="220"/>
      <c r="H2" s="220"/>
      <c r="I2" s="220"/>
      <c r="J2" s="220"/>
      <c r="K2" s="220"/>
      <c r="L2" s="220"/>
      <c r="M2" s="220"/>
      <c r="N2" s="190"/>
    </row>
    <row r="3" spans="2:35">
      <c r="L3" s="126"/>
    </row>
    <row r="4" spans="2:35" s="38" customFormat="1">
      <c r="C4" s="4409" t="s">
        <v>193</v>
      </c>
      <c r="D4" s="5590">
        <v>2008</v>
      </c>
      <c r="E4" s="5592"/>
      <c r="F4" s="5590">
        <v>2009</v>
      </c>
      <c r="G4" s="5591"/>
      <c r="H4" s="5592"/>
      <c r="I4" s="5590">
        <v>2010</v>
      </c>
      <c r="J4" s="5591"/>
      <c r="K4" s="5592"/>
      <c r="L4" s="5590">
        <v>2011</v>
      </c>
      <c r="M4" s="5591"/>
      <c r="N4" s="5592"/>
      <c r="O4" s="5590">
        <v>2012</v>
      </c>
      <c r="P4" s="5591"/>
      <c r="Q4" s="5592"/>
      <c r="R4" s="5590">
        <v>2013</v>
      </c>
      <c r="S4" s="5591"/>
      <c r="T4" s="5592"/>
      <c r="U4" s="5590">
        <v>2014</v>
      </c>
      <c r="V4" s="5591"/>
      <c r="W4" s="5592"/>
      <c r="X4" s="5587">
        <v>2015</v>
      </c>
      <c r="Y4" s="5588"/>
      <c r="Z4" s="5589"/>
      <c r="AA4" s="5587">
        <v>2016</v>
      </c>
      <c r="AB4" s="5588"/>
      <c r="AC4" s="5589"/>
      <c r="AD4" s="5587">
        <v>2017</v>
      </c>
      <c r="AE4" s="5588"/>
      <c r="AF4" s="5589"/>
      <c r="AG4" s="5587">
        <v>2018</v>
      </c>
      <c r="AH4" s="5588"/>
      <c r="AI4" s="5589"/>
    </row>
    <row r="5" spans="2:35" ht="45">
      <c r="B5" s="328" t="s">
        <v>331</v>
      </c>
      <c r="C5" s="328" t="s">
        <v>194</v>
      </c>
      <c r="D5" s="307" t="s">
        <v>195</v>
      </c>
      <c r="E5" s="655" t="s">
        <v>76</v>
      </c>
      <c r="F5" s="307" t="s">
        <v>195</v>
      </c>
      <c r="G5" s="655" t="s">
        <v>76</v>
      </c>
      <c r="H5" s="656" t="s">
        <v>519</v>
      </c>
      <c r="I5" s="307" t="s">
        <v>195</v>
      </c>
      <c r="J5" s="655" t="s">
        <v>76</v>
      </c>
      <c r="K5" s="656" t="s">
        <v>519</v>
      </c>
      <c r="L5" s="657" t="s">
        <v>195</v>
      </c>
      <c r="M5" s="658" t="s">
        <v>76</v>
      </c>
      <c r="N5" s="656" t="s">
        <v>519</v>
      </c>
      <c r="O5" s="656" t="s">
        <v>195</v>
      </c>
      <c r="P5" s="658" t="s">
        <v>76</v>
      </c>
      <c r="Q5" s="656" t="s">
        <v>519</v>
      </c>
      <c r="R5" s="656" t="s">
        <v>195</v>
      </c>
      <c r="S5" s="658" t="s">
        <v>76</v>
      </c>
      <c r="T5" s="656" t="s">
        <v>519</v>
      </c>
      <c r="U5" s="656" t="s">
        <v>195</v>
      </c>
      <c r="V5" s="658" t="s">
        <v>76</v>
      </c>
      <c r="W5" s="656" t="s">
        <v>519</v>
      </c>
      <c r="X5" s="2016" t="s">
        <v>195</v>
      </c>
      <c r="Y5" s="2017" t="s">
        <v>76</v>
      </c>
      <c r="Z5" s="2016" t="s">
        <v>519</v>
      </c>
      <c r="AA5" s="2016" t="s">
        <v>195</v>
      </c>
      <c r="AB5" s="2017" t="s">
        <v>76</v>
      </c>
      <c r="AC5" s="2016" t="s">
        <v>519</v>
      </c>
      <c r="AD5" s="2016" t="s">
        <v>195</v>
      </c>
      <c r="AE5" s="2017" t="s">
        <v>76</v>
      </c>
      <c r="AF5" s="2016" t="s">
        <v>519</v>
      </c>
      <c r="AG5" s="2016" t="s">
        <v>195</v>
      </c>
      <c r="AH5" s="2017" t="s">
        <v>76</v>
      </c>
      <c r="AI5" s="2016" t="s">
        <v>519</v>
      </c>
    </row>
    <row r="6" spans="2:35">
      <c r="B6" s="296">
        <v>1</v>
      </c>
      <c r="C6" s="491" t="s">
        <v>720</v>
      </c>
      <c r="D6" s="659">
        <v>141335</v>
      </c>
      <c r="E6" s="660">
        <v>0.39586198397338046</v>
      </c>
      <c r="F6" s="661">
        <v>186400</v>
      </c>
      <c r="G6" s="662">
        <v>48.81</v>
      </c>
      <c r="H6" s="663">
        <f>F6/D6-1</f>
        <v>0.31885237202391492</v>
      </c>
      <c r="I6" s="664">
        <v>251362</v>
      </c>
      <c r="J6" s="665">
        <f>(I6/I30)*100</f>
        <v>49.867278231646104</v>
      </c>
      <c r="K6" s="663">
        <f>I6/F6-1</f>
        <v>0.34850858369098714</v>
      </c>
      <c r="L6" s="664">
        <v>417719</v>
      </c>
      <c r="M6" s="665">
        <f>L6/$L$30*100</f>
        <v>61.610290235132048</v>
      </c>
      <c r="N6" s="663">
        <f>L6/I6-1</f>
        <v>0.66182239161050593</v>
      </c>
      <c r="O6" s="664">
        <v>314421</v>
      </c>
      <c r="P6" s="665">
        <f t="shared" ref="P6:P26" si="0">O6/$O$30*100</f>
        <v>76.021837893774801</v>
      </c>
      <c r="Q6" s="663">
        <f>O6/L6-1</f>
        <v>-0.24729064275266388</v>
      </c>
      <c r="R6" s="664">
        <v>382020</v>
      </c>
      <c r="S6" s="665">
        <f>R6/$R$30*100</f>
        <v>45.367690632299869</v>
      </c>
      <c r="T6" s="663">
        <f>R6/O6-1</f>
        <v>0.21499518161954834</v>
      </c>
      <c r="U6" s="664">
        <v>445896</v>
      </c>
      <c r="V6" s="665">
        <f>U6/$U$30*100</f>
        <v>38.773093197126293</v>
      </c>
      <c r="W6" s="663">
        <f>U6/R6-1</f>
        <v>0.16720590544997638</v>
      </c>
      <c r="X6" s="2018">
        <v>372734</v>
      </c>
      <c r="Y6" s="2019">
        <f>X6/$X$30*100</f>
        <v>46.669162473252506</v>
      </c>
      <c r="Z6" s="2020">
        <f>X6/U6-1</f>
        <v>-0.1640786192295961</v>
      </c>
      <c r="AA6" s="2018">
        <v>211973</v>
      </c>
      <c r="AB6" s="2019">
        <f>AA6/$AA$30*100</f>
        <v>31.899671782801782</v>
      </c>
      <c r="AC6" s="2020">
        <f>AA6/X6-1</f>
        <v>-0.43130221552098813</v>
      </c>
      <c r="AD6" s="2018">
        <v>144836</v>
      </c>
      <c r="AE6" s="2019">
        <f>AD6/$AD$30*100</f>
        <v>26.968911531185295</v>
      </c>
      <c r="AF6" s="2020">
        <f>AD6/AA6-1</f>
        <v>-0.31672429979289818</v>
      </c>
      <c r="AG6" s="2018">
        <v>169377</v>
      </c>
      <c r="AH6" s="2019">
        <f>AG6/$AG$30*100</f>
        <v>19.040344256600669</v>
      </c>
      <c r="AI6" s="2020">
        <f>AG6/AD6-1</f>
        <v>0.16943991825236826</v>
      </c>
    </row>
    <row r="7" spans="2:35">
      <c r="B7" s="296">
        <v>2</v>
      </c>
      <c r="C7" s="491" t="s">
        <v>407</v>
      </c>
      <c r="D7" s="659">
        <v>33416</v>
      </c>
      <c r="E7" s="660">
        <v>9.3594113676403454E-2</v>
      </c>
      <c r="F7" s="661">
        <v>43192</v>
      </c>
      <c r="G7" s="662">
        <v>11.31</v>
      </c>
      <c r="H7" s="663">
        <f t="shared" ref="H7:H30" si="1">F7/D7-1</f>
        <v>0.29255446492698112</v>
      </c>
      <c r="I7" s="664">
        <v>59571</v>
      </c>
      <c r="J7" s="665">
        <f>(I7/I30)*100</f>
        <v>11.818189032301582</v>
      </c>
      <c r="K7" s="663">
        <f t="shared" ref="K7:K30" si="2">I7/F7-1</f>
        <v>0.3792137432857936</v>
      </c>
      <c r="L7" s="664">
        <v>73937</v>
      </c>
      <c r="M7" s="665">
        <f>L7/$L$30*100</f>
        <v>10.905130073362615</v>
      </c>
      <c r="N7" s="663">
        <f t="shared" ref="N7:N30" si="3">L7/I7-1</f>
        <v>0.24115761024659643</v>
      </c>
      <c r="O7" s="664">
        <v>30888</v>
      </c>
      <c r="P7" s="665">
        <f t="shared" si="0"/>
        <v>7.4682115026124718</v>
      </c>
      <c r="Q7" s="663">
        <f t="shared" ref="Q7:Q26" si="4">O7/L7-1</f>
        <v>-0.58223893314578623</v>
      </c>
      <c r="R7" s="664">
        <v>61997</v>
      </c>
      <c r="S7" s="665">
        <f t="shared" ref="S7:S27" si="5">R7/$R$30*100</f>
        <v>7.3626006914054107</v>
      </c>
      <c r="T7" s="663">
        <f t="shared" ref="T7:T12" si="6">R7/O7-1</f>
        <v>1.0071548821548824</v>
      </c>
      <c r="U7" s="664">
        <v>68309</v>
      </c>
      <c r="V7" s="665">
        <f t="shared" ref="V7:V27" si="7">U7/$U$30*100</f>
        <v>5.9398407323736926</v>
      </c>
      <c r="W7" s="663">
        <f t="shared" ref="W7" si="8">U7/R7-1</f>
        <v>0.1018113779699017</v>
      </c>
      <c r="X7" s="2018">
        <v>52398</v>
      </c>
      <c r="Y7" s="2019">
        <f t="shared" ref="Y7:Y27" si="9">X7/$X$30*100</f>
        <v>6.5606324490749035</v>
      </c>
      <c r="Z7" s="2020">
        <f t="shared" ref="Z7" si="10">X7/U7-1</f>
        <v>-0.23292684712116996</v>
      </c>
      <c r="AA7" s="2018">
        <v>66874</v>
      </c>
      <c r="AB7" s="2019">
        <f t="shared" ref="AB7:AB26" si="11">AA7/$AA$30*100</f>
        <v>10.063822518920269</v>
      </c>
      <c r="AC7" s="2020">
        <f t="shared" ref="AC7" si="12">AA7/X7-1</f>
        <v>0.27627008664452846</v>
      </c>
      <c r="AD7" s="2018">
        <v>95979</v>
      </c>
      <c r="AE7" s="2019">
        <f t="shared" ref="AE7:AE28" si="13">AD7/$AD$30*100</f>
        <v>17.871586897260581</v>
      </c>
      <c r="AF7" s="2020">
        <f t="shared" ref="AF7" si="14">AD7/AA7-1</f>
        <v>0.43522146125549543</v>
      </c>
      <c r="AG7" s="2018">
        <v>84488</v>
      </c>
      <c r="AH7" s="2019">
        <f t="shared" ref="AH7:AH29" si="15">AG7/$AG$30*100</f>
        <v>9.4976331234564153</v>
      </c>
      <c r="AI7" s="2020">
        <f t="shared" ref="AI7" si="16">AG7/AD7-1</f>
        <v>-0.11972410631492303</v>
      </c>
    </row>
    <row r="8" spans="2:35" ht="30">
      <c r="B8" s="296">
        <v>3</v>
      </c>
      <c r="C8" s="491" t="s">
        <v>719</v>
      </c>
      <c r="D8" s="659">
        <v>20880</v>
      </c>
      <c r="E8" s="660">
        <v>5.848231666157841E-2</v>
      </c>
      <c r="F8" s="661">
        <v>15020</v>
      </c>
      <c r="G8" s="662">
        <v>3.93</v>
      </c>
      <c r="H8" s="663">
        <f>F8/D8-1</f>
        <v>-0.28065134099616862</v>
      </c>
      <c r="I8" s="664">
        <v>16997</v>
      </c>
      <c r="J8" s="665">
        <f>(I8/I30)*100</f>
        <v>3.3720058246802971</v>
      </c>
      <c r="K8" s="663">
        <f>I8/F8-1</f>
        <v>0.13162450066577902</v>
      </c>
      <c r="L8" s="664">
        <v>65478</v>
      </c>
      <c r="M8" s="665">
        <f>L8/$L$30*100</f>
        <v>9.6574936357119885</v>
      </c>
      <c r="N8" s="663">
        <f>L8/I8-1</f>
        <v>2.8523268812143319</v>
      </c>
      <c r="O8" s="664">
        <v>12816</v>
      </c>
      <c r="P8" s="665">
        <f t="shared" si="0"/>
        <v>3.0986984789394407</v>
      </c>
      <c r="Q8" s="663">
        <f>O8/L8-1</f>
        <v>-0.80427013653440849</v>
      </c>
      <c r="R8" s="664">
        <v>115153</v>
      </c>
      <c r="S8" s="665">
        <f t="shared" si="5"/>
        <v>13.675267471287436</v>
      </c>
      <c r="T8" s="663">
        <f>R8/O8-1</f>
        <v>7.9850967540574285</v>
      </c>
      <c r="U8" s="664">
        <v>83690</v>
      </c>
      <c r="V8" s="665">
        <f t="shared" si="7"/>
        <v>7.2773027110974304</v>
      </c>
      <c r="W8" s="663">
        <f>U8/R8-1</f>
        <v>-0.27322779258899033</v>
      </c>
      <c r="X8" s="2018">
        <v>68235</v>
      </c>
      <c r="Y8" s="2019">
        <f t="shared" si="9"/>
        <v>8.5435466079359124</v>
      </c>
      <c r="Z8" s="2020">
        <f>X8/U8-1</f>
        <v>-0.184669614051858</v>
      </c>
      <c r="AA8" s="2018">
        <v>80346</v>
      </c>
      <c r="AB8" s="2019">
        <f t="shared" si="11"/>
        <v>12.091214584220593</v>
      </c>
      <c r="AC8" s="2020">
        <f>AA8/X8-1</f>
        <v>0.17748955814464717</v>
      </c>
      <c r="AD8" s="2018">
        <v>50124</v>
      </c>
      <c r="AE8" s="2019">
        <f t="shared" si="13"/>
        <v>9.3332439558475215</v>
      </c>
      <c r="AF8" s="2020">
        <f>AD8/AA8-1</f>
        <v>-0.37614815921141065</v>
      </c>
      <c r="AG8" s="2018">
        <v>34383</v>
      </c>
      <c r="AH8" s="2019">
        <f t="shared" si="15"/>
        <v>3.8651301922616463</v>
      </c>
      <c r="AI8" s="2020">
        <f>AG8/AD8-1</f>
        <v>-0.31404117787886043</v>
      </c>
    </row>
    <row r="9" spans="2:35">
      <c r="B9" s="296"/>
      <c r="C9" s="666" t="s">
        <v>715</v>
      </c>
      <c r="D9" s="667"/>
      <c r="E9" s="668"/>
      <c r="F9" s="661">
        <v>4749</v>
      </c>
      <c r="G9" s="662">
        <v>1.24</v>
      </c>
      <c r="H9" s="663"/>
      <c r="I9" s="664">
        <v>12349</v>
      </c>
      <c r="J9" s="665">
        <f>(I9/I30)*100</f>
        <v>2.4498970364756718</v>
      </c>
      <c r="K9" s="663">
        <f>I9/F9-1</f>
        <v>1.6003369130343228</v>
      </c>
      <c r="L9" s="664"/>
      <c r="M9" s="665"/>
      <c r="N9" s="663"/>
      <c r="O9" s="664"/>
      <c r="P9" s="665"/>
      <c r="Q9" s="663"/>
      <c r="R9" s="664"/>
      <c r="S9" s="665"/>
      <c r="T9" s="663"/>
      <c r="U9" s="664"/>
      <c r="V9" s="665"/>
      <c r="W9" s="663"/>
      <c r="X9" s="2018"/>
      <c r="Y9" s="2019"/>
      <c r="Z9" s="2020"/>
      <c r="AA9" s="2018"/>
      <c r="AB9" s="2019"/>
      <c r="AC9" s="2020"/>
      <c r="AD9" s="2018"/>
      <c r="AE9" s="2019">
        <f t="shared" si="13"/>
        <v>0</v>
      </c>
      <c r="AF9" s="2020"/>
      <c r="AG9" s="2018"/>
      <c r="AH9" s="2019">
        <f t="shared" si="15"/>
        <v>0</v>
      </c>
      <c r="AI9" s="2020"/>
    </row>
    <row r="10" spans="2:35">
      <c r="B10" s="296">
        <v>4</v>
      </c>
      <c r="C10" s="491" t="s">
        <v>404</v>
      </c>
      <c r="D10" s="659">
        <v>27220</v>
      </c>
      <c r="E10" s="660">
        <v>7.6239878329892916E-2</v>
      </c>
      <c r="F10" s="661">
        <v>28820</v>
      </c>
      <c r="G10" s="662">
        <v>7.55</v>
      </c>
      <c r="H10" s="663">
        <f t="shared" si="1"/>
        <v>5.878030859662009E-2</v>
      </c>
      <c r="I10" s="664">
        <v>46252</v>
      </c>
      <c r="J10" s="665">
        <f>(I10/I30)*100</f>
        <v>9.1758553511274403</v>
      </c>
      <c r="K10" s="663">
        <f t="shared" si="2"/>
        <v>0.60485773768216511</v>
      </c>
      <c r="L10" s="664">
        <v>30824</v>
      </c>
      <c r="M10" s="665">
        <f t="shared" ref="M10:M26" si="17">L10/$L$30*100</f>
        <v>4.5462992734534708</v>
      </c>
      <c r="N10" s="663">
        <f t="shared" si="3"/>
        <v>-0.33356395399117877</v>
      </c>
      <c r="O10" s="664">
        <v>20776</v>
      </c>
      <c r="P10" s="665">
        <f t="shared" si="0"/>
        <v>5.0232958488175568</v>
      </c>
      <c r="Q10" s="663">
        <f t="shared" si="4"/>
        <v>-0.32597975603425899</v>
      </c>
      <c r="R10" s="664">
        <v>166030</v>
      </c>
      <c r="S10" s="665">
        <f t="shared" si="5"/>
        <v>19.717286204075041</v>
      </c>
      <c r="T10" s="663">
        <f t="shared" si="6"/>
        <v>6.9914324220254143</v>
      </c>
      <c r="U10" s="664">
        <v>328614</v>
      </c>
      <c r="V10" s="665">
        <f t="shared" si="7"/>
        <v>28.574782567864393</v>
      </c>
      <c r="W10" s="663">
        <f t="shared" ref="W10:W12" si="18">U10/R10-1</f>
        <v>0.97924471481057651</v>
      </c>
      <c r="X10" s="2018">
        <v>186308</v>
      </c>
      <c r="Y10" s="2019">
        <f t="shared" si="9"/>
        <v>23.327193983019335</v>
      </c>
      <c r="Z10" s="2020">
        <f t="shared" ref="Z10:Z12" si="19">X10/U10-1</f>
        <v>-0.43304910928931817</v>
      </c>
      <c r="AA10" s="2018">
        <v>86316</v>
      </c>
      <c r="AB10" s="2019">
        <f t="shared" si="11"/>
        <v>12.989635800806321</v>
      </c>
      <c r="AC10" s="2020">
        <f t="shared" ref="AC10:AC12" si="20">AA10/X10-1</f>
        <v>-0.53670266440517844</v>
      </c>
      <c r="AD10" s="2018">
        <v>71249</v>
      </c>
      <c r="AE10" s="2019">
        <f t="shared" si="13"/>
        <v>13.266784347022986</v>
      </c>
      <c r="AF10" s="2020">
        <f t="shared" ref="AF10:AF12" si="21">AD10/AA10-1</f>
        <v>-0.17455628157004499</v>
      </c>
      <c r="AG10" s="2018">
        <v>74436</v>
      </c>
      <c r="AH10" s="2019">
        <f t="shared" si="15"/>
        <v>8.367647703550821</v>
      </c>
      <c r="AI10" s="2020">
        <f t="shared" ref="AI10:AI12" si="22">AG10/AD10-1</f>
        <v>4.4730452357226058E-2</v>
      </c>
    </row>
    <row r="11" spans="2:35">
      <c r="B11" s="296">
        <v>5</v>
      </c>
      <c r="C11" s="491" t="s">
        <v>718</v>
      </c>
      <c r="D11" s="667"/>
      <c r="E11" s="668"/>
      <c r="F11" s="661">
        <v>20565</v>
      </c>
      <c r="G11" s="662">
        <v>5.39</v>
      </c>
      <c r="H11" s="663"/>
      <c r="I11" s="664">
        <v>24319</v>
      </c>
      <c r="J11" s="665">
        <f>(I11/I30)*100</f>
        <v>4.8246049097134875</v>
      </c>
      <c r="K11" s="663">
        <f t="shared" si="2"/>
        <v>0.1825431558473134</v>
      </c>
      <c r="L11" s="664">
        <v>20982</v>
      </c>
      <c r="M11" s="665">
        <f t="shared" si="17"/>
        <v>3.0946811366338154</v>
      </c>
      <c r="N11" s="663">
        <f t="shared" si="3"/>
        <v>-0.13721781323245197</v>
      </c>
      <c r="O11" s="664">
        <v>9805</v>
      </c>
      <c r="P11" s="665">
        <f t="shared" si="0"/>
        <v>2.3706880919164495</v>
      </c>
      <c r="Q11" s="663">
        <f t="shared" si="4"/>
        <v>-0.53269469068725572</v>
      </c>
      <c r="R11" s="664">
        <v>34045</v>
      </c>
      <c r="S11" s="665">
        <f t="shared" si="5"/>
        <v>4.0430946745632399</v>
      </c>
      <c r="T11" s="663">
        <f t="shared" si="6"/>
        <v>2.4722080571137175</v>
      </c>
      <c r="U11" s="664">
        <v>27193</v>
      </c>
      <c r="V11" s="665">
        <f t="shared" si="7"/>
        <v>2.3645799094619715</v>
      </c>
      <c r="W11" s="663">
        <f t="shared" si="18"/>
        <v>-0.20126303421941549</v>
      </c>
      <c r="X11" s="2018">
        <v>29308</v>
      </c>
      <c r="Y11" s="2019">
        <f t="shared" si="9"/>
        <v>3.6695869273156849</v>
      </c>
      <c r="Z11" s="2020">
        <f t="shared" si="19"/>
        <v>7.7777369175890954E-2</v>
      </c>
      <c r="AA11" s="2018">
        <v>38302</v>
      </c>
      <c r="AB11" s="2019">
        <f t="shared" si="11"/>
        <v>5.7640417818536971</v>
      </c>
      <c r="AC11" s="2020">
        <f t="shared" si="20"/>
        <v>0.30687866794049401</v>
      </c>
      <c r="AD11" s="2018">
        <v>34136</v>
      </c>
      <c r="AE11" s="2019">
        <f t="shared" si="13"/>
        <v>6.3562288659486681</v>
      </c>
      <c r="AF11" s="2020">
        <f t="shared" si="21"/>
        <v>-0.10876716620542004</v>
      </c>
      <c r="AG11" s="2018">
        <v>52114</v>
      </c>
      <c r="AH11" s="2019">
        <f t="shared" si="15"/>
        <v>5.8583426355909438</v>
      </c>
      <c r="AI11" s="2020">
        <f t="shared" si="22"/>
        <v>0.52665807358800087</v>
      </c>
    </row>
    <row r="12" spans="2:35">
      <c r="B12" s="296">
        <v>6</v>
      </c>
      <c r="C12" s="491" t="s">
        <v>412</v>
      </c>
      <c r="D12" s="659">
        <v>18995</v>
      </c>
      <c r="E12" s="660">
        <v>5.3202663074074799E-2</v>
      </c>
      <c r="F12" s="661">
        <v>17255</v>
      </c>
      <c r="G12" s="662">
        <v>4.5199999999999996</v>
      </c>
      <c r="H12" s="663">
        <f t="shared" si="1"/>
        <v>-9.1603053435114545E-2</v>
      </c>
      <c r="I12" s="664">
        <v>22165</v>
      </c>
      <c r="J12" s="665">
        <f>(I12/I30)*100</f>
        <v>4.3972765255067836</v>
      </c>
      <c r="K12" s="663">
        <f t="shared" si="2"/>
        <v>0.28455520139090118</v>
      </c>
      <c r="L12" s="664">
        <v>19876</v>
      </c>
      <c r="M12" s="665">
        <f t="shared" si="17"/>
        <v>2.9315547741747072</v>
      </c>
      <c r="N12" s="663">
        <f t="shared" si="3"/>
        <v>-0.10327092262576132</v>
      </c>
      <c r="O12" s="664">
        <v>3670</v>
      </c>
      <c r="P12" s="665">
        <f t="shared" si="0"/>
        <v>0.88734577229305134</v>
      </c>
      <c r="Q12" s="663">
        <f t="shared" si="4"/>
        <v>-0.81535520225397462</v>
      </c>
      <c r="R12" s="664">
        <v>18529</v>
      </c>
      <c r="S12" s="665">
        <f t="shared" si="5"/>
        <v>2.2004553157580342</v>
      </c>
      <c r="T12" s="663">
        <f t="shared" si="6"/>
        <v>4.0487738419618529</v>
      </c>
      <c r="U12" s="664">
        <v>8754</v>
      </c>
      <c r="V12" s="665">
        <f t="shared" si="7"/>
        <v>0.76120812442283303</v>
      </c>
      <c r="W12" s="663">
        <f t="shared" si="18"/>
        <v>-0.5275514059042582</v>
      </c>
      <c r="X12" s="2018">
        <v>3135</v>
      </c>
      <c r="Y12" s="2019">
        <f t="shared" si="9"/>
        <v>0.39252610267280852</v>
      </c>
      <c r="Z12" s="2020">
        <f t="shared" si="19"/>
        <v>-0.64187799862919803</v>
      </c>
      <c r="AA12" s="2018">
        <v>14341</v>
      </c>
      <c r="AB12" s="2019">
        <f t="shared" si="11"/>
        <v>2.1581672809138914</v>
      </c>
      <c r="AC12" s="2020">
        <f t="shared" si="20"/>
        <v>3.5744816586921848</v>
      </c>
      <c r="AD12" s="2018">
        <v>18840</v>
      </c>
      <c r="AE12" s="2019">
        <f t="shared" si="13"/>
        <v>3.5080663180944724</v>
      </c>
      <c r="AF12" s="2020">
        <f t="shared" si="21"/>
        <v>0.3137159193919532</v>
      </c>
      <c r="AG12" s="2018">
        <v>44293</v>
      </c>
      <c r="AH12" s="2019">
        <f t="shared" si="15"/>
        <v>4.979152825694241</v>
      </c>
      <c r="AI12" s="2020">
        <f t="shared" si="22"/>
        <v>1.3510084925690022</v>
      </c>
    </row>
    <row r="13" spans="2:35">
      <c r="B13" s="296">
        <v>7</v>
      </c>
      <c r="C13" s="491" t="s">
        <v>406</v>
      </c>
      <c r="D13" s="659">
        <v>13349</v>
      </c>
      <c r="E13" s="660">
        <v>3.7388910206676729E-2</v>
      </c>
      <c r="F13" s="661">
        <v>22023</v>
      </c>
      <c r="G13" s="662">
        <v>5.77</v>
      </c>
      <c r="H13" s="663">
        <f>F13/D13-1</f>
        <v>0.64978650086148781</v>
      </c>
      <c r="I13" s="664">
        <v>27875</v>
      </c>
      <c r="J13" s="665">
        <f>(I13/I30)*100</f>
        <v>5.5300736814122073</v>
      </c>
      <c r="K13" s="663">
        <f>I13/F13-1</f>
        <v>0.26572219951868492</v>
      </c>
      <c r="L13" s="664">
        <v>15677</v>
      </c>
      <c r="M13" s="665">
        <f t="shared" si="17"/>
        <v>2.3122350671531939</v>
      </c>
      <c r="N13" s="663">
        <f>L13/I13-1</f>
        <v>-0.43759641255605386</v>
      </c>
      <c r="O13" s="664">
        <v>3388</v>
      </c>
      <c r="P13" s="665">
        <f t="shared" si="0"/>
        <v>0.81916280014410303</v>
      </c>
      <c r="Q13" s="663">
        <f>O13/L13-1</f>
        <v>-0.78388722332078842</v>
      </c>
      <c r="R13" s="664">
        <v>3337</v>
      </c>
      <c r="S13" s="665">
        <f t="shared" si="5"/>
        <v>0.39629334495572127</v>
      </c>
      <c r="T13" s="663">
        <f>R13/O13-1</f>
        <v>-1.5053128689492379E-2</v>
      </c>
      <c r="U13" s="664">
        <v>3726</v>
      </c>
      <c r="V13" s="665">
        <f t="shared" si="7"/>
        <v>0.32399605570019147</v>
      </c>
      <c r="W13" s="663">
        <f>U13/R13-1</f>
        <v>0.11657177105184302</v>
      </c>
      <c r="X13" s="2018">
        <v>2203</v>
      </c>
      <c r="Y13" s="2019">
        <f t="shared" si="9"/>
        <v>0.27583253722111556</v>
      </c>
      <c r="Z13" s="2020">
        <f>X13/U13-1</f>
        <v>-0.40874932903918415</v>
      </c>
      <c r="AA13" s="2018">
        <v>9645</v>
      </c>
      <c r="AB13" s="2019">
        <f t="shared" si="11"/>
        <v>1.4514694529261896</v>
      </c>
      <c r="AC13" s="2020">
        <f>AA13/X13-1</f>
        <v>3.3781207444394008</v>
      </c>
      <c r="AD13" s="2018">
        <v>14126</v>
      </c>
      <c r="AE13" s="2019">
        <f t="shared" si="13"/>
        <v>2.6303049261890932</v>
      </c>
      <c r="AF13" s="2020">
        <f>AD13/AA13-1</f>
        <v>0.4645930533955418</v>
      </c>
      <c r="AG13" s="2018">
        <v>12420</v>
      </c>
      <c r="AH13" s="2019">
        <f t="shared" si="15"/>
        <v>1.396181746441254</v>
      </c>
      <c r="AI13" s="2020">
        <f>AG13/AD13-1</f>
        <v>-0.12077021095851626</v>
      </c>
    </row>
    <row r="14" spans="2:35">
      <c r="B14" s="296">
        <v>8</v>
      </c>
      <c r="C14" s="491" t="s">
        <v>405</v>
      </c>
      <c r="D14" s="659">
        <v>24509</v>
      </c>
      <c r="E14" s="660">
        <v>6.8646700146485884E-2</v>
      </c>
      <c r="F14" s="661">
        <v>16911</v>
      </c>
      <c r="G14" s="662">
        <v>4.43</v>
      </c>
      <c r="H14" s="663">
        <f>F14/D14-1</f>
        <v>-0.31000856828103962</v>
      </c>
      <c r="I14" s="664">
        <v>19255</v>
      </c>
      <c r="J14" s="665">
        <f>(I14/I30)*100</f>
        <v>3.8199665914113736</v>
      </c>
      <c r="K14" s="663">
        <f>I14/F14-1</f>
        <v>0.13860800662290806</v>
      </c>
      <c r="L14" s="664">
        <v>9533</v>
      </c>
      <c r="M14" s="665">
        <f t="shared" si="17"/>
        <v>1.4060430500205012</v>
      </c>
      <c r="N14" s="663">
        <f>L14/I14-1</f>
        <v>-0.50490781615164892</v>
      </c>
      <c r="O14" s="664">
        <v>5138</v>
      </c>
      <c r="P14" s="665">
        <f t="shared" si="0"/>
        <v>1.242284081210272</v>
      </c>
      <c r="Q14" s="663">
        <f>O14/L14-1</f>
        <v>-0.46103010594776039</v>
      </c>
      <c r="R14" s="664">
        <v>39569</v>
      </c>
      <c r="S14" s="665">
        <f t="shared" si="5"/>
        <v>4.6991103885384886</v>
      </c>
      <c r="T14" s="663">
        <f>R14/O14-1</f>
        <v>6.7012456208641495</v>
      </c>
      <c r="U14" s="664">
        <v>144836</v>
      </c>
      <c r="V14" s="665">
        <f t="shared" si="7"/>
        <v>12.594281460921344</v>
      </c>
      <c r="W14" s="663">
        <f>U14/R14-1</f>
        <v>2.6603401652809016</v>
      </c>
      <c r="X14" s="2018">
        <v>29418</v>
      </c>
      <c r="Y14" s="2019">
        <f t="shared" si="9"/>
        <v>3.6833597730235028</v>
      </c>
      <c r="Z14" s="2020">
        <f>X14/U14-1</f>
        <v>-0.79688751415393966</v>
      </c>
      <c r="AA14" s="2018">
        <v>32308</v>
      </c>
      <c r="AB14" s="2019">
        <f t="shared" si="11"/>
        <v>4.8620088216837045</v>
      </c>
      <c r="AC14" s="2020">
        <f>AA14/X14-1</f>
        <v>9.8239173295261439E-2</v>
      </c>
      <c r="AD14" s="2018">
        <v>12980</v>
      </c>
      <c r="AE14" s="2019">
        <f t="shared" si="13"/>
        <v>2.4169161788145566</v>
      </c>
      <c r="AF14" s="2020">
        <f>AD14/AA14-1</f>
        <v>-0.59824192150550948</v>
      </c>
      <c r="AG14" s="2018">
        <v>13990</v>
      </c>
      <c r="AH14" s="2019">
        <f t="shared" si="15"/>
        <v>1.5726717095582241</v>
      </c>
      <c r="AI14" s="2020">
        <f>AG14/AD14-1</f>
        <v>7.7812018489984647E-2</v>
      </c>
    </row>
    <row r="15" spans="2:35">
      <c r="B15" s="296">
        <v>9</v>
      </c>
      <c r="C15" s="491" t="s">
        <v>197</v>
      </c>
      <c r="D15" s="667"/>
      <c r="E15" s="668"/>
      <c r="F15" s="661">
        <v>2247</v>
      </c>
      <c r="G15" s="662">
        <v>0.59</v>
      </c>
      <c r="H15" s="663"/>
      <c r="I15" s="664">
        <v>1967</v>
      </c>
      <c r="J15" s="665">
        <f>(I15/I30)*100</f>
        <v>0.39022977332153586</v>
      </c>
      <c r="K15" s="663">
        <f>I15/F15-1</f>
        <v>-0.12461059190031154</v>
      </c>
      <c r="L15" s="664">
        <v>4379</v>
      </c>
      <c r="M15" s="665">
        <f t="shared" si="17"/>
        <v>0.64586830127344752</v>
      </c>
      <c r="N15" s="663">
        <f>L15/I15-1</f>
        <v>1.2262328418912047</v>
      </c>
      <c r="O15" s="664">
        <v>3658</v>
      </c>
      <c r="P15" s="665">
        <f t="shared" si="0"/>
        <v>0.88444436922288339</v>
      </c>
      <c r="Q15" s="663">
        <f>O15/L15-1</f>
        <v>-0.16464946334779629</v>
      </c>
      <c r="R15" s="664">
        <v>3983</v>
      </c>
      <c r="S15" s="665">
        <f t="shared" si="5"/>
        <v>0.47301060622074859</v>
      </c>
      <c r="T15" s="663">
        <f>R15/O15-1</f>
        <v>8.8846364133406297E-2</v>
      </c>
      <c r="U15" s="664">
        <v>6146</v>
      </c>
      <c r="V15" s="665">
        <f t="shared" si="7"/>
        <v>0.53442827652532932</v>
      </c>
      <c r="W15" s="663">
        <f>U15/R15-1</f>
        <v>0.54305799648506148</v>
      </c>
      <c r="X15" s="2018">
        <v>10501</v>
      </c>
      <c r="Y15" s="2019">
        <f t="shared" si="9"/>
        <v>1.3148059343435925</v>
      </c>
      <c r="Z15" s="2020">
        <f>X15/U15-1</f>
        <v>0.70859095346566869</v>
      </c>
      <c r="AA15" s="2018">
        <v>5967</v>
      </c>
      <c r="AB15" s="2019">
        <f t="shared" si="11"/>
        <v>0.89796974863769541</v>
      </c>
      <c r="AC15" s="2020">
        <f>AA15/X15-1</f>
        <v>-0.43176840300923724</v>
      </c>
      <c r="AD15" s="2018">
        <v>6630</v>
      </c>
      <c r="AE15" s="2019">
        <f t="shared" si="13"/>
        <v>1.2345265227689144</v>
      </c>
      <c r="AF15" s="2020">
        <f>AD15/AA15-1</f>
        <v>0.11111111111111116</v>
      </c>
      <c r="AG15" s="2018">
        <v>1731</v>
      </c>
      <c r="AH15" s="2019">
        <f t="shared" si="15"/>
        <v>0.19458861538565306</v>
      </c>
      <c r="AI15" s="2020">
        <f>AG15/AD15-1</f>
        <v>-0.73891402714932131</v>
      </c>
    </row>
    <row r="16" spans="2:35">
      <c r="B16" s="296">
        <v>10</v>
      </c>
      <c r="C16" s="491" t="s">
        <v>411</v>
      </c>
      <c r="D16" s="667"/>
      <c r="E16" s="668"/>
      <c r="F16" s="661">
        <v>2691</v>
      </c>
      <c r="G16" s="662">
        <v>0.7</v>
      </c>
      <c r="H16" s="663"/>
      <c r="I16" s="664">
        <v>2552</v>
      </c>
      <c r="J16" s="665">
        <f>(I16/I30)*100</f>
        <v>0.50628692502112838</v>
      </c>
      <c r="K16" s="663">
        <f>I16/F16-1</f>
        <v>-5.1653660349312513E-2</v>
      </c>
      <c r="L16" s="664">
        <v>3355</v>
      </c>
      <c r="M16" s="665">
        <f t="shared" si="17"/>
        <v>0.49483629841799881</v>
      </c>
      <c r="N16" s="663">
        <f>L16/I16-1</f>
        <v>0.31465517241379315</v>
      </c>
      <c r="O16" s="664">
        <v>1078</v>
      </c>
      <c r="P16" s="665">
        <f t="shared" si="0"/>
        <v>0.26064270913676008</v>
      </c>
      <c r="Q16" s="663">
        <f>O16/L16-1</f>
        <v>-0.67868852459016393</v>
      </c>
      <c r="R16" s="664">
        <v>847</v>
      </c>
      <c r="S16" s="665">
        <f t="shared" si="5"/>
        <v>0.10058749271126639</v>
      </c>
      <c r="T16" s="663">
        <f>R16/O16-1</f>
        <v>-0.2142857142857143</v>
      </c>
      <c r="U16" s="664">
        <v>1514</v>
      </c>
      <c r="V16" s="665">
        <f t="shared" si="7"/>
        <v>0.13165057121043744</v>
      </c>
      <c r="W16" s="663">
        <f>U16/R16-1</f>
        <v>0.78748524203069659</v>
      </c>
      <c r="X16" s="2018">
        <v>1620</v>
      </c>
      <c r="Y16" s="2019">
        <f t="shared" si="9"/>
        <v>0.20283645496968097</v>
      </c>
      <c r="Z16" s="2020">
        <f>X16/U16-1</f>
        <v>7.0013210039630014E-2</v>
      </c>
      <c r="AA16" s="2018">
        <v>2697</v>
      </c>
      <c r="AB16" s="2019">
        <f t="shared" si="11"/>
        <v>0.40586968528169337</v>
      </c>
      <c r="AC16" s="2020">
        <f>AA16/X16-1</f>
        <v>0.66481481481481475</v>
      </c>
      <c r="AD16" s="2018">
        <v>1660</v>
      </c>
      <c r="AE16" s="2019">
        <f t="shared" si="13"/>
        <v>0.30909713843082925</v>
      </c>
      <c r="AF16" s="2020">
        <f>AD16/AA16-1</f>
        <v>-0.38450129773822761</v>
      </c>
      <c r="AG16" s="2018">
        <v>1632</v>
      </c>
      <c r="AH16" s="2019">
        <f t="shared" si="15"/>
        <v>0.18345963045025176</v>
      </c>
      <c r="AI16" s="2020">
        <f>AG16/AD16-1</f>
        <v>-1.6867469879518038E-2</v>
      </c>
    </row>
    <row r="17" spans="2:35" ht="30">
      <c r="B17" s="296">
        <v>11</v>
      </c>
      <c r="C17" s="491" t="s">
        <v>717</v>
      </c>
      <c r="D17" s="667"/>
      <c r="E17" s="668"/>
      <c r="F17" s="661">
        <v>3975</v>
      </c>
      <c r="G17" s="662">
        <v>1.04</v>
      </c>
      <c r="H17" s="663"/>
      <c r="I17" s="664">
        <v>4353</v>
      </c>
      <c r="J17" s="665">
        <f>(I17/I30)*100</f>
        <v>0.86358424162107039</v>
      </c>
      <c r="K17" s="663">
        <f t="shared" si="2"/>
        <v>9.5094339622641577E-2</v>
      </c>
      <c r="L17" s="664">
        <v>3097</v>
      </c>
      <c r="M17" s="665">
        <f t="shared" si="17"/>
        <v>0.45678331332355948</v>
      </c>
      <c r="N17" s="663">
        <f t="shared" si="3"/>
        <v>-0.28853664139673785</v>
      </c>
      <c r="O17" s="664">
        <v>1245</v>
      </c>
      <c r="P17" s="665">
        <f t="shared" si="0"/>
        <v>0.30102056852993164</v>
      </c>
      <c r="Q17" s="663">
        <f t="shared" si="4"/>
        <v>-0.59799806264126576</v>
      </c>
      <c r="R17" s="664">
        <v>7679</v>
      </c>
      <c r="S17" s="665">
        <f t="shared" si="5"/>
        <v>0.91193784714263837</v>
      </c>
      <c r="T17" s="663">
        <f t="shared" ref="T17:T30" si="23">R17/O17-1</f>
        <v>5.1678714859437749</v>
      </c>
      <c r="U17" s="664">
        <v>17816</v>
      </c>
      <c r="V17" s="665">
        <f t="shared" si="7"/>
        <v>1.5491985314961383</v>
      </c>
      <c r="W17" s="663">
        <f t="shared" ref="W17:W19" si="24">U17/R17-1</f>
        <v>1.3200937622086211</v>
      </c>
      <c r="X17" s="2018">
        <v>29270</v>
      </c>
      <c r="Y17" s="2019">
        <f t="shared" si="9"/>
        <v>3.6648290351620751</v>
      </c>
      <c r="Z17" s="2020">
        <f t="shared" ref="Z17:Z19" si="25">X17/U17-1</f>
        <v>0.64290525370453522</v>
      </c>
      <c r="AA17" s="2018">
        <v>87833</v>
      </c>
      <c r="AB17" s="2019">
        <f t="shared" si="11"/>
        <v>13.217928093195026</v>
      </c>
      <c r="AC17" s="2020">
        <f t="shared" ref="AC17:AC19" si="26">AA17/X17-1</f>
        <v>2.0007857874957296</v>
      </c>
      <c r="AD17" s="2018">
        <v>18038</v>
      </c>
      <c r="AE17" s="2019">
        <f t="shared" si="13"/>
        <v>3.3587314355513849</v>
      </c>
      <c r="AF17" s="2020">
        <f t="shared" ref="AF17:AF19" si="27">AD17/AA17-1</f>
        <v>-0.79463299670966492</v>
      </c>
      <c r="AG17" s="2018">
        <v>161383</v>
      </c>
      <c r="AH17" s="2019">
        <f t="shared" si="15"/>
        <v>18.141706826564324</v>
      </c>
      <c r="AI17" s="2020">
        <f t="shared" ref="AI17:AI19" si="28">AG17/AD17-1</f>
        <v>7.9468344605832133</v>
      </c>
    </row>
    <row r="18" spans="2:35">
      <c r="B18" s="296">
        <v>12</v>
      </c>
      <c r="C18" s="491" t="s">
        <v>408</v>
      </c>
      <c r="D18" s="667"/>
      <c r="E18" s="668"/>
      <c r="F18" s="661">
        <v>3523</v>
      </c>
      <c r="G18" s="662">
        <v>0.92</v>
      </c>
      <c r="H18" s="663"/>
      <c r="I18" s="664">
        <v>3640</v>
      </c>
      <c r="J18" s="665">
        <f>(I18/I30)*100</f>
        <v>0.72213338835301999</v>
      </c>
      <c r="K18" s="663">
        <f t="shared" si="2"/>
        <v>3.3210332103321027E-2</v>
      </c>
      <c r="L18" s="664">
        <v>2384</v>
      </c>
      <c r="M18" s="665">
        <f t="shared" si="17"/>
        <v>0.35162138164784179</v>
      </c>
      <c r="N18" s="663">
        <f t="shared" si="3"/>
        <v>-0.34505494505494505</v>
      </c>
      <c r="O18" s="664">
        <v>1047</v>
      </c>
      <c r="P18" s="665">
        <f t="shared" si="0"/>
        <v>0.25314741787215939</v>
      </c>
      <c r="Q18" s="663">
        <f t="shared" si="4"/>
        <v>-0.56082214765100669</v>
      </c>
      <c r="R18" s="664">
        <v>1481</v>
      </c>
      <c r="S18" s="665">
        <f t="shared" si="5"/>
        <v>0.17587966553174209</v>
      </c>
      <c r="T18" s="663">
        <f t="shared" si="23"/>
        <v>0.41451766953199609</v>
      </c>
      <c r="U18" s="664">
        <v>733</v>
      </c>
      <c r="V18" s="665">
        <f t="shared" si="7"/>
        <v>6.3738354489597512E-2</v>
      </c>
      <c r="W18" s="663">
        <f t="shared" si="24"/>
        <v>-0.50506414584740034</v>
      </c>
      <c r="X18" s="2018">
        <v>1601</v>
      </c>
      <c r="Y18" s="2019">
        <f t="shared" si="9"/>
        <v>0.20045750889287603</v>
      </c>
      <c r="Z18" s="2020">
        <f t="shared" si="25"/>
        <v>1.1841746248294678</v>
      </c>
      <c r="AA18" s="2018">
        <v>2474</v>
      </c>
      <c r="AB18" s="2019">
        <f t="shared" si="11"/>
        <v>0.37231056781123822</v>
      </c>
      <c r="AC18" s="2020">
        <f t="shared" si="26"/>
        <v>0.54528419737663958</v>
      </c>
      <c r="AD18" s="2018">
        <v>2700</v>
      </c>
      <c r="AE18" s="2019">
        <f t="shared" si="13"/>
        <v>0.50274835768869819</v>
      </c>
      <c r="AF18" s="2020">
        <f t="shared" si="27"/>
        <v>9.1350040420371759E-2</v>
      </c>
      <c r="AG18" s="2018">
        <v>3328</v>
      </c>
      <c r="AH18" s="2019">
        <f t="shared" si="15"/>
        <v>0.3741137562122781</v>
      </c>
      <c r="AI18" s="2020">
        <f t="shared" si="28"/>
        <v>0.23259259259259268</v>
      </c>
    </row>
    <row r="19" spans="2:35">
      <c r="B19" s="296">
        <v>13</v>
      </c>
      <c r="C19" s="491" t="s">
        <v>196</v>
      </c>
      <c r="D19" s="667"/>
      <c r="E19" s="668"/>
      <c r="F19" s="661">
        <v>3419</v>
      </c>
      <c r="G19" s="662">
        <v>0.9</v>
      </c>
      <c r="H19" s="663"/>
      <c r="I19" s="664">
        <v>3313</v>
      </c>
      <c r="J19" s="665">
        <f>(I19/I30)*100</f>
        <v>0.65726041637735044</v>
      </c>
      <c r="K19" s="663">
        <f t="shared" si="2"/>
        <v>-3.1003217315004439E-2</v>
      </c>
      <c r="L19" s="664">
        <v>2323</v>
      </c>
      <c r="M19" s="665">
        <f t="shared" si="17"/>
        <v>0.34262435804024177</v>
      </c>
      <c r="N19" s="663">
        <f t="shared" si="3"/>
        <v>-0.2988228191971023</v>
      </c>
      <c r="O19" s="664">
        <v>759</v>
      </c>
      <c r="P19" s="665">
        <f t="shared" si="0"/>
        <v>0.18351374418812696</v>
      </c>
      <c r="Q19" s="663">
        <f t="shared" si="4"/>
        <v>-0.6732673267326732</v>
      </c>
      <c r="R19" s="664">
        <v>402</v>
      </c>
      <c r="S19" s="665">
        <f t="shared" si="5"/>
        <v>4.7740462892478262E-2</v>
      </c>
      <c r="T19" s="663">
        <f t="shared" si="23"/>
        <v>-0.47035573122529639</v>
      </c>
      <c r="U19" s="664">
        <v>3096</v>
      </c>
      <c r="V19" s="665">
        <f t="shared" si="7"/>
        <v>0.26921411391513494</v>
      </c>
      <c r="W19" s="663">
        <f t="shared" si="24"/>
        <v>6.7014925373134329</v>
      </c>
      <c r="X19" s="2018">
        <v>937</v>
      </c>
      <c r="Y19" s="2019">
        <f t="shared" si="9"/>
        <v>0.11731960389295745</v>
      </c>
      <c r="Z19" s="2020">
        <f t="shared" si="25"/>
        <v>-0.69735142118863047</v>
      </c>
      <c r="AA19" s="2018">
        <v>1159</v>
      </c>
      <c r="AB19" s="2019">
        <f t="shared" si="11"/>
        <v>0.17441711725676035</v>
      </c>
      <c r="AC19" s="2020">
        <f t="shared" si="26"/>
        <v>0.23692636072572038</v>
      </c>
      <c r="AD19" s="2018">
        <v>1044</v>
      </c>
      <c r="AE19" s="2019">
        <f t="shared" si="13"/>
        <v>0.19439603163962998</v>
      </c>
      <c r="AF19" s="2020">
        <f t="shared" si="27"/>
        <v>-9.9223468507333878E-2</v>
      </c>
      <c r="AG19" s="2018">
        <v>1973</v>
      </c>
      <c r="AH19" s="2019">
        <f t="shared" si="15"/>
        <v>0.22179280078330069</v>
      </c>
      <c r="AI19" s="2020">
        <f t="shared" si="28"/>
        <v>0.88984674329501923</v>
      </c>
    </row>
    <row r="20" spans="2:35">
      <c r="B20" s="296">
        <v>14</v>
      </c>
      <c r="C20" s="491" t="s">
        <v>716</v>
      </c>
      <c r="D20" s="659">
        <v>71847</v>
      </c>
      <c r="E20" s="660">
        <v>0.20123462668507777</v>
      </c>
      <c r="F20" s="661"/>
      <c r="G20" s="662"/>
      <c r="H20" s="663">
        <f>F20/D20-1</f>
        <v>-1</v>
      </c>
      <c r="I20" s="664"/>
      <c r="J20" s="665"/>
      <c r="K20" s="663"/>
      <c r="L20" s="664">
        <v>2411</v>
      </c>
      <c r="M20" s="665">
        <f t="shared" si="17"/>
        <v>0.35560367078563188</v>
      </c>
      <c r="N20" s="663"/>
      <c r="O20" s="664">
        <v>1059</v>
      </c>
      <c r="P20" s="665">
        <f t="shared" si="0"/>
        <v>0.25604882094232734</v>
      </c>
      <c r="Q20" s="663">
        <f>O20/L20-1</f>
        <v>-0.56076316880962263</v>
      </c>
      <c r="R20" s="664">
        <v>737</v>
      </c>
      <c r="S20" s="665">
        <f t="shared" si="5"/>
        <v>8.752418196954348E-2</v>
      </c>
      <c r="T20" s="663">
        <f>R20/O20-1</f>
        <v>-0.3040604343720491</v>
      </c>
      <c r="U20" s="664">
        <v>1105</v>
      </c>
      <c r="V20" s="665">
        <f t="shared" si="7"/>
        <v>9.6085786781726135E-2</v>
      </c>
      <c r="W20" s="663">
        <f>U20/R20-1</f>
        <v>0.49932157394843957</v>
      </c>
      <c r="X20" s="2018">
        <v>933</v>
      </c>
      <c r="Y20" s="2019">
        <f t="shared" si="9"/>
        <v>0.11681877313994588</v>
      </c>
      <c r="Z20" s="2020">
        <f>X20/U20-1</f>
        <v>-0.15565610859728507</v>
      </c>
      <c r="AA20" s="2018">
        <v>1115</v>
      </c>
      <c r="AB20" s="2019">
        <f t="shared" si="11"/>
        <v>0.16779558735227593</v>
      </c>
      <c r="AC20" s="2020">
        <f>AA20/X20-1</f>
        <v>0.195069667738478</v>
      </c>
      <c r="AD20" s="2018">
        <v>1274</v>
      </c>
      <c r="AE20" s="2019">
        <f t="shared" si="13"/>
        <v>0.23722274359088946</v>
      </c>
      <c r="AF20" s="2020">
        <f>AD20/AA20-1</f>
        <v>0.14260089686098665</v>
      </c>
      <c r="AG20" s="2018">
        <v>1314</v>
      </c>
      <c r="AH20" s="2019">
        <f t="shared" si="15"/>
        <v>0.14771198186987183</v>
      </c>
      <c r="AI20" s="2020">
        <f>AG20/AD20-1</f>
        <v>3.1397174254317095E-2</v>
      </c>
    </row>
    <row r="21" spans="2:35">
      <c r="B21" s="296">
        <v>15</v>
      </c>
      <c r="C21" s="491" t="s">
        <v>409</v>
      </c>
      <c r="D21" s="659">
        <v>5480</v>
      </c>
      <c r="E21" s="660">
        <v>1.5348807246429582E-2</v>
      </c>
      <c r="F21" s="661">
        <v>2446</v>
      </c>
      <c r="G21" s="662">
        <v>0.64</v>
      </c>
      <c r="H21" s="663">
        <f t="shared" si="1"/>
        <v>-0.55364963503649633</v>
      </c>
      <c r="I21" s="664">
        <v>2297</v>
      </c>
      <c r="J21" s="665">
        <f>(I21/I30)*100</f>
        <v>0.45569791017771621</v>
      </c>
      <c r="K21" s="663">
        <f t="shared" si="2"/>
        <v>-6.0915780866721225E-2</v>
      </c>
      <c r="L21" s="664">
        <v>1981</v>
      </c>
      <c r="M21" s="665">
        <f t="shared" si="17"/>
        <v>0.29218202896156648</v>
      </c>
      <c r="N21" s="663">
        <f t="shared" si="3"/>
        <v>-0.13757074444928163</v>
      </c>
      <c r="O21" s="664">
        <v>1009</v>
      </c>
      <c r="P21" s="665">
        <f t="shared" si="0"/>
        <v>0.24395964148329397</v>
      </c>
      <c r="Q21" s="663">
        <f t="shared" si="4"/>
        <v>-0.49066128218071681</v>
      </c>
      <c r="R21" s="664">
        <v>972</v>
      </c>
      <c r="S21" s="665">
        <f t="shared" si="5"/>
        <v>0.11543216400867878</v>
      </c>
      <c r="T21" s="663">
        <f t="shared" si="23"/>
        <v>-3.6669970267591667E-2</v>
      </c>
      <c r="U21" s="664">
        <v>1939</v>
      </c>
      <c r="V21" s="665">
        <f t="shared" si="7"/>
        <v>0.16860664304956285</v>
      </c>
      <c r="W21" s="663">
        <f t="shared" ref="W21" si="29">U21/R21-1</f>
        <v>0.99485596707818935</v>
      </c>
      <c r="X21" s="2018">
        <v>2677</v>
      </c>
      <c r="Y21" s="2019">
        <f t="shared" si="9"/>
        <v>0.33518098145298514</v>
      </c>
      <c r="Z21" s="2020">
        <f t="shared" ref="Z21" si="30">X21/U21-1</f>
        <v>0.38060856111397623</v>
      </c>
      <c r="AA21" s="2018">
        <v>2545</v>
      </c>
      <c r="AB21" s="2019">
        <f t="shared" si="11"/>
        <v>0.38299530924801994</v>
      </c>
      <c r="AC21" s="2020">
        <f t="shared" ref="AC21" si="31">AA21/X21-1</f>
        <v>-4.9308927904370581E-2</v>
      </c>
      <c r="AD21" s="2018">
        <v>2697</v>
      </c>
      <c r="AE21" s="2019">
        <f t="shared" si="13"/>
        <v>0.5021897484023774</v>
      </c>
      <c r="AF21" s="2020">
        <f t="shared" ref="AF21" si="32">AD21/AA21-1</f>
        <v>5.972495088408647E-2</v>
      </c>
      <c r="AG21" s="2018">
        <v>1415</v>
      </c>
      <c r="AH21" s="2019">
        <f t="shared" si="15"/>
        <v>0.15906579478376606</v>
      </c>
      <c r="AI21" s="2020">
        <f t="shared" ref="AI21" si="33">AG21/AD21-1</f>
        <v>-0.47534297367445311</v>
      </c>
    </row>
    <row r="22" spans="2:35">
      <c r="B22" s="296">
        <v>16</v>
      </c>
      <c r="C22" s="491" t="s">
        <v>198</v>
      </c>
      <c r="D22" s="669"/>
      <c r="E22" s="205"/>
      <c r="F22" s="661">
        <v>2005</v>
      </c>
      <c r="G22" s="662">
        <v>0.53</v>
      </c>
      <c r="H22" s="663"/>
      <c r="I22" s="664">
        <v>1132</v>
      </c>
      <c r="J22" s="665">
        <f>(I22/I30)*100</f>
        <v>0.22457554824604911</v>
      </c>
      <c r="K22" s="663">
        <f>I22/F22-1</f>
        <v>-0.43541147132169578</v>
      </c>
      <c r="L22" s="664">
        <v>1236</v>
      </c>
      <c r="M22" s="665">
        <f t="shared" si="17"/>
        <v>0.18230034719661595</v>
      </c>
      <c r="N22" s="663">
        <f>L22/I22-1</f>
        <v>9.1872791519434616E-2</v>
      </c>
      <c r="O22" s="664">
        <v>1195</v>
      </c>
      <c r="P22" s="665">
        <f t="shared" si="0"/>
        <v>0.28893138907089821</v>
      </c>
      <c r="Q22" s="663">
        <f>O22/L22-1</f>
        <v>-3.3171521035598728E-2</v>
      </c>
      <c r="R22" s="664">
        <v>1397</v>
      </c>
      <c r="S22" s="665">
        <f t="shared" si="5"/>
        <v>0.16590404641988094</v>
      </c>
      <c r="T22" s="663">
        <f>R22/O22-1</f>
        <v>0.16903765690376571</v>
      </c>
      <c r="U22" s="664">
        <v>1996</v>
      </c>
      <c r="V22" s="665">
        <f t="shared" si="7"/>
        <v>0.17356310444916323</v>
      </c>
      <c r="W22" s="663">
        <f>U22/R22-1</f>
        <v>0.42877594846098788</v>
      </c>
      <c r="X22" s="2018">
        <v>2185</v>
      </c>
      <c r="Y22" s="2019">
        <f t="shared" si="9"/>
        <v>0.27357879883256353</v>
      </c>
      <c r="Z22" s="2020">
        <f>X22/U22-1</f>
        <v>9.468937875751493E-2</v>
      </c>
      <c r="AA22" s="2018">
        <v>3005</v>
      </c>
      <c r="AB22" s="2019">
        <f t="shared" si="11"/>
        <v>0.45222039461308444</v>
      </c>
      <c r="AC22" s="2020">
        <f>AA22/X22-1</f>
        <v>0.37528604118993125</v>
      </c>
      <c r="AD22" s="2018">
        <v>2055</v>
      </c>
      <c r="AE22" s="2019">
        <f t="shared" si="13"/>
        <v>0.38264736112973141</v>
      </c>
      <c r="AF22" s="2020">
        <f>AD22/AA22-1</f>
        <v>-0.31613976705490854</v>
      </c>
      <c r="AG22" s="2018">
        <v>1582</v>
      </c>
      <c r="AH22" s="2019">
        <f t="shared" si="15"/>
        <v>0.17783893098792788</v>
      </c>
      <c r="AI22" s="2020">
        <f>AG22/AD22-1</f>
        <v>-0.23017031630170315</v>
      </c>
    </row>
    <row r="23" spans="2:35">
      <c r="B23" s="296">
        <v>17</v>
      </c>
      <c r="C23" s="491" t="s">
        <v>410</v>
      </c>
      <c r="D23" s="667"/>
      <c r="E23" s="668"/>
      <c r="F23" s="661">
        <v>2205</v>
      </c>
      <c r="G23" s="662">
        <v>0.57999999999999996</v>
      </c>
      <c r="H23" s="663"/>
      <c r="I23" s="664">
        <v>2486</v>
      </c>
      <c r="J23" s="665">
        <f>(I23/I30)*100</f>
        <v>0.49319329764989223</v>
      </c>
      <c r="K23" s="663">
        <f t="shared" si="2"/>
        <v>0.12743764172335603</v>
      </c>
      <c r="L23" s="664">
        <v>953</v>
      </c>
      <c r="M23" s="665">
        <f t="shared" si="17"/>
        <v>0.14056005734496357</v>
      </c>
      <c r="N23" s="663">
        <f t="shared" si="3"/>
        <v>-0.61665325824617856</v>
      </c>
      <c r="O23" s="664">
        <v>564</v>
      </c>
      <c r="P23" s="665">
        <f t="shared" si="0"/>
        <v>0.13636594429789672</v>
      </c>
      <c r="Q23" s="663">
        <f t="shared" si="4"/>
        <v>-0.40818467995802732</v>
      </c>
      <c r="R23" s="664">
        <v>588</v>
      </c>
      <c r="S23" s="665">
        <f t="shared" si="5"/>
        <v>6.98293337830279E-2</v>
      </c>
      <c r="T23" s="663">
        <f t="shared" si="23"/>
        <v>4.2553191489361764E-2</v>
      </c>
      <c r="U23" s="664">
        <v>1146</v>
      </c>
      <c r="V23" s="665">
        <f t="shared" si="7"/>
        <v>9.9650960770912345E-2</v>
      </c>
      <c r="W23" s="663">
        <f t="shared" ref="W23:W30" si="34">U23/R23-1</f>
        <v>0.94897959183673475</v>
      </c>
      <c r="X23" s="2018">
        <v>1152</v>
      </c>
      <c r="Y23" s="2019">
        <f t="shared" si="9"/>
        <v>0.14423925686732869</v>
      </c>
      <c r="Z23" s="2020">
        <f t="shared" ref="Z23:Z30" si="35">X23/U23-1</f>
        <v>5.2356020942407877E-3</v>
      </c>
      <c r="AA23" s="2018">
        <v>2773</v>
      </c>
      <c r="AB23" s="2019">
        <f t="shared" si="11"/>
        <v>0.41730687329853022</v>
      </c>
      <c r="AC23" s="2020">
        <f t="shared" ref="AC23:AC30" si="36">AA23/X23-1</f>
        <v>1.4071180555555554</v>
      </c>
      <c r="AD23" s="2018">
        <v>4026</v>
      </c>
      <c r="AE23" s="2019">
        <f t="shared" si="13"/>
        <v>0.74965366224248109</v>
      </c>
      <c r="AF23" s="2020">
        <f t="shared" ref="AF23:AF27" si="37">AD23/AA23-1</f>
        <v>0.45185719437432392</v>
      </c>
      <c r="AG23" s="2018">
        <v>2495</v>
      </c>
      <c r="AH23" s="2019">
        <f t="shared" si="15"/>
        <v>0.2804729031699621</v>
      </c>
      <c r="AI23" s="2020">
        <f t="shared" ref="AI23:AI28" si="38">AG23/AD23-1</f>
        <v>-0.38027819175360156</v>
      </c>
    </row>
    <row r="24" spans="2:35">
      <c r="B24" s="296">
        <v>18</v>
      </c>
      <c r="C24" s="491" t="s">
        <v>199</v>
      </c>
      <c r="D24" s="667"/>
      <c r="E24" s="668"/>
      <c r="F24" s="661">
        <v>1721</v>
      </c>
      <c r="G24" s="662">
        <v>0.45</v>
      </c>
      <c r="H24" s="663"/>
      <c r="I24" s="664">
        <v>968</v>
      </c>
      <c r="J24" s="665">
        <f>(I24/I30)*100</f>
        <v>0.19203986811146248</v>
      </c>
      <c r="K24" s="663">
        <f t="shared" si="2"/>
        <v>-0.43753631609529342</v>
      </c>
      <c r="L24" s="664">
        <v>777</v>
      </c>
      <c r="M24" s="665">
        <f t="shared" si="17"/>
        <v>0.11460143185418332</v>
      </c>
      <c r="N24" s="663">
        <f t="shared" si="3"/>
        <v>-0.1973140495867769</v>
      </c>
      <c r="O24" s="664">
        <v>353</v>
      </c>
      <c r="P24" s="665">
        <f t="shared" si="0"/>
        <v>8.5349606980775788E-2</v>
      </c>
      <c r="Q24" s="663">
        <f t="shared" si="4"/>
        <v>-0.54568854568854563</v>
      </c>
      <c r="R24" s="664">
        <v>294</v>
      </c>
      <c r="S24" s="665">
        <f t="shared" si="5"/>
        <v>3.491466689151395E-2</v>
      </c>
      <c r="T24" s="663">
        <f t="shared" si="23"/>
        <v>-0.16713881019830024</v>
      </c>
      <c r="U24" s="664">
        <v>522</v>
      </c>
      <c r="V24" s="665">
        <f t="shared" si="7"/>
        <v>4.5390751764761122E-2</v>
      </c>
      <c r="W24" s="663">
        <f t="shared" si="34"/>
        <v>0.77551020408163263</v>
      </c>
      <c r="X24" s="2018">
        <v>780</v>
      </c>
      <c r="Y24" s="2019">
        <f t="shared" si="9"/>
        <v>9.7661996837253795E-2</v>
      </c>
      <c r="Z24" s="2020">
        <f t="shared" si="35"/>
        <v>0.49425287356321834</v>
      </c>
      <c r="AA24" s="2018">
        <v>1194</v>
      </c>
      <c r="AB24" s="2019">
        <f t="shared" si="11"/>
        <v>0.17968424331714569</v>
      </c>
      <c r="AC24" s="2020">
        <f t="shared" si="36"/>
        <v>0.53076923076923066</v>
      </c>
      <c r="AD24" s="2018">
        <v>1087</v>
      </c>
      <c r="AE24" s="2019">
        <f t="shared" si="13"/>
        <v>0.20240276474356111</v>
      </c>
      <c r="AF24" s="2020">
        <f t="shared" si="37"/>
        <v>-8.9614740368509249E-2</v>
      </c>
      <c r="AG24" s="2018">
        <v>991</v>
      </c>
      <c r="AH24" s="2019">
        <f t="shared" si="15"/>
        <v>0.11140226334325949</v>
      </c>
      <c r="AI24" s="2020">
        <f t="shared" si="38"/>
        <v>-8.8316467341306382E-2</v>
      </c>
    </row>
    <row r="25" spans="2:35">
      <c r="B25" s="296">
        <v>19</v>
      </c>
      <c r="C25" s="491" t="s">
        <v>200</v>
      </c>
      <c r="D25" s="667"/>
      <c r="E25" s="668"/>
      <c r="F25" s="661">
        <v>1582</v>
      </c>
      <c r="G25" s="662">
        <v>0.41</v>
      </c>
      <c r="H25" s="663"/>
      <c r="I25" s="664">
        <v>757</v>
      </c>
      <c r="J25" s="665">
        <f>(I25/I30)*100</f>
        <v>0.15017993818220776</v>
      </c>
      <c r="K25" s="663">
        <f t="shared" si="2"/>
        <v>-0.52149178255372952</v>
      </c>
      <c r="L25" s="664">
        <v>725</v>
      </c>
      <c r="M25" s="665">
        <f t="shared" si="17"/>
        <v>0.10693183795918006</v>
      </c>
      <c r="N25" s="663">
        <f t="shared" si="3"/>
        <v>-4.2272126816380484E-2</v>
      </c>
      <c r="O25" s="664">
        <v>283</v>
      </c>
      <c r="P25" s="665">
        <f t="shared" si="0"/>
        <v>6.8424755738129034E-2</v>
      </c>
      <c r="Q25" s="663">
        <f t="shared" si="4"/>
        <v>-0.60965517241379308</v>
      </c>
      <c r="R25" s="664">
        <v>2048</v>
      </c>
      <c r="S25" s="665">
        <f t="shared" si="5"/>
        <v>0.2432150945368047</v>
      </c>
      <c r="T25" s="663">
        <f t="shared" si="23"/>
        <v>6.2367491166077738</v>
      </c>
      <c r="U25" s="664">
        <v>1379</v>
      </c>
      <c r="V25" s="665">
        <f t="shared" si="7"/>
        <v>0.11991158368506818</v>
      </c>
      <c r="W25" s="663">
        <f t="shared" si="34"/>
        <v>-0.32666015625</v>
      </c>
      <c r="X25" s="2018">
        <v>1561</v>
      </c>
      <c r="Y25" s="2019">
        <f t="shared" si="9"/>
        <v>0.19544920136276045</v>
      </c>
      <c r="Z25" s="2020">
        <f t="shared" si="35"/>
        <v>0.13197969543147203</v>
      </c>
      <c r="AA25" s="2018">
        <v>5972</v>
      </c>
      <c r="AB25" s="2019">
        <f t="shared" si="11"/>
        <v>0.89872219521775054</v>
      </c>
      <c r="AC25" s="2020">
        <f t="shared" si="36"/>
        <v>2.8257527226137094</v>
      </c>
      <c r="AD25" s="2018">
        <v>4506</v>
      </c>
      <c r="AE25" s="2019">
        <f t="shared" si="13"/>
        <v>0.8390311480538053</v>
      </c>
      <c r="AF25" s="2020">
        <f t="shared" si="37"/>
        <v>-0.24547890154052243</v>
      </c>
      <c r="AG25" s="2018">
        <v>9184</v>
      </c>
      <c r="AH25" s="2019">
        <f t="shared" si="15"/>
        <v>1.0324100772396518</v>
      </c>
      <c r="AI25" s="2020">
        <f t="shared" si="38"/>
        <v>1.0381713271193962</v>
      </c>
    </row>
    <row r="26" spans="2:35">
      <c r="B26" s="296">
        <v>20</v>
      </c>
      <c r="C26" s="491" t="s">
        <v>201</v>
      </c>
      <c r="D26" s="667"/>
      <c r="E26" s="668"/>
      <c r="F26" s="661">
        <v>1141</v>
      </c>
      <c r="G26" s="662">
        <v>0.3</v>
      </c>
      <c r="H26" s="663"/>
      <c r="I26" s="664">
        <v>452</v>
      </c>
      <c r="J26" s="665">
        <f>(I26/I30)*100</f>
        <v>8.9671508663616784E-2</v>
      </c>
      <c r="K26" s="663">
        <f t="shared" si="2"/>
        <v>-0.60385626643295354</v>
      </c>
      <c r="L26" s="664">
        <v>355</v>
      </c>
      <c r="M26" s="665">
        <f t="shared" si="17"/>
        <v>5.2359727552426093E-2</v>
      </c>
      <c r="N26" s="663">
        <f t="shared" si="3"/>
        <v>-0.21460176991150437</v>
      </c>
      <c r="O26" s="664">
        <v>441</v>
      </c>
      <c r="P26" s="665">
        <f t="shared" si="0"/>
        <v>0.10662656282867455</v>
      </c>
      <c r="Q26" s="663">
        <f t="shared" si="4"/>
        <v>0.24225352112676046</v>
      </c>
      <c r="R26" s="664">
        <v>776</v>
      </c>
      <c r="S26" s="665">
        <f t="shared" si="5"/>
        <v>9.2155719414336146E-2</v>
      </c>
      <c r="T26" s="663">
        <f t="shared" si="23"/>
        <v>0.75963718820861681</v>
      </c>
      <c r="U26" s="664">
        <v>1023</v>
      </c>
      <c r="V26" s="665">
        <f t="shared" si="7"/>
        <v>8.8955438803353701E-2</v>
      </c>
      <c r="W26" s="663">
        <f t="shared" si="34"/>
        <v>0.31829896907216493</v>
      </c>
      <c r="X26" s="2018">
        <v>1146</v>
      </c>
      <c r="Y26" s="2019">
        <f t="shared" si="9"/>
        <v>0.14348801073781134</v>
      </c>
      <c r="Z26" s="2020">
        <f t="shared" si="35"/>
        <v>0.12023460410557174</v>
      </c>
      <c r="AA26" s="2018">
        <v>3037</v>
      </c>
      <c r="AB26" s="2019">
        <f t="shared" si="11"/>
        <v>0.45703605272543679</v>
      </c>
      <c r="AC26" s="2020">
        <f t="shared" si="36"/>
        <v>1.6500872600349039</v>
      </c>
      <c r="AD26" s="2018">
        <v>4798</v>
      </c>
      <c r="AE26" s="2019">
        <f t="shared" si="13"/>
        <v>0.89340245192236067</v>
      </c>
      <c r="AF26" s="2020">
        <f t="shared" si="37"/>
        <v>0.5798485347382285</v>
      </c>
      <c r="AG26" s="2018">
        <v>3146</v>
      </c>
      <c r="AH26" s="2019">
        <f t="shared" si="15"/>
        <v>0.35365441016941912</v>
      </c>
      <c r="AI26" s="2020">
        <f t="shared" si="38"/>
        <v>-0.34431012922050852</v>
      </c>
    </row>
    <row r="27" spans="2:35">
      <c r="B27" s="296">
        <v>21</v>
      </c>
      <c r="C27" s="670" t="s">
        <v>714</v>
      </c>
      <c r="D27" s="206"/>
      <c r="E27" s="660"/>
      <c r="F27" s="661"/>
      <c r="G27" s="662"/>
      <c r="H27" s="663"/>
      <c r="I27" s="664"/>
      <c r="J27" s="665"/>
      <c r="K27" s="663"/>
      <c r="L27" s="664"/>
      <c r="M27" s="665"/>
      <c r="N27" s="663"/>
      <c r="O27" s="664"/>
      <c r="P27" s="665"/>
      <c r="Q27" s="663"/>
      <c r="R27" s="664">
        <v>169</v>
      </c>
      <c r="S27" s="665">
        <f t="shared" si="5"/>
        <v>2.006999559410156E-2</v>
      </c>
      <c r="T27" s="663"/>
      <c r="U27" s="664">
        <v>581</v>
      </c>
      <c r="V27" s="665">
        <f t="shared" si="7"/>
        <v>5.0521124090663241E-2</v>
      </c>
      <c r="W27" s="663">
        <f t="shared" si="34"/>
        <v>2.4378698224852071</v>
      </c>
      <c r="X27" s="2018">
        <v>571</v>
      </c>
      <c r="Y27" s="2019">
        <f t="shared" si="9"/>
        <v>7.1493589992399895E-2</v>
      </c>
      <c r="Z27" s="2020">
        <f t="shared" si="35"/>
        <v>-1.7211703958691871E-2</v>
      </c>
      <c r="AA27" s="2018">
        <v>4623</v>
      </c>
      <c r="AB27" s="2019">
        <f>AA27/$AA$30*100</f>
        <v>0.69571210791889826</v>
      </c>
      <c r="AC27" s="2020">
        <f t="shared" si="36"/>
        <v>7.0963222416812606</v>
      </c>
      <c r="AD27" s="2018">
        <v>2955</v>
      </c>
      <c r="AE27" s="2019">
        <f t="shared" si="13"/>
        <v>0.55023014702596418</v>
      </c>
      <c r="AF27" s="2020">
        <f t="shared" si="37"/>
        <v>-0.36080467229072033</v>
      </c>
      <c r="AG27" s="2018">
        <v>3499</v>
      </c>
      <c r="AH27" s="2019">
        <f t="shared" si="15"/>
        <v>0.3933365483734258</v>
      </c>
      <c r="AI27" s="2020">
        <f t="shared" si="38"/>
        <v>0.18409475465313019</v>
      </c>
    </row>
    <row r="28" spans="2:35" ht="27">
      <c r="B28" s="4396">
        <v>22</v>
      </c>
      <c r="C28" s="3212" t="s">
        <v>2702</v>
      </c>
      <c r="D28" s="206"/>
      <c r="E28" s="3213"/>
      <c r="F28" s="3214"/>
      <c r="G28" s="3215"/>
      <c r="H28" s="3216"/>
      <c r="I28" s="3217"/>
      <c r="J28" s="3218"/>
      <c r="K28" s="3216"/>
      <c r="L28" s="3217"/>
      <c r="M28" s="3218"/>
      <c r="N28" s="3216"/>
      <c r="O28" s="3217"/>
      <c r="P28" s="3218"/>
      <c r="Q28" s="3216"/>
      <c r="R28" s="3217"/>
      <c r="S28" s="3218"/>
      <c r="T28" s="3216"/>
      <c r="U28" s="3217"/>
      <c r="V28" s="3218"/>
      <c r="W28" s="3216"/>
      <c r="X28" s="3219"/>
      <c r="Y28" s="3220"/>
      <c r="Z28" s="3221"/>
      <c r="AA28" s="3219"/>
      <c r="AB28" s="3220"/>
      <c r="AC28" s="3221"/>
      <c r="AD28" s="3219">
        <v>41308</v>
      </c>
      <c r="AE28" s="2019">
        <f t="shared" si="13"/>
        <v>7.691677466446202</v>
      </c>
      <c r="AF28" s="2020"/>
      <c r="AG28" s="3219">
        <v>181695</v>
      </c>
      <c r="AH28" s="2019">
        <f t="shared" si="15"/>
        <v>20.425059776138781</v>
      </c>
      <c r="AI28" s="2020">
        <f t="shared" si="38"/>
        <v>3.3985426551757527</v>
      </c>
    </row>
    <row r="29" spans="2:35" ht="27">
      <c r="B29" s="4396">
        <v>23</v>
      </c>
      <c r="C29" s="4397" t="s">
        <v>2876</v>
      </c>
      <c r="D29" s="206"/>
      <c r="E29" s="4398"/>
      <c r="F29" s="4399"/>
      <c r="G29" s="3215"/>
      <c r="H29" s="4400"/>
      <c r="I29" s="4401"/>
      <c r="J29" s="3218"/>
      <c r="K29" s="4400"/>
      <c r="L29" s="4401"/>
      <c r="M29" s="3218"/>
      <c r="N29" s="4400"/>
      <c r="O29" s="4401"/>
      <c r="P29" s="3218"/>
      <c r="Q29" s="4400"/>
      <c r="R29" s="4401"/>
      <c r="S29" s="3218"/>
      <c r="T29" s="4400"/>
      <c r="U29" s="4401"/>
      <c r="V29" s="3218"/>
      <c r="W29" s="4400"/>
      <c r="X29" s="4402"/>
      <c r="Y29" s="3220"/>
      <c r="Z29" s="4403"/>
      <c r="AA29" s="4402"/>
      <c r="AB29" s="3220"/>
      <c r="AC29" s="4403"/>
      <c r="AD29" s="4402"/>
      <c r="AE29" s="3220"/>
      <c r="AF29" s="4403"/>
      <c r="AG29" s="4402">
        <v>28700</v>
      </c>
      <c r="AH29" s="2019">
        <f t="shared" si="15"/>
        <v>3.2262814913739128</v>
      </c>
      <c r="AI29" s="2020"/>
    </row>
    <row r="30" spans="2:35">
      <c r="B30" s="5400" t="s">
        <v>15</v>
      </c>
      <c r="C30" s="5402"/>
      <c r="D30" s="671">
        <f>SUM(D6:D27)</f>
        <v>357031</v>
      </c>
      <c r="E30" s="672">
        <f>SUM(E6:E27)</f>
        <v>1</v>
      </c>
      <c r="F30" s="673">
        <f>SUM(F6:F27)</f>
        <v>381890</v>
      </c>
      <c r="G30" s="674">
        <f>SUM(G6:G27)</f>
        <v>100.01</v>
      </c>
      <c r="H30" s="675">
        <f t="shared" si="1"/>
        <v>6.9627007178648448E-2</v>
      </c>
      <c r="I30" s="671">
        <f>SUM(I6:I26)</f>
        <v>504062</v>
      </c>
      <c r="J30" s="676">
        <f>(I30/I30)*100</f>
        <v>100</v>
      </c>
      <c r="K30" s="675">
        <f t="shared" si="2"/>
        <v>0.31991411139333326</v>
      </c>
      <c r="L30" s="671">
        <f>SUM(L6:L27)</f>
        <v>678002</v>
      </c>
      <c r="M30" s="676">
        <f>L30/$L$30*100</f>
        <v>100</v>
      </c>
      <c r="N30" s="675">
        <f t="shared" si="3"/>
        <v>0.34507659772012178</v>
      </c>
      <c r="O30" s="671">
        <f>SUM(O6:O27)</f>
        <v>413593</v>
      </c>
      <c r="P30" s="671">
        <f>SUM(P6:P26)</f>
        <v>100</v>
      </c>
      <c r="Q30" s="675">
        <f t="shared" ref="Q30" si="39">O30/L30-1</f>
        <v>-0.38998262541998396</v>
      </c>
      <c r="R30" s="671">
        <f>SUM(R6:R27)</f>
        <v>842053</v>
      </c>
      <c r="S30" s="671">
        <f>SUM(S6:S27)</f>
        <v>100</v>
      </c>
      <c r="T30" s="675">
        <f t="shared" si="23"/>
        <v>1.03594596620349</v>
      </c>
      <c r="U30" s="671">
        <f>SUM(U6:U27)</f>
        <v>1150014</v>
      </c>
      <c r="V30" s="671">
        <f>SUM(V6:V27)</f>
        <v>100</v>
      </c>
      <c r="W30" s="675">
        <f t="shared" si="34"/>
        <v>0.36572638539379354</v>
      </c>
      <c r="X30" s="2021">
        <f>SUM(X6:X27)</f>
        <v>798673</v>
      </c>
      <c r="Y30" s="2021">
        <f>SUM(Y6:Y27)</f>
        <v>100</v>
      </c>
      <c r="Z30" s="2451">
        <f t="shared" si="35"/>
        <v>-0.30551019378894517</v>
      </c>
      <c r="AA30" s="2021">
        <f>SUM(AA6:AA27)</f>
        <v>664499</v>
      </c>
      <c r="AB30" s="2021">
        <f>SUM(AB6:AB27)</f>
        <v>99.999999999999972</v>
      </c>
      <c r="AC30" s="2451">
        <f t="shared" si="36"/>
        <v>-0.16799616363643188</v>
      </c>
      <c r="AD30" s="2021">
        <f>SUM(AD6:AD28)</f>
        <v>537048</v>
      </c>
      <c r="AE30" s="2021">
        <f>SUM(AE6:AE28)</f>
        <v>100.00000000000003</v>
      </c>
      <c r="AF30" s="2451">
        <f t="shared" ref="AF30" si="40">AD30/AA30-1</f>
        <v>-0.19180013814919206</v>
      </c>
      <c r="AG30" s="2021">
        <f>SUM(AG6:AG29)</f>
        <v>889569</v>
      </c>
      <c r="AH30" s="2021">
        <f>SUM(AH6:AH29)</f>
        <v>100.00000000000003</v>
      </c>
      <c r="AI30" s="2022">
        <f t="shared" ref="AI30" si="41">AG30/AD30-1</f>
        <v>0.65640501407695395</v>
      </c>
    </row>
    <row r="31" spans="2:35">
      <c r="C31" s="207" t="s">
        <v>202</v>
      </c>
      <c r="D31" s="208"/>
      <c r="E31" s="208"/>
      <c r="F31" s="208"/>
      <c r="G31" s="208"/>
      <c r="H31" s="208"/>
      <c r="I31" s="209"/>
      <c r="J31" s="210"/>
      <c r="K31" s="210"/>
    </row>
    <row r="32" spans="2:35">
      <c r="C32" s="73" t="s">
        <v>248</v>
      </c>
    </row>
  </sheetData>
  <mergeCells count="12">
    <mergeCell ref="O4:Q4"/>
    <mergeCell ref="R4:T4"/>
    <mergeCell ref="B30:C30"/>
    <mergeCell ref="D4:E4"/>
    <mergeCell ref="F4:H4"/>
    <mergeCell ref="I4:K4"/>
    <mergeCell ref="L4:N4"/>
    <mergeCell ref="AG4:AI4"/>
    <mergeCell ref="AD4:AF4"/>
    <mergeCell ref="AA4:AC4"/>
    <mergeCell ref="X4:Z4"/>
    <mergeCell ref="U4:W4"/>
  </mergeCells>
  <pageMargins left="0.7" right="0.7" top="0.75" bottom="0.75" header="0.3" footer="0.3"/>
  <pageSetup orientation="portrait" r:id="rId1"/>
  <ignoredErrors>
    <ignoredError sqref="T30:Z30 AF30" formula="1"/>
  </ignoredErrors>
  <drawing r:id="rId2"/>
</worksheet>
</file>

<file path=xl/worksheets/sheet6.xml><?xml version="1.0" encoding="utf-8"?>
<worksheet xmlns="http://schemas.openxmlformats.org/spreadsheetml/2006/main" xmlns:r="http://schemas.openxmlformats.org/officeDocument/2006/relationships">
  <sheetPr>
    <tabColor theme="9" tint="-0.499984740745262"/>
  </sheetPr>
  <dimension ref="B2:L170"/>
  <sheetViews>
    <sheetView workbookViewId="0">
      <selection activeCell="L57" sqref="L57"/>
    </sheetView>
  </sheetViews>
  <sheetFormatPr baseColWidth="10" defaultRowHeight="14.25"/>
  <cols>
    <col min="1" max="1" width="4" style="718" customWidth="1"/>
    <col min="2" max="2" width="11.5703125" style="707" customWidth="1"/>
    <col min="3" max="3" width="32.5703125" style="706" bestFit="1" customWidth="1"/>
    <col min="4" max="9" width="12.7109375" style="706" customWidth="1"/>
    <col min="10" max="10" width="12.7109375" style="718" customWidth="1"/>
    <col min="11" max="16384" width="11.42578125" style="718"/>
  </cols>
  <sheetData>
    <row r="2" spans="2:12" ht="15.75">
      <c r="B2" s="717" t="s">
        <v>1347</v>
      </c>
    </row>
    <row r="3" spans="2:12" ht="15">
      <c r="B3" s="723" t="s">
        <v>884</v>
      </c>
      <c r="C3" s="720"/>
      <c r="D3" s="720"/>
      <c r="E3" s="720"/>
      <c r="F3" s="720"/>
      <c r="G3" s="720"/>
      <c r="J3" s="220"/>
    </row>
    <row r="4" spans="2:12">
      <c r="B4" s="721"/>
      <c r="C4" s="722"/>
      <c r="D4" s="722"/>
      <c r="E4" s="722"/>
      <c r="F4" s="722"/>
      <c r="G4" s="722"/>
    </row>
    <row r="5" spans="2:12" ht="15" customHeight="1">
      <c r="B5" s="4870" t="s">
        <v>2763</v>
      </c>
      <c r="C5" s="4871" t="s">
        <v>1342</v>
      </c>
      <c r="D5" s="3588">
        <v>2010</v>
      </c>
      <c r="E5" s="3589">
        <v>2011</v>
      </c>
      <c r="F5" s="3590">
        <v>2012</v>
      </c>
      <c r="G5" s="3590">
        <v>2013</v>
      </c>
      <c r="H5" s="3590">
        <v>2014</v>
      </c>
      <c r="I5" s="3590">
        <v>2015</v>
      </c>
      <c r="J5" s="3590">
        <v>2016</v>
      </c>
      <c r="K5" s="3590">
        <v>2017</v>
      </c>
      <c r="L5" s="3590">
        <v>2018</v>
      </c>
    </row>
    <row r="6" spans="2:12" s="719" customFormat="1" ht="15" thickBot="1">
      <c r="B6" s="4870"/>
      <c r="C6" s="4872"/>
      <c r="D6" s="3591" t="s">
        <v>1346</v>
      </c>
      <c r="E6" s="3549" t="s">
        <v>1345</v>
      </c>
      <c r="F6" s="3592" t="s">
        <v>1055</v>
      </c>
      <c r="G6" s="3593" t="s">
        <v>1344</v>
      </c>
      <c r="H6" s="3594" t="s">
        <v>1343</v>
      </c>
      <c r="I6" s="3594" t="s">
        <v>1690</v>
      </c>
      <c r="J6" s="3594" t="s">
        <v>1931</v>
      </c>
      <c r="K6" s="3594" t="s">
        <v>2697</v>
      </c>
      <c r="L6" s="3594" t="s">
        <v>3949</v>
      </c>
    </row>
    <row r="7" spans="2:12">
      <c r="B7" s="4873" t="s">
        <v>4</v>
      </c>
      <c r="C7" s="724" t="s">
        <v>5</v>
      </c>
      <c r="D7" s="2611">
        <v>0.17515274949083504</v>
      </c>
      <c r="E7" s="2611">
        <v>0.2049335863377609</v>
      </c>
      <c r="F7" s="2611">
        <v>0.21473354231974923</v>
      </c>
      <c r="G7" s="2611">
        <v>0.23387096774193547</v>
      </c>
      <c r="H7" s="2611">
        <v>0.22259887005649717</v>
      </c>
      <c r="I7" s="2611">
        <v>0.24552160168598525</v>
      </c>
      <c r="J7" s="2611">
        <v>0.26197757390417942</v>
      </c>
      <c r="K7" s="2611">
        <v>0.34200000000000003</v>
      </c>
      <c r="L7" s="2611">
        <v>0.37605042016806722</v>
      </c>
    </row>
    <row r="8" spans="2:12">
      <c r="B8" s="4874"/>
      <c r="C8" s="724" t="s">
        <v>6</v>
      </c>
      <c r="D8" s="725">
        <v>0.13060686015831136</v>
      </c>
      <c r="E8" s="725">
        <v>0.14171122994652408</v>
      </c>
      <c r="F8" s="725">
        <v>0.1293833131801693</v>
      </c>
      <c r="G8" s="725">
        <v>0.16097023153252479</v>
      </c>
      <c r="H8" s="725">
        <v>0.15217391304347827</v>
      </c>
      <c r="I8" s="725">
        <v>0.17899543378995433</v>
      </c>
      <c r="J8" s="725">
        <v>0.21062106210621062</v>
      </c>
      <c r="K8" s="725">
        <v>0.25985663082437277</v>
      </c>
      <c r="L8" s="725">
        <v>0.30542340627973358</v>
      </c>
    </row>
    <row r="9" spans="2:12">
      <c r="B9" s="4874"/>
      <c r="C9" s="724" t="s">
        <v>7</v>
      </c>
      <c r="D9" s="725">
        <v>6.7757009345794386E-2</v>
      </c>
      <c r="E9" s="725">
        <v>8.7155963302752298E-2</v>
      </c>
      <c r="F9" s="725">
        <v>8.3155650319829424E-2</v>
      </c>
      <c r="G9" s="725">
        <v>9.4488188976377951E-2</v>
      </c>
      <c r="H9" s="725">
        <v>9.9236641221374045E-2</v>
      </c>
      <c r="I9" s="725">
        <v>0.10178571428571428</v>
      </c>
      <c r="J9" s="725">
        <v>0.11551155115511551</v>
      </c>
      <c r="K9" s="725">
        <v>0.15372670807453417</v>
      </c>
      <c r="L9" s="725">
        <v>0.17713365539452497</v>
      </c>
    </row>
    <row r="10" spans="2:12">
      <c r="B10" s="4874"/>
      <c r="C10" s="724" t="s">
        <v>8</v>
      </c>
      <c r="D10" s="725">
        <v>0.20891364902506965</v>
      </c>
      <c r="E10" s="725">
        <v>0.21052631578947367</v>
      </c>
      <c r="F10" s="725">
        <v>0.21067415730337077</v>
      </c>
      <c r="G10" s="725">
        <v>0.20526315789473684</v>
      </c>
      <c r="H10" s="725">
        <v>0.21212121212121213</v>
      </c>
      <c r="I10" s="725">
        <v>0.18032786885245902</v>
      </c>
      <c r="J10" s="725">
        <v>0.16237623762376238</v>
      </c>
      <c r="K10" s="725">
        <v>0.15689655172413794</v>
      </c>
      <c r="L10" s="725">
        <v>0.18959731543624161</v>
      </c>
    </row>
    <row r="11" spans="2:12">
      <c r="B11" s="4874"/>
      <c r="C11" s="724" t="s">
        <v>9</v>
      </c>
      <c r="D11" s="725">
        <v>0.21616541353383459</v>
      </c>
      <c r="E11" s="725">
        <v>0.21957340025094102</v>
      </c>
      <c r="F11" s="725">
        <v>0.21698113207547171</v>
      </c>
      <c r="G11" s="725">
        <v>0.25743855109961189</v>
      </c>
      <c r="H11" s="725">
        <v>0.26462938881664499</v>
      </c>
      <c r="I11" s="725">
        <v>0.26476868327402137</v>
      </c>
      <c r="J11" s="725">
        <v>0.28647822765469827</v>
      </c>
      <c r="K11" s="725">
        <v>0.32380151387720774</v>
      </c>
      <c r="L11" s="725">
        <v>0.36078431372549019</v>
      </c>
    </row>
    <row r="12" spans="2:12">
      <c r="B12" s="4874"/>
      <c r="C12" s="724" t="s">
        <v>10</v>
      </c>
      <c r="D12" s="725">
        <v>0.13443830570902393</v>
      </c>
      <c r="E12" s="725">
        <v>0.13912231559290383</v>
      </c>
      <c r="F12" s="725">
        <v>0.14804469273743018</v>
      </c>
      <c r="G12" s="725">
        <v>0.16135084427767354</v>
      </c>
      <c r="H12" s="725">
        <v>0.14561403508771931</v>
      </c>
      <c r="I12" s="725">
        <v>0.16010733452593917</v>
      </c>
      <c r="J12" s="725">
        <v>0.17166979362101314</v>
      </c>
      <c r="K12" s="725">
        <v>0.20874751491053678</v>
      </c>
      <c r="L12" s="725">
        <v>0.24312431243124313</v>
      </c>
    </row>
    <row r="13" spans="2:12">
      <c r="B13" s="4874"/>
      <c r="C13" s="724" t="s">
        <v>11</v>
      </c>
      <c r="D13" s="725">
        <v>0.13548387096774195</v>
      </c>
      <c r="E13" s="725">
        <v>0.12804878048780488</v>
      </c>
      <c r="F13" s="725">
        <v>0.125</v>
      </c>
      <c r="G13" s="725">
        <v>0.13122171945701358</v>
      </c>
      <c r="H13" s="725">
        <v>0.16538461538461538</v>
      </c>
      <c r="I13" s="725">
        <v>0.16408668730650156</v>
      </c>
      <c r="J13" s="725">
        <v>0.14248021108179421</v>
      </c>
      <c r="K13" s="725">
        <v>0.15144766146993319</v>
      </c>
      <c r="L13" s="725">
        <v>0.15495867768595042</v>
      </c>
    </row>
    <row r="14" spans="2:12">
      <c r="B14" s="4874"/>
      <c r="C14" s="724" t="s">
        <v>12</v>
      </c>
      <c r="D14" s="725">
        <v>0.19656283566058003</v>
      </c>
      <c r="E14" s="725">
        <v>0.19804134929270947</v>
      </c>
      <c r="F14" s="725">
        <v>0.20267489711934156</v>
      </c>
      <c r="G14" s="725">
        <v>0.20317145688800792</v>
      </c>
      <c r="H14" s="725">
        <v>0.2300469483568075</v>
      </c>
      <c r="I14" s="725">
        <v>0.24904580152671757</v>
      </c>
      <c r="J14" s="725">
        <v>0.26937984496124029</v>
      </c>
      <c r="K14" s="725">
        <v>0.28741328047571851</v>
      </c>
      <c r="L14" s="725">
        <v>0.32075471698113206</v>
      </c>
    </row>
    <row r="15" spans="2:12">
      <c r="B15" s="4874"/>
      <c r="C15" s="724" t="s">
        <v>13</v>
      </c>
      <c r="D15" s="725">
        <v>0.1488469601677149</v>
      </c>
      <c r="E15" s="725">
        <v>0.14347590687601516</v>
      </c>
      <c r="F15" s="725">
        <v>0.14827586206896551</v>
      </c>
      <c r="G15" s="725">
        <v>0.15393866506313891</v>
      </c>
      <c r="H15" s="725">
        <v>0.15119047619047618</v>
      </c>
      <c r="I15" s="725">
        <v>0.15246338215712382</v>
      </c>
      <c r="J15" s="725">
        <v>0.1643330876934414</v>
      </c>
      <c r="K15" s="725">
        <v>0.18362282878411912</v>
      </c>
      <c r="L15" s="725">
        <v>0.20194174757281552</v>
      </c>
    </row>
    <row r="16" spans="2:12">
      <c r="B16" s="4874"/>
      <c r="C16" s="724" t="s">
        <v>14</v>
      </c>
      <c r="D16" s="725">
        <v>7.7952755905511817E-2</v>
      </c>
      <c r="E16" s="725">
        <v>0.10605074821080027</v>
      </c>
      <c r="F16" s="725">
        <v>0.11848601206801974</v>
      </c>
      <c r="G16" s="725">
        <v>0.14004914004914004</v>
      </c>
      <c r="H16" s="725">
        <v>0.17739694302918019</v>
      </c>
      <c r="I16" s="725">
        <v>0.18327117741076185</v>
      </c>
      <c r="J16" s="725">
        <v>0.19645042839657284</v>
      </c>
      <c r="K16" s="725">
        <v>0.22970007315288954</v>
      </c>
      <c r="L16" s="725">
        <v>0.2549526270456503</v>
      </c>
    </row>
    <row r="17" spans="2:12">
      <c r="B17" s="4875"/>
      <c r="C17" s="3595" t="s">
        <v>572</v>
      </c>
      <c r="D17" s="726">
        <v>0.15219327543976843</v>
      </c>
      <c r="E17" s="726">
        <v>0.15830157866086009</v>
      </c>
      <c r="F17" s="726">
        <v>0.16088980858768753</v>
      </c>
      <c r="G17" s="726">
        <v>0.17769620001984324</v>
      </c>
      <c r="H17" s="726">
        <v>0.18616129633078785</v>
      </c>
      <c r="I17" s="726">
        <v>0.19411480945489629</v>
      </c>
      <c r="J17" s="726">
        <v>0.20811623246492986</v>
      </c>
      <c r="K17" s="726">
        <v>0.24150903960706449</v>
      </c>
      <c r="L17" s="726">
        <v>0.27037249283667619</v>
      </c>
    </row>
    <row r="18" spans="2:12">
      <c r="B18" s="4873" t="s">
        <v>16</v>
      </c>
      <c r="C18" s="724" t="s">
        <v>17</v>
      </c>
      <c r="D18" s="725">
        <v>0.49312169312169313</v>
      </c>
      <c r="E18" s="725">
        <v>0.47207303974221265</v>
      </c>
      <c r="F18" s="725">
        <v>0.47120418848167539</v>
      </c>
      <c r="G18" s="725">
        <v>0.49844398340248963</v>
      </c>
      <c r="H18" s="725">
        <v>0.5179593961478397</v>
      </c>
      <c r="I18" s="725">
        <v>0.56949152542372883</v>
      </c>
      <c r="J18" s="725">
        <v>0.57760532150776056</v>
      </c>
      <c r="K18" s="725">
        <v>0.58934337997847153</v>
      </c>
      <c r="L18" s="725">
        <v>0.61430119176598053</v>
      </c>
    </row>
    <row r="19" spans="2:12">
      <c r="B19" s="4874"/>
      <c r="C19" s="724" t="s">
        <v>18</v>
      </c>
      <c r="D19" s="725">
        <v>0.47844019497562806</v>
      </c>
      <c r="E19" s="725">
        <v>0.47212475633528267</v>
      </c>
      <c r="F19" s="725">
        <v>0.46901300688599845</v>
      </c>
      <c r="G19" s="725">
        <v>0.51156617368221469</v>
      </c>
      <c r="H19" s="725">
        <v>0.51145324821629745</v>
      </c>
      <c r="I19" s="725">
        <v>0.54517254749903066</v>
      </c>
      <c r="J19" s="725">
        <v>0.5505742867728789</v>
      </c>
      <c r="K19" s="725">
        <v>0.56676036542515806</v>
      </c>
      <c r="L19" s="725">
        <v>0.59516513449097719</v>
      </c>
    </row>
    <row r="20" spans="2:12">
      <c r="B20" s="4874"/>
      <c r="C20" s="724" t="s">
        <v>19</v>
      </c>
      <c r="D20" s="725">
        <v>0.24616626311541565</v>
      </c>
      <c r="E20" s="725">
        <v>0.24552845528455283</v>
      </c>
      <c r="F20" s="725">
        <v>0.24019215372297839</v>
      </c>
      <c r="G20" s="725">
        <v>0.25604996096799376</v>
      </c>
      <c r="H20" s="725">
        <v>0.23899848254931716</v>
      </c>
      <c r="I20" s="725">
        <v>0.26750000000000002</v>
      </c>
      <c r="J20" s="725">
        <v>0.26586345381526105</v>
      </c>
      <c r="K20" s="725">
        <v>0.27538461538461539</v>
      </c>
      <c r="L20" s="725">
        <v>0.28821656050955413</v>
      </c>
    </row>
    <row r="21" spans="2:12">
      <c r="B21" s="4874"/>
      <c r="C21" s="724" t="s">
        <v>20</v>
      </c>
      <c r="D21" s="725">
        <v>0.21460843373493976</v>
      </c>
      <c r="E21" s="725">
        <v>0.22427035330261136</v>
      </c>
      <c r="F21" s="725">
        <v>0.21667907669396871</v>
      </c>
      <c r="G21" s="725">
        <v>0.24084919472913616</v>
      </c>
      <c r="H21" s="725">
        <v>0.25478645066273931</v>
      </c>
      <c r="I21" s="725">
        <v>0.2935560859188544</v>
      </c>
      <c r="J21" s="725">
        <v>0.28375286041189929</v>
      </c>
      <c r="K21" s="725">
        <v>0.30524759793052475</v>
      </c>
      <c r="L21" s="725">
        <v>0.32030075187969925</v>
      </c>
    </row>
    <row r="22" spans="2:12">
      <c r="B22" s="4875"/>
      <c r="C22" s="3595" t="s">
        <v>573</v>
      </c>
      <c r="D22" s="726">
        <v>0.39275687815833799</v>
      </c>
      <c r="E22" s="726">
        <v>0.38568759879293002</v>
      </c>
      <c r="F22" s="726">
        <v>0.38181562675660485</v>
      </c>
      <c r="G22" s="726">
        <v>0.41139767054908488</v>
      </c>
      <c r="H22" s="726">
        <v>0.41570247933884297</v>
      </c>
      <c r="I22" s="726">
        <v>0.4560681751395827</v>
      </c>
      <c r="J22" s="726">
        <v>0.45771355716107098</v>
      </c>
      <c r="K22" s="726">
        <v>0.47288296860133205</v>
      </c>
      <c r="L22" s="726">
        <v>0.49803229746234223</v>
      </c>
    </row>
    <row r="23" spans="2:12">
      <c r="B23" s="4873" t="s">
        <v>21</v>
      </c>
      <c r="C23" s="724" t="s">
        <v>22</v>
      </c>
      <c r="D23" s="725">
        <v>0.40179104477611938</v>
      </c>
      <c r="E23" s="725">
        <v>0.38416075650118203</v>
      </c>
      <c r="F23" s="725">
        <v>0.36225975538730343</v>
      </c>
      <c r="G23" s="725">
        <v>0.38242142025611175</v>
      </c>
      <c r="H23" s="725">
        <v>0.37815126050420167</v>
      </c>
      <c r="I23" s="725">
        <v>0.40509725016767273</v>
      </c>
      <c r="J23" s="725">
        <v>0.40697674418604651</v>
      </c>
      <c r="K23" s="725">
        <v>0.44788732394366199</v>
      </c>
      <c r="L23" s="725">
        <v>0.4708554125662377</v>
      </c>
    </row>
    <row r="24" spans="2:12">
      <c r="B24" s="4874"/>
      <c r="C24" s="724" t="s">
        <v>23</v>
      </c>
      <c r="D24" s="725">
        <v>0.53054448871181936</v>
      </c>
      <c r="E24" s="725">
        <v>0.5332446808510638</v>
      </c>
      <c r="F24" s="725">
        <v>0.52649690295939433</v>
      </c>
      <c r="G24" s="725">
        <v>0.52536231884057971</v>
      </c>
      <c r="H24" s="725">
        <v>0.53276131045241815</v>
      </c>
      <c r="I24" s="725">
        <v>0.53621981681931719</v>
      </c>
      <c r="J24" s="725">
        <v>0.53255425709515858</v>
      </c>
      <c r="K24" s="725">
        <v>0.55564142194744981</v>
      </c>
      <c r="L24" s="725">
        <v>0.56175595238095233</v>
      </c>
    </row>
    <row r="25" spans="2:12">
      <c r="B25" s="4874"/>
      <c r="C25" s="724" t="s">
        <v>24</v>
      </c>
      <c r="D25" s="725">
        <v>0.39897435897435896</v>
      </c>
      <c r="E25" s="725">
        <v>0.41675503711558853</v>
      </c>
      <c r="F25" s="725">
        <v>0.42173913043478262</v>
      </c>
      <c r="G25" s="725">
        <v>0.43970893970893971</v>
      </c>
      <c r="H25" s="725">
        <v>0.46129707112970714</v>
      </c>
      <c r="I25" s="725">
        <v>0.48537378114842905</v>
      </c>
      <c r="J25" s="725">
        <v>0.49410503751339763</v>
      </c>
      <c r="K25" s="725">
        <v>0.51530612244897955</v>
      </c>
      <c r="L25" s="725">
        <v>0.54913880445795338</v>
      </c>
    </row>
    <row r="26" spans="2:12">
      <c r="B26" s="4875"/>
      <c r="C26" s="3595" t="s">
        <v>574</v>
      </c>
      <c r="D26" s="726">
        <v>0.44778633301251203</v>
      </c>
      <c r="E26" s="726">
        <v>0.44575984537327856</v>
      </c>
      <c r="F26" s="726">
        <v>0.43398533007334961</v>
      </c>
      <c r="G26" s="726">
        <v>0.44458128078817732</v>
      </c>
      <c r="H26" s="726">
        <v>0.44928278688524592</v>
      </c>
      <c r="I26" s="726">
        <v>0.46915629322268326</v>
      </c>
      <c r="J26" s="726">
        <v>0.4714723072641247</v>
      </c>
      <c r="K26" s="726">
        <v>0.50351922035733621</v>
      </c>
      <c r="L26" s="726">
        <v>0.52546549835706458</v>
      </c>
    </row>
    <row r="27" spans="2:12" ht="15" customHeight="1">
      <c r="B27" s="4867" t="s">
        <v>107</v>
      </c>
      <c r="C27" s="4868"/>
      <c r="D27" s="731">
        <v>0.29740400750172735</v>
      </c>
      <c r="E27" s="731">
        <v>0.29497608834984962</v>
      </c>
      <c r="F27" s="731">
        <v>0.28973216424704135</v>
      </c>
      <c r="G27" s="731">
        <v>0.30738607091002762</v>
      </c>
      <c r="H27" s="731">
        <v>0.30914984932882844</v>
      </c>
      <c r="I27" s="731">
        <v>0.32772058116039643</v>
      </c>
      <c r="J27" s="731">
        <v>0.33937572702597907</v>
      </c>
      <c r="K27" s="731">
        <v>0.37099903006789525</v>
      </c>
      <c r="L27" s="731">
        <v>0.40251190114453561</v>
      </c>
    </row>
    <row r="28" spans="2:12">
      <c r="B28" s="4869" t="s">
        <v>4</v>
      </c>
      <c r="C28" s="724" t="s">
        <v>26</v>
      </c>
      <c r="D28" s="725">
        <v>0.23314606741573032</v>
      </c>
      <c r="E28" s="725">
        <v>0.2341678939617084</v>
      </c>
      <c r="F28" s="725">
        <v>0.22222222222222221</v>
      </c>
      <c r="G28" s="725">
        <v>0.20792079207920791</v>
      </c>
      <c r="H28" s="725">
        <v>0.21509971509971509</v>
      </c>
      <c r="I28" s="725">
        <v>0.20930232558139536</v>
      </c>
      <c r="J28" s="725">
        <v>0.17107309486780714</v>
      </c>
      <c r="K28" s="725">
        <v>0.16220238095238096</v>
      </c>
      <c r="L28" s="725">
        <v>0.22748815165876776</v>
      </c>
    </row>
    <row r="29" spans="2:12">
      <c r="B29" s="4869"/>
      <c r="C29" s="724" t="s">
        <v>27</v>
      </c>
      <c r="D29" s="725">
        <v>0.22222222222222221</v>
      </c>
      <c r="E29" s="725">
        <v>0.20754716981132076</v>
      </c>
      <c r="F29" s="725">
        <v>0.21008403361344538</v>
      </c>
      <c r="G29" s="725">
        <v>0.18253968253968253</v>
      </c>
      <c r="H29" s="725">
        <v>0.2421875</v>
      </c>
      <c r="I29" s="725">
        <v>0.26771653543307089</v>
      </c>
      <c r="J29" s="725">
        <v>0.24342105263157895</v>
      </c>
      <c r="K29" s="725">
        <v>0.24848484848484848</v>
      </c>
      <c r="L29" s="725">
        <v>0.19736842105263158</v>
      </c>
    </row>
    <row r="30" spans="2:12">
      <c r="B30" s="4869"/>
      <c r="C30" s="724" t="s">
        <v>12</v>
      </c>
      <c r="D30" s="725">
        <v>0.21852731591448932</v>
      </c>
      <c r="E30" s="725">
        <v>0.23076923076923078</v>
      </c>
      <c r="F30" s="725">
        <v>0.23076923076923078</v>
      </c>
      <c r="G30" s="725">
        <v>0.24242424242424243</v>
      </c>
      <c r="H30" s="725">
        <v>0.20080321285140562</v>
      </c>
      <c r="I30" s="725">
        <v>0.20449897750511248</v>
      </c>
      <c r="J30" s="725">
        <v>0.21212121212121213</v>
      </c>
      <c r="K30" s="725">
        <v>0.20666666666666667</v>
      </c>
      <c r="L30" s="725">
        <v>0.25850340136054423</v>
      </c>
    </row>
    <row r="31" spans="2:12">
      <c r="B31" s="4869"/>
      <c r="C31" s="724" t="s">
        <v>28</v>
      </c>
      <c r="D31" s="725">
        <v>0.203125</v>
      </c>
      <c r="E31" s="725">
        <v>0.20952380952380953</v>
      </c>
      <c r="F31" s="725">
        <v>0.21008403361344538</v>
      </c>
      <c r="G31" s="725">
        <v>0.21108179419525067</v>
      </c>
      <c r="H31" s="725">
        <v>0.1875</v>
      </c>
      <c r="I31" s="725">
        <v>0.19362186788154898</v>
      </c>
      <c r="J31" s="725">
        <v>0.18297872340425531</v>
      </c>
      <c r="K31" s="725">
        <v>0.16489361702127658</v>
      </c>
      <c r="L31" s="725">
        <v>0.22140221402214022</v>
      </c>
    </row>
    <row r="32" spans="2:12">
      <c r="B32" s="4869"/>
      <c r="C32" s="724" t="s">
        <v>29</v>
      </c>
      <c r="D32" s="725">
        <v>0.14736842105263157</v>
      </c>
      <c r="E32" s="725">
        <v>0.15555555555555556</v>
      </c>
      <c r="F32" s="725">
        <v>0.156794425087108</v>
      </c>
      <c r="G32" s="725">
        <v>0.1366906474820144</v>
      </c>
      <c r="H32" s="725">
        <v>0.14117647058823529</v>
      </c>
      <c r="I32" s="725">
        <v>0.16402116402116401</v>
      </c>
      <c r="J32" s="725">
        <v>0.17456896551724138</v>
      </c>
      <c r="K32" s="725">
        <v>0.19038461538461537</v>
      </c>
      <c r="L32" s="725">
        <v>0.2283464566929134</v>
      </c>
    </row>
    <row r="33" spans="2:12">
      <c r="B33" s="4869"/>
      <c r="C33" s="724" t="s">
        <v>13</v>
      </c>
      <c r="D33" s="725">
        <v>0.19887005649717515</v>
      </c>
      <c r="E33" s="725">
        <v>0.19202898550724637</v>
      </c>
      <c r="F33" s="725">
        <v>0.20519159456118666</v>
      </c>
      <c r="G33" s="725">
        <v>0.18863049095607234</v>
      </c>
      <c r="H33" s="725">
        <v>0.19894598155467721</v>
      </c>
      <c r="I33" s="725">
        <v>0.22839506172839505</v>
      </c>
      <c r="J33" s="725">
        <v>0.22968749999999999</v>
      </c>
      <c r="K33" s="725">
        <v>0.20472440944881889</v>
      </c>
      <c r="L33" s="725">
        <v>0.22500000000000001</v>
      </c>
    </row>
    <row r="34" spans="2:12">
      <c r="B34" s="4869"/>
      <c r="C34" s="724" t="s">
        <v>30</v>
      </c>
      <c r="D34" s="725">
        <v>8.9316987740805598E-2</v>
      </c>
      <c r="E34" s="725">
        <v>0.10246679316888045</v>
      </c>
      <c r="F34" s="725">
        <v>0.10912343470483005</v>
      </c>
      <c r="G34" s="725">
        <v>0.14519056261343014</v>
      </c>
      <c r="H34" s="725">
        <v>0.17803030303030304</v>
      </c>
      <c r="I34" s="725">
        <v>0.22332506203473945</v>
      </c>
      <c r="J34" s="725">
        <v>0.21707317073170732</v>
      </c>
      <c r="K34" s="725">
        <v>0.2052505966587112</v>
      </c>
      <c r="L34" s="725">
        <v>0.24040920716112532</v>
      </c>
    </row>
    <row r="35" spans="2:12">
      <c r="B35" s="4869"/>
      <c r="C35" s="724" t="s">
        <v>31</v>
      </c>
      <c r="D35" s="725">
        <v>0.21666666666666667</v>
      </c>
      <c r="E35" s="725">
        <v>0.24031007751937986</v>
      </c>
      <c r="F35" s="725">
        <v>0.24096385542168675</v>
      </c>
      <c r="G35" s="725">
        <v>0.25842696629213485</v>
      </c>
      <c r="H35" s="725">
        <v>0.24401913875598086</v>
      </c>
      <c r="I35" s="725">
        <v>0.24215246636771301</v>
      </c>
      <c r="J35" s="725">
        <v>0.23484848484848486</v>
      </c>
      <c r="K35" s="725">
        <v>0.22085889570552147</v>
      </c>
      <c r="L35" s="725">
        <v>0.27272727272727271</v>
      </c>
    </row>
    <row r="36" spans="2:12">
      <c r="B36" s="4869"/>
      <c r="C36" s="724" t="s">
        <v>32</v>
      </c>
      <c r="D36" s="725">
        <v>0.1720524017467249</v>
      </c>
      <c r="E36" s="725">
        <v>0.17715827338129497</v>
      </c>
      <c r="F36" s="725">
        <v>0.18123275068997241</v>
      </c>
      <c r="G36" s="725">
        <v>0.18731988472622479</v>
      </c>
      <c r="H36" s="725">
        <v>0.17948717948717949</v>
      </c>
      <c r="I36" s="725">
        <v>0.19018404907975461</v>
      </c>
      <c r="J36" s="725">
        <v>0.18527918781725888</v>
      </c>
      <c r="K36" s="725">
        <v>0.2050955414012739</v>
      </c>
      <c r="L36" s="725">
        <v>0.25534950071326679</v>
      </c>
    </row>
    <row r="37" spans="2:12">
      <c r="B37" s="4869"/>
      <c r="C37" s="3595" t="s">
        <v>572</v>
      </c>
      <c r="D37" s="726">
        <v>0.18363317244405442</v>
      </c>
      <c r="E37" s="726">
        <v>0.18837262531471732</v>
      </c>
      <c r="F37" s="726">
        <v>0.19118628978410862</v>
      </c>
      <c r="G37" s="726">
        <v>0.19247143177235043</v>
      </c>
      <c r="H37" s="726">
        <v>0.19286025250326513</v>
      </c>
      <c r="I37" s="726">
        <v>0.20710343172546197</v>
      </c>
      <c r="J37" s="726">
        <v>0.19958706125258086</v>
      </c>
      <c r="K37" s="726">
        <v>0.19526248399487836</v>
      </c>
      <c r="L37" s="726">
        <v>0.23842117271275381</v>
      </c>
    </row>
    <row r="38" spans="2:12">
      <c r="B38" s="4869" t="s">
        <v>16</v>
      </c>
      <c r="C38" s="724" t="s">
        <v>17</v>
      </c>
      <c r="D38" s="725">
        <v>0.47701149425287354</v>
      </c>
      <c r="E38" s="725">
        <v>0.46097560975609758</v>
      </c>
      <c r="F38" s="725">
        <v>0.44503862150920975</v>
      </c>
      <c r="G38" s="725">
        <v>0.48390871854885897</v>
      </c>
      <c r="H38" s="725">
        <v>0.50058139534883717</v>
      </c>
      <c r="I38" s="725">
        <v>0.5425330812854442</v>
      </c>
      <c r="J38" s="725">
        <v>0.53409090909090906</v>
      </c>
      <c r="K38" s="725">
        <v>0.53417721518987338</v>
      </c>
      <c r="L38" s="725">
        <v>0.55771812080536909</v>
      </c>
    </row>
    <row r="39" spans="2:12">
      <c r="B39" s="4869"/>
      <c r="C39" s="724" t="s">
        <v>33</v>
      </c>
      <c r="D39" s="725">
        <v>0.22631578947368422</v>
      </c>
      <c r="E39" s="725">
        <v>0.23658536585365852</v>
      </c>
      <c r="F39" s="725">
        <v>0.27166276346604218</v>
      </c>
      <c r="G39" s="725">
        <v>0.28411633109619688</v>
      </c>
      <c r="H39" s="725">
        <v>0.28144989339019189</v>
      </c>
      <c r="I39" s="725">
        <v>0.30979498861047838</v>
      </c>
      <c r="J39" s="725">
        <v>0.33874709976798145</v>
      </c>
      <c r="K39" s="725">
        <v>0.33554083885209712</v>
      </c>
      <c r="L39" s="725">
        <v>0.33333333333333331</v>
      </c>
    </row>
    <row r="40" spans="2:12">
      <c r="B40" s="4869"/>
      <c r="C40" s="724" t="s">
        <v>34</v>
      </c>
      <c r="D40" s="725">
        <v>0.24660633484162897</v>
      </c>
      <c r="E40" s="725">
        <v>0.26813186813186812</v>
      </c>
      <c r="F40" s="725">
        <v>0.27982646420824298</v>
      </c>
      <c r="G40" s="725">
        <v>0.31847133757961782</v>
      </c>
      <c r="H40" s="725">
        <v>0.32285115303983231</v>
      </c>
      <c r="I40" s="725">
        <v>0.32882882882882886</v>
      </c>
      <c r="J40" s="725">
        <v>0.3</v>
      </c>
      <c r="K40" s="725">
        <v>0.26898047722342733</v>
      </c>
      <c r="L40" s="725">
        <v>0.2930232558139535</v>
      </c>
    </row>
    <row r="41" spans="2:12">
      <c r="B41" s="4869"/>
      <c r="C41" s="724" t="s">
        <v>35</v>
      </c>
      <c r="D41" s="725">
        <v>0.2753303964757709</v>
      </c>
      <c r="E41" s="725">
        <v>0.29764453961456105</v>
      </c>
      <c r="F41" s="725">
        <v>0.27766179540709812</v>
      </c>
      <c r="G41" s="725">
        <v>0.30443548387096775</v>
      </c>
      <c r="H41" s="725">
        <v>0.30360531309297911</v>
      </c>
      <c r="I41" s="725">
        <v>0.32525252525252524</v>
      </c>
      <c r="J41" s="725">
        <v>0.33603238866396762</v>
      </c>
      <c r="K41" s="725">
        <v>0.2950191570881226</v>
      </c>
      <c r="L41" s="725">
        <v>0.29317269076305219</v>
      </c>
    </row>
    <row r="42" spans="2:12">
      <c r="B42" s="4869"/>
      <c r="C42" s="724" t="s">
        <v>19</v>
      </c>
      <c r="D42" s="725">
        <v>0.375</v>
      </c>
      <c r="E42" s="725">
        <v>0.3716216216216216</v>
      </c>
      <c r="F42" s="725">
        <v>0.35164835164835168</v>
      </c>
      <c r="G42" s="725">
        <v>0.35809806835066865</v>
      </c>
      <c r="H42" s="725">
        <v>0.34357541899441341</v>
      </c>
      <c r="I42" s="725">
        <v>0.38461538461538464</v>
      </c>
      <c r="J42" s="725">
        <v>0.36737588652482267</v>
      </c>
      <c r="K42" s="725">
        <v>0.37823129251700682</v>
      </c>
      <c r="L42" s="725">
        <v>0.35655737704918034</v>
      </c>
    </row>
    <row r="43" spans="2:12">
      <c r="B43" s="4869"/>
      <c r="C43" s="724" t="s">
        <v>20</v>
      </c>
      <c r="D43" s="725">
        <v>0.30782918149466193</v>
      </c>
      <c r="E43" s="725">
        <v>0.3172905525846702</v>
      </c>
      <c r="F43" s="725">
        <v>0.29609929078014185</v>
      </c>
      <c r="G43" s="725">
        <v>0.3127208480565371</v>
      </c>
      <c r="H43" s="725">
        <v>0.33333333333333331</v>
      </c>
      <c r="I43" s="725">
        <v>0.34179357021996615</v>
      </c>
      <c r="J43" s="725">
        <v>0.34285714285714286</v>
      </c>
      <c r="K43" s="725">
        <v>0.35008103727714751</v>
      </c>
      <c r="L43" s="725">
        <v>0.35284552845528455</v>
      </c>
    </row>
    <row r="44" spans="2:12">
      <c r="B44" s="4869"/>
      <c r="C44" s="724" t="s">
        <v>36</v>
      </c>
      <c r="D44" s="725">
        <v>0.23851590106007067</v>
      </c>
      <c r="E44" s="725">
        <v>0.22280701754385965</v>
      </c>
      <c r="F44" s="725">
        <v>0.22608695652173913</v>
      </c>
      <c r="G44" s="725">
        <v>0.23378839590443687</v>
      </c>
      <c r="H44" s="725">
        <v>0.23688663282571912</v>
      </c>
      <c r="I44" s="725">
        <v>0.28007889546351084</v>
      </c>
      <c r="J44" s="725">
        <v>0.27843137254901962</v>
      </c>
      <c r="K44" s="725">
        <v>0.28544423440453687</v>
      </c>
      <c r="L44" s="725">
        <v>0.30367504835589942</v>
      </c>
    </row>
    <row r="45" spans="2:12">
      <c r="B45" s="4869"/>
      <c r="C45" s="724" t="s">
        <v>37</v>
      </c>
      <c r="D45" s="725">
        <v>0.29184549356223177</v>
      </c>
      <c r="E45" s="725">
        <v>0.27542372881355931</v>
      </c>
      <c r="F45" s="725">
        <v>0.27906976744186046</v>
      </c>
      <c r="G45" s="725">
        <v>0.2808988764044944</v>
      </c>
      <c r="H45" s="725">
        <v>0.25418060200668896</v>
      </c>
      <c r="I45" s="725">
        <v>0.29432624113475175</v>
      </c>
      <c r="J45" s="725">
        <v>0.29702970297029702</v>
      </c>
      <c r="K45" s="725">
        <v>0.31661442006269591</v>
      </c>
      <c r="L45" s="725">
        <v>0.34146341463414637</v>
      </c>
    </row>
    <row r="46" spans="2:12">
      <c r="B46" s="4869"/>
      <c r="C46" s="724" t="s">
        <v>38</v>
      </c>
      <c r="D46" s="725">
        <v>0.27611940298507465</v>
      </c>
      <c r="E46" s="725">
        <v>0.25299401197604793</v>
      </c>
      <c r="F46" s="725">
        <v>0.27101449275362322</v>
      </c>
      <c r="G46" s="725">
        <v>0.33518005540166207</v>
      </c>
      <c r="H46" s="725">
        <v>0.34501347708894881</v>
      </c>
      <c r="I46" s="725">
        <v>0.37872340425531914</v>
      </c>
      <c r="J46" s="725">
        <v>0.36338418862690708</v>
      </c>
      <c r="K46" s="725">
        <v>0.38147138964577659</v>
      </c>
      <c r="L46" s="725">
        <v>0.40117130307467058</v>
      </c>
    </row>
    <row r="47" spans="2:12">
      <c r="B47" s="4869"/>
      <c r="C47" s="724" t="s">
        <v>39</v>
      </c>
      <c r="D47" s="725">
        <v>0.39731437598736175</v>
      </c>
      <c r="E47" s="725">
        <v>0.39035418236623964</v>
      </c>
      <c r="F47" s="725">
        <v>0.43284671532846714</v>
      </c>
      <c r="G47" s="725">
        <v>0.45130813953488375</v>
      </c>
      <c r="H47" s="725">
        <v>0.47244094488188976</v>
      </c>
      <c r="I47" s="725">
        <v>0.48540706605222733</v>
      </c>
      <c r="J47" s="725">
        <v>0.51036070606293171</v>
      </c>
      <c r="K47" s="725">
        <v>0.51834862385321101</v>
      </c>
      <c r="L47" s="725">
        <v>0.51470588235294112</v>
      </c>
    </row>
    <row r="48" spans="2:12">
      <c r="B48" s="4869"/>
      <c r="C48" s="724" t="s">
        <v>40</v>
      </c>
      <c r="D48" s="725">
        <v>0.15428571428571428</v>
      </c>
      <c r="E48" s="725">
        <v>0.15048543689320387</v>
      </c>
      <c r="F48" s="725">
        <v>0.15767634854771784</v>
      </c>
      <c r="G48" s="725">
        <v>0.1440329218106996</v>
      </c>
      <c r="H48" s="725">
        <v>0.12903225806451613</v>
      </c>
      <c r="I48" s="725">
        <v>0.13596491228070176</v>
      </c>
      <c r="J48" s="725">
        <v>0.14225941422594143</v>
      </c>
      <c r="K48" s="725">
        <v>0.16</v>
      </c>
      <c r="L48" s="725">
        <v>0.19444444444444445</v>
      </c>
    </row>
    <row r="49" spans="2:12">
      <c r="B49" s="4869"/>
      <c r="C49" s="3595" t="s">
        <v>573</v>
      </c>
      <c r="D49" s="726">
        <v>0.34455732946298984</v>
      </c>
      <c r="E49" s="726">
        <v>0.33959618620302862</v>
      </c>
      <c r="F49" s="726">
        <v>0.34366960054163848</v>
      </c>
      <c r="G49" s="726">
        <v>0.36831656961355214</v>
      </c>
      <c r="H49" s="726">
        <v>0.37459910198845414</v>
      </c>
      <c r="I49" s="726">
        <v>0.40253129728986103</v>
      </c>
      <c r="J49" s="726">
        <v>0.4020449897750511</v>
      </c>
      <c r="K49" s="726">
        <v>0.40197123068726692</v>
      </c>
      <c r="L49" s="726">
        <v>0.40934371523915464</v>
      </c>
    </row>
    <row r="50" spans="2:12">
      <c r="B50" s="4869" t="s">
        <v>41</v>
      </c>
      <c r="C50" s="724" t="s">
        <v>42</v>
      </c>
      <c r="D50" s="725">
        <v>0.34922861150070128</v>
      </c>
      <c r="E50" s="725">
        <v>0.32379713914174252</v>
      </c>
      <c r="F50" s="725">
        <v>0.33291457286432163</v>
      </c>
      <c r="G50" s="725">
        <v>0.35450346420323325</v>
      </c>
      <c r="H50" s="725">
        <v>0.379492600422833</v>
      </c>
      <c r="I50" s="725">
        <v>0.42633228840125392</v>
      </c>
      <c r="J50" s="725">
        <v>0.45726055612770339</v>
      </c>
      <c r="K50" s="725">
        <v>0.47160243407707908</v>
      </c>
      <c r="L50" s="725">
        <v>0.49840933191940617</v>
      </c>
    </row>
    <row r="51" spans="2:12">
      <c r="B51" s="4869"/>
      <c r="C51" s="724" t="s">
        <v>43</v>
      </c>
      <c r="D51" s="725">
        <v>0.32075471698113206</v>
      </c>
      <c r="E51" s="725">
        <v>0.3492753623188406</v>
      </c>
      <c r="F51" s="725">
        <v>0.34122562674094709</v>
      </c>
      <c r="G51" s="725">
        <v>0.34135977337110479</v>
      </c>
      <c r="H51" s="725">
        <v>0.36029411764705882</v>
      </c>
      <c r="I51" s="725">
        <v>0.37920489296636084</v>
      </c>
      <c r="J51" s="725">
        <v>0.37774524158125916</v>
      </c>
      <c r="K51" s="725">
        <v>0.36325966850828728</v>
      </c>
      <c r="L51" s="725">
        <v>0.4</v>
      </c>
    </row>
    <row r="52" spans="2:12">
      <c r="B52" s="4869"/>
      <c r="C52" s="724" t="s">
        <v>44</v>
      </c>
      <c r="D52" s="725">
        <v>0.35153583617747441</v>
      </c>
      <c r="E52" s="725">
        <v>0.32786885245901637</v>
      </c>
      <c r="F52" s="725">
        <v>0.33021806853582553</v>
      </c>
      <c r="G52" s="725">
        <v>0.33152173913043476</v>
      </c>
      <c r="H52" s="725">
        <v>0.26463700234192039</v>
      </c>
      <c r="I52" s="725">
        <v>0.28631578947368419</v>
      </c>
      <c r="J52" s="725">
        <v>0.28927203065134099</v>
      </c>
      <c r="K52" s="725">
        <v>0.36234458259325042</v>
      </c>
      <c r="L52" s="725">
        <v>0.40924657534246578</v>
      </c>
    </row>
    <row r="53" spans="2:12">
      <c r="B53" s="4869"/>
      <c r="C53" s="724" t="s">
        <v>45</v>
      </c>
      <c r="D53" s="725">
        <v>0.25806451612903225</v>
      </c>
      <c r="E53" s="725">
        <v>0.24817518248175183</v>
      </c>
      <c r="F53" s="725">
        <v>0.28476821192052981</v>
      </c>
      <c r="G53" s="725">
        <v>0.27108433734939757</v>
      </c>
      <c r="H53" s="725">
        <v>0.23966942148760331</v>
      </c>
      <c r="I53" s="725">
        <v>0.28685258964143429</v>
      </c>
      <c r="J53" s="725">
        <v>0.27831715210355989</v>
      </c>
      <c r="K53" s="725">
        <v>0.31978319783197834</v>
      </c>
      <c r="L53" s="725">
        <v>0.4020356234096692</v>
      </c>
    </row>
    <row r="54" spans="2:12">
      <c r="B54" s="4869"/>
      <c r="C54" s="724" t="s">
        <v>46</v>
      </c>
      <c r="D54" s="725">
        <v>0.36478711162255467</v>
      </c>
      <c r="E54" s="725">
        <v>0.34030197444831589</v>
      </c>
      <c r="F54" s="725">
        <v>0.33153347732181426</v>
      </c>
      <c r="G54" s="725">
        <v>0.32777232580961729</v>
      </c>
      <c r="H54" s="725">
        <v>0.32350230414746545</v>
      </c>
      <c r="I54" s="725">
        <v>0.34762348555452005</v>
      </c>
      <c r="J54" s="725">
        <v>0.3469210754553339</v>
      </c>
      <c r="K54" s="725">
        <v>0.35906040268456374</v>
      </c>
      <c r="L54" s="725">
        <v>0.39347079037800686</v>
      </c>
    </row>
    <row r="55" spans="2:12">
      <c r="B55" s="4869"/>
      <c r="C55" s="724" t="s">
        <v>47</v>
      </c>
      <c r="D55" s="725">
        <v>0.30836575875486383</v>
      </c>
      <c r="E55" s="725">
        <v>0.30635838150289019</v>
      </c>
      <c r="F55" s="725">
        <v>0.30914231856738927</v>
      </c>
      <c r="G55" s="725">
        <v>0.3045045045045045</v>
      </c>
      <c r="H55" s="725">
        <v>0.30704697986577179</v>
      </c>
      <c r="I55" s="725">
        <v>0.30677966101694915</v>
      </c>
      <c r="J55" s="725">
        <v>0.31851253031527887</v>
      </c>
      <c r="K55" s="725">
        <v>0.31224655312246552</v>
      </c>
      <c r="L55" s="725">
        <v>0.33475661827497866</v>
      </c>
    </row>
    <row r="56" spans="2:12">
      <c r="B56" s="4869"/>
      <c r="C56" s="3595" t="s">
        <v>575</v>
      </c>
      <c r="D56" s="726">
        <v>0.33342303552206676</v>
      </c>
      <c r="E56" s="726">
        <v>0.32500000000000001</v>
      </c>
      <c r="F56" s="726">
        <v>0.32569846463629498</v>
      </c>
      <c r="G56" s="726">
        <v>0.32750885478158204</v>
      </c>
      <c r="H56" s="726">
        <v>0.32633420822397202</v>
      </c>
      <c r="I56" s="726">
        <v>0.34836601307189541</v>
      </c>
      <c r="J56" s="726">
        <v>0.35548717948717951</v>
      </c>
      <c r="K56" s="726">
        <v>0.36767317939609234</v>
      </c>
      <c r="L56" s="726">
        <v>0.40301204819277109</v>
      </c>
    </row>
    <row r="57" spans="2:12" ht="15" customHeight="1">
      <c r="B57" s="4867" t="s">
        <v>111</v>
      </c>
      <c r="C57" s="4868"/>
      <c r="D57" s="731">
        <v>0.2934581904510683</v>
      </c>
      <c r="E57" s="731">
        <v>0.29279132082870402</v>
      </c>
      <c r="F57" s="731">
        <v>0.29594347359788026</v>
      </c>
      <c r="G57" s="731">
        <v>0.30940076288913498</v>
      </c>
      <c r="H57" s="731">
        <v>0.31236365780319558</v>
      </c>
      <c r="I57" s="731">
        <v>0.33620366903781357</v>
      </c>
      <c r="J57" s="731">
        <v>0.33508358983644154</v>
      </c>
      <c r="K57" s="731">
        <v>0.33578587567348356</v>
      </c>
      <c r="L57" s="731">
        <v>0.36218665055874361</v>
      </c>
    </row>
    <row r="58" spans="2:12">
      <c r="B58" s="4869" t="s">
        <v>16</v>
      </c>
      <c r="C58" s="724" t="s">
        <v>17</v>
      </c>
      <c r="D58" s="725">
        <v>0.46443514644351463</v>
      </c>
      <c r="E58" s="725">
        <v>0.46617548559946415</v>
      </c>
      <c r="F58" s="725">
        <v>0.47701532311792139</v>
      </c>
      <c r="G58" s="725">
        <v>0.5121293800539084</v>
      </c>
      <c r="H58" s="725">
        <v>0.503693754197448</v>
      </c>
      <c r="I58" s="725">
        <v>0.53254437869822491</v>
      </c>
      <c r="J58" s="725">
        <v>0.53988183161004433</v>
      </c>
      <c r="K58" s="725">
        <v>0.52512745812090311</v>
      </c>
      <c r="L58" s="725">
        <v>0.54980988593155888</v>
      </c>
    </row>
    <row r="59" spans="2:12">
      <c r="B59" s="4869"/>
      <c r="C59" s="724" t="s">
        <v>49</v>
      </c>
      <c r="D59" s="725">
        <v>0.66415313225058004</v>
      </c>
      <c r="E59" s="725">
        <v>0.67976878612716762</v>
      </c>
      <c r="F59" s="725">
        <v>0.6910662824207493</v>
      </c>
      <c r="G59" s="725">
        <v>0.71029668411867364</v>
      </c>
      <c r="H59" s="725">
        <v>0.70745920745920743</v>
      </c>
      <c r="I59" s="725">
        <v>0.7508090614886731</v>
      </c>
      <c r="J59" s="725">
        <v>0.75033025099075301</v>
      </c>
      <c r="K59" s="725">
        <v>0.74983585029546951</v>
      </c>
      <c r="L59" s="725">
        <v>0.75549633577614927</v>
      </c>
    </row>
    <row r="60" spans="2:12">
      <c r="B60" s="4869"/>
      <c r="C60" s="724" t="s">
        <v>19</v>
      </c>
      <c r="D60" s="725">
        <v>0.33915806195393167</v>
      </c>
      <c r="E60" s="725">
        <v>0.34245504300234558</v>
      </c>
      <c r="F60" s="725">
        <v>0.35366795366795367</v>
      </c>
      <c r="G60" s="725">
        <v>0.35362095531587057</v>
      </c>
      <c r="H60" s="725">
        <v>0.35071806500377928</v>
      </c>
      <c r="I60" s="725">
        <v>0.37563025210084033</v>
      </c>
      <c r="J60" s="725">
        <v>0.37615449202350965</v>
      </c>
      <c r="K60" s="725">
        <v>0.3577981651376147</v>
      </c>
      <c r="L60" s="725">
        <v>0.42643171806167401</v>
      </c>
    </row>
    <row r="61" spans="2:12">
      <c r="B61" s="4869"/>
      <c r="C61" s="724" t="s">
        <v>50</v>
      </c>
      <c r="D61" s="725">
        <v>0.65544041450777202</v>
      </c>
      <c r="E61" s="725">
        <v>0.66019736842105259</v>
      </c>
      <c r="F61" s="725">
        <v>0.65848806366047741</v>
      </c>
      <c r="G61" s="725">
        <v>0.67817633255112308</v>
      </c>
      <c r="H61" s="725">
        <v>0.68102288021534318</v>
      </c>
      <c r="I61" s="725">
        <v>0.73189230185817211</v>
      </c>
      <c r="J61" s="725">
        <v>0.73293885601577913</v>
      </c>
      <c r="K61" s="725">
        <v>0.73253570050173678</v>
      </c>
      <c r="L61" s="725">
        <v>0.75358280254777066</v>
      </c>
    </row>
    <row r="62" spans="2:12">
      <c r="B62" s="4869"/>
      <c r="C62" s="724" t="s">
        <v>20</v>
      </c>
      <c r="D62" s="725">
        <v>0.49515190691661282</v>
      </c>
      <c r="E62" s="725">
        <v>0.50985545335085414</v>
      </c>
      <c r="F62" s="725">
        <v>0.5124077800134138</v>
      </c>
      <c r="G62" s="725">
        <v>0.54023792862141362</v>
      </c>
      <c r="H62" s="725">
        <v>0.5473309608540925</v>
      </c>
      <c r="I62" s="725">
        <v>0.60411718131433101</v>
      </c>
      <c r="J62" s="725">
        <v>0.61093247588424437</v>
      </c>
      <c r="K62" s="725">
        <v>0.58550488599348538</v>
      </c>
      <c r="L62" s="725">
        <v>0.61492281303602059</v>
      </c>
    </row>
    <row r="63" spans="2:12">
      <c r="B63" s="4869"/>
      <c r="C63" s="724" t="s">
        <v>51</v>
      </c>
      <c r="D63" s="725">
        <v>0.44400785854616898</v>
      </c>
      <c r="E63" s="725">
        <v>0.46542056074766353</v>
      </c>
      <c r="F63" s="725">
        <v>0.48892988929889297</v>
      </c>
      <c r="G63" s="725">
        <v>0.53090909090909089</v>
      </c>
      <c r="H63" s="725">
        <v>0.53649635036496346</v>
      </c>
      <c r="I63" s="725">
        <v>0.57809330628803246</v>
      </c>
      <c r="J63" s="725">
        <v>0.57991803278688525</v>
      </c>
      <c r="K63" s="725">
        <v>0.58246346555323592</v>
      </c>
      <c r="L63" s="725">
        <v>0.55623721881390598</v>
      </c>
    </row>
    <row r="64" spans="2:12">
      <c r="B64" s="4869"/>
      <c r="C64" s="3595" t="s">
        <v>573</v>
      </c>
      <c r="D64" s="726">
        <v>0.54952410835686649</v>
      </c>
      <c r="E64" s="726">
        <v>0.55651630378164396</v>
      </c>
      <c r="F64" s="726">
        <v>0.56242171189979118</v>
      </c>
      <c r="G64" s="726">
        <v>0.5840642502377682</v>
      </c>
      <c r="H64" s="726">
        <v>0.58341267322543111</v>
      </c>
      <c r="I64" s="726">
        <v>0.62558962264150941</v>
      </c>
      <c r="J64" s="726">
        <v>0.62647129473937069</v>
      </c>
      <c r="K64" s="726">
        <v>0.61813415941856309</v>
      </c>
      <c r="L64" s="726">
        <v>0.64338507021433855</v>
      </c>
    </row>
    <row r="65" spans="2:12">
      <c r="B65" s="4869" t="s">
        <v>41</v>
      </c>
      <c r="C65" s="724" t="s">
        <v>42</v>
      </c>
      <c r="D65" s="725">
        <v>0.57910228108903605</v>
      </c>
      <c r="E65" s="725">
        <v>0.59346126510305619</v>
      </c>
      <c r="F65" s="725">
        <v>0.61522346368715086</v>
      </c>
      <c r="G65" s="725">
        <v>0.63944636678200695</v>
      </c>
      <c r="H65" s="725">
        <v>0.65944482058226139</v>
      </c>
      <c r="I65" s="725">
        <v>0.69366715758468334</v>
      </c>
      <c r="J65" s="725">
        <v>0.68586387434554974</v>
      </c>
      <c r="K65" s="725">
        <v>0.69885057471264367</v>
      </c>
      <c r="L65" s="725">
        <v>0.76022453889334407</v>
      </c>
    </row>
    <row r="66" spans="2:12">
      <c r="B66" s="4869"/>
      <c r="C66" s="724" t="s">
        <v>52</v>
      </c>
      <c r="D66" s="725">
        <v>0.60232067510548526</v>
      </c>
      <c r="E66" s="725">
        <v>0.63119834710743805</v>
      </c>
      <c r="F66" s="725">
        <v>0.67757459095283923</v>
      </c>
      <c r="G66" s="725">
        <v>0.68778280542986425</v>
      </c>
      <c r="H66" s="725">
        <v>0.69224062772449868</v>
      </c>
      <c r="I66" s="725">
        <v>0.73709369024856597</v>
      </c>
      <c r="J66" s="725">
        <v>0.75992063492063489</v>
      </c>
      <c r="K66" s="725">
        <v>0.76165803108808294</v>
      </c>
      <c r="L66" s="725">
        <v>0.80509413067552604</v>
      </c>
    </row>
    <row r="67" spans="2:12">
      <c r="B67" s="4869"/>
      <c r="C67" s="724" t="s">
        <v>53</v>
      </c>
      <c r="D67" s="725">
        <v>0.75414691943127965</v>
      </c>
      <c r="E67" s="725">
        <v>0.76950565812983918</v>
      </c>
      <c r="F67" s="725">
        <v>0.78271308523409366</v>
      </c>
      <c r="G67" s="725">
        <v>0.79408138101109738</v>
      </c>
      <c r="H67" s="725">
        <v>0.77854889589905363</v>
      </c>
      <c r="I67" s="725">
        <v>0.81263776634827334</v>
      </c>
      <c r="J67" s="725">
        <v>0.81440000000000001</v>
      </c>
      <c r="K67" s="725">
        <v>0.81239669421487604</v>
      </c>
      <c r="L67" s="725">
        <v>0.83250414593698174</v>
      </c>
    </row>
    <row r="68" spans="2:12">
      <c r="B68" s="4869"/>
      <c r="C68" s="724" t="s">
        <v>54</v>
      </c>
      <c r="D68" s="725">
        <v>0.5662285136501517</v>
      </c>
      <c r="E68" s="725">
        <v>0.57651245551601427</v>
      </c>
      <c r="F68" s="725">
        <v>0.61471640265712824</v>
      </c>
      <c r="G68" s="725">
        <v>0.62519521082769391</v>
      </c>
      <c r="H68" s="725">
        <v>0.62447257383966248</v>
      </c>
      <c r="I68" s="725">
        <v>0.66956521739130437</v>
      </c>
      <c r="J68" s="725">
        <v>0.66327751196172247</v>
      </c>
      <c r="K68" s="725">
        <v>0.67598784194528871</v>
      </c>
      <c r="L68" s="725">
        <v>0.7034990791896869</v>
      </c>
    </row>
    <row r="69" spans="2:12">
      <c r="B69" s="4869"/>
      <c r="C69" s="724" t="s">
        <v>55</v>
      </c>
      <c r="D69" s="725">
        <v>0.53360768175582995</v>
      </c>
      <c r="E69" s="725">
        <v>0.55283446712018136</v>
      </c>
      <c r="F69" s="725">
        <v>0.56209453197405002</v>
      </c>
      <c r="G69" s="725">
        <v>0.56484149855907784</v>
      </c>
      <c r="H69" s="725">
        <v>0.56618740704015869</v>
      </c>
      <c r="I69" s="725">
        <v>0.60343839541547273</v>
      </c>
      <c r="J69" s="725">
        <v>0.60011743981209631</v>
      </c>
      <c r="K69" s="725">
        <v>0.56071428571428572</v>
      </c>
      <c r="L69" s="725">
        <v>0.56613418530351434</v>
      </c>
    </row>
    <row r="70" spans="2:12">
      <c r="B70" s="4869"/>
      <c r="C70" s="724" t="s">
        <v>56</v>
      </c>
      <c r="D70" s="725">
        <v>0.43014705882352944</v>
      </c>
      <c r="E70" s="725">
        <v>0.43046357615894038</v>
      </c>
      <c r="F70" s="725">
        <v>0.4619188921859545</v>
      </c>
      <c r="G70" s="725">
        <v>0.4872549019607843</v>
      </c>
      <c r="H70" s="725">
        <v>0.49105545617173524</v>
      </c>
      <c r="I70" s="725">
        <v>0.58310376492194671</v>
      </c>
      <c r="J70" s="725">
        <v>0.59473237043330496</v>
      </c>
      <c r="K70" s="725">
        <v>0.59548751007252221</v>
      </c>
      <c r="L70" s="725">
        <v>0.67093235831809872</v>
      </c>
    </row>
    <row r="71" spans="2:12">
      <c r="B71" s="4869"/>
      <c r="C71" s="724" t="s">
        <v>264</v>
      </c>
      <c r="D71" s="725">
        <v>0.57095926412614983</v>
      </c>
      <c r="E71" s="725">
        <v>0.59570181329751515</v>
      </c>
      <c r="F71" s="725">
        <v>0.58800773694390718</v>
      </c>
      <c r="G71" s="725">
        <v>0.60790667530784182</v>
      </c>
      <c r="H71" s="725">
        <v>0.61212886923562859</v>
      </c>
      <c r="I71" s="725">
        <v>0.69493941553813254</v>
      </c>
      <c r="J71" s="725">
        <v>0.67623252391464317</v>
      </c>
      <c r="K71" s="725">
        <v>0.68569254185692541</v>
      </c>
      <c r="L71" s="725">
        <v>0.69111969111969107</v>
      </c>
    </row>
    <row r="72" spans="2:12">
      <c r="B72" s="4869"/>
      <c r="C72" s="724" t="s">
        <v>277</v>
      </c>
      <c r="D72" s="725">
        <v>0.74716981132075466</v>
      </c>
      <c r="E72" s="725">
        <v>0.76792452830188684</v>
      </c>
      <c r="F72" s="725">
        <v>0.77362020579981294</v>
      </c>
      <c r="G72" s="725">
        <v>0.77962962962962967</v>
      </c>
      <c r="H72" s="725">
        <v>0.77318640955004592</v>
      </c>
      <c r="I72" s="725">
        <v>0.82492581602373882</v>
      </c>
      <c r="J72" s="725">
        <v>0.80694586312563843</v>
      </c>
      <c r="K72" s="725">
        <v>0.80776892430278879</v>
      </c>
      <c r="L72" s="725">
        <v>0.82376237623762372</v>
      </c>
    </row>
    <row r="73" spans="2:12">
      <c r="B73" s="4869"/>
      <c r="C73" s="3595" t="s">
        <v>575</v>
      </c>
      <c r="D73" s="726">
        <v>0.599584703235854</v>
      </c>
      <c r="E73" s="726">
        <v>0.61484461946751134</v>
      </c>
      <c r="F73" s="726">
        <v>0.63207944121854753</v>
      </c>
      <c r="G73" s="726">
        <v>0.6452868505669318</v>
      </c>
      <c r="H73" s="726">
        <v>0.64539959704499661</v>
      </c>
      <c r="I73" s="726">
        <v>0.69575339914322964</v>
      </c>
      <c r="J73" s="726">
        <v>0.69060562708631379</v>
      </c>
      <c r="K73" s="726">
        <v>0.6884407564646855</v>
      </c>
      <c r="L73" s="726">
        <v>0.72087646999698463</v>
      </c>
    </row>
    <row r="74" spans="2:12">
      <c r="B74" s="4869" t="s">
        <v>21</v>
      </c>
      <c r="C74" s="724" t="s">
        <v>22</v>
      </c>
      <c r="D74" s="725">
        <v>0.47960108794197642</v>
      </c>
      <c r="E74" s="725">
        <v>0.48805147058823528</v>
      </c>
      <c r="F74" s="725">
        <v>0.50336473755047106</v>
      </c>
      <c r="G74" s="725">
        <v>0.51627693718477763</v>
      </c>
      <c r="H74" s="725">
        <v>0.53795688847235235</v>
      </c>
      <c r="I74" s="725">
        <v>0.56505961638154489</v>
      </c>
      <c r="J74" s="725">
        <v>0.55448717948717952</v>
      </c>
      <c r="K74" s="725">
        <v>0.54824797843665773</v>
      </c>
      <c r="L74" s="725">
        <v>0.59953837276399302</v>
      </c>
    </row>
    <row r="75" spans="2:12">
      <c r="B75" s="4869"/>
      <c r="C75" s="724" t="s">
        <v>23</v>
      </c>
      <c r="D75" s="725">
        <v>0.65491651205936918</v>
      </c>
      <c r="E75" s="725">
        <v>0.64163498098859317</v>
      </c>
      <c r="F75" s="725">
        <v>0.63459669582118561</v>
      </c>
      <c r="G75" s="725">
        <v>0.65705765407554673</v>
      </c>
      <c r="H75" s="725">
        <v>0.67323651452282163</v>
      </c>
      <c r="I75" s="725">
        <v>0.70370370370370372</v>
      </c>
      <c r="J75" s="725">
        <v>0.72330654420206664</v>
      </c>
      <c r="K75" s="725">
        <v>0.72055427251732107</v>
      </c>
      <c r="L75" s="725">
        <v>0.74970760233918132</v>
      </c>
    </row>
    <row r="76" spans="2:12">
      <c r="B76" s="4869"/>
      <c r="C76" s="724" t="s">
        <v>24</v>
      </c>
      <c r="D76" s="725">
        <v>0.53615023474178403</v>
      </c>
      <c r="E76" s="725">
        <v>0.54807692307692313</v>
      </c>
      <c r="F76" s="725">
        <v>0.51448551448551449</v>
      </c>
      <c r="G76" s="725">
        <v>0.50566426364572603</v>
      </c>
      <c r="H76" s="725">
        <v>0.48856548856548859</v>
      </c>
      <c r="I76" s="725">
        <v>0.50580046403712298</v>
      </c>
      <c r="J76" s="725">
        <v>0.5140845070422535</v>
      </c>
      <c r="K76" s="725">
        <v>0.53480278422273786</v>
      </c>
      <c r="L76" s="725">
        <v>0.58212560386473433</v>
      </c>
    </row>
    <row r="77" spans="2:12">
      <c r="B77" s="4869"/>
      <c r="C77" s="724" t="s">
        <v>58</v>
      </c>
      <c r="D77" s="725">
        <v>0.4152777777777778</v>
      </c>
      <c r="E77" s="725">
        <v>0.39550264550264552</v>
      </c>
      <c r="F77" s="725">
        <v>0.40433673469387754</v>
      </c>
      <c r="G77" s="725">
        <v>0.43711083437110837</v>
      </c>
      <c r="H77" s="725">
        <v>0.43373493975903615</v>
      </c>
      <c r="I77" s="725">
        <v>0.54215116279069764</v>
      </c>
      <c r="J77" s="725">
        <v>0.57994186046511631</v>
      </c>
      <c r="K77" s="725">
        <v>0.58985507246376812</v>
      </c>
      <c r="L77" s="725">
        <v>0.67980295566502458</v>
      </c>
    </row>
    <row r="78" spans="2:12">
      <c r="B78" s="4869"/>
      <c r="C78" s="3595" t="s">
        <v>574</v>
      </c>
      <c r="D78" s="726">
        <v>0.51962911816926416</v>
      </c>
      <c r="E78" s="726">
        <v>0.51871019108280259</v>
      </c>
      <c r="F78" s="726">
        <v>0.51695419393218323</v>
      </c>
      <c r="G78" s="726">
        <v>0.52993348115299332</v>
      </c>
      <c r="H78" s="726">
        <v>0.53721881390593051</v>
      </c>
      <c r="I78" s="726">
        <v>0.57803203661327229</v>
      </c>
      <c r="J78" s="726">
        <v>0.58487041793135652</v>
      </c>
      <c r="K78" s="726">
        <v>0.58717528668382868</v>
      </c>
      <c r="L78" s="726">
        <v>0.64</v>
      </c>
    </row>
    <row r="79" spans="2:12" ht="15" customHeight="1">
      <c r="B79" s="4867" t="s">
        <v>461</v>
      </c>
      <c r="C79" s="4868"/>
      <c r="D79" s="731">
        <v>0.56583167863143424</v>
      </c>
      <c r="E79" s="731">
        <v>0.57519768856447684</v>
      </c>
      <c r="F79" s="731">
        <v>0.58499962272692974</v>
      </c>
      <c r="G79" s="731">
        <v>0.6014023321393186</v>
      </c>
      <c r="H79" s="731">
        <v>0.60293277470957918</v>
      </c>
      <c r="I79" s="731">
        <v>0.64871968797693746</v>
      </c>
      <c r="J79" s="731">
        <v>0.64787390664241795</v>
      </c>
      <c r="K79" s="731">
        <v>0.64402952670429869</v>
      </c>
      <c r="L79" s="731">
        <v>0.67766612348361399</v>
      </c>
    </row>
    <row r="80" spans="2:12">
      <c r="B80" s="4869" t="s">
        <v>16</v>
      </c>
      <c r="C80" s="724" t="s">
        <v>17</v>
      </c>
      <c r="D80" s="725">
        <v>0.50467289719626163</v>
      </c>
      <c r="E80" s="725">
        <v>0.54285714285714282</v>
      </c>
      <c r="F80" s="725">
        <v>0.52301255230125521</v>
      </c>
      <c r="G80" s="725">
        <v>0.59245283018867922</v>
      </c>
      <c r="H80" s="725">
        <v>0.62962962962962965</v>
      </c>
      <c r="I80" s="725">
        <v>0.64556962025316456</v>
      </c>
      <c r="J80" s="725">
        <v>0.66319444444444442</v>
      </c>
      <c r="K80" s="725">
        <v>0.63829787234042556</v>
      </c>
      <c r="L80" s="725">
        <v>0.63043478260869568</v>
      </c>
    </row>
    <row r="81" spans="2:12">
      <c r="B81" s="4869"/>
      <c r="C81" s="724" t="s">
        <v>18</v>
      </c>
      <c r="D81" s="725">
        <v>0.67647058823529416</v>
      </c>
      <c r="E81" s="725">
        <v>0.67647058823529416</v>
      </c>
      <c r="F81" s="725">
        <v>0.67647058823529416</v>
      </c>
      <c r="G81" s="725">
        <v>0.67647058823529416</v>
      </c>
      <c r="H81" s="725">
        <v>0.73529411764705888</v>
      </c>
      <c r="I81" s="725">
        <v>0.75757575757575757</v>
      </c>
      <c r="J81" s="725"/>
      <c r="K81" s="725"/>
      <c r="L81" s="725">
        <v>0.32596685082872928</v>
      </c>
    </row>
    <row r="82" spans="2:12">
      <c r="B82" s="4869"/>
      <c r="C82" s="724" t="s">
        <v>60</v>
      </c>
      <c r="D82" s="725">
        <v>0</v>
      </c>
      <c r="E82" s="725">
        <v>0.34782608695652173</v>
      </c>
      <c r="F82" s="725">
        <v>0.56818181818181823</v>
      </c>
      <c r="G82" s="725">
        <v>0.4838709677419355</v>
      </c>
      <c r="H82" s="725">
        <v>0.43181818181818182</v>
      </c>
      <c r="I82" s="725">
        <v>0.42268041237113402</v>
      </c>
      <c r="J82" s="725">
        <v>0.38333333333333336</v>
      </c>
      <c r="K82" s="725">
        <v>0.38666666666666666</v>
      </c>
      <c r="L82" s="725">
        <v>0.19444444444444445</v>
      </c>
    </row>
    <row r="83" spans="2:12">
      <c r="B83" s="4869"/>
      <c r="C83" s="724" t="s">
        <v>420</v>
      </c>
      <c r="D83" s="725"/>
      <c r="E83" s="725">
        <v>0.1111111111111111</v>
      </c>
      <c r="F83" s="725">
        <v>0.17241379310344829</v>
      </c>
      <c r="G83" s="725">
        <v>0.19318181818181818</v>
      </c>
      <c r="H83" s="725">
        <v>0.17094017094017094</v>
      </c>
      <c r="I83" s="725">
        <v>0.23308270676691728</v>
      </c>
      <c r="J83" s="725">
        <v>0.23749999999999999</v>
      </c>
      <c r="K83" s="725">
        <v>0.24479166666666666</v>
      </c>
      <c r="L83" s="725">
        <v>0.40861812778603268</v>
      </c>
    </row>
    <row r="84" spans="2:12">
      <c r="B84" s="4869"/>
      <c r="C84" s="3595" t="s">
        <v>573</v>
      </c>
      <c r="D84" s="726">
        <v>0.53846153846153844</v>
      </c>
      <c r="E84" s="726">
        <v>0.49806949806949807</v>
      </c>
      <c r="F84" s="726">
        <v>0.48799999999999999</v>
      </c>
      <c r="G84" s="726">
        <v>0.50556792873051226</v>
      </c>
      <c r="H84" s="726">
        <v>0.50373134328358204</v>
      </c>
      <c r="I84" s="726">
        <v>0.51986183074265979</v>
      </c>
      <c r="J84" s="726">
        <v>0.48415492957746481</v>
      </c>
      <c r="K84" s="726">
        <v>0.45673076923076922</v>
      </c>
      <c r="L84" s="726">
        <v>0.36749116607773852</v>
      </c>
    </row>
    <row r="85" spans="2:12">
      <c r="B85" s="4869" t="s">
        <v>61</v>
      </c>
      <c r="C85" s="724" t="s">
        <v>62</v>
      </c>
      <c r="D85" s="725">
        <v>0.34782608695652173</v>
      </c>
      <c r="E85" s="725">
        <v>0.312</v>
      </c>
      <c r="F85" s="725">
        <v>0.33519553072625696</v>
      </c>
      <c r="G85" s="725">
        <v>0.32692307692307693</v>
      </c>
      <c r="H85" s="725">
        <v>0.316</v>
      </c>
      <c r="I85" s="725">
        <v>0.33948339483394835</v>
      </c>
      <c r="J85" s="725">
        <v>0.32490974729241878</v>
      </c>
      <c r="K85" s="725">
        <v>0.3611111111111111</v>
      </c>
      <c r="L85" s="725">
        <v>0.2132701421800948</v>
      </c>
    </row>
    <row r="86" spans="2:12">
      <c r="B86" s="4869"/>
      <c r="C86" s="724" t="s">
        <v>421</v>
      </c>
      <c r="D86" s="725"/>
      <c r="E86" s="725">
        <v>7.1428571428571425E-2</v>
      </c>
      <c r="F86" s="725">
        <v>0.08</v>
      </c>
      <c r="G86" s="725">
        <v>5.5555555555555552E-2</v>
      </c>
      <c r="H86" s="725">
        <v>6.3492063492063489E-2</v>
      </c>
      <c r="I86" s="725">
        <v>0.1310344827586207</v>
      </c>
      <c r="J86" s="725">
        <v>0.15083798882681565</v>
      </c>
      <c r="K86" s="725">
        <v>0.16431924882629109</v>
      </c>
      <c r="L86" s="725">
        <v>0.52160493827160492</v>
      </c>
    </row>
    <row r="87" spans="2:12">
      <c r="B87" s="4869"/>
      <c r="C87" s="724" t="s">
        <v>63</v>
      </c>
      <c r="D87" s="725">
        <v>0</v>
      </c>
      <c r="E87" s="725">
        <v>0.27272727272727271</v>
      </c>
      <c r="F87" s="725">
        <v>0.3925233644859813</v>
      </c>
      <c r="G87" s="725">
        <v>0.39860139860139859</v>
      </c>
      <c r="H87" s="725">
        <v>0.43010752688172044</v>
      </c>
      <c r="I87" s="725">
        <v>0.41991341991341991</v>
      </c>
      <c r="J87" s="725">
        <v>0.43369175627240142</v>
      </c>
      <c r="K87" s="725">
        <v>0.50467289719626163</v>
      </c>
      <c r="L87" s="725">
        <v>0.38875305623471884</v>
      </c>
    </row>
    <row r="88" spans="2:12">
      <c r="B88" s="4869"/>
      <c r="C88" s="3595" t="s">
        <v>576</v>
      </c>
      <c r="D88" s="726">
        <v>0.34285714285714286</v>
      </c>
      <c r="E88" s="726">
        <v>0.26923076923076922</v>
      </c>
      <c r="F88" s="726">
        <v>0.31547619047619047</v>
      </c>
      <c r="G88" s="726">
        <v>0.29478458049886619</v>
      </c>
      <c r="H88" s="726">
        <v>0.29715302491103202</v>
      </c>
      <c r="I88" s="726">
        <v>0.321483771251932</v>
      </c>
      <c r="J88" s="726">
        <v>0.32380952380952382</v>
      </c>
      <c r="K88" s="726">
        <v>0.36618004866180048</v>
      </c>
      <c r="L88" s="726">
        <v>0.30801687763713081</v>
      </c>
    </row>
    <row r="89" spans="2:12">
      <c r="B89" s="4869" t="s">
        <v>64</v>
      </c>
      <c r="C89" s="724" t="s">
        <v>14</v>
      </c>
      <c r="D89" s="725">
        <v>0.32758620689655171</v>
      </c>
      <c r="E89" s="725">
        <v>0.30208333333333331</v>
      </c>
      <c r="F89" s="725">
        <v>0.28187919463087246</v>
      </c>
      <c r="G89" s="725">
        <v>0.28888888888888886</v>
      </c>
      <c r="H89" s="725">
        <v>0.30882352941176472</v>
      </c>
      <c r="I89" s="725">
        <v>0.34975369458128081</v>
      </c>
      <c r="J89" s="725">
        <v>0.30243902439024389</v>
      </c>
      <c r="K89" s="725">
        <v>0.26666666666666666</v>
      </c>
      <c r="L89" s="725">
        <v>0.24657534246575341</v>
      </c>
    </row>
    <row r="90" spans="2:12">
      <c r="B90" s="4869"/>
      <c r="C90" s="724" t="s">
        <v>65</v>
      </c>
      <c r="D90" s="725">
        <v>0.13333333333333333</v>
      </c>
      <c r="E90" s="725">
        <v>9.0909090909090912E-2</v>
      </c>
      <c r="F90" s="725">
        <v>0.11290322580645161</v>
      </c>
      <c r="G90" s="725">
        <v>0.11627906976744186</v>
      </c>
      <c r="H90" s="725">
        <v>0.11818181818181818</v>
      </c>
      <c r="I90" s="725">
        <v>0.17699115044247787</v>
      </c>
      <c r="J90" s="725">
        <v>0.1796875</v>
      </c>
      <c r="K90" s="725">
        <v>0.21917808219178081</v>
      </c>
      <c r="L90" s="725">
        <v>0.34193548387096773</v>
      </c>
    </row>
    <row r="91" spans="2:12">
      <c r="B91" s="4869"/>
      <c r="C91" s="724" t="s">
        <v>422</v>
      </c>
      <c r="D91" s="725"/>
      <c r="E91" s="725">
        <v>0</v>
      </c>
      <c r="F91" s="725">
        <v>4.1666666666666664E-2</v>
      </c>
      <c r="G91" s="725">
        <v>6.25E-2</v>
      </c>
      <c r="H91" s="725">
        <v>0.11842105263157894</v>
      </c>
      <c r="I91" s="725">
        <v>0.18604651162790697</v>
      </c>
      <c r="J91" s="725">
        <v>0.29166666666666669</v>
      </c>
      <c r="K91" s="725">
        <v>0.34745762711864409</v>
      </c>
      <c r="L91" s="725">
        <v>0.4218009478672986</v>
      </c>
    </row>
    <row r="92" spans="2:12">
      <c r="B92" s="4869"/>
      <c r="C92" s="724" t="s">
        <v>81</v>
      </c>
      <c r="D92" s="725"/>
      <c r="E92" s="725">
        <v>0</v>
      </c>
      <c r="F92" s="725">
        <v>0</v>
      </c>
      <c r="G92" s="725">
        <v>0</v>
      </c>
      <c r="H92" s="725">
        <v>0.12121212121212122</v>
      </c>
      <c r="I92" s="725">
        <v>0.15384615384615385</v>
      </c>
      <c r="J92" s="725">
        <v>0.26666666666666666</v>
      </c>
      <c r="K92" s="725">
        <v>0.36809815950920244</v>
      </c>
      <c r="L92" s="725">
        <v>0.33511348464619495</v>
      </c>
    </row>
    <row r="93" spans="2:12">
      <c r="B93" s="4869"/>
      <c r="C93" s="3595" t="s">
        <v>577</v>
      </c>
      <c r="D93" s="726">
        <v>0.28767123287671231</v>
      </c>
      <c r="E93" s="726">
        <v>0.23880597014925373</v>
      </c>
      <c r="F93" s="726">
        <v>0.2109704641350211</v>
      </c>
      <c r="G93" s="726">
        <v>0.20504731861198738</v>
      </c>
      <c r="H93" s="726">
        <v>0.21040189125295508</v>
      </c>
      <c r="I93" s="726">
        <v>0.25053533190578159</v>
      </c>
      <c r="J93" s="726">
        <v>0.26411657559198543</v>
      </c>
      <c r="K93" s="726">
        <v>0.29601226993865032</v>
      </c>
      <c r="L93" s="726">
        <v>0.37678571428571428</v>
      </c>
    </row>
    <row r="94" spans="2:12" ht="15" customHeight="1">
      <c r="B94" s="4867" t="s">
        <v>265</v>
      </c>
      <c r="C94" s="4868"/>
      <c r="D94" s="727">
        <v>0.42657342657342656</v>
      </c>
      <c r="E94" s="727">
        <v>0.36106489184692181</v>
      </c>
      <c r="F94" s="727">
        <v>0.35759493670886078</v>
      </c>
      <c r="G94" s="727">
        <v>0.3496271748135874</v>
      </c>
      <c r="H94" s="727">
        <v>0.34582511505588431</v>
      </c>
      <c r="I94" s="727">
        <v>0.36975782634376847</v>
      </c>
      <c r="J94" s="727">
        <v>0.35529157667386607</v>
      </c>
      <c r="K94" s="727">
        <v>0.3713060057197331</v>
      </c>
      <c r="L94" s="727">
        <v>0.40151515151515149</v>
      </c>
    </row>
    <row r="95" spans="2:12">
      <c r="B95" s="4864" t="s">
        <v>4</v>
      </c>
      <c r="C95" s="1713" t="s">
        <v>1687</v>
      </c>
      <c r="D95" s="1366"/>
      <c r="E95" s="1366"/>
      <c r="F95" s="1366"/>
      <c r="G95" s="1366"/>
      <c r="H95" s="1366"/>
      <c r="I95" s="725">
        <v>0.45454545454545453</v>
      </c>
      <c r="J95" s="725">
        <v>0.42857142857142855</v>
      </c>
      <c r="K95" s="725">
        <v>0.39090909090909093</v>
      </c>
      <c r="L95" s="725">
        <v>0.40151515151515149</v>
      </c>
    </row>
    <row r="96" spans="2:12">
      <c r="B96" s="4864"/>
      <c r="C96" s="3595" t="s">
        <v>572</v>
      </c>
      <c r="D96" s="726"/>
      <c r="E96" s="726"/>
      <c r="F96" s="726"/>
      <c r="G96" s="726"/>
      <c r="H96" s="726"/>
      <c r="I96" s="726">
        <v>0.45454545454545453</v>
      </c>
      <c r="J96" s="726">
        <v>0.42857142857142855</v>
      </c>
      <c r="K96" s="726">
        <v>0.39090909090909093</v>
      </c>
      <c r="L96" s="726">
        <v>0.64539007092198586</v>
      </c>
    </row>
    <row r="97" spans="2:12">
      <c r="B97" s="4864" t="s">
        <v>16</v>
      </c>
      <c r="C97" s="1713" t="s">
        <v>830</v>
      </c>
      <c r="D97" s="1366"/>
      <c r="E97" s="1366"/>
      <c r="F97" s="1366"/>
      <c r="G97" s="1366"/>
      <c r="H97" s="1366"/>
      <c r="I97" s="725">
        <v>0.68085106382978722</v>
      </c>
      <c r="J97" s="725">
        <v>0.55844155844155841</v>
      </c>
      <c r="K97" s="725">
        <v>0.6198347107438017</v>
      </c>
      <c r="L97" s="725">
        <v>0.40625</v>
      </c>
    </row>
    <row r="98" spans="2:12">
      <c r="B98" s="4864"/>
      <c r="C98" s="1713" t="s">
        <v>579</v>
      </c>
      <c r="D98" s="3199"/>
      <c r="E98" s="3199"/>
      <c r="F98" s="3199"/>
      <c r="G98" s="3199"/>
      <c r="H98" s="3199"/>
      <c r="I98" s="2611"/>
      <c r="J98" s="2611"/>
      <c r="K98" s="2611">
        <v>0.46666666666666667</v>
      </c>
      <c r="L98" s="2611">
        <v>0.60115606936416188</v>
      </c>
    </row>
    <row r="99" spans="2:12">
      <c r="B99" s="4864"/>
      <c r="C99" s="3595" t="s">
        <v>573</v>
      </c>
      <c r="D99" s="726"/>
      <c r="E99" s="726"/>
      <c r="F99" s="726"/>
      <c r="G99" s="726"/>
      <c r="H99" s="726"/>
      <c r="I99" s="726">
        <v>0.68085106382978722</v>
      </c>
      <c r="J99" s="726">
        <v>0.55844155844155841</v>
      </c>
      <c r="K99" s="726">
        <v>0.6029411764705882</v>
      </c>
      <c r="L99" s="726">
        <v>0.57333333333333336</v>
      </c>
    </row>
    <row r="100" spans="2:12">
      <c r="B100" s="4864" t="s">
        <v>41</v>
      </c>
      <c r="C100" s="1713" t="s">
        <v>831</v>
      </c>
      <c r="D100" s="1366"/>
      <c r="E100" s="1366"/>
      <c r="F100" s="1366"/>
      <c r="G100" s="1366"/>
      <c r="H100" s="1366"/>
      <c r="I100" s="725">
        <v>0.51111111111111107</v>
      </c>
      <c r="J100" s="725">
        <v>0.53731343283582089</v>
      </c>
      <c r="K100" s="725">
        <v>0.60360360360360366</v>
      </c>
      <c r="L100" s="725">
        <v>0</v>
      </c>
    </row>
    <row r="101" spans="2:12">
      <c r="B101" s="4864"/>
      <c r="C101" s="3595" t="s">
        <v>575</v>
      </c>
      <c r="D101" s="726"/>
      <c r="E101" s="726"/>
      <c r="F101" s="726"/>
      <c r="G101" s="726"/>
      <c r="H101" s="726"/>
      <c r="I101" s="726">
        <v>0.51111111111111107</v>
      </c>
      <c r="J101" s="726">
        <v>0.53731343283582089</v>
      </c>
      <c r="K101" s="726">
        <v>0.60360360360360366</v>
      </c>
      <c r="L101" s="726">
        <v>0.56953642384105962</v>
      </c>
    </row>
    <row r="102" spans="2:12" ht="15" customHeight="1">
      <c r="B102" s="4867" t="s">
        <v>1211</v>
      </c>
      <c r="C102" s="4868"/>
      <c r="D102" s="1366"/>
      <c r="E102" s="1366"/>
      <c r="F102" s="1366"/>
      <c r="G102" s="1366"/>
      <c r="H102" s="1366"/>
      <c r="I102" s="1366">
        <v>0.55147058823529416</v>
      </c>
      <c r="J102" s="1366">
        <v>0.50934579439252337</v>
      </c>
      <c r="K102" s="1366">
        <v>0.53781512605042014</v>
      </c>
      <c r="L102" s="1366">
        <v>0.53289473684210531</v>
      </c>
    </row>
    <row r="103" spans="2:12" ht="15.75" customHeight="1">
      <c r="B103" s="4865" t="s">
        <v>114</v>
      </c>
      <c r="C103" s="4866"/>
      <c r="D103" s="2163">
        <v>0.41059773828756058</v>
      </c>
      <c r="E103" s="2164">
        <v>0.41303269375410073</v>
      </c>
      <c r="F103" s="2164">
        <v>0.41422026925953626</v>
      </c>
      <c r="G103" s="2162">
        <v>0.42727580164171303</v>
      </c>
      <c r="H103" s="2162">
        <v>0.42655201908792151</v>
      </c>
      <c r="I103" s="2162">
        <v>0.4532131321409632</v>
      </c>
      <c r="J103" s="2162">
        <v>0.45353666554417021</v>
      </c>
      <c r="K103" s="2162">
        <v>0.46158823343749011</v>
      </c>
      <c r="L103" s="2036">
        <v>0.49111951415148392</v>
      </c>
    </row>
    <row r="104" spans="2:12">
      <c r="J104" s="706"/>
    </row>
    <row r="105" spans="2:12">
      <c r="J105" s="706"/>
    </row>
    <row r="106" spans="2:12">
      <c r="J106" s="706"/>
    </row>
    <row r="107" spans="2:12">
      <c r="J107" s="706"/>
    </row>
    <row r="108" spans="2:12">
      <c r="J108" s="706"/>
    </row>
    <row r="109" spans="2:12">
      <c r="J109" s="706"/>
    </row>
    <row r="110" spans="2:12">
      <c r="J110" s="706"/>
    </row>
    <row r="111" spans="2:12">
      <c r="J111" s="706"/>
    </row>
    <row r="112" spans="2:12">
      <c r="J112" s="706"/>
    </row>
    <row r="113" spans="10:10">
      <c r="J113" s="706"/>
    </row>
    <row r="114" spans="10:10">
      <c r="J114" s="706"/>
    </row>
    <row r="115" spans="10:10">
      <c r="J115" s="706"/>
    </row>
    <row r="122" spans="10:10">
      <c r="J122" s="706"/>
    </row>
    <row r="123" spans="10:10">
      <c r="J123" s="706"/>
    </row>
    <row r="124" spans="10:10">
      <c r="J124" s="706"/>
    </row>
    <row r="125" spans="10:10">
      <c r="J125" s="706"/>
    </row>
    <row r="126" spans="10:10">
      <c r="J126" s="706"/>
    </row>
    <row r="127" spans="10:10">
      <c r="J127" s="706"/>
    </row>
    <row r="128" spans="10:10">
      <c r="J128" s="706"/>
    </row>
    <row r="129" spans="10:10">
      <c r="J129" s="706"/>
    </row>
    <row r="130" spans="10:10">
      <c r="J130" s="706"/>
    </row>
    <row r="131" spans="10:10">
      <c r="J131" s="706"/>
    </row>
    <row r="132" spans="10:10">
      <c r="J132" s="706"/>
    </row>
    <row r="133" spans="10:10">
      <c r="J133" s="706"/>
    </row>
    <row r="134" spans="10:10">
      <c r="J134" s="706"/>
    </row>
    <row r="135" spans="10:10">
      <c r="J135" s="706"/>
    </row>
    <row r="136" spans="10:10">
      <c r="J136" s="706"/>
    </row>
    <row r="137" spans="10:10">
      <c r="J137" s="706"/>
    </row>
    <row r="138" spans="10:10">
      <c r="J138" s="706"/>
    </row>
    <row r="139" spans="10:10">
      <c r="J139" s="706"/>
    </row>
    <row r="140" spans="10:10">
      <c r="J140" s="706"/>
    </row>
    <row r="141" spans="10:10">
      <c r="J141" s="706"/>
    </row>
    <row r="142" spans="10:10">
      <c r="J142" s="706"/>
    </row>
    <row r="143" spans="10:10">
      <c r="J143" s="706"/>
    </row>
    <row r="144" spans="10:10">
      <c r="J144" s="706"/>
    </row>
    <row r="145" spans="10:10">
      <c r="J145" s="706"/>
    </row>
    <row r="146" spans="10:10">
      <c r="J146" s="706"/>
    </row>
    <row r="147" spans="10:10">
      <c r="J147" s="706"/>
    </row>
    <row r="148" spans="10:10">
      <c r="J148" s="706"/>
    </row>
    <row r="149" spans="10:10">
      <c r="J149" s="706"/>
    </row>
    <row r="150" spans="10:10">
      <c r="J150" s="706"/>
    </row>
    <row r="151" spans="10:10">
      <c r="J151" s="706"/>
    </row>
    <row r="152" spans="10:10">
      <c r="J152" s="706"/>
    </row>
    <row r="153" spans="10:10">
      <c r="J153" s="706"/>
    </row>
    <row r="154" spans="10:10">
      <c r="J154" s="706"/>
    </row>
    <row r="155" spans="10:10">
      <c r="J155" s="706"/>
    </row>
    <row r="156" spans="10:10">
      <c r="J156" s="706"/>
    </row>
    <row r="157" spans="10:10">
      <c r="J157" s="706"/>
    </row>
    <row r="158" spans="10:10">
      <c r="J158" s="706"/>
    </row>
    <row r="159" spans="10:10">
      <c r="J159" s="706"/>
    </row>
    <row r="160" spans="10:10">
      <c r="J160" s="706"/>
    </row>
    <row r="161" spans="10:10">
      <c r="J161" s="706"/>
    </row>
    <row r="162" spans="10:10">
      <c r="J162" s="706"/>
    </row>
    <row r="163" spans="10:10">
      <c r="J163" s="706"/>
    </row>
    <row r="164" spans="10:10">
      <c r="J164" s="706"/>
    </row>
    <row r="165" spans="10:10">
      <c r="J165" s="706"/>
    </row>
    <row r="166" spans="10:10">
      <c r="J166" s="706"/>
    </row>
    <row r="167" spans="10:10">
      <c r="J167" s="706"/>
    </row>
    <row r="168" spans="10:10">
      <c r="J168" s="706"/>
    </row>
    <row r="169" spans="10:10">
      <c r="J169" s="706"/>
    </row>
    <row r="170" spans="10:10">
      <c r="J170" s="706"/>
    </row>
  </sheetData>
  <mergeCells count="23">
    <mergeCell ref="B89:B93"/>
    <mergeCell ref="B95:B96"/>
    <mergeCell ref="B5:B6"/>
    <mergeCell ref="C5:C6"/>
    <mergeCell ref="B7:B17"/>
    <mergeCell ref="B18:B22"/>
    <mergeCell ref="B23:B26"/>
    <mergeCell ref="B97:B99"/>
    <mergeCell ref="B100:B101"/>
    <mergeCell ref="B103:C103"/>
    <mergeCell ref="B27:C27"/>
    <mergeCell ref="B57:C57"/>
    <mergeCell ref="B79:C79"/>
    <mergeCell ref="B94:C94"/>
    <mergeCell ref="B102:C102"/>
    <mergeCell ref="B28:B37"/>
    <mergeCell ref="B38:B49"/>
    <mergeCell ref="B50:B56"/>
    <mergeCell ref="B58:B64"/>
    <mergeCell ref="B65:B73"/>
    <mergeCell ref="B74:B78"/>
    <mergeCell ref="B80:B84"/>
    <mergeCell ref="B85:B8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sheetPr>
    <tabColor theme="9" tint="-0.499984740745262"/>
  </sheetPr>
  <dimension ref="B2:L101"/>
  <sheetViews>
    <sheetView workbookViewId="0">
      <pane xSplit="3" ySplit="5" topLeftCell="D6" activePane="bottomRight" state="frozen"/>
      <selection activeCell="C113" sqref="C113"/>
      <selection pane="topRight" activeCell="C113" sqref="C113"/>
      <selection pane="bottomLeft" activeCell="C113" sqref="C113"/>
      <selection pane="bottomRight" activeCell="P24" sqref="P24"/>
    </sheetView>
  </sheetViews>
  <sheetFormatPr baseColWidth="10" defaultRowHeight="15"/>
  <cols>
    <col min="1" max="1" width="2.7109375" style="1287" customWidth="1"/>
    <col min="2" max="2" width="10.7109375" style="4623" customWidth="1"/>
    <col min="3" max="3" width="35.42578125" style="4623" bestFit="1" customWidth="1"/>
    <col min="4" max="8" width="9.28515625" style="4624" bestFit="1" customWidth="1"/>
    <col min="9" max="9" width="9.28515625" style="4624" customWidth="1"/>
    <col min="10" max="12" width="11.42578125" style="4624"/>
    <col min="13" max="248" width="11.42578125" style="1287"/>
    <col min="249" max="249" width="18.140625" style="1287" customWidth="1"/>
    <col min="250" max="250" width="13" style="1287" customWidth="1"/>
    <col min="251" max="251" width="41.85546875" style="1287" customWidth="1"/>
    <col min="252" max="252" width="14" style="1287" customWidth="1"/>
    <col min="253" max="253" width="13" style="1287" customWidth="1"/>
    <col min="254" max="254" width="13.7109375" style="1287" customWidth="1"/>
    <col min="255" max="504" width="11.42578125" style="1287"/>
    <col min="505" max="505" width="18.140625" style="1287" customWidth="1"/>
    <col min="506" max="506" width="13" style="1287" customWidth="1"/>
    <col min="507" max="507" width="41.85546875" style="1287" customWidth="1"/>
    <col min="508" max="508" width="14" style="1287" customWidth="1"/>
    <col min="509" max="509" width="13" style="1287" customWidth="1"/>
    <col min="510" max="510" width="13.7109375" style="1287" customWidth="1"/>
    <col min="511" max="760" width="11.42578125" style="1287"/>
    <col min="761" max="761" width="18.140625" style="1287" customWidth="1"/>
    <col min="762" max="762" width="13" style="1287" customWidth="1"/>
    <col min="763" max="763" width="41.85546875" style="1287" customWidth="1"/>
    <col min="764" max="764" width="14" style="1287" customWidth="1"/>
    <col min="765" max="765" width="13" style="1287" customWidth="1"/>
    <col min="766" max="766" width="13.7109375" style="1287" customWidth="1"/>
    <col min="767" max="1016" width="11.42578125" style="1287"/>
    <col min="1017" max="1017" width="18.140625" style="1287" customWidth="1"/>
    <col min="1018" max="1018" width="13" style="1287" customWidth="1"/>
    <col min="1019" max="1019" width="41.85546875" style="1287" customWidth="1"/>
    <col min="1020" max="1020" width="14" style="1287" customWidth="1"/>
    <col min="1021" max="1021" width="13" style="1287" customWidth="1"/>
    <col min="1022" max="1022" width="13.7109375" style="1287" customWidth="1"/>
    <col min="1023" max="1272" width="11.42578125" style="1287"/>
    <col min="1273" max="1273" width="18.140625" style="1287" customWidth="1"/>
    <col min="1274" max="1274" width="13" style="1287" customWidth="1"/>
    <col min="1275" max="1275" width="41.85546875" style="1287" customWidth="1"/>
    <col min="1276" max="1276" width="14" style="1287" customWidth="1"/>
    <col min="1277" max="1277" width="13" style="1287" customWidth="1"/>
    <col min="1278" max="1278" width="13.7109375" style="1287" customWidth="1"/>
    <col min="1279" max="1528" width="11.42578125" style="1287"/>
    <col min="1529" max="1529" width="18.140625" style="1287" customWidth="1"/>
    <col min="1530" max="1530" width="13" style="1287" customWidth="1"/>
    <col min="1531" max="1531" width="41.85546875" style="1287" customWidth="1"/>
    <col min="1532" max="1532" width="14" style="1287" customWidth="1"/>
    <col min="1533" max="1533" width="13" style="1287" customWidth="1"/>
    <col min="1534" max="1534" width="13.7109375" style="1287" customWidth="1"/>
    <col min="1535" max="1784" width="11.42578125" style="1287"/>
    <col min="1785" max="1785" width="18.140625" style="1287" customWidth="1"/>
    <col min="1786" max="1786" width="13" style="1287" customWidth="1"/>
    <col min="1787" max="1787" width="41.85546875" style="1287" customWidth="1"/>
    <col min="1788" max="1788" width="14" style="1287" customWidth="1"/>
    <col min="1789" max="1789" width="13" style="1287" customWidth="1"/>
    <col min="1790" max="1790" width="13.7109375" style="1287" customWidth="1"/>
    <col min="1791" max="2040" width="11.42578125" style="1287"/>
    <col min="2041" max="2041" width="18.140625" style="1287" customWidth="1"/>
    <col min="2042" max="2042" width="13" style="1287" customWidth="1"/>
    <col min="2043" max="2043" width="41.85546875" style="1287" customWidth="1"/>
    <col min="2044" max="2044" width="14" style="1287" customWidth="1"/>
    <col min="2045" max="2045" width="13" style="1287" customWidth="1"/>
    <col min="2046" max="2046" width="13.7109375" style="1287" customWidth="1"/>
    <col min="2047" max="2296" width="11.42578125" style="1287"/>
    <col min="2297" max="2297" width="18.140625" style="1287" customWidth="1"/>
    <col min="2298" max="2298" width="13" style="1287" customWidth="1"/>
    <col min="2299" max="2299" width="41.85546875" style="1287" customWidth="1"/>
    <col min="2300" max="2300" width="14" style="1287" customWidth="1"/>
    <col min="2301" max="2301" width="13" style="1287" customWidth="1"/>
    <col min="2302" max="2302" width="13.7109375" style="1287" customWidth="1"/>
    <col min="2303" max="2552" width="11.42578125" style="1287"/>
    <col min="2553" max="2553" width="18.140625" style="1287" customWidth="1"/>
    <col min="2554" max="2554" width="13" style="1287" customWidth="1"/>
    <col min="2555" max="2555" width="41.85546875" style="1287" customWidth="1"/>
    <col min="2556" max="2556" width="14" style="1287" customWidth="1"/>
    <col min="2557" max="2557" width="13" style="1287" customWidth="1"/>
    <col min="2558" max="2558" width="13.7109375" style="1287" customWidth="1"/>
    <col min="2559" max="2808" width="11.42578125" style="1287"/>
    <col min="2809" max="2809" width="18.140625" style="1287" customWidth="1"/>
    <col min="2810" max="2810" width="13" style="1287" customWidth="1"/>
    <col min="2811" max="2811" width="41.85546875" style="1287" customWidth="1"/>
    <col min="2812" max="2812" width="14" style="1287" customWidth="1"/>
    <col min="2813" max="2813" width="13" style="1287" customWidth="1"/>
    <col min="2814" max="2814" width="13.7109375" style="1287" customWidth="1"/>
    <col min="2815" max="3064" width="11.42578125" style="1287"/>
    <col min="3065" max="3065" width="18.140625" style="1287" customWidth="1"/>
    <col min="3066" max="3066" width="13" style="1287" customWidth="1"/>
    <col min="3067" max="3067" width="41.85546875" style="1287" customWidth="1"/>
    <col min="3068" max="3068" width="14" style="1287" customWidth="1"/>
    <col min="3069" max="3069" width="13" style="1287" customWidth="1"/>
    <col min="3070" max="3070" width="13.7109375" style="1287" customWidth="1"/>
    <col min="3071" max="3320" width="11.42578125" style="1287"/>
    <col min="3321" max="3321" width="18.140625" style="1287" customWidth="1"/>
    <col min="3322" max="3322" width="13" style="1287" customWidth="1"/>
    <col min="3323" max="3323" width="41.85546875" style="1287" customWidth="1"/>
    <col min="3324" max="3324" width="14" style="1287" customWidth="1"/>
    <col min="3325" max="3325" width="13" style="1287" customWidth="1"/>
    <col min="3326" max="3326" width="13.7109375" style="1287" customWidth="1"/>
    <col min="3327" max="3576" width="11.42578125" style="1287"/>
    <col min="3577" max="3577" width="18.140625" style="1287" customWidth="1"/>
    <col min="3578" max="3578" width="13" style="1287" customWidth="1"/>
    <col min="3579" max="3579" width="41.85546875" style="1287" customWidth="1"/>
    <col min="3580" max="3580" width="14" style="1287" customWidth="1"/>
    <col min="3581" max="3581" width="13" style="1287" customWidth="1"/>
    <col min="3582" max="3582" width="13.7109375" style="1287" customWidth="1"/>
    <col min="3583" max="3832" width="11.42578125" style="1287"/>
    <col min="3833" max="3833" width="18.140625" style="1287" customWidth="1"/>
    <col min="3834" max="3834" width="13" style="1287" customWidth="1"/>
    <col min="3835" max="3835" width="41.85546875" style="1287" customWidth="1"/>
    <col min="3836" max="3836" width="14" style="1287" customWidth="1"/>
    <col min="3837" max="3837" width="13" style="1287" customWidth="1"/>
    <col min="3838" max="3838" width="13.7109375" style="1287" customWidth="1"/>
    <col min="3839" max="4088" width="11.42578125" style="1287"/>
    <col min="4089" max="4089" width="18.140625" style="1287" customWidth="1"/>
    <col min="4090" max="4090" width="13" style="1287" customWidth="1"/>
    <col min="4091" max="4091" width="41.85546875" style="1287" customWidth="1"/>
    <col min="4092" max="4092" width="14" style="1287" customWidth="1"/>
    <col min="4093" max="4093" width="13" style="1287" customWidth="1"/>
    <col min="4094" max="4094" width="13.7109375" style="1287" customWidth="1"/>
    <col min="4095" max="4344" width="11.42578125" style="1287"/>
    <col min="4345" max="4345" width="18.140625" style="1287" customWidth="1"/>
    <col min="4346" max="4346" width="13" style="1287" customWidth="1"/>
    <col min="4347" max="4347" width="41.85546875" style="1287" customWidth="1"/>
    <col min="4348" max="4348" width="14" style="1287" customWidth="1"/>
    <col min="4349" max="4349" width="13" style="1287" customWidth="1"/>
    <col min="4350" max="4350" width="13.7109375" style="1287" customWidth="1"/>
    <col min="4351" max="4600" width="11.42578125" style="1287"/>
    <col min="4601" max="4601" width="18.140625" style="1287" customWidth="1"/>
    <col min="4602" max="4602" width="13" style="1287" customWidth="1"/>
    <col min="4603" max="4603" width="41.85546875" style="1287" customWidth="1"/>
    <col min="4604" max="4604" width="14" style="1287" customWidth="1"/>
    <col min="4605" max="4605" width="13" style="1287" customWidth="1"/>
    <col min="4606" max="4606" width="13.7109375" style="1287" customWidth="1"/>
    <col min="4607" max="4856" width="11.42578125" style="1287"/>
    <col min="4857" max="4857" width="18.140625" style="1287" customWidth="1"/>
    <col min="4858" max="4858" width="13" style="1287" customWidth="1"/>
    <col min="4859" max="4859" width="41.85546875" style="1287" customWidth="1"/>
    <col min="4860" max="4860" width="14" style="1287" customWidth="1"/>
    <col min="4861" max="4861" width="13" style="1287" customWidth="1"/>
    <col min="4862" max="4862" width="13.7109375" style="1287" customWidth="1"/>
    <col min="4863" max="5112" width="11.42578125" style="1287"/>
    <col min="5113" max="5113" width="18.140625" style="1287" customWidth="1"/>
    <col min="5114" max="5114" width="13" style="1287" customWidth="1"/>
    <col min="5115" max="5115" width="41.85546875" style="1287" customWidth="1"/>
    <col min="5116" max="5116" width="14" style="1287" customWidth="1"/>
    <col min="5117" max="5117" width="13" style="1287" customWidth="1"/>
    <col min="5118" max="5118" width="13.7109375" style="1287" customWidth="1"/>
    <col min="5119" max="5368" width="11.42578125" style="1287"/>
    <col min="5369" max="5369" width="18.140625" style="1287" customWidth="1"/>
    <col min="5370" max="5370" width="13" style="1287" customWidth="1"/>
    <col min="5371" max="5371" width="41.85546875" style="1287" customWidth="1"/>
    <col min="5372" max="5372" width="14" style="1287" customWidth="1"/>
    <col min="5373" max="5373" width="13" style="1287" customWidth="1"/>
    <col min="5374" max="5374" width="13.7109375" style="1287" customWidth="1"/>
    <col min="5375" max="5624" width="11.42578125" style="1287"/>
    <col min="5625" max="5625" width="18.140625" style="1287" customWidth="1"/>
    <col min="5626" max="5626" width="13" style="1287" customWidth="1"/>
    <col min="5627" max="5627" width="41.85546875" style="1287" customWidth="1"/>
    <col min="5628" max="5628" width="14" style="1287" customWidth="1"/>
    <col min="5629" max="5629" width="13" style="1287" customWidth="1"/>
    <col min="5630" max="5630" width="13.7109375" style="1287" customWidth="1"/>
    <col min="5631" max="5880" width="11.42578125" style="1287"/>
    <col min="5881" max="5881" width="18.140625" style="1287" customWidth="1"/>
    <col min="5882" max="5882" width="13" style="1287" customWidth="1"/>
    <col min="5883" max="5883" width="41.85546875" style="1287" customWidth="1"/>
    <col min="5884" max="5884" width="14" style="1287" customWidth="1"/>
    <col min="5885" max="5885" width="13" style="1287" customWidth="1"/>
    <col min="5886" max="5886" width="13.7109375" style="1287" customWidth="1"/>
    <col min="5887" max="6136" width="11.42578125" style="1287"/>
    <col min="6137" max="6137" width="18.140625" style="1287" customWidth="1"/>
    <col min="6138" max="6138" width="13" style="1287" customWidth="1"/>
    <col min="6139" max="6139" width="41.85546875" style="1287" customWidth="1"/>
    <col min="6140" max="6140" width="14" style="1287" customWidth="1"/>
    <col min="6141" max="6141" width="13" style="1287" customWidth="1"/>
    <col min="6142" max="6142" width="13.7109375" style="1287" customWidth="1"/>
    <col min="6143" max="6392" width="11.42578125" style="1287"/>
    <col min="6393" max="6393" width="18.140625" style="1287" customWidth="1"/>
    <col min="6394" max="6394" width="13" style="1287" customWidth="1"/>
    <col min="6395" max="6395" width="41.85546875" style="1287" customWidth="1"/>
    <col min="6396" max="6396" width="14" style="1287" customWidth="1"/>
    <col min="6397" max="6397" width="13" style="1287" customWidth="1"/>
    <col min="6398" max="6398" width="13.7109375" style="1287" customWidth="1"/>
    <col min="6399" max="6648" width="11.42578125" style="1287"/>
    <col min="6649" max="6649" width="18.140625" style="1287" customWidth="1"/>
    <col min="6650" max="6650" width="13" style="1287" customWidth="1"/>
    <col min="6651" max="6651" width="41.85546875" style="1287" customWidth="1"/>
    <col min="6652" max="6652" width="14" style="1287" customWidth="1"/>
    <col min="6653" max="6653" width="13" style="1287" customWidth="1"/>
    <col min="6654" max="6654" width="13.7109375" style="1287" customWidth="1"/>
    <col min="6655" max="6904" width="11.42578125" style="1287"/>
    <col min="6905" max="6905" width="18.140625" style="1287" customWidth="1"/>
    <col min="6906" max="6906" width="13" style="1287" customWidth="1"/>
    <col min="6907" max="6907" width="41.85546875" style="1287" customWidth="1"/>
    <col min="6908" max="6908" width="14" style="1287" customWidth="1"/>
    <col min="6909" max="6909" width="13" style="1287" customWidth="1"/>
    <col min="6910" max="6910" width="13.7109375" style="1287" customWidth="1"/>
    <col min="6911" max="7160" width="11.42578125" style="1287"/>
    <col min="7161" max="7161" width="18.140625" style="1287" customWidth="1"/>
    <col min="7162" max="7162" width="13" style="1287" customWidth="1"/>
    <col min="7163" max="7163" width="41.85546875" style="1287" customWidth="1"/>
    <col min="7164" max="7164" width="14" style="1287" customWidth="1"/>
    <col min="7165" max="7165" width="13" style="1287" customWidth="1"/>
    <col min="7166" max="7166" width="13.7109375" style="1287" customWidth="1"/>
    <col min="7167" max="7416" width="11.42578125" style="1287"/>
    <col min="7417" max="7417" width="18.140625" style="1287" customWidth="1"/>
    <col min="7418" max="7418" width="13" style="1287" customWidth="1"/>
    <col min="7419" max="7419" width="41.85546875" style="1287" customWidth="1"/>
    <col min="7420" max="7420" width="14" style="1287" customWidth="1"/>
    <col min="7421" max="7421" width="13" style="1287" customWidth="1"/>
    <col min="7422" max="7422" width="13.7109375" style="1287" customWidth="1"/>
    <col min="7423" max="7672" width="11.42578125" style="1287"/>
    <col min="7673" max="7673" width="18.140625" style="1287" customWidth="1"/>
    <col min="7674" max="7674" width="13" style="1287" customWidth="1"/>
    <col min="7675" max="7675" width="41.85546875" style="1287" customWidth="1"/>
    <col min="7676" max="7676" width="14" style="1287" customWidth="1"/>
    <col min="7677" max="7677" width="13" style="1287" customWidth="1"/>
    <col min="7678" max="7678" width="13.7109375" style="1287" customWidth="1"/>
    <col min="7679" max="7928" width="11.42578125" style="1287"/>
    <col min="7929" max="7929" width="18.140625" style="1287" customWidth="1"/>
    <col min="7930" max="7930" width="13" style="1287" customWidth="1"/>
    <col min="7931" max="7931" width="41.85546875" style="1287" customWidth="1"/>
    <col min="7932" max="7932" width="14" style="1287" customWidth="1"/>
    <col min="7933" max="7933" width="13" style="1287" customWidth="1"/>
    <col min="7934" max="7934" width="13.7109375" style="1287" customWidth="1"/>
    <col min="7935" max="8184" width="11.42578125" style="1287"/>
    <col min="8185" max="8185" width="18.140625" style="1287" customWidth="1"/>
    <col min="8186" max="8186" width="13" style="1287" customWidth="1"/>
    <col min="8187" max="8187" width="41.85546875" style="1287" customWidth="1"/>
    <col min="8188" max="8188" width="14" style="1287" customWidth="1"/>
    <col min="8189" max="8189" width="13" style="1287" customWidth="1"/>
    <col min="8190" max="8190" width="13.7109375" style="1287" customWidth="1"/>
    <col min="8191" max="8440" width="11.42578125" style="1287"/>
    <col min="8441" max="8441" width="18.140625" style="1287" customWidth="1"/>
    <col min="8442" max="8442" width="13" style="1287" customWidth="1"/>
    <col min="8443" max="8443" width="41.85546875" style="1287" customWidth="1"/>
    <col min="8444" max="8444" width="14" style="1287" customWidth="1"/>
    <col min="8445" max="8445" width="13" style="1287" customWidth="1"/>
    <col min="8446" max="8446" width="13.7109375" style="1287" customWidth="1"/>
    <col min="8447" max="8696" width="11.42578125" style="1287"/>
    <col min="8697" max="8697" width="18.140625" style="1287" customWidth="1"/>
    <col min="8698" max="8698" width="13" style="1287" customWidth="1"/>
    <col min="8699" max="8699" width="41.85546875" style="1287" customWidth="1"/>
    <col min="8700" max="8700" width="14" style="1287" customWidth="1"/>
    <col min="8701" max="8701" width="13" style="1287" customWidth="1"/>
    <col min="8702" max="8702" width="13.7109375" style="1287" customWidth="1"/>
    <col min="8703" max="8952" width="11.42578125" style="1287"/>
    <col min="8953" max="8953" width="18.140625" style="1287" customWidth="1"/>
    <col min="8954" max="8954" width="13" style="1287" customWidth="1"/>
    <col min="8955" max="8955" width="41.85546875" style="1287" customWidth="1"/>
    <col min="8956" max="8956" width="14" style="1287" customWidth="1"/>
    <col min="8957" max="8957" width="13" style="1287" customWidth="1"/>
    <col min="8958" max="8958" width="13.7109375" style="1287" customWidth="1"/>
    <col min="8959" max="9208" width="11.42578125" style="1287"/>
    <col min="9209" max="9209" width="18.140625" style="1287" customWidth="1"/>
    <col min="9210" max="9210" width="13" style="1287" customWidth="1"/>
    <col min="9211" max="9211" width="41.85546875" style="1287" customWidth="1"/>
    <col min="9212" max="9212" width="14" style="1287" customWidth="1"/>
    <col min="9213" max="9213" width="13" style="1287" customWidth="1"/>
    <col min="9214" max="9214" width="13.7109375" style="1287" customWidth="1"/>
    <col min="9215" max="9464" width="11.42578125" style="1287"/>
    <col min="9465" max="9465" width="18.140625" style="1287" customWidth="1"/>
    <col min="9466" max="9466" width="13" style="1287" customWidth="1"/>
    <col min="9467" max="9467" width="41.85546875" style="1287" customWidth="1"/>
    <col min="9468" max="9468" width="14" style="1287" customWidth="1"/>
    <col min="9469" max="9469" width="13" style="1287" customWidth="1"/>
    <col min="9470" max="9470" width="13.7109375" style="1287" customWidth="1"/>
    <col min="9471" max="9720" width="11.42578125" style="1287"/>
    <col min="9721" max="9721" width="18.140625" style="1287" customWidth="1"/>
    <col min="9722" max="9722" width="13" style="1287" customWidth="1"/>
    <col min="9723" max="9723" width="41.85546875" style="1287" customWidth="1"/>
    <col min="9724" max="9724" width="14" style="1287" customWidth="1"/>
    <col min="9725" max="9725" width="13" style="1287" customWidth="1"/>
    <col min="9726" max="9726" width="13.7109375" style="1287" customWidth="1"/>
    <col min="9727" max="9976" width="11.42578125" style="1287"/>
    <col min="9977" max="9977" width="18.140625" style="1287" customWidth="1"/>
    <col min="9978" max="9978" width="13" style="1287" customWidth="1"/>
    <col min="9979" max="9979" width="41.85546875" style="1287" customWidth="1"/>
    <col min="9980" max="9980" width="14" style="1287" customWidth="1"/>
    <col min="9981" max="9981" width="13" style="1287" customWidth="1"/>
    <col min="9982" max="9982" width="13.7109375" style="1287" customWidth="1"/>
    <col min="9983" max="10232" width="11.42578125" style="1287"/>
    <col min="10233" max="10233" width="18.140625" style="1287" customWidth="1"/>
    <col min="10234" max="10234" width="13" style="1287" customWidth="1"/>
    <col min="10235" max="10235" width="41.85546875" style="1287" customWidth="1"/>
    <col min="10236" max="10236" width="14" style="1287" customWidth="1"/>
    <col min="10237" max="10237" width="13" style="1287" customWidth="1"/>
    <col min="10238" max="10238" width="13.7109375" style="1287" customWidth="1"/>
    <col min="10239" max="10488" width="11.42578125" style="1287"/>
    <col min="10489" max="10489" width="18.140625" style="1287" customWidth="1"/>
    <col min="10490" max="10490" width="13" style="1287" customWidth="1"/>
    <col min="10491" max="10491" width="41.85546875" style="1287" customWidth="1"/>
    <col min="10492" max="10492" width="14" style="1287" customWidth="1"/>
    <col min="10493" max="10493" width="13" style="1287" customWidth="1"/>
    <col min="10494" max="10494" width="13.7109375" style="1287" customWidth="1"/>
    <col min="10495" max="10744" width="11.42578125" style="1287"/>
    <col min="10745" max="10745" width="18.140625" style="1287" customWidth="1"/>
    <col min="10746" max="10746" width="13" style="1287" customWidth="1"/>
    <col min="10747" max="10747" width="41.85546875" style="1287" customWidth="1"/>
    <col min="10748" max="10748" width="14" style="1287" customWidth="1"/>
    <col min="10749" max="10749" width="13" style="1287" customWidth="1"/>
    <col min="10750" max="10750" width="13.7109375" style="1287" customWidth="1"/>
    <col min="10751" max="11000" width="11.42578125" style="1287"/>
    <col min="11001" max="11001" width="18.140625" style="1287" customWidth="1"/>
    <col min="11002" max="11002" width="13" style="1287" customWidth="1"/>
    <col min="11003" max="11003" width="41.85546875" style="1287" customWidth="1"/>
    <col min="11004" max="11004" width="14" style="1287" customWidth="1"/>
    <col min="11005" max="11005" width="13" style="1287" customWidth="1"/>
    <col min="11006" max="11006" width="13.7109375" style="1287" customWidth="1"/>
    <col min="11007" max="11256" width="11.42578125" style="1287"/>
    <col min="11257" max="11257" width="18.140625" style="1287" customWidth="1"/>
    <col min="11258" max="11258" width="13" style="1287" customWidth="1"/>
    <col min="11259" max="11259" width="41.85546875" style="1287" customWidth="1"/>
    <col min="11260" max="11260" width="14" style="1287" customWidth="1"/>
    <col min="11261" max="11261" width="13" style="1287" customWidth="1"/>
    <col min="11262" max="11262" width="13.7109375" style="1287" customWidth="1"/>
    <col min="11263" max="11512" width="11.42578125" style="1287"/>
    <col min="11513" max="11513" width="18.140625" style="1287" customWidth="1"/>
    <col min="11514" max="11514" width="13" style="1287" customWidth="1"/>
    <col min="11515" max="11515" width="41.85546875" style="1287" customWidth="1"/>
    <col min="11516" max="11516" width="14" style="1287" customWidth="1"/>
    <col min="11517" max="11517" width="13" style="1287" customWidth="1"/>
    <col min="11518" max="11518" width="13.7109375" style="1287" customWidth="1"/>
    <col min="11519" max="11768" width="11.42578125" style="1287"/>
    <col min="11769" max="11769" width="18.140625" style="1287" customWidth="1"/>
    <col min="11770" max="11770" width="13" style="1287" customWidth="1"/>
    <col min="11771" max="11771" width="41.85546875" style="1287" customWidth="1"/>
    <col min="11772" max="11772" width="14" style="1287" customWidth="1"/>
    <col min="11773" max="11773" width="13" style="1287" customWidth="1"/>
    <col min="11774" max="11774" width="13.7109375" style="1287" customWidth="1"/>
    <col min="11775" max="12024" width="11.42578125" style="1287"/>
    <col min="12025" max="12025" width="18.140625" style="1287" customWidth="1"/>
    <col min="12026" max="12026" width="13" style="1287" customWidth="1"/>
    <col min="12027" max="12027" width="41.85546875" style="1287" customWidth="1"/>
    <col min="12028" max="12028" width="14" style="1287" customWidth="1"/>
    <col min="12029" max="12029" width="13" style="1287" customWidth="1"/>
    <col min="12030" max="12030" width="13.7109375" style="1287" customWidth="1"/>
    <col min="12031" max="12280" width="11.42578125" style="1287"/>
    <col min="12281" max="12281" width="18.140625" style="1287" customWidth="1"/>
    <col min="12282" max="12282" width="13" style="1287" customWidth="1"/>
    <col min="12283" max="12283" width="41.85546875" style="1287" customWidth="1"/>
    <col min="12284" max="12284" width="14" style="1287" customWidth="1"/>
    <col min="12285" max="12285" width="13" style="1287" customWidth="1"/>
    <col min="12286" max="12286" width="13.7109375" style="1287" customWidth="1"/>
    <col min="12287" max="12536" width="11.42578125" style="1287"/>
    <col min="12537" max="12537" width="18.140625" style="1287" customWidth="1"/>
    <col min="12538" max="12538" width="13" style="1287" customWidth="1"/>
    <col min="12539" max="12539" width="41.85546875" style="1287" customWidth="1"/>
    <col min="12540" max="12540" width="14" style="1287" customWidth="1"/>
    <col min="12541" max="12541" width="13" style="1287" customWidth="1"/>
    <col min="12542" max="12542" width="13.7109375" style="1287" customWidth="1"/>
    <col min="12543" max="12792" width="11.42578125" style="1287"/>
    <col min="12793" max="12793" width="18.140625" style="1287" customWidth="1"/>
    <col min="12794" max="12794" width="13" style="1287" customWidth="1"/>
    <col min="12795" max="12795" width="41.85546875" style="1287" customWidth="1"/>
    <col min="12796" max="12796" width="14" style="1287" customWidth="1"/>
    <col min="12797" max="12797" width="13" style="1287" customWidth="1"/>
    <col min="12798" max="12798" width="13.7109375" style="1287" customWidth="1"/>
    <col min="12799" max="13048" width="11.42578125" style="1287"/>
    <col min="13049" max="13049" width="18.140625" style="1287" customWidth="1"/>
    <col min="13050" max="13050" width="13" style="1287" customWidth="1"/>
    <col min="13051" max="13051" width="41.85546875" style="1287" customWidth="1"/>
    <col min="13052" max="13052" width="14" style="1287" customWidth="1"/>
    <col min="13053" max="13053" width="13" style="1287" customWidth="1"/>
    <col min="13054" max="13054" width="13.7109375" style="1287" customWidth="1"/>
    <col min="13055" max="13304" width="11.42578125" style="1287"/>
    <col min="13305" max="13305" width="18.140625" style="1287" customWidth="1"/>
    <col min="13306" max="13306" width="13" style="1287" customWidth="1"/>
    <col min="13307" max="13307" width="41.85546875" style="1287" customWidth="1"/>
    <col min="13308" max="13308" width="14" style="1287" customWidth="1"/>
    <col min="13309" max="13309" width="13" style="1287" customWidth="1"/>
    <col min="13310" max="13310" width="13.7109375" style="1287" customWidth="1"/>
    <col min="13311" max="13560" width="11.42578125" style="1287"/>
    <col min="13561" max="13561" width="18.140625" style="1287" customWidth="1"/>
    <col min="13562" max="13562" width="13" style="1287" customWidth="1"/>
    <col min="13563" max="13563" width="41.85546875" style="1287" customWidth="1"/>
    <col min="13564" max="13564" width="14" style="1287" customWidth="1"/>
    <col min="13565" max="13565" width="13" style="1287" customWidth="1"/>
    <col min="13566" max="13566" width="13.7109375" style="1287" customWidth="1"/>
    <col min="13567" max="13816" width="11.42578125" style="1287"/>
    <col min="13817" max="13817" width="18.140625" style="1287" customWidth="1"/>
    <col min="13818" max="13818" width="13" style="1287" customWidth="1"/>
    <col min="13819" max="13819" width="41.85546875" style="1287" customWidth="1"/>
    <col min="13820" max="13820" width="14" style="1287" customWidth="1"/>
    <col min="13821" max="13821" width="13" style="1287" customWidth="1"/>
    <col min="13822" max="13822" width="13.7109375" style="1287" customWidth="1"/>
    <col min="13823" max="14072" width="11.42578125" style="1287"/>
    <col min="14073" max="14073" width="18.140625" style="1287" customWidth="1"/>
    <col min="14074" max="14074" width="13" style="1287" customWidth="1"/>
    <col min="14075" max="14075" width="41.85546875" style="1287" customWidth="1"/>
    <col min="14076" max="14076" width="14" style="1287" customWidth="1"/>
    <col min="14077" max="14077" width="13" style="1287" customWidth="1"/>
    <col min="14078" max="14078" width="13.7109375" style="1287" customWidth="1"/>
    <col min="14079" max="14328" width="11.42578125" style="1287"/>
    <col min="14329" max="14329" width="18.140625" style="1287" customWidth="1"/>
    <col min="14330" max="14330" width="13" style="1287" customWidth="1"/>
    <col min="14331" max="14331" width="41.85546875" style="1287" customWidth="1"/>
    <col min="14332" max="14332" width="14" style="1287" customWidth="1"/>
    <col min="14333" max="14333" width="13" style="1287" customWidth="1"/>
    <col min="14334" max="14334" width="13.7109375" style="1287" customWidth="1"/>
    <col min="14335" max="14584" width="11.42578125" style="1287"/>
    <col min="14585" max="14585" width="18.140625" style="1287" customWidth="1"/>
    <col min="14586" max="14586" width="13" style="1287" customWidth="1"/>
    <col min="14587" max="14587" width="41.85546875" style="1287" customWidth="1"/>
    <col min="14588" max="14588" width="14" style="1287" customWidth="1"/>
    <col min="14589" max="14589" width="13" style="1287" customWidth="1"/>
    <col min="14590" max="14590" width="13.7109375" style="1287" customWidth="1"/>
    <col min="14591" max="14840" width="11.42578125" style="1287"/>
    <col min="14841" max="14841" width="18.140625" style="1287" customWidth="1"/>
    <col min="14842" max="14842" width="13" style="1287" customWidth="1"/>
    <col min="14843" max="14843" width="41.85546875" style="1287" customWidth="1"/>
    <col min="14844" max="14844" width="14" style="1287" customWidth="1"/>
    <col min="14845" max="14845" width="13" style="1287" customWidth="1"/>
    <col min="14846" max="14846" width="13.7109375" style="1287" customWidth="1"/>
    <col min="14847" max="15096" width="11.42578125" style="1287"/>
    <col min="15097" max="15097" width="18.140625" style="1287" customWidth="1"/>
    <col min="15098" max="15098" width="13" style="1287" customWidth="1"/>
    <col min="15099" max="15099" width="41.85546875" style="1287" customWidth="1"/>
    <col min="15100" max="15100" width="14" style="1287" customWidth="1"/>
    <col min="15101" max="15101" width="13" style="1287" customWidth="1"/>
    <col min="15102" max="15102" width="13.7109375" style="1287" customWidth="1"/>
    <col min="15103" max="15352" width="11.42578125" style="1287"/>
    <col min="15353" max="15353" width="18.140625" style="1287" customWidth="1"/>
    <col min="15354" max="15354" width="13" style="1287" customWidth="1"/>
    <col min="15355" max="15355" width="41.85546875" style="1287" customWidth="1"/>
    <col min="15356" max="15356" width="14" style="1287" customWidth="1"/>
    <col min="15357" max="15357" width="13" style="1287" customWidth="1"/>
    <col min="15358" max="15358" width="13.7109375" style="1287" customWidth="1"/>
    <col min="15359" max="15608" width="11.42578125" style="1287"/>
    <col min="15609" max="15609" width="18.140625" style="1287" customWidth="1"/>
    <col min="15610" max="15610" width="13" style="1287" customWidth="1"/>
    <col min="15611" max="15611" width="41.85546875" style="1287" customWidth="1"/>
    <col min="15612" max="15612" width="14" style="1287" customWidth="1"/>
    <col min="15613" max="15613" width="13" style="1287" customWidth="1"/>
    <col min="15614" max="15614" width="13.7109375" style="1287" customWidth="1"/>
    <col min="15615" max="15864" width="11.42578125" style="1287"/>
    <col min="15865" max="15865" width="18.140625" style="1287" customWidth="1"/>
    <col min="15866" max="15866" width="13" style="1287" customWidth="1"/>
    <col min="15867" max="15867" width="41.85546875" style="1287" customWidth="1"/>
    <col min="15868" max="15868" width="14" style="1287" customWidth="1"/>
    <col min="15869" max="15869" width="13" style="1287" customWidth="1"/>
    <col min="15870" max="15870" width="13.7109375" style="1287" customWidth="1"/>
    <col min="15871" max="16120" width="11.42578125" style="1287"/>
    <col min="16121" max="16121" width="18.140625" style="1287" customWidth="1"/>
    <col min="16122" max="16122" width="13" style="1287" customWidth="1"/>
    <col min="16123" max="16123" width="41.85546875" style="1287" customWidth="1"/>
    <col min="16124" max="16124" width="14" style="1287" customWidth="1"/>
    <col min="16125" max="16125" width="13" style="1287" customWidth="1"/>
    <col min="16126" max="16126" width="13.7109375" style="1287" customWidth="1"/>
    <col min="16127" max="16384" width="11.42578125" style="1287"/>
  </cols>
  <sheetData>
    <row r="2" spans="2:12" ht="18.75">
      <c r="B2" s="4650" t="s">
        <v>478</v>
      </c>
    </row>
    <row r="4" spans="2:12" ht="15" customHeight="1">
      <c r="B4" s="4624"/>
    </row>
    <row r="5" spans="2:12" ht="30">
      <c r="B5" s="4625" t="s">
        <v>2763</v>
      </c>
      <c r="C5" s="4626" t="s">
        <v>2</v>
      </c>
      <c r="D5" s="4627">
        <v>2010</v>
      </c>
      <c r="E5" s="4627">
        <v>2011</v>
      </c>
      <c r="F5" s="4627">
        <v>2012</v>
      </c>
      <c r="G5" s="4627">
        <v>2013</v>
      </c>
      <c r="H5" s="4627">
        <v>2014</v>
      </c>
      <c r="I5" s="4627">
        <v>2015</v>
      </c>
      <c r="J5" s="4627">
        <v>2016</v>
      </c>
      <c r="K5" s="4627">
        <v>2017</v>
      </c>
      <c r="L5" s="4627">
        <v>2018</v>
      </c>
    </row>
    <row r="6" spans="2:12" ht="15" customHeight="1">
      <c r="B6" s="4878" t="s">
        <v>4</v>
      </c>
      <c r="C6" s="4628" t="s">
        <v>5</v>
      </c>
      <c r="D6" s="4629">
        <v>8.6296296296296298</v>
      </c>
      <c r="E6" s="4629">
        <v>8.2857142857142847</v>
      </c>
      <c r="F6" s="4634">
        <v>7.6750000000000007</v>
      </c>
      <c r="G6" s="4635">
        <v>6.2363636363636381</v>
      </c>
      <c r="H6" s="4629">
        <v>6.1896551724137971</v>
      </c>
      <c r="I6" s="4651">
        <v>6.8124999999999964</v>
      </c>
      <c r="J6" s="4651">
        <v>7.59</v>
      </c>
      <c r="K6" s="4651">
        <v>7.9699999999999989</v>
      </c>
      <c r="L6" s="4651">
        <v>7.120000000000001</v>
      </c>
    </row>
    <row r="7" spans="2:12" ht="15" customHeight="1">
      <c r="B7" s="4878"/>
      <c r="C7" s="4630" t="s">
        <v>6</v>
      </c>
      <c r="D7" s="4629">
        <v>9.375</v>
      </c>
      <c r="E7" s="4629">
        <v>8.6944444444444464</v>
      </c>
      <c r="F7" s="4634">
        <v>9.4285714285714306</v>
      </c>
      <c r="G7" s="4634">
        <v>8.4576271186440621</v>
      </c>
      <c r="H7" s="4629">
        <v>7.2325581395348912</v>
      </c>
      <c r="I7" s="4652">
        <v>7.8000000000000007</v>
      </c>
      <c r="J7" s="4652">
        <v>8.25</v>
      </c>
      <c r="K7" s="4652">
        <v>8.879999999999999</v>
      </c>
      <c r="L7" s="4652">
        <v>7.2399999999999984</v>
      </c>
    </row>
    <row r="8" spans="2:12" ht="15" customHeight="1">
      <c r="B8" s="4878"/>
      <c r="C8" s="4630" t="s">
        <v>7</v>
      </c>
      <c r="D8" s="4629">
        <v>8.3333333333333321</v>
      </c>
      <c r="E8" s="4629">
        <v>11.066666666666666</v>
      </c>
      <c r="F8" s="4634">
        <v>9.1000000000000014</v>
      </c>
      <c r="G8" s="4634">
        <v>11.411764705882351</v>
      </c>
      <c r="H8" s="4629">
        <v>11.904761904761905</v>
      </c>
      <c r="I8" s="4652">
        <v>8.0952380952380985</v>
      </c>
      <c r="J8" s="4652">
        <v>9.57</v>
      </c>
      <c r="K8" s="4652">
        <v>8.6700000000000017</v>
      </c>
      <c r="L8" s="4652">
        <v>6.7600000000000016</v>
      </c>
    </row>
    <row r="9" spans="2:12" ht="15" customHeight="1">
      <c r="B9" s="4878"/>
      <c r="C9" s="4630" t="s">
        <v>8</v>
      </c>
      <c r="D9" s="4629">
        <v>9.8823529411764675</v>
      </c>
      <c r="E9" s="4629">
        <v>7.4615384615384599</v>
      </c>
      <c r="F9" s="4634">
        <v>9.411764705882355</v>
      </c>
      <c r="G9" s="4634">
        <v>9.1500000000000021</v>
      </c>
      <c r="H9" s="4629">
        <v>9.088235294117645</v>
      </c>
      <c r="I9" s="4652">
        <v>8.3500000000000014</v>
      </c>
      <c r="J9" s="4652">
        <v>7.41</v>
      </c>
      <c r="K9" s="4652">
        <v>8.9600000000000009</v>
      </c>
      <c r="L9" s="4652">
        <v>6.75</v>
      </c>
    </row>
    <row r="10" spans="2:12" ht="15" customHeight="1">
      <c r="B10" s="4878"/>
      <c r="C10" s="4630" t="s">
        <v>9</v>
      </c>
      <c r="D10" s="4629">
        <v>8.0898876404494331</v>
      </c>
      <c r="E10" s="4629">
        <v>8.5774647887324029</v>
      </c>
      <c r="F10" s="4634">
        <v>8.2318840579710013</v>
      </c>
      <c r="G10" s="4634">
        <v>7.8198198198198234</v>
      </c>
      <c r="H10" s="4629">
        <v>8.5154639175257785</v>
      </c>
      <c r="I10" s="4652">
        <v>9.0235294117647094</v>
      </c>
      <c r="J10" s="4652">
        <v>7.879999999999999</v>
      </c>
      <c r="K10" s="4652">
        <v>8.98</v>
      </c>
      <c r="L10" s="4652">
        <v>9.27</v>
      </c>
    </row>
    <row r="11" spans="2:12" ht="15" customHeight="1">
      <c r="B11" s="4878"/>
      <c r="C11" s="4630" t="s">
        <v>10</v>
      </c>
      <c r="D11" s="4629">
        <v>10.206896551724135</v>
      </c>
      <c r="E11" s="4629">
        <v>8.9523809523809526</v>
      </c>
      <c r="F11" s="4634">
        <v>9.3421052631578938</v>
      </c>
      <c r="G11" s="4634">
        <v>9.7962962962962941</v>
      </c>
      <c r="H11" s="4629">
        <v>9.9743589743589745</v>
      </c>
      <c r="I11" s="4652">
        <v>9.6046511627906952</v>
      </c>
      <c r="J11" s="4652">
        <v>8.4699999999999989</v>
      </c>
      <c r="K11" s="4652">
        <v>9.39</v>
      </c>
      <c r="L11" s="4652">
        <v>8.1999999999999993</v>
      </c>
    </row>
    <row r="12" spans="2:12" ht="15" customHeight="1">
      <c r="B12" s="4878"/>
      <c r="C12" s="4630" t="s">
        <v>11</v>
      </c>
      <c r="D12" s="4629">
        <v>4.8000000000000007</v>
      </c>
      <c r="E12" s="4629">
        <v>9</v>
      </c>
      <c r="F12" s="4634">
        <v>9</v>
      </c>
      <c r="G12" s="4634">
        <v>9.4444444444444429</v>
      </c>
      <c r="H12" s="4629">
        <v>10.473684210526315</v>
      </c>
      <c r="I12" s="4652">
        <v>9.764705882352942</v>
      </c>
      <c r="J12" s="4652">
        <v>8.43</v>
      </c>
      <c r="K12" s="4652">
        <v>6.1700000000000017</v>
      </c>
      <c r="L12" s="4652">
        <v>7.9499999999999993</v>
      </c>
    </row>
    <row r="13" spans="2:12" ht="15" customHeight="1">
      <c r="B13" s="4878"/>
      <c r="C13" s="4630" t="s">
        <v>12</v>
      </c>
      <c r="D13" s="4629">
        <v>7.9782608695652151</v>
      </c>
      <c r="E13" s="4629">
        <v>7.6222222222222129</v>
      </c>
      <c r="F13" s="4634">
        <v>6.216216216216214</v>
      </c>
      <c r="G13" s="4634">
        <v>7.1851851851851833</v>
      </c>
      <c r="H13" s="4629">
        <v>8.7261904761904852</v>
      </c>
      <c r="I13" s="4652">
        <v>8.3835616438356126</v>
      </c>
      <c r="J13" s="4652">
        <v>8.32</v>
      </c>
      <c r="K13" s="4652">
        <v>8.5799999999999983</v>
      </c>
      <c r="L13" s="4652">
        <v>7.7800000000000011</v>
      </c>
    </row>
    <row r="14" spans="2:12" ht="15" customHeight="1">
      <c r="B14" s="4878"/>
      <c r="C14" s="4630" t="s">
        <v>13</v>
      </c>
      <c r="D14" s="4629">
        <v>10.672727272727272</v>
      </c>
      <c r="E14" s="4629">
        <v>11.253521126760575</v>
      </c>
      <c r="F14" s="4634">
        <v>9.0845070422535166</v>
      </c>
      <c r="G14" s="4634">
        <v>10.592105263157901</v>
      </c>
      <c r="H14" s="4629">
        <v>10.338983050847457</v>
      </c>
      <c r="I14" s="4652">
        <v>11.280701754385969</v>
      </c>
      <c r="J14" s="4652">
        <v>10.91</v>
      </c>
      <c r="K14" s="4652">
        <v>10.969999999999999</v>
      </c>
      <c r="L14" s="4652">
        <v>10.71</v>
      </c>
    </row>
    <row r="15" spans="2:12" ht="15" customHeight="1">
      <c r="B15" s="4878"/>
      <c r="C15" s="4630" t="s">
        <v>14</v>
      </c>
      <c r="D15" s="4629">
        <v>5.1016949152542388</v>
      </c>
      <c r="E15" s="4629">
        <v>6.75</v>
      </c>
      <c r="F15" s="4634">
        <v>6.8000000000000078</v>
      </c>
      <c r="G15" s="4634">
        <v>8.8507462686567138</v>
      </c>
      <c r="H15" s="4629">
        <v>9.4583333333333179</v>
      </c>
      <c r="I15" s="4652">
        <v>8.779220779220779</v>
      </c>
      <c r="J15" s="4652">
        <v>10.780000000000001</v>
      </c>
      <c r="K15" s="4652">
        <v>11.120000000000001</v>
      </c>
      <c r="L15" s="4652">
        <v>10.309999999999999</v>
      </c>
    </row>
    <row r="16" spans="2:12" ht="15" customHeight="1">
      <c r="B16" s="4878"/>
      <c r="C16" s="4660" t="s">
        <v>572</v>
      </c>
      <c r="D16" s="4636">
        <v>8.3451086956522005</v>
      </c>
      <c r="E16" s="4636">
        <v>8.7326732673267387</v>
      </c>
      <c r="F16" s="4637">
        <v>8.1878453038674266</v>
      </c>
      <c r="G16" s="4637">
        <v>8.6000000000000014</v>
      </c>
      <c r="H16" s="4629">
        <v>8.9216027874564432</v>
      </c>
      <c r="I16" s="4653">
        <v>8.7210626185958091</v>
      </c>
      <c r="J16" s="4653">
        <v>8.879999999999999</v>
      </c>
      <c r="K16" s="4653">
        <v>9.1700000000000017</v>
      </c>
      <c r="L16" s="4653">
        <v>8.34</v>
      </c>
    </row>
    <row r="17" spans="2:12" ht="15" customHeight="1">
      <c r="B17" s="4878" t="s">
        <v>16</v>
      </c>
      <c r="C17" s="4630" t="s">
        <v>17</v>
      </c>
      <c r="D17" s="4629">
        <v>3.2647058823529385</v>
      </c>
      <c r="E17" s="4629">
        <v>3.2836879432624144</v>
      </c>
      <c r="F17" s="4634">
        <v>2.5856353591160186</v>
      </c>
      <c r="G17" s="4634">
        <v>3.5571428571428552</v>
      </c>
      <c r="H17" s="4629">
        <v>2.9497206703910717</v>
      </c>
      <c r="I17" s="4652">
        <v>3.7315789473684262</v>
      </c>
      <c r="J17" s="4652">
        <v>2.92</v>
      </c>
      <c r="K17" s="4652">
        <v>3.3200000000000003</v>
      </c>
      <c r="L17" s="4652">
        <v>2.9299999999999997</v>
      </c>
    </row>
    <row r="18" spans="2:12" ht="15" customHeight="1">
      <c r="B18" s="4878"/>
      <c r="C18" s="4630" t="s">
        <v>18</v>
      </c>
      <c r="D18" s="4629">
        <v>3.873417721518992</v>
      </c>
      <c r="E18" s="4629">
        <v>4.1005917159763214</v>
      </c>
      <c r="F18" s="4634">
        <v>3.8347826086956669</v>
      </c>
      <c r="G18" s="4634">
        <v>3.2824207492795452</v>
      </c>
      <c r="H18" s="4629">
        <v>2.797468354430384</v>
      </c>
      <c r="I18" s="4652">
        <v>3.5461254612546114</v>
      </c>
      <c r="J18" s="4652">
        <v>3.26</v>
      </c>
      <c r="K18" s="4652">
        <v>3.1400000000000006</v>
      </c>
      <c r="L18" s="4652">
        <v>3.42</v>
      </c>
    </row>
    <row r="19" spans="2:12" ht="15" customHeight="1">
      <c r="B19" s="4878"/>
      <c r="C19" s="4630" t="s">
        <v>19</v>
      </c>
      <c r="D19" s="4629">
        <v>7.4262295081967267</v>
      </c>
      <c r="E19" s="4629">
        <v>6.8431372549019613</v>
      </c>
      <c r="F19" s="4634">
        <v>6.928571428571427</v>
      </c>
      <c r="G19" s="4634">
        <v>6.216216216216214</v>
      </c>
      <c r="H19" s="4629">
        <v>7</v>
      </c>
      <c r="I19" s="4652">
        <v>5.9189189189189229</v>
      </c>
      <c r="J19" s="4652">
        <v>6</v>
      </c>
      <c r="K19" s="4652">
        <v>6.5100000000000016</v>
      </c>
      <c r="L19" s="4652">
        <v>7.0799999999999983</v>
      </c>
    </row>
    <row r="20" spans="2:12" ht="15" customHeight="1">
      <c r="B20" s="4878"/>
      <c r="C20" s="4630" t="s">
        <v>20</v>
      </c>
      <c r="D20" s="4629">
        <v>5.623188405797098</v>
      </c>
      <c r="E20" s="4629">
        <v>5.5384615384615365</v>
      </c>
      <c r="F20" s="4634">
        <v>6.3684210526315788</v>
      </c>
      <c r="G20" s="4634">
        <v>6.2258064516128933</v>
      </c>
      <c r="H20" s="4629">
        <v>5.3999999999999986</v>
      </c>
      <c r="I20" s="4652">
        <v>5.8617021276595729</v>
      </c>
      <c r="J20" s="4652">
        <v>4.82</v>
      </c>
      <c r="K20" s="4652">
        <v>6.84</v>
      </c>
      <c r="L20" s="4652">
        <v>6.620000000000001</v>
      </c>
    </row>
    <row r="21" spans="2:12" ht="15" customHeight="1">
      <c r="B21" s="4878"/>
      <c r="C21" s="4660" t="s">
        <v>573</v>
      </c>
      <c r="D21" s="4636">
        <v>4.3797216699801105</v>
      </c>
      <c r="E21" s="4636">
        <v>4.4123006833712957</v>
      </c>
      <c r="F21" s="4637">
        <v>4.0095419847328309</v>
      </c>
      <c r="G21" s="4637">
        <v>4.0399999999999991</v>
      </c>
      <c r="H21" s="4629">
        <v>3.6755793226381375</v>
      </c>
      <c r="I21" s="4653">
        <v>4.2273449920508845</v>
      </c>
      <c r="J21" s="4653">
        <v>3.6199999999999992</v>
      </c>
      <c r="K21" s="4653">
        <v>4.07</v>
      </c>
      <c r="L21" s="4653">
        <v>4.0100000000000016</v>
      </c>
    </row>
    <row r="22" spans="2:12" ht="15" customHeight="1">
      <c r="B22" s="4878" t="s">
        <v>21</v>
      </c>
      <c r="C22" s="4630" t="s">
        <v>22</v>
      </c>
      <c r="D22" s="4629">
        <v>5.6068376068376118</v>
      </c>
      <c r="E22" s="4629">
        <v>4.131868131868135</v>
      </c>
      <c r="F22" s="4634">
        <v>4.7764705882352878</v>
      </c>
      <c r="G22" s="4634">
        <v>4.6934306569343072</v>
      </c>
      <c r="H22" s="4629">
        <v>5.415254237288142</v>
      </c>
      <c r="I22" s="4652">
        <v>6.1617647058823479</v>
      </c>
      <c r="J22" s="4652">
        <v>6.620000000000001</v>
      </c>
      <c r="K22" s="4652">
        <v>6.23</v>
      </c>
      <c r="L22" s="4652">
        <v>5.3500000000000014</v>
      </c>
    </row>
    <row r="23" spans="2:12" ht="15" customHeight="1">
      <c r="B23" s="4878"/>
      <c r="C23" s="4630" t="s">
        <v>23</v>
      </c>
      <c r="D23" s="4629">
        <v>3.2083333333333357</v>
      </c>
      <c r="E23" s="4629">
        <v>3.5662650602409673</v>
      </c>
      <c r="F23" s="4634">
        <v>4.0380952380952309</v>
      </c>
      <c r="G23" s="4634">
        <v>3.2056074766355227</v>
      </c>
      <c r="H23" s="4629">
        <v>3.3543307086614185</v>
      </c>
      <c r="I23" s="4652">
        <v>3.7363636363636274</v>
      </c>
      <c r="J23" s="4652">
        <v>2.5199999999999996</v>
      </c>
      <c r="K23" s="4652">
        <v>3.1400000000000006</v>
      </c>
      <c r="L23" s="4652">
        <v>3.0500000000000007</v>
      </c>
    </row>
    <row r="24" spans="2:12" ht="15" customHeight="1">
      <c r="B24" s="4878"/>
      <c r="C24" s="4630" t="s">
        <v>24</v>
      </c>
      <c r="D24" s="4629">
        <v>4.7142857142857082</v>
      </c>
      <c r="E24" s="4629">
        <v>4.9705882352941195</v>
      </c>
      <c r="F24" s="4634">
        <v>6.603174603174601</v>
      </c>
      <c r="G24" s="4634">
        <v>4.1573033707865115</v>
      </c>
      <c r="H24" s="4629">
        <v>3.91</v>
      </c>
      <c r="I24" s="4652">
        <v>4.9278350515463956</v>
      </c>
      <c r="J24" s="4652">
        <v>3.6999999999999993</v>
      </c>
      <c r="K24" s="4652">
        <v>4.2899999999999991</v>
      </c>
      <c r="L24" s="4652">
        <v>3.26</v>
      </c>
    </row>
    <row r="25" spans="2:12" ht="15" customHeight="1">
      <c r="B25" s="4878"/>
      <c r="C25" s="4660" t="s">
        <v>574</v>
      </c>
      <c r="D25" s="4636">
        <v>4.476635514018696</v>
      </c>
      <c r="E25" s="4636">
        <v>4.1735537190082503</v>
      </c>
      <c r="F25" s="4637">
        <v>4.9249011857707465</v>
      </c>
      <c r="G25" s="4637">
        <v>4.07</v>
      </c>
      <c r="H25" s="4629">
        <v>4.2202898550724406</v>
      </c>
      <c r="I25" s="4653">
        <v>5.0349854227405189</v>
      </c>
      <c r="J25" s="4653">
        <v>4.1999999999999993</v>
      </c>
      <c r="K25" s="4653">
        <v>4.4899999999999984</v>
      </c>
      <c r="L25" s="4653">
        <v>3.83</v>
      </c>
    </row>
    <row r="26" spans="2:12" ht="15" customHeight="1">
      <c r="B26" s="4876" t="s">
        <v>107</v>
      </c>
      <c r="C26" s="4877"/>
      <c r="D26" s="4638">
        <v>5.6300335570469962</v>
      </c>
      <c r="E26" s="4638">
        <v>5.9677419354838612</v>
      </c>
      <c r="F26" s="4639">
        <v>5.5408252853380233</v>
      </c>
      <c r="G26" s="4639">
        <v>5.5500000000000007</v>
      </c>
      <c r="H26" s="4631">
        <v>5.8371621621621941</v>
      </c>
      <c r="I26" s="4654">
        <v>5.9919946631087164</v>
      </c>
      <c r="J26" s="4654">
        <v>5.68</v>
      </c>
      <c r="K26" s="4654">
        <v>6.0300000000000011</v>
      </c>
      <c r="L26" s="4654">
        <v>5.4400000000000013</v>
      </c>
    </row>
    <row r="27" spans="2:12" ht="15" customHeight="1">
      <c r="B27" s="4878" t="s">
        <v>4</v>
      </c>
      <c r="C27" s="4630" t="s">
        <v>26</v>
      </c>
      <c r="D27" s="4629">
        <v>5.375</v>
      </c>
      <c r="E27" s="4629">
        <v>6.6428571428571388</v>
      </c>
      <c r="F27" s="4635">
        <v>8.3703703703703702</v>
      </c>
      <c r="G27" s="4635">
        <v>9.4090909090909065</v>
      </c>
      <c r="H27" s="4629">
        <v>9.818181818181813</v>
      </c>
      <c r="I27" s="4652">
        <v>8.7727272727272698</v>
      </c>
      <c r="J27" s="4652">
        <v>9.2399999999999984</v>
      </c>
      <c r="K27" s="4652">
        <v>8.379999999999999</v>
      </c>
      <c r="L27" s="4652">
        <v>7.7100000000000009</v>
      </c>
    </row>
    <row r="28" spans="2:12" ht="15" customHeight="1">
      <c r="B28" s="4878"/>
      <c r="C28" s="4630" t="s">
        <v>27</v>
      </c>
      <c r="D28" s="4629">
        <v>7</v>
      </c>
      <c r="E28" s="4629">
        <v>3.5999999999999996</v>
      </c>
      <c r="F28" s="4634">
        <v>8.1666666666666679</v>
      </c>
      <c r="G28" s="4634"/>
      <c r="H28" s="4629">
        <v>7.1333333333333329</v>
      </c>
      <c r="I28" s="4652">
        <v>7.7000000000000028</v>
      </c>
      <c r="J28" s="4652">
        <v>6.1700000000000017</v>
      </c>
      <c r="K28" s="4652">
        <v>8.43</v>
      </c>
      <c r="L28" s="4652">
        <v>17</v>
      </c>
    </row>
    <row r="29" spans="2:12" ht="15" customHeight="1">
      <c r="B29" s="4878"/>
      <c r="C29" s="4630" t="s">
        <v>12</v>
      </c>
      <c r="D29" s="4629">
        <v>4.8571428571428541</v>
      </c>
      <c r="E29" s="4629">
        <v>9.2000000000000028</v>
      </c>
      <c r="F29" s="4634">
        <v>6.6363636363636367</v>
      </c>
      <c r="G29" s="4634">
        <v>8.3809523809523832</v>
      </c>
      <c r="H29" s="4629">
        <v>4.9166666666666679</v>
      </c>
      <c r="I29" s="4652">
        <v>6.5789473684210513</v>
      </c>
      <c r="J29" s="4652">
        <v>5.8900000000000006</v>
      </c>
      <c r="K29" s="4652">
        <v>6.82</v>
      </c>
      <c r="L29" s="4652">
        <v>7.6000000000000014</v>
      </c>
    </row>
    <row r="30" spans="2:12" ht="15" customHeight="1">
      <c r="B30" s="4878"/>
      <c r="C30" s="4630" t="s">
        <v>28</v>
      </c>
      <c r="D30" s="4629">
        <v>6.7058823529411775</v>
      </c>
      <c r="E30" s="4629">
        <v>6.2941176470588225</v>
      </c>
      <c r="F30" s="4634">
        <v>7.9999999999999964</v>
      </c>
      <c r="G30" s="4634">
        <v>6.6428571428571423</v>
      </c>
      <c r="H30" s="4629">
        <v>7.3076923076923066</v>
      </c>
      <c r="I30" s="4652">
        <v>6.1249999999999964</v>
      </c>
      <c r="J30" s="4652">
        <v>7.2100000000000009</v>
      </c>
      <c r="K30" s="4652">
        <v>7.1000000000000014</v>
      </c>
      <c r="L30" s="4652">
        <v>6.34</v>
      </c>
    </row>
    <row r="31" spans="2:12" ht="15" customHeight="1">
      <c r="B31" s="4878"/>
      <c r="C31" s="4630" t="s">
        <v>29</v>
      </c>
      <c r="D31" s="4629">
        <v>12.230769230769234</v>
      </c>
      <c r="E31" s="4629">
        <v>4.3000000000000007</v>
      </c>
      <c r="F31" s="4634">
        <v>11.555555555555557</v>
      </c>
      <c r="G31" s="4634">
        <v>6.3636363636363633</v>
      </c>
      <c r="H31" s="4629">
        <v>6.0588235294117609</v>
      </c>
      <c r="I31" s="4652">
        <v>6.4761904761904745</v>
      </c>
      <c r="J31" s="4652">
        <v>3.74</v>
      </c>
      <c r="K31" s="4652">
        <v>6.8099999999999987</v>
      </c>
      <c r="L31" s="4652">
        <v>7.5</v>
      </c>
    </row>
    <row r="32" spans="2:12" ht="15" customHeight="1">
      <c r="B32" s="4878"/>
      <c r="C32" s="4630" t="s">
        <v>13</v>
      </c>
      <c r="D32" s="4629">
        <v>7.5531914893617049</v>
      </c>
      <c r="E32" s="4629">
        <v>6.9285714285714342</v>
      </c>
      <c r="F32" s="4634">
        <v>9.0444444444444478</v>
      </c>
      <c r="G32" s="4634">
        <v>9.0909090909090899</v>
      </c>
      <c r="H32" s="4629">
        <v>7.6756756756756772</v>
      </c>
      <c r="I32" s="4652">
        <v>6.7407407407407369</v>
      </c>
      <c r="J32" s="4652">
        <v>8.86</v>
      </c>
      <c r="K32" s="4652">
        <v>9.68</v>
      </c>
      <c r="L32" s="4652">
        <v>7.8900000000000006</v>
      </c>
    </row>
    <row r="33" spans="2:12" ht="15" customHeight="1">
      <c r="B33" s="4878"/>
      <c r="C33" s="4630" t="s">
        <v>30</v>
      </c>
      <c r="D33" s="4629">
        <v>6.764705882352942</v>
      </c>
      <c r="E33" s="4629">
        <v>8.1999999999999993</v>
      </c>
      <c r="F33" s="4634">
        <v>9.4375</v>
      </c>
      <c r="G33" s="4634">
        <v>10.36</v>
      </c>
      <c r="H33" s="4629">
        <v>8.0526315789473735</v>
      </c>
      <c r="I33" s="4652">
        <v>10.916666666666668</v>
      </c>
      <c r="J33" s="4652">
        <v>7.6099999999999994</v>
      </c>
      <c r="K33" s="4652">
        <v>7.6499999999999986</v>
      </c>
      <c r="L33" s="4652">
        <v>6</v>
      </c>
    </row>
    <row r="34" spans="2:12" ht="15" customHeight="1">
      <c r="B34" s="4878"/>
      <c r="C34" s="4630" t="s">
        <v>31</v>
      </c>
      <c r="D34" s="4629">
        <v>4.2857142857142847</v>
      </c>
      <c r="E34" s="4629">
        <v>6.7272727272727266</v>
      </c>
      <c r="F34" s="4634">
        <v>5.2142857142857153</v>
      </c>
      <c r="G34" s="4634">
        <v>3.5</v>
      </c>
      <c r="H34" s="4629">
        <v>7.0000000000000036</v>
      </c>
      <c r="I34" s="4652">
        <v>6</v>
      </c>
      <c r="J34" s="4652">
        <v>5.41</v>
      </c>
      <c r="K34" s="4652">
        <v>5.7899999999999991</v>
      </c>
      <c r="L34" s="4652">
        <v>8</v>
      </c>
    </row>
    <row r="35" spans="2:12" ht="15" customHeight="1">
      <c r="B35" s="4878"/>
      <c r="C35" s="4630" t="s">
        <v>32</v>
      </c>
      <c r="D35" s="4629">
        <v>7.5333333333333385</v>
      </c>
      <c r="E35" s="4629">
        <v>7.4999999999999929</v>
      </c>
      <c r="F35" s="4634">
        <v>7.7209302325581319</v>
      </c>
      <c r="G35" s="4634">
        <v>9.9736842105263186</v>
      </c>
      <c r="H35" s="4629">
        <v>8.6666666666666643</v>
      </c>
      <c r="I35" s="4652">
        <v>7.740740740740744</v>
      </c>
      <c r="J35" s="4652">
        <v>7.129999999999999</v>
      </c>
      <c r="K35" s="4652">
        <v>8.5599999999999987</v>
      </c>
      <c r="L35" s="4652">
        <v>8.23</v>
      </c>
    </row>
    <row r="36" spans="2:12" ht="15" customHeight="1">
      <c r="B36" s="4878"/>
      <c r="C36" s="4660" t="s">
        <v>572</v>
      </c>
      <c r="D36" s="4636">
        <v>6.895397489539743</v>
      </c>
      <c r="E36" s="4636">
        <v>7.1229050279329584</v>
      </c>
      <c r="F36" s="4637">
        <v>8.1584158415841515</v>
      </c>
      <c r="G36" s="4637">
        <v>8.7100000000000009</v>
      </c>
      <c r="H36" s="4629">
        <v>7.8632075471698357</v>
      </c>
      <c r="I36" s="4653">
        <v>7.3179190751444949</v>
      </c>
      <c r="J36" s="4653">
        <v>6.91</v>
      </c>
      <c r="K36" s="4653">
        <v>7.870000000000001</v>
      </c>
      <c r="L36" s="4653">
        <v>7.59</v>
      </c>
    </row>
    <row r="37" spans="2:12" ht="15" customHeight="1">
      <c r="B37" s="4878" t="s">
        <v>16</v>
      </c>
      <c r="C37" s="4630" t="s">
        <v>17</v>
      </c>
      <c r="D37" s="4629">
        <v>4.2434210526315823</v>
      </c>
      <c r="E37" s="4629">
        <v>3.8479999999999954</v>
      </c>
      <c r="F37" s="4634">
        <v>3.2631578947368425</v>
      </c>
      <c r="G37" s="4634">
        <v>2.9157894736842032</v>
      </c>
      <c r="H37" s="4629">
        <v>3.5782312925170032</v>
      </c>
      <c r="I37" s="4652">
        <v>4.1854304635761643</v>
      </c>
      <c r="J37" s="4652">
        <v>3.3900000000000006</v>
      </c>
      <c r="K37" s="4652">
        <v>3.0500000000000007</v>
      </c>
      <c r="L37" s="4652">
        <v>3.2899999999999991</v>
      </c>
    </row>
    <row r="38" spans="2:12" ht="15" customHeight="1">
      <c r="B38" s="4878"/>
      <c r="C38" s="4630" t="s">
        <v>33</v>
      </c>
      <c r="D38" s="4629">
        <v>5.5263157894736814</v>
      </c>
      <c r="E38" s="4629">
        <v>7.695652173913043</v>
      </c>
      <c r="F38" s="4634">
        <v>5.1250000000000036</v>
      </c>
      <c r="G38" s="4634">
        <v>5.411764705882355</v>
      </c>
      <c r="H38" s="4629">
        <v>4.6785714285714306</v>
      </c>
      <c r="I38" s="4652">
        <v>5.75</v>
      </c>
      <c r="J38" s="4652">
        <v>5.5</v>
      </c>
      <c r="K38" s="4652">
        <v>5.2800000000000011</v>
      </c>
      <c r="L38" s="4652">
        <v>7.0799999999999983</v>
      </c>
    </row>
    <row r="39" spans="2:12" ht="15" customHeight="1">
      <c r="B39" s="4878"/>
      <c r="C39" s="4630" t="s">
        <v>34</v>
      </c>
      <c r="D39" s="4629">
        <v>6.1999999999999993</v>
      </c>
      <c r="E39" s="4629">
        <v>6.34375</v>
      </c>
      <c r="F39" s="4634">
        <v>5.4358974358974343</v>
      </c>
      <c r="G39" s="4634">
        <v>5.5853658536585407</v>
      </c>
      <c r="H39" s="4629">
        <v>7.9166666666666679</v>
      </c>
      <c r="I39" s="4652">
        <v>6.7333333333333378</v>
      </c>
      <c r="J39" s="4652">
        <v>8.89</v>
      </c>
      <c r="K39" s="4652">
        <v>6.879999999999999</v>
      </c>
      <c r="L39" s="4652">
        <v>6</v>
      </c>
    </row>
    <row r="40" spans="2:12" ht="15" customHeight="1">
      <c r="B40" s="4878"/>
      <c r="C40" s="4630" t="s">
        <v>35</v>
      </c>
      <c r="D40" s="4629">
        <v>7.9743589743589745</v>
      </c>
      <c r="E40" s="4629">
        <v>4.5897435897435912</v>
      </c>
      <c r="F40" s="4634">
        <v>5.9200000000000017</v>
      </c>
      <c r="G40" s="4634">
        <v>6.4651162790697683</v>
      </c>
      <c r="H40" s="4629">
        <v>7.724137931034484</v>
      </c>
      <c r="I40" s="4652">
        <v>6.7857142857142847</v>
      </c>
      <c r="J40" s="4652">
        <v>7.8000000000000007</v>
      </c>
      <c r="K40" s="4652">
        <v>7.7899999999999991</v>
      </c>
      <c r="L40" s="4652">
        <v>7.16</v>
      </c>
    </row>
    <row r="41" spans="2:12" ht="15" customHeight="1">
      <c r="B41" s="4878"/>
      <c r="C41" s="4630" t="s">
        <v>19</v>
      </c>
      <c r="D41" s="4629">
        <v>5.589041095890412</v>
      </c>
      <c r="E41" s="4629">
        <v>3.7058823529411722</v>
      </c>
      <c r="F41" s="4634">
        <v>5.1578947368421062</v>
      </c>
      <c r="G41" s="4634">
        <v>4.5084745762711904</v>
      </c>
      <c r="H41" s="4629">
        <v>4.7380952380952408</v>
      </c>
      <c r="I41" s="4652">
        <v>4.4333333333333265</v>
      </c>
      <c r="J41" s="4652">
        <v>6.370000000000001</v>
      </c>
      <c r="K41" s="4652">
        <v>3.8200000000000003</v>
      </c>
      <c r="L41" s="4652">
        <v>4.0300000000000011</v>
      </c>
    </row>
    <row r="42" spans="2:12" ht="15" customHeight="1">
      <c r="B42" s="4878"/>
      <c r="C42" s="4630" t="s">
        <v>20</v>
      </c>
      <c r="D42" s="4629">
        <v>5.3333333333333357</v>
      </c>
      <c r="E42" s="4629">
        <v>3.9999999999999964</v>
      </c>
      <c r="F42" s="4634">
        <v>5.7037037037037059</v>
      </c>
      <c r="G42" s="4634">
        <v>6.0869565217391326</v>
      </c>
      <c r="H42" s="4629">
        <v>6.6730769230769234</v>
      </c>
      <c r="I42" s="4652">
        <v>5.4146341463414629</v>
      </c>
      <c r="J42" s="4652">
        <v>5.6999999999999993</v>
      </c>
      <c r="K42" s="4652">
        <v>4.879999999999999</v>
      </c>
      <c r="L42" s="4652">
        <v>6.5300000000000011</v>
      </c>
    </row>
    <row r="43" spans="2:12" ht="15" customHeight="1">
      <c r="B43" s="4878"/>
      <c r="C43" s="4630" t="s">
        <v>36</v>
      </c>
      <c r="D43" s="4629">
        <v>6.9166666666666679</v>
      </c>
      <c r="E43" s="4629">
        <v>8.0399999999999956</v>
      </c>
      <c r="F43" s="4634">
        <v>7.6285714285714299</v>
      </c>
      <c r="G43" s="4634">
        <v>6.441176470588232</v>
      </c>
      <c r="H43" s="4629">
        <v>5.2571428571428527</v>
      </c>
      <c r="I43" s="4652">
        <v>7.3249999999999993</v>
      </c>
      <c r="J43" s="4652">
        <v>6.370000000000001</v>
      </c>
      <c r="K43" s="4652">
        <v>5.48</v>
      </c>
      <c r="L43" s="4652">
        <v>6.9200000000000017</v>
      </c>
    </row>
    <row r="44" spans="2:12" ht="15" customHeight="1">
      <c r="B44" s="4878"/>
      <c r="C44" s="4630" t="s">
        <v>37</v>
      </c>
      <c r="D44" s="4629">
        <v>3.5999999999999996</v>
      </c>
      <c r="E44" s="4629">
        <v>6.4615384615384599</v>
      </c>
      <c r="F44" s="4634">
        <v>2.294117647058826</v>
      </c>
      <c r="G44" s="4634">
        <v>5.3124999999999964</v>
      </c>
      <c r="H44" s="4629">
        <v>3.0769230769230766</v>
      </c>
      <c r="I44" s="4652">
        <v>4.7619047619047628</v>
      </c>
      <c r="J44" s="4652">
        <v>3.5199999999999996</v>
      </c>
      <c r="K44" s="4652">
        <v>5.7800000000000011</v>
      </c>
      <c r="L44" s="4652">
        <v>3.9600000000000009</v>
      </c>
    </row>
    <row r="45" spans="2:12" ht="15" customHeight="1">
      <c r="B45" s="4878"/>
      <c r="C45" s="4630" t="s">
        <v>38</v>
      </c>
      <c r="D45" s="4629">
        <v>5.0681818181818237</v>
      </c>
      <c r="E45" s="4629">
        <v>6.6363636363636296</v>
      </c>
      <c r="F45" s="4634">
        <v>5.3999999999999915</v>
      </c>
      <c r="G45" s="4634">
        <v>5.1666666666666607</v>
      </c>
      <c r="H45" s="4629">
        <v>5.5192307692307701</v>
      </c>
      <c r="I45" s="4652">
        <v>5.672413793103452</v>
      </c>
      <c r="J45" s="4652">
        <v>3.5600000000000005</v>
      </c>
      <c r="K45" s="4652">
        <v>5.3299999999999983</v>
      </c>
      <c r="L45" s="4652">
        <v>6.3099999999999987</v>
      </c>
    </row>
    <row r="46" spans="2:12" ht="15" customHeight="1">
      <c r="B46" s="4878"/>
      <c r="C46" s="4630" t="s">
        <v>39</v>
      </c>
      <c r="D46" s="4629">
        <v>3.5806451612903256</v>
      </c>
      <c r="E46" s="4629">
        <v>3.3904761904761944</v>
      </c>
      <c r="F46" s="4634">
        <v>2.7315436241610698</v>
      </c>
      <c r="G46" s="4634">
        <v>2.625</v>
      </c>
      <c r="H46" s="4629">
        <v>4.1557377049180317</v>
      </c>
      <c r="I46" s="4652">
        <v>4.4204545454545432</v>
      </c>
      <c r="J46" s="4652">
        <v>3.1899999999999995</v>
      </c>
      <c r="K46" s="4652">
        <v>3.7100000000000009</v>
      </c>
      <c r="L46" s="4652">
        <v>3.51</v>
      </c>
    </row>
    <row r="47" spans="2:12" ht="15" customHeight="1">
      <c r="B47" s="4878"/>
      <c r="C47" s="4630" t="s">
        <v>40</v>
      </c>
      <c r="D47" s="4629">
        <v>3.3333333333333339</v>
      </c>
      <c r="E47" s="4629">
        <v>6.25</v>
      </c>
      <c r="F47" s="4634">
        <v>9.7142857142857153</v>
      </c>
      <c r="G47" s="4634">
        <v>7.1428571428571423</v>
      </c>
      <c r="H47" s="4629">
        <v>7.7500000000000036</v>
      </c>
      <c r="I47" s="4652">
        <v>9.7272727272727266</v>
      </c>
      <c r="J47" s="4652">
        <v>9</v>
      </c>
      <c r="K47" s="4652">
        <v>10.190000000000001</v>
      </c>
      <c r="L47" s="4652">
        <v>9.0500000000000007</v>
      </c>
    </row>
    <row r="48" spans="2:12" ht="15" customHeight="1">
      <c r="B48" s="4878"/>
      <c r="C48" s="4660" t="s">
        <v>573</v>
      </c>
      <c r="D48" s="4636">
        <v>5.0493601462522761</v>
      </c>
      <c r="E48" s="4636">
        <v>4.7219917012448143</v>
      </c>
      <c r="F48" s="4637">
        <v>4.2955752212389378</v>
      </c>
      <c r="G48" s="4637">
        <v>4.2899999999999991</v>
      </c>
      <c r="H48" s="4629">
        <v>4.88586956521738</v>
      </c>
      <c r="I48" s="4653">
        <v>5.2421602787456294</v>
      </c>
      <c r="J48" s="4653">
        <v>4.6999999999999993</v>
      </c>
      <c r="K48" s="4653">
        <v>4.6499999999999986</v>
      </c>
      <c r="L48" s="4653">
        <v>5.0300000000000011</v>
      </c>
    </row>
    <row r="49" spans="2:12" ht="15" customHeight="1">
      <c r="B49" s="4878" t="s">
        <v>41</v>
      </c>
      <c r="C49" s="4630" t="s">
        <v>42</v>
      </c>
      <c r="D49" s="4629">
        <v>5.1320754716981121</v>
      </c>
      <c r="E49" s="4629">
        <v>4.8510638297872362</v>
      </c>
      <c r="F49" s="4634">
        <v>4.80555555555555</v>
      </c>
      <c r="G49" s="4634">
        <v>5.9239130434782652</v>
      </c>
      <c r="H49" s="4629">
        <v>5.566265060240962</v>
      </c>
      <c r="I49" s="4652">
        <v>5.7578947368421041</v>
      </c>
      <c r="J49" s="4652">
        <v>7.2800000000000011</v>
      </c>
      <c r="K49" s="4652">
        <v>6.4600000000000009</v>
      </c>
      <c r="L49" s="4652">
        <v>6.0500000000000007</v>
      </c>
    </row>
    <row r="50" spans="2:12" ht="15" customHeight="1">
      <c r="B50" s="4878"/>
      <c r="C50" s="4630" t="s">
        <v>43</v>
      </c>
      <c r="D50" s="4629">
        <v>6.9166666666666643</v>
      </c>
      <c r="E50" s="4629">
        <v>6.7692307692307665</v>
      </c>
      <c r="F50" s="4634">
        <v>7.0243902439024382</v>
      </c>
      <c r="G50" s="4634">
        <v>7.1730769230769305</v>
      </c>
      <c r="H50" s="4629">
        <v>7.7812499999999893</v>
      </c>
      <c r="I50" s="4652">
        <v>7.428571428571427</v>
      </c>
      <c r="J50" s="4652">
        <v>5.4600000000000009</v>
      </c>
      <c r="K50" s="4652">
        <v>6.8299999999999983</v>
      </c>
      <c r="L50" s="4652">
        <v>6.1700000000000017</v>
      </c>
    </row>
    <row r="51" spans="2:12" ht="15" customHeight="1">
      <c r="B51" s="4878"/>
      <c r="C51" s="4630" t="s">
        <v>44</v>
      </c>
      <c r="D51" s="4629">
        <v>6.1739130434782652</v>
      </c>
      <c r="E51" s="4629">
        <v>6.1764705882352935</v>
      </c>
      <c r="F51" s="4634">
        <v>8.4838709677419359</v>
      </c>
      <c r="G51" s="4634">
        <v>7.7142857142857117</v>
      </c>
      <c r="H51" s="4629">
        <v>4.7000000000000028</v>
      </c>
      <c r="I51" s="4652">
        <v>6.8292682926829222</v>
      </c>
      <c r="J51" s="4652">
        <v>7.5399999999999991</v>
      </c>
      <c r="K51" s="4652">
        <v>5.9899999999999984</v>
      </c>
      <c r="L51" s="4652">
        <v>5.8999999999999986</v>
      </c>
    </row>
    <row r="52" spans="2:12" ht="15" customHeight="1">
      <c r="B52" s="4878"/>
      <c r="C52" s="4630" t="s">
        <v>45</v>
      </c>
      <c r="D52" s="4629">
        <v>5</v>
      </c>
      <c r="E52" s="4629">
        <v>6.75</v>
      </c>
      <c r="F52" s="4634">
        <v>6.6428571428571459</v>
      </c>
      <c r="G52" s="4634">
        <v>4.7333333333333307</v>
      </c>
      <c r="H52" s="4629">
        <v>4.2142857142857117</v>
      </c>
      <c r="I52" s="4652">
        <v>5.7600000000000016</v>
      </c>
      <c r="J52" s="4652">
        <v>4.6700000000000017</v>
      </c>
      <c r="K52" s="4652">
        <v>4.8000000000000007</v>
      </c>
      <c r="L52" s="4652">
        <v>3.7899999999999991</v>
      </c>
    </row>
    <row r="53" spans="2:12" ht="15" customHeight="1">
      <c r="B53" s="4878"/>
      <c r="C53" s="4630" t="s">
        <v>46</v>
      </c>
      <c r="D53" s="4629">
        <v>6.1386138613861441</v>
      </c>
      <c r="E53" s="4629">
        <v>6.5087719298245652</v>
      </c>
      <c r="F53" s="4634">
        <v>6.9848484848484915</v>
      </c>
      <c r="G53" s="4634">
        <v>5.316455696202528</v>
      </c>
      <c r="H53" s="4629">
        <v>6.026315789473685</v>
      </c>
      <c r="I53" s="4652">
        <v>7.4117647058823479</v>
      </c>
      <c r="J53" s="4652">
        <v>7.3000000000000007</v>
      </c>
      <c r="K53" s="4652">
        <v>7.4200000000000017</v>
      </c>
      <c r="L53" s="4652">
        <v>6.379999999999999</v>
      </c>
    </row>
    <row r="54" spans="2:12" ht="15" customHeight="1">
      <c r="B54" s="4878"/>
      <c r="C54" s="4630" t="s">
        <v>47</v>
      </c>
      <c r="D54" s="4629">
        <v>7.3582089552238834</v>
      </c>
      <c r="E54" s="4629">
        <v>7.378378378378379</v>
      </c>
      <c r="F54" s="4634">
        <v>7.5342465753424612</v>
      </c>
      <c r="G54" s="4634">
        <v>7.4074074074074048</v>
      </c>
      <c r="H54" s="4629">
        <v>7.9090909090909136</v>
      </c>
      <c r="I54" s="4652">
        <v>6.2771084337349379</v>
      </c>
      <c r="J54" s="4652">
        <v>8.27</v>
      </c>
      <c r="K54" s="4652">
        <v>7.3500000000000014</v>
      </c>
      <c r="L54" s="4652">
        <v>7.2600000000000016</v>
      </c>
    </row>
    <row r="55" spans="2:12" ht="15" customHeight="1">
      <c r="B55" s="4878"/>
      <c r="C55" s="4660" t="s">
        <v>575</v>
      </c>
      <c r="D55" s="4636">
        <v>6.31683168316831</v>
      </c>
      <c r="E55" s="4636">
        <v>6.4941176470588076</v>
      </c>
      <c r="F55" s="4637">
        <v>6.7373737373737335</v>
      </c>
      <c r="G55" s="4637">
        <v>6.4400000000000013</v>
      </c>
      <c r="H55" s="4629">
        <v>6.5710144927536334</v>
      </c>
      <c r="I55" s="4653">
        <v>6.5922077922077875</v>
      </c>
      <c r="J55" s="4653">
        <v>7.120000000000001</v>
      </c>
      <c r="K55" s="4653">
        <v>6.6499999999999986</v>
      </c>
      <c r="L55" s="4653">
        <v>6.07</v>
      </c>
    </row>
    <row r="56" spans="2:12" ht="15" customHeight="1">
      <c r="B56" s="4876" t="s">
        <v>111</v>
      </c>
      <c r="C56" s="4877"/>
      <c r="D56" s="4638">
        <v>5.8071625344352711</v>
      </c>
      <c r="E56" s="4638">
        <v>5.6844978165938898</v>
      </c>
      <c r="F56" s="4639">
        <v>5.7105263157894974</v>
      </c>
      <c r="G56" s="4639">
        <v>5.5399999999999991</v>
      </c>
      <c r="H56" s="4631">
        <v>5.9792605951307536</v>
      </c>
      <c r="I56" s="4654">
        <v>6.0185512367491434</v>
      </c>
      <c r="J56" s="4654">
        <v>6</v>
      </c>
      <c r="K56" s="4654">
        <v>5.9899999999999984</v>
      </c>
      <c r="L56" s="4654">
        <v>5.9899999999999984</v>
      </c>
    </row>
    <row r="57" spans="2:12" ht="15" customHeight="1">
      <c r="B57" s="4878" t="s">
        <v>16</v>
      </c>
      <c r="C57" s="4630" t="s">
        <v>17</v>
      </c>
      <c r="D57" s="4629">
        <v>2</v>
      </c>
      <c r="E57" s="4629">
        <v>2.2773109243697469</v>
      </c>
      <c r="F57" s="4635">
        <v>2.4461538461538463</v>
      </c>
      <c r="G57" s="4635">
        <v>2.19463087248322</v>
      </c>
      <c r="H57" s="4629">
        <v>2.4339622641509493</v>
      </c>
      <c r="I57" s="4652">
        <v>2.3303571428571441</v>
      </c>
      <c r="J57" s="4652">
        <v>2.4000000000000004</v>
      </c>
      <c r="K57" s="4652">
        <v>2.41</v>
      </c>
      <c r="L57" s="4652">
        <v>2.6999999999999993</v>
      </c>
    </row>
    <row r="58" spans="2:12" ht="15" customHeight="1">
      <c r="B58" s="4878"/>
      <c r="C58" s="4630" t="s">
        <v>49</v>
      </c>
      <c r="D58" s="4629">
        <v>1.1658031088082943</v>
      </c>
      <c r="E58" s="4629">
        <v>0.97727272727273018</v>
      </c>
      <c r="F58" s="4634">
        <v>0.74117647058823088</v>
      </c>
      <c r="G58" s="4634">
        <v>0.82485875706214706</v>
      </c>
      <c r="H58" s="4629">
        <v>0.71264367816091756</v>
      </c>
      <c r="I58" s="4652">
        <v>1.0643274853801223</v>
      </c>
      <c r="J58" s="4652">
        <v>0.98000000000000043</v>
      </c>
      <c r="K58" s="4652">
        <v>0.98000000000000043</v>
      </c>
      <c r="L58" s="4652">
        <v>0.91000000000000014</v>
      </c>
    </row>
    <row r="59" spans="2:12" ht="15" customHeight="1">
      <c r="B59" s="4878"/>
      <c r="C59" s="4630" t="s">
        <v>19</v>
      </c>
      <c r="D59" s="4629">
        <v>3.2857142857142776</v>
      </c>
      <c r="E59" s="4629">
        <v>3.1025641025641022</v>
      </c>
      <c r="F59" s="4634">
        <v>2.8395061728395046</v>
      </c>
      <c r="G59" s="4634">
        <v>3.7419354838709662</v>
      </c>
      <c r="H59" s="4629">
        <v>3.7837837837837842</v>
      </c>
      <c r="I59" s="4652">
        <v>4.0123456790123377</v>
      </c>
      <c r="J59" s="4652">
        <v>3.42</v>
      </c>
      <c r="K59" s="4652">
        <v>3.9700000000000006</v>
      </c>
      <c r="L59" s="4652">
        <v>4.8299999999999983</v>
      </c>
    </row>
    <row r="60" spans="2:12" ht="15" customHeight="1">
      <c r="B60" s="4878"/>
      <c r="C60" s="4630" t="s">
        <v>50</v>
      </c>
      <c r="D60" s="4629">
        <v>0.875</v>
      </c>
      <c r="E60" s="4629">
        <v>0.93795620437956018</v>
      </c>
      <c r="F60" s="4634">
        <v>0.73461538461538467</v>
      </c>
      <c r="G60" s="4634">
        <v>0.84084084084083877</v>
      </c>
      <c r="H60" s="4629">
        <v>0.64745762711864963</v>
      </c>
      <c r="I60" s="4652">
        <v>0.8105263157894651</v>
      </c>
      <c r="J60" s="4652">
        <v>0.80000000000000071</v>
      </c>
      <c r="K60" s="4652">
        <v>0.94999999999999929</v>
      </c>
      <c r="L60" s="4652">
        <v>0.77999999999999936</v>
      </c>
    </row>
    <row r="61" spans="2:12" ht="15" customHeight="1">
      <c r="B61" s="4878"/>
      <c r="C61" s="4630" t="s">
        <v>20</v>
      </c>
      <c r="D61" s="4629">
        <v>1.1428571428571388</v>
      </c>
      <c r="E61" s="4629">
        <v>1.2327586206896584</v>
      </c>
      <c r="F61" s="4634">
        <v>1.5607476635514015</v>
      </c>
      <c r="G61" s="4634">
        <v>1.5223880597014965</v>
      </c>
      <c r="H61" s="4629">
        <v>1.4017094017094021</v>
      </c>
      <c r="I61" s="4652">
        <v>1.3307086614173222</v>
      </c>
      <c r="J61" s="4652">
        <v>1.7799999999999994</v>
      </c>
      <c r="K61" s="4652">
        <v>1.3200000000000003</v>
      </c>
      <c r="L61" s="4652">
        <v>2.0299999999999994</v>
      </c>
    </row>
    <row r="62" spans="2:12" ht="15" customHeight="1">
      <c r="B62" s="4878"/>
      <c r="C62" s="4630" t="s">
        <v>51</v>
      </c>
      <c r="D62" s="4629">
        <v>1.6956521739130412</v>
      </c>
      <c r="E62" s="4629">
        <v>1.6792452830188651</v>
      </c>
      <c r="F62" s="4634">
        <v>1.9782608695652151</v>
      </c>
      <c r="G62" s="4634">
        <v>1.8181818181818183</v>
      </c>
      <c r="H62" s="4629">
        <v>1.4047619047619015</v>
      </c>
      <c r="I62" s="4652">
        <v>1.5757575757575761</v>
      </c>
      <c r="J62" s="4652">
        <v>1.8000000000000007</v>
      </c>
      <c r="K62" s="4652">
        <v>2.1099999999999994</v>
      </c>
      <c r="L62" s="4652">
        <v>0.76999999999999957</v>
      </c>
    </row>
    <row r="63" spans="2:12" ht="15" customHeight="1">
      <c r="B63" s="4878"/>
      <c r="C63" s="4660" t="s">
        <v>573</v>
      </c>
      <c r="D63" s="4636">
        <v>1.5039548022598783</v>
      </c>
      <c r="E63" s="4636">
        <v>1.4387254901960649</v>
      </c>
      <c r="F63" s="4637">
        <v>1.4143576826196416</v>
      </c>
      <c r="G63" s="4637">
        <v>1.42</v>
      </c>
      <c r="H63" s="4629">
        <v>1.3316831683168306</v>
      </c>
      <c r="I63" s="4653">
        <v>1.5080346106304248</v>
      </c>
      <c r="J63" s="4653">
        <v>1.5399999999999991</v>
      </c>
      <c r="K63" s="4653">
        <v>1.5299999999999994</v>
      </c>
      <c r="L63" s="4653">
        <v>1.9100000000000001</v>
      </c>
    </row>
    <row r="64" spans="2:12" ht="15" customHeight="1">
      <c r="B64" s="4878" t="s">
        <v>41</v>
      </c>
      <c r="C64" s="4630" t="s">
        <v>42</v>
      </c>
      <c r="D64" s="4629">
        <v>1.0896551724137939</v>
      </c>
      <c r="E64" s="4629">
        <v>1.9194630872483192</v>
      </c>
      <c r="F64" s="4634">
        <v>1.5629139072847646</v>
      </c>
      <c r="G64" s="4634">
        <v>1.551724137931032</v>
      </c>
      <c r="H64" s="4629">
        <v>1.3875000000000011</v>
      </c>
      <c r="I64" s="4652">
        <v>1.0900900900900883</v>
      </c>
      <c r="J64" s="4652">
        <v>1.5299999999999994</v>
      </c>
      <c r="K64" s="4652">
        <v>1.6400000000000006</v>
      </c>
      <c r="L64" s="4652">
        <v>1.5600000000000005</v>
      </c>
    </row>
    <row r="65" spans="2:12" ht="15" customHeight="1">
      <c r="B65" s="4878"/>
      <c r="C65" s="4630" t="s">
        <v>52</v>
      </c>
      <c r="D65" s="4629">
        <v>0.80530973451327093</v>
      </c>
      <c r="E65" s="4629">
        <v>1.392857142857137</v>
      </c>
      <c r="F65" s="4634">
        <v>1.25</v>
      </c>
      <c r="G65" s="4634">
        <v>0.69047619047618625</v>
      </c>
      <c r="H65" s="4629">
        <v>0.73214285714285943</v>
      </c>
      <c r="I65" s="4652">
        <v>1.0642201834862419</v>
      </c>
      <c r="J65" s="4652">
        <v>0.89000000000000057</v>
      </c>
      <c r="K65" s="4652">
        <v>0.73000000000000043</v>
      </c>
      <c r="L65" s="4652">
        <v>0.65000000000000036</v>
      </c>
    </row>
    <row r="66" spans="2:12" ht="15" customHeight="1">
      <c r="B66" s="4878"/>
      <c r="C66" s="4630" t="s">
        <v>53</v>
      </c>
      <c r="D66" s="4629">
        <v>1.0523560209424065</v>
      </c>
      <c r="E66" s="4629">
        <v>0.71895424836600874</v>
      </c>
      <c r="F66" s="4634">
        <v>0.76687116564417046</v>
      </c>
      <c r="G66" s="4634">
        <v>0.89473684210526194</v>
      </c>
      <c r="H66" s="4629">
        <v>0.61379310344826976</v>
      </c>
      <c r="I66" s="4652">
        <v>0.95512820512820618</v>
      </c>
      <c r="J66" s="4652">
        <v>0.77999999999999936</v>
      </c>
      <c r="K66" s="4652">
        <v>0.99000000000000021</v>
      </c>
      <c r="L66" s="4652">
        <v>1.1500000000000004</v>
      </c>
    </row>
    <row r="67" spans="2:12" ht="15" customHeight="1">
      <c r="B67" s="4878"/>
      <c r="C67" s="4630" t="s">
        <v>54</v>
      </c>
      <c r="D67" s="4629">
        <v>2.1225490196078542</v>
      </c>
      <c r="E67" s="4629">
        <v>2.5689655172413914</v>
      </c>
      <c r="F67" s="4634">
        <v>2.4736842105263168</v>
      </c>
      <c r="G67" s="4634">
        <v>2.1741573033707962</v>
      </c>
      <c r="H67" s="4629">
        <v>2.2468354430379698</v>
      </c>
      <c r="I67" s="4652">
        <v>2.1453488372092959</v>
      </c>
      <c r="J67" s="4652">
        <v>2.4299999999999997</v>
      </c>
      <c r="K67" s="4652">
        <v>2.0999999999999996</v>
      </c>
      <c r="L67" s="4652">
        <v>1.7799999999999994</v>
      </c>
    </row>
    <row r="68" spans="2:12" ht="15" customHeight="1">
      <c r="B68" s="4878"/>
      <c r="C68" s="4630" t="s">
        <v>55</v>
      </c>
      <c r="D68" s="4629">
        <v>2.3108808290155487</v>
      </c>
      <c r="E68" s="4629">
        <v>2.3465346534653477</v>
      </c>
      <c r="F68" s="4634">
        <v>1.9801324503311228</v>
      </c>
      <c r="G68" s="4634">
        <v>2.7619047619047716</v>
      </c>
      <c r="H68" s="4629">
        <v>2.1006289308176065</v>
      </c>
      <c r="I68" s="4652">
        <v>2.3825503355704605</v>
      </c>
      <c r="J68" s="4652">
        <v>1.8499999999999996</v>
      </c>
      <c r="K68" s="4652">
        <v>2.8900000000000006</v>
      </c>
      <c r="L68" s="4652">
        <v>4.8900000000000006</v>
      </c>
    </row>
    <row r="69" spans="2:12" ht="15" customHeight="1">
      <c r="B69" s="4878"/>
      <c r="C69" s="4630" t="s">
        <v>56</v>
      </c>
      <c r="D69" s="4629">
        <v>1.4347826086956523</v>
      </c>
      <c r="E69" s="4629">
        <v>1.1666666666666696</v>
      </c>
      <c r="F69" s="4634">
        <v>1.1981981981982006</v>
      </c>
      <c r="G69" s="4634">
        <v>1.6902654867256626</v>
      </c>
      <c r="H69" s="4629">
        <v>1.127272727272727</v>
      </c>
      <c r="I69" s="4652">
        <v>1.0944881889763796</v>
      </c>
      <c r="J69" s="4652">
        <v>1.2799999999999994</v>
      </c>
      <c r="K69" s="4652">
        <v>1.4499999999999993</v>
      </c>
      <c r="L69" s="4652">
        <v>1.1600000000000001</v>
      </c>
    </row>
    <row r="70" spans="2:12" ht="15" customHeight="1">
      <c r="B70" s="4878"/>
      <c r="C70" s="4630" t="s">
        <v>264</v>
      </c>
      <c r="D70" s="4629">
        <v>1.3473684210526358</v>
      </c>
      <c r="E70" s="4629">
        <v>1.2256097560975583</v>
      </c>
      <c r="F70" s="4634">
        <v>1.4850746268656749</v>
      </c>
      <c r="G70" s="4634">
        <v>1.6944444444444464</v>
      </c>
      <c r="H70" s="4629">
        <v>1.9761904761904709</v>
      </c>
      <c r="I70" s="4652">
        <v>4.5691489361702011</v>
      </c>
      <c r="J70" s="4652">
        <v>1.8200000000000003</v>
      </c>
      <c r="K70" s="4652">
        <v>1.75</v>
      </c>
      <c r="L70" s="4652">
        <v>1.7699999999999996</v>
      </c>
    </row>
    <row r="71" spans="2:12" ht="15" customHeight="1">
      <c r="B71" s="4878"/>
      <c r="C71" s="4630" t="s">
        <v>277</v>
      </c>
      <c r="D71" s="4629">
        <v>-4.705882352941515E-2</v>
      </c>
      <c r="E71" s="4629">
        <v>1.0819672131147531</v>
      </c>
      <c r="F71" s="4634">
        <v>0.74766355140186924</v>
      </c>
      <c r="G71" s="4634">
        <v>0.93495934959349292</v>
      </c>
      <c r="H71" s="4629">
        <v>0.83478260869565091</v>
      </c>
      <c r="I71" s="4652">
        <v>1.3282442748091636</v>
      </c>
      <c r="J71" s="4652">
        <v>0.71000000000000085</v>
      </c>
      <c r="K71" s="4652">
        <v>0.86999999999999922</v>
      </c>
      <c r="L71" s="4652">
        <v>0.73000000000000043</v>
      </c>
    </row>
    <row r="72" spans="2:12" ht="15" customHeight="1">
      <c r="B72" s="4878"/>
      <c r="C72" s="4660" t="s">
        <v>575</v>
      </c>
      <c r="D72" s="4636">
        <v>1.8907563025210123</v>
      </c>
      <c r="E72" s="4636">
        <v>2.0655172413793181</v>
      </c>
      <c r="F72" s="4637">
        <v>1.8675105485232137</v>
      </c>
      <c r="G72" s="4637">
        <v>2.0700000000000003</v>
      </c>
      <c r="H72" s="4629">
        <v>1.8970718722271549</v>
      </c>
      <c r="I72" s="4653">
        <v>1.9965004374453077</v>
      </c>
      <c r="J72" s="4653">
        <v>1.8399999999999999</v>
      </c>
      <c r="K72" s="4653">
        <v>1.9900000000000002</v>
      </c>
      <c r="L72" s="4653">
        <v>2.0700000000000003</v>
      </c>
    </row>
    <row r="73" spans="2:12" ht="15" customHeight="1">
      <c r="B73" s="4878" t="s">
        <v>21</v>
      </c>
      <c r="C73" s="4630" t="s">
        <v>22</v>
      </c>
      <c r="D73" s="4629">
        <v>2.4423076923076881</v>
      </c>
      <c r="E73" s="4629">
        <v>2.6931216931216806</v>
      </c>
      <c r="F73" s="4634">
        <v>2.2928176795580129</v>
      </c>
      <c r="G73" s="4634">
        <v>2.1823529411764628</v>
      </c>
      <c r="H73" s="4629">
        <v>2.2200956937799035</v>
      </c>
      <c r="I73" s="4652">
        <v>1.7559523809523814</v>
      </c>
      <c r="J73" s="4652">
        <v>2.0600000000000005</v>
      </c>
      <c r="K73" s="4652">
        <v>1.7799999999999994</v>
      </c>
      <c r="L73" s="4652">
        <v>1.9600000000000009</v>
      </c>
    </row>
    <row r="74" spans="2:12" ht="15" customHeight="1">
      <c r="B74" s="4878"/>
      <c r="C74" s="4630" t="s">
        <v>23</v>
      </c>
      <c r="D74" s="4629">
        <v>1.5</v>
      </c>
      <c r="E74" s="4629">
        <v>1.5416666666666661</v>
      </c>
      <c r="F74" s="4634">
        <v>1.7659574468085104</v>
      </c>
      <c r="G74" s="4634">
        <v>1.5495495495495408</v>
      </c>
      <c r="H74" s="4629">
        <v>1.0413223140495909</v>
      </c>
      <c r="I74" s="4652">
        <v>1.2315789473684227</v>
      </c>
      <c r="J74" s="4652">
        <v>0.94999999999999929</v>
      </c>
      <c r="K74" s="4652">
        <v>1.0700000000000003</v>
      </c>
      <c r="L74" s="4652">
        <v>0.9399999999999995</v>
      </c>
    </row>
    <row r="75" spans="2:12" ht="15" customHeight="1">
      <c r="B75" s="4878"/>
      <c r="C75" s="4630" t="s">
        <v>24</v>
      </c>
      <c r="D75" s="4629">
        <v>2.0506329113924089</v>
      </c>
      <c r="E75" s="4629">
        <v>2.4666666666666703</v>
      </c>
      <c r="F75" s="4634">
        <v>1.9782608695652169</v>
      </c>
      <c r="G75" s="4634">
        <v>1.5921052631578938</v>
      </c>
      <c r="H75" s="4629">
        <v>1.6027397260274014</v>
      </c>
      <c r="I75" s="4652">
        <v>1.6944444444444429</v>
      </c>
      <c r="J75" s="4652">
        <v>2.1099999999999994</v>
      </c>
      <c r="K75" s="4652">
        <v>1.9299999999999997</v>
      </c>
      <c r="L75" s="4652">
        <v>1.5</v>
      </c>
    </row>
    <row r="76" spans="2:12" ht="15" customHeight="1">
      <c r="B76" s="4878"/>
      <c r="C76" s="4630" t="s">
        <v>58</v>
      </c>
      <c r="D76" s="4629">
        <v>1.5151515151515138</v>
      </c>
      <c r="E76" s="4629">
        <v>1.5609756097560989</v>
      </c>
      <c r="F76" s="4634">
        <v>2.0196078431372566</v>
      </c>
      <c r="G76" s="4634">
        <v>1.8734177215189867</v>
      </c>
      <c r="H76" s="4629">
        <v>0.96000000000000263</v>
      </c>
      <c r="I76" s="4652">
        <v>2.1095890410958891</v>
      </c>
      <c r="J76" s="4652">
        <v>1.9600000000000009</v>
      </c>
      <c r="K76" s="4652">
        <v>0.91999999999999993</v>
      </c>
      <c r="L76" s="4652">
        <v>1.3000000000000007</v>
      </c>
    </row>
    <row r="77" spans="2:12" ht="15" customHeight="1">
      <c r="B77" s="4878"/>
      <c r="C77" s="4660" t="s">
        <v>574</v>
      </c>
      <c r="D77" s="4636">
        <v>2.0404494382022413</v>
      </c>
      <c r="E77" s="4636">
        <v>2.3050397877984086</v>
      </c>
      <c r="F77" s="4637">
        <v>2.0833333333333339</v>
      </c>
      <c r="G77" s="4637">
        <v>1.8623853211009163</v>
      </c>
      <c r="H77" s="4629">
        <v>1.6666666666666714</v>
      </c>
      <c r="I77" s="4653">
        <v>1.6862745098039245</v>
      </c>
      <c r="J77" s="4653">
        <v>1.75</v>
      </c>
      <c r="K77" s="4653">
        <v>1.5299999999999994</v>
      </c>
      <c r="L77" s="4653">
        <v>1.5600000000000005</v>
      </c>
    </row>
    <row r="78" spans="2:12" ht="15" customHeight="1">
      <c r="B78" s="4876" t="s">
        <v>461</v>
      </c>
      <c r="C78" s="4877"/>
      <c r="D78" s="4638">
        <v>1.7813492063491854</v>
      </c>
      <c r="E78" s="4638">
        <v>1.8865278368041025</v>
      </c>
      <c r="F78" s="4639">
        <v>1.748617609527864</v>
      </c>
      <c r="G78" s="4639">
        <v>1.8000000000000007</v>
      </c>
      <c r="H78" s="4631">
        <v>1.6620603015075446</v>
      </c>
      <c r="I78" s="4654">
        <v>1.775423728813557</v>
      </c>
      <c r="J78" s="4654">
        <v>1.7100000000000009</v>
      </c>
      <c r="K78" s="4654">
        <v>1.7599999999999998</v>
      </c>
      <c r="L78" s="4654">
        <v>1.92</v>
      </c>
    </row>
    <row r="79" spans="2:12" ht="15" customHeight="1">
      <c r="B79" s="4878" t="s">
        <v>16</v>
      </c>
      <c r="C79" s="4630" t="s">
        <v>17</v>
      </c>
      <c r="D79" s="4629">
        <v>1.3333333333333357</v>
      </c>
      <c r="E79" s="4629">
        <v>1.1999999999999993</v>
      </c>
      <c r="F79" s="4635">
        <v>0.93333333333333535</v>
      </c>
      <c r="G79" s="4635">
        <v>2.3437499999999982</v>
      </c>
      <c r="H79" s="4629">
        <v>2.9583333333333339</v>
      </c>
      <c r="I79" s="4652">
        <v>2.7333333333333325</v>
      </c>
      <c r="J79" s="4652">
        <v>1.4499999999999993</v>
      </c>
      <c r="K79" s="4652">
        <v>2.2200000000000006</v>
      </c>
      <c r="L79" s="4652">
        <v>1.0500000000000007</v>
      </c>
    </row>
    <row r="80" spans="2:12" ht="15" customHeight="1">
      <c r="B80" s="4878"/>
      <c r="C80" s="4630" t="s">
        <v>60</v>
      </c>
      <c r="D80" s="4629">
        <v>2.75</v>
      </c>
      <c r="E80" s="4629">
        <v>0.125</v>
      </c>
      <c r="F80" s="4634">
        <v>0.52941176470588225</v>
      </c>
      <c r="G80" s="4634">
        <v>2.25</v>
      </c>
      <c r="H80" s="4629">
        <v>0.75</v>
      </c>
      <c r="I80" s="4652">
        <v>1.5</v>
      </c>
      <c r="J80" s="4652">
        <v>4.3299999999999983</v>
      </c>
      <c r="K80" s="4652">
        <v>2.4499999999999993</v>
      </c>
      <c r="L80" s="4652">
        <v>3.17</v>
      </c>
    </row>
    <row r="81" spans="2:12" ht="15" customHeight="1">
      <c r="B81" s="4878"/>
      <c r="C81" s="4630" t="s">
        <v>420</v>
      </c>
      <c r="D81" s="4629"/>
      <c r="E81" s="4629">
        <v>0.66666666666666607</v>
      </c>
      <c r="F81" s="4634">
        <v>2.2857142857142865</v>
      </c>
      <c r="G81" s="4634">
        <v>3.1428571428571423</v>
      </c>
      <c r="H81" s="4629">
        <v>2</v>
      </c>
      <c r="I81" s="4652">
        <v>4.0909090909090899</v>
      </c>
      <c r="J81" s="4652">
        <v>4.8599999999999994</v>
      </c>
      <c r="K81" s="4652">
        <v>6.7100000000000009</v>
      </c>
      <c r="L81" s="4652">
        <v>5.2899999999999991</v>
      </c>
    </row>
    <row r="82" spans="2:12" ht="15" customHeight="1">
      <c r="B82" s="4878"/>
      <c r="C82" s="4660" t="s">
        <v>573</v>
      </c>
      <c r="D82" s="4636">
        <v>1.5357142857142865</v>
      </c>
      <c r="E82" s="4636">
        <v>1</v>
      </c>
      <c r="F82" s="4637">
        <v>0.98148148148148096</v>
      </c>
      <c r="G82" s="4637">
        <v>2.4700000000000006</v>
      </c>
      <c r="H82" s="4629">
        <v>3</v>
      </c>
      <c r="I82" s="4653">
        <v>3.1785714285714306</v>
      </c>
      <c r="J82" s="4653">
        <v>2.4700000000000006</v>
      </c>
      <c r="K82" s="4653">
        <v>3.17</v>
      </c>
      <c r="L82" s="4653">
        <v>1.9800000000000004</v>
      </c>
    </row>
    <row r="83" spans="2:12" ht="15" customHeight="1">
      <c r="B83" s="4878" t="s">
        <v>61</v>
      </c>
      <c r="C83" s="4630" t="s">
        <v>62</v>
      </c>
      <c r="D83" s="4629">
        <v>1.5999999999999996</v>
      </c>
      <c r="E83" s="4629">
        <v>1.8666666666666689</v>
      </c>
      <c r="F83" s="4634">
        <v>2.9473684210526336</v>
      </c>
      <c r="G83" s="4634">
        <v>4.5</v>
      </c>
      <c r="H83" s="4629">
        <v>5.2727272727272698</v>
      </c>
      <c r="I83" s="4652">
        <v>5.8888888888888893</v>
      </c>
      <c r="J83" s="4652">
        <v>5.5</v>
      </c>
      <c r="K83" s="4652">
        <v>5.32</v>
      </c>
      <c r="L83" s="4652">
        <v>7.1400000000000006</v>
      </c>
    </row>
    <row r="84" spans="2:12" ht="15" customHeight="1">
      <c r="B84" s="4878"/>
      <c r="C84" s="4630" t="s">
        <v>421</v>
      </c>
      <c r="D84" s="4629"/>
      <c r="E84" s="4629">
        <v>0.5</v>
      </c>
      <c r="F84" s="4634">
        <v>3.5</v>
      </c>
      <c r="G84" s="4634"/>
      <c r="H84" s="4629">
        <v>2.5</v>
      </c>
      <c r="I84" s="4652">
        <v>5.0000000000000036</v>
      </c>
      <c r="J84" s="4652">
        <v>7.2899999999999991</v>
      </c>
      <c r="K84" s="4652">
        <v>6.1400000000000006</v>
      </c>
      <c r="L84" s="4652">
        <v>7.0799999999999983</v>
      </c>
    </row>
    <row r="85" spans="2:12" ht="15" customHeight="1">
      <c r="B85" s="4878"/>
      <c r="C85" s="4630" t="s">
        <v>63</v>
      </c>
      <c r="D85" s="4629"/>
      <c r="E85" s="4629">
        <v>0.26666666666666572</v>
      </c>
      <c r="F85" s="4634">
        <v>1.1481481481481488</v>
      </c>
      <c r="G85" s="4634">
        <v>1.2000000000000011</v>
      </c>
      <c r="H85" s="4629">
        <v>1.2777777777777803</v>
      </c>
      <c r="I85" s="4652">
        <v>3.3846153846153868</v>
      </c>
      <c r="J85" s="4652">
        <v>2.8900000000000006</v>
      </c>
      <c r="K85" s="4652">
        <v>3.4499999999999993</v>
      </c>
      <c r="L85" s="4652">
        <v>2.33</v>
      </c>
    </row>
    <row r="86" spans="2:12" ht="15" customHeight="1">
      <c r="B86" s="4878"/>
      <c r="C86" s="4660" t="s">
        <v>576</v>
      </c>
      <c r="D86" s="4636">
        <v>1.5999999999999996</v>
      </c>
      <c r="E86" s="4636">
        <v>1.0312500000000018</v>
      </c>
      <c r="F86" s="4637">
        <v>1.9583333333333339</v>
      </c>
      <c r="G86" s="4637">
        <v>2.1400000000000006</v>
      </c>
      <c r="H86" s="4629">
        <v>2.7741935483870996</v>
      </c>
      <c r="I86" s="4653">
        <v>4.5517241379310391</v>
      </c>
      <c r="J86" s="4653">
        <v>4.620000000000001</v>
      </c>
      <c r="K86" s="4653">
        <v>4.4400000000000013</v>
      </c>
      <c r="L86" s="4653">
        <v>4.879999999999999</v>
      </c>
    </row>
    <row r="87" spans="2:12" ht="15" customHeight="1">
      <c r="B87" s="4878" t="s">
        <v>64</v>
      </c>
      <c r="C87" s="4630" t="s">
        <v>14</v>
      </c>
      <c r="D87" s="4629">
        <v>1.8888888888888893</v>
      </c>
      <c r="E87" s="4629">
        <v>1.6000000000000014</v>
      </c>
      <c r="F87" s="4634">
        <v>2.1538461538461533</v>
      </c>
      <c r="G87" s="4634">
        <v>4.3000000000000007</v>
      </c>
      <c r="H87" s="4629">
        <v>6.1000000000000014</v>
      </c>
      <c r="I87" s="4652">
        <v>2.6666666666666661</v>
      </c>
      <c r="J87" s="4652">
        <v>7.129999999999999</v>
      </c>
      <c r="K87" s="4652">
        <v>8.3999999999999986</v>
      </c>
      <c r="L87" s="4652">
        <v>5.8900000000000006</v>
      </c>
    </row>
    <row r="88" spans="2:12" ht="15" customHeight="1">
      <c r="B88" s="4878"/>
      <c r="C88" s="4630" t="s">
        <v>65</v>
      </c>
      <c r="D88" s="4629">
        <v>0</v>
      </c>
      <c r="E88" s="4629">
        <v>7</v>
      </c>
      <c r="F88" s="4634">
        <v>2.75</v>
      </c>
      <c r="G88" s="4634">
        <v>3.3333333333333339</v>
      </c>
      <c r="H88" s="4629">
        <v>6.3333333333333321</v>
      </c>
      <c r="I88" s="4652">
        <v>7.2857142857142847</v>
      </c>
      <c r="J88" s="4652">
        <v>8.5</v>
      </c>
      <c r="K88" s="4652">
        <v>6.1099999999999994</v>
      </c>
      <c r="L88" s="4652">
        <v>6</v>
      </c>
    </row>
    <row r="89" spans="2:12" ht="15" customHeight="1">
      <c r="B89" s="4878"/>
      <c r="C89" s="4630" t="s">
        <v>422</v>
      </c>
      <c r="D89" s="4629"/>
      <c r="E89" s="4629"/>
      <c r="F89" s="4634">
        <v>1</v>
      </c>
      <c r="G89" s="4634">
        <v>1.5</v>
      </c>
      <c r="H89" s="4629">
        <v>5.3999999999999986</v>
      </c>
      <c r="I89" s="4652">
        <v>4.1428571428571423</v>
      </c>
      <c r="J89" s="4652">
        <v>6.2199999999999989</v>
      </c>
      <c r="K89" s="4652">
        <v>6.75</v>
      </c>
      <c r="L89" s="4652">
        <v>2.8599999999999994</v>
      </c>
    </row>
    <row r="90" spans="2:12" ht="15" customHeight="1">
      <c r="B90" s="4878"/>
      <c r="C90" s="4630" t="s">
        <v>81</v>
      </c>
      <c r="D90" s="4629"/>
      <c r="E90" s="4629"/>
      <c r="F90" s="4634"/>
      <c r="G90" s="4634"/>
      <c r="H90" s="4629">
        <v>1</v>
      </c>
      <c r="I90" s="4652">
        <v>1.25</v>
      </c>
      <c r="J90" s="4652">
        <v>2.5299999999999994</v>
      </c>
      <c r="K90" s="4652">
        <v>3.2899999999999991</v>
      </c>
      <c r="L90" s="4652">
        <v>2.7799999999999994</v>
      </c>
    </row>
    <row r="91" spans="2:12" ht="15" customHeight="1">
      <c r="B91" s="4878"/>
      <c r="C91" s="4660" t="s">
        <v>577</v>
      </c>
      <c r="D91" s="4636">
        <v>1.6999999999999993</v>
      </c>
      <c r="E91" s="4636">
        <v>2.0909090909090917</v>
      </c>
      <c r="F91" s="4637">
        <v>2.2222222222222232</v>
      </c>
      <c r="G91" s="4637">
        <v>3.7300000000000004</v>
      </c>
      <c r="H91" s="4629">
        <v>5.0454545454545432</v>
      </c>
      <c r="I91" s="4653">
        <v>4.2083333333333393</v>
      </c>
      <c r="J91" s="4653">
        <v>5.0500000000000007</v>
      </c>
      <c r="K91" s="4653">
        <v>5.120000000000001</v>
      </c>
      <c r="L91" s="4653">
        <v>4.2399999999999984</v>
      </c>
    </row>
    <row r="92" spans="2:12" ht="15" customHeight="1">
      <c r="B92" s="4876" t="s">
        <v>265</v>
      </c>
      <c r="C92" s="4877"/>
      <c r="D92" s="4638">
        <v>1.5849056603773573</v>
      </c>
      <c r="E92" s="4638">
        <v>1.13829787234042</v>
      </c>
      <c r="F92" s="4640">
        <v>1.5583333333333318</v>
      </c>
      <c r="G92" s="4640">
        <v>2.6199999999999992</v>
      </c>
      <c r="H92" s="4631">
        <v>3.4418604651162763</v>
      </c>
      <c r="I92" s="4654">
        <v>3.9753086419753139</v>
      </c>
      <c r="J92" s="4654">
        <v>4.1700000000000017</v>
      </c>
      <c r="K92" s="4654">
        <v>4.3099999999999987</v>
      </c>
      <c r="L92" s="4654">
        <v>3.7699999999999996</v>
      </c>
    </row>
    <row r="93" spans="2:12" ht="15" customHeight="1">
      <c r="B93" s="4879" t="s">
        <v>4</v>
      </c>
      <c r="C93" s="4632" t="s">
        <v>1687</v>
      </c>
      <c r="D93" s="4641"/>
      <c r="E93" s="4641"/>
      <c r="F93" s="4642"/>
      <c r="G93" s="4642"/>
      <c r="H93" s="4643"/>
      <c r="I93" s="4655">
        <v>0.34999999999999964</v>
      </c>
      <c r="J93" s="4656">
        <v>0.59999999999999964</v>
      </c>
      <c r="K93" s="4656">
        <v>1.3100000000000005</v>
      </c>
      <c r="L93" s="4656">
        <v>3</v>
      </c>
    </row>
    <row r="94" spans="2:12" ht="15" customHeight="1">
      <c r="B94" s="4879"/>
      <c r="C94" s="4660" t="s">
        <v>572</v>
      </c>
      <c r="D94" s="4644"/>
      <c r="E94" s="4644"/>
      <c r="F94" s="4645"/>
      <c r="G94" s="4645"/>
      <c r="H94" s="4646"/>
      <c r="I94" s="4644">
        <v>0.34999999999999964</v>
      </c>
      <c r="J94" s="4636">
        <v>0.59999999999999964</v>
      </c>
      <c r="K94" s="4636">
        <v>1.3100000000000005</v>
      </c>
      <c r="L94" s="4636">
        <v>3</v>
      </c>
    </row>
    <row r="95" spans="2:12" ht="15" customHeight="1">
      <c r="B95" s="4879" t="s">
        <v>16</v>
      </c>
      <c r="C95" s="4633" t="s">
        <v>830</v>
      </c>
      <c r="D95" s="4644"/>
      <c r="E95" s="4644"/>
      <c r="F95" s="4645"/>
      <c r="G95" s="4645"/>
      <c r="H95" s="4646"/>
      <c r="I95" s="4646">
        <v>0.21874999999999645</v>
      </c>
      <c r="J95" s="4629">
        <v>0.5</v>
      </c>
      <c r="K95" s="4629">
        <v>0.86999999999999922</v>
      </c>
      <c r="L95" s="4629">
        <v>1.8800000000000008</v>
      </c>
    </row>
    <row r="96" spans="2:12" ht="15" customHeight="1">
      <c r="B96" s="4879"/>
      <c r="C96" s="4633" t="s">
        <v>579</v>
      </c>
      <c r="D96" s="4644"/>
      <c r="E96" s="4644"/>
      <c r="F96" s="4645"/>
      <c r="G96" s="4645"/>
      <c r="H96" s="4646"/>
      <c r="I96" s="4646"/>
      <c r="J96" s="4629"/>
      <c r="K96" s="4629">
        <v>1</v>
      </c>
      <c r="L96" s="4629">
        <v>1</v>
      </c>
    </row>
    <row r="97" spans="2:12" ht="15" customHeight="1">
      <c r="B97" s="4879"/>
      <c r="C97" s="4660" t="s">
        <v>573</v>
      </c>
      <c r="D97" s="4644"/>
      <c r="E97" s="4644"/>
      <c r="F97" s="4645"/>
      <c r="G97" s="4645"/>
      <c r="H97" s="4646"/>
      <c r="I97" s="4644">
        <v>0.21874999999999645</v>
      </c>
      <c r="J97" s="4636">
        <v>0.5</v>
      </c>
      <c r="K97" s="4636">
        <v>0.89000000000000057</v>
      </c>
      <c r="L97" s="4636">
        <v>1.6400000000000006</v>
      </c>
    </row>
    <row r="98" spans="2:12" ht="15" customHeight="1">
      <c r="B98" s="4879" t="s">
        <v>41</v>
      </c>
      <c r="C98" s="4633" t="s">
        <v>831</v>
      </c>
      <c r="D98" s="4644"/>
      <c r="E98" s="4644"/>
      <c r="F98" s="4645"/>
      <c r="G98" s="4645"/>
      <c r="H98" s="4646"/>
      <c r="I98" s="4646">
        <v>0.13043478260869534</v>
      </c>
      <c r="J98" s="4629">
        <v>1.1400000000000006</v>
      </c>
      <c r="K98" s="4629">
        <v>1.1300000000000008</v>
      </c>
      <c r="L98" s="4629">
        <v>1.7899999999999991</v>
      </c>
    </row>
    <row r="99" spans="2:12" ht="15" customHeight="1">
      <c r="B99" s="4879"/>
      <c r="C99" s="4660" t="s">
        <v>575</v>
      </c>
      <c r="D99" s="4644"/>
      <c r="E99" s="4644"/>
      <c r="F99" s="4645"/>
      <c r="G99" s="4645"/>
      <c r="H99" s="4646"/>
      <c r="I99" s="4644">
        <v>0.13043478260869534</v>
      </c>
      <c r="J99" s="4636">
        <v>1.1400000000000006</v>
      </c>
      <c r="K99" s="4636">
        <v>1.1300000000000008</v>
      </c>
      <c r="L99" s="4636">
        <v>1.7899999999999991</v>
      </c>
    </row>
    <row r="100" spans="2:12" ht="15" customHeight="1">
      <c r="B100" s="4880" t="s">
        <v>1211</v>
      </c>
      <c r="C100" s="4881"/>
      <c r="D100" s="4647"/>
      <c r="E100" s="4647"/>
      <c r="F100" s="4648"/>
      <c r="G100" s="4648"/>
      <c r="H100" s="4649"/>
      <c r="I100" s="4647">
        <v>0.22666666666666657</v>
      </c>
      <c r="J100" s="4657">
        <v>0.83000000000000007</v>
      </c>
      <c r="K100" s="4657">
        <v>1.0500000000000007</v>
      </c>
      <c r="L100" s="4657">
        <v>1.9800000000000004</v>
      </c>
    </row>
    <row r="101" spans="2:12" ht="15" customHeight="1">
      <c r="C101" s="4620" t="s">
        <v>75</v>
      </c>
      <c r="D101" s="4621">
        <v>3.6275236918006364</v>
      </c>
      <c r="E101" s="4621">
        <v>3.6483812949640946</v>
      </c>
      <c r="F101" s="4622">
        <v>3.5697475395806606</v>
      </c>
      <c r="G101" s="4622">
        <v>3.751781027371603</v>
      </c>
      <c r="H101" s="4621">
        <v>3.8583843571006149</v>
      </c>
      <c r="I101" s="4658">
        <v>3.9487079852341136</v>
      </c>
      <c r="J101" s="4658">
        <v>3.8599999999999994</v>
      </c>
      <c r="K101" s="4659">
        <v>4.1099999999999994</v>
      </c>
      <c r="L101" s="4659">
        <v>3.93</v>
      </c>
    </row>
  </sheetData>
  <mergeCells count="20">
    <mergeCell ref="B98:B99"/>
    <mergeCell ref="B100:C100"/>
    <mergeCell ref="B79:B82"/>
    <mergeCell ref="B83:B86"/>
    <mergeCell ref="B87:B91"/>
    <mergeCell ref="B92:C92"/>
    <mergeCell ref="B93:B94"/>
    <mergeCell ref="B95:B97"/>
    <mergeCell ref="B78:C78"/>
    <mergeCell ref="B6:B16"/>
    <mergeCell ref="B17:B21"/>
    <mergeCell ref="B22:B25"/>
    <mergeCell ref="B26:C26"/>
    <mergeCell ref="B27:B36"/>
    <mergeCell ref="B37:B48"/>
    <mergeCell ref="B49:B55"/>
    <mergeCell ref="B56:C56"/>
    <mergeCell ref="B57:B63"/>
    <mergeCell ref="B64:B72"/>
    <mergeCell ref="B73:B7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tabColor theme="9"/>
  </sheetPr>
  <dimension ref="A1:BL201"/>
  <sheetViews>
    <sheetView workbookViewId="0">
      <selection activeCell="G115" sqref="G115"/>
    </sheetView>
  </sheetViews>
  <sheetFormatPr baseColWidth="10" defaultRowHeight="15"/>
  <cols>
    <col min="1" max="2" width="11.42578125" style="4604"/>
    <col min="3" max="3" width="31.85546875" style="4604" bestFit="1" customWidth="1"/>
    <col min="4" max="8" width="11.42578125" style="4604"/>
    <col min="11" max="11" width="31.85546875" bestFit="1" customWidth="1"/>
    <col min="16" max="16" width="11.42578125" style="73"/>
    <col min="17" max="17" width="6.7109375" style="73" bestFit="1" customWidth="1"/>
    <col min="18" max="18" width="31.85546875" style="73" bestFit="1" customWidth="1"/>
    <col min="19" max="20" width="7.85546875" style="73" bestFit="1" customWidth="1"/>
    <col min="21" max="21" width="8.28515625" style="73" bestFit="1" customWidth="1"/>
    <col min="23" max="23" width="11" style="237" bestFit="1" customWidth="1"/>
    <col min="24" max="24" width="6.7109375" style="237" bestFit="1" customWidth="1"/>
    <col min="25" max="25" width="31.85546875" bestFit="1" customWidth="1"/>
    <col min="26" max="26" width="8.42578125" bestFit="1" customWidth="1"/>
    <col min="27" max="27" width="7.85546875" bestFit="1" customWidth="1"/>
    <col min="30" max="30" width="10.7109375" customWidth="1"/>
    <col min="31" max="31" width="6.7109375" bestFit="1" customWidth="1"/>
    <col min="32" max="32" width="32.5703125" bestFit="1" customWidth="1"/>
    <col min="33" max="34" width="10.7109375" customWidth="1"/>
    <col min="35" max="35" width="10.7109375" style="237" customWidth="1"/>
    <col min="36" max="36" width="10.7109375" customWidth="1"/>
    <col min="37" max="37" width="11.42578125" customWidth="1"/>
    <col min="38" max="38" width="8.140625" customWidth="1"/>
    <col min="39" max="39" width="35.42578125" customWidth="1"/>
    <col min="40" max="40" width="9.5703125" customWidth="1"/>
    <col min="41" max="41" width="11.42578125" customWidth="1"/>
    <col min="42" max="42" width="10.140625" customWidth="1"/>
    <col min="43" max="43" width="11.42578125" customWidth="1"/>
    <col min="44" max="44" width="12.42578125" style="237" customWidth="1"/>
    <col min="45" max="45" width="8.140625" style="237" customWidth="1"/>
    <col min="46" max="46" width="35.7109375" customWidth="1"/>
    <col min="47" max="50" width="11.42578125" customWidth="1"/>
    <col min="51" max="51" width="12.42578125" style="191" customWidth="1"/>
    <col min="52" max="52" width="8.140625" style="191" customWidth="1"/>
    <col min="53" max="53" width="35.7109375" customWidth="1"/>
    <col min="54" max="59" width="11.42578125" customWidth="1"/>
    <col min="60" max="60" width="33.28515625" customWidth="1"/>
    <col min="61" max="61" width="11.42578125" customWidth="1"/>
    <col min="62" max="62" width="12.7109375" customWidth="1"/>
    <col min="64" max="64" width="9.5703125" style="237" bestFit="1" customWidth="1"/>
    <col min="307" max="307" width="18.140625" customWidth="1"/>
    <col min="308" max="308" width="13" customWidth="1"/>
    <col min="309" max="309" width="41.85546875" customWidth="1"/>
    <col min="310" max="310" width="14" customWidth="1"/>
    <col min="311" max="311" width="13" customWidth="1"/>
    <col min="312" max="312" width="13.7109375" customWidth="1"/>
    <col min="563" max="563" width="18.140625" customWidth="1"/>
    <col min="564" max="564" width="13" customWidth="1"/>
    <col min="565" max="565" width="41.85546875" customWidth="1"/>
    <col min="566" max="566" width="14" customWidth="1"/>
    <col min="567" max="567" width="13" customWidth="1"/>
    <col min="568" max="568" width="13.7109375" customWidth="1"/>
    <col min="819" max="819" width="18.140625" customWidth="1"/>
    <col min="820" max="820" width="13" customWidth="1"/>
    <col min="821" max="821" width="41.85546875" customWidth="1"/>
    <col min="822" max="822" width="14" customWidth="1"/>
    <col min="823" max="823" width="13" customWidth="1"/>
    <col min="824" max="824" width="13.7109375" customWidth="1"/>
    <col min="1075" max="1075" width="18.140625" customWidth="1"/>
    <col min="1076" max="1076" width="13" customWidth="1"/>
    <col min="1077" max="1077" width="41.85546875" customWidth="1"/>
    <col min="1078" max="1078" width="14" customWidth="1"/>
    <col min="1079" max="1079" width="13" customWidth="1"/>
    <col min="1080" max="1080" width="13.7109375" customWidth="1"/>
    <col min="1331" max="1331" width="18.140625" customWidth="1"/>
    <col min="1332" max="1332" width="13" customWidth="1"/>
    <col min="1333" max="1333" width="41.85546875" customWidth="1"/>
    <col min="1334" max="1334" width="14" customWidth="1"/>
    <col min="1335" max="1335" width="13" customWidth="1"/>
    <col min="1336" max="1336" width="13.7109375" customWidth="1"/>
    <col min="1587" max="1587" width="18.140625" customWidth="1"/>
    <col min="1588" max="1588" width="13" customWidth="1"/>
    <col min="1589" max="1589" width="41.85546875" customWidth="1"/>
    <col min="1590" max="1590" width="14" customWidth="1"/>
    <col min="1591" max="1591" width="13" customWidth="1"/>
    <col min="1592" max="1592" width="13.7109375" customWidth="1"/>
    <col min="1843" max="1843" width="18.140625" customWidth="1"/>
    <col min="1844" max="1844" width="13" customWidth="1"/>
    <col min="1845" max="1845" width="41.85546875" customWidth="1"/>
    <col min="1846" max="1846" width="14" customWidth="1"/>
    <col min="1847" max="1847" width="13" customWidth="1"/>
    <col min="1848" max="1848" width="13.7109375" customWidth="1"/>
    <col min="2099" max="2099" width="18.140625" customWidth="1"/>
    <col min="2100" max="2100" width="13" customWidth="1"/>
    <col min="2101" max="2101" width="41.85546875" customWidth="1"/>
    <col min="2102" max="2102" width="14" customWidth="1"/>
    <col min="2103" max="2103" width="13" customWidth="1"/>
    <col min="2104" max="2104" width="13.7109375" customWidth="1"/>
    <col min="2355" max="2355" width="18.140625" customWidth="1"/>
    <col min="2356" max="2356" width="13" customWidth="1"/>
    <col min="2357" max="2357" width="41.85546875" customWidth="1"/>
    <col min="2358" max="2358" width="14" customWidth="1"/>
    <col min="2359" max="2359" width="13" customWidth="1"/>
    <col min="2360" max="2360" width="13.7109375" customWidth="1"/>
    <col min="2611" max="2611" width="18.140625" customWidth="1"/>
    <col min="2612" max="2612" width="13" customWidth="1"/>
    <col min="2613" max="2613" width="41.85546875" customWidth="1"/>
    <col min="2614" max="2614" width="14" customWidth="1"/>
    <col min="2615" max="2615" width="13" customWidth="1"/>
    <col min="2616" max="2616" width="13.7109375" customWidth="1"/>
    <col min="2867" max="2867" width="18.140625" customWidth="1"/>
    <col min="2868" max="2868" width="13" customWidth="1"/>
    <col min="2869" max="2869" width="41.85546875" customWidth="1"/>
    <col min="2870" max="2870" width="14" customWidth="1"/>
    <col min="2871" max="2871" width="13" customWidth="1"/>
    <col min="2872" max="2872" width="13.7109375" customWidth="1"/>
    <col min="3123" max="3123" width="18.140625" customWidth="1"/>
    <col min="3124" max="3124" width="13" customWidth="1"/>
    <col min="3125" max="3125" width="41.85546875" customWidth="1"/>
    <col min="3126" max="3126" width="14" customWidth="1"/>
    <col min="3127" max="3127" width="13" customWidth="1"/>
    <col min="3128" max="3128" width="13.7109375" customWidth="1"/>
    <col min="3379" max="3379" width="18.140625" customWidth="1"/>
    <col min="3380" max="3380" width="13" customWidth="1"/>
    <col min="3381" max="3381" width="41.85546875" customWidth="1"/>
    <col min="3382" max="3382" width="14" customWidth="1"/>
    <col min="3383" max="3383" width="13" customWidth="1"/>
    <col min="3384" max="3384" width="13.7109375" customWidth="1"/>
    <col min="3635" max="3635" width="18.140625" customWidth="1"/>
    <col min="3636" max="3636" width="13" customWidth="1"/>
    <col min="3637" max="3637" width="41.85546875" customWidth="1"/>
    <col min="3638" max="3638" width="14" customWidth="1"/>
    <col min="3639" max="3639" width="13" customWidth="1"/>
    <col min="3640" max="3640" width="13.7109375" customWidth="1"/>
    <col min="3891" max="3891" width="18.140625" customWidth="1"/>
    <col min="3892" max="3892" width="13" customWidth="1"/>
    <col min="3893" max="3893" width="41.85546875" customWidth="1"/>
    <col min="3894" max="3894" width="14" customWidth="1"/>
    <col min="3895" max="3895" width="13" customWidth="1"/>
    <col min="3896" max="3896" width="13.7109375" customWidth="1"/>
    <col min="4147" max="4147" width="18.140625" customWidth="1"/>
    <col min="4148" max="4148" width="13" customWidth="1"/>
    <col min="4149" max="4149" width="41.85546875" customWidth="1"/>
    <col min="4150" max="4150" width="14" customWidth="1"/>
    <col min="4151" max="4151" width="13" customWidth="1"/>
    <col min="4152" max="4152" width="13.7109375" customWidth="1"/>
    <col min="4403" max="4403" width="18.140625" customWidth="1"/>
    <col min="4404" max="4404" width="13" customWidth="1"/>
    <col min="4405" max="4405" width="41.85546875" customWidth="1"/>
    <col min="4406" max="4406" width="14" customWidth="1"/>
    <col min="4407" max="4407" width="13" customWidth="1"/>
    <col min="4408" max="4408" width="13.7109375" customWidth="1"/>
    <col min="4659" max="4659" width="18.140625" customWidth="1"/>
    <col min="4660" max="4660" width="13" customWidth="1"/>
    <col min="4661" max="4661" width="41.85546875" customWidth="1"/>
    <col min="4662" max="4662" width="14" customWidth="1"/>
    <col min="4663" max="4663" width="13" customWidth="1"/>
    <col min="4664" max="4664" width="13.7109375" customWidth="1"/>
    <col min="4915" max="4915" width="18.140625" customWidth="1"/>
    <col min="4916" max="4916" width="13" customWidth="1"/>
    <col min="4917" max="4917" width="41.85546875" customWidth="1"/>
    <col min="4918" max="4918" width="14" customWidth="1"/>
    <col min="4919" max="4919" width="13" customWidth="1"/>
    <col min="4920" max="4920" width="13.7109375" customWidth="1"/>
    <col min="5171" max="5171" width="18.140625" customWidth="1"/>
    <col min="5172" max="5172" width="13" customWidth="1"/>
    <col min="5173" max="5173" width="41.85546875" customWidth="1"/>
    <col min="5174" max="5174" width="14" customWidth="1"/>
    <col min="5175" max="5175" width="13" customWidth="1"/>
    <col min="5176" max="5176" width="13.7109375" customWidth="1"/>
    <col min="5427" max="5427" width="18.140625" customWidth="1"/>
    <col min="5428" max="5428" width="13" customWidth="1"/>
    <col min="5429" max="5429" width="41.85546875" customWidth="1"/>
    <col min="5430" max="5430" width="14" customWidth="1"/>
    <col min="5431" max="5431" width="13" customWidth="1"/>
    <col min="5432" max="5432" width="13.7109375" customWidth="1"/>
    <col min="5683" max="5683" width="18.140625" customWidth="1"/>
    <col min="5684" max="5684" width="13" customWidth="1"/>
    <col min="5685" max="5685" width="41.85546875" customWidth="1"/>
    <col min="5686" max="5686" width="14" customWidth="1"/>
    <col min="5687" max="5687" width="13" customWidth="1"/>
    <col min="5688" max="5688" width="13.7109375" customWidth="1"/>
    <col min="5939" max="5939" width="18.140625" customWidth="1"/>
    <col min="5940" max="5940" width="13" customWidth="1"/>
    <col min="5941" max="5941" width="41.85546875" customWidth="1"/>
    <col min="5942" max="5942" width="14" customWidth="1"/>
    <col min="5943" max="5943" width="13" customWidth="1"/>
    <col min="5944" max="5944" width="13.7109375" customWidth="1"/>
    <col min="6195" max="6195" width="18.140625" customWidth="1"/>
    <col min="6196" max="6196" width="13" customWidth="1"/>
    <col min="6197" max="6197" width="41.85546875" customWidth="1"/>
    <col min="6198" max="6198" width="14" customWidth="1"/>
    <col min="6199" max="6199" width="13" customWidth="1"/>
    <col min="6200" max="6200" width="13.7109375" customWidth="1"/>
    <col min="6451" max="6451" width="18.140625" customWidth="1"/>
    <col min="6452" max="6452" width="13" customWidth="1"/>
    <col min="6453" max="6453" width="41.85546875" customWidth="1"/>
    <col min="6454" max="6454" width="14" customWidth="1"/>
    <col min="6455" max="6455" width="13" customWidth="1"/>
    <col min="6456" max="6456" width="13.7109375" customWidth="1"/>
    <col min="6707" max="6707" width="18.140625" customWidth="1"/>
    <col min="6708" max="6708" width="13" customWidth="1"/>
    <col min="6709" max="6709" width="41.85546875" customWidth="1"/>
    <col min="6710" max="6710" width="14" customWidth="1"/>
    <col min="6711" max="6711" width="13" customWidth="1"/>
    <col min="6712" max="6712" width="13.7109375" customWidth="1"/>
    <col min="6963" max="6963" width="18.140625" customWidth="1"/>
    <col min="6964" max="6964" width="13" customWidth="1"/>
    <col min="6965" max="6965" width="41.85546875" customWidth="1"/>
    <col min="6966" max="6966" width="14" customWidth="1"/>
    <col min="6967" max="6967" width="13" customWidth="1"/>
    <col min="6968" max="6968" width="13.7109375" customWidth="1"/>
    <col min="7219" max="7219" width="18.140625" customWidth="1"/>
    <col min="7220" max="7220" width="13" customWidth="1"/>
    <col min="7221" max="7221" width="41.85546875" customWidth="1"/>
    <col min="7222" max="7222" width="14" customWidth="1"/>
    <col min="7223" max="7223" width="13" customWidth="1"/>
    <col min="7224" max="7224" width="13.7109375" customWidth="1"/>
    <col min="7475" max="7475" width="18.140625" customWidth="1"/>
    <col min="7476" max="7476" width="13" customWidth="1"/>
    <col min="7477" max="7477" width="41.85546875" customWidth="1"/>
    <col min="7478" max="7478" width="14" customWidth="1"/>
    <col min="7479" max="7479" width="13" customWidth="1"/>
    <col min="7480" max="7480" width="13.7109375" customWidth="1"/>
    <col min="7731" max="7731" width="18.140625" customWidth="1"/>
    <col min="7732" max="7732" width="13" customWidth="1"/>
    <col min="7733" max="7733" width="41.85546875" customWidth="1"/>
    <col min="7734" max="7734" width="14" customWidth="1"/>
    <col min="7735" max="7735" width="13" customWidth="1"/>
    <col min="7736" max="7736" width="13.7109375" customWidth="1"/>
    <col min="7987" max="7987" width="18.140625" customWidth="1"/>
    <col min="7988" max="7988" width="13" customWidth="1"/>
    <col min="7989" max="7989" width="41.85546875" customWidth="1"/>
    <col min="7990" max="7990" width="14" customWidth="1"/>
    <col min="7991" max="7991" width="13" customWidth="1"/>
    <col min="7992" max="7992" width="13.7109375" customWidth="1"/>
    <col min="8243" max="8243" width="18.140625" customWidth="1"/>
    <col min="8244" max="8244" width="13" customWidth="1"/>
    <col min="8245" max="8245" width="41.85546875" customWidth="1"/>
    <col min="8246" max="8246" width="14" customWidth="1"/>
    <col min="8247" max="8247" width="13" customWidth="1"/>
    <col min="8248" max="8248" width="13.7109375" customWidth="1"/>
    <col min="8499" max="8499" width="18.140625" customWidth="1"/>
    <col min="8500" max="8500" width="13" customWidth="1"/>
    <col min="8501" max="8501" width="41.85546875" customWidth="1"/>
    <col min="8502" max="8502" width="14" customWidth="1"/>
    <col min="8503" max="8503" width="13" customWidth="1"/>
    <col min="8504" max="8504" width="13.7109375" customWidth="1"/>
    <col min="8755" max="8755" width="18.140625" customWidth="1"/>
    <col min="8756" max="8756" width="13" customWidth="1"/>
    <col min="8757" max="8757" width="41.85546875" customWidth="1"/>
    <col min="8758" max="8758" width="14" customWidth="1"/>
    <col min="8759" max="8759" width="13" customWidth="1"/>
    <col min="8760" max="8760" width="13.7109375" customWidth="1"/>
    <col min="9011" max="9011" width="18.140625" customWidth="1"/>
    <col min="9012" max="9012" width="13" customWidth="1"/>
    <col min="9013" max="9013" width="41.85546875" customWidth="1"/>
    <col min="9014" max="9014" width="14" customWidth="1"/>
    <col min="9015" max="9015" width="13" customWidth="1"/>
    <col min="9016" max="9016" width="13.7109375" customWidth="1"/>
    <col min="9267" max="9267" width="18.140625" customWidth="1"/>
    <col min="9268" max="9268" width="13" customWidth="1"/>
    <col min="9269" max="9269" width="41.85546875" customWidth="1"/>
    <col min="9270" max="9270" width="14" customWidth="1"/>
    <col min="9271" max="9271" width="13" customWidth="1"/>
    <col min="9272" max="9272" width="13.7109375" customWidth="1"/>
    <col min="9523" max="9523" width="18.140625" customWidth="1"/>
    <col min="9524" max="9524" width="13" customWidth="1"/>
    <col min="9525" max="9525" width="41.85546875" customWidth="1"/>
    <col min="9526" max="9526" width="14" customWidth="1"/>
    <col min="9527" max="9527" width="13" customWidth="1"/>
    <col min="9528" max="9528" width="13.7109375" customWidth="1"/>
    <col min="9779" max="9779" width="18.140625" customWidth="1"/>
    <col min="9780" max="9780" width="13" customWidth="1"/>
    <col min="9781" max="9781" width="41.85546875" customWidth="1"/>
    <col min="9782" max="9782" width="14" customWidth="1"/>
    <col min="9783" max="9783" width="13" customWidth="1"/>
    <col min="9784" max="9784" width="13.7109375" customWidth="1"/>
    <col min="10035" max="10035" width="18.140625" customWidth="1"/>
    <col min="10036" max="10036" width="13" customWidth="1"/>
    <col min="10037" max="10037" width="41.85546875" customWidth="1"/>
    <col min="10038" max="10038" width="14" customWidth="1"/>
    <col min="10039" max="10039" width="13" customWidth="1"/>
    <col min="10040" max="10040" width="13.7109375" customWidth="1"/>
    <col min="10291" max="10291" width="18.140625" customWidth="1"/>
    <col min="10292" max="10292" width="13" customWidth="1"/>
    <col min="10293" max="10293" width="41.85546875" customWidth="1"/>
    <col min="10294" max="10294" width="14" customWidth="1"/>
    <col min="10295" max="10295" width="13" customWidth="1"/>
    <col min="10296" max="10296" width="13.7109375" customWidth="1"/>
    <col min="10547" max="10547" width="18.140625" customWidth="1"/>
    <col min="10548" max="10548" width="13" customWidth="1"/>
    <col min="10549" max="10549" width="41.85546875" customWidth="1"/>
    <col min="10550" max="10550" width="14" customWidth="1"/>
    <col min="10551" max="10551" width="13" customWidth="1"/>
    <col min="10552" max="10552" width="13.7109375" customWidth="1"/>
    <col min="10803" max="10803" width="18.140625" customWidth="1"/>
    <col min="10804" max="10804" width="13" customWidth="1"/>
    <col min="10805" max="10805" width="41.85546875" customWidth="1"/>
    <col min="10806" max="10806" width="14" customWidth="1"/>
    <col min="10807" max="10807" width="13" customWidth="1"/>
    <col min="10808" max="10808" width="13.7109375" customWidth="1"/>
    <col min="11059" max="11059" width="18.140625" customWidth="1"/>
    <col min="11060" max="11060" width="13" customWidth="1"/>
    <col min="11061" max="11061" width="41.85546875" customWidth="1"/>
    <col min="11062" max="11062" width="14" customWidth="1"/>
    <col min="11063" max="11063" width="13" customWidth="1"/>
    <col min="11064" max="11064" width="13.7109375" customWidth="1"/>
    <col min="11315" max="11315" width="18.140625" customWidth="1"/>
    <col min="11316" max="11316" width="13" customWidth="1"/>
    <col min="11317" max="11317" width="41.85546875" customWidth="1"/>
    <col min="11318" max="11318" width="14" customWidth="1"/>
    <col min="11319" max="11319" width="13" customWidth="1"/>
    <col min="11320" max="11320" width="13.7109375" customWidth="1"/>
    <col min="11571" max="11571" width="18.140625" customWidth="1"/>
    <col min="11572" max="11572" width="13" customWidth="1"/>
    <col min="11573" max="11573" width="41.85546875" customWidth="1"/>
    <col min="11574" max="11574" width="14" customWidth="1"/>
    <col min="11575" max="11575" width="13" customWidth="1"/>
    <col min="11576" max="11576" width="13.7109375" customWidth="1"/>
    <col min="11827" max="11827" width="18.140625" customWidth="1"/>
    <col min="11828" max="11828" width="13" customWidth="1"/>
    <col min="11829" max="11829" width="41.85546875" customWidth="1"/>
    <col min="11830" max="11830" width="14" customWidth="1"/>
    <col min="11831" max="11831" width="13" customWidth="1"/>
    <col min="11832" max="11832" width="13.7109375" customWidth="1"/>
    <col min="12083" max="12083" width="18.140625" customWidth="1"/>
    <col min="12084" max="12084" width="13" customWidth="1"/>
    <col min="12085" max="12085" width="41.85546875" customWidth="1"/>
    <col min="12086" max="12086" width="14" customWidth="1"/>
    <col min="12087" max="12087" width="13" customWidth="1"/>
    <col min="12088" max="12088" width="13.7109375" customWidth="1"/>
    <col min="12339" max="12339" width="18.140625" customWidth="1"/>
    <col min="12340" max="12340" width="13" customWidth="1"/>
    <col min="12341" max="12341" width="41.85546875" customWidth="1"/>
    <col min="12342" max="12342" width="14" customWidth="1"/>
    <col min="12343" max="12343" width="13" customWidth="1"/>
    <col min="12344" max="12344" width="13.7109375" customWidth="1"/>
    <col min="12595" max="12595" width="18.140625" customWidth="1"/>
    <col min="12596" max="12596" width="13" customWidth="1"/>
    <col min="12597" max="12597" width="41.85546875" customWidth="1"/>
    <col min="12598" max="12598" width="14" customWidth="1"/>
    <col min="12599" max="12599" width="13" customWidth="1"/>
    <col min="12600" max="12600" width="13.7109375" customWidth="1"/>
    <col min="12851" max="12851" width="18.140625" customWidth="1"/>
    <col min="12852" max="12852" width="13" customWidth="1"/>
    <col min="12853" max="12853" width="41.85546875" customWidth="1"/>
    <col min="12854" max="12854" width="14" customWidth="1"/>
    <col min="12855" max="12855" width="13" customWidth="1"/>
    <col min="12856" max="12856" width="13.7109375" customWidth="1"/>
    <col min="13107" max="13107" width="18.140625" customWidth="1"/>
    <col min="13108" max="13108" width="13" customWidth="1"/>
    <col min="13109" max="13109" width="41.85546875" customWidth="1"/>
    <col min="13110" max="13110" width="14" customWidth="1"/>
    <col min="13111" max="13111" width="13" customWidth="1"/>
    <col min="13112" max="13112" width="13.7109375" customWidth="1"/>
    <col min="13363" max="13363" width="18.140625" customWidth="1"/>
    <col min="13364" max="13364" width="13" customWidth="1"/>
    <col min="13365" max="13365" width="41.85546875" customWidth="1"/>
    <col min="13366" max="13366" width="14" customWidth="1"/>
    <col min="13367" max="13367" width="13" customWidth="1"/>
    <col min="13368" max="13368" width="13.7109375" customWidth="1"/>
    <col min="13619" max="13619" width="18.140625" customWidth="1"/>
    <col min="13620" max="13620" width="13" customWidth="1"/>
    <col min="13621" max="13621" width="41.85546875" customWidth="1"/>
    <col min="13622" max="13622" width="14" customWidth="1"/>
    <col min="13623" max="13623" width="13" customWidth="1"/>
    <col min="13624" max="13624" width="13.7109375" customWidth="1"/>
    <col min="13875" max="13875" width="18.140625" customWidth="1"/>
    <col min="13876" max="13876" width="13" customWidth="1"/>
    <col min="13877" max="13877" width="41.85546875" customWidth="1"/>
    <col min="13878" max="13878" width="14" customWidth="1"/>
    <col min="13879" max="13879" width="13" customWidth="1"/>
    <col min="13880" max="13880" width="13.7109375" customWidth="1"/>
    <col min="14131" max="14131" width="18.140625" customWidth="1"/>
    <col min="14132" max="14132" width="13" customWidth="1"/>
    <col min="14133" max="14133" width="41.85546875" customWidth="1"/>
    <col min="14134" max="14134" width="14" customWidth="1"/>
    <col min="14135" max="14135" width="13" customWidth="1"/>
    <col min="14136" max="14136" width="13.7109375" customWidth="1"/>
    <col min="14387" max="14387" width="18.140625" customWidth="1"/>
    <col min="14388" max="14388" width="13" customWidth="1"/>
    <col min="14389" max="14389" width="41.85546875" customWidth="1"/>
    <col min="14390" max="14390" width="14" customWidth="1"/>
    <col min="14391" max="14391" width="13" customWidth="1"/>
    <col min="14392" max="14392" width="13.7109375" customWidth="1"/>
    <col min="14643" max="14643" width="18.140625" customWidth="1"/>
    <col min="14644" max="14644" width="13" customWidth="1"/>
    <col min="14645" max="14645" width="41.85546875" customWidth="1"/>
    <col min="14646" max="14646" width="14" customWidth="1"/>
    <col min="14647" max="14647" width="13" customWidth="1"/>
    <col min="14648" max="14648" width="13.7109375" customWidth="1"/>
    <col min="14899" max="14899" width="18.140625" customWidth="1"/>
    <col min="14900" max="14900" width="13" customWidth="1"/>
    <col min="14901" max="14901" width="41.85546875" customWidth="1"/>
    <col min="14902" max="14902" width="14" customWidth="1"/>
    <col min="14903" max="14903" width="13" customWidth="1"/>
    <col min="14904" max="14904" width="13.7109375" customWidth="1"/>
    <col min="15155" max="15155" width="18.140625" customWidth="1"/>
    <col min="15156" max="15156" width="13" customWidth="1"/>
    <col min="15157" max="15157" width="41.85546875" customWidth="1"/>
    <col min="15158" max="15158" width="14" customWidth="1"/>
    <col min="15159" max="15159" width="13" customWidth="1"/>
    <col min="15160" max="15160" width="13.7109375" customWidth="1"/>
    <col min="15411" max="15411" width="18.140625" customWidth="1"/>
    <col min="15412" max="15412" width="13" customWidth="1"/>
    <col min="15413" max="15413" width="41.85546875" customWidth="1"/>
    <col min="15414" max="15414" width="14" customWidth="1"/>
    <col min="15415" max="15415" width="13" customWidth="1"/>
    <col min="15416" max="15416" width="13.7109375" customWidth="1"/>
    <col min="15667" max="15667" width="18.140625" customWidth="1"/>
    <col min="15668" max="15668" width="13" customWidth="1"/>
    <col min="15669" max="15669" width="41.85546875" customWidth="1"/>
    <col min="15670" max="15670" width="14" customWidth="1"/>
    <col min="15671" max="15671" width="13" customWidth="1"/>
    <col min="15672" max="15672" width="13.7109375" customWidth="1"/>
    <col min="15923" max="15923" width="18.140625" customWidth="1"/>
    <col min="15924" max="15924" width="13" customWidth="1"/>
    <col min="15925" max="15925" width="41.85546875" customWidth="1"/>
    <col min="15926" max="15926" width="14" customWidth="1"/>
    <col min="15927" max="15927" width="13" customWidth="1"/>
    <col min="15928" max="15928" width="13.7109375" customWidth="1"/>
    <col min="16179" max="16179" width="18.140625" customWidth="1"/>
    <col min="16180" max="16180" width="13" customWidth="1"/>
    <col min="16181" max="16181" width="41.85546875" customWidth="1"/>
    <col min="16182" max="16182" width="14" customWidth="1"/>
    <col min="16183" max="16183" width="13" customWidth="1"/>
    <col min="16184" max="16184" width="13.7109375" customWidth="1"/>
  </cols>
  <sheetData>
    <row r="1" spans="1:64">
      <c r="P1" s="43" t="s">
        <v>1999</v>
      </c>
      <c r="AL1" s="2307"/>
      <c r="AM1" s="2307"/>
      <c r="AN1" s="2307"/>
      <c r="AO1" s="2307"/>
      <c r="AP1" s="2307"/>
    </row>
    <row r="2" spans="1:64" ht="15.75">
      <c r="A2" s="43" t="s">
        <v>2700</v>
      </c>
      <c r="I2" s="43" t="s">
        <v>2700</v>
      </c>
      <c r="J2" s="43"/>
      <c r="K2" s="43"/>
      <c r="L2" s="43"/>
      <c r="M2" s="43"/>
      <c r="P2" s="738" t="s">
        <v>2000</v>
      </c>
      <c r="W2" s="2308" t="s">
        <v>478</v>
      </c>
      <c r="AD2" s="2308" t="s">
        <v>478</v>
      </c>
      <c r="AK2" s="2308" t="s">
        <v>478</v>
      </c>
      <c r="AR2" s="2307" t="s">
        <v>478</v>
      </c>
      <c r="AY2" s="2307" t="s">
        <v>478</v>
      </c>
      <c r="AZ2" s="368"/>
      <c r="BA2" s="368"/>
      <c r="BB2" s="368"/>
      <c r="BC2" s="368"/>
      <c r="BD2" s="368"/>
      <c r="BF2" s="2307" t="s">
        <v>478</v>
      </c>
    </row>
    <row r="3" spans="1:64" ht="15.75">
      <c r="A3" s="43" t="s">
        <v>3950</v>
      </c>
      <c r="I3" s="43" t="s">
        <v>2696</v>
      </c>
      <c r="P3" s="738" t="s">
        <v>2001</v>
      </c>
      <c r="AY3" s="368"/>
      <c r="AZ3" s="368"/>
      <c r="BA3" s="368"/>
      <c r="BB3" s="368"/>
      <c r="BC3" s="368"/>
      <c r="BD3" s="2309"/>
    </row>
    <row r="4" spans="1:64" ht="16.5" thickBot="1">
      <c r="D4" s="4882" t="s">
        <v>3951</v>
      </c>
      <c r="E4" s="4882"/>
      <c r="F4" s="4882"/>
      <c r="L4" s="4882" t="s">
        <v>2701</v>
      </c>
      <c r="M4" s="4882"/>
      <c r="N4" s="4882"/>
      <c r="P4" s="738"/>
      <c r="S4" s="4882" t="s">
        <v>2002</v>
      </c>
      <c r="T4" s="4882"/>
      <c r="U4" s="4882"/>
      <c r="Z4" s="4882" t="s">
        <v>1948</v>
      </c>
      <c r="AA4" s="4882"/>
      <c r="AB4" s="4882"/>
      <c r="AD4" s="237"/>
      <c r="AE4" s="237"/>
      <c r="AG4" s="4882" t="s">
        <v>1949</v>
      </c>
      <c r="AH4" s="4882"/>
      <c r="AI4" s="4882"/>
      <c r="AK4" s="237"/>
      <c r="AL4" s="237"/>
      <c r="AN4" s="4882" t="s">
        <v>1950</v>
      </c>
      <c r="AO4" s="4882"/>
      <c r="AP4" s="4882"/>
      <c r="AU4" s="4882" t="s">
        <v>1951</v>
      </c>
      <c r="AV4" s="4882"/>
      <c r="AW4" s="4882"/>
      <c r="BB4" s="4882" t="s">
        <v>1952</v>
      </c>
      <c r="BC4" s="4882"/>
      <c r="BD4" s="4882"/>
      <c r="BF4" s="2310"/>
      <c r="BG4" s="2310"/>
      <c r="BH4" s="2311"/>
      <c r="BI4" s="4882" t="s">
        <v>1953</v>
      </c>
      <c r="BJ4" s="4882"/>
      <c r="BK4" s="4882"/>
      <c r="BL4" s="4882"/>
    </row>
    <row r="5" spans="1:64" ht="37.5" thickBot="1">
      <c r="A5" s="743" t="s">
        <v>0</v>
      </c>
      <c r="B5" s="743" t="s">
        <v>1</v>
      </c>
      <c r="C5" s="743" t="s">
        <v>2</v>
      </c>
      <c r="D5" s="743" t="s">
        <v>1208</v>
      </c>
      <c r="E5" s="743" t="s">
        <v>1420</v>
      </c>
      <c r="F5" s="2591" t="s">
        <v>1356</v>
      </c>
      <c r="G5" s="4664" t="s">
        <v>1357</v>
      </c>
      <c r="I5" s="743" t="s">
        <v>0</v>
      </c>
      <c r="J5" s="743" t="s">
        <v>1</v>
      </c>
      <c r="K5" s="743" t="s">
        <v>2</v>
      </c>
      <c r="L5" s="2584" t="s">
        <v>2698</v>
      </c>
      <c r="M5" s="743" t="s">
        <v>2699</v>
      </c>
      <c r="N5" s="2591" t="s">
        <v>1356</v>
      </c>
      <c r="P5" s="743" t="s">
        <v>0</v>
      </c>
      <c r="Q5" s="743" t="s">
        <v>1</v>
      </c>
      <c r="R5" s="743" t="s">
        <v>2</v>
      </c>
      <c r="S5" s="743" t="s">
        <v>1943</v>
      </c>
      <c r="T5" s="949" t="s">
        <v>1355</v>
      </c>
      <c r="U5" s="2591" t="s">
        <v>1356</v>
      </c>
      <c r="W5" s="1215" t="s">
        <v>0</v>
      </c>
      <c r="X5" s="1215" t="s">
        <v>1</v>
      </c>
      <c r="Y5" s="1215" t="s">
        <v>2</v>
      </c>
      <c r="Z5" s="949" t="s">
        <v>1954</v>
      </c>
      <c r="AA5" s="949" t="s">
        <v>1355</v>
      </c>
      <c r="AB5" s="2312" t="s">
        <v>1356</v>
      </c>
      <c r="AD5" s="733" t="s">
        <v>0</v>
      </c>
      <c r="AE5" s="733" t="s">
        <v>1</v>
      </c>
      <c r="AF5" s="733" t="s">
        <v>2</v>
      </c>
      <c r="AG5" s="733" t="s">
        <v>1355</v>
      </c>
      <c r="AH5" s="733" t="s">
        <v>1955</v>
      </c>
      <c r="AI5" s="2312" t="s">
        <v>1356</v>
      </c>
      <c r="AK5" s="733" t="s">
        <v>0</v>
      </c>
      <c r="AL5" s="733" t="s">
        <v>1</v>
      </c>
      <c r="AM5" s="733" t="s">
        <v>2</v>
      </c>
      <c r="AN5" s="733" t="s">
        <v>1355</v>
      </c>
      <c r="AO5" s="733" t="s">
        <v>1955</v>
      </c>
      <c r="AP5" s="2312" t="s">
        <v>1356</v>
      </c>
      <c r="AQ5" s="73"/>
      <c r="AR5" s="733" t="s">
        <v>0</v>
      </c>
      <c r="AS5" s="733" t="s">
        <v>1</v>
      </c>
      <c r="AT5" s="733" t="s">
        <v>2</v>
      </c>
      <c r="AU5" s="733" t="s">
        <v>1355</v>
      </c>
      <c r="AV5" s="733" t="s">
        <v>1955</v>
      </c>
      <c r="AW5" s="733" t="s">
        <v>1356</v>
      </c>
      <c r="AX5" s="73"/>
      <c r="AY5" s="733" t="s">
        <v>0</v>
      </c>
      <c r="AZ5" s="733" t="s">
        <v>1</v>
      </c>
      <c r="BA5" s="733" t="s">
        <v>2</v>
      </c>
      <c r="BB5" s="733" t="s">
        <v>1355</v>
      </c>
      <c r="BC5" s="733" t="s">
        <v>1955</v>
      </c>
      <c r="BD5" s="733" t="s">
        <v>1356</v>
      </c>
      <c r="BE5" s="73"/>
      <c r="BF5" s="2313" t="s">
        <v>0</v>
      </c>
      <c r="BG5" s="2313" t="s">
        <v>1</v>
      </c>
      <c r="BH5" s="2313" t="s">
        <v>2</v>
      </c>
      <c r="BI5" s="2314" t="s">
        <v>1355</v>
      </c>
      <c r="BJ5" s="2314" t="s">
        <v>1956</v>
      </c>
      <c r="BK5" s="2314" t="s">
        <v>1357</v>
      </c>
      <c r="BL5" s="2315" t="s">
        <v>1358</v>
      </c>
    </row>
    <row r="6" spans="1:64">
      <c r="A6" s="73" t="s">
        <v>3</v>
      </c>
      <c r="B6" s="73" t="s">
        <v>4</v>
      </c>
      <c r="C6" s="73" t="s">
        <v>5</v>
      </c>
      <c r="D6" s="2327">
        <v>19.12</v>
      </c>
      <c r="E6" s="161">
        <v>59</v>
      </c>
      <c r="F6" s="2263">
        <f>D6-G6</f>
        <v>7.120000000000001</v>
      </c>
      <c r="G6" s="2331">
        <v>12</v>
      </c>
      <c r="I6" s="163" t="s">
        <v>3</v>
      </c>
      <c r="J6" s="163" t="s">
        <v>4</v>
      </c>
      <c r="K6" s="73" t="s">
        <v>5</v>
      </c>
      <c r="L6" s="161">
        <v>19.97</v>
      </c>
      <c r="M6" s="161">
        <v>100</v>
      </c>
      <c r="N6" s="2263">
        <f>L6-BK6</f>
        <v>7.9699999999999989</v>
      </c>
      <c r="P6" s="161" t="s">
        <v>3</v>
      </c>
      <c r="Q6" s="161" t="s">
        <v>4</v>
      </c>
      <c r="R6" s="73" t="s">
        <v>5</v>
      </c>
      <c r="S6" s="2327">
        <v>19.59</v>
      </c>
      <c r="T6" s="161">
        <v>58</v>
      </c>
      <c r="U6" s="2317">
        <f t="shared" ref="U6:U37" si="0">S6-BK6</f>
        <v>7.59</v>
      </c>
      <c r="W6" s="1094" t="s">
        <v>3</v>
      </c>
      <c r="X6" s="1094" t="s">
        <v>4</v>
      </c>
      <c r="Y6" s="2316" t="s">
        <v>5</v>
      </c>
      <c r="Z6" s="2247">
        <v>18.812499999999996</v>
      </c>
      <c r="AA6" s="2248">
        <v>64</v>
      </c>
      <c r="AB6" s="2317">
        <f>Z6-BK6</f>
        <v>6.8124999999999964</v>
      </c>
      <c r="AD6" s="2318" t="s">
        <v>3</v>
      </c>
      <c r="AE6" s="2318" t="s">
        <v>4</v>
      </c>
      <c r="AF6" s="2319" t="s">
        <v>5</v>
      </c>
      <c r="AG6" s="2320">
        <v>58</v>
      </c>
      <c r="AH6" s="2321">
        <v>18.189655172413797</v>
      </c>
      <c r="AI6" s="2263">
        <f>AH6-12</f>
        <v>6.1896551724137971</v>
      </c>
      <c r="AK6" s="2322" t="s">
        <v>3</v>
      </c>
      <c r="AL6" s="2322" t="s">
        <v>4</v>
      </c>
      <c r="AM6" s="734" t="s">
        <v>5</v>
      </c>
      <c r="AN6" s="735">
        <v>55</v>
      </c>
      <c r="AO6" s="736">
        <v>18.236363636363638</v>
      </c>
      <c r="AP6" s="2323">
        <f>+AO6-12</f>
        <v>6.2363636363636381</v>
      </c>
      <c r="AQ6" s="73"/>
      <c r="AR6" s="2322" t="s">
        <v>3</v>
      </c>
      <c r="AS6" s="2322" t="s">
        <v>4</v>
      </c>
      <c r="AT6" s="2324" t="s">
        <v>5</v>
      </c>
      <c r="AU6" s="2325">
        <v>40</v>
      </c>
      <c r="AV6" s="2326">
        <v>19.675000000000001</v>
      </c>
      <c r="AW6" s="2323">
        <f>+AV6-12</f>
        <v>7.6750000000000007</v>
      </c>
      <c r="AX6" s="73"/>
      <c r="AY6" s="161" t="s">
        <v>3</v>
      </c>
      <c r="AZ6" s="161" t="s">
        <v>4</v>
      </c>
      <c r="BA6" s="73" t="s">
        <v>5</v>
      </c>
      <c r="BB6" s="161">
        <v>42</v>
      </c>
      <c r="BC6" s="2327">
        <v>20.285714285714285</v>
      </c>
      <c r="BD6" s="2328">
        <f>+BC6-12</f>
        <v>8.2857142857142847</v>
      </c>
      <c r="BE6" s="73"/>
      <c r="BF6" s="2329" t="s">
        <v>3</v>
      </c>
      <c r="BG6" s="2329" t="s">
        <v>4</v>
      </c>
      <c r="BH6" s="737" t="s">
        <v>5</v>
      </c>
      <c r="BI6" s="2329">
        <v>27</v>
      </c>
      <c r="BJ6" s="2330">
        <v>20.62962962962963</v>
      </c>
      <c r="BK6" s="2331">
        <v>12</v>
      </c>
      <c r="BL6" s="3201">
        <f>BJ6-BK6</f>
        <v>8.6296296296296298</v>
      </c>
    </row>
    <row r="7" spans="1:64">
      <c r="A7" s="73"/>
      <c r="B7" s="73"/>
      <c r="C7" s="73" t="s">
        <v>6</v>
      </c>
      <c r="D7" s="2327">
        <v>19.239999999999998</v>
      </c>
      <c r="E7" s="161">
        <v>75</v>
      </c>
      <c r="F7" s="2263">
        <f t="shared" ref="F7:F70" si="1">D7-G7</f>
        <v>7.2399999999999984</v>
      </c>
      <c r="G7" s="2331">
        <v>12</v>
      </c>
      <c r="I7" s="163"/>
      <c r="J7" s="163"/>
      <c r="K7" s="73" t="s">
        <v>6</v>
      </c>
      <c r="L7" s="161">
        <v>20.88</v>
      </c>
      <c r="M7" s="161">
        <v>83</v>
      </c>
      <c r="N7" s="2263">
        <f t="shared" ref="N7:N70" si="2">L7-BK7</f>
        <v>8.879999999999999</v>
      </c>
      <c r="P7" s="161"/>
      <c r="Q7" s="161"/>
      <c r="R7" s="73" t="s">
        <v>6</v>
      </c>
      <c r="S7" s="2327">
        <v>20.25</v>
      </c>
      <c r="T7" s="161">
        <v>64</v>
      </c>
      <c r="U7" s="2317">
        <f t="shared" si="0"/>
        <v>8.25</v>
      </c>
      <c r="W7" s="1094"/>
      <c r="X7" s="1094"/>
      <c r="Y7" s="2316" t="s">
        <v>6</v>
      </c>
      <c r="Z7" s="2247">
        <v>19.8</v>
      </c>
      <c r="AA7" s="2248">
        <v>70</v>
      </c>
      <c r="AB7" s="2317">
        <f t="shared" ref="AB7:AB70" si="3">Z7-BK7</f>
        <v>7.8000000000000007</v>
      </c>
      <c r="AD7" s="2318"/>
      <c r="AE7" s="2318"/>
      <c r="AF7" s="2319" t="s">
        <v>6</v>
      </c>
      <c r="AG7" s="2320">
        <v>43</v>
      </c>
      <c r="AH7" s="2321">
        <v>19.232558139534891</v>
      </c>
      <c r="AI7" s="2263">
        <f t="shared" ref="AI7:AI69" si="4">AH7-12</f>
        <v>7.2325581395348912</v>
      </c>
      <c r="AK7" s="2322"/>
      <c r="AL7" s="2322"/>
      <c r="AM7" s="734" t="s">
        <v>6</v>
      </c>
      <c r="AN7" s="735">
        <v>59</v>
      </c>
      <c r="AO7" s="736">
        <v>20.457627118644062</v>
      </c>
      <c r="AP7" s="2323">
        <f t="shared" ref="AP7:AP69" si="5">+AO7-12</f>
        <v>8.4576271186440621</v>
      </c>
      <c r="AQ7" s="73"/>
      <c r="AR7" s="2322"/>
      <c r="AS7" s="2322"/>
      <c r="AT7" s="2324" t="s">
        <v>6</v>
      </c>
      <c r="AU7" s="2325">
        <v>21</v>
      </c>
      <c r="AV7" s="2326">
        <v>21.428571428571431</v>
      </c>
      <c r="AW7" s="2323">
        <f t="shared" ref="AW7:AW69" si="6">+AV7-12</f>
        <v>9.4285714285714306</v>
      </c>
      <c r="AX7" s="73"/>
      <c r="AY7" s="161"/>
      <c r="AZ7" s="161"/>
      <c r="BA7" s="73" t="s">
        <v>6</v>
      </c>
      <c r="BB7" s="161">
        <v>36</v>
      </c>
      <c r="BC7" s="2327">
        <v>20.694444444444446</v>
      </c>
      <c r="BD7" s="2328">
        <f t="shared" ref="BD7:BD69" si="7">+BC7-12</f>
        <v>8.6944444444444464</v>
      </c>
      <c r="BE7" s="73"/>
      <c r="BF7" s="2329"/>
      <c r="BG7" s="2329"/>
      <c r="BH7" s="737" t="s">
        <v>6</v>
      </c>
      <c r="BI7" s="2329">
        <v>32</v>
      </c>
      <c r="BJ7" s="2330">
        <v>21.375</v>
      </c>
      <c r="BK7" s="2331">
        <v>12</v>
      </c>
      <c r="BL7" s="3201">
        <f t="shared" ref="BL7:BL70" si="8">BJ7-BK7</f>
        <v>9.375</v>
      </c>
    </row>
    <row r="8" spans="1:64">
      <c r="A8" s="73"/>
      <c r="B8" s="73"/>
      <c r="C8" s="73" t="s">
        <v>7</v>
      </c>
      <c r="D8" s="2327">
        <v>18.760000000000002</v>
      </c>
      <c r="E8" s="161">
        <v>29</v>
      </c>
      <c r="F8" s="2263">
        <f t="shared" si="1"/>
        <v>6.7600000000000016</v>
      </c>
      <c r="G8" s="2331">
        <v>12</v>
      </c>
      <c r="I8" s="163"/>
      <c r="J8" s="163"/>
      <c r="K8" s="73" t="s">
        <v>7</v>
      </c>
      <c r="L8" s="161">
        <v>20.67</v>
      </c>
      <c r="M8" s="161">
        <v>33</v>
      </c>
      <c r="N8" s="2263">
        <f t="shared" si="2"/>
        <v>8.6700000000000017</v>
      </c>
      <c r="P8" s="161"/>
      <c r="Q8" s="161"/>
      <c r="R8" s="73" t="s">
        <v>7</v>
      </c>
      <c r="S8" s="2327">
        <v>21.57</v>
      </c>
      <c r="T8" s="161">
        <v>30</v>
      </c>
      <c r="U8" s="2317">
        <f t="shared" si="0"/>
        <v>9.57</v>
      </c>
      <c r="W8" s="1094"/>
      <c r="X8" s="1094"/>
      <c r="Y8" s="2316" t="s">
        <v>7</v>
      </c>
      <c r="Z8" s="2247">
        <v>20.095238095238098</v>
      </c>
      <c r="AA8" s="2248">
        <v>21</v>
      </c>
      <c r="AB8" s="2317">
        <f t="shared" si="3"/>
        <v>8.0952380952380985</v>
      </c>
      <c r="AD8" s="2318"/>
      <c r="AE8" s="2318"/>
      <c r="AF8" s="2319" t="s">
        <v>7</v>
      </c>
      <c r="AG8" s="2320">
        <v>21</v>
      </c>
      <c r="AH8" s="2321">
        <v>23.904761904761905</v>
      </c>
      <c r="AI8" s="2263">
        <f t="shared" si="4"/>
        <v>11.904761904761905</v>
      </c>
      <c r="AK8" s="2322"/>
      <c r="AL8" s="2322"/>
      <c r="AM8" s="734" t="s">
        <v>7</v>
      </c>
      <c r="AN8" s="735">
        <v>17</v>
      </c>
      <c r="AO8" s="736">
        <v>23.411764705882351</v>
      </c>
      <c r="AP8" s="2323">
        <f t="shared" si="5"/>
        <v>11.411764705882351</v>
      </c>
      <c r="AQ8" s="73"/>
      <c r="AR8" s="2322"/>
      <c r="AS8" s="2322"/>
      <c r="AT8" s="2324" t="s">
        <v>7</v>
      </c>
      <c r="AU8" s="2325">
        <v>10</v>
      </c>
      <c r="AV8" s="2326">
        <v>21.1</v>
      </c>
      <c r="AW8" s="2323">
        <f t="shared" si="6"/>
        <v>9.1000000000000014</v>
      </c>
      <c r="AX8" s="73"/>
      <c r="AY8" s="161"/>
      <c r="AZ8" s="161"/>
      <c r="BA8" s="73" t="s">
        <v>7</v>
      </c>
      <c r="BB8" s="161">
        <v>15</v>
      </c>
      <c r="BC8" s="2327">
        <v>23.066666666666666</v>
      </c>
      <c r="BD8" s="2328">
        <f t="shared" si="7"/>
        <v>11.066666666666666</v>
      </c>
      <c r="BE8" s="73"/>
      <c r="BF8" s="2329"/>
      <c r="BG8" s="2329"/>
      <c r="BH8" s="737" t="s">
        <v>7</v>
      </c>
      <c r="BI8" s="2329">
        <v>9</v>
      </c>
      <c r="BJ8" s="2330">
        <v>20.333333333333332</v>
      </c>
      <c r="BK8" s="2331">
        <v>12</v>
      </c>
      <c r="BL8" s="3201">
        <f t="shared" si="8"/>
        <v>8.3333333333333321</v>
      </c>
    </row>
    <row r="9" spans="1:64">
      <c r="A9" s="73"/>
      <c r="B9" s="73"/>
      <c r="C9" s="73" t="s">
        <v>8</v>
      </c>
      <c r="D9" s="2327">
        <v>18.75</v>
      </c>
      <c r="E9" s="161">
        <v>36</v>
      </c>
      <c r="F9" s="2263">
        <f t="shared" si="1"/>
        <v>6.75</v>
      </c>
      <c r="G9" s="2331">
        <v>12</v>
      </c>
      <c r="I9" s="163"/>
      <c r="J9" s="163"/>
      <c r="K9" s="73" t="s">
        <v>8</v>
      </c>
      <c r="L9" s="161">
        <v>20.96</v>
      </c>
      <c r="M9" s="161">
        <v>23</v>
      </c>
      <c r="N9" s="2263">
        <f t="shared" si="2"/>
        <v>8.9600000000000009</v>
      </c>
      <c r="P9" s="161"/>
      <c r="Q9" s="161"/>
      <c r="R9" s="73" t="s">
        <v>8</v>
      </c>
      <c r="S9" s="2327">
        <v>19.41</v>
      </c>
      <c r="T9" s="161">
        <v>17</v>
      </c>
      <c r="U9" s="2317">
        <f t="shared" si="0"/>
        <v>7.41</v>
      </c>
      <c r="W9" s="1094"/>
      <c r="X9" s="1094"/>
      <c r="Y9" s="2316" t="s">
        <v>8</v>
      </c>
      <c r="Z9" s="2247">
        <v>20.350000000000001</v>
      </c>
      <c r="AA9" s="2248">
        <v>20</v>
      </c>
      <c r="AB9" s="2317">
        <f t="shared" si="3"/>
        <v>8.3500000000000014</v>
      </c>
      <c r="AD9" s="2318"/>
      <c r="AE9" s="2318"/>
      <c r="AF9" s="2319" t="s">
        <v>8</v>
      </c>
      <c r="AG9" s="2320">
        <v>34</v>
      </c>
      <c r="AH9" s="2321">
        <v>21.088235294117645</v>
      </c>
      <c r="AI9" s="2263">
        <f t="shared" si="4"/>
        <v>9.088235294117645</v>
      </c>
      <c r="AK9" s="2322"/>
      <c r="AL9" s="2322"/>
      <c r="AM9" s="734" t="s">
        <v>8</v>
      </c>
      <c r="AN9" s="735">
        <v>20</v>
      </c>
      <c r="AO9" s="736">
        <v>21.150000000000002</v>
      </c>
      <c r="AP9" s="2323">
        <f t="shared" si="5"/>
        <v>9.1500000000000021</v>
      </c>
      <c r="AQ9" s="73"/>
      <c r="AR9" s="2322"/>
      <c r="AS9" s="2322"/>
      <c r="AT9" s="2324" t="s">
        <v>8</v>
      </c>
      <c r="AU9" s="2325">
        <v>17</v>
      </c>
      <c r="AV9" s="2326">
        <v>21.411764705882355</v>
      </c>
      <c r="AW9" s="2323">
        <f t="shared" si="6"/>
        <v>9.411764705882355</v>
      </c>
      <c r="AX9" s="73"/>
      <c r="AY9" s="161"/>
      <c r="AZ9" s="161"/>
      <c r="BA9" s="73" t="s">
        <v>8</v>
      </c>
      <c r="BB9" s="161">
        <v>13</v>
      </c>
      <c r="BC9" s="2327">
        <v>19.46153846153846</v>
      </c>
      <c r="BD9" s="2328">
        <f t="shared" si="7"/>
        <v>7.4615384615384599</v>
      </c>
      <c r="BE9" s="73"/>
      <c r="BF9" s="2329"/>
      <c r="BG9" s="2329"/>
      <c r="BH9" s="737" t="s">
        <v>8</v>
      </c>
      <c r="BI9" s="2329">
        <v>17</v>
      </c>
      <c r="BJ9" s="2330">
        <v>21.882352941176467</v>
      </c>
      <c r="BK9" s="2331">
        <v>12</v>
      </c>
      <c r="BL9" s="3201">
        <f t="shared" si="8"/>
        <v>9.8823529411764675</v>
      </c>
    </row>
    <row r="10" spans="1:64">
      <c r="A10" s="73"/>
      <c r="B10" s="73"/>
      <c r="C10" s="73" t="s">
        <v>9</v>
      </c>
      <c r="D10" s="2327">
        <v>21.27</v>
      </c>
      <c r="E10" s="161">
        <v>74</v>
      </c>
      <c r="F10" s="2263">
        <f t="shared" si="1"/>
        <v>9.27</v>
      </c>
      <c r="G10" s="2331">
        <v>12</v>
      </c>
      <c r="I10" s="163"/>
      <c r="J10" s="163"/>
      <c r="K10" s="73" t="s">
        <v>9</v>
      </c>
      <c r="L10" s="161">
        <v>20.98</v>
      </c>
      <c r="M10" s="161">
        <v>83</v>
      </c>
      <c r="N10" s="2263">
        <f t="shared" si="2"/>
        <v>8.98</v>
      </c>
      <c r="P10" s="161"/>
      <c r="Q10" s="161"/>
      <c r="R10" s="73" t="s">
        <v>9</v>
      </c>
      <c r="S10" s="2327">
        <v>19.88</v>
      </c>
      <c r="T10" s="161">
        <v>90</v>
      </c>
      <c r="U10" s="2317">
        <f t="shared" si="0"/>
        <v>7.879999999999999</v>
      </c>
      <c r="W10" s="1094"/>
      <c r="X10" s="1094"/>
      <c r="Y10" s="2316" t="s">
        <v>9</v>
      </c>
      <c r="Z10" s="2247">
        <v>21.023529411764709</v>
      </c>
      <c r="AA10" s="2248">
        <v>85</v>
      </c>
      <c r="AB10" s="2317">
        <f t="shared" si="3"/>
        <v>9.0235294117647094</v>
      </c>
      <c r="AD10" s="2318"/>
      <c r="AE10" s="2318"/>
      <c r="AF10" s="2319" t="s">
        <v>9</v>
      </c>
      <c r="AG10" s="2320">
        <v>97</v>
      </c>
      <c r="AH10" s="2321">
        <v>20.515463917525778</v>
      </c>
      <c r="AI10" s="2263">
        <f t="shared" si="4"/>
        <v>8.5154639175257785</v>
      </c>
      <c r="AK10" s="2322"/>
      <c r="AL10" s="2322"/>
      <c r="AM10" s="734" t="s">
        <v>9</v>
      </c>
      <c r="AN10" s="735">
        <v>111</v>
      </c>
      <c r="AO10" s="736">
        <v>19.819819819819823</v>
      </c>
      <c r="AP10" s="2323">
        <f t="shared" si="5"/>
        <v>7.8198198198198234</v>
      </c>
      <c r="AQ10" s="73"/>
      <c r="AR10" s="2322"/>
      <c r="AS10" s="2322"/>
      <c r="AT10" s="2324" t="s">
        <v>9</v>
      </c>
      <c r="AU10" s="2325">
        <v>69</v>
      </c>
      <c r="AV10" s="2326">
        <v>20.231884057971001</v>
      </c>
      <c r="AW10" s="2323">
        <f t="shared" si="6"/>
        <v>8.2318840579710013</v>
      </c>
      <c r="AX10" s="73"/>
      <c r="AY10" s="161"/>
      <c r="AZ10" s="161"/>
      <c r="BA10" s="73" t="s">
        <v>9</v>
      </c>
      <c r="BB10" s="161">
        <v>71</v>
      </c>
      <c r="BC10" s="2327">
        <v>20.577464788732403</v>
      </c>
      <c r="BD10" s="2328">
        <f t="shared" si="7"/>
        <v>8.5774647887324029</v>
      </c>
      <c r="BE10" s="73"/>
      <c r="BF10" s="2329"/>
      <c r="BG10" s="2329"/>
      <c r="BH10" s="737" t="s">
        <v>9</v>
      </c>
      <c r="BI10" s="2329">
        <v>89</v>
      </c>
      <c r="BJ10" s="2330">
        <v>20.089887640449433</v>
      </c>
      <c r="BK10" s="2331">
        <v>12</v>
      </c>
      <c r="BL10" s="3201">
        <f t="shared" si="8"/>
        <v>8.0898876404494331</v>
      </c>
    </row>
    <row r="11" spans="1:64">
      <c r="A11" s="73"/>
      <c r="B11" s="73"/>
      <c r="C11" s="73" t="s">
        <v>10</v>
      </c>
      <c r="D11" s="2327">
        <v>20.2</v>
      </c>
      <c r="E11" s="161">
        <v>60</v>
      </c>
      <c r="F11" s="2263">
        <f t="shared" si="1"/>
        <v>8.1999999999999993</v>
      </c>
      <c r="G11" s="2331">
        <v>12</v>
      </c>
      <c r="I11" s="163"/>
      <c r="J11" s="163"/>
      <c r="K11" s="73" t="s">
        <v>10</v>
      </c>
      <c r="L11" s="161">
        <v>21.39</v>
      </c>
      <c r="M11" s="161">
        <v>62</v>
      </c>
      <c r="N11" s="2263">
        <f t="shared" si="2"/>
        <v>9.39</v>
      </c>
      <c r="P11" s="161"/>
      <c r="Q11" s="161"/>
      <c r="R11" s="73" t="s">
        <v>10</v>
      </c>
      <c r="S11" s="2327">
        <v>20.47</v>
      </c>
      <c r="T11" s="161">
        <v>55</v>
      </c>
      <c r="U11" s="2317">
        <f t="shared" si="0"/>
        <v>8.4699999999999989</v>
      </c>
      <c r="W11" s="1094"/>
      <c r="X11" s="1094"/>
      <c r="Y11" s="2316" t="s">
        <v>10</v>
      </c>
      <c r="Z11" s="2247">
        <v>21.604651162790695</v>
      </c>
      <c r="AA11" s="2248">
        <v>43</v>
      </c>
      <c r="AB11" s="2317">
        <f t="shared" si="3"/>
        <v>9.6046511627906952</v>
      </c>
      <c r="AD11" s="2318"/>
      <c r="AE11" s="2318"/>
      <c r="AF11" s="2319" t="s">
        <v>10</v>
      </c>
      <c r="AG11" s="2320">
        <v>39</v>
      </c>
      <c r="AH11" s="2321">
        <v>21.974358974358974</v>
      </c>
      <c r="AI11" s="2263">
        <f t="shared" si="4"/>
        <v>9.9743589743589745</v>
      </c>
      <c r="AK11" s="2322"/>
      <c r="AL11" s="2322"/>
      <c r="AM11" s="734" t="s">
        <v>10</v>
      </c>
      <c r="AN11" s="735">
        <v>54</v>
      </c>
      <c r="AO11" s="736">
        <v>21.796296296296294</v>
      </c>
      <c r="AP11" s="2323">
        <f t="shared" si="5"/>
        <v>9.7962962962962941</v>
      </c>
      <c r="AQ11" s="73"/>
      <c r="AR11" s="2322"/>
      <c r="AS11" s="2322"/>
      <c r="AT11" s="2324" t="s">
        <v>10</v>
      </c>
      <c r="AU11" s="2325">
        <v>38</v>
      </c>
      <c r="AV11" s="2326">
        <v>21.342105263157894</v>
      </c>
      <c r="AW11" s="2323">
        <f t="shared" si="6"/>
        <v>9.3421052631578938</v>
      </c>
      <c r="AX11" s="73"/>
      <c r="AY11" s="161"/>
      <c r="AZ11" s="161"/>
      <c r="BA11" s="73" t="s">
        <v>10</v>
      </c>
      <c r="BB11" s="161">
        <v>42</v>
      </c>
      <c r="BC11" s="2327">
        <v>20.952380952380953</v>
      </c>
      <c r="BD11" s="2328">
        <f t="shared" si="7"/>
        <v>8.9523809523809526</v>
      </c>
      <c r="BE11" s="73"/>
      <c r="BF11" s="2329"/>
      <c r="BG11" s="2329"/>
      <c r="BH11" s="737" t="s">
        <v>10</v>
      </c>
      <c r="BI11" s="2329">
        <v>29</v>
      </c>
      <c r="BJ11" s="2330">
        <v>22.206896551724135</v>
      </c>
      <c r="BK11" s="2331">
        <v>12</v>
      </c>
      <c r="BL11" s="3201">
        <f t="shared" si="8"/>
        <v>10.206896551724135</v>
      </c>
    </row>
    <row r="12" spans="1:64">
      <c r="A12" s="73"/>
      <c r="B12" s="73"/>
      <c r="C12" s="73" t="s">
        <v>11</v>
      </c>
      <c r="D12" s="2327">
        <v>19.95</v>
      </c>
      <c r="E12" s="161">
        <v>19</v>
      </c>
      <c r="F12" s="2263">
        <f t="shared" si="1"/>
        <v>7.9499999999999993</v>
      </c>
      <c r="G12" s="2331">
        <v>12</v>
      </c>
      <c r="I12" s="163"/>
      <c r="J12" s="163"/>
      <c r="K12" s="73" t="s">
        <v>11</v>
      </c>
      <c r="L12" s="161">
        <v>18.170000000000002</v>
      </c>
      <c r="M12" s="161">
        <v>23</v>
      </c>
      <c r="N12" s="2263">
        <f t="shared" si="2"/>
        <v>6.1700000000000017</v>
      </c>
      <c r="P12" s="161"/>
      <c r="Q12" s="161"/>
      <c r="R12" s="73" t="s">
        <v>11</v>
      </c>
      <c r="S12" s="2327">
        <v>20.43</v>
      </c>
      <c r="T12" s="161">
        <v>14</v>
      </c>
      <c r="U12" s="2317">
        <f t="shared" si="0"/>
        <v>8.43</v>
      </c>
      <c r="W12" s="1094"/>
      <c r="X12" s="1094"/>
      <c r="Y12" s="2316" t="s">
        <v>11</v>
      </c>
      <c r="Z12" s="2247">
        <v>21.764705882352942</v>
      </c>
      <c r="AA12" s="2248">
        <v>17</v>
      </c>
      <c r="AB12" s="2317">
        <f t="shared" si="3"/>
        <v>9.764705882352942</v>
      </c>
      <c r="AD12" s="2318"/>
      <c r="AE12" s="2318"/>
      <c r="AF12" s="2319" t="s">
        <v>11</v>
      </c>
      <c r="AG12" s="2320">
        <v>19</v>
      </c>
      <c r="AH12" s="2321">
        <v>22.473684210526315</v>
      </c>
      <c r="AI12" s="2263">
        <f t="shared" si="4"/>
        <v>10.473684210526315</v>
      </c>
      <c r="AK12" s="2322"/>
      <c r="AL12" s="2322"/>
      <c r="AM12" s="734" t="s">
        <v>11</v>
      </c>
      <c r="AN12" s="735">
        <v>9</v>
      </c>
      <c r="AO12" s="736">
        <v>21.444444444444443</v>
      </c>
      <c r="AP12" s="2323">
        <f t="shared" si="5"/>
        <v>9.4444444444444429</v>
      </c>
      <c r="AQ12" s="73"/>
      <c r="AR12" s="2322"/>
      <c r="AS12" s="2322"/>
      <c r="AT12" s="2324" t="s">
        <v>11</v>
      </c>
      <c r="AU12" s="2325">
        <v>4</v>
      </c>
      <c r="AV12" s="2326">
        <v>21</v>
      </c>
      <c r="AW12" s="2323">
        <f t="shared" si="6"/>
        <v>9</v>
      </c>
      <c r="AX12" s="73"/>
      <c r="AY12" s="161"/>
      <c r="AZ12" s="161"/>
      <c r="BA12" s="73" t="s">
        <v>11</v>
      </c>
      <c r="BB12" s="161">
        <v>5</v>
      </c>
      <c r="BC12" s="2327">
        <v>21</v>
      </c>
      <c r="BD12" s="2328">
        <f t="shared" si="7"/>
        <v>9</v>
      </c>
      <c r="BE12" s="73"/>
      <c r="BF12" s="2329"/>
      <c r="BG12" s="2329"/>
      <c r="BH12" s="737" t="s">
        <v>11</v>
      </c>
      <c r="BI12" s="2329">
        <v>5</v>
      </c>
      <c r="BJ12" s="2330">
        <v>16.8</v>
      </c>
      <c r="BK12" s="2331">
        <v>12</v>
      </c>
      <c r="BL12" s="3201">
        <f t="shared" si="8"/>
        <v>4.8000000000000007</v>
      </c>
    </row>
    <row r="13" spans="1:64">
      <c r="A13" s="73"/>
      <c r="B13" s="73"/>
      <c r="C13" s="73" t="s">
        <v>12</v>
      </c>
      <c r="D13" s="2327">
        <v>19.78</v>
      </c>
      <c r="E13" s="161">
        <v>58</v>
      </c>
      <c r="F13" s="2263">
        <f t="shared" si="1"/>
        <v>7.7800000000000011</v>
      </c>
      <c r="G13" s="2331">
        <v>12</v>
      </c>
      <c r="I13" s="163"/>
      <c r="J13" s="163"/>
      <c r="K13" s="73" t="s">
        <v>12</v>
      </c>
      <c r="L13" s="161">
        <v>20.58</v>
      </c>
      <c r="M13" s="161">
        <v>60</v>
      </c>
      <c r="N13" s="2263">
        <f t="shared" si="2"/>
        <v>8.5799999999999983</v>
      </c>
      <c r="P13" s="161"/>
      <c r="Q13" s="161"/>
      <c r="R13" s="73" t="s">
        <v>12</v>
      </c>
      <c r="S13" s="2327">
        <v>20.32</v>
      </c>
      <c r="T13" s="161">
        <v>56</v>
      </c>
      <c r="U13" s="2317">
        <f t="shared" si="0"/>
        <v>8.32</v>
      </c>
      <c r="W13" s="1094"/>
      <c r="X13" s="1094"/>
      <c r="Y13" s="2316" t="s">
        <v>12</v>
      </c>
      <c r="Z13" s="2247">
        <v>20.383561643835613</v>
      </c>
      <c r="AA13" s="2248">
        <v>73</v>
      </c>
      <c r="AB13" s="2317">
        <f t="shared" si="3"/>
        <v>8.3835616438356126</v>
      </c>
      <c r="AD13" s="2318"/>
      <c r="AE13" s="2318"/>
      <c r="AF13" s="2319" t="s">
        <v>12</v>
      </c>
      <c r="AG13" s="2320">
        <v>84</v>
      </c>
      <c r="AH13" s="2321">
        <v>20.726190476190485</v>
      </c>
      <c r="AI13" s="2263">
        <f t="shared" si="4"/>
        <v>8.7261904761904852</v>
      </c>
      <c r="AK13" s="2322"/>
      <c r="AL13" s="2322"/>
      <c r="AM13" s="734" t="s">
        <v>12</v>
      </c>
      <c r="AN13" s="735">
        <v>54</v>
      </c>
      <c r="AO13" s="736">
        <v>19.185185185185183</v>
      </c>
      <c r="AP13" s="2323">
        <f t="shared" si="5"/>
        <v>7.1851851851851833</v>
      </c>
      <c r="AQ13" s="73"/>
      <c r="AR13" s="2322"/>
      <c r="AS13" s="2322"/>
      <c r="AT13" s="2324" t="s">
        <v>12</v>
      </c>
      <c r="AU13" s="2325">
        <v>37</v>
      </c>
      <c r="AV13" s="2326">
        <v>18.216216216216214</v>
      </c>
      <c r="AW13" s="2323">
        <f t="shared" si="6"/>
        <v>6.216216216216214</v>
      </c>
      <c r="AX13" s="73"/>
      <c r="AY13" s="161"/>
      <c r="AZ13" s="161"/>
      <c r="BA13" s="73" t="s">
        <v>12</v>
      </c>
      <c r="BB13" s="161">
        <v>45</v>
      </c>
      <c r="BC13" s="2327">
        <v>19.622222222222213</v>
      </c>
      <c r="BD13" s="2328">
        <f t="shared" si="7"/>
        <v>7.6222222222222129</v>
      </c>
      <c r="BE13" s="73"/>
      <c r="BF13" s="2329"/>
      <c r="BG13" s="2329"/>
      <c r="BH13" s="737" t="s">
        <v>12</v>
      </c>
      <c r="BI13" s="2329">
        <v>46</v>
      </c>
      <c r="BJ13" s="2330">
        <v>19.978260869565215</v>
      </c>
      <c r="BK13" s="2331">
        <v>12</v>
      </c>
      <c r="BL13" s="3201">
        <f t="shared" si="8"/>
        <v>7.9782608695652151</v>
      </c>
    </row>
    <row r="14" spans="1:64">
      <c r="A14" s="73"/>
      <c r="B14" s="73"/>
      <c r="C14" s="73" t="s">
        <v>13</v>
      </c>
      <c r="D14" s="2327">
        <v>22.71</v>
      </c>
      <c r="E14" s="161">
        <v>51</v>
      </c>
      <c r="F14" s="2263">
        <f t="shared" si="1"/>
        <v>10.71</v>
      </c>
      <c r="G14" s="2331">
        <v>12</v>
      </c>
      <c r="I14" s="163"/>
      <c r="J14" s="163"/>
      <c r="K14" s="73" t="s">
        <v>13</v>
      </c>
      <c r="L14" s="161">
        <v>22.97</v>
      </c>
      <c r="M14" s="161">
        <v>62</v>
      </c>
      <c r="N14" s="2263">
        <f t="shared" si="2"/>
        <v>10.969999999999999</v>
      </c>
      <c r="P14" s="161"/>
      <c r="Q14" s="161"/>
      <c r="R14" s="73" t="s">
        <v>13</v>
      </c>
      <c r="S14" s="2327">
        <v>22.91</v>
      </c>
      <c r="T14" s="161">
        <v>57</v>
      </c>
      <c r="U14" s="2317">
        <f t="shared" si="0"/>
        <v>10.91</v>
      </c>
      <c r="W14" s="1094"/>
      <c r="X14" s="1094"/>
      <c r="Y14" s="2316" t="s">
        <v>13</v>
      </c>
      <c r="Z14" s="2247">
        <v>23.280701754385969</v>
      </c>
      <c r="AA14" s="2248">
        <v>57</v>
      </c>
      <c r="AB14" s="2317">
        <f t="shared" si="3"/>
        <v>11.280701754385969</v>
      </c>
      <c r="AD14" s="2318"/>
      <c r="AE14" s="2318"/>
      <c r="AF14" s="2319" t="s">
        <v>13</v>
      </c>
      <c r="AG14" s="2320">
        <v>59</v>
      </c>
      <c r="AH14" s="2321">
        <v>22.338983050847457</v>
      </c>
      <c r="AI14" s="2263">
        <f t="shared" si="4"/>
        <v>10.338983050847457</v>
      </c>
      <c r="AK14" s="2322"/>
      <c r="AL14" s="2322"/>
      <c r="AM14" s="734" t="s">
        <v>13</v>
      </c>
      <c r="AN14" s="735">
        <v>76</v>
      </c>
      <c r="AO14" s="736">
        <v>22.592105263157901</v>
      </c>
      <c r="AP14" s="2323">
        <f t="shared" si="5"/>
        <v>10.592105263157901</v>
      </c>
      <c r="AQ14" s="73"/>
      <c r="AR14" s="2322"/>
      <c r="AS14" s="2322"/>
      <c r="AT14" s="2324" t="s">
        <v>13</v>
      </c>
      <c r="AU14" s="2325">
        <v>71</v>
      </c>
      <c r="AV14" s="2326">
        <v>21.084507042253517</v>
      </c>
      <c r="AW14" s="2323">
        <f t="shared" si="6"/>
        <v>9.0845070422535166</v>
      </c>
      <c r="AX14" s="73"/>
      <c r="AY14" s="161"/>
      <c r="AZ14" s="161"/>
      <c r="BA14" s="73" t="s">
        <v>13</v>
      </c>
      <c r="BB14" s="161">
        <v>71</v>
      </c>
      <c r="BC14" s="2327">
        <v>23.253521126760575</v>
      </c>
      <c r="BD14" s="2328">
        <f t="shared" si="7"/>
        <v>11.253521126760575</v>
      </c>
      <c r="BE14" s="73"/>
      <c r="BF14" s="2329"/>
      <c r="BG14" s="2329"/>
      <c r="BH14" s="737" t="s">
        <v>13</v>
      </c>
      <c r="BI14" s="2329">
        <v>55</v>
      </c>
      <c r="BJ14" s="2330">
        <v>22.672727272727272</v>
      </c>
      <c r="BK14" s="2331">
        <v>12</v>
      </c>
      <c r="BL14" s="3201">
        <f t="shared" si="8"/>
        <v>10.672727272727272</v>
      </c>
    </row>
    <row r="15" spans="1:64">
      <c r="A15" s="73"/>
      <c r="B15" s="73"/>
      <c r="C15" s="73" t="s">
        <v>14</v>
      </c>
      <c r="D15" s="2327">
        <v>22.31</v>
      </c>
      <c r="E15" s="161">
        <v>59</v>
      </c>
      <c r="F15" s="2263">
        <f t="shared" si="1"/>
        <v>10.309999999999999</v>
      </c>
      <c r="G15" s="2331">
        <v>12</v>
      </c>
      <c r="I15" s="163"/>
      <c r="J15" s="163"/>
      <c r="K15" s="73" t="s">
        <v>14</v>
      </c>
      <c r="L15" s="161">
        <v>23.12</v>
      </c>
      <c r="M15" s="161">
        <v>81</v>
      </c>
      <c r="N15" s="2263">
        <f t="shared" si="2"/>
        <v>11.120000000000001</v>
      </c>
      <c r="P15" s="161"/>
      <c r="Q15" s="161"/>
      <c r="R15" s="73" t="s">
        <v>14</v>
      </c>
      <c r="S15" s="2327">
        <v>22.78</v>
      </c>
      <c r="T15" s="161">
        <v>81</v>
      </c>
      <c r="U15" s="2317">
        <f t="shared" si="0"/>
        <v>10.780000000000001</v>
      </c>
      <c r="W15" s="1094"/>
      <c r="X15" s="1094"/>
      <c r="Y15" s="2316" t="s">
        <v>14</v>
      </c>
      <c r="Z15" s="2247">
        <v>20.779220779220779</v>
      </c>
      <c r="AA15" s="2248">
        <v>77</v>
      </c>
      <c r="AB15" s="2317">
        <f t="shared" si="3"/>
        <v>8.779220779220779</v>
      </c>
      <c r="AD15" s="2318"/>
      <c r="AE15" s="2318"/>
      <c r="AF15" s="2319" t="s">
        <v>14</v>
      </c>
      <c r="AG15" s="2320">
        <v>120</v>
      </c>
      <c r="AH15" s="2321">
        <v>21.458333333333318</v>
      </c>
      <c r="AI15" s="2263">
        <f t="shared" si="4"/>
        <v>9.4583333333333179</v>
      </c>
      <c r="AK15" s="2322"/>
      <c r="AL15" s="2322"/>
      <c r="AM15" s="734" t="s">
        <v>14</v>
      </c>
      <c r="AN15" s="735">
        <v>67</v>
      </c>
      <c r="AO15" s="736">
        <v>20.850746268656714</v>
      </c>
      <c r="AP15" s="2323">
        <f t="shared" si="5"/>
        <v>8.8507462686567138</v>
      </c>
      <c r="AQ15" s="73"/>
      <c r="AR15" s="2322"/>
      <c r="AS15" s="2322"/>
      <c r="AT15" s="2324" t="s">
        <v>14</v>
      </c>
      <c r="AU15" s="2325">
        <v>55</v>
      </c>
      <c r="AV15" s="2326">
        <v>18.800000000000008</v>
      </c>
      <c r="AW15" s="2323">
        <f t="shared" si="6"/>
        <v>6.8000000000000078</v>
      </c>
      <c r="AX15" s="73"/>
      <c r="AY15" s="161"/>
      <c r="AZ15" s="161"/>
      <c r="BA15" s="73" t="s">
        <v>14</v>
      </c>
      <c r="BB15" s="161">
        <v>64</v>
      </c>
      <c r="BC15" s="2327">
        <v>18.75</v>
      </c>
      <c r="BD15" s="2328">
        <f t="shared" si="7"/>
        <v>6.75</v>
      </c>
      <c r="BE15" s="73"/>
      <c r="BF15" s="2329"/>
      <c r="BG15" s="2329"/>
      <c r="BH15" s="737" t="s">
        <v>14</v>
      </c>
      <c r="BI15" s="2329">
        <v>59</v>
      </c>
      <c r="BJ15" s="2330">
        <v>17.101694915254239</v>
      </c>
      <c r="BK15" s="2331">
        <v>12</v>
      </c>
      <c r="BL15" s="3201">
        <f t="shared" si="8"/>
        <v>5.1016949152542388</v>
      </c>
    </row>
    <row r="16" spans="1:64">
      <c r="A16" s="73"/>
      <c r="B16" s="73"/>
      <c r="C16" s="738" t="s">
        <v>572</v>
      </c>
      <c r="D16" s="2342">
        <v>20.34</v>
      </c>
      <c r="E16" s="4603">
        <v>520</v>
      </c>
      <c r="F16" s="3210">
        <f t="shared" si="1"/>
        <v>8.34</v>
      </c>
      <c r="G16" s="2331">
        <v>12</v>
      </c>
      <c r="I16" s="163"/>
      <c r="J16" s="163"/>
      <c r="K16" s="738" t="s">
        <v>572</v>
      </c>
      <c r="L16" s="151">
        <v>21.17</v>
      </c>
      <c r="M16" s="151">
        <v>610</v>
      </c>
      <c r="N16" s="3210">
        <f t="shared" si="2"/>
        <v>9.1700000000000017</v>
      </c>
      <c r="P16" s="161"/>
      <c r="Q16" s="161"/>
      <c r="R16" s="738" t="s">
        <v>572</v>
      </c>
      <c r="S16" s="2342">
        <v>20.88</v>
      </c>
      <c r="T16" s="151">
        <v>522</v>
      </c>
      <c r="U16" s="2596">
        <f t="shared" si="0"/>
        <v>8.879999999999999</v>
      </c>
      <c r="W16" s="1094"/>
      <c r="X16" s="1094"/>
      <c r="Y16" s="2332" t="s">
        <v>572</v>
      </c>
      <c r="Z16" s="2333">
        <v>20.721062618595809</v>
      </c>
      <c r="AA16" s="2334">
        <v>527</v>
      </c>
      <c r="AB16" s="2317">
        <f t="shared" si="3"/>
        <v>8.7210626185958091</v>
      </c>
      <c r="AD16" s="2318"/>
      <c r="AE16" s="2318"/>
      <c r="AF16" s="2335" t="s">
        <v>572</v>
      </c>
      <c r="AG16" s="2336">
        <v>574</v>
      </c>
      <c r="AH16" s="2337">
        <v>20.921602787456443</v>
      </c>
      <c r="AI16" s="2263">
        <f t="shared" si="4"/>
        <v>8.9216027874564432</v>
      </c>
      <c r="AK16" s="2322"/>
      <c r="AL16" s="2322"/>
      <c r="AM16" s="2338" t="s">
        <v>572</v>
      </c>
      <c r="AN16" s="2339">
        <f>SUM(AN6:AN15)</f>
        <v>522</v>
      </c>
      <c r="AO16" s="2340">
        <v>20.6</v>
      </c>
      <c r="AP16" s="2341">
        <f t="shared" si="5"/>
        <v>8.6000000000000014</v>
      </c>
      <c r="AQ16" s="73"/>
      <c r="AR16" s="2322"/>
      <c r="AS16" s="2322"/>
      <c r="AT16" s="2338" t="s">
        <v>572</v>
      </c>
      <c r="AU16" s="2339">
        <v>362</v>
      </c>
      <c r="AV16" s="2340">
        <v>20.187845303867427</v>
      </c>
      <c r="AW16" s="2341">
        <f t="shared" si="6"/>
        <v>8.1878453038674266</v>
      </c>
      <c r="AX16" s="73"/>
      <c r="AY16" s="161"/>
      <c r="AZ16" s="161"/>
      <c r="BA16" s="738" t="s">
        <v>15</v>
      </c>
      <c r="BB16" s="151">
        <v>404</v>
      </c>
      <c r="BC16" s="2342">
        <v>20.732673267326739</v>
      </c>
      <c r="BD16" s="2343">
        <f t="shared" si="7"/>
        <v>8.7326732673267387</v>
      </c>
      <c r="BE16" s="73"/>
      <c r="BF16" s="2329"/>
      <c r="BG16" s="2329"/>
      <c r="BH16" s="2344" t="s">
        <v>15</v>
      </c>
      <c r="BI16" s="2345">
        <v>368</v>
      </c>
      <c r="BJ16" s="2346">
        <v>20.3451086956522</v>
      </c>
      <c r="BK16" s="2331">
        <v>12</v>
      </c>
      <c r="BL16" s="3202">
        <f t="shared" si="8"/>
        <v>8.3451086956522005</v>
      </c>
    </row>
    <row r="17" spans="1:64">
      <c r="A17" s="73"/>
      <c r="B17" s="73" t="s">
        <v>16</v>
      </c>
      <c r="C17" s="73" t="s">
        <v>17</v>
      </c>
      <c r="D17" s="2327">
        <v>14.93</v>
      </c>
      <c r="E17" s="161">
        <v>205</v>
      </c>
      <c r="F17" s="2263">
        <f t="shared" si="1"/>
        <v>2.9299999999999997</v>
      </c>
      <c r="G17" s="2331">
        <v>12</v>
      </c>
      <c r="I17" s="163"/>
      <c r="J17" s="163" t="s">
        <v>16</v>
      </c>
      <c r="K17" s="73" t="s">
        <v>17</v>
      </c>
      <c r="L17" s="161">
        <v>15.32</v>
      </c>
      <c r="M17" s="161">
        <v>196</v>
      </c>
      <c r="N17" s="2263">
        <f t="shared" si="2"/>
        <v>3.3200000000000003</v>
      </c>
      <c r="P17" s="161"/>
      <c r="Q17" s="161" t="s">
        <v>16</v>
      </c>
      <c r="R17" s="73" t="s">
        <v>17</v>
      </c>
      <c r="S17" s="2327">
        <v>14.92</v>
      </c>
      <c r="T17" s="161">
        <v>169</v>
      </c>
      <c r="U17" s="2317">
        <f t="shared" si="0"/>
        <v>2.92</v>
      </c>
      <c r="W17" s="1094"/>
      <c r="X17" s="1094" t="s">
        <v>16</v>
      </c>
      <c r="Y17" s="2316" t="s">
        <v>17</v>
      </c>
      <c r="Z17" s="2247">
        <v>15.731578947368426</v>
      </c>
      <c r="AA17" s="2248">
        <v>190</v>
      </c>
      <c r="AB17" s="2317">
        <f t="shared" si="3"/>
        <v>3.7315789473684262</v>
      </c>
      <c r="AD17" s="2318"/>
      <c r="AE17" s="2318" t="s">
        <v>16</v>
      </c>
      <c r="AF17" s="2319" t="s">
        <v>17</v>
      </c>
      <c r="AG17" s="2320">
        <v>179</v>
      </c>
      <c r="AH17" s="2321">
        <v>14.949720670391072</v>
      </c>
      <c r="AI17" s="2263">
        <f t="shared" si="4"/>
        <v>2.9497206703910717</v>
      </c>
      <c r="AK17" s="2322"/>
      <c r="AL17" s="2322" t="s">
        <v>16</v>
      </c>
      <c r="AM17" s="2324" t="s">
        <v>17</v>
      </c>
      <c r="AN17" s="2325">
        <v>210</v>
      </c>
      <c r="AO17" s="2326">
        <v>15.557142857142855</v>
      </c>
      <c r="AP17" s="2323">
        <f t="shared" si="5"/>
        <v>3.5571428571428552</v>
      </c>
      <c r="AQ17" s="73"/>
      <c r="AR17" s="2322"/>
      <c r="AS17" s="2322" t="s">
        <v>16</v>
      </c>
      <c r="AT17" s="2324" t="s">
        <v>17</v>
      </c>
      <c r="AU17" s="2325">
        <v>181</v>
      </c>
      <c r="AV17" s="2326">
        <v>14.585635359116019</v>
      </c>
      <c r="AW17" s="2323">
        <f t="shared" si="6"/>
        <v>2.5856353591160186</v>
      </c>
      <c r="AX17" s="73"/>
      <c r="AY17" s="161"/>
      <c r="AZ17" s="161" t="s">
        <v>16</v>
      </c>
      <c r="BA17" s="73" t="s">
        <v>17</v>
      </c>
      <c r="BB17" s="161">
        <v>141</v>
      </c>
      <c r="BC17" s="2327">
        <v>15.283687943262414</v>
      </c>
      <c r="BD17" s="2328">
        <f t="shared" si="7"/>
        <v>3.2836879432624144</v>
      </c>
      <c r="BE17" s="73"/>
      <c r="BF17" s="2329"/>
      <c r="BG17" s="2329" t="s">
        <v>16</v>
      </c>
      <c r="BH17" s="737" t="s">
        <v>17</v>
      </c>
      <c r="BI17" s="2329">
        <v>136</v>
      </c>
      <c r="BJ17" s="2330">
        <v>15.264705882352938</v>
      </c>
      <c r="BK17" s="2331">
        <v>12</v>
      </c>
      <c r="BL17" s="3201">
        <f t="shared" si="8"/>
        <v>3.2647058823529385</v>
      </c>
    </row>
    <row r="18" spans="1:64">
      <c r="A18" s="73"/>
      <c r="B18" s="73"/>
      <c r="C18" s="73" t="s">
        <v>18</v>
      </c>
      <c r="D18" s="2327">
        <v>15.42</v>
      </c>
      <c r="E18" s="161">
        <v>326</v>
      </c>
      <c r="F18" s="2263">
        <f t="shared" si="1"/>
        <v>3.42</v>
      </c>
      <c r="G18" s="2331">
        <v>12</v>
      </c>
      <c r="I18" s="163"/>
      <c r="J18" s="163"/>
      <c r="K18" s="73" t="s">
        <v>18</v>
      </c>
      <c r="L18" s="161">
        <v>15.14</v>
      </c>
      <c r="M18" s="161">
        <v>298</v>
      </c>
      <c r="N18" s="2263">
        <f t="shared" si="2"/>
        <v>3.1400000000000006</v>
      </c>
      <c r="P18" s="161"/>
      <c r="Q18" s="161"/>
      <c r="R18" s="73" t="s">
        <v>18</v>
      </c>
      <c r="S18" s="2327">
        <v>15.26</v>
      </c>
      <c r="T18" s="161">
        <v>284</v>
      </c>
      <c r="U18" s="2317">
        <f t="shared" si="0"/>
        <v>3.26</v>
      </c>
      <c r="W18" s="1094"/>
      <c r="X18" s="1094"/>
      <c r="Y18" s="2316" t="s">
        <v>18</v>
      </c>
      <c r="Z18" s="2247">
        <v>15.546125461254611</v>
      </c>
      <c r="AA18" s="2248">
        <v>271</v>
      </c>
      <c r="AB18" s="2317">
        <f t="shared" si="3"/>
        <v>3.5461254612546114</v>
      </c>
      <c r="AD18" s="2318"/>
      <c r="AE18" s="2318"/>
      <c r="AF18" s="2319" t="s">
        <v>18</v>
      </c>
      <c r="AG18" s="2320">
        <v>237</v>
      </c>
      <c r="AH18" s="2321">
        <v>14.797468354430384</v>
      </c>
      <c r="AI18" s="2263">
        <f t="shared" si="4"/>
        <v>2.797468354430384</v>
      </c>
      <c r="AK18" s="2322"/>
      <c r="AL18" s="2322"/>
      <c r="AM18" s="2324" t="s">
        <v>18</v>
      </c>
      <c r="AN18" s="2325">
        <v>347</v>
      </c>
      <c r="AO18" s="2326">
        <v>15.282420749279545</v>
      </c>
      <c r="AP18" s="2323">
        <f t="shared" si="5"/>
        <v>3.2824207492795452</v>
      </c>
      <c r="AQ18" s="73"/>
      <c r="AR18" s="2322"/>
      <c r="AS18" s="2322"/>
      <c r="AT18" s="2324" t="s">
        <v>18</v>
      </c>
      <c r="AU18" s="2325">
        <v>230</v>
      </c>
      <c r="AV18" s="2326">
        <v>15.834782608695667</v>
      </c>
      <c r="AW18" s="2323">
        <f t="shared" si="6"/>
        <v>3.8347826086956669</v>
      </c>
      <c r="AX18" s="73"/>
      <c r="AY18" s="161"/>
      <c r="AZ18" s="161"/>
      <c r="BA18" s="73" t="s">
        <v>18</v>
      </c>
      <c r="BB18" s="161">
        <v>169</v>
      </c>
      <c r="BC18" s="2327">
        <v>16.100591715976321</v>
      </c>
      <c r="BD18" s="2328">
        <f t="shared" si="7"/>
        <v>4.1005917159763214</v>
      </c>
      <c r="BE18" s="73"/>
      <c r="BF18" s="2329"/>
      <c r="BG18" s="2329"/>
      <c r="BH18" s="737" t="s">
        <v>18</v>
      </c>
      <c r="BI18" s="2329">
        <v>237</v>
      </c>
      <c r="BJ18" s="2330">
        <v>15.873417721518992</v>
      </c>
      <c r="BK18" s="2331">
        <v>12</v>
      </c>
      <c r="BL18" s="3201">
        <f t="shared" si="8"/>
        <v>3.873417721518992</v>
      </c>
    </row>
    <row r="19" spans="1:64">
      <c r="A19" s="73"/>
      <c r="B19" s="73"/>
      <c r="C19" s="73" t="s">
        <v>19</v>
      </c>
      <c r="D19" s="2327">
        <v>19.079999999999998</v>
      </c>
      <c r="E19" s="161">
        <v>65</v>
      </c>
      <c r="F19" s="2263">
        <f t="shared" si="1"/>
        <v>7.0799999999999983</v>
      </c>
      <c r="G19" s="2331">
        <v>12</v>
      </c>
      <c r="I19" s="163"/>
      <c r="J19" s="163"/>
      <c r="K19" s="73" t="s">
        <v>19</v>
      </c>
      <c r="L19" s="161">
        <v>18.510000000000002</v>
      </c>
      <c r="M19" s="161">
        <v>72</v>
      </c>
      <c r="N19" s="2263">
        <f t="shared" si="2"/>
        <v>6.5100000000000016</v>
      </c>
      <c r="P19" s="161"/>
      <c r="Q19" s="161"/>
      <c r="R19" s="73" t="s">
        <v>19</v>
      </c>
      <c r="S19" s="2327">
        <v>18</v>
      </c>
      <c r="T19" s="161">
        <v>63</v>
      </c>
      <c r="U19" s="2317">
        <f t="shared" si="0"/>
        <v>6</v>
      </c>
      <c r="W19" s="1094"/>
      <c r="X19" s="1094"/>
      <c r="Y19" s="2316" t="s">
        <v>19</v>
      </c>
      <c r="Z19" s="2247">
        <v>17.918918918918923</v>
      </c>
      <c r="AA19" s="2248">
        <v>74</v>
      </c>
      <c r="AB19" s="2317">
        <f t="shared" si="3"/>
        <v>5.9189189189189229</v>
      </c>
      <c r="AD19" s="2318"/>
      <c r="AE19" s="2318"/>
      <c r="AF19" s="2319" t="s">
        <v>19</v>
      </c>
      <c r="AG19" s="2320">
        <v>55</v>
      </c>
      <c r="AH19" s="2321">
        <v>19</v>
      </c>
      <c r="AI19" s="2263">
        <f t="shared" si="4"/>
        <v>7</v>
      </c>
      <c r="AK19" s="2322"/>
      <c r="AL19" s="2322"/>
      <c r="AM19" s="2324" t="s">
        <v>19</v>
      </c>
      <c r="AN19" s="2325">
        <v>74</v>
      </c>
      <c r="AO19" s="2326">
        <v>18.216216216216214</v>
      </c>
      <c r="AP19" s="2323">
        <f t="shared" si="5"/>
        <v>6.216216216216214</v>
      </c>
      <c r="AQ19" s="73"/>
      <c r="AR19" s="2322"/>
      <c r="AS19" s="2322"/>
      <c r="AT19" s="2324" t="s">
        <v>19</v>
      </c>
      <c r="AU19" s="2325">
        <v>56</v>
      </c>
      <c r="AV19" s="2326">
        <v>18.928571428571427</v>
      </c>
      <c r="AW19" s="2323">
        <f t="shared" si="6"/>
        <v>6.928571428571427</v>
      </c>
      <c r="AX19" s="73"/>
      <c r="AY19" s="161"/>
      <c r="AZ19" s="161"/>
      <c r="BA19" s="73" t="s">
        <v>19</v>
      </c>
      <c r="BB19" s="161">
        <v>51</v>
      </c>
      <c r="BC19" s="2327">
        <v>18.843137254901961</v>
      </c>
      <c r="BD19" s="2328">
        <f t="shared" si="7"/>
        <v>6.8431372549019613</v>
      </c>
      <c r="BE19" s="73"/>
      <c r="BF19" s="2329"/>
      <c r="BG19" s="2329"/>
      <c r="BH19" s="737" t="s">
        <v>19</v>
      </c>
      <c r="BI19" s="2329">
        <v>61</v>
      </c>
      <c r="BJ19" s="2330">
        <v>19.426229508196727</v>
      </c>
      <c r="BK19" s="2331">
        <v>12</v>
      </c>
      <c r="BL19" s="3201">
        <f t="shared" si="8"/>
        <v>7.4262295081967267</v>
      </c>
    </row>
    <row r="20" spans="1:64">
      <c r="A20" s="73"/>
      <c r="B20" s="73"/>
      <c r="C20" s="73" t="s">
        <v>20</v>
      </c>
      <c r="D20" s="2327">
        <v>18.62</v>
      </c>
      <c r="E20" s="161">
        <v>82</v>
      </c>
      <c r="F20" s="2263">
        <f t="shared" si="1"/>
        <v>6.620000000000001</v>
      </c>
      <c r="G20" s="2331">
        <v>12</v>
      </c>
      <c r="I20" s="163"/>
      <c r="J20" s="163"/>
      <c r="K20" s="73" t="s">
        <v>20</v>
      </c>
      <c r="L20" s="161">
        <v>18.84</v>
      </c>
      <c r="M20" s="161">
        <v>90</v>
      </c>
      <c r="N20" s="2263">
        <f t="shared" si="2"/>
        <v>6.84</v>
      </c>
      <c r="P20" s="161"/>
      <c r="Q20" s="161"/>
      <c r="R20" s="73" t="s">
        <v>20</v>
      </c>
      <c r="S20" s="2327">
        <v>16.82</v>
      </c>
      <c r="T20" s="161">
        <v>62</v>
      </c>
      <c r="U20" s="2317">
        <f t="shared" si="0"/>
        <v>4.82</v>
      </c>
      <c r="W20" s="1094"/>
      <c r="X20" s="1094"/>
      <c r="Y20" s="2316" t="s">
        <v>20</v>
      </c>
      <c r="Z20" s="2247">
        <v>17.861702127659573</v>
      </c>
      <c r="AA20" s="2248">
        <v>94</v>
      </c>
      <c r="AB20" s="2317">
        <f t="shared" si="3"/>
        <v>5.8617021276595729</v>
      </c>
      <c r="AD20" s="2318"/>
      <c r="AE20" s="2318"/>
      <c r="AF20" s="2319" t="s">
        <v>20</v>
      </c>
      <c r="AG20" s="2320">
        <v>90</v>
      </c>
      <c r="AH20" s="2321">
        <v>17.399999999999999</v>
      </c>
      <c r="AI20" s="2263">
        <f t="shared" si="4"/>
        <v>5.3999999999999986</v>
      </c>
      <c r="AK20" s="2322"/>
      <c r="AL20" s="2322"/>
      <c r="AM20" s="2324" t="s">
        <v>20</v>
      </c>
      <c r="AN20" s="2325">
        <v>93</v>
      </c>
      <c r="AO20" s="2326">
        <v>18.225806451612893</v>
      </c>
      <c r="AP20" s="2323">
        <f t="shared" si="5"/>
        <v>6.2258064516128933</v>
      </c>
      <c r="AQ20" s="73"/>
      <c r="AR20" s="2322"/>
      <c r="AS20" s="2322"/>
      <c r="AT20" s="2324" t="s">
        <v>20</v>
      </c>
      <c r="AU20" s="2325">
        <v>57</v>
      </c>
      <c r="AV20" s="2326">
        <v>18.368421052631579</v>
      </c>
      <c r="AW20" s="2323">
        <f t="shared" si="6"/>
        <v>6.3684210526315788</v>
      </c>
      <c r="AX20" s="73"/>
      <c r="AY20" s="161"/>
      <c r="AZ20" s="161"/>
      <c r="BA20" s="73" t="s">
        <v>20</v>
      </c>
      <c r="BB20" s="161">
        <v>78</v>
      </c>
      <c r="BC20" s="2327">
        <v>17.538461538461537</v>
      </c>
      <c r="BD20" s="2328">
        <f t="shared" si="7"/>
        <v>5.5384615384615365</v>
      </c>
      <c r="BE20" s="73"/>
      <c r="BF20" s="2329"/>
      <c r="BG20" s="2329"/>
      <c r="BH20" s="737" t="s">
        <v>20</v>
      </c>
      <c r="BI20" s="2329">
        <v>69</v>
      </c>
      <c r="BJ20" s="2330">
        <v>17.623188405797098</v>
      </c>
      <c r="BK20" s="2331">
        <v>12</v>
      </c>
      <c r="BL20" s="3201">
        <f t="shared" si="8"/>
        <v>5.623188405797098</v>
      </c>
    </row>
    <row r="21" spans="1:64">
      <c r="A21" s="73"/>
      <c r="B21" s="73"/>
      <c r="C21" s="738" t="s">
        <v>573</v>
      </c>
      <c r="D21" s="2342">
        <v>16.010000000000002</v>
      </c>
      <c r="E21" s="4603">
        <v>678</v>
      </c>
      <c r="F21" s="3210">
        <f t="shared" si="1"/>
        <v>4.0100000000000016</v>
      </c>
      <c r="G21" s="2331">
        <v>12</v>
      </c>
      <c r="I21" s="163"/>
      <c r="J21" s="163"/>
      <c r="K21" s="738" t="s">
        <v>573</v>
      </c>
      <c r="L21" s="151">
        <v>16.07</v>
      </c>
      <c r="M21" s="151">
        <v>656</v>
      </c>
      <c r="N21" s="3210">
        <f t="shared" si="2"/>
        <v>4.07</v>
      </c>
      <c r="P21" s="161"/>
      <c r="Q21" s="161"/>
      <c r="R21" s="738" t="s">
        <v>573</v>
      </c>
      <c r="S21" s="2342">
        <v>15.62</v>
      </c>
      <c r="T21" s="151">
        <v>578</v>
      </c>
      <c r="U21" s="2596">
        <f t="shared" si="0"/>
        <v>3.6199999999999992</v>
      </c>
      <c r="W21" s="1094"/>
      <c r="X21" s="1094"/>
      <c r="Y21" s="2332" t="s">
        <v>573</v>
      </c>
      <c r="Z21" s="2333">
        <v>16.227344992050885</v>
      </c>
      <c r="AA21" s="2334">
        <v>629</v>
      </c>
      <c r="AB21" s="2317">
        <f t="shared" si="3"/>
        <v>4.2273449920508845</v>
      </c>
      <c r="AD21" s="2318"/>
      <c r="AE21" s="2318"/>
      <c r="AF21" s="2335" t="s">
        <v>573</v>
      </c>
      <c r="AG21" s="2336">
        <v>561</v>
      </c>
      <c r="AH21" s="2337">
        <v>15.675579322638137</v>
      </c>
      <c r="AI21" s="2263">
        <f t="shared" si="4"/>
        <v>3.6755793226381375</v>
      </c>
      <c r="AK21" s="2322"/>
      <c r="AL21" s="2322"/>
      <c r="AM21" s="2338" t="s">
        <v>573</v>
      </c>
      <c r="AN21" s="2339">
        <f>SUM(AN17:AN20)</f>
        <v>724</v>
      </c>
      <c r="AO21" s="2340">
        <v>16.04</v>
      </c>
      <c r="AP21" s="2341">
        <f t="shared" si="5"/>
        <v>4.0399999999999991</v>
      </c>
      <c r="AQ21" s="73"/>
      <c r="AR21" s="2322"/>
      <c r="AS21" s="2322"/>
      <c r="AT21" s="2338" t="s">
        <v>573</v>
      </c>
      <c r="AU21" s="2339">
        <v>524</v>
      </c>
      <c r="AV21" s="2340">
        <v>16.009541984732831</v>
      </c>
      <c r="AW21" s="2341">
        <f t="shared" si="6"/>
        <v>4.0095419847328309</v>
      </c>
      <c r="AX21" s="73"/>
      <c r="AY21" s="161"/>
      <c r="AZ21" s="161"/>
      <c r="BA21" s="738" t="s">
        <v>15</v>
      </c>
      <c r="BB21" s="151">
        <v>439</v>
      </c>
      <c r="BC21" s="2342">
        <v>16.412300683371296</v>
      </c>
      <c r="BD21" s="2343">
        <f t="shared" si="7"/>
        <v>4.4123006833712957</v>
      </c>
      <c r="BE21" s="73"/>
      <c r="BF21" s="2329"/>
      <c r="BG21" s="2329"/>
      <c r="BH21" s="2344" t="s">
        <v>15</v>
      </c>
      <c r="BI21" s="2345">
        <v>503</v>
      </c>
      <c r="BJ21" s="2346">
        <v>16.37972166998011</v>
      </c>
      <c r="BK21" s="2331">
        <v>12</v>
      </c>
      <c r="BL21" s="3202">
        <f t="shared" si="8"/>
        <v>4.3797216699801105</v>
      </c>
    </row>
    <row r="22" spans="1:64">
      <c r="A22" s="73"/>
      <c r="B22" s="73" t="s">
        <v>21</v>
      </c>
      <c r="C22" s="73" t="s">
        <v>22</v>
      </c>
      <c r="D22" s="2327">
        <v>17.350000000000001</v>
      </c>
      <c r="E22" s="161">
        <v>104</v>
      </c>
      <c r="F22" s="2263">
        <f t="shared" si="1"/>
        <v>5.3500000000000014</v>
      </c>
      <c r="G22" s="2331">
        <v>12</v>
      </c>
      <c r="I22" s="163"/>
      <c r="J22" s="163" t="s">
        <v>21</v>
      </c>
      <c r="K22" s="73" t="s">
        <v>22</v>
      </c>
      <c r="L22" s="161">
        <v>18.23</v>
      </c>
      <c r="M22" s="161">
        <v>137</v>
      </c>
      <c r="N22" s="2263">
        <f t="shared" si="2"/>
        <v>6.23</v>
      </c>
      <c r="P22" s="161"/>
      <c r="Q22" s="161" t="s">
        <v>21</v>
      </c>
      <c r="R22" s="73" t="s">
        <v>22</v>
      </c>
      <c r="S22" s="2327">
        <v>18.62</v>
      </c>
      <c r="T22" s="161">
        <v>106</v>
      </c>
      <c r="U22" s="2317">
        <f t="shared" si="0"/>
        <v>6.620000000000001</v>
      </c>
      <c r="W22" s="1094"/>
      <c r="X22" s="1094" t="s">
        <v>21</v>
      </c>
      <c r="Y22" s="2316" t="s">
        <v>22</v>
      </c>
      <c r="Z22" s="2247">
        <v>18.161764705882348</v>
      </c>
      <c r="AA22" s="2248">
        <v>136</v>
      </c>
      <c r="AB22" s="2317">
        <f t="shared" si="3"/>
        <v>6.1617647058823479</v>
      </c>
      <c r="AD22" s="2318"/>
      <c r="AE22" s="2318" t="s">
        <v>21</v>
      </c>
      <c r="AF22" s="2319" t="s">
        <v>22</v>
      </c>
      <c r="AG22" s="2320">
        <v>118</v>
      </c>
      <c r="AH22" s="2321">
        <v>17.415254237288142</v>
      </c>
      <c r="AI22" s="2263">
        <f t="shared" si="4"/>
        <v>5.415254237288142</v>
      </c>
      <c r="AK22" s="2322"/>
      <c r="AL22" s="2322" t="s">
        <v>21</v>
      </c>
      <c r="AM22" s="2324" t="s">
        <v>22</v>
      </c>
      <c r="AN22" s="2325">
        <v>137</v>
      </c>
      <c r="AO22" s="2326">
        <v>16.693430656934307</v>
      </c>
      <c r="AP22" s="2323">
        <f t="shared" si="5"/>
        <v>4.6934306569343072</v>
      </c>
      <c r="AQ22" s="73"/>
      <c r="AR22" s="2322"/>
      <c r="AS22" s="2322" t="s">
        <v>21</v>
      </c>
      <c r="AT22" s="2324" t="s">
        <v>22</v>
      </c>
      <c r="AU22" s="2325">
        <v>85</v>
      </c>
      <c r="AV22" s="2326">
        <v>16.776470588235288</v>
      </c>
      <c r="AW22" s="2323">
        <f t="shared" si="6"/>
        <v>4.7764705882352878</v>
      </c>
      <c r="AX22" s="73"/>
      <c r="AY22" s="161"/>
      <c r="AZ22" s="161" t="s">
        <v>21</v>
      </c>
      <c r="BA22" s="73" t="s">
        <v>22</v>
      </c>
      <c r="BB22" s="161">
        <v>91</v>
      </c>
      <c r="BC22" s="2327">
        <v>16.131868131868135</v>
      </c>
      <c r="BD22" s="2328">
        <f t="shared" si="7"/>
        <v>4.131868131868135</v>
      </c>
      <c r="BE22" s="73"/>
      <c r="BF22" s="2329"/>
      <c r="BG22" s="2329" t="s">
        <v>21</v>
      </c>
      <c r="BH22" s="737" t="s">
        <v>22</v>
      </c>
      <c r="BI22" s="2329">
        <v>117</v>
      </c>
      <c r="BJ22" s="2330">
        <v>17.606837606837612</v>
      </c>
      <c r="BK22" s="2331">
        <v>12</v>
      </c>
      <c r="BL22" s="3201">
        <f t="shared" si="8"/>
        <v>5.6068376068376118</v>
      </c>
    </row>
    <row r="23" spans="1:64">
      <c r="A23" s="73"/>
      <c r="B23" s="73"/>
      <c r="C23" s="73" t="s">
        <v>23</v>
      </c>
      <c r="D23" s="2327">
        <v>15.05</v>
      </c>
      <c r="E23" s="161">
        <v>136</v>
      </c>
      <c r="F23" s="2263">
        <f t="shared" si="1"/>
        <v>3.0500000000000007</v>
      </c>
      <c r="G23" s="2331">
        <v>12</v>
      </c>
      <c r="I23" s="163"/>
      <c r="J23" s="163"/>
      <c r="K23" s="73" t="s">
        <v>23</v>
      </c>
      <c r="L23" s="161">
        <v>15.14</v>
      </c>
      <c r="M23" s="161">
        <v>160</v>
      </c>
      <c r="N23" s="2263">
        <f t="shared" si="2"/>
        <v>3.1400000000000006</v>
      </c>
      <c r="P23" s="161"/>
      <c r="Q23" s="161"/>
      <c r="R23" s="73" t="s">
        <v>23</v>
      </c>
      <c r="S23" s="2327">
        <v>14.52</v>
      </c>
      <c r="T23" s="161">
        <v>122</v>
      </c>
      <c r="U23" s="2317">
        <f t="shared" si="0"/>
        <v>2.5199999999999996</v>
      </c>
      <c r="W23" s="1094"/>
      <c r="X23" s="1094"/>
      <c r="Y23" s="2316" t="s">
        <v>23</v>
      </c>
      <c r="Z23" s="2247">
        <v>15.736363636363627</v>
      </c>
      <c r="AA23" s="2248">
        <v>110</v>
      </c>
      <c r="AB23" s="2317">
        <f t="shared" si="3"/>
        <v>3.7363636363636274</v>
      </c>
      <c r="AD23" s="2318"/>
      <c r="AE23" s="2318"/>
      <c r="AF23" s="2319" t="s">
        <v>23</v>
      </c>
      <c r="AG23" s="2320">
        <v>127</v>
      </c>
      <c r="AH23" s="2321">
        <v>15.354330708661418</v>
      </c>
      <c r="AI23" s="2263">
        <f t="shared" si="4"/>
        <v>3.3543307086614185</v>
      </c>
      <c r="AK23" s="2322"/>
      <c r="AL23" s="2322"/>
      <c r="AM23" s="2324" t="s">
        <v>23</v>
      </c>
      <c r="AN23" s="2325">
        <v>107</v>
      </c>
      <c r="AO23" s="2326">
        <v>15.205607476635523</v>
      </c>
      <c r="AP23" s="2323">
        <f t="shared" si="5"/>
        <v>3.2056074766355227</v>
      </c>
      <c r="AQ23" s="73"/>
      <c r="AR23" s="2322"/>
      <c r="AS23" s="2322"/>
      <c r="AT23" s="2324" t="s">
        <v>23</v>
      </c>
      <c r="AU23" s="2325">
        <v>105</v>
      </c>
      <c r="AV23" s="2326">
        <v>16.038095238095231</v>
      </c>
      <c r="AW23" s="2323">
        <f t="shared" si="6"/>
        <v>4.0380952380952309</v>
      </c>
      <c r="AX23" s="73"/>
      <c r="AY23" s="161"/>
      <c r="AZ23" s="161"/>
      <c r="BA23" s="73" t="s">
        <v>23</v>
      </c>
      <c r="BB23" s="161">
        <v>83</v>
      </c>
      <c r="BC23" s="2327">
        <v>15.566265060240967</v>
      </c>
      <c r="BD23" s="2328">
        <f t="shared" si="7"/>
        <v>3.5662650602409673</v>
      </c>
      <c r="BE23" s="73"/>
      <c r="BF23" s="2329"/>
      <c r="BG23" s="2329"/>
      <c r="BH23" s="737" t="s">
        <v>23</v>
      </c>
      <c r="BI23" s="2329">
        <v>120</v>
      </c>
      <c r="BJ23" s="2330">
        <v>15.208333333333336</v>
      </c>
      <c r="BK23" s="2331">
        <v>12</v>
      </c>
      <c r="BL23" s="3201">
        <f t="shared" si="8"/>
        <v>3.2083333333333357</v>
      </c>
    </row>
    <row r="24" spans="1:64">
      <c r="A24" s="73"/>
      <c r="B24" s="73"/>
      <c r="C24" s="73" t="s">
        <v>24</v>
      </c>
      <c r="D24" s="2327">
        <v>15.26</v>
      </c>
      <c r="E24" s="161">
        <v>91</v>
      </c>
      <c r="F24" s="2263">
        <f t="shared" si="1"/>
        <v>3.26</v>
      </c>
      <c r="G24" s="2331">
        <v>12</v>
      </c>
      <c r="I24" s="163"/>
      <c r="J24" s="163"/>
      <c r="K24" s="73" t="s">
        <v>24</v>
      </c>
      <c r="L24" s="161">
        <v>16.29</v>
      </c>
      <c r="M24" s="161">
        <v>112</v>
      </c>
      <c r="N24" s="2263">
        <f t="shared" si="2"/>
        <v>4.2899999999999991</v>
      </c>
      <c r="P24" s="161"/>
      <c r="Q24" s="161"/>
      <c r="R24" s="73" t="s">
        <v>24</v>
      </c>
      <c r="S24" s="2327">
        <v>15.7</v>
      </c>
      <c r="T24" s="161">
        <v>100</v>
      </c>
      <c r="U24" s="2317">
        <f t="shared" si="0"/>
        <v>3.6999999999999993</v>
      </c>
      <c r="W24" s="1094"/>
      <c r="X24" s="1094"/>
      <c r="Y24" s="2316" t="s">
        <v>24</v>
      </c>
      <c r="Z24" s="2247">
        <v>16.927835051546396</v>
      </c>
      <c r="AA24" s="2248">
        <v>97</v>
      </c>
      <c r="AB24" s="2317">
        <f t="shared" si="3"/>
        <v>4.9278350515463956</v>
      </c>
      <c r="AD24" s="2318"/>
      <c r="AE24" s="2318"/>
      <c r="AF24" s="2319" t="s">
        <v>24</v>
      </c>
      <c r="AG24" s="2320">
        <v>100</v>
      </c>
      <c r="AH24" s="2321">
        <v>15.91</v>
      </c>
      <c r="AI24" s="2263">
        <f t="shared" si="4"/>
        <v>3.91</v>
      </c>
      <c r="AK24" s="2322"/>
      <c r="AL24" s="2322"/>
      <c r="AM24" s="2324" t="s">
        <v>24</v>
      </c>
      <c r="AN24" s="2325">
        <v>89</v>
      </c>
      <c r="AO24" s="2326">
        <v>16.157303370786511</v>
      </c>
      <c r="AP24" s="2323">
        <f t="shared" si="5"/>
        <v>4.1573033707865115</v>
      </c>
      <c r="AQ24" s="73"/>
      <c r="AR24" s="2322"/>
      <c r="AS24" s="2322"/>
      <c r="AT24" s="2324" t="s">
        <v>24</v>
      </c>
      <c r="AU24" s="2325">
        <v>63</v>
      </c>
      <c r="AV24" s="2326">
        <v>18.603174603174601</v>
      </c>
      <c r="AW24" s="2323">
        <f t="shared" si="6"/>
        <v>6.603174603174601</v>
      </c>
      <c r="AX24" s="73"/>
      <c r="AY24" s="161"/>
      <c r="AZ24" s="161"/>
      <c r="BA24" s="73" t="s">
        <v>24</v>
      </c>
      <c r="BB24" s="161">
        <v>68</v>
      </c>
      <c r="BC24" s="2327">
        <v>16.97058823529412</v>
      </c>
      <c r="BD24" s="2328">
        <f t="shared" si="7"/>
        <v>4.9705882352941195</v>
      </c>
      <c r="BE24" s="73"/>
      <c r="BF24" s="2329"/>
      <c r="BG24" s="2329"/>
      <c r="BH24" s="737" t="s">
        <v>24</v>
      </c>
      <c r="BI24" s="2329">
        <v>84</v>
      </c>
      <c r="BJ24" s="2330">
        <v>16.714285714285708</v>
      </c>
      <c r="BK24" s="2331">
        <v>12</v>
      </c>
      <c r="BL24" s="3201">
        <f t="shared" si="8"/>
        <v>4.7142857142857082</v>
      </c>
    </row>
    <row r="25" spans="1:64">
      <c r="A25" s="73"/>
      <c r="B25" s="73"/>
      <c r="C25" s="738" t="s">
        <v>574</v>
      </c>
      <c r="D25" s="2342">
        <v>15.83</v>
      </c>
      <c r="E25" s="4603">
        <v>331</v>
      </c>
      <c r="F25" s="3210">
        <f t="shared" si="1"/>
        <v>3.83</v>
      </c>
      <c r="G25" s="2331">
        <v>12</v>
      </c>
      <c r="I25" s="163"/>
      <c r="J25" s="163"/>
      <c r="K25" s="738" t="s">
        <v>574</v>
      </c>
      <c r="L25" s="151">
        <v>16.489999999999998</v>
      </c>
      <c r="M25" s="151">
        <v>409</v>
      </c>
      <c r="N25" s="3210">
        <f t="shared" si="2"/>
        <v>4.4899999999999984</v>
      </c>
      <c r="P25" s="161"/>
      <c r="Q25" s="161"/>
      <c r="R25" s="738" t="s">
        <v>574</v>
      </c>
      <c r="S25" s="2342">
        <v>16.2</v>
      </c>
      <c r="T25" s="151">
        <v>328</v>
      </c>
      <c r="U25" s="2596">
        <f t="shared" si="0"/>
        <v>4.1999999999999993</v>
      </c>
      <c r="W25" s="1094"/>
      <c r="X25" s="1094"/>
      <c r="Y25" s="2332" t="s">
        <v>574</v>
      </c>
      <c r="Z25" s="2333">
        <v>17.034985422740519</v>
      </c>
      <c r="AA25" s="2334">
        <v>343</v>
      </c>
      <c r="AB25" s="2317">
        <f t="shared" si="3"/>
        <v>5.0349854227405189</v>
      </c>
      <c r="AD25" s="2318"/>
      <c r="AE25" s="2318"/>
      <c r="AF25" s="2335" t="s">
        <v>574</v>
      </c>
      <c r="AG25" s="2336">
        <v>345</v>
      </c>
      <c r="AH25" s="2337">
        <v>16.220289855072441</v>
      </c>
      <c r="AI25" s="2263">
        <f t="shared" si="4"/>
        <v>4.2202898550724406</v>
      </c>
      <c r="AK25" s="2322"/>
      <c r="AL25" s="2322"/>
      <c r="AM25" s="2338" t="s">
        <v>574</v>
      </c>
      <c r="AN25" s="2339">
        <f>SUM(AN22:AN24)</f>
        <v>333</v>
      </c>
      <c r="AO25" s="2340">
        <v>16.07</v>
      </c>
      <c r="AP25" s="2341">
        <f t="shared" si="5"/>
        <v>4.07</v>
      </c>
      <c r="AQ25" s="73"/>
      <c r="AR25" s="2322"/>
      <c r="AS25" s="2322"/>
      <c r="AT25" s="2338" t="s">
        <v>574</v>
      </c>
      <c r="AU25" s="2339">
        <v>253</v>
      </c>
      <c r="AV25" s="2340">
        <v>16.924901185770747</v>
      </c>
      <c r="AW25" s="2341">
        <f t="shared" si="6"/>
        <v>4.9249011857707465</v>
      </c>
      <c r="AX25" s="73"/>
      <c r="AY25" s="161"/>
      <c r="AZ25" s="161"/>
      <c r="BA25" s="738" t="s">
        <v>15</v>
      </c>
      <c r="BB25" s="151">
        <v>242</v>
      </c>
      <c r="BC25" s="2342">
        <v>16.17355371900825</v>
      </c>
      <c r="BD25" s="2343">
        <f t="shared" si="7"/>
        <v>4.1735537190082503</v>
      </c>
      <c r="BE25" s="73"/>
      <c r="BF25" s="2329"/>
      <c r="BG25" s="2329"/>
      <c r="BH25" s="2344" t="s">
        <v>15</v>
      </c>
      <c r="BI25" s="2345">
        <v>321</v>
      </c>
      <c r="BJ25" s="2346">
        <v>16.476635514018696</v>
      </c>
      <c r="BK25" s="2331">
        <v>12</v>
      </c>
      <c r="BL25" s="3202">
        <f t="shared" si="8"/>
        <v>4.476635514018696</v>
      </c>
    </row>
    <row r="26" spans="1:64">
      <c r="A26" s="4616"/>
      <c r="B26" s="4616"/>
      <c r="C26" s="4617" t="s">
        <v>107</v>
      </c>
      <c r="D26" s="4618">
        <v>17.440000000000001</v>
      </c>
      <c r="E26" s="4619">
        <v>1529</v>
      </c>
      <c r="F26" s="3211">
        <f t="shared" si="1"/>
        <v>5.4400000000000013</v>
      </c>
      <c r="G26" s="2362">
        <v>12</v>
      </c>
      <c r="I26" s="2630"/>
      <c r="J26" s="2630"/>
      <c r="K26" s="2593" t="s">
        <v>107</v>
      </c>
      <c r="L26" s="2595">
        <v>18.03</v>
      </c>
      <c r="M26" s="2595">
        <v>1675</v>
      </c>
      <c r="N26" s="3211">
        <f t="shared" si="2"/>
        <v>6.0300000000000011</v>
      </c>
      <c r="P26" s="2598"/>
      <c r="Q26" s="2598"/>
      <c r="R26" s="2593" t="s">
        <v>107</v>
      </c>
      <c r="S26" s="2594">
        <v>17.68</v>
      </c>
      <c r="T26" s="2595">
        <v>1428</v>
      </c>
      <c r="U26" s="2597">
        <f t="shared" si="0"/>
        <v>5.68</v>
      </c>
      <c r="W26" s="1094"/>
      <c r="X26" s="1094"/>
      <c r="Y26" s="2332" t="s">
        <v>107</v>
      </c>
      <c r="Z26" s="2333">
        <v>17.991994663108716</v>
      </c>
      <c r="AA26" s="2334">
        <v>1499</v>
      </c>
      <c r="AB26" s="2347">
        <f t="shared" si="3"/>
        <v>5.9919946631087164</v>
      </c>
      <c r="AD26" s="2348"/>
      <c r="AE26" s="2348"/>
      <c r="AF26" s="2349" t="s">
        <v>107</v>
      </c>
      <c r="AG26" s="2350">
        <v>1480</v>
      </c>
      <c r="AH26" s="2351">
        <v>17.837162162162194</v>
      </c>
      <c r="AI26" s="2352">
        <f t="shared" si="4"/>
        <v>5.8371621621621941</v>
      </c>
      <c r="AK26" s="2322"/>
      <c r="AL26" s="2322"/>
      <c r="AM26" s="2338" t="s">
        <v>107</v>
      </c>
      <c r="AN26" s="2339">
        <f>SUM(AN25,AN21,AN16)</f>
        <v>1579</v>
      </c>
      <c r="AO26" s="2340">
        <v>17.55</v>
      </c>
      <c r="AP26" s="2341">
        <f t="shared" si="5"/>
        <v>5.5500000000000007</v>
      </c>
      <c r="AQ26" s="73"/>
      <c r="AR26" s="2322"/>
      <c r="AS26" s="2322"/>
      <c r="AT26" s="2338" t="s">
        <v>107</v>
      </c>
      <c r="AU26" s="2339">
        <v>1139</v>
      </c>
      <c r="AV26" s="2340">
        <v>17.540825285338023</v>
      </c>
      <c r="AW26" s="2341">
        <f t="shared" si="6"/>
        <v>5.5408252853380233</v>
      </c>
      <c r="AX26" s="73"/>
      <c r="AY26" s="2353"/>
      <c r="AZ26" s="2353"/>
      <c r="BA26" s="2354" t="s">
        <v>107</v>
      </c>
      <c r="BB26" s="2355">
        <v>1085</v>
      </c>
      <c r="BC26" s="2356">
        <v>17.967741935483861</v>
      </c>
      <c r="BD26" s="2357">
        <f t="shared" si="7"/>
        <v>5.9677419354838612</v>
      </c>
      <c r="BE26" s="73"/>
      <c r="BF26" s="2358"/>
      <c r="BG26" s="2358"/>
      <c r="BH26" s="2359" t="s">
        <v>107</v>
      </c>
      <c r="BI26" s="2360">
        <v>1192</v>
      </c>
      <c r="BJ26" s="2361">
        <v>17.630033557046996</v>
      </c>
      <c r="BK26" s="2362">
        <v>12</v>
      </c>
      <c r="BL26" s="3203">
        <f t="shared" si="8"/>
        <v>5.6300335570469962</v>
      </c>
    </row>
    <row r="27" spans="1:64">
      <c r="A27" s="73" t="s">
        <v>25</v>
      </c>
      <c r="B27" s="73" t="s">
        <v>4</v>
      </c>
      <c r="C27" s="73" t="s">
        <v>26</v>
      </c>
      <c r="D27" s="2327">
        <v>19.71</v>
      </c>
      <c r="E27" s="161">
        <v>56</v>
      </c>
      <c r="F27" s="2263">
        <f t="shared" si="1"/>
        <v>7.7100000000000009</v>
      </c>
      <c r="G27" s="2331">
        <v>12</v>
      </c>
      <c r="I27" s="163" t="s">
        <v>25</v>
      </c>
      <c r="J27" s="163" t="s">
        <v>4</v>
      </c>
      <c r="K27" s="73" t="s">
        <v>26</v>
      </c>
      <c r="L27" s="161">
        <v>20.38</v>
      </c>
      <c r="M27" s="161">
        <v>37</v>
      </c>
      <c r="N27" s="2263">
        <f t="shared" si="2"/>
        <v>8.379999999999999</v>
      </c>
      <c r="P27" s="161" t="s">
        <v>25</v>
      </c>
      <c r="Q27" s="161" t="s">
        <v>4</v>
      </c>
      <c r="R27" s="73" t="s">
        <v>26</v>
      </c>
      <c r="S27" s="2327">
        <v>21.24</v>
      </c>
      <c r="T27" s="161">
        <v>29</v>
      </c>
      <c r="U27" s="2317">
        <f t="shared" si="0"/>
        <v>9.2399999999999984</v>
      </c>
      <c r="W27" s="2236" t="s">
        <v>25</v>
      </c>
      <c r="X27" s="2236" t="s">
        <v>4</v>
      </c>
      <c r="Y27" s="2363" t="s">
        <v>26</v>
      </c>
      <c r="Z27" s="2364">
        <v>20.77272727272727</v>
      </c>
      <c r="AA27" s="2365">
        <v>22</v>
      </c>
      <c r="AB27" s="2317">
        <f t="shared" si="3"/>
        <v>8.7727272727272698</v>
      </c>
      <c r="AD27" s="2318" t="s">
        <v>25</v>
      </c>
      <c r="AE27" s="2318" t="s">
        <v>4</v>
      </c>
      <c r="AF27" s="2319" t="s">
        <v>26</v>
      </c>
      <c r="AG27" s="2320">
        <v>33</v>
      </c>
      <c r="AH27" s="2321">
        <v>21.818181818181813</v>
      </c>
      <c r="AI27" s="2263">
        <f t="shared" si="4"/>
        <v>9.818181818181813</v>
      </c>
      <c r="AK27" s="2366" t="s">
        <v>25</v>
      </c>
      <c r="AL27" s="2366" t="s">
        <v>4</v>
      </c>
      <c r="AM27" s="2367" t="s">
        <v>26</v>
      </c>
      <c r="AN27" s="2368">
        <v>22</v>
      </c>
      <c r="AO27" s="2369">
        <v>21.409090909090907</v>
      </c>
      <c r="AP27" s="2370">
        <f t="shared" si="5"/>
        <v>9.4090909090909065</v>
      </c>
      <c r="AQ27" s="73"/>
      <c r="AR27" s="2366" t="s">
        <v>25</v>
      </c>
      <c r="AS27" s="2366" t="s">
        <v>4</v>
      </c>
      <c r="AT27" s="2367" t="s">
        <v>26</v>
      </c>
      <c r="AU27" s="2368">
        <v>27</v>
      </c>
      <c r="AV27" s="2369">
        <v>20.37037037037037</v>
      </c>
      <c r="AW27" s="2370">
        <f t="shared" si="6"/>
        <v>8.3703703703703702</v>
      </c>
      <c r="AX27" s="73"/>
      <c r="AY27" s="161" t="s">
        <v>25</v>
      </c>
      <c r="AZ27" s="161" t="s">
        <v>4</v>
      </c>
      <c r="BA27" s="73" t="s">
        <v>26</v>
      </c>
      <c r="BB27" s="161">
        <v>28</v>
      </c>
      <c r="BC27" s="2327">
        <v>18.642857142857139</v>
      </c>
      <c r="BD27" s="2328">
        <f t="shared" si="7"/>
        <v>6.6428571428571388</v>
      </c>
      <c r="BE27" s="73"/>
      <c r="BF27" s="2329" t="s">
        <v>25</v>
      </c>
      <c r="BG27" s="2329" t="s">
        <v>4</v>
      </c>
      <c r="BH27" s="737" t="s">
        <v>26</v>
      </c>
      <c r="BI27" s="2329">
        <v>48</v>
      </c>
      <c r="BJ27" s="2330">
        <v>17.375</v>
      </c>
      <c r="BK27" s="2331">
        <v>12</v>
      </c>
      <c r="BL27" s="3201">
        <f t="shared" si="8"/>
        <v>5.375</v>
      </c>
    </row>
    <row r="28" spans="1:64">
      <c r="A28" s="73"/>
      <c r="B28" s="73"/>
      <c r="C28" s="73" t="s">
        <v>27</v>
      </c>
      <c r="D28" s="2327">
        <v>29</v>
      </c>
      <c r="E28" s="161">
        <v>3</v>
      </c>
      <c r="F28" s="2263">
        <f t="shared" si="1"/>
        <v>17</v>
      </c>
      <c r="G28" s="2331">
        <v>12</v>
      </c>
      <c r="I28" s="163"/>
      <c r="J28" s="163"/>
      <c r="K28" s="73" t="s">
        <v>27</v>
      </c>
      <c r="L28" s="161">
        <v>20.43</v>
      </c>
      <c r="M28" s="161">
        <v>7</v>
      </c>
      <c r="N28" s="2263">
        <f t="shared" si="2"/>
        <v>8.43</v>
      </c>
      <c r="P28" s="161"/>
      <c r="Q28" s="161"/>
      <c r="R28" s="73" t="s">
        <v>27</v>
      </c>
      <c r="S28" s="2327">
        <v>18.170000000000002</v>
      </c>
      <c r="T28" s="161">
        <v>6</v>
      </c>
      <c r="U28" s="2317">
        <f t="shared" si="0"/>
        <v>6.1700000000000017</v>
      </c>
      <c r="W28" s="1094"/>
      <c r="X28" s="1094"/>
      <c r="Y28" s="2316" t="s">
        <v>27</v>
      </c>
      <c r="Z28" s="2247">
        <v>19.700000000000003</v>
      </c>
      <c r="AA28" s="2248">
        <v>10</v>
      </c>
      <c r="AB28" s="2317">
        <f t="shared" si="3"/>
        <v>7.7000000000000028</v>
      </c>
      <c r="AD28" s="2318"/>
      <c r="AE28" s="2318"/>
      <c r="AF28" s="2319" t="s">
        <v>27</v>
      </c>
      <c r="AG28" s="2320">
        <v>15</v>
      </c>
      <c r="AH28" s="2321">
        <v>19.133333333333333</v>
      </c>
      <c r="AI28" s="2263">
        <f t="shared" si="4"/>
        <v>7.1333333333333329</v>
      </c>
      <c r="AK28" s="2322"/>
      <c r="AL28" s="2322"/>
      <c r="AM28" s="2324" t="s">
        <v>27</v>
      </c>
      <c r="AN28" s="2325">
        <v>0</v>
      </c>
      <c r="AO28" s="2326"/>
      <c r="AP28" s="2323"/>
      <c r="AQ28" s="73"/>
      <c r="AR28" s="2322"/>
      <c r="AS28" s="2322"/>
      <c r="AT28" s="2324" t="s">
        <v>27</v>
      </c>
      <c r="AU28" s="2325">
        <v>6</v>
      </c>
      <c r="AV28" s="2326">
        <v>20.166666666666668</v>
      </c>
      <c r="AW28" s="2323">
        <f t="shared" si="6"/>
        <v>8.1666666666666679</v>
      </c>
      <c r="AX28" s="73"/>
      <c r="AY28" s="161"/>
      <c r="AZ28" s="161"/>
      <c r="BA28" s="73" t="s">
        <v>27</v>
      </c>
      <c r="BB28" s="161">
        <v>5</v>
      </c>
      <c r="BC28" s="2327">
        <v>15.6</v>
      </c>
      <c r="BD28" s="2328">
        <f t="shared" si="7"/>
        <v>3.5999999999999996</v>
      </c>
      <c r="BE28" s="73"/>
      <c r="BF28" s="2329"/>
      <c r="BG28" s="2329"/>
      <c r="BH28" s="737" t="s">
        <v>27</v>
      </c>
      <c r="BI28" s="2329">
        <v>9</v>
      </c>
      <c r="BJ28" s="2330">
        <v>19</v>
      </c>
      <c r="BK28" s="2331">
        <v>12</v>
      </c>
      <c r="BL28" s="3201">
        <f t="shared" si="8"/>
        <v>7</v>
      </c>
    </row>
    <row r="29" spans="1:64">
      <c r="A29" s="73"/>
      <c r="B29" s="73"/>
      <c r="C29" s="73" t="s">
        <v>12</v>
      </c>
      <c r="D29" s="2327">
        <v>19.600000000000001</v>
      </c>
      <c r="E29" s="161">
        <v>43</v>
      </c>
      <c r="F29" s="2263">
        <f t="shared" si="1"/>
        <v>7.6000000000000014</v>
      </c>
      <c r="G29" s="2331">
        <v>12</v>
      </c>
      <c r="I29" s="163"/>
      <c r="J29" s="163"/>
      <c r="K29" s="73" t="s">
        <v>12</v>
      </c>
      <c r="L29" s="161">
        <v>18.82</v>
      </c>
      <c r="M29" s="161">
        <v>34</v>
      </c>
      <c r="N29" s="2263">
        <f t="shared" si="2"/>
        <v>6.82</v>
      </c>
      <c r="P29" s="161"/>
      <c r="Q29" s="161"/>
      <c r="R29" s="73" t="s">
        <v>12</v>
      </c>
      <c r="S29" s="2327">
        <v>17.89</v>
      </c>
      <c r="T29" s="161">
        <v>35</v>
      </c>
      <c r="U29" s="2317">
        <f t="shared" si="0"/>
        <v>5.8900000000000006</v>
      </c>
      <c r="W29" s="1094"/>
      <c r="X29" s="1094"/>
      <c r="Y29" s="2316" t="s">
        <v>12</v>
      </c>
      <c r="Z29" s="2247">
        <v>18.578947368421051</v>
      </c>
      <c r="AA29" s="2248">
        <v>19</v>
      </c>
      <c r="AB29" s="2317">
        <f t="shared" si="3"/>
        <v>6.5789473684210513</v>
      </c>
      <c r="AD29" s="2318"/>
      <c r="AE29" s="2318"/>
      <c r="AF29" s="2319" t="s">
        <v>12</v>
      </c>
      <c r="AG29" s="2320">
        <v>12</v>
      </c>
      <c r="AH29" s="2321">
        <v>16.916666666666668</v>
      </c>
      <c r="AI29" s="2263">
        <f t="shared" si="4"/>
        <v>4.9166666666666679</v>
      </c>
      <c r="AK29" s="2322"/>
      <c r="AL29" s="2322"/>
      <c r="AM29" s="2324" t="s">
        <v>12</v>
      </c>
      <c r="AN29" s="2325">
        <v>21</v>
      </c>
      <c r="AO29" s="736">
        <v>20.380952380952383</v>
      </c>
      <c r="AP29" s="2323">
        <f t="shared" si="5"/>
        <v>8.3809523809523832</v>
      </c>
      <c r="AQ29" s="73"/>
      <c r="AR29" s="2322"/>
      <c r="AS29" s="2322"/>
      <c r="AT29" s="2324" t="s">
        <v>12</v>
      </c>
      <c r="AU29" s="2325">
        <v>22</v>
      </c>
      <c r="AV29" s="2326">
        <v>18.636363636363637</v>
      </c>
      <c r="AW29" s="2323">
        <f t="shared" si="6"/>
        <v>6.6363636363636367</v>
      </c>
      <c r="AX29" s="73"/>
      <c r="AY29" s="161"/>
      <c r="AZ29" s="161"/>
      <c r="BA29" s="73" t="s">
        <v>12</v>
      </c>
      <c r="BB29" s="161">
        <v>25</v>
      </c>
      <c r="BC29" s="2327">
        <v>21.200000000000003</v>
      </c>
      <c r="BD29" s="2328">
        <f t="shared" si="7"/>
        <v>9.2000000000000028</v>
      </c>
      <c r="BE29" s="73"/>
      <c r="BF29" s="2329"/>
      <c r="BG29" s="2329"/>
      <c r="BH29" s="737" t="s">
        <v>12</v>
      </c>
      <c r="BI29" s="2329">
        <v>21</v>
      </c>
      <c r="BJ29" s="2330">
        <v>16.857142857142854</v>
      </c>
      <c r="BK29" s="2331">
        <v>12</v>
      </c>
      <c r="BL29" s="3201">
        <f t="shared" si="8"/>
        <v>4.8571428571428541</v>
      </c>
    </row>
    <row r="30" spans="1:64">
      <c r="A30" s="73"/>
      <c r="B30" s="73"/>
      <c r="C30" s="73" t="s">
        <v>28</v>
      </c>
      <c r="D30" s="2327">
        <v>18.34</v>
      </c>
      <c r="E30" s="161">
        <v>41</v>
      </c>
      <c r="F30" s="2263">
        <f t="shared" si="1"/>
        <v>6.34</v>
      </c>
      <c r="G30" s="2331">
        <v>12</v>
      </c>
      <c r="I30" s="163"/>
      <c r="J30" s="163"/>
      <c r="K30" s="73" t="s">
        <v>28</v>
      </c>
      <c r="L30" s="161">
        <v>19.100000000000001</v>
      </c>
      <c r="M30" s="161">
        <v>20</v>
      </c>
      <c r="N30" s="2263">
        <f t="shared" si="2"/>
        <v>7.1000000000000014</v>
      </c>
      <c r="P30" s="161"/>
      <c r="Q30" s="161"/>
      <c r="R30" s="73" t="s">
        <v>28</v>
      </c>
      <c r="S30" s="2327">
        <v>19.21</v>
      </c>
      <c r="T30" s="161">
        <v>29</v>
      </c>
      <c r="U30" s="2317">
        <f t="shared" si="0"/>
        <v>7.2100000000000009</v>
      </c>
      <c r="W30" s="1094"/>
      <c r="X30" s="1094"/>
      <c r="Y30" s="2316" t="s">
        <v>28</v>
      </c>
      <c r="Z30" s="2247">
        <v>18.124999999999996</v>
      </c>
      <c r="AA30" s="2248">
        <v>24</v>
      </c>
      <c r="AB30" s="2317">
        <f t="shared" si="3"/>
        <v>6.1249999999999964</v>
      </c>
      <c r="AD30" s="2318"/>
      <c r="AE30" s="2318"/>
      <c r="AF30" s="2319" t="s">
        <v>28</v>
      </c>
      <c r="AG30" s="2320">
        <v>13</v>
      </c>
      <c r="AH30" s="2321">
        <v>19.307692307692307</v>
      </c>
      <c r="AI30" s="2263">
        <f t="shared" si="4"/>
        <v>7.3076923076923066</v>
      </c>
      <c r="AK30" s="2322"/>
      <c r="AL30" s="2322"/>
      <c r="AM30" s="2324" t="s">
        <v>28</v>
      </c>
      <c r="AN30" s="2325">
        <v>14</v>
      </c>
      <c r="AO30" s="736">
        <v>18.642857142857142</v>
      </c>
      <c r="AP30" s="2323">
        <f t="shared" si="5"/>
        <v>6.6428571428571423</v>
      </c>
      <c r="AQ30" s="73"/>
      <c r="AR30" s="2322"/>
      <c r="AS30" s="2322"/>
      <c r="AT30" s="2324" t="s">
        <v>28</v>
      </c>
      <c r="AU30" s="2325">
        <v>20</v>
      </c>
      <c r="AV30" s="2326">
        <v>19.999999999999996</v>
      </c>
      <c r="AW30" s="2323">
        <f t="shared" si="6"/>
        <v>7.9999999999999964</v>
      </c>
      <c r="AX30" s="73"/>
      <c r="AY30" s="161"/>
      <c r="AZ30" s="161"/>
      <c r="BA30" s="73" t="s">
        <v>28</v>
      </c>
      <c r="BB30" s="161">
        <v>17</v>
      </c>
      <c r="BC30" s="2327">
        <v>18.294117647058822</v>
      </c>
      <c r="BD30" s="2328">
        <f t="shared" si="7"/>
        <v>6.2941176470588225</v>
      </c>
      <c r="BE30" s="73"/>
      <c r="BF30" s="2329"/>
      <c r="BG30" s="2329"/>
      <c r="BH30" s="737" t="s">
        <v>28</v>
      </c>
      <c r="BI30" s="2329">
        <v>17</v>
      </c>
      <c r="BJ30" s="2330">
        <v>18.705882352941178</v>
      </c>
      <c r="BK30" s="2331">
        <v>12</v>
      </c>
      <c r="BL30" s="3201">
        <f t="shared" si="8"/>
        <v>6.7058823529411775</v>
      </c>
    </row>
    <row r="31" spans="1:64">
      <c r="A31" s="73"/>
      <c r="B31" s="73"/>
      <c r="C31" s="73" t="s">
        <v>29</v>
      </c>
      <c r="D31" s="2327">
        <v>19.5</v>
      </c>
      <c r="E31" s="161">
        <v>28</v>
      </c>
      <c r="F31" s="2263">
        <f t="shared" si="1"/>
        <v>7.5</v>
      </c>
      <c r="G31" s="2331">
        <v>12</v>
      </c>
      <c r="I31" s="163"/>
      <c r="J31" s="163"/>
      <c r="K31" s="73" t="s">
        <v>29</v>
      </c>
      <c r="L31" s="161">
        <v>18.809999999999999</v>
      </c>
      <c r="M31" s="161">
        <v>26</v>
      </c>
      <c r="N31" s="2263">
        <f t="shared" si="2"/>
        <v>6.8099999999999987</v>
      </c>
      <c r="P31" s="161"/>
      <c r="Q31" s="161"/>
      <c r="R31" s="73" t="s">
        <v>29</v>
      </c>
      <c r="S31" s="2327">
        <v>15.74</v>
      </c>
      <c r="T31" s="161">
        <v>27</v>
      </c>
      <c r="U31" s="2317">
        <f t="shared" si="0"/>
        <v>3.74</v>
      </c>
      <c r="W31" s="1094"/>
      <c r="X31" s="1094"/>
      <c r="Y31" s="2316" t="s">
        <v>29</v>
      </c>
      <c r="Z31" s="2247">
        <v>18.476190476190474</v>
      </c>
      <c r="AA31" s="2248">
        <v>21</v>
      </c>
      <c r="AB31" s="2317">
        <f t="shared" si="3"/>
        <v>6.4761904761904745</v>
      </c>
      <c r="AD31" s="2318"/>
      <c r="AE31" s="2318"/>
      <c r="AF31" s="2319" t="s">
        <v>29</v>
      </c>
      <c r="AG31" s="2320">
        <v>17</v>
      </c>
      <c r="AH31" s="2321">
        <v>18.058823529411761</v>
      </c>
      <c r="AI31" s="2263">
        <f t="shared" si="4"/>
        <v>6.0588235294117609</v>
      </c>
      <c r="AK31" s="2322"/>
      <c r="AL31" s="2322"/>
      <c r="AM31" s="2324" t="s">
        <v>29</v>
      </c>
      <c r="AN31" s="2325">
        <v>11</v>
      </c>
      <c r="AO31" s="736">
        <v>18.363636363636363</v>
      </c>
      <c r="AP31" s="2323">
        <f t="shared" si="5"/>
        <v>6.3636363636363633</v>
      </c>
      <c r="AQ31" s="73"/>
      <c r="AR31" s="2322"/>
      <c r="AS31" s="2322"/>
      <c r="AT31" s="2324" t="s">
        <v>29</v>
      </c>
      <c r="AU31" s="2325">
        <v>9</v>
      </c>
      <c r="AV31" s="2326">
        <v>23.555555555555557</v>
      </c>
      <c r="AW31" s="2323">
        <f t="shared" si="6"/>
        <v>11.555555555555557</v>
      </c>
      <c r="AX31" s="73"/>
      <c r="AY31" s="161"/>
      <c r="AZ31" s="161"/>
      <c r="BA31" s="73" t="s">
        <v>29</v>
      </c>
      <c r="BB31" s="161">
        <v>10</v>
      </c>
      <c r="BC31" s="2327">
        <v>16.3</v>
      </c>
      <c r="BD31" s="2328">
        <f t="shared" si="7"/>
        <v>4.3000000000000007</v>
      </c>
      <c r="BE31" s="73"/>
      <c r="BF31" s="2329"/>
      <c r="BG31" s="2329"/>
      <c r="BH31" s="737" t="s">
        <v>29</v>
      </c>
      <c r="BI31" s="2329">
        <v>13</v>
      </c>
      <c r="BJ31" s="2330">
        <v>24.230769230769234</v>
      </c>
      <c r="BK31" s="2331">
        <v>12</v>
      </c>
      <c r="BL31" s="3201">
        <f t="shared" si="8"/>
        <v>12.230769230769234</v>
      </c>
    </row>
    <row r="32" spans="1:64">
      <c r="A32" s="73"/>
      <c r="B32" s="73"/>
      <c r="C32" s="73" t="s">
        <v>13</v>
      </c>
      <c r="D32" s="2327">
        <v>19.89</v>
      </c>
      <c r="E32" s="161">
        <v>27</v>
      </c>
      <c r="F32" s="2263">
        <f t="shared" si="1"/>
        <v>7.8900000000000006</v>
      </c>
      <c r="G32" s="2331">
        <v>12</v>
      </c>
      <c r="I32" s="163"/>
      <c r="J32" s="163"/>
      <c r="K32" s="73" t="s">
        <v>13</v>
      </c>
      <c r="L32" s="161">
        <v>21.68</v>
      </c>
      <c r="M32" s="161">
        <v>31</v>
      </c>
      <c r="N32" s="2263">
        <f t="shared" si="2"/>
        <v>9.68</v>
      </c>
      <c r="P32" s="161"/>
      <c r="Q32" s="161"/>
      <c r="R32" s="73" t="s">
        <v>13</v>
      </c>
      <c r="S32" s="2327">
        <v>20.86</v>
      </c>
      <c r="T32" s="161">
        <v>28</v>
      </c>
      <c r="U32" s="2317">
        <f t="shared" si="0"/>
        <v>8.86</v>
      </c>
      <c r="W32" s="1094"/>
      <c r="X32" s="1094"/>
      <c r="Y32" s="2316" t="s">
        <v>13</v>
      </c>
      <c r="Z32" s="2247">
        <v>18.740740740740737</v>
      </c>
      <c r="AA32" s="2248">
        <v>27</v>
      </c>
      <c r="AB32" s="2317">
        <f t="shared" si="3"/>
        <v>6.7407407407407369</v>
      </c>
      <c r="AD32" s="2318"/>
      <c r="AE32" s="2318"/>
      <c r="AF32" s="2319" t="s">
        <v>13</v>
      </c>
      <c r="AG32" s="2320">
        <v>37</v>
      </c>
      <c r="AH32" s="2321">
        <v>19.675675675675677</v>
      </c>
      <c r="AI32" s="2263">
        <f t="shared" si="4"/>
        <v>7.6756756756756772</v>
      </c>
      <c r="AK32" s="2322"/>
      <c r="AL32" s="2322"/>
      <c r="AM32" s="2324" t="s">
        <v>13</v>
      </c>
      <c r="AN32" s="2325">
        <v>22</v>
      </c>
      <c r="AO32" s="736">
        <v>21.09090909090909</v>
      </c>
      <c r="AP32" s="2323">
        <f t="shared" si="5"/>
        <v>9.0909090909090899</v>
      </c>
      <c r="AQ32" s="73"/>
      <c r="AR32" s="2322"/>
      <c r="AS32" s="2322"/>
      <c r="AT32" s="2324" t="s">
        <v>13</v>
      </c>
      <c r="AU32" s="2325">
        <v>45</v>
      </c>
      <c r="AV32" s="2326">
        <v>21.044444444444448</v>
      </c>
      <c r="AW32" s="2323">
        <f t="shared" si="6"/>
        <v>9.0444444444444478</v>
      </c>
      <c r="AX32" s="73"/>
      <c r="AY32" s="161"/>
      <c r="AZ32" s="161"/>
      <c r="BA32" s="73" t="s">
        <v>13</v>
      </c>
      <c r="BB32" s="161">
        <v>28</v>
      </c>
      <c r="BC32" s="2327">
        <v>18.928571428571434</v>
      </c>
      <c r="BD32" s="2328">
        <f t="shared" si="7"/>
        <v>6.9285714285714342</v>
      </c>
      <c r="BE32" s="73"/>
      <c r="BF32" s="2329"/>
      <c r="BG32" s="2329"/>
      <c r="BH32" s="737" t="s">
        <v>13</v>
      </c>
      <c r="BI32" s="2329">
        <v>47</v>
      </c>
      <c r="BJ32" s="2330">
        <v>19.553191489361705</v>
      </c>
      <c r="BK32" s="2331">
        <v>12</v>
      </c>
      <c r="BL32" s="3201">
        <f t="shared" si="8"/>
        <v>7.5531914893617049</v>
      </c>
    </row>
    <row r="33" spans="1:64">
      <c r="A33" s="73"/>
      <c r="B33" s="73"/>
      <c r="C33" s="73" t="s">
        <v>30</v>
      </c>
      <c r="D33" s="2327">
        <v>18</v>
      </c>
      <c r="E33" s="161">
        <v>22</v>
      </c>
      <c r="F33" s="2263">
        <f t="shared" si="1"/>
        <v>6</v>
      </c>
      <c r="G33" s="2331">
        <v>12</v>
      </c>
      <c r="I33" s="163"/>
      <c r="J33" s="163"/>
      <c r="K33" s="73" t="s">
        <v>30</v>
      </c>
      <c r="L33" s="161">
        <v>19.649999999999999</v>
      </c>
      <c r="M33" s="161">
        <v>23</v>
      </c>
      <c r="N33" s="2263">
        <f t="shared" si="2"/>
        <v>7.6499999999999986</v>
      </c>
      <c r="P33" s="161"/>
      <c r="Q33" s="161"/>
      <c r="R33" s="73" t="s">
        <v>30</v>
      </c>
      <c r="S33" s="2327">
        <v>19.61</v>
      </c>
      <c r="T33" s="161">
        <v>18</v>
      </c>
      <c r="U33" s="2317">
        <f t="shared" si="0"/>
        <v>7.6099999999999994</v>
      </c>
      <c r="W33" s="1094"/>
      <c r="X33" s="1094"/>
      <c r="Y33" s="2316" t="s">
        <v>30</v>
      </c>
      <c r="Z33" s="2247">
        <v>22.916666666666668</v>
      </c>
      <c r="AA33" s="2248">
        <v>12</v>
      </c>
      <c r="AB33" s="2317">
        <f t="shared" si="3"/>
        <v>10.916666666666668</v>
      </c>
      <c r="AD33" s="2318"/>
      <c r="AE33" s="2318"/>
      <c r="AF33" s="2319" t="s">
        <v>30</v>
      </c>
      <c r="AG33" s="2320">
        <v>38</v>
      </c>
      <c r="AH33" s="2321">
        <v>20.052631578947373</v>
      </c>
      <c r="AI33" s="2263">
        <f t="shared" si="4"/>
        <v>8.0526315789473735</v>
      </c>
      <c r="AK33" s="2322"/>
      <c r="AL33" s="2322"/>
      <c r="AM33" s="2324" t="s">
        <v>30</v>
      </c>
      <c r="AN33" s="2325">
        <v>25</v>
      </c>
      <c r="AO33" s="736">
        <v>22.36</v>
      </c>
      <c r="AP33" s="2323">
        <f t="shared" si="5"/>
        <v>10.36</v>
      </c>
      <c r="AQ33" s="73"/>
      <c r="AR33" s="2322"/>
      <c r="AS33" s="2322"/>
      <c r="AT33" s="2324" t="s">
        <v>30</v>
      </c>
      <c r="AU33" s="2325">
        <v>16</v>
      </c>
      <c r="AV33" s="2326">
        <v>21.4375</v>
      </c>
      <c r="AW33" s="2323">
        <f t="shared" si="6"/>
        <v>9.4375</v>
      </c>
      <c r="AX33" s="73"/>
      <c r="AY33" s="161"/>
      <c r="AZ33" s="161"/>
      <c r="BA33" s="73" t="s">
        <v>30</v>
      </c>
      <c r="BB33" s="161">
        <v>15</v>
      </c>
      <c r="BC33" s="2327">
        <v>20.2</v>
      </c>
      <c r="BD33" s="2328">
        <f t="shared" si="7"/>
        <v>8.1999999999999993</v>
      </c>
      <c r="BE33" s="73"/>
      <c r="BF33" s="2329"/>
      <c r="BG33" s="2329"/>
      <c r="BH33" s="737" t="s">
        <v>30</v>
      </c>
      <c r="BI33" s="2329">
        <v>17</v>
      </c>
      <c r="BJ33" s="2330">
        <v>18.764705882352942</v>
      </c>
      <c r="BK33" s="2331">
        <v>12</v>
      </c>
      <c r="BL33" s="3201">
        <f t="shared" si="8"/>
        <v>6.764705882352942</v>
      </c>
    </row>
    <row r="34" spans="1:64">
      <c r="A34" s="73"/>
      <c r="B34" s="73"/>
      <c r="C34" s="73" t="s">
        <v>31</v>
      </c>
      <c r="D34" s="2327">
        <v>20</v>
      </c>
      <c r="E34" s="161">
        <v>26</v>
      </c>
      <c r="F34" s="2263">
        <f t="shared" si="1"/>
        <v>8</v>
      </c>
      <c r="G34" s="2331">
        <v>12</v>
      </c>
      <c r="I34" s="163"/>
      <c r="J34" s="163"/>
      <c r="K34" s="73" t="s">
        <v>31</v>
      </c>
      <c r="L34" s="161">
        <v>17.79</v>
      </c>
      <c r="M34" s="161">
        <v>14</v>
      </c>
      <c r="N34" s="2263">
        <f t="shared" si="2"/>
        <v>5.7899999999999991</v>
      </c>
      <c r="P34" s="161"/>
      <c r="Q34" s="161"/>
      <c r="R34" s="73" t="s">
        <v>31</v>
      </c>
      <c r="S34" s="2327">
        <v>17.41</v>
      </c>
      <c r="T34" s="161">
        <v>17</v>
      </c>
      <c r="U34" s="2317">
        <f t="shared" si="0"/>
        <v>5.41</v>
      </c>
      <c r="W34" s="1094"/>
      <c r="X34" s="1094"/>
      <c r="Y34" s="2316" t="s">
        <v>31</v>
      </c>
      <c r="Z34" s="2247">
        <v>18</v>
      </c>
      <c r="AA34" s="2248">
        <v>11</v>
      </c>
      <c r="AB34" s="2317">
        <f t="shared" si="3"/>
        <v>6</v>
      </c>
      <c r="AD34" s="2318"/>
      <c r="AE34" s="2318"/>
      <c r="AF34" s="2319" t="s">
        <v>31</v>
      </c>
      <c r="AG34" s="2320">
        <v>11</v>
      </c>
      <c r="AH34" s="2321">
        <v>19.000000000000004</v>
      </c>
      <c r="AI34" s="2263">
        <f t="shared" si="4"/>
        <v>7.0000000000000036</v>
      </c>
      <c r="AK34" s="2322"/>
      <c r="AL34" s="2322"/>
      <c r="AM34" s="2324" t="s">
        <v>31</v>
      </c>
      <c r="AN34" s="2325">
        <v>10</v>
      </c>
      <c r="AO34" s="736">
        <v>15.5</v>
      </c>
      <c r="AP34" s="2323">
        <f t="shared" si="5"/>
        <v>3.5</v>
      </c>
      <c r="AQ34" s="73"/>
      <c r="AR34" s="2322"/>
      <c r="AS34" s="2322"/>
      <c r="AT34" s="2324" t="s">
        <v>31</v>
      </c>
      <c r="AU34" s="2325">
        <v>14</v>
      </c>
      <c r="AV34" s="2326">
        <v>17.214285714285715</v>
      </c>
      <c r="AW34" s="2323">
        <f t="shared" si="6"/>
        <v>5.2142857142857153</v>
      </c>
      <c r="AX34" s="73"/>
      <c r="AY34" s="161"/>
      <c r="AZ34" s="161"/>
      <c r="BA34" s="73" t="s">
        <v>31</v>
      </c>
      <c r="BB34" s="161">
        <v>11</v>
      </c>
      <c r="BC34" s="2327">
        <v>18.727272727272727</v>
      </c>
      <c r="BD34" s="2328">
        <f t="shared" si="7"/>
        <v>6.7272727272727266</v>
      </c>
      <c r="BE34" s="73"/>
      <c r="BF34" s="2329"/>
      <c r="BG34" s="2329"/>
      <c r="BH34" s="737" t="s">
        <v>31</v>
      </c>
      <c r="BI34" s="2329">
        <v>7</v>
      </c>
      <c r="BJ34" s="2330">
        <v>16.285714285714285</v>
      </c>
      <c r="BK34" s="2331">
        <v>12</v>
      </c>
      <c r="BL34" s="3201">
        <f t="shared" si="8"/>
        <v>4.2857142857142847</v>
      </c>
    </row>
    <row r="35" spans="1:64">
      <c r="A35" s="73"/>
      <c r="B35" s="73"/>
      <c r="C35" s="73" t="s">
        <v>32</v>
      </c>
      <c r="D35" s="2327">
        <v>20.23</v>
      </c>
      <c r="E35" s="161">
        <v>52</v>
      </c>
      <c r="F35" s="2263">
        <f t="shared" si="1"/>
        <v>8.23</v>
      </c>
      <c r="G35" s="2331">
        <v>12</v>
      </c>
      <c r="I35" s="163"/>
      <c r="J35" s="163"/>
      <c r="K35" s="73" t="s">
        <v>32</v>
      </c>
      <c r="L35" s="161">
        <v>20.56</v>
      </c>
      <c r="M35" s="161">
        <v>50</v>
      </c>
      <c r="N35" s="2263">
        <f t="shared" si="2"/>
        <v>8.5599999999999987</v>
      </c>
      <c r="P35" s="161"/>
      <c r="Q35" s="161"/>
      <c r="R35" s="73" t="s">
        <v>32</v>
      </c>
      <c r="S35" s="2327">
        <v>19.13</v>
      </c>
      <c r="T35" s="161">
        <v>39</v>
      </c>
      <c r="U35" s="2317">
        <f t="shared" si="0"/>
        <v>7.129999999999999</v>
      </c>
      <c r="W35" s="1094"/>
      <c r="X35" s="1094"/>
      <c r="Y35" s="2316" t="s">
        <v>32</v>
      </c>
      <c r="Z35" s="2247">
        <v>19.740740740740744</v>
      </c>
      <c r="AA35" s="2248">
        <v>27</v>
      </c>
      <c r="AB35" s="2317">
        <f t="shared" si="3"/>
        <v>7.740740740740744</v>
      </c>
      <c r="AD35" s="2318"/>
      <c r="AE35" s="2318"/>
      <c r="AF35" s="2319" t="s">
        <v>32</v>
      </c>
      <c r="AG35" s="2320">
        <v>36</v>
      </c>
      <c r="AH35" s="2321">
        <v>20.666666666666664</v>
      </c>
      <c r="AI35" s="2263">
        <f t="shared" si="4"/>
        <v>8.6666666666666643</v>
      </c>
      <c r="AK35" s="2322"/>
      <c r="AL35" s="2322"/>
      <c r="AM35" s="2324" t="s">
        <v>32</v>
      </c>
      <c r="AN35" s="2325">
        <v>38</v>
      </c>
      <c r="AO35" s="736">
        <v>21.973684210526319</v>
      </c>
      <c r="AP35" s="2323">
        <f t="shared" si="5"/>
        <v>9.9736842105263186</v>
      </c>
      <c r="AQ35" s="73"/>
      <c r="AR35" s="2322"/>
      <c r="AS35" s="2322"/>
      <c r="AT35" s="2324" t="s">
        <v>32</v>
      </c>
      <c r="AU35" s="2325">
        <v>43</v>
      </c>
      <c r="AV35" s="2326">
        <v>19.720930232558132</v>
      </c>
      <c r="AW35" s="2323">
        <f t="shared" si="6"/>
        <v>7.7209302325581319</v>
      </c>
      <c r="AX35" s="73"/>
      <c r="AY35" s="161"/>
      <c r="AZ35" s="161"/>
      <c r="BA35" s="73" t="s">
        <v>32</v>
      </c>
      <c r="BB35" s="161">
        <v>40</v>
      </c>
      <c r="BC35" s="2327">
        <v>19.499999999999993</v>
      </c>
      <c r="BD35" s="2328">
        <f t="shared" si="7"/>
        <v>7.4999999999999929</v>
      </c>
      <c r="BE35" s="73"/>
      <c r="BF35" s="2329"/>
      <c r="BG35" s="2329"/>
      <c r="BH35" s="737" t="s">
        <v>32</v>
      </c>
      <c r="BI35" s="2329">
        <v>60</v>
      </c>
      <c r="BJ35" s="2330">
        <v>19.533333333333339</v>
      </c>
      <c r="BK35" s="2331">
        <v>12</v>
      </c>
      <c r="BL35" s="3201">
        <f t="shared" si="8"/>
        <v>7.5333333333333385</v>
      </c>
    </row>
    <row r="36" spans="1:64">
      <c r="A36" s="73"/>
      <c r="B36" s="73"/>
      <c r="C36" s="738" t="s">
        <v>572</v>
      </c>
      <c r="D36" s="2342">
        <v>19.59</v>
      </c>
      <c r="E36" s="4603">
        <v>298</v>
      </c>
      <c r="F36" s="3210">
        <f t="shared" si="1"/>
        <v>7.59</v>
      </c>
      <c r="G36" s="2331">
        <v>12</v>
      </c>
      <c r="I36" s="163"/>
      <c r="J36" s="163"/>
      <c r="K36" s="738" t="s">
        <v>572</v>
      </c>
      <c r="L36" s="151">
        <v>19.87</v>
      </c>
      <c r="M36" s="151">
        <v>242</v>
      </c>
      <c r="N36" s="3210">
        <f t="shared" si="2"/>
        <v>7.870000000000001</v>
      </c>
      <c r="P36" s="161"/>
      <c r="Q36" s="161"/>
      <c r="R36" s="738" t="s">
        <v>572</v>
      </c>
      <c r="S36" s="2342">
        <v>18.91</v>
      </c>
      <c r="T36" s="151">
        <v>228</v>
      </c>
      <c r="U36" s="2596">
        <f t="shared" si="0"/>
        <v>6.91</v>
      </c>
      <c r="W36" s="1094"/>
      <c r="X36" s="1094"/>
      <c r="Y36" s="2332" t="s">
        <v>572</v>
      </c>
      <c r="Z36" s="2333">
        <v>19.317919075144495</v>
      </c>
      <c r="AA36" s="2334">
        <v>173</v>
      </c>
      <c r="AB36" s="2317">
        <f t="shared" si="3"/>
        <v>7.3179190751444949</v>
      </c>
      <c r="AD36" s="2318"/>
      <c r="AE36" s="2318"/>
      <c r="AF36" s="2335" t="s">
        <v>572</v>
      </c>
      <c r="AG36" s="2336">
        <v>212</v>
      </c>
      <c r="AH36" s="2337">
        <v>19.863207547169836</v>
      </c>
      <c r="AI36" s="2263">
        <f t="shared" si="4"/>
        <v>7.8632075471698357</v>
      </c>
      <c r="AK36" s="2322"/>
      <c r="AL36" s="2322"/>
      <c r="AM36" s="2338" t="s">
        <v>572</v>
      </c>
      <c r="AN36" s="2339">
        <f>SUM(AN27:AN35)</f>
        <v>163</v>
      </c>
      <c r="AO36" s="739">
        <v>20.71</v>
      </c>
      <c r="AP36" s="2341">
        <f t="shared" si="5"/>
        <v>8.7100000000000009</v>
      </c>
      <c r="AQ36" s="73"/>
      <c r="AR36" s="2322"/>
      <c r="AS36" s="2322"/>
      <c r="AT36" s="2338" t="s">
        <v>572</v>
      </c>
      <c r="AU36" s="2339">
        <v>202</v>
      </c>
      <c r="AV36" s="2340">
        <v>20.158415841584151</v>
      </c>
      <c r="AW36" s="2341">
        <f t="shared" si="6"/>
        <v>8.1584158415841515</v>
      </c>
      <c r="AX36" s="73"/>
      <c r="AY36" s="161"/>
      <c r="AZ36" s="161"/>
      <c r="BA36" s="738" t="s">
        <v>15</v>
      </c>
      <c r="BB36" s="151">
        <v>179</v>
      </c>
      <c r="BC36" s="2342">
        <v>19.122905027932958</v>
      </c>
      <c r="BD36" s="2343">
        <f t="shared" si="7"/>
        <v>7.1229050279329584</v>
      </c>
      <c r="BE36" s="73"/>
      <c r="BF36" s="2329"/>
      <c r="BG36" s="2329"/>
      <c r="BH36" s="2344" t="s">
        <v>15</v>
      </c>
      <c r="BI36" s="2345">
        <v>239</v>
      </c>
      <c r="BJ36" s="2346">
        <v>18.895397489539743</v>
      </c>
      <c r="BK36" s="2331">
        <v>12</v>
      </c>
      <c r="BL36" s="3202">
        <f t="shared" si="8"/>
        <v>6.895397489539743</v>
      </c>
    </row>
    <row r="37" spans="1:64">
      <c r="A37" s="73"/>
      <c r="B37" s="73" t="s">
        <v>16</v>
      </c>
      <c r="C37" s="73" t="s">
        <v>17</v>
      </c>
      <c r="D37" s="2327">
        <v>15.29</v>
      </c>
      <c r="E37" s="161">
        <v>138</v>
      </c>
      <c r="F37" s="2263">
        <f t="shared" si="1"/>
        <v>3.2899999999999991</v>
      </c>
      <c r="G37" s="2331">
        <v>12</v>
      </c>
      <c r="I37" s="163"/>
      <c r="J37" s="163" t="s">
        <v>16</v>
      </c>
      <c r="K37" s="73" t="s">
        <v>17</v>
      </c>
      <c r="L37" s="161">
        <v>15.05</v>
      </c>
      <c r="M37" s="161">
        <v>130</v>
      </c>
      <c r="N37" s="2263">
        <f t="shared" si="2"/>
        <v>3.0500000000000007</v>
      </c>
      <c r="P37" s="161"/>
      <c r="Q37" s="161" t="s">
        <v>16</v>
      </c>
      <c r="R37" s="73" t="s">
        <v>17</v>
      </c>
      <c r="S37" s="2327">
        <v>15.39</v>
      </c>
      <c r="T37" s="161">
        <v>123</v>
      </c>
      <c r="U37" s="2317">
        <f t="shared" si="0"/>
        <v>3.3900000000000006</v>
      </c>
      <c r="W37" s="1094"/>
      <c r="X37" s="1094" t="s">
        <v>16</v>
      </c>
      <c r="Y37" s="2316" t="s">
        <v>17</v>
      </c>
      <c r="Z37" s="2247">
        <v>16.185430463576164</v>
      </c>
      <c r="AA37" s="2248">
        <v>151</v>
      </c>
      <c r="AB37" s="2317">
        <f t="shared" si="3"/>
        <v>4.1854304635761643</v>
      </c>
      <c r="AD37" s="2318"/>
      <c r="AE37" s="2318" t="s">
        <v>16</v>
      </c>
      <c r="AF37" s="2319" t="s">
        <v>17</v>
      </c>
      <c r="AG37" s="2320">
        <v>147</v>
      </c>
      <c r="AH37" s="2321">
        <v>15.578231292517003</v>
      </c>
      <c r="AI37" s="2263">
        <f t="shared" si="4"/>
        <v>3.5782312925170032</v>
      </c>
      <c r="AK37" s="2322"/>
      <c r="AL37" s="2322" t="s">
        <v>16</v>
      </c>
      <c r="AM37" s="2324" t="s">
        <v>17</v>
      </c>
      <c r="AN37" s="2325">
        <v>190</v>
      </c>
      <c r="AO37" s="736">
        <v>14.915789473684203</v>
      </c>
      <c r="AP37" s="2323">
        <f t="shared" si="5"/>
        <v>2.9157894736842032</v>
      </c>
      <c r="AQ37" s="73"/>
      <c r="AR37" s="2322"/>
      <c r="AS37" s="2322" t="s">
        <v>16</v>
      </c>
      <c r="AT37" s="2324" t="s">
        <v>17</v>
      </c>
      <c r="AU37" s="2325">
        <v>133</v>
      </c>
      <c r="AV37" s="2326">
        <v>15.263157894736842</v>
      </c>
      <c r="AW37" s="2323">
        <f t="shared" si="6"/>
        <v>3.2631578947368425</v>
      </c>
      <c r="AX37" s="73"/>
      <c r="AY37" s="161"/>
      <c r="AZ37" s="161" t="s">
        <v>16</v>
      </c>
      <c r="BA37" s="73" t="s">
        <v>17</v>
      </c>
      <c r="BB37" s="161">
        <v>125</v>
      </c>
      <c r="BC37" s="2327">
        <v>15.847999999999995</v>
      </c>
      <c r="BD37" s="2328">
        <f t="shared" si="7"/>
        <v>3.8479999999999954</v>
      </c>
      <c r="BE37" s="73"/>
      <c r="BF37" s="2329"/>
      <c r="BG37" s="2329" t="s">
        <v>16</v>
      </c>
      <c r="BH37" s="737" t="s">
        <v>17</v>
      </c>
      <c r="BI37" s="2329">
        <v>152</v>
      </c>
      <c r="BJ37" s="2330">
        <v>16.243421052631582</v>
      </c>
      <c r="BK37" s="2331">
        <v>12</v>
      </c>
      <c r="BL37" s="3201">
        <f t="shared" si="8"/>
        <v>4.2434210526315823</v>
      </c>
    </row>
    <row r="38" spans="1:64">
      <c r="A38" s="73"/>
      <c r="B38" s="73"/>
      <c r="C38" s="73" t="s">
        <v>33</v>
      </c>
      <c r="D38" s="2327">
        <v>19.079999999999998</v>
      </c>
      <c r="E38" s="161">
        <v>24</v>
      </c>
      <c r="F38" s="2263">
        <f t="shared" si="1"/>
        <v>7.0799999999999983</v>
      </c>
      <c r="G38" s="2331">
        <v>12</v>
      </c>
      <c r="I38" s="163"/>
      <c r="J38" s="163"/>
      <c r="K38" s="73" t="s">
        <v>33</v>
      </c>
      <c r="L38" s="161">
        <v>17.28</v>
      </c>
      <c r="M38" s="161">
        <v>29</v>
      </c>
      <c r="N38" s="2263">
        <f t="shared" si="2"/>
        <v>5.2800000000000011</v>
      </c>
      <c r="P38" s="161"/>
      <c r="Q38" s="161"/>
      <c r="R38" s="73" t="s">
        <v>33</v>
      </c>
      <c r="S38" s="2327">
        <v>17.5</v>
      </c>
      <c r="T38" s="161">
        <v>34</v>
      </c>
      <c r="U38" s="2317">
        <f t="shared" ref="U38:U69" si="9">S38-BK38</f>
        <v>5.5</v>
      </c>
      <c r="W38" s="1094"/>
      <c r="X38" s="1094"/>
      <c r="Y38" s="2316" t="s">
        <v>33</v>
      </c>
      <c r="Z38" s="2247">
        <v>17.75</v>
      </c>
      <c r="AA38" s="2248">
        <v>32</v>
      </c>
      <c r="AB38" s="2317">
        <f t="shared" si="3"/>
        <v>5.75</v>
      </c>
      <c r="AD38" s="2318"/>
      <c r="AE38" s="2318"/>
      <c r="AF38" s="2319" t="s">
        <v>33</v>
      </c>
      <c r="AG38" s="2320">
        <v>28</v>
      </c>
      <c r="AH38" s="2321">
        <v>16.678571428571431</v>
      </c>
      <c r="AI38" s="2263">
        <f t="shared" si="4"/>
        <v>4.6785714285714306</v>
      </c>
      <c r="AK38" s="2322"/>
      <c r="AL38" s="2322"/>
      <c r="AM38" s="2324" t="s">
        <v>33</v>
      </c>
      <c r="AN38" s="2325">
        <v>34</v>
      </c>
      <c r="AO38" s="736">
        <v>17.411764705882355</v>
      </c>
      <c r="AP38" s="2323">
        <f t="shared" si="5"/>
        <v>5.411764705882355</v>
      </c>
      <c r="AQ38" s="73"/>
      <c r="AR38" s="2322"/>
      <c r="AS38" s="2322"/>
      <c r="AT38" s="2324" t="s">
        <v>33</v>
      </c>
      <c r="AU38" s="2325">
        <v>40</v>
      </c>
      <c r="AV38" s="2326">
        <v>17.125000000000004</v>
      </c>
      <c r="AW38" s="2323">
        <f t="shared" si="6"/>
        <v>5.1250000000000036</v>
      </c>
      <c r="AX38" s="73"/>
      <c r="AY38" s="161"/>
      <c r="AZ38" s="161"/>
      <c r="BA38" s="73" t="s">
        <v>33</v>
      </c>
      <c r="BB38" s="161">
        <v>23</v>
      </c>
      <c r="BC38" s="2327">
        <v>19.695652173913043</v>
      </c>
      <c r="BD38" s="2328">
        <f t="shared" si="7"/>
        <v>7.695652173913043</v>
      </c>
      <c r="BE38" s="73"/>
      <c r="BF38" s="2329"/>
      <c r="BG38" s="2329"/>
      <c r="BH38" s="737" t="s">
        <v>33</v>
      </c>
      <c r="BI38" s="2329">
        <v>19</v>
      </c>
      <c r="BJ38" s="2330">
        <v>17.526315789473681</v>
      </c>
      <c r="BK38" s="2331">
        <v>12</v>
      </c>
      <c r="BL38" s="3201">
        <f t="shared" si="8"/>
        <v>5.5263157894736814</v>
      </c>
    </row>
    <row r="39" spans="1:64">
      <c r="A39" s="73"/>
      <c r="B39" s="73"/>
      <c r="C39" s="73" t="s">
        <v>34</v>
      </c>
      <c r="D39" s="2327">
        <v>18</v>
      </c>
      <c r="E39" s="161">
        <v>33</v>
      </c>
      <c r="F39" s="2263">
        <f t="shared" si="1"/>
        <v>6</v>
      </c>
      <c r="G39" s="2331">
        <v>12</v>
      </c>
      <c r="I39" s="163"/>
      <c r="J39" s="163"/>
      <c r="K39" s="73" t="s">
        <v>34</v>
      </c>
      <c r="L39" s="161">
        <v>18.88</v>
      </c>
      <c r="M39" s="161">
        <v>25</v>
      </c>
      <c r="N39" s="2263">
        <f t="shared" si="2"/>
        <v>6.879999999999999</v>
      </c>
      <c r="P39" s="161"/>
      <c r="Q39" s="161"/>
      <c r="R39" s="73" t="s">
        <v>34</v>
      </c>
      <c r="S39" s="2327">
        <v>20.89</v>
      </c>
      <c r="T39" s="161">
        <v>18</v>
      </c>
      <c r="U39" s="2317">
        <f t="shared" si="9"/>
        <v>8.89</v>
      </c>
      <c r="W39" s="1094"/>
      <c r="X39" s="1094"/>
      <c r="Y39" s="2316" t="s">
        <v>34</v>
      </c>
      <c r="Z39" s="2247">
        <v>18.733333333333338</v>
      </c>
      <c r="AA39" s="2248">
        <v>30</v>
      </c>
      <c r="AB39" s="2317">
        <f t="shared" si="3"/>
        <v>6.7333333333333378</v>
      </c>
      <c r="AD39" s="2318"/>
      <c r="AE39" s="2318"/>
      <c r="AF39" s="2319" t="s">
        <v>34</v>
      </c>
      <c r="AG39" s="2320">
        <v>24</v>
      </c>
      <c r="AH39" s="2321">
        <v>19.916666666666668</v>
      </c>
      <c r="AI39" s="2263">
        <f t="shared" si="4"/>
        <v>7.9166666666666679</v>
      </c>
      <c r="AK39" s="2322"/>
      <c r="AL39" s="2322"/>
      <c r="AM39" s="2324" t="s">
        <v>34</v>
      </c>
      <c r="AN39" s="2325">
        <v>41</v>
      </c>
      <c r="AO39" s="736">
        <v>17.585365853658541</v>
      </c>
      <c r="AP39" s="2323">
        <f t="shared" si="5"/>
        <v>5.5853658536585407</v>
      </c>
      <c r="AQ39" s="73"/>
      <c r="AR39" s="2322"/>
      <c r="AS39" s="2322"/>
      <c r="AT39" s="2324" t="s">
        <v>34</v>
      </c>
      <c r="AU39" s="2325">
        <v>39</v>
      </c>
      <c r="AV39" s="2326">
        <v>17.435897435897434</v>
      </c>
      <c r="AW39" s="2323">
        <f t="shared" si="6"/>
        <v>5.4358974358974343</v>
      </c>
      <c r="AX39" s="73"/>
      <c r="AY39" s="161"/>
      <c r="AZ39" s="161"/>
      <c r="BA39" s="73" t="s">
        <v>34</v>
      </c>
      <c r="BB39" s="161">
        <v>32</v>
      </c>
      <c r="BC39" s="2327">
        <v>18.34375</v>
      </c>
      <c r="BD39" s="2328">
        <f t="shared" si="7"/>
        <v>6.34375</v>
      </c>
      <c r="BE39" s="73"/>
      <c r="BF39" s="2329"/>
      <c r="BG39" s="2329"/>
      <c r="BH39" s="737" t="s">
        <v>34</v>
      </c>
      <c r="BI39" s="2329">
        <v>30</v>
      </c>
      <c r="BJ39" s="2330">
        <v>18.2</v>
      </c>
      <c r="BK39" s="2331">
        <v>12</v>
      </c>
      <c r="BL39" s="3201">
        <f t="shared" si="8"/>
        <v>6.1999999999999993</v>
      </c>
    </row>
    <row r="40" spans="1:64">
      <c r="A40" s="73"/>
      <c r="B40" s="73"/>
      <c r="C40" s="73" t="s">
        <v>35</v>
      </c>
      <c r="D40" s="2327">
        <v>19.16</v>
      </c>
      <c r="E40" s="161">
        <v>32</v>
      </c>
      <c r="F40" s="2263">
        <f t="shared" si="1"/>
        <v>7.16</v>
      </c>
      <c r="G40" s="2331">
        <v>12</v>
      </c>
      <c r="I40" s="163"/>
      <c r="J40" s="163"/>
      <c r="K40" s="73" t="s">
        <v>35</v>
      </c>
      <c r="L40" s="161">
        <v>19.79</v>
      </c>
      <c r="M40" s="161">
        <v>28</v>
      </c>
      <c r="N40" s="2263">
        <f t="shared" si="2"/>
        <v>7.7899999999999991</v>
      </c>
      <c r="P40" s="161"/>
      <c r="Q40" s="161"/>
      <c r="R40" s="73" t="s">
        <v>35</v>
      </c>
      <c r="S40" s="2327">
        <v>19.8</v>
      </c>
      <c r="T40" s="161">
        <v>40</v>
      </c>
      <c r="U40" s="2317">
        <f t="shared" si="9"/>
        <v>7.8000000000000007</v>
      </c>
      <c r="W40" s="1094"/>
      <c r="X40" s="1094"/>
      <c r="Y40" s="2316" t="s">
        <v>35</v>
      </c>
      <c r="Z40" s="2247">
        <v>18.785714285714285</v>
      </c>
      <c r="AA40" s="2248">
        <v>42</v>
      </c>
      <c r="AB40" s="2317">
        <f t="shared" si="3"/>
        <v>6.7857142857142847</v>
      </c>
      <c r="AD40" s="2318"/>
      <c r="AE40" s="2318"/>
      <c r="AF40" s="2319" t="s">
        <v>35</v>
      </c>
      <c r="AG40" s="2320">
        <v>29</v>
      </c>
      <c r="AH40" s="2321">
        <v>19.724137931034484</v>
      </c>
      <c r="AI40" s="2263">
        <f t="shared" si="4"/>
        <v>7.724137931034484</v>
      </c>
      <c r="AK40" s="2322"/>
      <c r="AL40" s="2322"/>
      <c r="AM40" s="2324" t="s">
        <v>35</v>
      </c>
      <c r="AN40" s="2325">
        <v>43</v>
      </c>
      <c r="AO40" s="736">
        <v>18.465116279069768</v>
      </c>
      <c r="AP40" s="2323">
        <f t="shared" si="5"/>
        <v>6.4651162790697683</v>
      </c>
      <c r="AQ40" s="73"/>
      <c r="AR40" s="2322"/>
      <c r="AS40" s="2322"/>
      <c r="AT40" s="2324" t="s">
        <v>35</v>
      </c>
      <c r="AU40" s="2325">
        <v>25</v>
      </c>
      <c r="AV40" s="2326">
        <v>17.920000000000002</v>
      </c>
      <c r="AW40" s="2323">
        <f t="shared" si="6"/>
        <v>5.9200000000000017</v>
      </c>
      <c r="AX40" s="73"/>
      <c r="AY40" s="161"/>
      <c r="AZ40" s="161"/>
      <c r="BA40" s="73" t="s">
        <v>35</v>
      </c>
      <c r="BB40" s="161">
        <v>39</v>
      </c>
      <c r="BC40" s="2327">
        <v>16.589743589743591</v>
      </c>
      <c r="BD40" s="2328">
        <f t="shared" si="7"/>
        <v>4.5897435897435912</v>
      </c>
      <c r="BE40" s="73"/>
      <c r="BF40" s="2329"/>
      <c r="BG40" s="2329"/>
      <c r="BH40" s="737" t="s">
        <v>35</v>
      </c>
      <c r="BI40" s="2329">
        <v>39</v>
      </c>
      <c r="BJ40" s="2330">
        <v>19.974358974358974</v>
      </c>
      <c r="BK40" s="2331">
        <v>12</v>
      </c>
      <c r="BL40" s="3201">
        <f t="shared" si="8"/>
        <v>7.9743589743589745</v>
      </c>
    </row>
    <row r="41" spans="1:64">
      <c r="A41" s="73"/>
      <c r="B41" s="73"/>
      <c r="C41" s="73" t="s">
        <v>19</v>
      </c>
      <c r="D41" s="2327">
        <v>16.03</v>
      </c>
      <c r="E41" s="161">
        <v>29</v>
      </c>
      <c r="F41" s="2263">
        <f t="shared" si="1"/>
        <v>4.0300000000000011</v>
      </c>
      <c r="G41" s="2331">
        <v>12</v>
      </c>
      <c r="I41" s="163"/>
      <c r="J41" s="163"/>
      <c r="K41" s="73" t="s">
        <v>19</v>
      </c>
      <c r="L41" s="161">
        <v>15.82</v>
      </c>
      <c r="M41" s="161">
        <v>60</v>
      </c>
      <c r="N41" s="2263">
        <f t="shared" si="2"/>
        <v>3.8200000000000003</v>
      </c>
      <c r="P41" s="161"/>
      <c r="Q41" s="161"/>
      <c r="R41" s="73" t="s">
        <v>19</v>
      </c>
      <c r="S41" s="2327">
        <v>18.37</v>
      </c>
      <c r="T41" s="161">
        <v>41</v>
      </c>
      <c r="U41" s="2317">
        <f t="shared" si="9"/>
        <v>6.370000000000001</v>
      </c>
      <c r="W41" s="1094"/>
      <c r="X41" s="1094"/>
      <c r="Y41" s="2316" t="s">
        <v>19</v>
      </c>
      <c r="Z41" s="2247">
        <v>16.433333333333326</v>
      </c>
      <c r="AA41" s="2248">
        <v>60</v>
      </c>
      <c r="AB41" s="2317">
        <f t="shared" si="3"/>
        <v>4.4333333333333265</v>
      </c>
      <c r="AD41" s="2318"/>
      <c r="AE41" s="2318"/>
      <c r="AF41" s="2319" t="s">
        <v>19</v>
      </c>
      <c r="AG41" s="2320">
        <v>42</v>
      </c>
      <c r="AH41" s="2321">
        <v>16.738095238095241</v>
      </c>
      <c r="AI41" s="2263">
        <f t="shared" si="4"/>
        <v>4.7380952380952408</v>
      </c>
      <c r="AK41" s="2322"/>
      <c r="AL41" s="2322"/>
      <c r="AM41" s="2324" t="s">
        <v>19</v>
      </c>
      <c r="AN41" s="2325">
        <v>59</v>
      </c>
      <c r="AO41" s="736">
        <v>16.50847457627119</v>
      </c>
      <c r="AP41" s="2323">
        <f t="shared" si="5"/>
        <v>4.5084745762711904</v>
      </c>
      <c r="AQ41" s="73"/>
      <c r="AR41" s="2322"/>
      <c r="AS41" s="2322"/>
      <c r="AT41" s="2324" t="s">
        <v>19</v>
      </c>
      <c r="AU41" s="2325">
        <v>38</v>
      </c>
      <c r="AV41" s="2326">
        <v>17.157894736842106</v>
      </c>
      <c r="AW41" s="2323">
        <f t="shared" si="6"/>
        <v>5.1578947368421062</v>
      </c>
      <c r="AX41" s="73"/>
      <c r="AY41" s="161"/>
      <c r="AZ41" s="161"/>
      <c r="BA41" s="73" t="s">
        <v>19</v>
      </c>
      <c r="BB41" s="161">
        <v>34</v>
      </c>
      <c r="BC41" s="2327">
        <v>15.705882352941172</v>
      </c>
      <c r="BD41" s="2328">
        <f t="shared" si="7"/>
        <v>3.7058823529411722</v>
      </c>
      <c r="BE41" s="73"/>
      <c r="BF41" s="2329"/>
      <c r="BG41" s="2329"/>
      <c r="BH41" s="737" t="s">
        <v>19</v>
      </c>
      <c r="BI41" s="2329">
        <v>73</v>
      </c>
      <c r="BJ41" s="2330">
        <v>17.589041095890412</v>
      </c>
      <c r="BK41" s="2331">
        <v>12</v>
      </c>
      <c r="BL41" s="3201">
        <f t="shared" si="8"/>
        <v>5.589041095890412</v>
      </c>
    </row>
    <row r="42" spans="1:64">
      <c r="A42" s="73"/>
      <c r="B42" s="73"/>
      <c r="C42" s="73" t="s">
        <v>20</v>
      </c>
      <c r="D42" s="2327">
        <v>18.53</v>
      </c>
      <c r="E42" s="161">
        <v>43</v>
      </c>
      <c r="F42" s="2263">
        <f t="shared" si="1"/>
        <v>6.5300000000000011</v>
      </c>
      <c r="G42" s="2331">
        <v>12</v>
      </c>
      <c r="I42" s="163"/>
      <c r="J42" s="163"/>
      <c r="K42" s="73" t="s">
        <v>20</v>
      </c>
      <c r="L42" s="161">
        <v>16.88</v>
      </c>
      <c r="M42" s="161">
        <v>48</v>
      </c>
      <c r="N42" s="2263">
        <f t="shared" si="2"/>
        <v>4.879999999999999</v>
      </c>
      <c r="P42" s="161"/>
      <c r="Q42" s="161"/>
      <c r="R42" s="73" t="s">
        <v>20</v>
      </c>
      <c r="S42" s="2327">
        <v>17.7</v>
      </c>
      <c r="T42" s="161">
        <v>40</v>
      </c>
      <c r="U42" s="2317">
        <f t="shared" si="9"/>
        <v>5.6999999999999993</v>
      </c>
      <c r="W42" s="1094"/>
      <c r="X42" s="1094"/>
      <c r="Y42" s="2316" t="s">
        <v>20</v>
      </c>
      <c r="Z42" s="2247">
        <v>17.414634146341463</v>
      </c>
      <c r="AA42" s="2248">
        <v>41</v>
      </c>
      <c r="AB42" s="2317">
        <f t="shared" si="3"/>
        <v>5.4146341463414629</v>
      </c>
      <c r="AD42" s="2318"/>
      <c r="AE42" s="2318"/>
      <c r="AF42" s="2319" t="s">
        <v>20</v>
      </c>
      <c r="AG42" s="2320">
        <v>52</v>
      </c>
      <c r="AH42" s="2321">
        <v>18.673076923076923</v>
      </c>
      <c r="AI42" s="2263">
        <f t="shared" si="4"/>
        <v>6.6730769230769234</v>
      </c>
      <c r="AK42" s="2322"/>
      <c r="AL42" s="2322"/>
      <c r="AM42" s="2324" t="s">
        <v>20</v>
      </c>
      <c r="AN42" s="2325">
        <v>46</v>
      </c>
      <c r="AO42" s="736">
        <v>18.086956521739133</v>
      </c>
      <c r="AP42" s="2323">
        <f t="shared" si="5"/>
        <v>6.0869565217391326</v>
      </c>
      <c r="AQ42" s="73"/>
      <c r="AR42" s="2322"/>
      <c r="AS42" s="2322"/>
      <c r="AT42" s="2324" t="s">
        <v>20</v>
      </c>
      <c r="AU42" s="2325">
        <v>27</v>
      </c>
      <c r="AV42" s="2326">
        <v>17.703703703703706</v>
      </c>
      <c r="AW42" s="2323">
        <f t="shared" si="6"/>
        <v>5.7037037037037059</v>
      </c>
      <c r="AX42" s="73"/>
      <c r="AY42" s="161"/>
      <c r="AZ42" s="161"/>
      <c r="BA42" s="73" t="s">
        <v>20</v>
      </c>
      <c r="BB42" s="161">
        <v>38</v>
      </c>
      <c r="BC42" s="2327">
        <v>15.999999999999996</v>
      </c>
      <c r="BD42" s="2328">
        <f t="shared" si="7"/>
        <v>3.9999999999999964</v>
      </c>
      <c r="BE42" s="73"/>
      <c r="BF42" s="2329"/>
      <c r="BG42" s="2329"/>
      <c r="BH42" s="737" t="s">
        <v>20</v>
      </c>
      <c r="BI42" s="2329">
        <v>48</v>
      </c>
      <c r="BJ42" s="2330">
        <v>17.333333333333336</v>
      </c>
      <c r="BK42" s="2331">
        <v>12</v>
      </c>
      <c r="BL42" s="3201">
        <f t="shared" si="8"/>
        <v>5.3333333333333357</v>
      </c>
    </row>
    <row r="43" spans="1:64">
      <c r="A43" s="73"/>
      <c r="B43" s="73"/>
      <c r="C43" s="73" t="s">
        <v>36</v>
      </c>
      <c r="D43" s="2327">
        <v>18.920000000000002</v>
      </c>
      <c r="E43" s="161">
        <v>38</v>
      </c>
      <c r="F43" s="2263">
        <f t="shared" si="1"/>
        <v>6.9200000000000017</v>
      </c>
      <c r="G43" s="2331">
        <v>12</v>
      </c>
      <c r="I43" s="163"/>
      <c r="J43" s="163"/>
      <c r="K43" s="73" t="s">
        <v>36</v>
      </c>
      <c r="L43" s="161">
        <v>17.48</v>
      </c>
      <c r="M43" s="161">
        <v>33</v>
      </c>
      <c r="N43" s="2263">
        <f t="shared" si="2"/>
        <v>5.48</v>
      </c>
      <c r="P43" s="161"/>
      <c r="Q43" s="161"/>
      <c r="R43" s="73" t="s">
        <v>36</v>
      </c>
      <c r="S43" s="2327">
        <v>18.37</v>
      </c>
      <c r="T43" s="161">
        <v>30</v>
      </c>
      <c r="U43" s="2317">
        <f t="shared" si="9"/>
        <v>6.370000000000001</v>
      </c>
      <c r="W43" s="1094"/>
      <c r="X43" s="1094"/>
      <c r="Y43" s="2316" t="s">
        <v>36</v>
      </c>
      <c r="Z43" s="2247">
        <v>19.324999999999999</v>
      </c>
      <c r="AA43" s="2248">
        <v>40</v>
      </c>
      <c r="AB43" s="2317">
        <f t="shared" si="3"/>
        <v>7.3249999999999993</v>
      </c>
      <c r="AD43" s="2318"/>
      <c r="AE43" s="2318"/>
      <c r="AF43" s="2319" t="s">
        <v>36</v>
      </c>
      <c r="AG43" s="2320">
        <v>35</v>
      </c>
      <c r="AH43" s="2321">
        <v>17.257142857142853</v>
      </c>
      <c r="AI43" s="2263">
        <f t="shared" si="4"/>
        <v>5.2571428571428527</v>
      </c>
      <c r="AK43" s="2322"/>
      <c r="AL43" s="2322"/>
      <c r="AM43" s="2324" t="s">
        <v>36</v>
      </c>
      <c r="AN43" s="2325">
        <v>34</v>
      </c>
      <c r="AO43" s="736">
        <v>18.441176470588232</v>
      </c>
      <c r="AP43" s="2323">
        <f t="shared" si="5"/>
        <v>6.441176470588232</v>
      </c>
      <c r="AQ43" s="73"/>
      <c r="AR43" s="2322"/>
      <c r="AS43" s="2322"/>
      <c r="AT43" s="2324" t="s">
        <v>36</v>
      </c>
      <c r="AU43" s="2325">
        <v>35</v>
      </c>
      <c r="AV43" s="2326">
        <v>19.62857142857143</v>
      </c>
      <c r="AW43" s="2323">
        <f t="shared" si="6"/>
        <v>7.6285714285714299</v>
      </c>
      <c r="AX43" s="73"/>
      <c r="AY43" s="161"/>
      <c r="AZ43" s="161"/>
      <c r="BA43" s="73" t="s">
        <v>36</v>
      </c>
      <c r="BB43" s="161">
        <v>25</v>
      </c>
      <c r="BC43" s="2327">
        <v>20.039999999999996</v>
      </c>
      <c r="BD43" s="2328">
        <f t="shared" si="7"/>
        <v>8.0399999999999956</v>
      </c>
      <c r="BE43" s="73"/>
      <c r="BF43" s="2329"/>
      <c r="BG43" s="2329"/>
      <c r="BH43" s="737" t="s">
        <v>36</v>
      </c>
      <c r="BI43" s="2329">
        <v>36</v>
      </c>
      <c r="BJ43" s="2330">
        <v>18.916666666666668</v>
      </c>
      <c r="BK43" s="2331">
        <v>12</v>
      </c>
      <c r="BL43" s="3201">
        <f t="shared" si="8"/>
        <v>6.9166666666666679</v>
      </c>
    </row>
    <row r="44" spans="1:64">
      <c r="A44" s="73"/>
      <c r="B44" s="73"/>
      <c r="C44" s="73" t="s">
        <v>37</v>
      </c>
      <c r="D44" s="2327">
        <v>15.96</v>
      </c>
      <c r="E44" s="161">
        <v>24</v>
      </c>
      <c r="F44" s="2263">
        <f t="shared" si="1"/>
        <v>3.9600000000000009</v>
      </c>
      <c r="G44" s="2331">
        <v>12</v>
      </c>
      <c r="I44" s="163"/>
      <c r="J44" s="163"/>
      <c r="K44" s="73" t="s">
        <v>37</v>
      </c>
      <c r="L44" s="161">
        <v>17.78</v>
      </c>
      <c r="M44" s="161">
        <v>23</v>
      </c>
      <c r="N44" s="2263">
        <f t="shared" si="2"/>
        <v>5.7800000000000011</v>
      </c>
      <c r="P44" s="161"/>
      <c r="Q44" s="161"/>
      <c r="R44" s="73" t="s">
        <v>37</v>
      </c>
      <c r="S44" s="2327">
        <v>15.52</v>
      </c>
      <c r="T44" s="161">
        <v>21</v>
      </c>
      <c r="U44" s="2317">
        <f t="shared" si="9"/>
        <v>3.5199999999999996</v>
      </c>
      <c r="W44" s="1094"/>
      <c r="X44" s="1094"/>
      <c r="Y44" s="2316" t="s">
        <v>37</v>
      </c>
      <c r="Z44" s="2247">
        <v>16.761904761904763</v>
      </c>
      <c r="AA44" s="2248">
        <v>21</v>
      </c>
      <c r="AB44" s="2317">
        <f t="shared" si="3"/>
        <v>4.7619047619047628</v>
      </c>
      <c r="AD44" s="2318"/>
      <c r="AE44" s="2318"/>
      <c r="AF44" s="2319" t="s">
        <v>37</v>
      </c>
      <c r="AG44" s="2320">
        <v>13</v>
      </c>
      <c r="AH44" s="2321">
        <v>15.076923076923077</v>
      </c>
      <c r="AI44" s="2263">
        <f t="shared" si="4"/>
        <v>3.0769230769230766</v>
      </c>
      <c r="AK44" s="2322"/>
      <c r="AL44" s="2322"/>
      <c r="AM44" s="2324" t="s">
        <v>37</v>
      </c>
      <c r="AN44" s="2325">
        <v>16</v>
      </c>
      <c r="AO44" s="736">
        <v>17.312499999999996</v>
      </c>
      <c r="AP44" s="2323">
        <f t="shared" si="5"/>
        <v>5.3124999999999964</v>
      </c>
      <c r="AQ44" s="73"/>
      <c r="AR44" s="2322"/>
      <c r="AS44" s="2322"/>
      <c r="AT44" s="2324" t="s">
        <v>37</v>
      </c>
      <c r="AU44" s="2325">
        <v>17</v>
      </c>
      <c r="AV44" s="2326">
        <v>14.294117647058826</v>
      </c>
      <c r="AW44" s="2323">
        <f t="shared" si="6"/>
        <v>2.294117647058826</v>
      </c>
      <c r="AX44" s="73"/>
      <c r="AY44" s="161"/>
      <c r="AZ44" s="161"/>
      <c r="BA44" s="73" t="s">
        <v>37</v>
      </c>
      <c r="BB44" s="161">
        <v>13</v>
      </c>
      <c r="BC44" s="2327">
        <v>18.46153846153846</v>
      </c>
      <c r="BD44" s="2328">
        <f t="shared" si="7"/>
        <v>6.4615384615384599</v>
      </c>
      <c r="BE44" s="73"/>
      <c r="BF44" s="2329"/>
      <c r="BG44" s="2329"/>
      <c r="BH44" s="737" t="s">
        <v>37</v>
      </c>
      <c r="BI44" s="2329">
        <v>10</v>
      </c>
      <c r="BJ44" s="2330">
        <v>15.6</v>
      </c>
      <c r="BK44" s="2331">
        <v>12</v>
      </c>
      <c r="BL44" s="3201">
        <f t="shared" si="8"/>
        <v>3.5999999999999996</v>
      </c>
    </row>
    <row r="45" spans="1:64">
      <c r="A45" s="73"/>
      <c r="B45" s="73"/>
      <c r="C45" s="73" t="s">
        <v>38</v>
      </c>
      <c r="D45" s="2327">
        <v>18.309999999999999</v>
      </c>
      <c r="E45" s="161">
        <v>52</v>
      </c>
      <c r="F45" s="2263">
        <f t="shared" si="1"/>
        <v>6.3099999999999987</v>
      </c>
      <c r="G45" s="2331">
        <v>12</v>
      </c>
      <c r="I45" s="163"/>
      <c r="J45" s="163"/>
      <c r="K45" s="73" t="s">
        <v>38</v>
      </c>
      <c r="L45" s="161">
        <v>17.329999999999998</v>
      </c>
      <c r="M45" s="161">
        <v>61</v>
      </c>
      <c r="N45" s="2263">
        <f t="shared" si="2"/>
        <v>5.3299999999999983</v>
      </c>
      <c r="P45" s="161"/>
      <c r="Q45" s="161"/>
      <c r="R45" s="73" t="s">
        <v>38</v>
      </c>
      <c r="S45" s="2327">
        <v>15.56</v>
      </c>
      <c r="T45" s="161">
        <v>36</v>
      </c>
      <c r="U45" s="2317">
        <f t="shared" si="9"/>
        <v>3.5600000000000005</v>
      </c>
      <c r="W45" s="1094"/>
      <c r="X45" s="1094"/>
      <c r="Y45" s="2316" t="s">
        <v>38</v>
      </c>
      <c r="Z45" s="2247">
        <v>17.672413793103452</v>
      </c>
      <c r="AA45" s="2248">
        <v>58</v>
      </c>
      <c r="AB45" s="2317">
        <f t="shared" si="3"/>
        <v>5.672413793103452</v>
      </c>
      <c r="AD45" s="2318"/>
      <c r="AE45" s="2318"/>
      <c r="AF45" s="2319" t="s">
        <v>38</v>
      </c>
      <c r="AG45" s="2320">
        <v>52</v>
      </c>
      <c r="AH45" s="2321">
        <v>17.51923076923077</v>
      </c>
      <c r="AI45" s="2263">
        <f t="shared" si="4"/>
        <v>5.5192307692307701</v>
      </c>
      <c r="AK45" s="2322"/>
      <c r="AL45" s="2322"/>
      <c r="AM45" s="2324" t="s">
        <v>38</v>
      </c>
      <c r="AN45" s="2325">
        <v>78</v>
      </c>
      <c r="AO45" s="736">
        <v>17.166666666666661</v>
      </c>
      <c r="AP45" s="2323">
        <f t="shared" si="5"/>
        <v>5.1666666666666607</v>
      </c>
      <c r="AQ45" s="73"/>
      <c r="AR45" s="2322"/>
      <c r="AS45" s="2322"/>
      <c r="AT45" s="2324" t="s">
        <v>38</v>
      </c>
      <c r="AU45" s="2325">
        <v>55</v>
      </c>
      <c r="AV45" s="2326">
        <v>17.399999999999991</v>
      </c>
      <c r="AW45" s="2323">
        <f t="shared" si="6"/>
        <v>5.3999999999999915</v>
      </c>
      <c r="AX45" s="73"/>
      <c r="AY45" s="161"/>
      <c r="AZ45" s="161"/>
      <c r="BA45" s="73" t="s">
        <v>38</v>
      </c>
      <c r="BB45" s="161">
        <v>44</v>
      </c>
      <c r="BC45" s="2327">
        <v>18.63636363636363</v>
      </c>
      <c r="BD45" s="2328">
        <f t="shared" si="7"/>
        <v>6.6363636363636296</v>
      </c>
      <c r="BE45" s="73"/>
      <c r="BF45" s="2329"/>
      <c r="BG45" s="2329"/>
      <c r="BH45" s="737" t="s">
        <v>38</v>
      </c>
      <c r="BI45" s="2329">
        <v>44</v>
      </c>
      <c r="BJ45" s="2330">
        <v>17.068181818181824</v>
      </c>
      <c r="BK45" s="2331">
        <v>12</v>
      </c>
      <c r="BL45" s="3201">
        <f t="shared" si="8"/>
        <v>5.0681818181818237</v>
      </c>
    </row>
    <row r="46" spans="1:64">
      <c r="A46" s="73"/>
      <c r="B46" s="73"/>
      <c r="C46" s="73" t="s">
        <v>39</v>
      </c>
      <c r="D46" s="2327">
        <v>15.51</v>
      </c>
      <c r="E46" s="161">
        <v>95</v>
      </c>
      <c r="F46" s="2263">
        <f t="shared" si="1"/>
        <v>3.51</v>
      </c>
      <c r="G46" s="2331">
        <v>12</v>
      </c>
      <c r="I46" s="163"/>
      <c r="J46" s="163"/>
      <c r="K46" s="73" t="s">
        <v>39</v>
      </c>
      <c r="L46" s="161">
        <v>15.71</v>
      </c>
      <c r="M46" s="161">
        <v>106</v>
      </c>
      <c r="N46" s="2263">
        <f t="shared" si="2"/>
        <v>3.7100000000000009</v>
      </c>
      <c r="P46" s="161"/>
      <c r="Q46" s="161"/>
      <c r="R46" s="73" t="s">
        <v>39</v>
      </c>
      <c r="S46" s="2327">
        <v>15.19</v>
      </c>
      <c r="T46" s="161">
        <v>137</v>
      </c>
      <c r="U46" s="2317">
        <f t="shared" si="9"/>
        <v>3.1899999999999995</v>
      </c>
      <c r="W46" s="1094"/>
      <c r="X46" s="1094"/>
      <c r="Y46" s="2316" t="s">
        <v>39</v>
      </c>
      <c r="Z46" s="2247">
        <v>16.420454545454543</v>
      </c>
      <c r="AA46" s="2248">
        <v>88</v>
      </c>
      <c r="AB46" s="2317">
        <f t="shared" si="3"/>
        <v>4.4204545454545432</v>
      </c>
      <c r="AD46" s="2318"/>
      <c r="AE46" s="2318"/>
      <c r="AF46" s="2319" t="s">
        <v>39</v>
      </c>
      <c r="AG46" s="2320">
        <v>122</v>
      </c>
      <c r="AH46" s="2321">
        <v>16.155737704918032</v>
      </c>
      <c r="AI46" s="2263">
        <f t="shared" si="4"/>
        <v>4.1557377049180317</v>
      </c>
      <c r="AK46" s="2322"/>
      <c r="AL46" s="2322"/>
      <c r="AM46" s="2324" t="s">
        <v>39</v>
      </c>
      <c r="AN46" s="2325">
        <v>120</v>
      </c>
      <c r="AO46" s="736">
        <v>14.625</v>
      </c>
      <c r="AP46" s="2323">
        <f t="shared" si="5"/>
        <v>2.625</v>
      </c>
      <c r="AQ46" s="73"/>
      <c r="AR46" s="2322"/>
      <c r="AS46" s="2322"/>
      <c r="AT46" s="2324" t="s">
        <v>39</v>
      </c>
      <c r="AU46" s="2325">
        <v>149</v>
      </c>
      <c r="AV46" s="2326">
        <v>14.73154362416107</v>
      </c>
      <c r="AW46" s="2323">
        <f t="shared" si="6"/>
        <v>2.7315436241610698</v>
      </c>
      <c r="AX46" s="73"/>
      <c r="AY46" s="161"/>
      <c r="AZ46" s="161"/>
      <c r="BA46" s="73" t="s">
        <v>39</v>
      </c>
      <c r="BB46" s="161">
        <v>105</v>
      </c>
      <c r="BC46" s="2327">
        <v>15.390476190476194</v>
      </c>
      <c r="BD46" s="2328">
        <f t="shared" si="7"/>
        <v>3.3904761904761944</v>
      </c>
      <c r="BE46" s="73"/>
      <c r="BF46" s="2329"/>
      <c r="BG46" s="2329"/>
      <c r="BH46" s="737" t="s">
        <v>39</v>
      </c>
      <c r="BI46" s="2329">
        <v>93</v>
      </c>
      <c r="BJ46" s="2330">
        <v>15.580645161290326</v>
      </c>
      <c r="BK46" s="2331">
        <v>12</v>
      </c>
      <c r="BL46" s="3201">
        <f t="shared" si="8"/>
        <v>3.5806451612903256</v>
      </c>
    </row>
    <row r="47" spans="1:64">
      <c r="A47" s="73"/>
      <c r="B47" s="73"/>
      <c r="C47" s="73" t="s">
        <v>40</v>
      </c>
      <c r="D47" s="2327">
        <v>21.05</v>
      </c>
      <c r="E47" s="161">
        <v>22</v>
      </c>
      <c r="F47" s="2263">
        <f t="shared" si="1"/>
        <v>9.0500000000000007</v>
      </c>
      <c r="G47" s="2331">
        <v>12</v>
      </c>
      <c r="I47" s="163"/>
      <c r="J47" s="163"/>
      <c r="K47" s="73" t="s">
        <v>40</v>
      </c>
      <c r="L47" s="161">
        <v>22.19</v>
      </c>
      <c r="M47" s="161">
        <v>16</v>
      </c>
      <c r="N47" s="2263">
        <f t="shared" si="2"/>
        <v>10.190000000000001</v>
      </c>
      <c r="P47" s="161"/>
      <c r="Q47" s="161"/>
      <c r="R47" s="73" t="s">
        <v>40</v>
      </c>
      <c r="S47" s="2327">
        <v>21</v>
      </c>
      <c r="T47" s="161">
        <v>11</v>
      </c>
      <c r="U47" s="2317">
        <f t="shared" si="9"/>
        <v>9</v>
      </c>
      <c r="W47" s="1094"/>
      <c r="X47" s="1094"/>
      <c r="Y47" s="2316" t="s">
        <v>40</v>
      </c>
      <c r="Z47" s="2247">
        <v>21.727272727272727</v>
      </c>
      <c r="AA47" s="2248">
        <v>11</v>
      </c>
      <c r="AB47" s="2317">
        <f t="shared" si="3"/>
        <v>9.7272727272727266</v>
      </c>
      <c r="AD47" s="2318"/>
      <c r="AE47" s="2318"/>
      <c r="AF47" s="2319" t="s">
        <v>40</v>
      </c>
      <c r="AG47" s="2320">
        <v>8</v>
      </c>
      <c r="AH47" s="2321">
        <v>19.750000000000004</v>
      </c>
      <c r="AI47" s="2263">
        <f t="shared" si="4"/>
        <v>7.7500000000000036</v>
      </c>
      <c r="AK47" s="2322"/>
      <c r="AL47" s="2322"/>
      <c r="AM47" s="2324" t="s">
        <v>40</v>
      </c>
      <c r="AN47" s="2325">
        <v>7</v>
      </c>
      <c r="AO47" s="736">
        <v>19.142857142857142</v>
      </c>
      <c r="AP47" s="2323">
        <f t="shared" si="5"/>
        <v>7.1428571428571423</v>
      </c>
      <c r="AQ47" s="73"/>
      <c r="AR47" s="2322"/>
      <c r="AS47" s="2322"/>
      <c r="AT47" s="2324" t="s">
        <v>40</v>
      </c>
      <c r="AU47" s="2325">
        <v>7</v>
      </c>
      <c r="AV47" s="2326">
        <v>21.714285714285715</v>
      </c>
      <c r="AW47" s="2323">
        <f t="shared" si="6"/>
        <v>9.7142857142857153</v>
      </c>
      <c r="AX47" s="73"/>
      <c r="AY47" s="161"/>
      <c r="AZ47" s="161"/>
      <c r="BA47" s="73" t="s">
        <v>40</v>
      </c>
      <c r="BB47" s="161">
        <v>4</v>
      </c>
      <c r="BC47" s="2327">
        <v>18.25</v>
      </c>
      <c r="BD47" s="2328">
        <f t="shared" si="7"/>
        <v>6.25</v>
      </c>
      <c r="BE47" s="73"/>
      <c r="BF47" s="2329"/>
      <c r="BG47" s="2329"/>
      <c r="BH47" s="737" t="s">
        <v>40</v>
      </c>
      <c r="BI47" s="2329">
        <v>3</v>
      </c>
      <c r="BJ47" s="2330">
        <v>15.333333333333334</v>
      </c>
      <c r="BK47" s="2331">
        <v>12</v>
      </c>
      <c r="BL47" s="3201">
        <f t="shared" si="8"/>
        <v>3.3333333333333339</v>
      </c>
    </row>
    <row r="48" spans="1:64">
      <c r="A48" s="73"/>
      <c r="B48" s="73"/>
      <c r="C48" s="738" t="s">
        <v>573</v>
      </c>
      <c r="D48" s="2342">
        <v>17.03</v>
      </c>
      <c r="E48" s="4603">
        <v>530</v>
      </c>
      <c r="F48" s="3210">
        <f t="shared" si="1"/>
        <v>5.0300000000000011</v>
      </c>
      <c r="G48" s="2331">
        <v>12</v>
      </c>
      <c r="I48" s="163"/>
      <c r="J48" s="163"/>
      <c r="K48" s="738" t="s">
        <v>573</v>
      </c>
      <c r="L48" s="151">
        <v>16.649999999999999</v>
      </c>
      <c r="M48" s="151">
        <v>559</v>
      </c>
      <c r="N48" s="3210">
        <f t="shared" si="2"/>
        <v>4.6499999999999986</v>
      </c>
      <c r="P48" s="161"/>
      <c r="Q48" s="161"/>
      <c r="R48" s="738" t="s">
        <v>573</v>
      </c>
      <c r="S48" s="2342">
        <v>16.7</v>
      </c>
      <c r="T48" s="151">
        <v>531</v>
      </c>
      <c r="U48" s="2596">
        <f t="shared" si="9"/>
        <v>4.6999999999999993</v>
      </c>
      <c r="W48" s="1094"/>
      <c r="X48" s="1094"/>
      <c r="Y48" s="2332" t="s">
        <v>573</v>
      </c>
      <c r="Z48" s="2333">
        <v>17.242160278745629</v>
      </c>
      <c r="AA48" s="2334">
        <v>574</v>
      </c>
      <c r="AB48" s="2317">
        <f t="shared" si="3"/>
        <v>5.2421602787456294</v>
      </c>
      <c r="AD48" s="2318"/>
      <c r="AE48" s="2318"/>
      <c r="AF48" s="2335" t="s">
        <v>573</v>
      </c>
      <c r="AG48" s="2336">
        <v>552</v>
      </c>
      <c r="AH48" s="2337">
        <v>16.88586956521738</v>
      </c>
      <c r="AI48" s="2263">
        <f t="shared" si="4"/>
        <v>4.88586956521738</v>
      </c>
      <c r="AK48" s="2322"/>
      <c r="AL48" s="2322"/>
      <c r="AM48" s="2338" t="s">
        <v>573</v>
      </c>
      <c r="AN48" s="2339">
        <f>SUM(AN37:AN47)</f>
        <v>668</v>
      </c>
      <c r="AO48" s="739">
        <v>16.29</v>
      </c>
      <c r="AP48" s="2341">
        <f t="shared" si="5"/>
        <v>4.2899999999999991</v>
      </c>
      <c r="AQ48" s="73"/>
      <c r="AR48" s="2322"/>
      <c r="AS48" s="2322"/>
      <c r="AT48" s="2338" t="s">
        <v>573</v>
      </c>
      <c r="AU48" s="2339">
        <v>565</v>
      </c>
      <c r="AV48" s="2340">
        <v>16.295575221238938</v>
      </c>
      <c r="AW48" s="2341">
        <f t="shared" si="6"/>
        <v>4.2955752212389378</v>
      </c>
      <c r="AX48" s="73"/>
      <c r="AY48" s="161"/>
      <c r="AZ48" s="161"/>
      <c r="BA48" s="738" t="s">
        <v>15</v>
      </c>
      <c r="BB48" s="151">
        <v>482</v>
      </c>
      <c r="BC48" s="2342">
        <v>16.721991701244814</v>
      </c>
      <c r="BD48" s="2343">
        <f t="shared" si="7"/>
        <v>4.7219917012448143</v>
      </c>
      <c r="BE48" s="73"/>
      <c r="BF48" s="2329"/>
      <c r="BG48" s="2329"/>
      <c r="BH48" s="2344" t="s">
        <v>15</v>
      </c>
      <c r="BI48" s="2345">
        <v>547</v>
      </c>
      <c r="BJ48" s="2346">
        <v>17.049360146252276</v>
      </c>
      <c r="BK48" s="2331">
        <v>12</v>
      </c>
      <c r="BL48" s="3202">
        <f t="shared" si="8"/>
        <v>5.0493601462522761</v>
      </c>
    </row>
    <row r="49" spans="1:64">
      <c r="A49" s="73"/>
      <c r="B49" s="73" t="s">
        <v>41</v>
      </c>
      <c r="C49" s="73" t="s">
        <v>42</v>
      </c>
      <c r="D49" s="2327">
        <v>18.05</v>
      </c>
      <c r="E49" s="161">
        <v>84</v>
      </c>
      <c r="F49" s="2263">
        <f t="shared" si="1"/>
        <v>6.0500000000000007</v>
      </c>
      <c r="G49" s="2331">
        <v>12</v>
      </c>
      <c r="I49" s="163"/>
      <c r="J49" s="163" t="s">
        <v>41</v>
      </c>
      <c r="K49" s="73" t="s">
        <v>42</v>
      </c>
      <c r="L49" s="161">
        <v>18.46</v>
      </c>
      <c r="M49" s="161">
        <v>94</v>
      </c>
      <c r="N49" s="2263">
        <f t="shared" si="2"/>
        <v>6.4600000000000009</v>
      </c>
      <c r="P49" s="161"/>
      <c r="Q49" s="161" t="s">
        <v>41</v>
      </c>
      <c r="R49" s="73" t="s">
        <v>42</v>
      </c>
      <c r="S49" s="2327">
        <v>19.28</v>
      </c>
      <c r="T49" s="161">
        <v>110</v>
      </c>
      <c r="U49" s="2317">
        <f t="shared" si="9"/>
        <v>7.2800000000000011</v>
      </c>
      <c r="W49" s="1094"/>
      <c r="X49" s="1094" t="s">
        <v>41</v>
      </c>
      <c r="Y49" s="2316" t="s">
        <v>42</v>
      </c>
      <c r="Z49" s="2247">
        <v>17.757894736842104</v>
      </c>
      <c r="AA49" s="2248">
        <v>95</v>
      </c>
      <c r="AB49" s="2317">
        <f t="shared" si="3"/>
        <v>5.7578947368421041</v>
      </c>
      <c r="AD49" s="2318"/>
      <c r="AE49" s="2318" t="s">
        <v>41</v>
      </c>
      <c r="AF49" s="2319" t="s">
        <v>42</v>
      </c>
      <c r="AG49" s="2320">
        <v>83</v>
      </c>
      <c r="AH49" s="2321">
        <v>17.566265060240962</v>
      </c>
      <c r="AI49" s="2263">
        <f t="shared" si="4"/>
        <v>5.566265060240962</v>
      </c>
      <c r="AK49" s="2322"/>
      <c r="AL49" s="2322" t="s">
        <v>41</v>
      </c>
      <c r="AM49" s="2324" t="s">
        <v>42</v>
      </c>
      <c r="AN49" s="2325">
        <v>92</v>
      </c>
      <c r="AO49" s="736">
        <v>17.923913043478265</v>
      </c>
      <c r="AP49" s="2323">
        <f t="shared" si="5"/>
        <v>5.9239130434782652</v>
      </c>
      <c r="AQ49" s="73"/>
      <c r="AR49" s="2322"/>
      <c r="AS49" s="2322" t="s">
        <v>41</v>
      </c>
      <c r="AT49" s="2324" t="s">
        <v>42</v>
      </c>
      <c r="AU49" s="2325">
        <v>72</v>
      </c>
      <c r="AV49" s="2326">
        <v>16.80555555555555</v>
      </c>
      <c r="AW49" s="2323">
        <f t="shared" si="6"/>
        <v>4.80555555555555</v>
      </c>
      <c r="AX49" s="73"/>
      <c r="AY49" s="161"/>
      <c r="AZ49" s="161" t="s">
        <v>41</v>
      </c>
      <c r="BA49" s="73" t="s">
        <v>42</v>
      </c>
      <c r="BB49" s="161">
        <v>47</v>
      </c>
      <c r="BC49" s="2327">
        <v>16.851063829787236</v>
      </c>
      <c r="BD49" s="2328">
        <f t="shared" si="7"/>
        <v>4.8510638297872362</v>
      </c>
      <c r="BE49" s="73"/>
      <c r="BF49" s="2329"/>
      <c r="BG49" s="2329" t="s">
        <v>41</v>
      </c>
      <c r="BH49" s="737" t="s">
        <v>42</v>
      </c>
      <c r="BI49" s="2329">
        <v>53</v>
      </c>
      <c r="BJ49" s="2330">
        <v>17.132075471698112</v>
      </c>
      <c r="BK49" s="2331">
        <v>12</v>
      </c>
      <c r="BL49" s="3201">
        <f t="shared" si="8"/>
        <v>5.1320754716981121</v>
      </c>
    </row>
    <row r="50" spans="1:64">
      <c r="A50" s="73"/>
      <c r="B50" s="73"/>
      <c r="C50" s="73" t="s">
        <v>43</v>
      </c>
      <c r="D50" s="2327">
        <v>18.170000000000002</v>
      </c>
      <c r="E50" s="161">
        <v>72</v>
      </c>
      <c r="F50" s="2263">
        <f t="shared" si="1"/>
        <v>6.1700000000000017</v>
      </c>
      <c r="G50" s="2331">
        <v>12</v>
      </c>
      <c r="I50" s="163"/>
      <c r="J50" s="163"/>
      <c r="K50" s="73" t="s">
        <v>43</v>
      </c>
      <c r="L50" s="161">
        <v>18.829999999999998</v>
      </c>
      <c r="M50" s="161">
        <v>59</v>
      </c>
      <c r="N50" s="2263">
        <f t="shared" si="2"/>
        <v>6.8299999999999983</v>
      </c>
      <c r="P50" s="161"/>
      <c r="Q50" s="161"/>
      <c r="R50" s="73" t="s">
        <v>43</v>
      </c>
      <c r="S50" s="2327">
        <v>17.46</v>
      </c>
      <c r="T50" s="161">
        <v>63</v>
      </c>
      <c r="U50" s="2317">
        <f t="shared" si="9"/>
        <v>5.4600000000000009</v>
      </c>
      <c r="W50" s="1094"/>
      <c r="X50" s="1094"/>
      <c r="Y50" s="2316" t="s">
        <v>43</v>
      </c>
      <c r="Z50" s="2247">
        <v>19.428571428571427</v>
      </c>
      <c r="AA50" s="2248">
        <v>56</v>
      </c>
      <c r="AB50" s="2317">
        <f t="shared" si="3"/>
        <v>7.428571428571427</v>
      </c>
      <c r="AD50" s="2318"/>
      <c r="AE50" s="2318"/>
      <c r="AF50" s="2319" t="s">
        <v>43</v>
      </c>
      <c r="AG50" s="2320">
        <v>64</v>
      </c>
      <c r="AH50" s="2321">
        <v>19.781249999999989</v>
      </c>
      <c r="AI50" s="2263">
        <f t="shared" si="4"/>
        <v>7.7812499999999893</v>
      </c>
      <c r="AK50" s="2322"/>
      <c r="AL50" s="2322"/>
      <c r="AM50" s="2324" t="s">
        <v>43</v>
      </c>
      <c r="AN50" s="2325">
        <v>52</v>
      </c>
      <c r="AO50" s="736">
        <v>19.17307692307693</v>
      </c>
      <c r="AP50" s="2323">
        <f t="shared" si="5"/>
        <v>7.1730769230769305</v>
      </c>
      <c r="AQ50" s="73"/>
      <c r="AR50" s="2322"/>
      <c r="AS50" s="2322"/>
      <c r="AT50" s="2324" t="s">
        <v>43</v>
      </c>
      <c r="AU50" s="2325">
        <v>41</v>
      </c>
      <c r="AV50" s="2326">
        <v>19.024390243902438</v>
      </c>
      <c r="AW50" s="2323">
        <f t="shared" si="6"/>
        <v>7.0243902439024382</v>
      </c>
      <c r="AX50" s="73"/>
      <c r="AY50" s="161"/>
      <c r="AZ50" s="161"/>
      <c r="BA50" s="73" t="s">
        <v>43</v>
      </c>
      <c r="BB50" s="161">
        <v>52</v>
      </c>
      <c r="BC50" s="2327">
        <v>18.769230769230766</v>
      </c>
      <c r="BD50" s="2328">
        <f t="shared" si="7"/>
        <v>6.7692307692307665</v>
      </c>
      <c r="BE50" s="73"/>
      <c r="BF50" s="2329"/>
      <c r="BG50" s="2329"/>
      <c r="BH50" s="737" t="s">
        <v>43</v>
      </c>
      <c r="BI50" s="2329">
        <v>48</v>
      </c>
      <c r="BJ50" s="2330">
        <v>18.916666666666664</v>
      </c>
      <c r="BK50" s="2331">
        <v>12</v>
      </c>
      <c r="BL50" s="3201">
        <f t="shared" si="8"/>
        <v>6.9166666666666643</v>
      </c>
    </row>
    <row r="51" spans="1:64">
      <c r="A51" s="73"/>
      <c r="B51" s="73"/>
      <c r="C51" s="73" t="s">
        <v>44</v>
      </c>
      <c r="D51" s="2327">
        <v>17.899999999999999</v>
      </c>
      <c r="E51" s="161">
        <v>58</v>
      </c>
      <c r="F51" s="2263">
        <f t="shared" si="1"/>
        <v>5.8999999999999986</v>
      </c>
      <c r="G51" s="2331">
        <v>12</v>
      </c>
      <c r="I51" s="163"/>
      <c r="J51" s="163"/>
      <c r="K51" s="73" t="s">
        <v>44</v>
      </c>
      <c r="L51" s="161">
        <v>17.989999999999998</v>
      </c>
      <c r="M51" s="161">
        <v>78</v>
      </c>
      <c r="N51" s="2263">
        <f t="shared" si="2"/>
        <v>5.9899999999999984</v>
      </c>
      <c r="P51" s="161"/>
      <c r="Q51" s="161"/>
      <c r="R51" s="73" t="s">
        <v>44</v>
      </c>
      <c r="S51" s="2327">
        <v>19.54</v>
      </c>
      <c r="T51" s="161">
        <v>46</v>
      </c>
      <c r="U51" s="2317">
        <f t="shared" si="9"/>
        <v>7.5399999999999991</v>
      </c>
      <c r="W51" s="1094"/>
      <c r="X51" s="1094"/>
      <c r="Y51" s="2316" t="s">
        <v>44</v>
      </c>
      <c r="Z51" s="2247">
        <v>18.829268292682922</v>
      </c>
      <c r="AA51" s="2248">
        <v>41</v>
      </c>
      <c r="AB51" s="2317">
        <f t="shared" si="3"/>
        <v>6.8292682926829222</v>
      </c>
      <c r="AD51" s="2318"/>
      <c r="AE51" s="2318"/>
      <c r="AF51" s="2319" t="s">
        <v>44</v>
      </c>
      <c r="AG51" s="2320">
        <v>20</v>
      </c>
      <c r="AH51" s="2321">
        <v>16.700000000000003</v>
      </c>
      <c r="AI51" s="2263">
        <f t="shared" si="4"/>
        <v>4.7000000000000028</v>
      </c>
      <c r="AK51" s="2322"/>
      <c r="AL51" s="2322"/>
      <c r="AM51" s="2324" t="s">
        <v>44</v>
      </c>
      <c r="AN51" s="2325">
        <v>35</v>
      </c>
      <c r="AO51" s="736">
        <v>19.714285714285712</v>
      </c>
      <c r="AP51" s="2323">
        <f t="shared" si="5"/>
        <v>7.7142857142857117</v>
      </c>
      <c r="AQ51" s="73"/>
      <c r="AR51" s="2322"/>
      <c r="AS51" s="2322"/>
      <c r="AT51" s="2324" t="s">
        <v>44</v>
      </c>
      <c r="AU51" s="2325">
        <v>31</v>
      </c>
      <c r="AV51" s="2326">
        <v>20.483870967741936</v>
      </c>
      <c r="AW51" s="2323">
        <f t="shared" si="6"/>
        <v>8.4838709677419359</v>
      </c>
      <c r="AX51" s="73"/>
      <c r="AY51" s="161"/>
      <c r="AZ51" s="161"/>
      <c r="BA51" s="73" t="s">
        <v>44</v>
      </c>
      <c r="BB51" s="161">
        <v>17</v>
      </c>
      <c r="BC51" s="2327">
        <v>18.176470588235293</v>
      </c>
      <c r="BD51" s="2328">
        <f t="shared" si="7"/>
        <v>6.1764705882352935</v>
      </c>
      <c r="BE51" s="73"/>
      <c r="BF51" s="2329"/>
      <c r="BG51" s="2329"/>
      <c r="BH51" s="737" t="s">
        <v>44</v>
      </c>
      <c r="BI51" s="2329">
        <v>23</v>
      </c>
      <c r="BJ51" s="2330">
        <v>18.173913043478265</v>
      </c>
      <c r="BK51" s="2331">
        <v>12</v>
      </c>
      <c r="BL51" s="3201">
        <f t="shared" si="8"/>
        <v>6.1739130434782652</v>
      </c>
    </row>
    <row r="52" spans="1:64">
      <c r="A52" s="73"/>
      <c r="B52" s="73"/>
      <c r="C52" s="73" t="s">
        <v>45</v>
      </c>
      <c r="D52" s="2327">
        <v>15.79</v>
      </c>
      <c r="E52" s="161">
        <v>53</v>
      </c>
      <c r="F52" s="2263">
        <f t="shared" si="1"/>
        <v>3.7899999999999991</v>
      </c>
      <c r="G52" s="2331">
        <v>12</v>
      </c>
      <c r="I52" s="163"/>
      <c r="J52" s="163"/>
      <c r="K52" s="73" t="s">
        <v>45</v>
      </c>
      <c r="L52" s="161">
        <v>16.8</v>
      </c>
      <c r="M52" s="161">
        <v>41</v>
      </c>
      <c r="N52" s="2263">
        <f t="shared" si="2"/>
        <v>4.8000000000000007</v>
      </c>
      <c r="P52" s="161"/>
      <c r="Q52" s="161"/>
      <c r="R52" s="73" t="s">
        <v>45</v>
      </c>
      <c r="S52" s="2327">
        <v>16.670000000000002</v>
      </c>
      <c r="T52" s="161">
        <v>24</v>
      </c>
      <c r="U52" s="2317">
        <f t="shared" si="9"/>
        <v>4.6700000000000017</v>
      </c>
      <c r="W52" s="1094"/>
      <c r="X52" s="1094"/>
      <c r="Y52" s="2316" t="s">
        <v>45</v>
      </c>
      <c r="Z52" s="2247">
        <v>17.760000000000002</v>
      </c>
      <c r="AA52" s="2248">
        <v>25</v>
      </c>
      <c r="AB52" s="2317">
        <f t="shared" si="3"/>
        <v>5.7600000000000016</v>
      </c>
      <c r="AD52" s="2318"/>
      <c r="AE52" s="2318"/>
      <c r="AF52" s="2319" t="s">
        <v>45</v>
      </c>
      <c r="AG52" s="2320">
        <v>14</v>
      </c>
      <c r="AH52" s="2321">
        <v>16.214285714285712</v>
      </c>
      <c r="AI52" s="2263">
        <f t="shared" si="4"/>
        <v>4.2142857142857117</v>
      </c>
      <c r="AK52" s="2322"/>
      <c r="AL52" s="2322"/>
      <c r="AM52" s="2324" t="s">
        <v>45</v>
      </c>
      <c r="AN52" s="2325">
        <v>15</v>
      </c>
      <c r="AO52" s="736">
        <v>16.733333333333331</v>
      </c>
      <c r="AP52" s="2323">
        <f t="shared" si="5"/>
        <v>4.7333333333333307</v>
      </c>
      <c r="AQ52" s="73"/>
      <c r="AR52" s="2322"/>
      <c r="AS52" s="2322"/>
      <c r="AT52" s="2324" t="s">
        <v>45</v>
      </c>
      <c r="AU52" s="2325">
        <v>14</v>
      </c>
      <c r="AV52" s="2326">
        <v>18.642857142857146</v>
      </c>
      <c r="AW52" s="2323">
        <f t="shared" si="6"/>
        <v>6.6428571428571459</v>
      </c>
      <c r="AX52" s="73"/>
      <c r="AY52" s="161"/>
      <c r="AZ52" s="161"/>
      <c r="BA52" s="73" t="s">
        <v>45</v>
      </c>
      <c r="BB52" s="161">
        <v>8</v>
      </c>
      <c r="BC52" s="2327">
        <v>18.75</v>
      </c>
      <c r="BD52" s="2328">
        <f t="shared" si="7"/>
        <v>6.75</v>
      </c>
      <c r="BE52" s="73"/>
      <c r="BF52" s="2329"/>
      <c r="BG52" s="2329"/>
      <c r="BH52" s="737" t="s">
        <v>45</v>
      </c>
      <c r="BI52" s="2329">
        <v>11</v>
      </c>
      <c r="BJ52" s="2330">
        <v>17</v>
      </c>
      <c r="BK52" s="2331">
        <v>12</v>
      </c>
      <c r="BL52" s="3201">
        <f t="shared" si="8"/>
        <v>5</v>
      </c>
    </row>
    <row r="53" spans="1:64">
      <c r="A53" s="73"/>
      <c r="B53" s="73"/>
      <c r="C53" s="73" t="s">
        <v>46</v>
      </c>
      <c r="D53" s="2327">
        <v>18.38</v>
      </c>
      <c r="E53" s="161">
        <v>103</v>
      </c>
      <c r="F53" s="2263">
        <f t="shared" si="1"/>
        <v>6.379999999999999</v>
      </c>
      <c r="G53" s="2331">
        <v>12</v>
      </c>
      <c r="I53" s="163"/>
      <c r="J53" s="163"/>
      <c r="K53" s="73" t="s">
        <v>46</v>
      </c>
      <c r="L53" s="161">
        <v>19.420000000000002</v>
      </c>
      <c r="M53" s="161">
        <v>104</v>
      </c>
      <c r="N53" s="2263">
        <f t="shared" si="2"/>
        <v>7.4200000000000017</v>
      </c>
      <c r="P53" s="161"/>
      <c r="Q53" s="161"/>
      <c r="R53" s="73" t="s">
        <v>46</v>
      </c>
      <c r="S53" s="2327">
        <v>19.3</v>
      </c>
      <c r="T53" s="161">
        <v>94</v>
      </c>
      <c r="U53" s="2317">
        <f t="shared" si="9"/>
        <v>7.3000000000000007</v>
      </c>
      <c r="W53" s="1094"/>
      <c r="X53" s="1094"/>
      <c r="Y53" s="2316" t="s">
        <v>46</v>
      </c>
      <c r="Z53" s="2247">
        <v>19.411764705882348</v>
      </c>
      <c r="AA53" s="2248">
        <v>85</v>
      </c>
      <c r="AB53" s="2317">
        <f t="shared" si="3"/>
        <v>7.4117647058823479</v>
      </c>
      <c r="AD53" s="2318"/>
      <c r="AE53" s="2318"/>
      <c r="AF53" s="2319" t="s">
        <v>46</v>
      </c>
      <c r="AG53" s="2320">
        <v>76</v>
      </c>
      <c r="AH53" s="2321">
        <v>18.026315789473685</v>
      </c>
      <c r="AI53" s="2263">
        <f t="shared" si="4"/>
        <v>6.026315789473685</v>
      </c>
      <c r="AK53" s="2322"/>
      <c r="AL53" s="2322"/>
      <c r="AM53" s="2324" t="s">
        <v>46</v>
      </c>
      <c r="AN53" s="2325">
        <v>79</v>
      </c>
      <c r="AO53" s="736">
        <v>17.316455696202528</v>
      </c>
      <c r="AP53" s="2323">
        <f t="shared" si="5"/>
        <v>5.316455696202528</v>
      </c>
      <c r="AQ53" s="73"/>
      <c r="AR53" s="2322"/>
      <c r="AS53" s="2322"/>
      <c r="AT53" s="2324" t="s">
        <v>46</v>
      </c>
      <c r="AU53" s="2325">
        <v>66</v>
      </c>
      <c r="AV53" s="2326">
        <v>18.984848484848492</v>
      </c>
      <c r="AW53" s="2323">
        <f t="shared" si="6"/>
        <v>6.9848484848484915</v>
      </c>
      <c r="AX53" s="73"/>
      <c r="AY53" s="161"/>
      <c r="AZ53" s="161"/>
      <c r="BA53" s="73" t="s">
        <v>46</v>
      </c>
      <c r="BB53" s="161">
        <v>57</v>
      </c>
      <c r="BC53" s="2327">
        <v>18.508771929824565</v>
      </c>
      <c r="BD53" s="2328">
        <f t="shared" si="7"/>
        <v>6.5087719298245652</v>
      </c>
      <c r="BE53" s="73"/>
      <c r="BF53" s="2329"/>
      <c r="BG53" s="2329"/>
      <c r="BH53" s="737" t="s">
        <v>46</v>
      </c>
      <c r="BI53" s="2329">
        <v>101</v>
      </c>
      <c r="BJ53" s="2330">
        <v>18.138613861386144</v>
      </c>
      <c r="BK53" s="2331">
        <v>12</v>
      </c>
      <c r="BL53" s="3201">
        <f t="shared" si="8"/>
        <v>6.1386138613861441</v>
      </c>
    </row>
    <row r="54" spans="1:64">
      <c r="A54" s="73"/>
      <c r="B54" s="73"/>
      <c r="C54" s="73" t="s">
        <v>47</v>
      </c>
      <c r="D54" s="2327">
        <v>19.260000000000002</v>
      </c>
      <c r="E54" s="161">
        <v>78</v>
      </c>
      <c r="F54" s="2263">
        <f t="shared" si="1"/>
        <v>7.2600000000000016</v>
      </c>
      <c r="G54" s="2331">
        <v>12</v>
      </c>
      <c r="I54" s="163"/>
      <c r="J54" s="163"/>
      <c r="K54" s="73" t="s">
        <v>47</v>
      </c>
      <c r="L54" s="161">
        <v>19.350000000000001</v>
      </c>
      <c r="M54" s="161">
        <v>79</v>
      </c>
      <c r="N54" s="2263">
        <f t="shared" si="2"/>
        <v>7.3500000000000014</v>
      </c>
      <c r="P54" s="161"/>
      <c r="Q54" s="161"/>
      <c r="R54" s="73" t="s">
        <v>47</v>
      </c>
      <c r="S54" s="2327">
        <v>20.27</v>
      </c>
      <c r="T54" s="161">
        <v>96</v>
      </c>
      <c r="U54" s="2317">
        <f t="shared" si="9"/>
        <v>8.27</v>
      </c>
      <c r="W54" s="1094"/>
      <c r="X54" s="1094"/>
      <c r="Y54" s="2316" t="s">
        <v>47</v>
      </c>
      <c r="Z54" s="2247">
        <v>18.277108433734938</v>
      </c>
      <c r="AA54" s="2248">
        <v>83</v>
      </c>
      <c r="AB54" s="2317">
        <f t="shared" si="3"/>
        <v>6.2771084337349379</v>
      </c>
      <c r="AD54" s="2318"/>
      <c r="AE54" s="2318"/>
      <c r="AF54" s="2319" t="s">
        <v>47</v>
      </c>
      <c r="AG54" s="2320">
        <v>88</v>
      </c>
      <c r="AH54" s="2321">
        <v>19.909090909090914</v>
      </c>
      <c r="AI54" s="2263">
        <f t="shared" si="4"/>
        <v>7.9090909090909136</v>
      </c>
      <c r="AK54" s="2322"/>
      <c r="AL54" s="2322"/>
      <c r="AM54" s="2324" t="s">
        <v>47</v>
      </c>
      <c r="AN54" s="2325">
        <v>81</v>
      </c>
      <c r="AO54" s="736">
        <v>19.407407407407405</v>
      </c>
      <c r="AP54" s="2323">
        <f t="shared" si="5"/>
        <v>7.4074074074074048</v>
      </c>
      <c r="AQ54" s="73"/>
      <c r="AR54" s="2322"/>
      <c r="AS54" s="2322"/>
      <c r="AT54" s="2324" t="s">
        <v>47</v>
      </c>
      <c r="AU54" s="2325">
        <v>73</v>
      </c>
      <c r="AV54" s="2326">
        <v>19.534246575342461</v>
      </c>
      <c r="AW54" s="2323">
        <f t="shared" si="6"/>
        <v>7.5342465753424612</v>
      </c>
      <c r="AX54" s="73"/>
      <c r="AY54" s="161"/>
      <c r="AZ54" s="161"/>
      <c r="BA54" s="73" t="s">
        <v>47</v>
      </c>
      <c r="BB54" s="161">
        <v>74</v>
      </c>
      <c r="BC54" s="2327">
        <v>19.378378378378379</v>
      </c>
      <c r="BD54" s="2328">
        <f t="shared" si="7"/>
        <v>7.378378378378379</v>
      </c>
      <c r="BE54" s="73"/>
      <c r="BF54" s="2329"/>
      <c r="BG54" s="2329"/>
      <c r="BH54" s="737" t="s">
        <v>47</v>
      </c>
      <c r="BI54" s="2329">
        <v>67</v>
      </c>
      <c r="BJ54" s="2330">
        <v>19.358208955223883</v>
      </c>
      <c r="BK54" s="2331">
        <v>12</v>
      </c>
      <c r="BL54" s="3201">
        <f t="shared" si="8"/>
        <v>7.3582089552238834</v>
      </c>
    </row>
    <row r="55" spans="1:64">
      <c r="A55" s="73"/>
      <c r="B55" s="73"/>
      <c r="C55" s="738" t="s">
        <v>575</v>
      </c>
      <c r="D55" s="2342">
        <v>18.07</v>
      </c>
      <c r="E55" s="4603">
        <v>448</v>
      </c>
      <c r="F55" s="3210">
        <f t="shared" si="1"/>
        <v>6.07</v>
      </c>
      <c r="G55" s="2331">
        <v>12</v>
      </c>
      <c r="I55" s="163"/>
      <c r="J55" s="163"/>
      <c r="K55" s="738" t="s">
        <v>575</v>
      </c>
      <c r="L55" s="151">
        <v>18.649999999999999</v>
      </c>
      <c r="M55" s="151">
        <v>455</v>
      </c>
      <c r="N55" s="3210">
        <f t="shared" si="2"/>
        <v>6.6499999999999986</v>
      </c>
      <c r="P55" s="161"/>
      <c r="Q55" s="161"/>
      <c r="R55" s="738" t="s">
        <v>575</v>
      </c>
      <c r="S55" s="2342">
        <v>19.12</v>
      </c>
      <c r="T55" s="151">
        <v>433</v>
      </c>
      <c r="U55" s="2596">
        <f t="shared" si="9"/>
        <v>7.120000000000001</v>
      </c>
      <c r="W55" s="1094"/>
      <c r="X55" s="1094"/>
      <c r="Y55" s="2332" t="s">
        <v>575</v>
      </c>
      <c r="Z55" s="2333">
        <v>18.592207792207788</v>
      </c>
      <c r="AA55" s="2334">
        <v>385</v>
      </c>
      <c r="AB55" s="2317">
        <f t="shared" si="3"/>
        <v>6.5922077922077875</v>
      </c>
      <c r="AD55" s="2318"/>
      <c r="AE55" s="2318"/>
      <c r="AF55" s="2335" t="s">
        <v>575</v>
      </c>
      <c r="AG55" s="2336">
        <v>345</v>
      </c>
      <c r="AH55" s="2337">
        <v>18.571014492753633</v>
      </c>
      <c r="AI55" s="2263">
        <f t="shared" si="4"/>
        <v>6.5710144927536334</v>
      </c>
      <c r="AK55" s="2322"/>
      <c r="AL55" s="2322"/>
      <c r="AM55" s="2338" t="s">
        <v>575</v>
      </c>
      <c r="AN55" s="2339">
        <f>SUM(AN49:AN54)</f>
        <v>354</v>
      </c>
      <c r="AO55" s="739">
        <v>18.440000000000001</v>
      </c>
      <c r="AP55" s="2341">
        <f t="shared" si="5"/>
        <v>6.4400000000000013</v>
      </c>
      <c r="AQ55" s="73"/>
      <c r="AR55" s="2322"/>
      <c r="AS55" s="2322"/>
      <c r="AT55" s="2338" t="s">
        <v>575</v>
      </c>
      <c r="AU55" s="2339">
        <v>297</v>
      </c>
      <c r="AV55" s="2340">
        <v>18.737373737373733</v>
      </c>
      <c r="AW55" s="2341">
        <f t="shared" si="6"/>
        <v>6.7373737373737335</v>
      </c>
      <c r="AX55" s="73"/>
      <c r="AY55" s="161"/>
      <c r="AZ55" s="161"/>
      <c r="BA55" s="738" t="s">
        <v>15</v>
      </c>
      <c r="BB55" s="151">
        <v>255</v>
      </c>
      <c r="BC55" s="2342">
        <v>18.494117647058808</v>
      </c>
      <c r="BD55" s="2343">
        <f t="shared" si="7"/>
        <v>6.4941176470588076</v>
      </c>
      <c r="BE55" s="73"/>
      <c r="BF55" s="2329"/>
      <c r="BG55" s="2329"/>
      <c r="BH55" s="2344" t="s">
        <v>15</v>
      </c>
      <c r="BI55" s="2345">
        <v>303</v>
      </c>
      <c r="BJ55" s="2346">
        <v>18.31683168316831</v>
      </c>
      <c r="BK55" s="2331">
        <v>12</v>
      </c>
      <c r="BL55" s="3202">
        <f t="shared" si="8"/>
        <v>6.31683168316831</v>
      </c>
    </row>
    <row r="56" spans="1:64">
      <c r="A56" s="4616"/>
      <c r="B56" s="4616"/>
      <c r="C56" s="4617" t="s">
        <v>111</v>
      </c>
      <c r="D56" s="4618">
        <v>17.989999999999998</v>
      </c>
      <c r="E56" s="4619">
        <v>1276</v>
      </c>
      <c r="F56" s="3211">
        <f t="shared" si="1"/>
        <v>5.9899999999999984</v>
      </c>
      <c r="G56" s="2362">
        <v>12</v>
      </c>
      <c r="I56" s="2630"/>
      <c r="J56" s="2630"/>
      <c r="K56" s="2593" t="s">
        <v>111</v>
      </c>
      <c r="L56" s="2595">
        <v>17.989999999999998</v>
      </c>
      <c r="M56" s="2595">
        <v>1256</v>
      </c>
      <c r="N56" s="3211">
        <f t="shared" si="2"/>
        <v>5.9899999999999984</v>
      </c>
      <c r="P56" s="2598"/>
      <c r="Q56" s="2598"/>
      <c r="R56" s="2593" t="s">
        <v>111</v>
      </c>
      <c r="S56" s="2594">
        <v>18</v>
      </c>
      <c r="T56" s="2595">
        <v>1192</v>
      </c>
      <c r="U56" s="2597">
        <f t="shared" si="9"/>
        <v>6</v>
      </c>
      <c r="W56" s="1094"/>
      <c r="X56" s="1094"/>
      <c r="Y56" s="2332" t="s">
        <v>111</v>
      </c>
      <c r="Z56" s="2333">
        <v>18.018551236749143</v>
      </c>
      <c r="AA56" s="2334">
        <v>1132</v>
      </c>
      <c r="AB56" s="2347">
        <f t="shared" si="3"/>
        <v>6.0185512367491434</v>
      </c>
      <c r="AD56" s="2348"/>
      <c r="AE56" s="2348"/>
      <c r="AF56" s="2349" t="s">
        <v>111</v>
      </c>
      <c r="AG56" s="2350">
        <v>1109</v>
      </c>
      <c r="AH56" s="2351">
        <v>17.979260595130754</v>
      </c>
      <c r="AI56" s="2352">
        <f t="shared" si="4"/>
        <v>5.9792605951307536</v>
      </c>
      <c r="AK56" s="2322"/>
      <c r="AL56" s="2322"/>
      <c r="AM56" s="2338" t="s">
        <v>111</v>
      </c>
      <c r="AN56" s="2339">
        <f>SUM(AN55,AN48,AN36)</f>
        <v>1185</v>
      </c>
      <c r="AO56" s="739">
        <v>17.54</v>
      </c>
      <c r="AP56" s="2341">
        <f t="shared" si="5"/>
        <v>5.5399999999999991</v>
      </c>
      <c r="AQ56" s="73"/>
      <c r="AR56" s="2322"/>
      <c r="AS56" s="2322"/>
      <c r="AT56" s="2338" t="s">
        <v>111</v>
      </c>
      <c r="AU56" s="2339">
        <v>1064</v>
      </c>
      <c r="AV56" s="2340">
        <v>17.710526315789497</v>
      </c>
      <c r="AW56" s="2341">
        <f t="shared" si="6"/>
        <v>5.7105263157894974</v>
      </c>
      <c r="AX56" s="73"/>
      <c r="AY56" s="2353"/>
      <c r="AZ56" s="2353"/>
      <c r="BA56" s="2354" t="s">
        <v>111</v>
      </c>
      <c r="BB56" s="2355">
        <v>916</v>
      </c>
      <c r="BC56" s="2356">
        <v>17.68449781659389</v>
      </c>
      <c r="BD56" s="2357">
        <f t="shared" si="7"/>
        <v>5.6844978165938898</v>
      </c>
      <c r="BE56" s="73"/>
      <c r="BF56" s="2358"/>
      <c r="BG56" s="2358"/>
      <c r="BH56" s="2359" t="s">
        <v>111</v>
      </c>
      <c r="BI56" s="2360">
        <v>1089</v>
      </c>
      <c r="BJ56" s="2361">
        <v>17.807162534435271</v>
      </c>
      <c r="BK56" s="2362">
        <v>12</v>
      </c>
      <c r="BL56" s="3203">
        <f t="shared" si="8"/>
        <v>5.8071625344352711</v>
      </c>
    </row>
    <row r="57" spans="1:64">
      <c r="A57" s="73" t="s">
        <v>48</v>
      </c>
      <c r="B57" s="73" t="s">
        <v>16</v>
      </c>
      <c r="C57" s="73" t="s">
        <v>17</v>
      </c>
      <c r="D57" s="2327">
        <v>14.7</v>
      </c>
      <c r="E57" s="161">
        <v>140</v>
      </c>
      <c r="F57" s="2263">
        <f t="shared" si="1"/>
        <v>2.6999999999999993</v>
      </c>
      <c r="G57" s="2331">
        <v>12</v>
      </c>
      <c r="I57" s="163" t="s">
        <v>48</v>
      </c>
      <c r="J57" s="163" t="s">
        <v>16</v>
      </c>
      <c r="K57" s="73" t="s">
        <v>17</v>
      </c>
      <c r="L57" s="161">
        <v>14.41</v>
      </c>
      <c r="M57" s="161">
        <v>103</v>
      </c>
      <c r="N57" s="2263">
        <f t="shared" si="2"/>
        <v>2.41</v>
      </c>
      <c r="P57" s="161" t="s">
        <v>48</v>
      </c>
      <c r="Q57" s="161" t="s">
        <v>16</v>
      </c>
      <c r="R57" s="73" t="s">
        <v>17</v>
      </c>
      <c r="S57" s="2327">
        <v>14.4</v>
      </c>
      <c r="T57" s="161">
        <v>124</v>
      </c>
      <c r="U57" s="2317">
        <f t="shared" si="9"/>
        <v>2.4000000000000004</v>
      </c>
      <c r="W57" s="2236" t="s">
        <v>48</v>
      </c>
      <c r="X57" s="2236" t="s">
        <v>16</v>
      </c>
      <c r="Y57" s="2363" t="s">
        <v>17</v>
      </c>
      <c r="Z57" s="2364">
        <v>14.330357142857144</v>
      </c>
      <c r="AA57" s="2365">
        <v>112</v>
      </c>
      <c r="AB57" s="2317">
        <f t="shared" si="3"/>
        <v>2.3303571428571441</v>
      </c>
      <c r="AD57" s="2318" t="s">
        <v>48</v>
      </c>
      <c r="AE57" s="2318" t="s">
        <v>16</v>
      </c>
      <c r="AF57" s="2319" t="s">
        <v>17</v>
      </c>
      <c r="AG57" s="2320">
        <v>106</v>
      </c>
      <c r="AH57" s="2321">
        <v>14.433962264150949</v>
      </c>
      <c r="AI57" s="2263">
        <f t="shared" si="4"/>
        <v>2.4339622641509493</v>
      </c>
      <c r="AK57" s="2366" t="s">
        <v>48</v>
      </c>
      <c r="AL57" s="2366" t="s">
        <v>16</v>
      </c>
      <c r="AM57" s="2367" t="s">
        <v>17</v>
      </c>
      <c r="AN57" s="2368">
        <v>149</v>
      </c>
      <c r="AO57" s="2369">
        <v>14.19463087248322</v>
      </c>
      <c r="AP57" s="2370">
        <f t="shared" si="5"/>
        <v>2.19463087248322</v>
      </c>
      <c r="AQ57" s="73"/>
      <c r="AR57" s="2366" t="s">
        <v>48</v>
      </c>
      <c r="AS57" s="2366" t="s">
        <v>16</v>
      </c>
      <c r="AT57" s="2367" t="s">
        <v>17</v>
      </c>
      <c r="AU57" s="2368">
        <v>130</v>
      </c>
      <c r="AV57" s="2369">
        <v>14.446153846153846</v>
      </c>
      <c r="AW57" s="2370">
        <f t="shared" si="6"/>
        <v>2.4461538461538463</v>
      </c>
      <c r="AX57" s="73"/>
      <c r="AY57" s="161" t="s">
        <v>48</v>
      </c>
      <c r="AZ57" s="161" t="s">
        <v>16</v>
      </c>
      <c r="BA57" s="73" t="s">
        <v>17</v>
      </c>
      <c r="BB57" s="161">
        <v>119</v>
      </c>
      <c r="BC57" s="2327">
        <v>14.277310924369747</v>
      </c>
      <c r="BD57" s="2328">
        <f t="shared" si="7"/>
        <v>2.2773109243697469</v>
      </c>
      <c r="BE57" s="73"/>
      <c r="BF57" s="2329" t="s">
        <v>48</v>
      </c>
      <c r="BG57" s="2329" t="s">
        <v>16</v>
      </c>
      <c r="BH57" s="737" t="s">
        <v>17</v>
      </c>
      <c r="BI57" s="2329">
        <v>113</v>
      </c>
      <c r="BJ57" s="2330">
        <v>14</v>
      </c>
      <c r="BK57" s="2331">
        <v>12</v>
      </c>
      <c r="BL57" s="3201">
        <f t="shared" si="8"/>
        <v>2</v>
      </c>
    </row>
    <row r="58" spans="1:64">
      <c r="A58" s="73"/>
      <c r="B58" s="73"/>
      <c r="C58" s="73" t="s">
        <v>49</v>
      </c>
      <c r="D58" s="2327">
        <v>12.91</v>
      </c>
      <c r="E58" s="161">
        <v>160</v>
      </c>
      <c r="F58" s="2263">
        <f t="shared" si="1"/>
        <v>0.91000000000000014</v>
      </c>
      <c r="G58" s="2331">
        <v>12</v>
      </c>
      <c r="I58" s="163"/>
      <c r="J58" s="163"/>
      <c r="K58" s="73" t="s">
        <v>49</v>
      </c>
      <c r="L58" s="161">
        <v>12.98</v>
      </c>
      <c r="M58" s="161">
        <v>172</v>
      </c>
      <c r="N58" s="2263">
        <f t="shared" si="2"/>
        <v>0.98000000000000043</v>
      </c>
      <c r="P58" s="161"/>
      <c r="Q58" s="161"/>
      <c r="R58" s="73" t="s">
        <v>49</v>
      </c>
      <c r="S58" s="2327">
        <v>12.98</v>
      </c>
      <c r="T58" s="161">
        <v>182</v>
      </c>
      <c r="U58" s="2317">
        <f t="shared" si="9"/>
        <v>0.98000000000000043</v>
      </c>
      <c r="W58" s="1094"/>
      <c r="X58" s="1094"/>
      <c r="Y58" s="2316" t="s">
        <v>49</v>
      </c>
      <c r="Z58" s="2247">
        <v>13.064327485380122</v>
      </c>
      <c r="AA58" s="2248">
        <v>171</v>
      </c>
      <c r="AB58" s="2317">
        <f t="shared" si="3"/>
        <v>1.0643274853801223</v>
      </c>
      <c r="AD58" s="2318"/>
      <c r="AE58" s="2318"/>
      <c r="AF58" s="2319" t="s">
        <v>49</v>
      </c>
      <c r="AG58" s="2320">
        <v>174</v>
      </c>
      <c r="AH58" s="2321">
        <v>12.712643678160918</v>
      </c>
      <c r="AI58" s="2263">
        <f t="shared" si="4"/>
        <v>0.71264367816091756</v>
      </c>
      <c r="AK58" s="2322"/>
      <c r="AL58" s="2322"/>
      <c r="AM58" s="2324" t="s">
        <v>49</v>
      </c>
      <c r="AN58" s="2325">
        <v>177</v>
      </c>
      <c r="AO58" s="2326">
        <v>12.824858757062147</v>
      </c>
      <c r="AP58" s="2323">
        <f t="shared" si="5"/>
        <v>0.82485875706214706</v>
      </c>
      <c r="AQ58" s="73"/>
      <c r="AR58" s="2322"/>
      <c r="AS58" s="2322"/>
      <c r="AT58" s="2324" t="s">
        <v>49</v>
      </c>
      <c r="AU58" s="2325">
        <v>170</v>
      </c>
      <c r="AV58" s="2326">
        <v>12.741176470588231</v>
      </c>
      <c r="AW58" s="2323">
        <f t="shared" si="6"/>
        <v>0.74117647058823088</v>
      </c>
      <c r="AX58" s="73"/>
      <c r="AY58" s="161"/>
      <c r="AZ58" s="161"/>
      <c r="BA58" s="73" t="s">
        <v>49</v>
      </c>
      <c r="BB58" s="161">
        <v>176</v>
      </c>
      <c r="BC58" s="2327">
        <v>12.97727272727273</v>
      </c>
      <c r="BD58" s="2328">
        <f t="shared" si="7"/>
        <v>0.97727272727273018</v>
      </c>
      <c r="BE58" s="73"/>
      <c r="BF58" s="2329"/>
      <c r="BG58" s="2329"/>
      <c r="BH58" s="737" t="s">
        <v>49</v>
      </c>
      <c r="BI58" s="2329">
        <v>193</v>
      </c>
      <c r="BJ58" s="2330">
        <v>13.165803108808294</v>
      </c>
      <c r="BK58" s="2331">
        <v>12</v>
      </c>
      <c r="BL58" s="3201">
        <f t="shared" si="8"/>
        <v>1.1658031088082943</v>
      </c>
    </row>
    <row r="59" spans="1:64">
      <c r="A59" s="73"/>
      <c r="B59" s="73"/>
      <c r="C59" s="73" t="s">
        <v>19</v>
      </c>
      <c r="D59" s="2327">
        <v>16.829999999999998</v>
      </c>
      <c r="E59" s="161">
        <v>130</v>
      </c>
      <c r="F59" s="2263">
        <f t="shared" si="1"/>
        <v>4.8299999999999983</v>
      </c>
      <c r="G59" s="2331">
        <v>12</v>
      </c>
      <c r="I59" s="163"/>
      <c r="J59" s="163"/>
      <c r="K59" s="73" t="s">
        <v>19</v>
      </c>
      <c r="L59" s="161">
        <v>15.97</v>
      </c>
      <c r="M59" s="161">
        <v>66</v>
      </c>
      <c r="N59" s="2263">
        <f t="shared" si="2"/>
        <v>3.9700000000000006</v>
      </c>
      <c r="P59" s="161"/>
      <c r="Q59" s="161"/>
      <c r="R59" s="73" t="s">
        <v>19</v>
      </c>
      <c r="S59" s="2327">
        <v>15.42</v>
      </c>
      <c r="T59" s="161">
        <v>95</v>
      </c>
      <c r="U59" s="2317">
        <f t="shared" si="9"/>
        <v>3.42</v>
      </c>
      <c r="W59" s="1094"/>
      <c r="X59" s="1094"/>
      <c r="Y59" s="2316" t="s">
        <v>19</v>
      </c>
      <c r="Z59" s="2247">
        <v>16.012345679012338</v>
      </c>
      <c r="AA59" s="2248">
        <v>81</v>
      </c>
      <c r="AB59" s="2317">
        <f t="shared" si="3"/>
        <v>4.0123456790123377</v>
      </c>
      <c r="AD59" s="2318"/>
      <c r="AE59" s="2318"/>
      <c r="AF59" s="2319" t="s">
        <v>19</v>
      </c>
      <c r="AG59" s="2320">
        <v>74</v>
      </c>
      <c r="AH59" s="2321">
        <v>15.783783783783784</v>
      </c>
      <c r="AI59" s="2263">
        <f t="shared" si="4"/>
        <v>3.7837837837837842</v>
      </c>
      <c r="AK59" s="2322"/>
      <c r="AL59" s="2322"/>
      <c r="AM59" s="2324" t="s">
        <v>19</v>
      </c>
      <c r="AN59" s="2325">
        <v>62</v>
      </c>
      <c r="AO59" s="2326">
        <v>15.741935483870966</v>
      </c>
      <c r="AP59" s="2323">
        <f t="shared" si="5"/>
        <v>3.7419354838709662</v>
      </c>
      <c r="AQ59" s="73"/>
      <c r="AR59" s="2322"/>
      <c r="AS59" s="2322"/>
      <c r="AT59" s="2324" t="s">
        <v>19</v>
      </c>
      <c r="AU59" s="2325">
        <v>81</v>
      </c>
      <c r="AV59" s="2326">
        <v>14.839506172839505</v>
      </c>
      <c r="AW59" s="2323">
        <f t="shared" si="6"/>
        <v>2.8395061728395046</v>
      </c>
      <c r="AX59" s="73"/>
      <c r="AY59" s="161"/>
      <c r="AZ59" s="161"/>
      <c r="BA59" s="73" t="s">
        <v>19</v>
      </c>
      <c r="BB59" s="161">
        <v>78</v>
      </c>
      <c r="BC59" s="2327">
        <v>15.102564102564102</v>
      </c>
      <c r="BD59" s="2328">
        <f t="shared" si="7"/>
        <v>3.1025641025641022</v>
      </c>
      <c r="BE59" s="73"/>
      <c r="BF59" s="2329"/>
      <c r="BG59" s="2329"/>
      <c r="BH59" s="737" t="s">
        <v>19</v>
      </c>
      <c r="BI59" s="2329">
        <v>126</v>
      </c>
      <c r="BJ59" s="2330">
        <v>15.285714285714278</v>
      </c>
      <c r="BK59" s="2331">
        <v>12</v>
      </c>
      <c r="BL59" s="3201">
        <f t="shared" si="8"/>
        <v>3.2857142857142776</v>
      </c>
    </row>
    <row r="60" spans="1:64">
      <c r="A60" s="73"/>
      <c r="B60" s="73"/>
      <c r="C60" s="73" t="s">
        <v>50</v>
      </c>
      <c r="D60" s="2327">
        <v>12.78</v>
      </c>
      <c r="E60" s="161">
        <v>258</v>
      </c>
      <c r="F60" s="2263">
        <f t="shared" si="1"/>
        <v>0.77999999999999936</v>
      </c>
      <c r="G60" s="2331">
        <v>12</v>
      </c>
      <c r="I60" s="163"/>
      <c r="J60" s="163"/>
      <c r="K60" s="73" t="s">
        <v>50</v>
      </c>
      <c r="L60" s="161">
        <v>12.95</v>
      </c>
      <c r="M60" s="161">
        <v>282</v>
      </c>
      <c r="N60" s="2263">
        <f t="shared" si="2"/>
        <v>0.94999999999999929</v>
      </c>
      <c r="P60" s="161"/>
      <c r="Q60" s="161"/>
      <c r="R60" s="73" t="s">
        <v>50</v>
      </c>
      <c r="S60" s="2327">
        <v>12.8</v>
      </c>
      <c r="T60" s="161">
        <v>304</v>
      </c>
      <c r="U60" s="2317">
        <f t="shared" si="9"/>
        <v>0.80000000000000071</v>
      </c>
      <c r="W60" s="1094"/>
      <c r="X60" s="1094"/>
      <c r="Y60" s="2316" t="s">
        <v>50</v>
      </c>
      <c r="Z60" s="2247">
        <v>12.810526315789465</v>
      </c>
      <c r="AA60" s="2248">
        <v>285</v>
      </c>
      <c r="AB60" s="2317">
        <f t="shared" si="3"/>
        <v>0.8105263157894651</v>
      </c>
      <c r="AD60" s="2318"/>
      <c r="AE60" s="2318"/>
      <c r="AF60" s="2319" t="s">
        <v>50</v>
      </c>
      <c r="AG60" s="2320">
        <v>295</v>
      </c>
      <c r="AH60" s="2321">
        <v>12.64745762711865</v>
      </c>
      <c r="AI60" s="2263">
        <f t="shared" si="4"/>
        <v>0.64745762711864963</v>
      </c>
      <c r="AK60" s="2322"/>
      <c r="AL60" s="2322"/>
      <c r="AM60" s="2324" t="s">
        <v>50</v>
      </c>
      <c r="AN60" s="2325">
        <v>333</v>
      </c>
      <c r="AO60" s="2326">
        <v>12.840840840840839</v>
      </c>
      <c r="AP60" s="2323">
        <f t="shared" si="5"/>
        <v>0.84084084084083877</v>
      </c>
      <c r="AQ60" s="73"/>
      <c r="AR60" s="2322"/>
      <c r="AS60" s="2322"/>
      <c r="AT60" s="2324" t="s">
        <v>50</v>
      </c>
      <c r="AU60" s="2325">
        <v>260</v>
      </c>
      <c r="AV60" s="2326">
        <v>12.734615384615385</v>
      </c>
      <c r="AW60" s="2323">
        <f t="shared" si="6"/>
        <v>0.73461538461538467</v>
      </c>
      <c r="AX60" s="73"/>
      <c r="AY60" s="161"/>
      <c r="AZ60" s="161"/>
      <c r="BA60" s="73" t="s">
        <v>50</v>
      </c>
      <c r="BB60" s="161">
        <v>274</v>
      </c>
      <c r="BC60" s="2327">
        <v>12.93795620437956</v>
      </c>
      <c r="BD60" s="2328">
        <f t="shared" si="7"/>
        <v>0.93795620437956018</v>
      </c>
      <c r="BE60" s="73"/>
      <c r="BF60" s="2329"/>
      <c r="BG60" s="2329"/>
      <c r="BH60" s="737" t="s">
        <v>50</v>
      </c>
      <c r="BI60" s="2329">
        <v>288</v>
      </c>
      <c r="BJ60" s="2330">
        <v>12.875</v>
      </c>
      <c r="BK60" s="2331">
        <v>12</v>
      </c>
      <c r="BL60" s="3201">
        <f t="shared" si="8"/>
        <v>0.875</v>
      </c>
    </row>
    <row r="61" spans="1:64">
      <c r="A61" s="73"/>
      <c r="B61" s="73"/>
      <c r="C61" s="73" t="s">
        <v>20</v>
      </c>
      <c r="D61" s="2327">
        <v>14.03</v>
      </c>
      <c r="E61" s="161">
        <v>121</v>
      </c>
      <c r="F61" s="2263">
        <f t="shared" si="1"/>
        <v>2.0299999999999994</v>
      </c>
      <c r="G61" s="2331">
        <v>12</v>
      </c>
      <c r="I61" s="163"/>
      <c r="J61" s="163"/>
      <c r="K61" s="73" t="s">
        <v>20</v>
      </c>
      <c r="L61" s="161">
        <v>13.32</v>
      </c>
      <c r="M61" s="161">
        <v>90</v>
      </c>
      <c r="N61" s="2263">
        <f t="shared" si="2"/>
        <v>1.3200000000000003</v>
      </c>
      <c r="P61" s="161"/>
      <c r="Q61" s="161"/>
      <c r="R61" s="73" t="s">
        <v>20</v>
      </c>
      <c r="S61" s="2327">
        <v>13.78</v>
      </c>
      <c r="T61" s="161">
        <v>115</v>
      </c>
      <c r="U61" s="2317">
        <f t="shared" si="9"/>
        <v>1.7799999999999994</v>
      </c>
      <c r="W61" s="1094"/>
      <c r="X61" s="1094"/>
      <c r="Y61" s="2316" t="s">
        <v>20</v>
      </c>
      <c r="Z61" s="2247">
        <v>13.330708661417322</v>
      </c>
      <c r="AA61" s="2248">
        <v>127</v>
      </c>
      <c r="AB61" s="2317">
        <f t="shared" si="3"/>
        <v>1.3307086614173222</v>
      </c>
      <c r="AD61" s="2318"/>
      <c r="AE61" s="2318"/>
      <c r="AF61" s="2319" t="s">
        <v>20</v>
      </c>
      <c r="AG61" s="2320">
        <v>117</v>
      </c>
      <c r="AH61" s="2321">
        <v>13.401709401709402</v>
      </c>
      <c r="AI61" s="2263">
        <f t="shared" si="4"/>
        <v>1.4017094017094021</v>
      </c>
      <c r="AK61" s="2322"/>
      <c r="AL61" s="2322"/>
      <c r="AM61" s="2324" t="s">
        <v>20</v>
      </c>
      <c r="AN61" s="2325">
        <v>134</v>
      </c>
      <c r="AO61" s="2326">
        <v>13.522388059701496</v>
      </c>
      <c r="AP61" s="2323">
        <f t="shared" si="5"/>
        <v>1.5223880597014965</v>
      </c>
      <c r="AQ61" s="73"/>
      <c r="AR61" s="2322"/>
      <c r="AS61" s="2322"/>
      <c r="AT61" s="2324" t="s">
        <v>20</v>
      </c>
      <c r="AU61" s="2325">
        <v>107</v>
      </c>
      <c r="AV61" s="2326">
        <v>13.560747663551401</v>
      </c>
      <c r="AW61" s="2323">
        <f t="shared" si="6"/>
        <v>1.5607476635514015</v>
      </c>
      <c r="AX61" s="73"/>
      <c r="AY61" s="161"/>
      <c r="AZ61" s="161"/>
      <c r="BA61" s="73" t="s">
        <v>20</v>
      </c>
      <c r="BB61" s="161">
        <v>116</v>
      </c>
      <c r="BC61" s="2327">
        <v>13.232758620689658</v>
      </c>
      <c r="BD61" s="2328">
        <f t="shared" si="7"/>
        <v>1.2327586206896584</v>
      </c>
      <c r="BE61" s="73"/>
      <c r="BF61" s="2329"/>
      <c r="BG61" s="2329"/>
      <c r="BH61" s="737" t="s">
        <v>20</v>
      </c>
      <c r="BI61" s="2329">
        <v>119</v>
      </c>
      <c r="BJ61" s="2330">
        <v>13.142857142857139</v>
      </c>
      <c r="BK61" s="2331">
        <v>12</v>
      </c>
      <c r="BL61" s="3201">
        <f t="shared" si="8"/>
        <v>1.1428571428571388</v>
      </c>
    </row>
    <row r="62" spans="1:64">
      <c r="A62" s="73"/>
      <c r="B62" s="73"/>
      <c r="C62" s="73" t="s">
        <v>51</v>
      </c>
      <c r="D62" s="2327">
        <v>12.77</v>
      </c>
      <c r="E62" s="161">
        <v>44</v>
      </c>
      <c r="F62" s="2263">
        <f t="shared" si="1"/>
        <v>0.76999999999999957</v>
      </c>
      <c r="G62" s="2331">
        <v>12</v>
      </c>
      <c r="I62" s="163"/>
      <c r="J62" s="163"/>
      <c r="K62" s="73" t="s">
        <v>51</v>
      </c>
      <c r="L62" s="161">
        <v>14.11</v>
      </c>
      <c r="M62" s="161">
        <v>47</v>
      </c>
      <c r="N62" s="2263">
        <f t="shared" si="2"/>
        <v>2.1099999999999994</v>
      </c>
      <c r="P62" s="161"/>
      <c r="Q62" s="161"/>
      <c r="R62" s="73" t="s">
        <v>51</v>
      </c>
      <c r="S62" s="2327">
        <v>13.8</v>
      </c>
      <c r="T62" s="161">
        <v>45</v>
      </c>
      <c r="U62" s="2317">
        <f t="shared" si="9"/>
        <v>1.8000000000000007</v>
      </c>
      <c r="W62" s="1094"/>
      <c r="X62" s="1094"/>
      <c r="Y62" s="2316" t="s">
        <v>51</v>
      </c>
      <c r="Z62" s="2247">
        <v>13.575757575757576</v>
      </c>
      <c r="AA62" s="2248">
        <v>33</v>
      </c>
      <c r="AB62" s="2317">
        <f t="shared" si="3"/>
        <v>1.5757575757575761</v>
      </c>
      <c r="AD62" s="2318"/>
      <c r="AE62" s="2318"/>
      <c r="AF62" s="2319" t="s">
        <v>51</v>
      </c>
      <c r="AG62" s="2320">
        <v>42</v>
      </c>
      <c r="AH62" s="2321">
        <v>13.404761904761902</v>
      </c>
      <c r="AI62" s="2263">
        <f t="shared" si="4"/>
        <v>1.4047619047619015</v>
      </c>
      <c r="AK62" s="2322"/>
      <c r="AL62" s="2322"/>
      <c r="AM62" s="2324" t="s">
        <v>51</v>
      </c>
      <c r="AN62" s="2325">
        <v>55</v>
      </c>
      <c r="AO62" s="2326">
        <v>13.818181818181818</v>
      </c>
      <c r="AP62" s="2323">
        <f t="shared" si="5"/>
        <v>1.8181818181818183</v>
      </c>
      <c r="AQ62" s="73"/>
      <c r="AR62" s="2322"/>
      <c r="AS62" s="2322"/>
      <c r="AT62" s="2324" t="s">
        <v>51</v>
      </c>
      <c r="AU62" s="2325">
        <v>46</v>
      </c>
      <c r="AV62" s="2326">
        <v>13.978260869565215</v>
      </c>
      <c r="AW62" s="2323">
        <f t="shared" si="6"/>
        <v>1.9782608695652151</v>
      </c>
      <c r="AX62" s="73"/>
      <c r="AY62" s="161"/>
      <c r="AZ62" s="161"/>
      <c r="BA62" s="73" t="s">
        <v>51</v>
      </c>
      <c r="BB62" s="161">
        <v>53</v>
      </c>
      <c r="BC62" s="2327">
        <v>13.679245283018865</v>
      </c>
      <c r="BD62" s="2328">
        <f t="shared" si="7"/>
        <v>1.6792452830188651</v>
      </c>
      <c r="BE62" s="73"/>
      <c r="BF62" s="2329"/>
      <c r="BG62" s="2329"/>
      <c r="BH62" s="737" t="s">
        <v>51</v>
      </c>
      <c r="BI62" s="2329">
        <v>46</v>
      </c>
      <c r="BJ62" s="2330">
        <v>13.695652173913041</v>
      </c>
      <c r="BK62" s="2331">
        <v>12</v>
      </c>
      <c r="BL62" s="3201">
        <f t="shared" si="8"/>
        <v>1.6956521739130412</v>
      </c>
    </row>
    <row r="63" spans="1:64">
      <c r="A63" s="73"/>
      <c r="B63" s="73"/>
      <c r="C63" s="738" t="s">
        <v>573</v>
      </c>
      <c r="D63" s="2342">
        <v>13.91</v>
      </c>
      <c r="E63" s="4603">
        <v>853</v>
      </c>
      <c r="F63" s="3210">
        <f t="shared" si="1"/>
        <v>1.9100000000000001</v>
      </c>
      <c r="G63" s="2331">
        <v>12</v>
      </c>
      <c r="I63" s="163"/>
      <c r="J63" s="163"/>
      <c r="K63" s="738" t="s">
        <v>573</v>
      </c>
      <c r="L63" s="151">
        <v>13.53</v>
      </c>
      <c r="M63" s="151">
        <v>760</v>
      </c>
      <c r="N63" s="3210">
        <f t="shared" si="2"/>
        <v>1.5299999999999994</v>
      </c>
      <c r="P63" s="161"/>
      <c r="Q63" s="161"/>
      <c r="R63" s="738" t="s">
        <v>573</v>
      </c>
      <c r="S63" s="2342">
        <v>13.54</v>
      </c>
      <c r="T63" s="151">
        <v>865</v>
      </c>
      <c r="U63" s="2596">
        <f t="shared" si="9"/>
        <v>1.5399999999999991</v>
      </c>
      <c r="W63" s="1094"/>
      <c r="X63" s="1094"/>
      <c r="Y63" s="2332" t="s">
        <v>573</v>
      </c>
      <c r="Z63" s="2333">
        <v>13.508034610630425</v>
      </c>
      <c r="AA63" s="2334">
        <v>809</v>
      </c>
      <c r="AB63" s="2317">
        <f t="shared" si="3"/>
        <v>1.5080346106304248</v>
      </c>
      <c r="AD63" s="2318"/>
      <c r="AE63" s="2318"/>
      <c r="AF63" s="2335" t="s">
        <v>573</v>
      </c>
      <c r="AG63" s="2336">
        <v>808</v>
      </c>
      <c r="AH63" s="2337">
        <v>13.331683168316831</v>
      </c>
      <c r="AI63" s="2263">
        <f t="shared" si="4"/>
        <v>1.3316831683168306</v>
      </c>
      <c r="AK63" s="2322"/>
      <c r="AL63" s="2322"/>
      <c r="AM63" s="2338" t="s">
        <v>573</v>
      </c>
      <c r="AN63" s="2339">
        <f>SUM(AN57:AN62)</f>
        <v>910</v>
      </c>
      <c r="AO63" s="2340">
        <v>13.42</v>
      </c>
      <c r="AP63" s="2341">
        <f t="shared" si="5"/>
        <v>1.42</v>
      </c>
      <c r="AQ63" s="73"/>
      <c r="AR63" s="2322"/>
      <c r="AS63" s="2322"/>
      <c r="AT63" s="2338" t="s">
        <v>573</v>
      </c>
      <c r="AU63" s="2339">
        <v>794</v>
      </c>
      <c r="AV63" s="2340">
        <v>13.414357682619642</v>
      </c>
      <c r="AW63" s="2341">
        <f t="shared" si="6"/>
        <v>1.4143576826196416</v>
      </c>
      <c r="AX63" s="73"/>
      <c r="AY63" s="161"/>
      <c r="AZ63" s="161"/>
      <c r="BA63" s="738" t="s">
        <v>15</v>
      </c>
      <c r="BB63" s="151">
        <v>816</v>
      </c>
      <c r="BC63" s="2342">
        <v>13.438725490196065</v>
      </c>
      <c r="BD63" s="2343">
        <f t="shared" si="7"/>
        <v>1.4387254901960649</v>
      </c>
      <c r="BE63" s="73"/>
      <c r="BF63" s="2329"/>
      <c r="BG63" s="2329"/>
      <c r="BH63" s="2344" t="s">
        <v>15</v>
      </c>
      <c r="BI63" s="2345">
        <v>885</v>
      </c>
      <c r="BJ63" s="2346">
        <v>13.503954802259878</v>
      </c>
      <c r="BK63" s="2331">
        <v>12</v>
      </c>
      <c r="BL63" s="3202">
        <f t="shared" si="8"/>
        <v>1.5039548022598783</v>
      </c>
    </row>
    <row r="64" spans="1:64">
      <c r="A64" s="73"/>
      <c r="B64" s="73" t="s">
        <v>41</v>
      </c>
      <c r="C64" s="73" t="s">
        <v>42</v>
      </c>
      <c r="D64" s="2327">
        <v>13.56</v>
      </c>
      <c r="E64" s="161">
        <v>166</v>
      </c>
      <c r="F64" s="2263">
        <f t="shared" si="1"/>
        <v>1.5600000000000005</v>
      </c>
      <c r="G64" s="2331">
        <v>12</v>
      </c>
      <c r="I64" s="163"/>
      <c r="J64" s="163" t="s">
        <v>41</v>
      </c>
      <c r="K64" s="73" t="s">
        <v>42</v>
      </c>
      <c r="L64" s="161">
        <v>13.64</v>
      </c>
      <c r="M64" s="161">
        <v>160</v>
      </c>
      <c r="N64" s="2263">
        <f t="shared" si="2"/>
        <v>1.6400000000000006</v>
      </c>
      <c r="P64" s="161"/>
      <c r="Q64" s="161" t="s">
        <v>41</v>
      </c>
      <c r="R64" s="73" t="s">
        <v>42</v>
      </c>
      <c r="S64" s="2327">
        <v>13.53</v>
      </c>
      <c r="T64" s="161">
        <v>130</v>
      </c>
      <c r="U64" s="2317">
        <f t="shared" si="9"/>
        <v>1.5299999999999994</v>
      </c>
      <c r="W64" s="1094"/>
      <c r="X64" s="1094" t="s">
        <v>41</v>
      </c>
      <c r="Y64" s="2316" t="s">
        <v>42</v>
      </c>
      <c r="Z64" s="2247">
        <v>13.090090090090088</v>
      </c>
      <c r="AA64" s="2248">
        <v>111</v>
      </c>
      <c r="AB64" s="2317">
        <f t="shared" si="3"/>
        <v>1.0900900900900883</v>
      </c>
      <c r="AD64" s="2318"/>
      <c r="AE64" s="2318" t="s">
        <v>41</v>
      </c>
      <c r="AF64" s="2319" t="s">
        <v>42</v>
      </c>
      <c r="AG64" s="2320">
        <v>160</v>
      </c>
      <c r="AH64" s="2321">
        <v>13.387500000000001</v>
      </c>
      <c r="AI64" s="2263">
        <f t="shared" si="4"/>
        <v>1.3875000000000011</v>
      </c>
      <c r="AK64" s="2322"/>
      <c r="AL64" s="2322" t="s">
        <v>41</v>
      </c>
      <c r="AM64" s="2324" t="s">
        <v>42</v>
      </c>
      <c r="AN64" s="2325">
        <v>145</v>
      </c>
      <c r="AO64" s="2326">
        <v>13.551724137931032</v>
      </c>
      <c r="AP64" s="2323">
        <f t="shared" si="5"/>
        <v>1.551724137931032</v>
      </c>
      <c r="AQ64" s="73"/>
      <c r="AR64" s="2322"/>
      <c r="AS64" s="2322" t="s">
        <v>41</v>
      </c>
      <c r="AT64" s="2324" t="s">
        <v>42</v>
      </c>
      <c r="AU64" s="2325">
        <v>151</v>
      </c>
      <c r="AV64" s="2326">
        <v>13.562913907284765</v>
      </c>
      <c r="AW64" s="2323">
        <f t="shared" si="6"/>
        <v>1.5629139072847646</v>
      </c>
      <c r="AX64" s="73"/>
      <c r="AY64" s="161"/>
      <c r="AZ64" s="161" t="s">
        <v>41</v>
      </c>
      <c r="BA64" s="73" t="s">
        <v>42</v>
      </c>
      <c r="BB64" s="161">
        <v>149</v>
      </c>
      <c r="BC64" s="2327">
        <v>13.919463087248319</v>
      </c>
      <c r="BD64" s="2328">
        <f t="shared" si="7"/>
        <v>1.9194630872483192</v>
      </c>
      <c r="BE64" s="73"/>
      <c r="BF64" s="2329"/>
      <c r="BG64" s="2329" t="s">
        <v>41</v>
      </c>
      <c r="BH64" s="737" t="s">
        <v>42</v>
      </c>
      <c r="BI64" s="2329">
        <v>145</v>
      </c>
      <c r="BJ64" s="2330">
        <v>13.089655172413794</v>
      </c>
      <c r="BK64" s="2331">
        <v>12</v>
      </c>
      <c r="BL64" s="3201">
        <f t="shared" si="8"/>
        <v>1.0896551724137939</v>
      </c>
    </row>
    <row r="65" spans="1:64">
      <c r="A65" s="73"/>
      <c r="B65" s="73"/>
      <c r="C65" s="73" t="s">
        <v>52</v>
      </c>
      <c r="D65" s="2327">
        <v>12.65</v>
      </c>
      <c r="E65" s="161">
        <v>92</v>
      </c>
      <c r="F65" s="2263">
        <f t="shared" si="1"/>
        <v>0.65000000000000036</v>
      </c>
      <c r="G65" s="2331">
        <v>12</v>
      </c>
      <c r="I65" s="163"/>
      <c r="J65" s="163"/>
      <c r="K65" s="73" t="s">
        <v>52</v>
      </c>
      <c r="L65" s="161">
        <v>12.73</v>
      </c>
      <c r="M65" s="161">
        <v>101</v>
      </c>
      <c r="N65" s="2263">
        <f t="shared" si="2"/>
        <v>0.73000000000000043</v>
      </c>
      <c r="P65" s="161"/>
      <c r="Q65" s="161"/>
      <c r="R65" s="73" t="s">
        <v>52</v>
      </c>
      <c r="S65" s="2327">
        <v>12.89</v>
      </c>
      <c r="T65" s="161">
        <v>101</v>
      </c>
      <c r="U65" s="2317">
        <f t="shared" si="9"/>
        <v>0.89000000000000057</v>
      </c>
      <c r="W65" s="1094"/>
      <c r="X65" s="1094"/>
      <c r="Y65" s="2316" t="s">
        <v>52</v>
      </c>
      <c r="Z65" s="2247">
        <v>13.064220183486242</v>
      </c>
      <c r="AA65" s="2248">
        <v>109</v>
      </c>
      <c r="AB65" s="2317">
        <f t="shared" si="3"/>
        <v>1.0642201834862419</v>
      </c>
      <c r="AD65" s="2318"/>
      <c r="AE65" s="2318"/>
      <c r="AF65" s="2319" t="s">
        <v>52</v>
      </c>
      <c r="AG65" s="2320">
        <v>112</v>
      </c>
      <c r="AH65" s="2321">
        <v>12.732142857142859</v>
      </c>
      <c r="AI65" s="2263">
        <f t="shared" si="4"/>
        <v>0.73214285714285943</v>
      </c>
      <c r="AK65" s="2322"/>
      <c r="AL65" s="2322"/>
      <c r="AM65" s="2324" t="s">
        <v>52</v>
      </c>
      <c r="AN65" s="2325">
        <v>126</v>
      </c>
      <c r="AO65" s="2326">
        <v>12.690476190476186</v>
      </c>
      <c r="AP65" s="2323">
        <f t="shared" si="5"/>
        <v>0.69047619047618625</v>
      </c>
      <c r="AQ65" s="73"/>
      <c r="AR65" s="2322"/>
      <c r="AS65" s="2322"/>
      <c r="AT65" s="2324" t="s">
        <v>52</v>
      </c>
      <c r="AU65" s="2325">
        <v>140</v>
      </c>
      <c r="AV65" s="2326">
        <v>13.25</v>
      </c>
      <c r="AW65" s="2323">
        <f t="shared" si="6"/>
        <v>1.25</v>
      </c>
      <c r="AX65" s="73"/>
      <c r="AY65" s="161"/>
      <c r="AZ65" s="161"/>
      <c r="BA65" s="73" t="s">
        <v>52</v>
      </c>
      <c r="BB65" s="161">
        <v>112</v>
      </c>
      <c r="BC65" s="2327">
        <v>13.392857142857137</v>
      </c>
      <c r="BD65" s="2328">
        <f t="shared" si="7"/>
        <v>1.392857142857137</v>
      </c>
      <c r="BE65" s="73"/>
      <c r="BF65" s="2329"/>
      <c r="BG65" s="2329"/>
      <c r="BH65" s="737" t="s">
        <v>52</v>
      </c>
      <c r="BI65" s="2329">
        <v>113</v>
      </c>
      <c r="BJ65" s="2330">
        <v>12.805309734513271</v>
      </c>
      <c r="BK65" s="2331">
        <v>12</v>
      </c>
      <c r="BL65" s="3201">
        <f t="shared" si="8"/>
        <v>0.80530973451327093</v>
      </c>
    </row>
    <row r="66" spans="1:64">
      <c r="A66" s="73"/>
      <c r="B66" s="73"/>
      <c r="C66" s="73" t="s">
        <v>53</v>
      </c>
      <c r="D66" s="2327">
        <v>13.15</v>
      </c>
      <c r="E66" s="161">
        <v>171</v>
      </c>
      <c r="F66" s="2263">
        <f t="shared" si="1"/>
        <v>1.1500000000000004</v>
      </c>
      <c r="G66" s="2331">
        <v>12</v>
      </c>
      <c r="I66" s="163"/>
      <c r="J66" s="163"/>
      <c r="K66" s="73" t="s">
        <v>53</v>
      </c>
      <c r="L66" s="161">
        <v>12.99</v>
      </c>
      <c r="M66" s="161">
        <v>137</v>
      </c>
      <c r="N66" s="2263">
        <f t="shared" si="2"/>
        <v>0.99000000000000021</v>
      </c>
      <c r="P66" s="161"/>
      <c r="Q66" s="161"/>
      <c r="R66" s="73" t="s">
        <v>53</v>
      </c>
      <c r="S66" s="2327">
        <v>12.78</v>
      </c>
      <c r="T66" s="161">
        <v>144</v>
      </c>
      <c r="U66" s="2317">
        <f t="shared" si="9"/>
        <v>0.77999999999999936</v>
      </c>
      <c r="W66" s="1094"/>
      <c r="X66" s="1094"/>
      <c r="Y66" s="2316" t="s">
        <v>53</v>
      </c>
      <c r="Z66" s="2247">
        <v>12.955128205128206</v>
      </c>
      <c r="AA66" s="2248">
        <v>156</v>
      </c>
      <c r="AB66" s="2317">
        <f t="shared" si="3"/>
        <v>0.95512820512820618</v>
      </c>
      <c r="AD66" s="2318"/>
      <c r="AE66" s="2318"/>
      <c r="AF66" s="2319" t="s">
        <v>53</v>
      </c>
      <c r="AG66" s="2320">
        <v>145</v>
      </c>
      <c r="AH66" s="2321">
        <v>12.61379310344827</v>
      </c>
      <c r="AI66" s="2263">
        <f t="shared" si="4"/>
        <v>0.61379310344826976</v>
      </c>
      <c r="AK66" s="2322"/>
      <c r="AL66" s="2322"/>
      <c r="AM66" s="2324" t="s">
        <v>53</v>
      </c>
      <c r="AN66" s="2325">
        <v>133</v>
      </c>
      <c r="AO66" s="2326">
        <v>12.894736842105262</v>
      </c>
      <c r="AP66" s="2323">
        <f t="shared" si="5"/>
        <v>0.89473684210526194</v>
      </c>
      <c r="AQ66" s="73"/>
      <c r="AR66" s="2322"/>
      <c r="AS66" s="2322"/>
      <c r="AT66" s="2324" t="s">
        <v>53</v>
      </c>
      <c r="AU66" s="2325">
        <v>163</v>
      </c>
      <c r="AV66" s="2326">
        <v>12.76687116564417</v>
      </c>
      <c r="AW66" s="2323">
        <f t="shared" si="6"/>
        <v>0.76687116564417046</v>
      </c>
      <c r="AX66" s="73"/>
      <c r="AY66" s="161"/>
      <c r="AZ66" s="161"/>
      <c r="BA66" s="73" t="s">
        <v>53</v>
      </c>
      <c r="BB66" s="161">
        <v>153</v>
      </c>
      <c r="BC66" s="2327">
        <v>12.718954248366009</v>
      </c>
      <c r="BD66" s="2328">
        <f t="shared" si="7"/>
        <v>0.71895424836600874</v>
      </c>
      <c r="BE66" s="73"/>
      <c r="BF66" s="2329"/>
      <c r="BG66" s="2329"/>
      <c r="BH66" s="737" t="s">
        <v>53</v>
      </c>
      <c r="BI66" s="2329">
        <v>191</v>
      </c>
      <c r="BJ66" s="2330">
        <v>13.052356020942407</v>
      </c>
      <c r="BK66" s="2331">
        <v>12</v>
      </c>
      <c r="BL66" s="3201">
        <f t="shared" si="8"/>
        <v>1.0523560209424065</v>
      </c>
    </row>
    <row r="67" spans="1:64">
      <c r="A67" s="73"/>
      <c r="B67" s="73"/>
      <c r="C67" s="73" t="s">
        <v>54</v>
      </c>
      <c r="D67" s="2327">
        <v>13.78</v>
      </c>
      <c r="E67" s="161">
        <v>209</v>
      </c>
      <c r="F67" s="2263">
        <f t="shared" si="1"/>
        <v>1.7799999999999994</v>
      </c>
      <c r="G67" s="2331">
        <v>12</v>
      </c>
      <c r="I67" s="163"/>
      <c r="J67" s="163"/>
      <c r="K67" s="73" t="s">
        <v>54</v>
      </c>
      <c r="L67" s="161">
        <v>14.1</v>
      </c>
      <c r="M67" s="161">
        <v>206</v>
      </c>
      <c r="N67" s="2263">
        <f t="shared" si="2"/>
        <v>2.0999999999999996</v>
      </c>
      <c r="P67" s="161"/>
      <c r="Q67" s="161"/>
      <c r="R67" s="73" t="s">
        <v>54</v>
      </c>
      <c r="S67" s="2327">
        <v>14.43</v>
      </c>
      <c r="T67" s="161">
        <v>151</v>
      </c>
      <c r="U67" s="2317">
        <f t="shared" si="9"/>
        <v>2.4299999999999997</v>
      </c>
      <c r="W67" s="1094"/>
      <c r="X67" s="1094"/>
      <c r="Y67" s="2316" t="s">
        <v>54</v>
      </c>
      <c r="Z67" s="2247">
        <v>14.145348837209296</v>
      </c>
      <c r="AA67" s="2248">
        <v>172</v>
      </c>
      <c r="AB67" s="2317">
        <f t="shared" si="3"/>
        <v>2.1453488372092959</v>
      </c>
      <c r="AD67" s="2318"/>
      <c r="AE67" s="2318"/>
      <c r="AF67" s="2319" t="s">
        <v>54</v>
      </c>
      <c r="AG67" s="2320">
        <v>158</v>
      </c>
      <c r="AH67" s="2321">
        <v>14.24683544303797</v>
      </c>
      <c r="AI67" s="2263">
        <f t="shared" si="4"/>
        <v>2.2468354430379698</v>
      </c>
      <c r="AK67" s="2322"/>
      <c r="AL67" s="2322"/>
      <c r="AM67" s="2324" t="s">
        <v>54</v>
      </c>
      <c r="AN67" s="2325">
        <v>178</v>
      </c>
      <c r="AO67" s="2326">
        <v>14.174157303370796</v>
      </c>
      <c r="AP67" s="2323">
        <f t="shared" si="5"/>
        <v>2.1741573033707962</v>
      </c>
      <c r="AQ67" s="73"/>
      <c r="AR67" s="2322"/>
      <c r="AS67" s="2322"/>
      <c r="AT67" s="2324" t="s">
        <v>54</v>
      </c>
      <c r="AU67" s="2325">
        <v>228</v>
      </c>
      <c r="AV67" s="2326">
        <v>14.473684210526317</v>
      </c>
      <c r="AW67" s="2323">
        <f t="shared" si="6"/>
        <v>2.4736842105263168</v>
      </c>
      <c r="AX67" s="73"/>
      <c r="AY67" s="161"/>
      <c r="AZ67" s="161"/>
      <c r="BA67" s="73" t="s">
        <v>54</v>
      </c>
      <c r="BB67" s="161">
        <v>174</v>
      </c>
      <c r="BC67" s="2327">
        <v>14.568965517241391</v>
      </c>
      <c r="BD67" s="2328">
        <f t="shared" si="7"/>
        <v>2.5689655172413914</v>
      </c>
      <c r="BE67" s="73"/>
      <c r="BF67" s="2329"/>
      <c r="BG67" s="2329"/>
      <c r="BH67" s="737" t="s">
        <v>54</v>
      </c>
      <c r="BI67" s="2329">
        <v>204</v>
      </c>
      <c r="BJ67" s="2330">
        <v>14.122549019607854</v>
      </c>
      <c r="BK67" s="2331">
        <v>12</v>
      </c>
      <c r="BL67" s="3201">
        <f t="shared" si="8"/>
        <v>2.1225490196078542</v>
      </c>
    </row>
    <row r="68" spans="1:64">
      <c r="A68" s="73"/>
      <c r="B68" s="73"/>
      <c r="C68" s="73" t="s">
        <v>55</v>
      </c>
      <c r="D68" s="2327">
        <v>16.89</v>
      </c>
      <c r="E68" s="161">
        <v>118</v>
      </c>
      <c r="F68" s="2263">
        <f t="shared" si="1"/>
        <v>4.8900000000000006</v>
      </c>
      <c r="G68" s="2331">
        <v>12</v>
      </c>
      <c r="I68" s="163"/>
      <c r="J68" s="163"/>
      <c r="K68" s="73" t="s">
        <v>55</v>
      </c>
      <c r="L68" s="161">
        <v>14.89</v>
      </c>
      <c r="M68" s="161">
        <v>116</v>
      </c>
      <c r="N68" s="2263">
        <f t="shared" si="2"/>
        <v>2.8900000000000006</v>
      </c>
      <c r="P68" s="161"/>
      <c r="Q68" s="161"/>
      <c r="R68" s="73" t="s">
        <v>55</v>
      </c>
      <c r="S68" s="2327">
        <v>13.85</v>
      </c>
      <c r="T68" s="161">
        <v>182</v>
      </c>
      <c r="U68" s="2317">
        <f t="shared" si="9"/>
        <v>1.8499999999999996</v>
      </c>
      <c r="W68" s="1094"/>
      <c r="X68" s="1094"/>
      <c r="Y68" s="2316" t="s">
        <v>55</v>
      </c>
      <c r="Z68" s="2247">
        <v>14.38255033557046</v>
      </c>
      <c r="AA68" s="2248">
        <v>149</v>
      </c>
      <c r="AB68" s="2317">
        <f t="shared" si="3"/>
        <v>2.3825503355704605</v>
      </c>
      <c r="AD68" s="2318"/>
      <c r="AE68" s="2318"/>
      <c r="AF68" s="2319" t="s">
        <v>55</v>
      </c>
      <c r="AG68" s="2320">
        <v>159</v>
      </c>
      <c r="AH68" s="2321">
        <v>14.100628930817606</v>
      </c>
      <c r="AI68" s="2263">
        <f t="shared" si="4"/>
        <v>2.1006289308176065</v>
      </c>
      <c r="AK68" s="2322"/>
      <c r="AL68" s="2322"/>
      <c r="AM68" s="2324" t="s">
        <v>55</v>
      </c>
      <c r="AN68" s="2325">
        <v>147</v>
      </c>
      <c r="AO68" s="2326">
        <v>14.761904761904772</v>
      </c>
      <c r="AP68" s="2323">
        <f t="shared" si="5"/>
        <v>2.7619047619047716</v>
      </c>
      <c r="AQ68" s="73"/>
      <c r="AR68" s="2322"/>
      <c r="AS68" s="2322"/>
      <c r="AT68" s="2324" t="s">
        <v>55</v>
      </c>
      <c r="AU68" s="2325">
        <v>151</v>
      </c>
      <c r="AV68" s="2326">
        <v>13.980132450331123</v>
      </c>
      <c r="AW68" s="2323">
        <f t="shared" si="6"/>
        <v>1.9801324503311228</v>
      </c>
      <c r="AX68" s="73"/>
      <c r="AY68" s="161"/>
      <c r="AZ68" s="161"/>
      <c r="BA68" s="73" t="s">
        <v>55</v>
      </c>
      <c r="BB68" s="161">
        <v>202</v>
      </c>
      <c r="BC68" s="2327">
        <v>14.346534653465348</v>
      </c>
      <c r="BD68" s="2328">
        <f t="shared" si="7"/>
        <v>2.3465346534653477</v>
      </c>
      <c r="BE68" s="73"/>
      <c r="BF68" s="2329"/>
      <c r="BG68" s="2329"/>
      <c r="BH68" s="737" t="s">
        <v>55</v>
      </c>
      <c r="BI68" s="2329">
        <v>193</v>
      </c>
      <c r="BJ68" s="2330">
        <v>14.310880829015549</v>
      </c>
      <c r="BK68" s="2331">
        <v>12</v>
      </c>
      <c r="BL68" s="3201">
        <f t="shared" si="8"/>
        <v>2.3108808290155487</v>
      </c>
    </row>
    <row r="69" spans="1:64">
      <c r="A69" s="73"/>
      <c r="B69" s="73"/>
      <c r="C69" s="73" t="s">
        <v>56</v>
      </c>
      <c r="D69" s="2327">
        <v>13.16</v>
      </c>
      <c r="E69" s="161">
        <v>94</v>
      </c>
      <c r="F69" s="2263">
        <f t="shared" si="1"/>
        <v>1.1600000000000001</v>
      </c>
      <c r="G69" s="2331">
        <v>12</v>
      </c>
      <c r="I69" s="163"/>
      <c r="J69" s="163"/>
      <c r="K69" s="73" t="s">
        <v>56</v>
      </c>
      <c r="L69" s="161">
        <v>13.45</v>
      </c>
      <c r="M69" s="161">
        <v>104</v>
      </c>
      <c r="N69" s="2263">
        <f t="shared" si="2"/>
        <v>1.4499999999999993</v>
      </c>
      <c r="P69" s="161"/>
      <c r="Q69" s="161"/>
      <c r="R69" s="73" t="s">
        <v>56</v>
      </c>
      <c r="S69" s="2327">
        <v>13.28</v>
      </c>
      <c r="T69" s="161">
        <v>119</v>
      </c>
      <c r="U69" s="2317">
        <f t="shared" si="9"/>
        <v>1.2799999999999994</v>
      </c>
      <c r="W69" s="1094"/>
      <c r="X69" s="1094"/>
      <c r="Y69" s="2316" t="s">
        <v>56</v>
      </c>
      <c r="Z69" s="2247">
        <v>13.09448818897638</v>
      </c>
      <c r="AA69" s="2248">
        <v>127</v>
      </c>
      <c r="AB69" s="2317">
        <f t="shared" si="3"/>
        <v>1.0944881889763796</v>
      </c>
      <c r="AD69" s="2318"/>
      <c r="AE69" s="2318"/>
      <c r="AF69" s="2319" t="s">
        <v>56</v>
      </c>
      <c r="AG69" s="2320">
        <v>110</v>
      </c>
      <c r="AH69" s="2321">
        <v>13.127272727272727</v>
      </c>
      <c r="AI69" s="2263">
        <f t="shared" si="4"/>
        <v>1.127272727272727</v>
      </c>
      <c r="AK69" s="2322"/>
      <c r="AL69" s="2322"/>
      <c r="AM69" s="2324" t="s">
        <v>56</v>
      </c>
      <c r="AN69" s="2325">
        <v>113</v>
      </c>
      <c r="AO69" s="2326">
        <v>13.690265486725663</v>
      </c>
      <c r="AP69" s="2323">
        <f t="shared" si="5"/>
        <v>1.6902654867256626</v>
      </c>
      <c r="AQ69" s="73"/>
      <c r="AR69" s="2322"/>
      <c r="AS69" s="2322"/>
      <c r="AT69" s="2324" t="s">
        <v>56</v>
      </c>
      <c r="AU69" s="2325">
        <v>111</v>
      </c>
      <c r="AV69" s="2326">
        <v>13.198198198198201</v>
      </c>
      <c r="AW69" s="2323">
        <f t="shared" si="6"/>
        <v>1.1981981981982006</v>
      </c>
      <c r="AX69" s="73"/>
      <c r="AY69" s="161"/>
      <c r="AZ69" s="161"/>
      <c r="BA69" s="73" t="s">
        <v>56</v>
      </c>
      <c r="BB69" s="161">
        <v>84</v>
      </c>
      <c r="BC69" s="2327">
        <v>13.16666666666667</v>
      </c>
      <c r="BD69" s="2328">
        <f t="shared" si="7"/>
        <v>1.1666666666666696</v>
      </c>
      <c r="BE69" s="73"/>
      <c r="BF69" s="2329"/>
      <c r="BG69" s="2329"/>
      <c r="BH69" s="737" t="s">
        <v>56</v>
      </c>
      <c r="BI69" s="2329">
        <v>69</v>
      </c>
      <c r="BJ69" s="2330">
        <v>13.434782608695652</v>
      </c>
      <c r="BK69" s="2331">
        <v>12</v>
      </c>
      <c r="BL69" s="3201">
        <f t="shared" si="8"/>
        <v>1.4347826086956523</v>
      </c>
    </row>
    <row r="70" spans="1:64">
      <c r="A70" s="73"/>
      <c r="B70" s="73"/>
      <c r="C70" s="73" t="s">
        <v>264</v>
      </c>
      <c r="D70" s="2327">
        <v>16.77</v>
      </c>
      <c r="E70" s="161">
        <v>131</v>
      </c>
      <c r="F70" s="2263">
        <f t="shared" si="1"/>
        <v>1.7699999999999996</v>
      </c>
      <c r="G70" s="2331">
        <v>15</v>
      </c>
      <c r="I70" s="163"/>
      <c r="J70" s="163"/>
      <c r="K70" s="73" t="s">
        <v>264</v>
      </c>
      <c r="L70" s="161">
        <v>16.75</v>
      </c>
      <c r="M70" s="161">
        <v>151</v>
      </c>
      <c r="N70" s="2263">
        <f t="shared" si="2"/>
        <v>1.75</v>
      </c>
      <c r="P70" s="161"/>
      <c r="Q70" s="161"/>
      <c r="R70" s="73" t="s">
        <v>264</v>
      </c>
      <c r="S70" s="2327">
        <v>16.82</v>
      </c>
      <c r="T70" s="161">
        <v>131</v>
      </c>
      <c r="U70" s="2317">
        <f t="shared" ref="U70:U92" si="10">S70-BK70</f>
        <v>1.8200000000000003</v>
      </c>
      <c r="W70" s="1094"/>
      <c r="X70" s="1094"/>
      <c r="Y70" s="2316" t="s">
        <v>264</v>
      </c>
      <c r="Z70" s="2247">
        <v>16.569148936170201</v>
      </c>
      <c r="AA70" s="2248">
        <v>188</v>
      </c>
      <c r="AB70" s="2317">
        <f t="shared" si="3"/>
        <v>1.5691489361702011</v>
      </c>
      <c r="AD70" s="2318"/>
      <c r="AE70" s="2318"/>
      <c r="AF70" s="2319" t="s">
        <v>264</v>
      </c>
      <c r="AG70" s="2320">
        <v>168</v>
      </c>
      <c r="AH70" s="2321">
        <v>16.976190476190471</v>
      </c>
      <c r="AI70" s="2263">
        <f>AH70-15</f>
        <v>1.9761904761904709</v>
      </c>
      <c r="AK70" s="2322"/>
      <c r="AL70" s="2322"/>
      <c r="AM70" s="2324" t="s">
        <v>264</v>
      </c>
      <c r="AN70" s="2325">
        <v>180</v>
      </c>
      <c r="AO70" s="2326">
        <v>16.694444444444446</v>
      </c>
      <c r="AP70" s="2323">
        <f>+AO70-15</f>
        <v>1.6944444444444464</v>
      </c>
      <c r="AQ70" s="73"/>
      <c r="AR70" s="2322"/>
      <c r="AS70" s="2322"/>
      <c r="AT70" s="2324" t="s">
        <v>264</v>
      </c>
      <c r="AU70" s="2325">
        <v>134</v>
      </c>
      <c r="AV70" s="2326">
        <v>16.485074626865675</v>
      </c>
      <c r="AW70" s="2323">
        <f>+AV70-15</f>
        <v>1.4850746268656749</v>
      </c>
      <c r="AX70" s="73"/>
      <c r="AY70" s="161"/>
      <c r="AZ70" s="161"/>
      <c r="BA70" s="73" t="s">
        <v>264</v>
      </c>
      <c r="BB70" s="161">
        <v>164</v>
      </c>
      <c r="BC70" s="2327">
        <v>16.225609756097558</v>
      </c>
      <c r="BD70" s="2328">
        <f>+BC70-15</f>
        <v>1.2256097560975583</v>
      </c>
      <c r="BE70" s="73"/>
      <c r="BF70" s="2329"/>
      <c r="BG70" s="2329"/>
      <c r="BH70" s="737" t="s">
        <v>264</v>
      </c>
      <c r="BI70" s="2329">
        <v>190</v>
      </c>
      <c r="BJ70" s="2330">
        <v>16.347368421052636</v>
      </c>
      <c r="BK70" s="2331">
        <v>15</v>
      </c>
      <c r="BL70" s="3201">
        <f t="shared" si="8"/>
        <v>1.3473684210526358</v>
      </c>
    </row>
    <row r="71" spans="1:64">
      <c r="A71" s="73"/>
      <c r="B71" s="73"/>
      <c r="C71" s="73" t="s">
        <v>277</v>
      </c>
      <c r="D71" s="2327">
        <v>12.73</v>
      </c>
      <c r="E71" s="161">
        <v>123</v>
      </c>
      <c r="F71" s="2263">
        <f t="shared" ref="F71:F101" si="11">D71-G71</f>
        <v>0.73000000000000043</v>
      </c>
      <c r="G71" s="2331">
        <v>12</v>
      </c>
      <c r="I71" s="163"/>
      <c r="J71" s="163"/>
      <c r="K71" s="73" t="s">
        <v>277</v>
      </c>
      <c r="L71" s="161">
        <v>12.87</v>
      </c>
      <c r="M71" s="161">
        <v>146</v>
      </c>
      <c r="N71" s="2263">
        <f t="shared" ref="N71:N111" si="12">L71-BK71</f>
        <v>0.86999999999999922</v>
      </c>
      <c r="P71" s="161"/>
      <c r="Q71" s="161"/>
      <c r="R71" s="73" t="s">
        <v>277</v>
      </c>
      <c r="S71" s="2327">
        <v>12.71</v>
      </c>
      <c r="T71" s="161">
        <v>112</v>
      </c>
      <c r="U71" s="2317">
        <f t="shared" si="10"/>
        <v>0.71000000000000085</v>
      </c>
      <c r="W71" s="1094"/>
      <c r="X71" s="1094"/>
      <c r="Y71" s="2316" t="s">
        <v>277</v>
      </c>
      <c r="Z71" s="2247">
        <v>13.328244274809164</v>
      </c>
      <c r="AA71" s="2248">
        <v>131</v>
      </c>
      <c r="AB71" s="2317">
        <f t="shared" ref="AB71:AB92" si="13">Z71-BK71</f>
        <v>1.3282442748091636</v>
      </c>
      <c r="AD71" s="2318"/>
      <c r="AE71" s="2318"/>
      <c r="AF71" s="2319" t="s">
        <v>277</v>
      </c>
      <c r="AG71" s="2320">
        <v>115</v>
      </c>
      <c r="AH71" s="2321">
        <v>12.834782608695651</v>
      </c>
      <c r="AI71" s="2263">
        <f t="shared" ref="AI71:AI92" si="14">AH71-12</f>
        <v>0.83478260869565091</v>
      </c>
      <c r="AK71" s="2322"/>
      <c r="AL71" s="2322"/>
      <c r="AM71" s="2324" t="s">
        <v>277</v>
      </c>
      <c r="AN71" s="2325">
        <v>123</v>
      </c>
      <c r="AO71" s="2326">
        <v>12.934959349593493</v>
      </c>
      <c r="AP71" s="2323">
        <f t="shared" ref="AP71:AP91" si="15">+AO71-12</f>
        <v>0.93495934959349292</v>
      </c>
      <c r="AQ71" s="73"/>
      <c r="AR71" s="2322"/>
      <c r="AS71" s="2322"/>
      <c r="AT71" s="2324" t="s">
        <v>277</v>
      </c>
      <c r="AU71" s="2325">
        <v>107</v>
      </c>
      <c r="AV71" s="2326">
        <v>12.747663551401869</v>
      </c>
      <c r="AW71" s="2323">
        <f t="shared" ref="AW71:AW91" si="16">+AV71-12</f>
        <v>0.74766355140186924</v>
      </c>
      <c r="AX71" s="73"/>
      <c r="AY71" s="161"/>
      <c r="AZ71" s="161"/>
      <c r="BA71" s="73" t="s">
        <v>277</v>
      </c>
      <c r="BB71" s="161">
        <v>122</v>
      </c>
      <c r="BC71" s="2327">
        <v>13.081967213114753</v>
      </c>
      <c r="BD71" s="2328">
        <f t="shared" ref="BD71:BD90" si="17">+BC71-12</f>
        <v>1.0819672131147531</v>
      </c>
      <c r="BE71" s="73"/>
      <c r="BF71" s="2329"/>
      <c r="BG71" s="2329"/>
      <c r="BH71" s="737" t="s">
        <v>57</v>
      </c>
      <c r="BI71" s="2329">
        <v>85</v>
      </c>
      <c r="BJ71" s="2330">
        <v>11.952941176470585</v>
      </c>
      <c r="BK71" s="2331">
        <v>12</v>
      </c>
      <c r="BL71" s="3201">
        <f t="shared" ref="BL71:BL90" si="18">BJ71-BK71</f>
        <v>-4.705882352941515E-2</v>
      </c>
    </row>
    <row r="72" spans="1:64">
      <c r="A72" s="73"/>
      <c r="B72" s="73"/>
      <c r="C72" s="738" t="s">
        <v>575</v>
      </c>
      <c r="D72" s="2342">
        <v>14.07</v>
      </c>
      <c r="E72" s="4603">
        <v>1104</v>
      </c>
      <c r="F72" s="3210">
        <f t="shared" si="11"/>
        <v>2.0700000000000003</v>
      </c>
      <c r="G72" s="2331">
        <v>12</v>
      </c>
      <c r="I72" s="163"/>
      <c r="J72" s="163"/>
      <c r="K72" s="738" t="s">
        <v>575</v>
      </c>
      <c r="L72" s="151">
        <v>13.99</v>
      </c>
      <c r="M72" s="151">
        <v>1121</v>
      </c>
      <c r="N72" s="3210">
        <f t="shared" si="12"/>
        <v>1.9900000000000002</v>
      </c>
      <c r="P72" s="161"/>
      <c r="Q72" s="161"/>
      <c r="R72" s="738" t="s">
        <v>575</v>
      </c>
      <c r="S72" s="2342">
        <v>13.84</v>
      </c>
      <c r="T72" s="151">
        <v>1070</v>
      </c>
      <c r="U72" s="2596">
        <f t="shared" si="10"/>
        <v>1.8399999999999999</v>
      </c>
      <c r="W72" s="1094"/>
      <c r="X72" s="1094"/>
      <c r="Y72" s="2332" t="s">
        <v>575</v>
      </c>
      <c r="Z72" s="2333">
        <v>13.996500437445308</v>
      </c>
      <c r="AA72" s="2334">
        <v>1143</v>
      </c>
      <c r="AB72" s="2317">
        <f t="shared" si="13"/>
        <v>1.9965004374453077</v>
      </c>
      <c r="AD72" s="2318"/>
      <c r="AE72" s="2318"/>
      <c r="AF72" s="2335" t="s">
        <v>575</v>
      </c>
      <c r="AG72" s="2336">
        <v>1127</v>
      </c>
      <c r="AH72" s="2337">
        <v>13.897071872227155</v>
      </c>
      <c r="AI72" s="2263">
        <f t="shared" si="14"/>
        <v>1.8970718722271549</v>
      </c>
      <c r="AK72" s="2322"/>
      <c r="AL72" s="2322"/>
      <c r="AM72" s="2338" t="s">
        <v>575</v>
      </c>
      <c r="AN72" s="2339">
        <f>SUM(AN64:AN71)</f>
        <v>1145</v>
      </c>
      <c r="AO72" s="2340">
        <v>14.07</v>
      </c>
      <c r="AP72" s="2341">
        <f t="shared" si="15"/>
        <v>2.0700000000000003</v>
      </c>
      <c r="AQ72" s="73"/>
      <c r="AR72" s="2322"/>
      <c r="AS72" s="2322"/>
      <c r="AT72" s="2338" t="s">
        <v>575</v>
      </c>
      <c r="AU72" s="2339">
        <v>1185</v>
      </c>
      <c r="AV72" s="2340">
        <v>13.867510548523214</v>
      </c>
      <c r="AW72" s="2341">
        <f t="shared" si="16"/>
        <v>1.8675105485232137</v>
      </c>
      <c r="AX72" s="73"/>
      <c r="AY72" s="161"/>
      <c r="AZ72" s="161"/>
      <c r="BA72" s="738" t="s">
        <v>15</v>
      </c>
      <c r="BB72" s="151">
        <v>1160</v>
      </c>
      <c r="BC72" s="2342">
        <v>14.065517241379318</v>
      </c>
      <c r="BD72" s="2343">
        <f t="shared" si="17"/>
        <v>2.0655172413793181</v>
      </c>
      <c r="BE72" s="73"/>
      <c r="BF72" s="2329"/>
      <c r="BG72" s="2329"/>
      <c r="BH72" s="2344" t="s">
        <v>15</v>
      </c>
      <c r="BI72" s="2345">
        <v>1190</v>
      </c>
      <c r="BJ72" s="2346">
        <v>13.890756302521012</v>
      </c>
      <c r="BK72" s="2331">
        <v>12</v>
      </c>
      <c r="BL72" s="3202">
        <f t="shared" si="18"/>
        <v>1.8907563025210123</v>
      </c>
    </row>
    <row r="73" spans="1:64">
      <c r="A73" s="73"/>
      <c r="B73" s="73" t="s">
        <v>21</v>
      </c>
      <c r="C73" s="73" t="s">
        <v>22</v>
      </c>
      <c r="D73" s="2327">
        <v>13.96</v>
      </c>
      <c r="E73" s="161">
        <v>200</v>
      </c>
      <c r="F73" s="2263">
        <f t="shared" si="11"/>
        <v>1.9600000000000009</v>
      </c>
      <c r="G73" s="2331">
        <v>12</v>
      </c>
      <c r="I73" s="163"/>
      <c r="J73" s="163" t="s">
        <v>21</v>
      </c>
      <c r="K73" s="73" t="s">
        <v>22</v>
      </c>
      <c r="L73" s="161">
        <v>13.78</v>
      </c>
      <c r="M73" s="161">
        <v>161</v>
      </c>
      <c r="N73" s="2263">
        <f t="shared" si="12"/>
        <v>1.7799999999999994</v>
      </c>
      <c r="P73" s="161"/>
      <c r="Q73" s="161" t="s">
        <v>21</v>
      </c>
      <c r="R73" s="73" t="s">
        <v>22</v>
      </c>
      <c r="S73" s="2327">
        <v>14.06</v>
      </c>
      <c r="T73" s="161">
        <v>145</v>
      </c>
      <c r="U73" s="2317">
        <f t="shared" si="10"/>
        <v>2.0600000000000005</v>
      </c>
      <c r="W73" s="1094"/>
      <c r="X73" s="1094" t="s">
        <v>21</v>
      </c>
      <c r="Y73" s="2316" t="s">
        <v>22</v>
      </c>
      <c r="Z73" s="2247">
        <v>13.755952380952381</v>
      </c>
      <c r="AA73" s="2248">
        <v>168</v>
      </c>
      <c r="AB73" s="2317">
        <f t="shared" si="13"/>
        <v>1.7559523809523814</v>
      </c>
      <c r="AD73" s="2318"/>
      <c r="AE73" s="2318" t="s">
        <v>21</v>
      </c>
      <c r="AF73" s="2319" t="s">
        <v>22</v>
      </c>
      <c r="AG73" s="2320">
        <v>209</v>
      </c>
      <c r="AH73" s="2321">
        <v>14.220095693779903</v>
      </c>
      <c r="AI73" s="2263">
        <f t="shared" si="14"/>
        <v>2.2200956937799035</v>
      </c>
      <c r="AK73" s="2322"/>
      <c r="AL73" s="2322" t="s">
        <v>21</v>
      </c>
      <c r="AM73" s="2324" t="s">
        <v>22</v>
      </c>
      <c r="AN73" s="2325">
        <v>170</v>
      </c>
      <c r="AO73" s="2326">
        <v>14.182352941176463</v>
      </c>
      <c r="AP73" s="2323">
        <f t="shared" si="15"/>
        <v>2.1823529411764628</v>
      </c>
      <c r="AQ73" s="73"/>
      <c r="AR73" s="2322"/>
      <c r="AS73" s="2322" t="s">
        <v>21</v>
      </c>
      <c r="AT73" s="2324" t="s">
        <v>22</v>
      </c>
      <c r="AU73" s="2325">
        <v>181</v>
      </c>
      <c r="AV73" s="2326">
        <v>14.292817679558013</v>
      </c>
      <c r="AW73" s="2323">
        <f t="shared" si="16"/>
        <v>2.2928176795580129</v>
      </c>
      <c r="AX73" s="73"/>
      <c r="AY73" s="161"/>
      <c r="AZ73" s="161" t="s">
        <v>21</v>
      </c>
      <c r="BA73" s="73" t="s">
        <v>22</v>
      </c>
      <c r="BB73" s="161">
        <v>189</v>
      </c>
      <c r="BC73" s="2327">
        <v>14.693121693121681</v>
      </c>
      <c r="BD73" s="2328">
        <f t="shared" si="17"/>
        <v>2.6931216931216806</v>
      </c>
      <c r="BE73" s="73"/>
      <c r="BF73" s="2329"/>
      <c r="BG73" s="2329" t="s">
        <v>21</v>
      </c>
      <c r="BH73" s="737" t="s">
        <v>22</v>
      </c>
      <c r="BI73" s="2329">
        <v>208</v>
      </c>
      <c r="BJ73" s="2330">
        <v>14.442307692307688</v>
      </c>
      <c r="BK73" s="2331">
        <v>12</v>
      </c>
      <c r="BL73" s="3201">
        <f t="shared" si="18"/>
        <v>2.4423076923076881</v>
      </c>
    </row>
    <row r="74" spans="1:64">
      <c r="A74" s="73"/>
      <c r="B74" s="73"/>
      <c r="C74" s="73" t="s">
        <v>23</v>
      </c>
      <c r="D74" s="2327">
        <v>12.94</v>
      </c>
      <c r="E74" s="161">
        <v>96</v>
      </c>
      <c r="F74" s="2263">
        <f t="shared" si="11"/>
        <v>0.9399999999999995</v>
      </c>
      <c r="G74" s="2331">
        <v>12</v>
      </c>
      <c r="I74" s="163"/>
      <c r="J74" s="163"/>
      <c r="K74" s="73" t="s">
        <v>23</v>
      </c>
      <c r="L74" s="161">
        <v>13.07</v>
      </c>
      <c r="M74" s="161">
        <v>85</v>
      </c>
      <c r="N74" s="2263">
        <f t="shared" si="12"/>
        <v>1.0700000000000003</v>
      </c>
      <c r="P74" s="161"/>
      <c r="Q74" s="161"/>
      <c r="R74" s="73" t="s">
        <v>23</v>
      </c>
      <c r="S74" s="2327">
        <v>12.95</v>
      </c>
      <c r="T74" s="161">
        <v>124</v>
      </c>
      <c r="U74" s="2317">
        <f t="shared" si="10"/>
        <v>0.94999999999999929</v>
      </c>
      <c r="W74" s="1094"/>
      <c r="X74" s="1094"/>
      <c r="Y74" s="2316" t="s">
        <v>23</v>
      </c>
      <c r="Z74" s="2247">
        <v>13.231578947368423</v>
      </c>
      <c r="AA74" s="2248">
        <v>95</v>
      </c>
      <c r="AB74" s="2317">
        <f t="shared" si="13"/>
        <v>1.2315789473684227</v>
      </c>
      <c r="AD74" s="2318"/>
      <c r="AE74" s="2318"/>
      <c r="AF74" s="2319" t="s">
        <v>23</v>
      </c>
      <c r="AG74" s="2320">
        <v>121</v>
      </c>
      <c r="AH74" s="2321">
        <v>13.041322314049591</v>
      </c>
      <c r="AI74" s="2263">
        <f t="shared" si="14"/>
        <v>1.0413223140495909</v>
      </c>
      <c r="AK74" s="2322"/>
      <c r="AL74" s="2322"/>
      <c r="AM74" s="2324" t="s">
        <v>23</v>
      </c>
      <c r="AN74" s="2325">
        <v>111</v>
      </c>
      <c r="AO74" s="2326">
        <v>13.549549549549541</v>
      </c>
      <c r="AP74" s="2323">
        <f t="shared" si="15"/>
        <v>1.5495495495495408</v>
      </c>
      <c r="AQ74" s="73"/>
      <c r="AR74" s="2322"/>
      <c r="AS74" s="2322"/>
      <c r="AT74" s="2324" t="s">
        <v>23</v>
      </c>
      <c r="AU74" s="2325">
        <v>94</v>
      </c>
      <c r="AV74" s="2326">
        <v>13.76595744680851</v>
      </c>
      <c r="AW74" s="2323">
        <f t="shared" si="16"/>
        <v>1.7659574468085104</v>
      </c>
      <c r="AX74" s="73"/>
      <c r="AY74" s="161"/>
      <c r="AZ74" s="161"/>
      <c r="BA74" s="73" t="s">
        <v>23</v>
      </c>
      <c r="BB74" s="161">
        <v>72</v>
      </c>
      <c r="BC74" s="2327">
        <v>13.541666666666666</v>
      </c>
      <c r="BD74" s="2328">
        <f t="shared" si="17"/>
        <v>1.5416666666666661</v>
      </c>
      <c r="BE74" s="73"/>
      <c r="BF74" s="2329"/>
      <c r="BG74" s="2329"/>
      <c r="BH74" s="737" t="s">
        <v>23</v>
      </c>
      <c r="BI74" s="2329">
        <v>92</v>
      </c>
      <c r="BJ74" s="2330">
        <v>13.5</v>
      </c>
      <c r="BK74" s="2331">
        <v>12</v>
      </c>
      <c r="BL74" s="3201">
        <f t="shared" si="18"/>
        <v>1.5</v>
      </c>
    </row>
    <row r="75" spans="1:64">
      <c r="A75" s="73"/>
      <c r="B75" s="73"/>
      <c r="C75" s="73" t="s">
        <v>24</v>
      </c>
      <c r="D75" s="2327">
        <v>13.5</v>
      </c>
      <c r="E75" s="161">
        <v>80</v>
      </c>
      <c r="F75" s="2263">
        <f t="shared" si="11"/>
        <v>1.5</v>
      </c>
      <c r="G75" s="2331">
        <v>12</v>
      </c>
      <c r="I75" s="163"/>
      <c r="J75" s="163"/>
      <c r="K75" s="73" t="s">
        <v>24</v>
      </c>
      <c r="L75" s="161">
        <v>13.93</v>
      </c>
      <c r="M75" s="161">
        <v>91</v>
      </c>
      <c r="N75" s="2263">
        <f t="shared" si="12"/>
        <v>1.9299999999999997</v>
      </c>
      <c r="P75" s="161"/>
      <c r="Q75" s="161"/>
      <c r="R75" s="73" t="s">
        <v>24</v>
      </c>
      <c r="S75" s="2327">
        <v>14.11</v>
      </c>
      <c r="T75" s="161">
        <v>95</v>
      </c>
      <c r="U75" s="2317">
        <f t="shared" si="10"/>
        <v>2.1099999999999994</v>
      </c>
      <c r="W75" s="1094"/>
      <c r="X75" s="1094"/>
      <c r="Y75" s="2316" t="s">
        <v>24</v>
      </c>
      <c r="Z75" s="2247">
        <v>13.694444444444443</v>
      </c>
      <c r="AA75" s="2248">
        <v>72</v>
      </c>
      <c r="AB75" s="2317">
        <f t="shared" si="13"/>
        <v>1.6944444444444429</v>
      </c>
      <c r="AD75" s="2318"/>
      <c r="AE75" s="2318"/>
      <c r="AF75" s="2319" t="s">
        <v>24</v>
      </c>
      <c r="AG75" s="2320">
        <v>73</v>
      </c>
      <c r="AH75" s="2321">
        <v>13.602739726027401</v>
      </c>
      <c r="AI75" s="2263">
        <f t="shared" si="14"/>
        <v>1.6027397260274014</v>
      </c>
      <c r="AK75" s="2322"/>
      <c r="AL75" s="2322"/>
      <c r="AM75" s="2324" t="s">
        <v>24</v>
      </c>
      <c r="AN75" s="2325">
        <v>76</v>
      </c>
      <c r="AO75" s="2326">
        <v>13.592105263157894</v>
      </c>
      <c r="AP75" s="2323">
        <f t="shared" si="15"/>
        <v>1.5921052631578938</v>
      </c>
      <c r="AQ75" s="73"/>
      <c r="AR75" s="2322"/>
      <c r="AS75" s="2322"/>
      <c r="AT75" s="2324" t="s">
        <v>24</v>
      </c>
      <c r="AU75" s="2325">
        <v>46</v>
      </c>
      <c r="AV75" s="2326">
        <v>13.978260869565217</v>
      </c>
      <c r="AW75" s="2323">
        <f t="shared" si="16"/>
        <v>1.9782608695652169</v>
      </c>
      <c r="AX75" s="73"/>
      <c r="AY75" s="161"/>
      <c r="AZ75" s="161"/>
      <c r="BA75" s="73" t="s">
        <v>24</v>
      </c>
      <c r="BB75" s="161">
        <v>75</v>
      </c>
      <c r="BC75" s="2327">
        <v>14.46666666666667</v>
      </c>
      <c r="BD75" s="2328">
        <f t="shared" si="17"/>
        <v>2.4666666666666703</v>
      </c>
      <c r="BE75" s="73"/>
      <c r="BF75" s="2329"/>
      <c r="BG75" s="2329"/>
      <c r="BH75" s="737" t="s">
        <v>24</v>
      </c>
      <c r="BI75" s="2329">
        <v>79</v>
      </c>
      <c r="BJ75" s="2330">
        <v>14.050632911392409</v>
      </c>
      <c r="BK75" s="2331">
        <v>12</v>
      </c>
      <c r="BL75" s="3201">
        <f t="shared" si="18"/>
        <v>2.0506329113924089</v>
      </c>
    </row>
    <row r="76" spans="1:64">
      <c r="A76" s="73"/>
      <c r="B76" s="73"/>
      <c r="C76" s="73" t="s">
        <v>58</v>
      </c>
      <c r="D76" s="2327">
        <v>13.3</v>
      </c>
      <c r="E76" s="161">
        <v>61</v>
      </c>
      <c r="F76" s="2263">
        <f t="shared" si="11"/>
        <v>1.3000000000000007</v>
      </c>
      <c r="G76" s="2331">
        <v>12</v>
      </c>
      <c r="I76" s="163"/>
      <c r="J76" s="163"/>
      <c r="K76" s="73" t="s">
        <v>58</v>
      </c>
      <c r="L76" s="161">
        <v>12.92</v>
      </c>
      <c r="M76" s="161">
        <v>63</v>
      </c>
      <c r="N76" s="2263">
        <f t="shared" si="12"/>
        <v>0.91999999999999993</v>
      </c>
      <c r="P76" s="161"/>
      <c r="Q76" s="161"/>
      <c r="R76" s="73" t="s">
        <v>58</v>
      </c>
      <c r="S76" s="2327">
        <v>13.96</v>
      </c>
      <c r="T76" s="161">
        <v>84</v>
      </c>
      <c r="U76" s="2317">
        <f t="shared" si="10"/>
        <v>1.9600000000000009</v>
      </c>
      <c r="W76" s="1094"/>
      <c r="X76" s="1094"/>
      <c r="Y76" s="2316" t="s">
        <v>58</v>
      </c>
      <c r="Z76" s="2247">
        <v>14.109589041095889</v>
      </c>
      <c r="AA76" s="2248">
        <v>73</v>
      </c>
      <c r="AB76" s="2317">
        <f t="shared" si="13"/>
        <v>2.1095890410958891</v>
      </c>
      <c r="AD76" s="2318"/>
      <c r="AE76" s="2318"/>
      <c r="AF76" s="2319" t="s">
        <v>58</v>
      </c>
      <c r="AG76" s="2320">
        <v>50</v>
      </c>
      <c r="AH76" s="2321">
        <v>12.960000000000003</v>
      </c>
      <c r="AI76" s="2263">
        <f t="shared" si="14"/>
        <v>0.96000000000000263</v>
      </c>
      <c r="AK76" s="2322"/>
      <c r="AL76" s="2322"/>
      <c r="AM76" s="2324" t="s">
        <v>58</v>
      </c>
      <c r="AN76" s="2325">
        <v>79</v>
      </c>
      <c r="AO76" s="2326">
        <v>13.873417721518987</v>
      </c>
      <c r="AP76" s="2323">
        <f t="shared" si="15"/>
        <v>1.8734177215189867</v>
      </c>
      <c r="AQ76" s="73"/>
      <c r="AR76" s="2322"/>
      <c r="AS76" s="2322"/>
      <c r="AT76" s="2324" t="s">
        <v>58</v>
      </c>
      <c r="AU76" s="2325">
        <v>51</v>
      </c>
      <c r="AV76" s="2326">
        <v>14.019607843137257</v>
      </c>
      <c r="AW76" s="2323">
        <f t="shared" si="16"/>
        <v>2.0196078431372566</v>
      </c>
      <c r="AX76" s="73"/>
      <c r="AY76" s="161"/>
      <c r="AZ76" s="161"/>
      <c r="BA76" s="73" t="s">
        <v>58</v>
      </c>
      <c r="BB76" s="161">
        <v>41</v>
      </c>
      <c r="BC76" s="2327">
        <v>13.560975609756099</v>
      </c>
      <c r="BD76" s="2328">
        <f t="shared" si="17"/>
        <v>1.5609756097560989</v>
      </c>
      <c r="BE76" s="73"/>
      <c r="BF76" s="2329"/>
      <c r="BG76" s="2329"/>
      <c r="BH76" s="737" t="s">
        <v>58</v>
      </c>
      <c r="BI76" s="2329">
        <v>66</v>
      </c>
      <c r="BJ76" s="2330">
        <v>13.515151515151514</v>
      </c>
      <c r="BK76" s="2331">
        <v>12</v>
      </c>
      <c r="BL76" s="3201">
        <f t="shared" si="18"/>
        <v>1.5151515151515138</v>
      </c>
    </row>
    <row r="77" spans="1:64">
      <c r="A77" s="73"/>
      <c r="B77" s="73"/>
      <c r="C77" s="738" t="s">
        <v>574</v>
      </c>
      <c r="D77" s="2342">
        <v>13.56</v>
      </c>
      <c r="E77" s="4603">
        <v>437</v>
      </c>
      <c r="F77" s="3210">
        <f t="shared" si="11"/>
        <v>1.5600000000000005</v>
      </c>
      <c r="G77" s="2331">
        <v>12</v>
      </c>
      <c r="I77" s="163"/>
      <c r="J77" s="163"/>
      <c r="K77" s="738" t="s">
        <v>574</v>
      </c>
      <c r="L77" s="151">
        <v>13.53</v>
      </c>
      <c r="M77" s="151">
        <v>400</v>
      </c>
      <c r="N77" s="3210">
        <f t="shared" si="12"/>
        <v>1.5299999999999994</v>
      </c>
      <c r="P77" s="161"/>
      <c r="Q77" s="161"/>
      <c r="R77" s="738" t="s">
        <v>574</v>
      </c>
      <c r="S77" s="2342">
        <v>13.75</v>
      </c>
      <c r="T77" s="151">
        <v>448</v>
      </c>
      <c r="U77" s="2596">
        <f t="shared" si="10"/>
        <v>1.75</v>
      </c>
      <c r="W77" s="1094"/>
      <c r="X77" s="1094"/>
      <c r="Y77" s="2332" t="s">
        <v>574</v>
      </c>
      <c r="Z77" s="2333">
        <v>13.686274509803924</v>
      </c>
      <c r="AA77" s="2334">
        <v>408</v>
      </c>
      <c r="AB77" s="2317">
        <f t="shared" si="13"/>
        <v>1.6862745098039245</v>
      </c>
      <c r="AD77" s="2318"/>
      <c r="AE77" s="2318"/>
      <c r="AF77" s="2335" t="s">
        <v>574</v>
      </c>
      <c r="AG77" s="2336">
        <v>453</v>
      </c>
      <c r="AH77" s="2337">
        <v>13.666666666666671</v>
      </c>
      <c r="AI77" s="2263">
        <f t="shared" si="14"/>
        <v>1.6666666666666714</v>
      </c>
      <c r="AK77" s="2322"/>
      <c r="AL77" s="2322"/>
      <c r="AM77" s="2338" t="s">
        <v>574</v>
      </c>
      <c r="AN77" s="2339">
        <f>SUM(AN73:AN76)</f>
        <v>436</v>
      </c>
      <c r="AO77" s="2340">
        <v>13.862385321100916</v>
      </c>
      <c r="AP77" s="2341">
        <f t="shared" si="15"/>
        <v>1.8623853211009163</v>
      </c>
      <c r="AQ77" s="73"/>
      <c r="AR77" s="2322"/>
      <c r="AS77" s="2322"/>
      <c r="AT77" s="2338" t="s">
        <v>574</v>
      </c>
      <c r="AU77" s="2339">
        <v>372</v>
      </c>
      <c r="AV77" s="2340">
        <v>14.083333333333334</v>
      </c>
      <c r="AW77" s="2341">
        <f t="shared" si="16"/>
        <v>2.0833333333333339</v>
      </c>
      <c r="AX77" s="73"/>
      <c r="AY77" s="161"/>
      <c r="AZ77" s="161"/>
      <c r="BA77" s="738" t="s">
        <v>15</v>
      </c>
      <c r="BB77" s="151">
        <v>377</v>
      </c>
      <c r="BC77" s="2342">
        <v>14.305039787798409</v>
      </c>
      <c r="BD77" s="2343">
        <f t="shared" si="17"/>
        <v>2.3050397877984086</v>
      </c>
      <c r="BE77" s="73"/>
      <c r="BF77" s="2329"/>
      <c r="BG77" s="2329"/>
      <c r="BH77" s="2344" t="s">
        <v>15</v>
      </c>
      <c r="BI77" s="2345">
        <v>445</v>
      </c>
      <c r="BJ77" s="2346">
        <v>14.040449438202241</v>
      </c>
      <c r="BK77" s="2331">
        <v>12</v>
      </c>
      <c r="BL77" s="3202">
        <f t="shared" si="18"/>
        <v>2.0404494382022413</v>
      </c>
    </row>
    <row r="78" spans="1:64">
      <c r="A78" s="4616"/>
      <c r="B78" s="4616"/>
      <c r="C78" s="4617" t="s">
        <v>461</v>
      </c>
      <c r="D78" s="4618">
        <v>13.92</v>
      </c>
      <c r="E78" s="4619">
        <v>2394</v>
      </c>
      <c r="F78" s="3211">
        <f t="shared" si="11"/>
        <v>1.92</v>
      </c>
      <c r="G78" s="2362">
        <v>12</v>
      </c>
      <c r="I78" s="2630"/>
      <c r="J78" s="2630"/>
      <c r="K78" s="2593" t="s">
        <v>461</v>
      </c>
      <c r="L78" s="2595">
        <v>13.76</v>
      </c>
      <c r="M78" s="2595">
        <v>2281</v>
      </c>
      <c r="N78" s="3211">
        <f t="shared" si="12"/>
        <v>1.7599999999999998</v>
      </c>
      <c r="P78" s="2598"/>
      <c r="Q78" s="2598"/>
      <c r="R78" s="2593" t="s">
        <v>461</v>
      </c>
      <c r="S78" s="2594">
        <v>13.71</v>
      </c>
      <c r="T78" s="2595">
        <v>2383</v>
      </c>
      <c r="U78" s="2597">
        <f t="shared" si="10"/>
        <v>1.7100000000000009</v>
      </c>
      <c r="W78" s="1094"/>
      <c r="X78" s="1094"/>
      <c r="Y78" s="2332" t="s">
        <v>461</v>
      </c>
      <c r="Z78" s="2333">
        <v>13.775423728813557</v>
      </c>
      <c r="AA78" s="2334">
        <v>2360</v>
      </c>
      <c r="AB78" s="2347">
        <f t="shared" si="13"/>
        <v>1.775423728813557</v>
      </c>
      <c r="AD78" s="2348"/>
      <c r="AE78" s="2348"/>
      <c r="AF78" s="2349" t="s">
        <v>461</v>
      </c>
      <c r="AG78" s="2350">
        <v>2388</v>
      </c>
      <c r="AH78" s="2351">
        <v>13.662060301507545</v>
      </c>
      <c r="AI78" s="2352">
        <f t="shared" si="14"/>
        <v>1.6620603015075446</v>
      </c>
      <c r="AK78" s="2322"/>
      <c r="AL78" s="2322"/>
      <c r="AM78" s="2338" t="s">
        <v>461</v>
      </c>
      <c r="AN78" s="2371">
        <f>SUM(AN77,AN72,AN63)</f>
        <v>2491</v>
      </c>
      <c r="AO78" s="2372">
        <v>13.8</v>
      </c>
      <c r="AP78" s="2341">
        <f t="shared" si="15"/>
        <v>1.8000000000000007</v>
      </c>
      <c r="AQ78" s="73"/>
      <c r="AR78" s="2322"/>
      <c r="AS78" s="2322"/>
      <c r="AT78" s="2338" t="s">
        <v>461</v>
      </c>
      <c r="AU78" s="2339">
        <v>2351</v>
      </c>
      <c r="AV78" s="2340">
        <v>13.748617609527864</v>
      </c>
      <c r="AW78" s="2341">
        <f t="shared" si="16"/>
        <v>1.748617609527864</v>
      </c>
      <c r="AX78" s="73"/>
      <c r="AY78" s="2353"/>
      <c r="AZ78" s="2353"/>
      <c r="BA78" s="2354" t="s">
        <v>461</v>
      </c>
      <c r="BB78" s="2355">
        <v>2353</v>
      </c>
      <c r="BC78" s="2356">
        <v>13.886527836804103</v>
      </c>
      <c r="BD78" s="2357">
        <f t="shared" si="17"/>
        <v>1.8865278368041025</v>
      </c>
      <c r="BE78" s="73"/>
      <c r="BF78" s="2358"/>
      <c r="BG78" s="2358"/>
      <c r="BH78" s="2359" t="s">
        <v>461</v>
      </c>
      <c r="BI78" s="2360">
        <v>2520</v>
      </c>
      <c r="BJ78" s="2361">
        <v>13.781349206349185</v>
      </c>
      <c r="BK78" s="2362">
        <v>12</v>
      </c>
      <c r="BL78" s="3203">
        <f t="shared" si="18"/>
        <v>1.7813492063491854</v>
      </c>
    </row>
    <row r="79" spans="1:64">
      <c r="A79" s="73" t="s">
        <v>59</v>
      </c>
      <c r="B79" s="73" t="s">
        <v>16</v>
      </c>
      <c r="C79" s="73" t="s">
        <v>17</v>
      </c>
      <c r="D79" s="2327">
        <v>13.05</v>
      </c>
      <c r="E79" s="161">
        <v>40</v>
      </c>
      <c r="F79" s="2263">
        <f t="shared" si="11"/>
        <v>1.0500000000000007</v>
      </c>
      <c r="G79" s="2331">
        <v>12</v>
      </c>
      <c r="I79" s="163" t="s">
        <v>59</v>
      </c>
      <c r="J79" s="163" t="s">
        <v>16</v>
      </c>
      <c r="K79" s="73" t="s">
        <v>17</v>
      </c>
      <c r="L79" s="161">
        <v>14.22</v>
      </c>
      <c r="M79" s="161">
        <v>18</v>
      </c>
      <c r="N79" s="2263">
        <f t="shared" si="12"/>
        <v>2.2200000000000006</v>
      </c>
      <c r="P79" s="161" t="s">
        <v>59</v>
      </c>
      <c r="Q79" s="161" t="s">
        <v>16</v>
      </c>
      <c r="R79" s="73" t="s">
        <v>17</v>
      </c>
      <c r="S79" s="2327">
        <v>13.45</v>
      </c>
      <c r="T79" s="161">
        <v>22</v>
      </c>
      <c r="U79" s="2317">
        <f t="shared" si="10"/>
        <v>1.4499999999999993</v>
      </c>
      <c r="W79" s="2236" t="s">
        <v>59</v>
      </c>
      <c r="X79" s="2236" t="s">
        <v>16</v>
      </c>
      <c r="Y79" s="2363" t="s">
        <v>17</v>
      </c>
      <c r="Z79" s="2364">
        <v>14.733333333333333</v>
      </c>
      <c r="AA79" s="2365">
        <v>15</v>
      </c>
      <c r="AB79" s="2317">
        <f t="shared" si="13"/>
        <v>2.7333333333333325</v>
      </c>
      <c r="AD79" s="2318" t="s">
        <v>59</v>
      </c>
      <c r="AE79" s="2318" t="s">
        <v>16</v>
      </c>
      <c r="AF79" s="2319" t="s">
        <v>17</v>
      </c>
      <c r="AG79" s="2320">
        <v>24</v>
      </c>
      <c r="AH79" s="2321">
        <v>14.958333333333334</v>
      </c>
      <c r="AI79" s="2263">
        <f t="shared" si="14"/>
        <v>2.9583333333333339</v>
      </c>
      <c r="AK79" s="2366" t="s">
        <v>59</v>
      </c>
      <c r="AL79" s="2366" t="s">
        <v>16</v>
      </c>
      <c r="AM79" s="2367" t="s">
        <v>17</v>
      </c>
      <c r="AN79" s="735">
        <v>32</v>
      </c>
      <c r="AO79" s="736">
        <v>14.343749999999998</v>
      </c>
      <c r="AP79" s="2370">
        <f t="shared" si="15"/>
        <v>2.3437499999999982</v>
      </c>
      <c r="AQ79" s="73"/>
      <c r="AR79" s="2366" t="s">
        <v>59</v>
      </c>
      <c r="AS79" s="2366" t="s">
        <v>16</v>
      </c>
      <c r="AT79" s="2367" t="s">
        <v>17</v>
      </c>
      <c r="AU79" s="2368">
        <v>30</v>
      </c>
      <c r="AV79" s="2369">
        <v>12.933333333333335</v>
      </c>
      <c r="AW79" s="2370">
        <f t="shared" si="16"/>
        <v>0.93333333333333535</v>
      </c>
      <c r="AX79" s="73"/>
      <c r="AY79" s="161" t="s">
        <v>59</v>
      </c>
      <c r="AZ79" s="161" t="s">
        <v>16</v>
      </c>
      <c r="BA79" s="73" t="s">
        <v>17</v>
      </c>
      <c r="BB79" s="161">
        <v>40</v>
      </c>
      <c r="BC79" s="2327">
        <v>13.2</v>
      </c>
      <c r="BD79" s="2328">
        <f t="shared" si="17"/>
        <v>1.1999999999999993</v>
      </c>
      <c r="BE79" s="73"/>
      <c r="BF79" s="2329" t="s">
        <v>59</v>
      </c>
      <c r="BG79" s="2329" t="s">
        <v>16</v>
      </c>
      <c r="BH79" s="737" t="s">
        <v>17</v>
      </c>
      <c r="BI79" s="2329">
        <v>24</v>
      </c>
      <c r="BJ79" s="2330">
        <v>13.333333333333336</v>
      </c>
      <c r="BK79" s="2331">
        <v>12</v>
      </c>
      <c r="BL79" s="3201">
        <f t="shared" si="18"/>
        <v>1.3333333333333357</v>
      </c>
    </row>
    <row r="80" spans="1:64">
      <c r="A80" s="73"/>
      <c r="B80" s="73"/>
      <c r="C80" s="73" t="s">
        <v>60</v>
      </c>
      <c r="D80" s="2327">
        <v>15.17</v>
      </c>
      <c r="E80" s="161">
        <v>12</v>
      </c>
      <c r="F80" s="2263">
        <f t="shared" si="11"/>
        <v>3.17</v>
      </c>
      <c r="G80" s="2331">
        <v>12</v>
      </c>
      <c r="I80" s="163"/>
      <c r="J80" s="163"/>
      <c r="K80" s="73" t="s">
        <v>60</v>
      </c>
      <c r="L80" s="161">
        <v>14.45</v>
      </c>
      <c r="M80" s="161">
        <v>11</v>
      </c>
      <c r="N80" s="2263">
        <f t="shared" si="12"/>
        <v>2.4499999999999993</v>
      </c>
      <c r="P80" s="161"/>
      <c r="Q80" s="161"/>
      <c r="R80" s="73" t="s">
        <v>60</v>
      </c>
      <c r="S80" s="2327">
        <v>16.329999999999998</v>
      </c>
      <c r="T80" s="161">
        <v>3</v>
      </c>
      <c r="U80" s="2317">
        <f t="shared" si="10"/>
        <v>4.3299999999999983</v>
      </c>
      <c r="W80" s="1094"/>
      <c r="X80" s="1094"/>
      <c r="Y80" s="2316" t="s">
        <v>60</v>
      </c>
      <c r="Z80" s="2247">
        <v>13.5</v>
      </c>
      <c r="AA80" s="2248">
        <v>2</v>
      </c>
      <c r="AB80" s="2317">
        <f t="shared" si="13"/>
        <v>1.5</v>
      </c>
      <c r="AD80" s="2318"/>
      <c r="AE80" s="2318"/>
      <c r="AF80" s="2319" t="s">
        <v>60</v>
      </c>
      <c r="AG80" s="2320">
        <v>4</v>
      </c>
      <c r="AH80" s="2321">
        <v>12.75</v>
      </c>
      <c r="AI80" s="2263">
        <f t="shared" si="14"/>
        <v>0.75</v>
      </c>
      <c r="AK80" s="2322"/>
      <c r="AL80" s="2322"/>
      <c r="AM80" s="2324" t="s">
        <v>60</v>
      </c>
      <c r="AN80" s="735">
        <v>4</v>
      </c>
      <c r="AO80" s="736">
        <v>14.25</v>
      </c>
      <c r="AP80" s="2323">
        <f t="shared" si="15"/>
        <v>2.25</v>
      </c>
      <c r="AQ80" s="73"/>
      <c r="AR80" s="2322"/>
      <c r="AS80" s="2322"/>
      <c r="AT80" s="2324" t="s">
        <v>60</v>
      </c>
      <c r="AU80" s="2325">
        <v>17</v>
      </c>
      <c r="AV80" s="2326">
        <v>12.529411764705882</v>
      </c>
      <c r="AW80" s="2323">
        <f t="shared" si="16"/>
        <v>0.52941176470588225</v>
      </c>
      <c r="AX80" s="73"/>
      <c r="AY80" s="161"/>
      <c r="AZ80" s="161"/>
      <c r="BA80" s="73" t="s">
        <v>60</v>
      </c>
      <c r="BB80" s="161">
        <v>8</v>
      </c>
      <c r="BC80" s="2327">
        <v>12.125</v>
      </c>
      <c r="BD80" s="2328">
        <f t="shared" si="17"/>
        <v>0.125</v>
      </c>
      <c r="BE80" s="73"/>
      <c r="BF80" s="2329"/>
      <c r="BG80" s="2329"/>
      <c r="BH80" s="737" t="s">
        <v>18</v>
      </c>
      <c r="BI80" s="2329">
        <v>4</v>
      </c>
      <c r="BJ80" s="2330">
        <v>14.75</v>
      </c>
      <c r="BK80" s="2331">
        <v>12</v>
      </c>
      <c r="BL80" s="3201">
        <f t="shared" si="18"/>
        <v>2.75</v>
      </c>
    </row>
    <row r="81" spans="1:64">
      <c r="A81" s="73"/>
      <c r="B81" s="73"/>
      <c r="C81" s="73" t="s">
        <v>420</v>
      </c>
      <c r="D81" s="2327">
        <v>17.29</v>
      </c>
      <c r="E81" s="161">
        <v>7</v>
      </c>
      <c r="F81" s="2263">
        <f t="shared" si="11"/>
        <v>5.2899999999999991</v>
      </c>
      <c r="G81" s="2331">
        <v>12</v>
      </c>
      <c r="I81" s="163"/>
      <c r="J81" s="163"/>
      <c r="K81" s="73" t="s">
        <v>420</v>
      </c>
      <c r="L81" s="161">
        <v>18.71</v>
      </c>
      <c r="M81" s="161">
        <v>7</v>
      </c>
      <c r="N81" s="2263">
        <f t="shared" si="12"/>
        <v>6.7100000000000009</v>
      </c>
      <c r="P81" s="161"/>
      <c r="Q81" s="161"/>
      <c r="R81" s="73" t="s">
        <v>420</v>
      </c>
      <c r="S81" s="2327">
        <v>16.86</v>
      </c>
      <c r="T81" s="161">
        <v>7</v>
      </c>
      <c r="U81" s="2317">
        <f t="shared" si="10"/>
        <v>4.8599999999999994</v>
      </c>
      <c r="W81" s="1094"/>
      <c r="X81" s="1094"/>
      <c r="Y81" s="2316" t="s">
        <v>420</v>
      </c>
      <c r="Z81" s="2247">
        <v>16.09090909090909</v>
      </c>
      <c r="AA81" s="2248">
        <v>11</v>
      </c>
      <c r="AB81" s="2317">
        <f t="shared" si="13"/>
        <v>4.0909090909090899</v>
      </c>
      <c r="AD81" s="2318"/>
      <c r="AE81" s="2318"/>
      <c r="AF81" s="2319" t="s">
        <v>420</v>
      </c>
      <c r="AG81" s="2320">
        <v>3</v>
      </c>
      <c r="AH81" s="2321">
        <v>14</v>
      </c>
      <c r="AI81" s="2263">
        <f t="shared" si="14"/>
        <v>2</v>
      </c>
      <c r="AK81" s="2322"/>
      <c r="AL81" s="2322"/>
      <c r="AM81" s="2324" t="s">
        <v>420</v>
      </c>
      <c r="AN81" s="735">
        <v>7</v>
      </c>
      <c r="AO81" s="736">
        <v>15.142857142857142</v>
      </c>
      <c r="AP81" s="2323">
        <f t="shared" si="15"/>
        <v>3.1428571428571423</v>
      </c>
      <c r="AQ81" s="73"/>
      <c r="AR81" s="2322"/>
      <c r="AS81" s="2322"/>
      <c r="AT81" s="2324" t="s">
        <v>420</v>
      </c>
      <c r="AU81" s="2325">
        <v>7</v>
      </c>
      <c r="AV81" s="2326">
        <v>14.285714285714286</v>
      </c>
      <c r="AW81" s="2323">
        <f t="shared" si="16"/>
        <v>2.2857142857142865</v>
      </c>
      <c r="AX81" s="73"/>
      <c r="AY81" s="161"/>
      <c r="AZ81" s="161"/>
      <c r="BA81" s="73" t="s">
        <v>420</v>
      </c>
      <c r="BB81" s="161">
        <v>3</v>
      </c>
      <c r="BC81" s="2327">
        <v>12.666666666666666</v>
      </c>
      <c r="BD81" s="2328">
        <f t="shared" si="17"/>
        <v>0.66666666666666607</v>
      </c>
      <c r="BE81" s="73"/>
      <c r="BF81" s="2329"/>
      <c r="BG81" s="2329"/>
      <c r="BH81" s="737"/>
      <c r="BI81" s="2329"/>
      <c r="BJ81" s="2330"/>
      <c r="BK81" s="2331">
        <v>12</v>
      </c>
      <c r="BL81" s="3201"/>
    </row>
    <row r="82" spans="1:64">
      <c r="A82" s="73"/>
      <c r="B82" s="73"/>
      <c r="C82" s="738" t="s">
        <v>573</v>
      </c>
      <c r="D82" s="2342">
        <v>13.98</v>
      </c>
      <c r="E82" s="4603">
        <v>59</v>
      </c>
      <c r="F82" s="3210">
        <f t="shared" si="11"/>
        <v>1.9800000000000004</v>
      </c>
      <c r="G82" s="2331">
        <v>12</v>
      </c>
      <c r="I82" s="163"/>
      <c r="J82" s="163"/>
      <c r="K82" s="738" t="s">
        <v>573</v>
      </c>
      <c r="L82" s="151">
        <v>15.17</v>
      </c>
      <c r="M82" s="151">
        <v>36</v>
      </c>
      <c r="N82" s="3210">
        <f t="shared" si="12"/>
        <v>3.17</v>
      </c>
      <c r="P82" s="161"/>
      <c r="Q82" s="161"/>
      <c r="R82" s="738" t="s">
        <v>573</v>
      </c>
      <c r="S82" s="2342">
        <v>14.47</v>
      </c>
      <c r="T82" s="151">
        <v>32</v>
      </c>
      <c r="U82" s="2596">
        <f t="shared" si="10"/>
        <v>2.4700000000000006</v>
      </c>
      <c r="W82" s="1094"/>
      <c r="X82" s="1094"/>
      <c r="Y82" s="2332" t="s">
        <v>573</v>
      </c>
      <c r="Z82" s="2333">
        <v>15.178571428571431</v>
      </c>
      <c r="AA82" s="2334">
        <v>28</v>
      </c>
      <c r="AB82" s="2317">
        <f t="shared" si="13"/>
        <v>3.1785714285714306</v>
      </c>
      <c r="AD82" s="2318"/>
      <c r="AE82" s="2318"/>
      <c r="AF82" s="2335" t="s">
        <v>573</v>
      </c>
      <c r="AG82" s="2336">
        <v>33</v>
      </c>
      <c r="AH82" s="2337">
        <v>15</v>
      </c>
      <c r="AI82" s="2263">
        <f t="shared" si="14"/>
        <v>3</v>
      </c>
      <c r="AK82" s="2322"/>
      <c r="AL82" s="2322"/>
      <c r="AM82" s="2338" t="s">
        <v>573</v>
      </c>
      <c r="AN82" s="740">
        <f>SUM(AN79:AN81)</f>
        <v>43</v>
      </c>
      <c r="AO82" s="739">
        <v>14.47</v>
      </c>
      <c r="AP82" s="2341">
        <f t="shared" si="15"/>
        <v>2.4700000000000006</v>
      </c>
      <c r="AQ82" s="73"/>
      <c r="AR82" s="2322"/>
      <c r="AS82" s="2322"/>
      <c r="AT82" s="2338" t="s">
        <v>573</v>
      </c>
      <c r="AU82" s="2339">
        <v>54</v>
      </c>
      <c r="AV82" s="2340">
        <v>12.981481481481481</v>
      </c>
      <c r="AW82" s="2341">
        <f t="shared" si="16"/>
        <v>0.98148148148148096</v>
      </c>
      <c r="AX82" s="73"/>
      <c r="AY82" s="161"/>
      <c r="AZ82" s="161"/>
      <c r="BA82" s="738" t="s">
        <v>15</v>
      </c>
      <c r="BB82" s="151">
        <v>51</v>
      </c>
      <c r="BC82" s="2342">
        <v>13</v>
      </c>
      <c r="BD82" s="2343">
        <f t="shared" si="17"/>
        <v>1</v>
      </c>
      <c r="BE82" s="73"/>
      <c r="BF82" s="2329"/>
      <c r="BG82" s="2329"/>
      <c r="BH82" s="2344" t="s">
        <v>15</v>
      </c>
      <c r="BI82" s="2345">
        <v>28</v>
      </c>
      <c r="BJ82" s="2346">
        <v>13.535714285714286</v>
      </c>
      <c r="BK82" s="2331">
        <v>12</v>
      </c>
      <c r="BL82" s="3202">
        <f t="shared" si="18"/>
        <v>1.5357142857142865</v>
      </c>
    </row>
    <row r="83" spans="1:64">
      <c r="A83" s="73"/>
      <c r="B83" s="73" t="s">
        <v>61</v>
      </c>
      <c r="C83" s="73" t="s">
        <v>62</v>
      </c>
      <c r="D83" s="2327">
        <v>19.14</v>
      </c>
      <c r="E83" s="161">
        <v>21</v>
      </c>
      <c r="F83" s="2263">
        <f t="shared" si="11"/>
        <v>7.1400000000000006</v>
      </c>
      <c r="G83" s="2331">
        <v>12</v>
      </c>
      <c r="I83" s="163"/>
      <c r="J83" s="163" t="s">
        <v>61</v>
      </c>
      <c r="K83" s="73" t="s">
        <v>62</v>
      </c>
      <c r="L83" s="161">
        <v>17.32</v>
      </c>
      <c r="M83" s="161">
        <v>19</v>
      </c>
      <c r="N83" s="2263">
        <f t="shared" si="12"/>
        <v>5.32</v>
      </c>
      <c r="P83" s="161"/>
      <c r="Q83" s="161" t="s">
        <v>61</v>
      </c>
      <c r="R83" s="73" t="s">
        <v>62</v>
      </c>
      <c r="S83" s="2327">
        <v>17.5</v>
      </c>
      <c r="T83" s="161">
        <v>14</v>
      </c>
      <c r="U83" s="2317">
        <f t="shared" si="10"/>
        <v>5.5</v>
      </c>
      <c r="W83" s="1094"/>
      <c r="X83" s="1094" t="s">
        <v>61</v>
      </c>
      <c r="Y83" s="2316" t="s">
        <v>62</v>
      </c>
      <c r="Z83" s="2247">
        <v>17.888888888888889</v>
      </c>
      <c r="AA83" s="2248">
        <v>9</v>
      </c>
      <c r="AB83" s="2317">
        <f t="shared" si="13"/>
        <v>5.8888888888888893</v>
      </c>
      <c r="AD83" s="2318"/>
      <c r="AE83" s="2318" t="s">
        <v>61</v>
      </c>
      <c r="AF83" s="2319" t="s">
        <v>62</v>
      </c>
      <c r="AG83" s="2320">
        <v>11</v>
      </c>
      <c r="AH83" s="2321">
        <v>17.27272727272727</v>
      </c>
      <c r="AI83" s="2263">
        <f t="shared" si="14"/>
        <v>5.2727272727272698</v>
      </c>
      <c r="AK83" s="2322"/>
      <c r="AL83" s="2322" t="s">
        <v>61</v>
      </c>
      <c r="AM83" s="2324" t="s">
        <v>62</v>
      </c>
      <c r="AN83" s="735">
        <v>6</v>
      </c>
      <c r="AO83" s="736">
        <v>16.5</v>
      </c>
      <c r="AP83" s="2323">
        <f t="shared" si="15"/>
        <v>4.5</v>
      </c>
      <c r="AQ83" s="73"/>
      <c r="AR83" s="2322"/>
      <c r="AS83" s="2322" t="s">
        <v>61</v>
      </c>
      <c r="AT83" s="2324" t="s">
        <v>62</v>
      </c>
      <c r="AU83" s="2325">
        <v>19</v>
      </c>
      <c r="AV83" s="2326">
        <v>14.947368421052634</v>
      </c>
      <c r="AW83" s="2323">
        <f t="shared" si="16"/>
        <v>2.9473684210526336</v>
      </c>
      <c r="AX83" s="73"/>
      <c r="AY83" s="161"/>
      <c r="AZ83" s="161" t="s">
        <v>61</v>
      </c>
      <c r="BA83" s="73" t="s">
        <v>62</v>
      </c>
      <c r="BB83" s="161">
        <v>15</v>
      </c>
      <c r="BC83" s="2327">
        <v>13.866666666666669</v>
      </c>
      <c r="BD83" s="2328">
        <f t="shared" si="17"/>
        <v>1.8666666666666689</v>
      </c>
      <c r="BE83" s="73"/>
      <c r="BF83" s="2329"/>
      <c r="BG83" s="2329" t="s">
        <v>61</v>
      </c>
      <c r="BH83" s="737" t="s">
        <v>62</v>
      </c>
      <c r="BI83" s="2329">
        <v>15</v>
      </c>
      <c r="BJ83" s="2330">
        <v>13.6</v>
      </c>
      <c r="BK83" s="2331">
        <v>12</v>
      </c>
      <c r="BL83" s="3201">
        <f t="shared" si="18"/>
        <v>1.5999999999999996</v>
      </c>
    </row>
    <row r="84" spans="1:64">
      <c r="A84" s="73"/>
      <c r="B84" s="73"/>
      <c r="C84" s="73" t="s">
        <v>421</v>
      </c>
      <c r="D84" s="2327">
        <v>19.079999999999998</v>
      </c>
      <c r="E84" s="161">
        <v>13</v>
      </c>
      <c r="F84" s="2263">
        <f t="shared" si="11"/>
        <v>7.0799999999999983</v>
      </c>
      <c r="G84" s="2331">
        <v>12</v>
      </c>
      <c r="I84" s="163"/>
      <c r="J84" s="163"/>
      <c r="K84" s="73" t="s">
        <v>421</v>
      </c>
      <c r="L84" s="161">
        <v>18.14</v>
      </c>
      <c r="M84" s="161">
        <v>7</v>
      </c>
      <c r="N84" s="2263">
        <f t="shared" si="12"/>
        <v>6.1400000000000006</v>
      </c>
      <c r="P84" s="161"/>
      <c r="Q84" s="161"/>
      <c r="R84" s="73" t="s">
        <v>421</v>
      </c>
      <c r="S84" s="2327">
        <v>19.29</v>
      </c>
      <c r="T84" s="161">
        <v>7</v>
      </c>
      <c r="U84" s="2317">
        <f t="shared" si="10"/>
        <v>7.2899999999999991</v>
      </c>
      <c r="W84" s="1094"/>
      <c r="X84" s="1094"/>
      <c r="Y84" s="2316" t="s">
        <v>421</v>
      </c>
      <c r="Z84" s="2247">
        <v>17.000000000000004</v>
      </c>
      <c r="AA84" s="2248">
        <v>7</v>
      </c>
      <c r="AB84" s="2317">
        <f t="shared" si="13"/>
        <v>5.0000000000000036</v>
      </c>
      <c r="AD84" s="2318"/>
      <c r="AE84" s="2318"/>
      <c r="AF84" s="2319" t="s">
        <v>421</v>
      </c>
      <c r="AG84" s="2320">
        <v>2</v>
      </c>
      <c r="AH84" s="2321">
        <v>14.5</v>
      </c>
      <c r="AI84" s="2263">
        <f t="shared" si="14"/>
        <v>2.5</v>
      </c>
      <c r="AK84" s="2322"/>
      <c r="AL84" s="2322"/>
      <c r="AM84" s="2324" t="s">
        <v>421</v>
      </c>
      <c r="AN84" s="735"/>
      <c r="AO84" s="736"/>
      <c r="AP84" s="2323"/>
      <c r="AQ84" s="73"/>
      <c r="AR84" s="2322"/>
      <c r="AS84" s="2322"/>
      <c r="AT84" s="2324" t="s">
        <v>421</v>
      </c>
      <c r="AU84" s="2325">
        <v>2</v>
      </c>
      <c r="AV84" s="2326">
        <v>15.5</v>
      </c>
      <c r="AW84" s="2323">
        <f t="shared" si="16"/>
        <v>3.5</v>
      </c>
      <c r="AX84" s="73"/>
      <c r="AY84" s="161"/>
      <c r="AZ84" s="161"/>
      <c r="BA84" s="73" t="s">
        <v>421</v>
      </c>
      <c r="BB84" s="161">
        <v>2</v>
      </c>
      <c r="BC84" s="2327">
        <v>12.5</v>
      </c>
      <c r="BD84" s="2328">
        <f t="shared" si="17"/>
        <v>0.5</v>
      </c>
      <c r="BE84" s="73"/>
      <c r="BF84" s="2329"/>
      <c r="BG84" s="2329"/>
      <c r="BH84" s="737"/>
      <c r="BI84" s="2329"/>
      <c r="BJ84" s="2330"/>
      <c r="BK84" s="2331">
        <v>12</v>
      </c>
      <c r="BL84" s="3201"/>
    </row>
    <row r="85" spans="1:64">
      <c r="A85" s="73"/>
      <c r="B85" s="73"/>
      <c r="C85" s="73" t="s">
        <v>63</v>
      </c>
      <c r="D85" s="2327">
        <v>14.33</v>
      </c>
      <c r="E85" s="161">
        <v>30</v>
      </c>
      <c r="F85" s="2263">
        <f t="shared" si="11"/>
        <v>2.33</v>
      </c>
      <c r="G85" s="2331">
        <v>12</v>
      </c>
      <c r="I85" s="163"/>
      <c r="J85" s="163"/>
      <c r="K85" s="73" t="s">
        <v>63</v>
      </c>
      <c r="L85" s="161">
        <v>15.45</v>
      </c>
      <c r="M85" s="161">
        <v>29</v>
      </c>
      <c r="N85" s="2263">
        <f t="shared" si="12"/>
        <v>3.4499999999999993</v>
      </c>
      <c r="P85" s="161"/>
      <c r="Q85" s="161"/>
      <c r="R85" s="73" t="s">
        <v>63</v>
      </c>
      <c r="S85" s="2327">
        <v>14.89</v>
      </c>
      <c r="T85" s="161">
        <v>18</v>
      </c>
      <c r="U85" s="2317">
        <f t="shared" si="10"/>
        <v>2.8900000000000006</v>
      </c>
      <c r="W85" s="1094"/>
      <c r="X85" s="1094"/>
      <c r="Y85" s="2316" t="s">
        <v>63</v>
      </c>
      <c r="Z85" s="2247">
        <v>15.384615384615387</v>
      </c>
      <c r="AA85" s="2248">
        <v>13</v>
      </c>
      <c r="AB85" s="2317">
        <f t="shared" si="13"/>
        <v>3.3846153846153868</v>
      </c>
      <c r="AD85" s="2318"/>
      <c r="AE85" s="2318"/>
      <c r="AF85" s="2319" t="s">
        <v>63</v>
      </c>
      <c r="AG85" s="2320">
        <v>18</v>
      </c>
      <c r="AH85" s="2321">
        <v>13.27777777777778</v>
      </c>
      <c r="AI85" s="2263">
        <f t="shared" si="14"/>
        <v>1.2777777777777803</v>
      </c>
      <c r="AK85" s="2322"/>
      <c r="AL85" s="2322"/>
      <c r="AM85" s="2324" t="s">
        <v>63</v>
      </c>
      <c r="AN85" s="735">
        <v>15</v>
      </c>
      <c r="AO85" s="736">
        <v>13.200000000000001</v>
      </c>
      <c r="AP85" s="2323">
        <f t="shared" si="15"/>
        <v>1.2000000000000011</v>
      </c>
      <c r="AQ85" s="73"/>
      <c r="AR85" s="2322"/>
      <c r="AS85" s="2322"/>
      <c r="AT85" s="2324" t="s">
        <v>63</v>
      </c>
      <c r="AU85" s="2325">
        <v>27</v>
      </c>
      <c r="AV85" s="2326">
        <v>13.148148148148149</v>
      </c>
      <c r="AW85" s="2323">
        <f t="shared" si="16"/>
        <v>1.1481481481481488</v>
      </c>
      <c r="AX85" s="73"/>
      <c r="AY85" s="161"/>
      <c r="AZ85" s="161"/>
      <c r="BA85" s="73" t="s">
        <v>63</v>
      </c>
      <c r="BB85" s="161">
        <v>15</v>
      </c>
      <c r="BC85" s="2327">
        <v>12.266666666666666</v>
      </c>
      <c r="BD85" s="2328">
        <f t="shared" si="17"/>
        <v>0.26666666666666572</v>
      </c>
      <c r="BE85" s="73"/>
      <c r="BF85" s="2329"/>
      <c r="BG85" s="2329"/>
      <c r="BH85" s="737"/>
      <c r="BI85" s="2329"/>
      <c r="BJ85" s="2330"/>
      <c r="BK85" s="2331">
        <v>12</v>
      </c>
      <c r="BL85" s="3201"/>
    </row>
    <row r="86" spans="1:64">
      <c r="A86" s="73"/>
      <c r="B86" s="73"/>
      <c r="C86" s="738" t="s">
        <v>576</v>
      </c>
      <c r="D86" s="2342">
        <v>16.88</v>
      </c>
      <c r="E86" s="4603">
        <v>64</v>
      </c>
      <c r="F86" s="3210">
        <f t="shared" si="11"/>
        <v>4.879999999999999</v>
      </c>
      <c r="G86" s="2331">
        <v>12</v>
      </c>
      <c r="I86" s="163"/>
      <c r="J86" s="163"/>
      <c r="K86" s="738" t="s">
        <v>576</v>
      </c>
      <c r="L86" s="151">
        <v>16.440000000000001</v>
      </c>
      <c r="M86" s="151">
        <v>55</v>
      </c>
      <c r="N86" s="3210">
        <f t="shared" si="12"/>
        <v>4.4400000000000013</v>
      </c>
      <c r="P86" s="161"/>
      <c r="Q86" s="161"/>
      <c r="R86" s="738" t="s">
        <v>576</v>
      </c>
      <c r="S86" s="2342">
        <v>16.62</v>
      </c>
      <c r="T86" s="151">
        <v>39</v>
      </c>
      <c r="U86" s="2596">
        <f t="shared" si="10"/>
        <v>4.620000000000001</v>
      </c>
      <c r="W86" s="1094"/>
      <c r="X86" s="1094"/>
      <c r="Y86" s="2332" t="s">
        <v>576</v>
      </c>
      <c r="Z86" s="2333">
        <v>16.551724137931039</v>
      </c>
      <c r="AA86" s="2334">
        <v>29</v>
      </c>
      <c r="AB86" s="2317">
        <f t="shared" si="13"/>
        <v>4.5517241379310391</v>
      </c>
      <c r="AD86" s="2318"/>
      <c r="AE86" s="2318"/>
      <c r="AF86" s="2335" t="s">
        <v>576</v>
      </c>
      <c r="AG86" s="2336">
        <v>31</v>
      </c>
      <c r="AH86" s="2337">
        <v>14.7741935483871</v>
      </c>
      <c r="AI86" s="2263">
        <f t="shared" si="14"/>
        <v>2.7741935483870996</v>
      </c>
      <c r="AK86" s="2322"/>
      <c r="AL86" s="2322"/>
      <c r="AM86" s="2338" t="s">
        <v>576</v>
      </c>
      <c r="AN86" s="740">
        <f>SUM(AN83:AN85)</f>
        <v>21</v>
      </c>
      <c r="AO86" s="739">
        <v>14.14</v>
      </c>
      <c r="AP86" s="2341">
        <f t="shared" si="15"/>
        <v>2.1400000000000006</v>
      </c>
      <c r="AQ86" s="73"/>
      <c r="AR86" s="2322"/>
      <c r="AS86" s="2322"/>
      <c r="AT86" s="2338" t="s">
        <v>576</v>
      </c>
      <c r="AU86" s="2339">
        <v>48</v>
      </c>
      <c r="AV86" s="2340">
        <v>13.958333333333334</v>
      </c>
      <c r="AW86" s="2341">
        <f t="shared" si="16"/>
        <v>1.9583333333333339</v>
      </c>
      <c r="AX86" s="73"/>
      <c r="AY86" s="161"/>
      <c r="AZ86" s="161"/>
      <c r="BA86" s="738" t="s">
        <v>15</v>
      </c>
      <c r="BB86" s="151">
        <v>32</v>
      </c>
      <c r="BC86" s="2342">
        <v>13.031250000000002</v>
      </c>
      <c r="BD86" s="2343">
        <f t="shared" si="17"/>
        <v>1.0312500000000018</v>
      </c>
      <c r="BE86" s="73"/>
      <c r="BF86" s="2329"/>
      <c r="BG86" s="2329"/>
      <c r="BH86" s="2344" t="s">
        <v>15</v>
      </c>
      <c r="BI86" s="2345">
        <v>15</v>
      </c>
      <c r="BJ86" s="2346">
        <v>13.6</v>
      </c>
      <c r="BK86" s="2331">
        <v>12</v>
      </c>
      <c r="BL86" s="3202">
        <f t="shared" si="18"/>
        <v>1.5999999999999996</v>
      </c>
    </row>
    <row r="87" spans="1:64">
      <c r="A87" s="73"/>
      <c r="B87" s="73" t="s">
        <v>64</v>
      </c>
      <c r="C87" s="73" t="s">
        <v>14</v>
      </c>
      <c r="D87" s="2327">
        <v>17.89</v>
      </c>
      <c r="E87" s="161">
        <v>28</v>
      </c>
      <c r="F87" s="2263">
        <f t="shared" si="11"/>
        <v>5.8900000000000006</v>
      </c>
      <c r="G87" s="2331">
        <v>12</v>
      </c>
      <c r="I87" s="163"/>
      <c r="J87" s="163" t="s">
        <v>64</v>
      </c>
      <c r="K87" s="73" t="s">
        <v>14</v>
      </c>
      <c r="L87" s="161">
        <v>20.399999999999999</v>
      </c>
      <c r="M87" s="161">
        <v>5</v>
      </c>
      <c r="N87" s="2263">
        <f t="shared" si="12"/>
        <v>8.3999999999999986</v>
      </c>
      <c r="P87" s="161"/>
      <c r="Q87" s="161" t="s">
        <v>64</v>
      </c>
      <c r="R87" s="73" t="s">
        <v>14</v>
      </c>
      <c r="S87" s="2327">
        <v>19.13</v>
      </c>
      <c r="T87" s="161">
        <v>8</v>
      </c>
      <c r="U87" s="2317">
        <f t="shared" si="10"/>
        <v>7.129999999999999</v>
      </c>
      <c r="W87" s="1094"/>
      <c r="X87" s="1094" t="s">
        <v>64</v>
      </c>
      <c r="Y87" s="2316" t="s">
        <v>14</v>
      </c>
      <c r="Z87" s="2247">
        <v>14.666666666666666</v>
      </c>
      <c r="AA87" s="2248">
        <v>6</v>
      </c>
      <c r="AB87" s="2317">
        <f t="shared" si="13"/>
        <v>2.6666666666666661</v>
      </c>
      <c r="AD87" s="2318"/>
      <c r="AE87" s="2318" t="s">
        <v>64</v>
      </c>
      <c r="AF87" s="2319" t="s">
        <v>14</v>
      </c>
      <c r="AG87" s="2320">
        <v>10</v>
      </c>
      <c r="AH87" s="2321">
        <v>18.100000000000001</v>
      </c>
      <c r="AI87" s="2263">
        <f t="shared" si="14"/>
        <v>6.1000000000000014</v>
      </c>
      <c r="AK87" s="2322"/>
      <c r="AL87" s="2322" t="s">
        <v>64</v>
      </c>
      <c r="AM87" s="2324" t="s">
        <v>14</v>
      </c>
      <c r="AN87" s="735">
        <v>10</v>
      </c>
      <c r="AO87" s="736">
        <v>16.3</v>
      </c>
      <c r="AP87" s="2323">
        <f t="shared" si="15"/>
        <v>4.3000000000000007</v>
      </c>
      <c r="AQ87" s="73"/>
      <c r="AR87" s="2322"/>
      <c r="AS87" s="2322" t="s">
        <v>64</v>
      </c>
      <c r="AT87" s="2324" t="s">
        <v>14</v>
      </c>
      <c r="AU87" s="2325">
        <v>13</v>
      </c>
      <c r="AV87" s="2326">
        <v>14.153846153846153</v>
      </c>
      <c r="AW87" s="2323">
        <f t="shared" si="16"/>
        <v>2.1538461538461533</v>
      </c>
      <c r="AX87" s="73"/>
      <c r="AY87" s="161"/>
      <c r="AZ87" s="161" t="s">
        <v>64</v>
      </c>
      <c r="BA87" s="73" t="s">
        <v>14</v>
      </c>
      <c r="BB87" s="161">
        <v>10</v>
      </c>
      <c r="BC87" s="2327">
        <v>13.600000000000001</v>
      </c>
      <c r="BD87" s="2328">
        <f t="shared" si="17"/>
        <v>1.6000000000000014</v>
      </c>
      <c r="BE87" s="73"/>
      <c r="BF87" s="2329"/>
      <c r="BG87" s="2329" t="s">
        <v>64</v>
      </c>
      <c r="BH87" s="737" t="s">
        <v>14</v>
      </c>
      <c r="BI87" s="2329">
        <v>9</v>
      </c>
      <c r="BJ87" s="2330">
        <v>13.888888888888889</v>
      </c>
      <c r="BK87" s="2331">
        <v>12</v>
      </c>
      <c r="BL87" s="3201">
        <f t="shared" si="18"/>
        <v>1.8888888888888893</v>
      </c>
    </row>
    <row r="88" spans="1:64">
      <c r="A88" s="73"/>
      <c r="B88" s="73"/>
      <c r="C88" s="73" t="s">
        <v>65</v>
      </c>
      <c r="D88" s="2327">
        <v>18</v>
      </c>
      <c r="E88" s="161">
        <v>7</v>
      </c>
      <c r="F88" s="2263">
        <f t="shared" si="11"/>
        <v>6</v>
      </c>
      <c r="G88" s="2331">
        <v>12</v>
      </c>
      <c r="I88" s="163"/>
      <c r="J88" s="163"/>
      <c r="K88" s="73" t="s">
        <v>65</v>
      </c>
      <c r="L88" s="161">
        <v>18.11</v>
      </c>
      <c r="M88" s="161">
        <v>9</v>
      </c>
      <c r="N88" s="2263">
        <f t="shared" si="12"/>
        <v>6.1099999999999994</v>
      </c>
      <c r="P88" s="161"/>
      <c r="Q88" s="161"/>
      <c r="R88" s="73" t="s">
        <v>65</v>
      </c>
      <c r="S88" s="2327">
        <v>20.5</v>
      </c>
      <c r="T88" s="161">
        <v>6</v>
      </c>
      <c r="U88" s="2317">
        <f t="shared" si="10"/>
        <v>8.5</v>
      </c>
      <c r="W88" s="1094"/>
      <c r="X88" s="1094"/>
      <c r="Y88" s="2316" t="s">
        <v>65</v>
      </c>
      <c r="Z88" s="2247">
        <v>19.285714285714285</v>
      </c>
      <c r="AA88" s="2248">
        <v>7</v>
      </c>
      <c r="AB88" s="2317">
        <f t="shared" si="13"/>
        <v>7.2857142857142847</v>
      </c>
      <c r="AD88" s="2318"/>
      <c r="AE88" s="2318"/>
      <c r="AF88" s="2319" t="s">
        <v>65</v>
      </c>
      <c r="AG88" s="2320">
        <v>3</v>
      </c>
      <c r="AH88" s="2321">
        <v>18.333333333333332</v>
      </c>
      <c r="AI88" s="2263">
        <f t="shared" si="14"/>
        <v>6.3333333333333321</v>
      </c>
      <c r="AK88" s="2322"/>
      <c r="AL88" s="2322"/>
      <c r="AM88" s="2324" t="s">
        <v>65</v>
      </c>
      <c r="AN88" s="735">
        <v>3</v>
      </c>
      <c r="AO88" s="736">
        <v>15.333333333333334</v>
      </c>
      <c r="AP88" s="2323">
        <f t="shared" si="15"/>
        <v>3.3333333333333339</v>
      </c>
      <c r="AQ88" s="73"/>
      <c r="AR88" s="2322"/>
      <c r="AS88" s="2322"/>
      <c r="AT88" s="2324" t="s">
        <v>65</v>
      </c>
      <c r="AU88" s="2325">
        <v>4</v>
      </c>
      <c r="AV88" s="2326">
        <v>14.75</v>
      </c>
      <c r="AW88" s="2323">
        <f t="shared" si="16"/>
        <v>2.75</v>
      </c>
      <c r="AX88" s="73"/>
      <c r="AY88" s="161"/>
      <c r="AZ88" s="161"/>
      <c r="BA88" s="73" t="s">
        <v>65</v>
      </c>
      <c r="BB88" s="161">
        <v>1</v>
      </c>
      <c r="BC88" s="2327">
        <v>19</v>
      </c>
      <c r="BD88" s="2328">
        <f t="shared" si="17"/>
        <v>7</v>
      </c>
      <c r="BE88" s="73"/>
      <c r="BF88" s="2329"/>
      <c r="BG88" s="2329"/>
      <c r="BH88" s="737" t="s">
        <v>65</v>
      </c>
      <c r="BI88" s="2329">
        <v>1</v>
      </c>
      <c r="BJ88" s="2330">
        <v>12</v>
      </c>
      <c r="BK88" s="2331">
        <v>12</v>
      </c>
      <c r="BL88" s="3201">
        <f t="shared" si="18"/>
        <v>0</v>
      </c>
    </row>
    <row r="89" spans="1:64">
      <c r="A89" s="73"/>
      <c r="B89" s="73"/>
      <c r="C89" s="73" t="s">
        <v>422</v>
      </c>
      <c r="D89" s="2327">
        <v>14.86</v>
      </c>
      <c r="E89" s="161">
        <v>14</v>
      </c>
      <c r="F89" s="2263">
        <f t="shared" si="11"/>
        <v>2.8599999999999994</v>
      </c>
      <c r="G89" s="2331">
        <v>12</v>
      </c>
      <c r="I89" s="163"/>
      <c r="J89" s="163"/>
      <c r="K89" s="73" t="s">
        <v>422</v>
      </c>
      <c r="L89" s="161">
        <v>18.75</v>
      </c>
      <c r="M89" s="161">
        <v>8</v>
      </c>
      <c r="N89" s="2263">
        <f t="shared" si="12"/>
        <v>6.75</v>
      </c>
      <c r="P89" s="161"/>
      <c r="Q89" s="161"/>
      <c r="R89" s="73" t="s">
        <v>422</v>
      </c>
      <c r="S89" s="2327">
        <v>18.22</v>
      </c>
      <c r="T89" s="161">
        <v>9</v>
      </c>
      <c r="U89" s="2317">
        <f t="shared" si="10"/>
        <v>6.2199999999999989</v>
      </c>
      <c r="W89" s="1094"/>
      <c r="X89" s="1094"/>
      <c r="Y89" s="2316" t="s">
        <v>422</v>
      </c>
      <c r="Z89" s="2247">
        <v>16.142857142857142</v>
      </c>
      <c r="AA89" s="2248">
        <v>7</v>
      </c>
      <c r="AB89" s="2317">
        <f t="shared" si="13"/>
        <v>4.1428571428571423</v>
      </c>
      <c r="AD89" s="2318"/>
      <c r="AE89" s="2318"/>
      <c r="AF89" s="2319" t="s">
        <v>422</v>
      </c>
      <c r="AG89" s="2320">
        <v>5</v>
      </c>
      <c r="AH89" s="2321">
        <v>17.399999999999999</v>
      </c>
      <c r="AI89" s="2263">
        <f t="shared" si="14"/>
        <v>5.3999999999999986</v>
      </c>
      <c r="AK89" s="2322"/>
      <c r="AL89" s="2322"/>
      <c r="AM89" s="2324" t="s">
        <v>422</v>
      </c>
      <c r="AN89" s="735">
        <v>2</v>
      </c>
      <c r="AO89" s="736">
        <v>13.5</v>
      </c>
      <c r="AP89" s="2323">
        <f t="shared" si="15"/>
        <v>1.5</v>
      </c>
      <c r="AQ89" s="73"/>
      <c r="AR89" s="2322"/>
      <c r="AS89" s="2322"/>
      <c r="AT89" s="2324" t="s">
        <v>422</v>
      </c>
      <c r="AU89" s="2325">
        <v>1</v>
      </c>
      <c r="AV89" s="2326">
        <v>13</v>
      </c>
      <c r="AW89" s="2323">
        <f t="shared" si="16"/>
        <v>1</v>
      </c>
      <c r="AX89" s="73"/>
      <c r="AY89" s="161"/>
      <c r="AZ89" s="161"/>
      <c r="BA89" s="738" t="s">
        <v>15</v>
      </c>
      <c r="BB89" s="151">
        <v>11</v>
      </c>
      <c r="BC89" s="2342">
        <v>14.090909090909092</v>
      </c>
      <c r="BD89" s="2343">
        <f t="shared" si="17"/>
        <v>2.0909090909090917</v>
      </c>
      <c r="BE89" s="73"/>
      <c r="BF89" s="2329"/>
      <c r="BG89" s="2329"/>
      <c r="BH89" s="2344" t="s">
        <v>15</v>
      </c>
      <c r="BI89" s="2345">
        <v>10</v>
      </c>
      <c r="BJ89" s="2346">
        <v>13.7</v>
      </c>
      <c r="BK89" s="2331">
        <v>12</v>
      </c>
      <c r="BL89" s="3202">
        <f t="shared" si="18"/>
        <v>1.6999999999999993</v>
      </c>
    </row>
    <row r="90" spans="1:64" ht="15.75" thickBot="1">
      <c r="A90" s="73"/>
      <c r="B90" s="73"/>
      <c r="C90" s="73" t="s">
        <v>81</v>
      </c>
      <c r="D90" s="2327">
        <v>14.78</v>
      </c>
      <c r="E90" s="161">
        <v>27</v>
      </c>
      <c r="F90" s="2263">
        <f t="shared" si="11"/>
        <v>2.7799999999999994</v>
      </c>
      <c r="G90" s="4661">
        <v>12</v>
      </c>
      <c r="I90" s="163"/>
      <c r="J90" s="163"/>
      <c r="K90" s="73" t="s">
        <v>81</v>
      </c>
      <c r="L90" s="161">
        <v>15.29</v>
      </c>
      <c r="M90" s="161">
        <v>21</v>
      </c>
      <c r="N90" s="2263">
        <f t="shared" si="12"/>
        <v>3.2899999999999991</v>
      </c>
      <c r="P90" s="161"/>
      <c r="Q90" s="161"/>
      <c r="R90" s="73" t="s">
        <v>81</v>
      </c>
      <c r="S90" s="2327">
        <v>14.53</v>
      </c>
      <c r="T90" s="161">
        <v>19</v>
      </c>
      <c r="U90" s="2317">
        <f t="shared" si="10"/>
        <v>2.5299999999999994</v>
      </c>
      <c r="W90" s="1094"/>
      <c r="X90" s="1094"/>
      <c r="Y90" s="2316" t="s">
        <v>81</v>
      </c>
      <c r="Z90" s="2247">
        <v>13.25</v>
      </c>
      <c r="AA90" s="2248">
        <v>4</v>
      </c>
      <c r="AB90" s="2317">
        <f t="shared" si="13"/>
        <v>1.25</v>
      </c>
      <c r="AD90" s="2318"/>
      <c r="AE90" s="2318"/>
      <c r="AF90" s="2319" t="s">
        <v>81</v>
      </c>
      <c r="AG90" s="2320">
        <v>4</v>
      </c>
      <c r="AH90" s="2321">
        <v>13</v>
      </c>
      <c r="AI90" s="2263">
        <f t="shared" si="14"/>
        <v>1</v>
      </c>
      <c r="AK90" s="2322"/>
      <c r="AL90" s="2322"/>
      <c r="AM90" s="2338" t="s">
        <v>577</v>
      </c>
      <c r="AN90" s="740">
        <f>SUM(AN87:AN89)</f>
        <v>15</v>
      </c>
      <c r="AO90" s="739">
        <v>15.73</v>
      </c>
      <c r="AP90" s="2341">
        <f t="shared" si="15"/>
        <v>3.7300000000000004</v>
      </c>
      <c r="AQ90" s="73"/>
      <c r="AR90" s="2322"/>
      <c r="AS90" s="2322"/>
      <c r="AT90" s="2338" t="s">
        <v>577</v>
      </c>
      <c r="AU90" s="2339">
        <v>18</v>
      </c>
      <c r="AV90" s="2340">
        <v>14.222222222222223</v>
      </c>
      <c r="AW90" s="2341">
        <f t="shared" si="16"/>
        <v>2.2222222222222232</v>
      </c>
      <c r="AX90" s="73"/>
      <c r="AY90" s="741"/>
      <c r="AZ90" s="741"/>
      <c r="BA90" s="742" t="s">
        <v>265</v>
      </c>
      <c r="BB90" s="743">
        <v>94</v>
      </c>
      <c r="BC90" s="2373">
        <v>13.13829787234042</v>
      </c>
      <c r="BD90" s="2374">
        <f t="shared" si="17"/>
        <v>1.13829787234042</v>
      </c>
      <c r="BE90" s="73"/>
      <c r="BF90" s="2358"/>
      <c r="BG90" s="2358"/>
      <c r="BH90" s="2359" t="s">
        <v>265</v>
      </c>
      <c r="BI90" s="2360">
        <v>53</v>
      </c>
      <c r="BJ90" s="2361">
        <v>13.584905660377357</v>
      </c>
      <c r="BK90" s="3200">
        <v>12</v>
      </c>
      <c r="BL90" s="3204">
        <f t="shared" si="18"/>
        <v>1.5849056603773573</v>
      </c>
    </row>
    <row r="91" spans="1:64" ht="15.75" thickBot="1">
      <c r="A91" s="73"/>
      <c r="B91" s="73"/>
      <c r="C91" s="738" t="s">
        <v>577</v>
      </c>
      <c r="D91" s="2342">
        <v>16.239999999999998</v>
      </c>
      <c r="E91" s="4603">
        <v>76</v>
      </c>
      <c r="F91" s="3210">
        <f t="shared" si="11"/>
        <v>4.2399999999999984</v>
      </c>
      <c r="G91" s="4661">
        <v>12</v>
      </c>
      <c r="I91" s="163"/>
      <c r="J91" s="163"/>
      <c r="K91" s="738" t="s">
        <v>577</v>
      </c>
      <c r="L91" s="151">
        <v>17.12</v>
      </c>
      <c r="M91" s="151">
        <v>43</v>
      </c>
      <c r="N91" s="3210">
        <f t="shared" si="12"/>
        <v>5.120000000000001</v>
      </c>
      <c r="P91" s="161"/>
      <c r="Q91" s="161"/>
      <c r="R91" s="738" t="s">
        <v>577</v>
      </c>
      <c r="S91" s="2342">
        <v>17.05</v>
      </c>
      <c r="T91" s="151">
        <v>42</v>
      </c>
      <c r="U91" s="2596">
        <f t="shared" si="10"/>
        <v>5.0500000000000007</v>
      </c>
      <c r="W91" s="1094"/>
      <c r="X91" s="1094"/>
      <c r="Y91" s="2332" t="s">
        <v>577</v>
      </c>
      <c r="Z91" s="2333">
        <v>16.208333333333339</v>
      </c>
      <c r="AA91" s="2334">
        <v>24</v>
      </c>
      <c r="AB91" s="2317">
        <f t="shared" si="13"/>
        <v>4.2083333333333393</v>
      </c>
      <c r="AD91" s="2318"/>
      <c r="AE91" s="2318"/>
      <c r="AF91" s="2335" t="s">
        <v>577</v>
      </c>
      <c r="AG91" s="2336">
        <v>22</v>
      </c>
      <c r="AH91" s="2337">
        <v>17.045454545454543</v>
      </c>
      <c r="AI91" s="2263">
        <f t="shared" si="14"/>
        <v>5.0454545454545432</v>
      </c>
      <c r="AK91" s="2375"/>
      <c r="AL91" s="2375"/>
      <c r="AM91" s="2376" t="s">
        <v>265</v>
      </c>
      <c r="AN91" s="744">
        <f>SUM(AN90,AN86,AN82)</f>
        <v>79</v>
      </c>
      <c r="AO91" s="745">
        <v>14.62</v>
      </c>
      <c r="AP91" s="2377">
        <f t="shared" si="15"/>
        <v>2.6199999999999992</v>
      </c>
      <c r="AQ91" s="73"/>
      <c r="AR91" s="2375"/>
      <c r="AS91" s="2375"/>
      <c r="AT91" s="2376" t="s">
        <v>265</v>
      </c>
      <c r="AU91" s="2378">
        <v>120</v>
      </c>
      <c r="AV91" s="2379">
        <v>13.558333333333332</v>
      </c>
      <c r="AW91" s="2377">
        <f t="shared" si="16"/>
        <v>1.5583333333333318</v>
      </c>
      <c r="AX91" s="73"/>
      <c r="AY91" s="161"/>
      <c r="AZ91" s="161"/>
      <c r="BA91" s="738"/>
      <c r="BB91" s="151"/>
      <c r="BC91" s="2342"/>
      <c r="BD91" s="2343"/>
      <c r="BE91" s="73"/>
      <c r="BF91" s="2329"/>
      <c r="BG91" s="2329"/>
      <c r="BH91" s="737"/>
      <c r="BI91" s="737"/>
      <c r="BJ91" s="2380"/>
      <c r="BK91" s="2331">
        <v>12</v>
      </c>
      <c r="BL91" s="3205"/>
    </row>
    <row r="92" spans="1:64" ht="15.75" thickBot="1">
      <c r="A92" s="4616"/>
      <c r="B92" s="4616"/>
      <c r="C92" s="4617" t="s">
        <v>265</v>
      </c>
      <c r="D92" s="4618">
        <v>15.77</v>
      </c>
      <c r="E92" s="4619">
        <v>199</v>
      </c>
      <c r="F92" s="3211">
        <f t="shared" si="11"/>
        <v>3.7699999999999996</v>
      </c>
      <c r="G92" s="4662">
        <v>12</v>
      </c>
      <c r="I92" s="2630"/>
      <c r="J92" s="2630"/>
      <c r="K92" s="2593" t="s">
        <v>265</v>
      </c>
      <c r="L92" s="2595">
        <v>16.309999999999999</v>
      </c>
      <c r="M92" s="2595">
        <v>134</v>
      </c>
      <c r="N92" s="3211">
        <f t="shared" si="12"/>
        <v>4.3099999999999987</v>
      </c>
      <c r="P92" s="2598"/>
      <c r="Q92" s="2598"/>
      <c r="R92" s="2593" t="s">
        <v>265</v>
      </c>
      <c r="S92" s="2594">
        <v>16.170000000000002</v>
      </c>
      <c r="T92" s="2595">
        <v>113</v>
      </c>
      <c r="U92" s="2597">
        <f t="shared" si="10"/>
        <v>4.1700000000000017</v>
      </c>
      <c r="W92" s="1094"/>
      <c r="X92" s="1094"/>
      <c r="Y92" s="2332" t="s">
        <v>265</v>
      </c>
      <c r="Z92" s="2333">
        <v>15.975308641975314</v>
      </c>
      <c r="AA92" s="2334">
        <v>81</v>
      </c>
      <c r="AB92" s="2347">
        <f t="shared" si="13"/>
        <v>3.9753086419753139</v>
      </c>
      <c r="AD92" s="2381"/>
      <c r="AE92" s="2381"/>
      <c r="AF92" s="2382" t="s">
        <v>265</v>
      </c>
      <c r="AG92" s="2383">
        <v>86</v>
      </c>
      <c r="AH92" s="2384">
        <v>15.441860465116276</v>
      </c>
      <c r="AI92" s="2385">
        <f t="shared" si="14"/>
        <v>3.4418604651162763</v>
      </c>
      <c r="AK92" s="163"/>
      <c r="AL92" s="163"/>
      <c r="AM92" s="73"/>
      <c r="AN92" s="73"/>
      <c r="AO92" s="73"/>
      <c r="AP92" s="2386"/>
      <c r="AQ92" s="73"/>
      <c r="AR92" s="163"/>
      <c r="AS92" s="163"/>
      <c r="AT92" s="73"/>
      <c r="AU92" s="73"/>
      <c r="AV92" s="73"/>
      <c r="AW92" s="2386"/>
      <c r="AX92" s="73"/>
      <c r="AY92" s="161"/>
      <c r="AZ92" s="161"/>
      <c r="BA92" s="738"/>
      <c r="BB92" s="151"/>
      <c r="BC92" s="2342"/>
      <c r="BD92" s="2343"/>
      <c r="BE92" s="73"/>
      <c r="BF92" s="2329"/>
      <c r="BG92" s="2329"/>
      <c r="BH92" s="737"/>
      <c r="BI92" s="737"/>
      <c r="BJ92" s="2380"/>
      <c r="BK92" s="2331">
        <v>12</v>
      </c>
      <c r="BL92" s="3205"/>
    </row>
    <row r="93" spans="1:64">
      <c r="A93" s="73" t="s">
        <v>249</v>
      </c>
      <c r="B93" s="73" t="s">
        <v>4</v>
      </c>
      <c r="C93" s="73" t="s">
        <v>1687</v>
      </c>
      <c r="D93" s="2327">
        <v>15</v>
      </c>
      <c r="E93" s="161">
        <v>11</v>
      </c>
      <c r="F93" s="2263">
        <f t="shared" si="11"/>
        <v>3</v>
      </c>
      <c r="G93" s="4661">
        <v>12</v>
      </c>
      <c r="I93" s="163" t="s">
        <v>249</v>
      </c>
      <c r="J93" s="163" t="s">
        <v>4</v>
      </c>
      <c r="K93" s="73" t="s">
        <v>1687</v>
      </c>
      <c r="L93" s="161">
        <v>13.31</v>
      </c>
      <c r="M93" s="161">
        <v>13</v>
      </c>
      <c r="N93" s="2263">
        <f t="shared" si="12"/>
        <v>1.3100000000000005</v>
      </c>
      <c r="P93" s="161" t="s">
        <v>249</v>
      </c>
      <c r="Q93" s="161" t="s">
        <v>4</v>
      </c>
      <c r="R93" s="73" t="s">
        <v>1687</v>
      </c>
      <c r="S93" s="2327">
        <v>12.6</v>
      </c>
      <c r="T93" s="161">
        <v>5</v>
      </c>
      <c r="U93" s="2317">
        <f>S93-BK105</f>
        <v>0.59999999999999964</v>
      </c>
      <c r="W93" s="2236" t="s">
        <v>249</v>
      </c>
      <c r="X93" s="2236" t="s">
        <v>4</v>
      </c>
      <c r="Y93" s="2363" t="s">
        <v>1687</v>
      </c>
      <c r="Z93" s="2364">
        <v>12.35</v>
      </c>
      <c r="AA93" s="2365">
        <v>20</v>
      </c>
      <c r="AB93" s="2317">
        <f>Z93-BK105</f>
        <v>0.34999999999999964</v>
      </c>
      <c r="AD93" s="2318"/>
      <c r="AE93" s="2318"/>
      <c r="AF93" s="2319"/>
      <c r="AG93" s="2320"/>
      <c r="AH93" s="2321"/>
      <c r="AI93" s="2263"/>
      <c r="AQ93" s="73"/>
      <c r="AX93" s="73"/>
      <c r="AY93" s="161"/>
      <c r="AZ93" s="161"/>
      <c r="BK93" s="2331">
        <v>12</v>
      </c>
    </row>
    <row r="94" spans="1:64">
      <c r="A94" s="73"/>
      <c r="B94" s="73"/>
      <c r="C94" s="738" t="s">
        <v>572</v>
      </c>
      <c r="D94" s="2342">
        <v>15</v>
      </c>
      <c r="E94" s="4603">
        <v>11</v>
      </c>
      <c r="F94" s="3210">
        <f t="shared" si="11"/>
        <v>3</v>
      </c>
      <c r="G94" s="4661">
        <v>12</v>
      </c>
      <c r="I94" s="163"/>
      <c r="J94" s="163"/>
      <c r="K94" s="738" t="s">
        <v>572</v>
      </c>
      <c r="L94" s="151">
        <v>13.31</v>
      </c>
      <c r="M94" s="151">
        <v>13</v>
      </c>
      <c r="N94" s="3210">
        <f t="shared" si="12"/>
        <v>1.3100000000000005</v>
      </c>
      <c r="P94" s="161"/>
      <c r="Q94" s="161"/>
      <c r="R94" s="738" t="s">
        <v>572</v>
      </c>
      <c r="S94" s="2342">
        <v>12.6</v>
      </c>
      <c r="T94" s="151">
        <v>5</v>
      </c>
      <c r="U94" s="2596">
        <f>S94-BK106</f>
        <v>0.59999999999999964</v>
      </c>
      <c r="W94" s="1094"/>
      <c r="X94" s="1094"/>
      <c r="Y94" s="2332" t="s">
        <v>572</v>
      </c>
      <c r="Z94" s="2333">
        <v>12.35</v>
      </c>
      <c r="AA94" s="2334">
        <v>20</v>
      </c>
      <c r="AB94" s="2317">
        <f>Z94-BK106</f>
        <v>0.34999999999999964</v>
      </c>
      <c r="AQ94" s="73"/>
      <c r="AX94" s="73"/>
      <c r="AY94" s="161"/>
      <c r="AZ94" s="161"/>
      <c r="BK94" s="2331">
        <v>12</v>
      </c>
    </row>
    <row r="95" spans="1:64">
      <c r="A95" s="73"/>
      <c r="B95" s="73" t="s">
        <v>16</v>
      </c>
      <c r="C95" s="73" t="s">
        <v>830</v>
      </c>
      <c r="D95" s="2327">
        <v>13.88</v>
      </c>
      <c r="E95" s="161">
        <v>16</v>
      </c>
      <c r="F95" s="2263">
        <f t="shared" si="11"/>
        <v>1.8800000000000008</v>
      </c>
      <c r="G95" s="4661">
        <v>12</v>
      </c>
      <c r="I95" s="163"/>
      <c r="J95" s="163" t="s">
        <v>16</v>
      </c>
      <c r="K95" s="73" t="s">
        <v>830</v>
      </c>
      <c r="L95" s="161">
        <v>12.87</v>
      </c>
      <c r="M95" s="161">
        <v>31</v>
      </c>
      <c r="N95" s="2263">
        <f t="shared" si="12"/>
        <v>0.86999999999999922</v>
      </c>
      <c r="P95" s="161"/>
      <c r="Q95" s="161" t="s">
        <v>16</v>
      </c>
      <c r="R95" s="73" t="s">
        <v>830</v>
      </c>
      <c r="S95" s="2327">
        <v>12.5</v>
      </c>
      <c r="T95" s="161">
        <v>10</v>
      </c>
      <c r="U95" s="2317">
        <f>S95-BK107</f>
        <v>0.5</v>
      </c>
      <c r="W95" s="1094"/>
      <c r="X95" s="1094" t="s">
        <v>16</v>
      </c>
      <c r="Y95" s="2316" t="s">
        <v>830</v>
      </c>
      <c r="Z95" s="2247">
        <v>12.218749999999996</v>
      </c>
      <c r="AA95" s="2248">
        <v>32</v>
      </c>
      <c r="AB95" s="2317">
        <f>Z95-BK107</f>
        <v>0.21874999999999645</v>
      </c>
      <c r="AQ95" s="73"/>
      <c r="AX95" s="73"/>
      <c r="AY95" s="161"/>
      <c r="AZ95" s="161"/>
      <c r="BK95" s="2331">
        <v>12</v>
      </c>
    </row>
    <row r="96" spans="1:64">
      <c r="A96" s="73"/>
      <c r="B96" s="73"/>
      <c r="C96" s="73" t="s">
        <v>579</v>
      </c>
      <c r="D96" s="2327">
        <v>13</v>
      </c>
      <c r="E96" s="161">
        <v>6</v>
      </c>
      <c r="F96" s="2263">
        <f t="shared" si="11"/>
        <v>1</v>
      </c>
      <c r="G96" s="4661">
        <v>12</v>
      </c>
      <c r="I96" s="163"/>
      <c r="J96" s="163"/>
      <c r="K96" s="73" t="s">
        <v>579</v>
      </c>
      <c r="L96" s="161">
        <v>13</v>
      </c>
      <c r="M96" s="161">
        <v>7</v>
      </c>
      <c r="N96" s="2263">
        <f t="shared" si="12"/>
        <v>1</v>
      </c>
      <c r="P96" s="161"/>
      <c r="Q96" s="161"/>
      <c r="S96" s="2327"/>
      <c r="T96" s="161"/>
      <c r="U96" s="2317"/>
      <c r="W96" s="1094"/>
      <c r="X96" s="1094"/>
      <c r="Y96" s="2316"/>
      <c r="Z96" s="2247"/>
      <c r="AA96" s="2248"/>
      <c r="AB96" s="2317"/>
      <c r="AQ96" s="73"/>
      <c r="AX96" s="73"/>
      <c r="AY96" s="161"/>
      <c r="AZ96" s="161"/>
      <c r="BK96" s="2331">
        <v>12</v>
      </c>
    </row>
    <row r="97" spans="1:64">
      <c r="A97" s="73"/>
      <c r="B97" s="73"/>
      <c r="C97" s="738" t="s">
        <v>573</v>
      </c>
      <c r="D97" s="2342">
        <v>13.64</v>
      </c>
      <c r="E97" s="4603">
        <v>22</v>
      </c>
      <c r="F97" s="3210">
        <f t="shared" si="11"/>
        <v>1.6400000000000006</v>
      </c>
      <c r="G97" s="4661">
        <v>12</v>
      </c>
      <c r="I97" s="163"/>
      <c r="J97" s="163"/>
      <c r="K97" s="738" t="s">
        <v>573</v>
      </c>
      <c r="L97" s="151">
        <v>12.89</v>
      </c>
      <c r="M97" s="151">
        <v>38</v>
      </c>
      <c r="N97" s="3210">
        <f t="shared" si="12"/>
        <v>0.89000000000000057</v>
      </c>
      <c r="P97" s="161"/>
      <c r="Q97" s="161"/>
      <c r="R97" s="738" t="s">
        <v>573</v>
      </c>
      <c r="S97" s="2342">
        <v>12.5</v>
      </c>
      <c r="T97" s="151">
        <v>10</v>
      </c>
      <c r="U97" s="2596">
        <f>S97-BK108</f>
        <v>0.5</v>
      </c>
      <c r="W97" s="1094"/>
      <c r="X97" s="1094"/>
      <c r="Y97" s="2332" t="s">
        <v>573</v>
      </c>
      <c r="Z97" s="2333">
        <v>12.218749999999996</v>
      </c>
      <c r="AA97" s="2334">
        <v>32</v>
      </c>
      <c r="AB97" s="2317">
        <f>Z97-BK108</f>
        <v>0.21874999999999645</v>
      </c>
      <c r="AQ97" s="73"/>
      <c r="AX97" s="73"/>
      <c r="AY97" s="161"/>
      <c r="AZ97" s="161"/>
      <c r="BK97" s="2331">
        <v>12</v>
      </c>
    </row>
    <row r="98" spans="1:64">
      <c r="A98" s="73"/>
      <c r="B98" s="73" t="s">
        <v>41</v>
      </c>
      <c r="C98" s="73" t="s">
        <v>831</v>
      </c>
      <c r="D98" s="2327">
        <v>13.79</v>
      </c>
      <c r="E98" s="161">
        <v>19</v>
      </c>
      <c r="F98" s="2263">
        <f t="shared" si="11"/>
        <v>1.7899999999999991</v>
      </c>
      <c r="G98" s="4661">
        <v>12</v>
      </c>
      <c r="I98" s="163"/>
      <c r="J98" s="163" t="s">
        <v>41</v>
      </c>
      <c r="K98" s="73" t="s">
        <v>831</v>
      </c>
      <c r="L98" s="161">
        <v>13.13</v>
      </c>
      <c r="M98" s="161">
        <v>30</v>
      </c>
      <c r="N98" s="2263">
        <f t="shared" si="12"/>
        <v>1.1300000000000008</v>
      </c>
      <c r="P98" s="161"/>
      <c r="Q98" s="161" t="s">
        <v>41</v>
      </c>
      <c r="R98" s="73" t="s">
        <v>831</v>
      </c>
      <c r="S98" s="2327">
        <v>13.14</v>
      </c>
      <c r="T98" s="161">
        <v>14</v>
      </c>
      <c r="U98" s="2317">
        <f>S98-BK109</f>
        <v>1.1400000000000006</v>
      </c>
      <c r="W98" s="1094"/>
      <c r="X98" s="1094" t="s">
        <v>41</v>
      </c>
      <c r="Y98" s="2316" t="s">
        <v>831</v>
      </c>
      <c r="Z98" s="2247">
        <v>12.130434782608695</v>
      </c>
      <c r="AA98" s="2248">
        <v>23</v>
      </c>
      <c r="AB98" s="2317">
        <f>Z98-BK109</f>
        <v>0.13043478260869534</v>
      </c>
      <c r="AQ98" s="73"/>
      <c r="AX98" s="73"/>
      <c r="AY98" s="161"/>
      <c r="AZ98" s="161"/>
      <c r="BK98" s="2331">
        <v>12</v>
      </c>
    </row>
    <row r="99" spans="1:64">
      <c r="A99" s="73"/>
      <c r="B99" s="73"/>
      <c r="C99" s="4613" t="s">
        <v>575</v>
      </c>
      <c r="D99" s="4614">
        <v>13.79</v>
      </c>
      <c r="E99" s="4615">
        <v>19</v>
      </c>
      <c r="F99" s="3210">
        <f t="shared" si="11"/>
        <v>1.7899999999999991</v>
      </c>
      <c r="G99" s="2331">
        <v>12</v>
      </c>
      <c r="I99" s="163"/>
      <c r="J99" s="163"/>
      <c r="K99" s="738" t="s">
        <v>575</v>
      </c>
      <c r="L99" s="151">
        <v>13.13</v>
      </c>
      <c r="M99" s="151">
        <v>30</v>
      </c>
      <c r="N99" s="3210">
        <f t="shared" si="12"/>
        <v>1.1300000000000008</v>
      </c>
      <c r="P99" s="161"/>
      <c r="Q99" s="161"/>
      <c r="R99" s="738" t="s">
        <v>575</v>
      </c>
      <c r="S99" s="2342">
        <v>13.14</v>
      </c>
      <c r="T99" s="151">
        <v>14</v>
      </c>
      <c r="U99" s="2596">
        <f>S99-BK110</f>
        <v>1.1400000000000006</v>
      </c>
      <c r="W99" s="1094"/>
      <c r="X99" s="1094"/>
      <c r="Y99" s="2332" t="s">
        <v>575</v>
      </c>
      <c r="Z99" s="2333">
        <v>12.130434782608695</v>
      </c>
      <c r="AA99" s="2334">
        <v>23</v>
      </c>
      <c r="AB99" s="2317">
        <f>Z99-BK110</f>
        <v>0.13043478260869534</v>
      </c>
      <c r="AQ99" s="73"/>
      <c r="AX99" s="73"/>
      <c r="AY99" s="161"/>
      <c r="AZ99" s="161"/>
      <c r="BK99" s="2331">
        <v>12</v>
      </c>
    </row>
    <row r="100" spans="1:64">
      <c r="A100" s="4616"/>
      <c r="B100" s="4616"/>
      <c r="C100" s="4617" t="s">
        <v>1211</v>
      </c>
      <c r="D100" s="4618">
        <v>13.98</v>
      </c>
      <c r="E100" s="4619">
        <v>52</v>
      </c>
      <c r="F100" s="3211">
        <f t="shared" si="11"/>
        <v>1.9800000000000004</v>
      </c>
      <c r="G100" s="4662">
        <v>12</v>
      </c>
      <c r="I100" s="2630"/>
      <c r="J100" s="2630"/>
      <c r="K100" s="2593" t="s">
        <v>1211</v>
      </c>
      <c r="L100" s="2595">
        <v>13.05</v>
      </c>
      <c r="M100" s="2595">
        <v>81</v>
      </c>
      <c r="N100" s="3211">
        <f t="shared" si="12"/>
        <v>1.0500000000000007</v>
      </c>
      <c r="P100" s="161"/>
      <c r="Q100" s="161"/>
      <c r="R100" s="738" t="s">
        <v>1211</v>
      </c>
      <c r="S100" s="2342">
        <v>12.83</v>
      </c>
      <c r="T100" s="151">
        <v>29</v>
      </c>
      <c r="U100" s="2596">
        <f>S100-BK111</f>
        <v>0.83000000000000007</v>
      </c>
      <c r="W100" s="1094"/>
      <c r="X100" s="1094"/>
      <c r="Y100" s="2332" t="s">
        <v>1211</v>
      </c>
      <c r="Z100" s="2333">
        <v>12.226666666666667</v>
      </c>
      <c r="AA100" s="2334">
        <v>75</v>
      </c>
      <c r="AB100" s="2317">
        <f>Z100-BK111</f>
        <v>0.22666666666666657</v>
      </c>
      <c r="AQ100" s="73"/>
      <c r="AX100" s="73"/>
      <c r="AY100" s="161"/>
      <c r="AZ100" s="161"/>
      <c r="BK100" s="2331">
        <v>12</v>
      </c>
    </row>
    <row r="101" spans="1:64" ht="15.75" thickBot="1">
      <c r="A101" s="746"/>
      <c r="B101" s="746"/>
      <c r="C101" s="742" t="s">
        <v>114</v>
      </c>
      <c r="D101" s="2373">
        <v>15.93</v>
      </c>
      <c r="E101" s="743">
        <v>5450</v>
      </c>
      <c r="F101" s="3209">
        <f t="shared" si="11"/>
        <v>3.9299999999999997</v>
      </c>
      <c r="G101" s="4663">
        <v>12</v>
      </c>
      <c r="I101" s="1504"/>
      <c r="J101" s="1504"/>
      <c r="K101" s="742" t="s">
        <v>114</v>
      </c>
      <c r="L101" s="743">
        <v>16.11</v>
      </c>
      <c r="M101" s="743">
        <v>5427</v>
      </c>
      <c r="N101" s="3209">
        <f t="shared" si="12"/>
        <v>4.1099999999999994</v>
      </c>
      <c r="P101" s="741"/>
      <c r="Q101" s="741"/>
      <c r="R101" s="742" t="s">
        <v>114</v>
      </c>
      <c r="S101" s="2373">
        <v>15.86</v>
      </c>
      <c r="T101" s="743">
        <v>5145</v>
      </c>
      <c r="U101" s="2592">
        <f>S101-BK111</f>
        <v>3.8599999999999994</v>
      </c>
      <c r="W101" s="1500"/>
      <c r="X101" s="1500"/>
      <c r="Y101" s="2398"/>
      <c r="Z101" s="1188"/>
      <c r="AA101" s="1188"/>
      <c r="AB101" s="1188"/>
      <c r="AK101" s="73"/>
      <c r="AL101" s="73"/>
      <c r="AM101" s="73"/>
      <c r="AN101" s="73"/>
      <c r="AO101" s="73"/>
      <c r="AP101" s="73"/>
      <c r="AQ101" s="73"/>
      <c r="AX101" s="73"/>
      <c r="AY101" s="161"/>
      <c r="AZ101" s="161"/>
      <c r="BK101" s="2331">
        <v>12</v>
      </c>
    </row>
    <row r="102" spans="1:64">
      <c r="I102" s="73"/>
      <c r="J102" s="73"/>
      <c r="K102" s="73"/>
      <c r="L102" s="161"/>
      <c r="M102" s="161"/>
      <c r="N102" s="73"/>
      <c r="S102" s="2327"/>
      <c r="T102" s="161"/>
      <c r="U102" s="2317"/>
      <c r="AK102" s="73"/>
      <c r="AL102" s="73"/>
      <c r="AM102" s="73"/>
      <c r="AN102" s="73"/>
      <c r="AO102" s="73"/>
      <c r="AP102" s="73"/>
      <c r="AQ102" s="73"/>
      <c r="AR102" s="163"/>
      <c r="AS102" s="163"/>
      <c r="AT102" s="73"/>
      <c r="AU102" s="73"/>
      <c r="AV102" s="73"/>
      <c r="AW102" s="73"/>
      <c r="AX102" s="73"/>
      <c r="AY102" s="161"/>
      <c r="AZ102" s="161"/>
    </row>
    <row r="103" spans="1:64">
      <c r="I103" s="73"/>
      <c r="J103" s="73"/>
      <c r="K103" s="73"/>
      <c r="L103" s="161"/>
      <c r="M103" s="161"/>
      <c r="N103" s="73"/>
      <c r="AK103" s="73"/>
      <c r="AL103" s="73"/>
      <c r="AM103" s="73"/>
      <c r="AN103" s="73"/>
      <c r="AO103" s="73"/>
      <c r="AP103" s="73"/>
      <c r="AQ103" s="73"/>
      <c r="AR103" s="163"/>
      <c r="AS103" s="163"/>
      <c r="AT103" s="73"/>
      <c r="AU103" s="73"/>
      <c r="AV103" s="73"/>
      <c r="AW103" s="73"/>
      <c r="AX103" s="73"/>
      <c r="AY103" s="161"/>
      <c r="AZ103" s="161"/>
      <c r="BA103" s="73"/>
      <c r="BB103" s="73"/>
      <c r="BC103" s="73"/>
      <c r="BD103" s="73"/>
      <c r="BE103" s="73"/>
      <c r="BF103" s="73"/>
      <c r="BG103" s="73"/>
      <c r="BH103" s="73"/>
      <c r="BI103" s="73"/>
      <c r="BJ103" s="73"/>
      <c r="BK103" s="73"/>
      <c r="BL103" s="163"/>
    </row>
    <row r="104" spans="1:64" ht="37.5" thickBot="1">
      <c r="C104" s="743" t="s">
        <v>1</v>
      </c>
      <c r="D104" s="2584" t="s">
        <v>2698</v>
      </c>
      <c r="E104" s="743" t="s">
        <v>2699</v>
      </c>
      <c r="F104" s="2591" t="s">
        <v>1356</v>
      </c>
      <c r="G104" s="4664" t="s">
        <v>1357</v>
      </c>
      <c r="I104" s="73"/>
      <c r="J104" s="73"/>
      <c r="K104" s="743" t="s">
        <v>1</v>
      </c>
      <c r="L104" s="2584" t="s">
        <v>2698</v>
      </c>
      <c r="M104" s="743" t="s">
        <v>2699</v>
      </c>
      <c r="N104" s="2591" t="s">
        <v>1356</v>
      </c>
      <c r="AK104" s="73"/>
      <c r="AL104" s="73"/>
      <c r="AM104" s="73"/>
      <c r="AN104" s="73"/>
      <c r="AO104" s="73"/>
      <c r="AP104" s="73"/>
      <c r="AQ104" s="73"/>
      <c r="AR104" s="163"/>
      <c r="AS104" s="163"/>
      <c r="AT104" s="73"/>
      <c r="AU104" s="73"/>
      <c r="AV104" s="73"/>
      <c r="AW104" s="73"/>
      <c r="AX104" s="73"/>
      <c r="AY104" s="161"/>
      <c r="AZ104" s="161"/>
      <c r="BA104" s="73"/>
      <c r="BB104" s="73"/>
      <c r="BC104" s="73"/>
      <c r="BD104" s="73"/>
      <c r="BE104" s="73"/>
      <c r="BF104" s="73"/>
      <c r="BG104" s="73"/>
      <c r="BH104" s="73"/>
      <c r="BI104" s="73"/>
      <c r="BJ104" s="73"/>
      <c r="BK104" s="73"/>
      <c r="BL104" s="163"/>
    </row>
    <row r="105" spans="1:64">
      <c r="C105" s="163" t="s">
        <v>4</v>
      </c>
      <c r="D105" s="161">
        <v>20</v>
      </c>
      <c r="E105" s="161">
        <v>829</v>
      </c>
      <c r="F105" s="2327">
        <f>D105-G105</f>
        <v>8</v>
      </c>
      <c r="G105" s="2395">
        <v>12</v>
      </c>
      <c r="I105" s="73"/>
      <c r="J105" s="73"/>
      <c r="K105" s="163" t="s">
        <v>4</v>
      </c>
      <c r="L105" s="161">
        <v>20.69</v>
      </c>
      <c r="M105" s="161">
        <v>865</v>
      </c>
      <c r="N105" s="161">
        <f t="shared" si="12"/>
        <v>8.6900000000000013</v>
      </c>
      <c r="R105" s="161" t="s">
        <v>4</v>
      </c>
      <c r="S105" s="2327">
        <v>20.23</v>
      </c>
      <c r="T105" s="161">
        <v>755</v>
      </c>
      <c r="U105" s="2317">
        <f>S105-12</f>
        <v>8.23</v>
      </c>
      <c r="Y105" s="2407" t="s">
        <v>4</v>
      </c>
      <c r="Z105" s="2408">
        <v>20.151388888888864</v>
      </c>
      <c r="AA105" s="2409">
        <v>720</v>
      </c>
      <c r="AB105" s="2410">
        <f>Z105-12</f>
        <v>8.1513888888888637</v>
      </c>
      <c r="AD105" s="2318"/>
      <c r="AE105" s="73"/>
      <c r="AF105" s="2318" t="s">
        <v>4</v>
      </c>
      <c r="AG105" s="2320">
        <v>786</v>
      </c>
      <c r="AH105" s="2321">
        <v>20.636132315521618</v>
      </c>
      <c r="AI105" s="2263">
        <f t="shared" ref="AI105:AI111" si="19">AH105-12</f>
        <v>8.6361323155216176</v>
      </c>
      <c r="AK105" s="163"/>
      <c r="AL105" s="163"/>
      <c r="AM105" s="2387" t="s">
        <v>4</v>
      </c>
      <c r="AN105" s="2388">
        <f>SUM(AN16,AN36)</f>
        <v>685</v>
      </c>
      <c r="AO105" s="2389">
        <v>20.621897810218968</v>
      </c>
      <c r="AP105" s="2370">
        <f t="shared" ref="AP105:AP110" si="20">+AO105-12</f>
        <v>8.6218978102189681</v>
      </c>
      <c r="AQ105" s="73"/>
      <c r="AR105" s="163"/>
      <c r="AS105" s="163"/>
      <c r="AT105" s="2387" t="s">
        <v>4</v>
      </c>
      <c r="AU105" s="2390">
        <v>564</v>
      </c>
      <c r="AV105" s="2389">
        <v>20.177304964539012</v>
      </c>
      <c r="AW105" s="2370">
        <f t="shared" ref="AW105:AW111" si="21">+AV105-12</f>
        <v>8.1773049645390117</v>
      </c>
      <c r="AX105" s="73"/>
      <c r="AY105" s="161"/>
      <c r="AZ105" s="161"/>
      <c r="BA105" s="2387" t="s">
        <v>4</v>
      </c>
      <c r="BB105" s="2387">
        <v>583</v>
      </c>
      <c r="BC105" s="2391">
        <v>20.238421955403101</v>
      </c>
      <c r="BD105" s="2392">
        <f t="shared" ref="BD105:BD110" si="22">+BC105-12</f>
        <v>8.2384219554031013</v>
      </c>
      <c r="BE105" s="73"/>
      <c r="BF105" s="2329"/>
      <c r="BG105" s="2329"/>
      <c r="BH105" s="2393" t="s">
        <v>4</v>
      </c>
      <c r="BI105" s="2393">
        <v>607</v>
      </c>
      <c r="BJ105" s="2394">
        <v>19.774299835255352</v>
      </c>
      <c r="BK105" s="2395">
        <v>12</v>
      </c>
      <c r="BL105" s="3206">
        <f t="shared" ref="BL105:BL111" si="23">BJ105-BK105</f>
        <v>7.7742998352553521</v>
      </c>
    </row>
    <row r="106" spans="1:64">
      <c r="C106" s="163" t="s">
        <v>16</v>
      </c>
      <c r="D106" s="161">
        <v>15.35</v>
      </c>
      <c r="E106" s="161">
        <v>2142</v>
      </c>
      <c r="F106" s="2327">
        <f t="shared" ref="F106:F111" si="24">D106-G106</f>
        <v>3.3499999999999996</v>
      </c>
      <c r="G106" s="2331">
        <v>12</v>
      </c>
      <c r="I106" s="73"/>
      <c r="J106" s="73"/>
      <c r="K106" s="163" t="s">
        <v>16</v>
      </c>
      <c r="L106" s="161">
        <v>15.21</v>
      </c>
      <c r="M106" s="161">
        <v>2049</v>
      </c>
      <c r="N106" s="161">
        <f t="shared" si="12"/>
        <v>3.2100000000000009</v>
      </c>
      <c r="R106" s="161" t="s">
        <v>16</v>
      </c>
      <c r="S106" s="2327">
        <v>14.98</v>
      </c>
      <c r="T106" s="161">
        <v>2016</v>
      </c>
      <c r="U106" s="2317">
        <f t="shared" ref="U106:U111" si="25">S106-12</f>
        <v>2.9800000000000004</v>
      </c>
      <c r="Y106" s="2407" t="s">
        <v>16</v>
      </c>
      <c r="Z106" s="2408">
        <v>15.370656370656359</v>
      </c>
      <c r="AA106" s="2409">
        <v>2072</v>
      </c>
      <c r="AB106" s="2410">
        <f t="shared" ref="AB106:AB111" si="26">Z106-12</f>
        <v>3.3706563706563593</v>
      </c>
      <c r="AD106" s="2318"/>
      <c r="AE106" s="73"/>
      <c r="AF106" s="2318" t="s">
        <v>16</v>
      </c>
      <c r="AG106" s="2320">
        <v>1954</v>
      </c>
      <c r="AH106" s="2321">
        <v>15.036847492323407</v>
      </c>
      <c r="AI106" s="2263">
        <f t="shared" si="19"/>
        <v>3.0368474923234068</v>
      </c>
      <c r="AK106" s="163"/>
      <c r="AL106" s="163"/>
      <c r="AM106" s="161" t="s">
        <v>16</v>
      </c>
      <c r="AN106" s="2396">
        <f>SUM(AN21,AN48,AN63,AN82)</f>
        <v>2345</v>
      </c>
      <c r="AO106" s="2250">
        <v>15.063113006396613</v>
      </c>
      <c r="AP106" s="2323">
        <f t="shared" si="20"/>
        <v>3.0631130063966125</v>
      </c>
      <c r="AQ106" s="73"/>
      <c r="AR106" s="163"/>
      <c r="AS106" s="163"/>
      <c r="AT106" s="161" t="s">
        <v>16</v>
      </c>
      <c r="AU106" s="163">
        <v>1937</v>
      </c>
      <c r="AV106" s="2250">
        <v>14.944759938048525</v>
      </c>
      <c r="AW106" s="2323">
        <f t="shared" si="21"/>
        <v>2.9447599380485254</v>
      </c>
      <c r="AX106" s="73"/>
      <c r="AY106" s="161"/>
      <c r="AZ106" s="161"/>
      <c r="BA106" s="161" t="s">
        <v>16</v>
      </c>
      <c r="BB106" s="161">
        <v>1788</v>
      </c>
      <c r="BC106" s="2327">
        <v>15.041387024608484</v>
      </c>
      <c r="BD106" s="2328">
        <f t="shared" si="22"/>
        <v>3.0413870246084844</v>
      </c>
      <c r="BE106" s="73"/>
      <c r="BF106" s="2329"/>
      <c r="BG106" s="2329"/>
      <c r="BH106" s="2329" t="s">
        <v>16</v>
      </c>
      <c r="BI106" s="2329">
        <v>1963</v>
      </c>
      <c r="BJ106" s="2330">
        <v>15.22924095771773</v>
      </c>
      <c r="BK106" s="2331">
        <v>12</v>
      </c>
      <c r="BL106" s="3201">
        <f t="shared" si="23"/>
        <v>3.2292409577177299</v>
      </c>
    </row>
    <row r="107" spans="1:64">
      <c r="C107" s="163" t="s">
        <v>41</v>
      </c>
      <c r="D107" s="161">
        <v>15.21</v>
      </c>
      <c r="E107" s="161">
        <v>1571</v>
      </c>
      <c r="F107" s="2327">
        <f t="shared" si="24"/>
        <v>3.2100000000000009</v>
      </c>
      <c r="G107" s="2331">
        <v>12</v>
      </c>
      <c r="I107" s="73"/>
      <c r="J107" s="73"/>
      <c r="K107" s="163" t="s">
        <v>41</v>
      </c>
      <c r="L107" s="161">
        <v>15.3</v>
      </c>
      <c r="M107" s="161">
        <v>1606</v>
      </c>
      <c r="N107" s="161">
        <f t="shared" si="12"/>
        <v>3.3000000000000007</v>
      </c>
      <c r="R107" s="161" t="s">
        <v>41</v>
      </c>
      <c r="S107" s="2327">
        <v>15.34</v>
      </c>
      <c r="T107" s="161">
        <v>1517</v>
      </c>
      <c r="U107" s="2317">
        <f t="shared" si="25"/>
        <v>3.34</v>
      </c>
      <c r="Y107" s="2407" t="s">
        <v>41</v>
      </c>
      <c r="Z107" s="2408">
        <v>15.10960670535138</v>
      </c>
      <c r="AA107" s="2409">
        <v>1551</v>
      </c>
      <c r="AB107" s="2410">
        <f t="shared" si="26"/>
        <v>3.1096067053513803</v>
      </c>
      <c r="AD107" s="2318"/>
      <c r="AE107" s="73"/>
      <c r="AF107" s="2318" t="s">
        <v>41</v>
      </c>
      <c r="AG107" s="2320">
        <v>1472</v>
      </c>
      <c r="AH107" s="2321">
        <v>14.992527173913057</v>
      </c>
      <c r="AI107" s="2263">
        <f t="shared" si="19"/>
        <v>2.9925271739130572</v>
      </c>
      <c r="AK107" s="163"/>
      <c r="AL107" s="163"/>
      <c r="AM107" s="161" t="s">
        <v>41</v>
      </c>
      <c r="AN107" s="2396">
        <f>SUM(AN55,AN72)</f>
        <v>1499</v>
      </c>
      <c r="AO107" s="2250">
        <v>15.104736490994004</v>
      </c>
      <c r="AP107" s="2323">
        <f t="shared" si="20"/>
        <v>3.1047364909940036</v>
      </c>
      <c r="AQ107" s="73"/>
      <c r="AR107" s="163"/>
      <c r="AS107" s="163"/>
      <c r="AT107" s="161" t="s">
        <v>41</v>
      </c>
      <c r="AU107" s="163">
        <v>1482</v>
      </c>
      <c r="AV107" s="2250">
        <v>14.843454790823222</v>
      </c>
      <c r="AW107" s="2323">
        <f t="shared" si="21"/>
        <v>2.8434547908232215</v>
      </c>
      <c r="AX107" s="73"/>
      <c r="AY107" s="161"/>
      <c r="AZ107" s="161"/>
      <c r="BA107" s="161" t="s">
        <v>41</v>
      </c>
      <c r="BB107" s="161">
        <v>1415</v>
      </c>
      <c r="BC107" s="2327">
        <v>14.863604240282683</v>
      </c>
      <c r="BD107" s="2328">
        <f t="shared" si="22"/>
        <v>2.8636042402826831</v>
      </c>
      <c r="BE107" s="73"/>
      <c r="BF107" s="2329"/>
      <c r="BG107" s="2329"/>
      <c r="BH107" s="2329" t="s">
        <v>41</v>
      </c>
      <c r="BI107" s="2329">
        <v>1493</v>
      </c>
      <c r="BJ107" s="2330">
        <v>14.789015405224372</v>
      </c>
      <c r="BK107" s="2331">
        <v>12</v>
      </c>
      <c r="BL107" s="3201">
        <f t="shared" si="23"/>
        <v>2.7890154052243723</v>
      </c>
    </row>
    <row r="108" spans="1:64">
      <c r="C108" s="163" t="s">
        <v>21</v>
      </c>
      <c r="D108" s="161">
        <v>14.54</v>
      </c>
      <c r="E108" s="161">
        <v>768</v>
      </c>
      <c r="F108" s="2327">
        <f t="shared" si="24"/>
        <v>2.5399999999999991</v>
      </c>
      <c r="G108" s="2331">
        <v>12</v>
      </c>
      <c r="I108" s="73"/>
      <c r="J108" s="73"/>
      <c r="K108" s="163" t="s">
        <v>21</v>
      </c>
      <c r="L108" s="161">
        <v>15.03</v>
      </c>
      <c r="M108" s="161">
        <v>809</v>
      </c>
      <c r="N108" s="161">
        <f t="shared" si="12"/>
        <v>3.0299999999999994</v>
      </c>
      <c r="R108" s="161" t="s">
        <v>21</v>
      </c>
      <c r="S108" s="2327">
        <v>14.78</v>
      </c>
      <c r="T108" s="161">
        <v>776</v>
      </c>
      <c r="U108" s="2317">
        <f t="shared" si="25"/>
        <v>2.7799999999999994</v>
      </c>
      <c r="Y108" s="2407" t="s">
        <v>21</v>
      </c>
      <c r="Z108" s="2408">
        <v>15.215712383488661</v>
      </c>
      <c r="AA108" s="2409">
        <v>751</v>
      </c>
      <c r="AB108" s="2410">
        <f t="shared" si="26"/>
        <v>3.2157123834886612</v>
      </c>
      <c r="AD108" s="2318"/>
      <c r="AE108" s="73"/>
      <c r="AF108" s="2318" t="s">
        <v>21</v>
      </c>
      <c r="AG108" s="2320">
        <v>798</v>
      </c>
      <c r="AH108" s="2321">
        <v>14.770676691729317</v>
      </c>
      <c r="AI108" s="2263">
        <f t="shared" si="19"/>
        <v>2.7706766917293173</v>
      </c>
      <c r="AK108" s="163"/>
      <c r="AL108" s="163"/>
      <c r="AM108" s="161" t="s">
        <v>21</v>
      </c>
      <c r="AN108" s="2396">
        <f>SUM(AN25,AN77)</f>
        <v>769</v>
      </c>
      <c r="AO108" s="2250">
        <v>14.819245773732113</v>
      </c>
      <c r="AP108" s="2323">
        <f t="shared" si="20"/>
        <v>2.8192457737321135</v>
      </c>
      <c r="AQ108" s="73"/>
      <c r="AR108" s="163"/>
      <c r="AS108" s="163"/>
      <c r="AT108" s="161" t="s">
        <v>21</v>
      </c>
      <c r="AU108" s="163">
        <v>625</v>
      </c>
      <c r="AV108" s="2250">
        <v>15.233599999999983</v>
      </c>
      <c r="AW108" s="2323">
        <f t="shared" si="21"/>
        <v>3.2335999999999832</v>
      </c>
      <c r="AX108" s="73"/>
      <c r="AY108" s="161"/>
      <c r="AZ108" s="161"/>
      <c r="BA108" s="161" t="s">
        <v>21</v>
      </c>
      <c r="BB108" s="161">
        <v>619</v>
      </c>
      <c r="BC108" s="2327">
        <v>15.035541195476599</v>
      </c>
      <c r="BD108" s="2328">
        <f t="shared" si="22"/>
        <v>3.0355411954765987</v>
      </c>
      <c r="BE108" s="73"/>
      <c r="BF108" s="2329"/>
      <c r="BG108" s="2329"/>
      <c r="BH108" s="2329" t="s">
        <v>21</v>
      </c>
      <c r="BI108" s="2329">
        <v>766</v>
      </c>
      <c r="BJ108" s="2330">
        <v>15.06135770234987</v>
      </c>
      <c r="BK108" s="2331">
        <v>12</v>
      </c>
      <c r="BL108" s="3201">
        <f t="shared" si="23"/>
        <v>3.0613577023498699</v>
      </c>
    </row>
    <row r="109" spans="1:64">
      <c r="C109" s="163" t="s">
        <v>61</v>
      </c>
      <c r="D109" s="161">
        <v>16.88</v>
      </c>
      <c r="E109" s="161">
        <v>64</v>
      </c>
      <c r="F109" s="2327">
        <f t="shared" si="24"/>
        <v>4.879999999999999</v>
      </c>
      <c r="G109" s="2331">
        <v>12</v>
      </c>
      <c r="I109" s="73"/>
      <c r="J109" s="73"/>
      <c r="K109" s="163" t="s">
        <v>61</v>
      </c>
      <c r="L109" s="161">
        <v>16.440000000000001</v>
      </c>
      <c r="M109" s="161">
        <v>55</v>
      </c>
      <c r="N109" s="161">
        <f t="shared" si="12"/>
        <v>4.4400000000000013</v>
      </c>
      <c r="R109" s="161" t="s">
        <v>61</v>
      </c>
      <c r="S109" s="2327">
        <v>16.62</v>
      </c>
      <c r="T109" s="161">
        <v>39</v>
      </c>
      <c r="U109" s="2317">
        <f t="shared" si="25"/>
        <v>4.620000000000001</v>
      </c>
      <c r="Y109" s="2407" t="s">
        <v>61</v>
      </c>
      <c r="Z109" s="2408">
        <v>16.551724137931039</v>
      </c>
      <c r="AA109" s="2409">
        <v>29</v>
      </c>
      <c r="AB109" s="2410">
        <f t="shared" si="26"/>
        <v>4.5517241379310391</v>
      </c>
      <c r="AD109" s="2318"/>
      <c r="AE109" s="73"/>
      <c r="AF109" s="2318" t="s">
        <v>61</v>
      </c>
      <c r="AG109" s="2320">
        <v>31</v>
      </c>
      <c r="AH109" s="2321">
        <v>14.7741935483871</v>
      </c>
      <c r="AI109" s="2263">
        <f t="shared" si="19"/>
        <v>2.7741935483870996</v>
      </c>
      <c r="AK109" s="163"/>
      <c r="AL109" s="163"/>
      <c r="AM109" s="161" t="s">
        <v>61</v>
      </c>
      <c r="AN109" s="2397">
        <f>SUM(AN86)</f>
        <v>21</v>
      </c>
      <c r="AO109" s="2250">
        <v>14.142857142857142</v>
      </c>
      <c r="AP109" s="2323">
        <f t="shared" si="20"/>
        <v>2.1428571428571423</v>
      </c>
      <c r="AQ109" s="73"/>
      <c r="AR109" s="163"/>
      <c r="AS109" s="163"/>
      <c r="AT109" s="161" t="s">
        <v>61</v>
      </c>
      <c r="AU109" s="163">
        <v>48</v>
      </c>
      <c r="AV109" s="2250">
        <v>13.958333333333334</v>
      </c>
      <c r="AW109" s="2323">
        <f t="shared" si="21"/>
        <v>1.9583333333333339</v>
      </c>
      <c r="AX109" s="73"/>
      <c r="AY109" s="161"/>
      <c r="AZ109" s="161"/>
      <c r="BA109" s="161" t="s">
        <v>61</v>
      </c>
      <c r="BB109" s="161">
        <v>32</v>
      </c>
      <c r="BC109" s="2327">
        <v>13.031250000000002</v>
      </c>
      <c r="BD109" s="2328">
        <f t="shared" si="22"/>
        <v>1.0312500000000018</v>
      </c>
      <c r="BE109" s="73"/>
      <c r="BF109" s="2329"/>
      <c r="BG109" s="2329"/>
      <c r="BH109" s="2329" t="s">
        <v>61</v>
      </c>
      <c r="BI109" s="2329">
        <v>15</v>
      </c>
      <c r="BJ109" s="2330">
        <v>13.6</v>
      </c>
      <c r="BK109" s="2331">
        <v>12</v>
      </c>
      <c r="BL109" s="3201">
        <f t="shared" si="23"/>
        <v>1.5999999999999996</v>
      </c>
    </row>
    <row r="110" spans="1:64">
      <c r="C110" s="163" t="s">
        <v>64</v>
      </c>
      <c r="D110" s="161">
        <v>16.239999999999998</v>
      </c>
      <c r="E110" s="161">
        <v>76</v>
      </c>
      <c r="F110" s="2327">
        <f t="shared" si="24"/>
        <v>4.2399999999999984</v>
      </c>
      <c r="G110" s="2331">
        <v>12</v>
      </c>
      <c r="I110" s="73"/>
      <c r="J110" s="73"/>
      <c r="K110" s="163" t="s">
        <v>64</v>
      </c>
      <c r="L110" s="161">
        <v>17.12</v>
      </c>
      <c r="M110" s="161">
        <v>43</v>
      </c>
      <c r="N110" s="161">
        <f t="shared" si="12"/>
        <v>5.120000000000001</v>
      </c>
      <c r="R110" s="161" t="s">
        <v>64</v>
      </c>
      <c r="S110" s="2327">
        <v>17.05</v>
      </c>
      <c r="T110" s="161">
        <v>42</v>
      </c>
      <c r="U110" s="2317">
        <f t="shared" si="25"/>
        <v>5.0500000000000007</v>
      </c>
      <c r="Y110" s="2407" t="s">
        <v>64</v>
      </c>
      <c r="Z110" s="2408">
        <v>16.208333333333339</v>
      </c>
      <c r="AA110" s="2409">
        <v>24</v>
      </c>
      <c r="AB110" s="2410">
        <f t="shared" si="26"/>
        <v>4.2083333333333393</v>
      </c>
      <c r="AD110" s="2318"/>
      <c r="AE110" s="73"/>
      <c r="AF110" s="2318" t="s">
        <v>64</v>
      </c>
      <c r="AG110" s="2320">
        <v>22</v>
      </c>
      <c r="AH110" s="2321">
        <v>17.045454545454543</v>
      </c>
      <c r="AI110" s="2263">
        <f t="shared" si="19"/>
        <v>5.0454545454545432</v>
      </c>
      <c r="AK110" s="163"/>
      <c r="AL110" s="163"/>
      <c r="AM110" s="161" t="s">
        <v>64</v>
      </c>
      <c r="AN110" s="2397">
        <f>SUM(AN90)</f>
        <v>15</v>
      </c>
      <c r="AO110" s="2250">
        <v>15.733333333333334</v>
      </c>
      <c r="AP110" s="2323">
        <f t="shared" si="20"/>
        <v>3.7333333333333343</v>
      </c>
      <c r="AQ110" s="73"/>
      <c r="AR110" s="163"/>
      <c r="AS110" s="163"/>
      <c r="AT110" s="161" t="s">
        <v>64</v>
      </c>
      <c r="AU110" s="163">
        <v>18</v>
      </c>
      <c r="AV110" s="2250">
        <v>14.222222222222223</v>
      </c>
      <c r="AW110" s="2323">
        <f t="shared" si="21"/>
        <v>2.2222222222222232</v>
      </c>
      <c r="AX110" s="73"/>
      <c r="AY110" s="161"/>
      <c r="AZ110" s="161"/>
      <c r="BA110" s="161" t="s">
        <v>64</v>
      </c>
      <c r="BB110" s="161">
        <v>11</v>
      </c>
      <c r="BC110" s="2327">
        <v>14.090909090909092</v>
      </c>
      <c r="BD110" s="2328">
        <f t="shared" si="22"/>
        <v>2.0909090909090917</v>
      </c>
      <c r="BE110" s="73"/>
      <c r="BF110" s="2329"/>
      <c r="BG110" s="2329"/>
      <c r="BH110" s="2329" t="s">
        <v>64</v>
      </c>
      <c r="BI110" s="2329">
        <v>10</v>
      </c>
      <c r="BJ110" s="2330">
        <v>13.7</v>
      </c>
      <c r="BK110" s="2331">
        <v>12</v>
      </c>
      <c r="BL110" s="3201">
        <f t="shared" si="23"/>
        <v>1.6999999999999993</v>
      </c>
    </row>
    <row r="111" spans="1:64" ht="15.75" thickBot="1">
      <c r="C111" s="733" t="s">
        <v>114</v>
      </c>
      <c r="D111" s="743">
        <v>15.93</v>
      </c>
      <c r="E111" s="743">
        <v>5450</v>
      </c>
      <c r="F111" s="4665">
        <f t="shared" si="24"/>
        <v>3.9299999999999997</v>
      </c>
      <c r="G111" s="4666">
        <v>12</v>
      </c>
      <c r="I111" s="73"/>
      <c r="J111" s="73"/>
      <c r="K111" s="733" t="s">
        <v>114</v>
      </c>
      <c r="L111" s="743">
        <v>16.11</v>
      </c>
      <c r="M111" s="743">
        <v>5427</v>
      </c>
      <c r="N111" s="743">
        <f t="shared" si="12"/>
        <v>4.1099999999999994</v>
      </c>
      <c r="R111" s="743" t="s">
        <v>75</v>
      </c>
      <c r="S111" s="2373">
        <v>15.86</v>
      </c>
      <c r="T111" s="743">
        <v>5145</v>
      </c>
      <c r="U111" s="2413">
        <f t="shared" si="25"/>
        <v>3.8599999999999994</v>
      </c>
      <c r="Y111" s="1215" t="s">
        <v>114</v>
      </c>
      <c r="Z111" s="2411">
        <v>15.948707985234114</v>
      </c>
      <c r="AA111" s="2412">
        <v>5147</v>
      </c>
      <c r="AB111" s="2413">
        <f t="shared" si="26"/>
        <v>3.9487079852341136</v>
      </c>
      <c r="AD111" s="2381"/>
      <c r="AE111" s="746"/>
      <c r="AF111" s="2399" t="s">
        <v>75</v>
      </c>
      <c r="AG111" s="2383">
        <v>5063</v>
      </c>
      <c r="AH111" s="2384">
        <v>15.858384357100615</v>
      </c>
      <c r="AI111" s="2400">
        <f t="shared" si="19"/>
        <v>3.8583843571006149</v>
      </c>
      <c r="AK111" s="2375"/>
      <c r="AL111" s="2375"/>
      <c r="AM111" s="2401" t="s">
        <v>114</v>
      </c>
      <c r="AN111" s="2378">
        <f>SUM(AN105:AN110)</f>
        <v>5334</v>
      </c>
      <c r="AO111" s="2379">
        <v>15.751781027371603</v>
      </c>
      <c r="AP111" s="2402">
        <f>+AO111-12</f>
        <v>3.751781027371603</v>
      </c>
      <c r="AQ111" s="73"/>
      <c r="AR111" s="2375"/>
      <c r="AS111" s="2375"/>
      <c r="AT111" s="2401" t="s">
        <v>114</v>
      </c>
      <c r="AU111" s="2378">
        <v>4674</v>
      </c>
      <c r="AV111" s="2379">
        <v>15.569747539580661</v>
      </c>
      <c r="AW111" s="2403">
        <f t="shared" si="21"/>
        <v>3.5697475395806606</v>
      </c>
      <c r="AX111" s="73"/>
      <c r="AY111" s="161"/>
      <c r="AZ111" s="161"/>
      <c r="BA111" s="743" t="s">
        <v>114</v>
      </c>
      <c r="BB111" s="743">
        <v>4448</v>
      </c>
      <c r="BC111" s="2373">
        <v>15.648381294964095</v>
      </c>
      <c r="BD111" s="2374">
        <f>+BC111-12</f>
        <v>3.6483812949640946</v>
      </c>
      <c r="BE111" s="73"/>
      <c r="BF111" s="2329"/>
      <c r="BG111" s="2329"/>
      <c r="BH111" s="2360" t="s">
        <v>75</v>
      </c>
      <c r="BI111" s="2404">
        <v>4854</v>
      </c>
      <c r="BJ111" s="2361">
        <v>15.627523691800636</v>
      </c>
      <c r="BK111" s="2405">
        <v>12</v>
      </c>
      <c r="BL111" s="3207">
        <f t="shared" si="23"/>
        <v>3.6275236918006364</v>
      </c>
    </row>
    <row r="112" spans="1:64">
      <c r="I112" s="73"/>
      <c r="J112" s="73"/>
      <c r="K112" s="73"/>
      <c r="L112" s="73"/>
      <c r="M112" s="73"/>
      <c r="AD112" s="738" t="s">
        <v>1957</v>
      </c>
      <c r="AK112" s="73"/>
      <c r="AL112" s="73"/>
      <c r="AM112" s="73"/>
      <c r="AN112" s="73"/>
      <c r="AO112" s="73"/>
      <c r="AP112" s="73"/>
      <c r="AQ112" s="73"/>
      <c r="AR112" s="163"/>
      <c r="AS112" s="163"/>
      <c r="AT112" s="73"/>
      <c r="AU112" s="73"/>
      <c r="AV112" s="73"/>
      <c r="AW112" s="73"/>
      <c r="AX112" s="73"/>
      <c r="AY112" s="161"/>
      <c r="AZ112" s="161"/>
      <c r="BA112" s="73" t="s">
        <v>1359</v>
      </c>
      <c r="BB112" s="73"/>
      <c r="BC112" s="73"/>
      <c r="BD112" s="2386"/>
      <c r="BE112" s="73"/>
      <c r="BF112" s="2329"/>
      <c r="BG112" s="2329"/>
      <c r="BH112" s="2406" t="s">
        <v>1360</v>
      </c>
      <c r="BI112" s="2329"/>
      <c r="BJ112" s="737"/>
      <c r="BK112" s="737"/>
      <c r="BL112" s="3208"/>
    </row>
    <row r="113" spans="9:64">
      <c r="I113" s="738" t="s">
        <v>2696</v>
      </c>
      <c r="J113" s="73"/>
      <c r="K113" s="73"/>
      <c r="L113" s="73"/>
      <c r="M113" s="73"/>
      <c r="AK113" s="73"/>
      <c r="AL113" s="73"/>
      <c r="AM113" s="73"/>
      <c r="AN113" s="73"/>
      <c r="AO113" s="73"/>
      <c r="AP113" s="73"/>
      <c r="AQ113" s="73"/>
      <c r="AR113" s="163"/>
      <c r="AS113" s="163"/>
      <c r="AT113" s="73"/>
      <c r="AU113" s="73"/>
      <c r="AV113" s="73"/>
      <c r="AW113" s="73"/>
      <c r="AX113" s="73"/>
      <c r="AY113" s="161"/>
      <c r="AZ113" s="161"/>
      <c r="BA113" s="73"/>
      <c r="BB113" s="73"/>
      <c r="BC113" s="73"/>
      <c r="BD113" s="73"/>
      <c r="BE113" s="73"/>
      <c r="BF113" s="73"/>
      <c r="BG113" s="73"/>
      <c r="BH113" s="73"/>
      <c r="BI113" s="73"/>
      <c r="BJ113" s="73"/>
      <c r="BK113" s="73"/>
      <c r="BL113" s="163"/>
    </row>
    <row r="114" spans="9:64">
      <c r="AK114" s="73"/>
      <c r="AL114" s="73"/>
      <c r="AM114" s="73"/>
      <c r="AN114" s="73"/>
      <c r="AO114" s="73"/>
      <c r="AP114" s="73"/>
      <c r="AQ114" s="73"/>
      <c r="AR114" s="163"/>
      <c r="AS114" s="163"/>
      <c r="AT114" s="73"/>
      <c r="AU114" s="73"/>
      <c r="AV114" s="73"/>
      <c r="AW114" s="73"/>
      <c r="AX114" s="73"/>
      <c r="AY114" s="161"/>
      <c r="AZ114" s="161"/>
      <c r="BA114" s="73"/>
      <c r="BB114" s="73"/>
      <c r="BC114" s="73"/>
      <c r="BD114" s="73"/>
      <c r="BE114" s="73"/>
      <c r="BF114" s="73"/>
      <c r="BG114" s="73"/>
      <c r="BH114" s="73"/>
      <c r="BI114" s="73"/>
      <c r="BJ114" s="73"/>
      <c r="BK114" s="73"/>
      <c r="BL114" s="163"/>
    </row>
    <row r="115" spans="9:64">
      <c r="AK115" s="73"/>
      <c r="AL115" s="73"/>
      <c r="AM115" s="73"/>
      <c r="AN115" s="73"/>
      <c r="AO115" s="73"/>
      <c r="AP115" s="73"/>
      <c r="AQ115" s="73"/>
      <c r="AR115" s="163"/>
      <c r="AS115" s="163"/>
      <c r="AT115" s="73"/>
      <c r="AU115" s="73"/>
      <c r="AV115" s="73"/>
      <c r="AW115" s="73"/>
      <c r="AX115" s="73"/>
      <c r="AY115" s="161"/>
      <c r="AZ115" s="161"/>
      <c r="BA115" s="73"/>
      <c r="BB115" s="73"/>
      <c r="BC115" s="73"/>
      <c r="BD115" s="73"/>
      <c r="BE115" s="73"/>
      <c r="BF115" s="73"/>
      <c r="BG115" s="73"/>
      <c r="BH115" s="73"/>
      <c r="BI115" s="73"/>
      <c r="BJ115" s="73"/>
      <c r="BK115" s="73"/>
      <c r="BL115" s="163"/>
    </row>
    <row r="116" spans="9:64">
      <c r="AK116" s="73"/>
      <c r="AL116" s="73"/>
      <c r="AM116" s="73"/>
      <c r="AN116" s="73"/>
      <c r="AO116" s="73"/>
      <c r="AP116" s="73"/>
      <c r="AQ116" s="73"/>
      <c r="AR116" s="163"/>
      <c r="AS116" s="163"/>
      <c r="AT116" s="73"/>
      <c r="AU116" s="73"/>
      <c r="AV116" s="73"/>
      <c r="AW116" s="73"/>
      <c r="AX116" s="73"/>
      <c r="AY116" s="161"/>
      <c r="AZ116" s="161"/>
      <c r="BA116" s="73"/>
      <c r="BB116" s="73"/>
      <c r="BC116" s="73"/>
      <c r="BD116" s="73"/>
      <c r="BE116" s="73"/>
      <c r="BF116" s="73"/>
      <c r="BG116" s="73"/>
      <c r="BH116" s="73"/>
      <c r="BI116" s="73"/>
      <c r="BJ116" s="73"/>
      <c r="BK116" s="73"/>
      <c r="BL116" s="163"/>
    </row>
    <row r="117" spans="9:64">
      <c r="AK117" s="73"/>
      <c r="AL117" s="73"/>
      <c r="AM117" s="73"/>
      <c r="AN117" s="73"/>
      <c r="AO117" s="73"/>
      <c r="AP117" s="73"/>
      <c r="AQ117" s="73"/>
      <c r="AR117" s="163"/>
      <c r="AS117" s="163"/>
      <c r="AT117" s="73"/>
      <c r="AU117" s="73"/>
      <c r="AV117" s="73"/>
      <c r="AW117" s="73"/>
      <c r="AX117" s="73"/>
      <c r="AY117" s="161"/>
      <c r="AZ117" s="161"/>
      <c r="BA117" s="73"/>
      <c r="BB117" s="73"/>
      <c r="BC117" s="73"/>
      <c r="BD117" s="73"/>
      <c r="BE117" s="73"/>
      <c r="BF117" s="73"/>
      <c r="BG117" s="73"/>
      <c r="BH117" s="73"/>
      <c r="BI117" s="73"/>
      <c r="BJ117" s="73"/>
      <c r="BK117" s="73"/>
      <c r="BL117" s="163"/>
    </row>
    <row r="118" spans="9:64">
      <c r="AK118" s="73"/>
      <c r="AL118" s="73"/>
      <c r="AM118" s="73"/>
      <c r="AN118" s="73"/>
      <c r="AO118" s="73"/>
      <c r="AP118" s="73"/>
      <c r="AQ118" s="73"/>
      <c r="AR118" s="163"/>
      <c r="AS118" s="163"/>
      <c r="AT118" s="73"/>
      <c r="AU118" s="73"/>
      <c r="AV118" s="73"/>
      <c r="AW118" s="73"/>
      <c r="AX118" s="73"/>
      <c r="AY118" s="161"/>
      <c r="AZ118" s="161"/>
      <c r="BA118" s="73"/>
      <c r="BB118" s="73"/>
      <c r="BC118" s="73"/>
      <c r="BD118" s="73"/>
      <c r="BE118" s="73"/>
      <c r="BF118" s="73"/>
      <c r="BG118" s="73"/>
      <c r="BH118" s="73"/>
      <c r="BI118" s="73"/>
      <c r="BJ118" s="73"/>
      <c r="BK118" s="73"/>
      <c r="BL118" s="163"/>
    </row>
    <row r="119" spans="9:64">
      <c r="AK119" s="73"/>
      <c r="AL119" s="73"/>
      <c r="AM119" s="73"/>
      <c r="AN119" s="73"/>
      <c r="AO119" s="73"/>
      <c r="AP119" s="73"/>
      <c r="AQ119" s="73"/>
      <c r="AR119" s="163"/>
      <c r="AS119" s="163"/>
      <c r="AT119" s="73"/>
      <c r="AU119" s="73"/>
      <c r="AV119" s="73"/>
      <c r="AW119" s="73"/>
      <c r="AX119" s="73"/>
      <c r="AY119" s="161"/>
      <c r="AZ119" s="161"/>
      <c r="BA119" s="73"/>
      <c r="BB119" s="73"/>
      <c r="BC119" s="73"/>
      <c r="BD119" s="73"/>
      <c r="BE119" s="73"/>
      <c r="BF119" s="73"/>
      <c r="BG119" s="73"/>
      <c r="BH119" s="73"/>
      <c r="BI119" s="73"/>
      <c r="BJ119" s="73"/>
      <c r="BK119" s="73"/>
      <c r="BL119" s="163"/>
    </row>
    <row r="120" spans="9:64">
      <c r="AK120" s="73"/>
      <c r="AL120" s="73"/>
      <c r="AM120" s="73"/>
      <c r="AN120" s="73"/>
      <c r="AO120" s="73"/>
      <c r="AP120" s="73"/>
      <c r="AQ120" s="73"/>
      <c r="AR120" s="163"/>
      <c r="AS120" s="163"/>
      <c r="AT120" s="73"/>
      <c r="AU120" s="73"/>
      <c r="AV120" s="73"/>
      <c r="AW120" s="73"/>
      <c r="AX120" s="73"/>
      <c r="AY120" s="161"/>
      <c r="AZ120" s="161"/>
      <c r="BA120" s="73"/>
      <c r="BB120" s="73"/>
      <c r="BC120" s="73"/>
      <c r="BD120" s="73"/>
      <c r="BE120" s="73"/>
      <c r="BF120" s="73"/>
      <c r="BG120" s="73"/>
      <c r="BH120" s="73"/>
      <c r="BI120" s="73"/>
      <c r="BJ120" s="73"/>
      <c r="BK120" s="73"/>
      <c r="BL120" s="163"/>
    </row>
    <row r="121" spans="9:64">
      <c r="AK121" s="73"/>
      <c r="AL121" s="73"/>
      <c r="AM121" s="73"/>
      <c r="AN121" s="73"/>
      <c r="AO121" s="73"/>
      <c r="AP121" s="73"/>
      <c r="AQ121" s="73"/>
      <c r="AR121" s="163"/>
      <c r="AS121" s="163"/>
      <c r="AT121" s="73"/>
      <c r="AU121" s="73"/>
      <c r="AV121" s="73"/>
      <c r="AW121" s="73"/>
      <c r="AX121" s="73"/>
      <c r="AY121" s="161"/>
      <c r="AZ121" s="161"/>
      <c r="BA121" s="73"/>
      <c r="BB121" s="73"/>
      <c r="BC121" s="73"/>
      <c r="BD121" s="73"/>
      <c r="BE121" s="73"/>
      <c r="BF121" s="73"/>
      <c r="BG121" s="73"/>
      <c r="BH121" s="73"/>
      <c r="BI121" s="73"/>
      <c r="BJ121" s="73"/>
      <c r="BK121" s="73"/>
      <c r="BL121" s="163"/>
    </row>
    <row r="122" spans="9:64">
      <c r="AK122" s="73"/>
      <c r="AL122" s="73"/>
      <c r="AM122" s="73"/>
      <c r="AN122" s="73"/>
      <c r="AO122" s="73"/>
      <c r="AP122" s="73"/>
      <c r="AQ122" s="73"/>
      <c r="AR122" s="163"/>
      <c r="AS122" s="163"/>
      <c r="AT122" s="73"/>
      <c r="AU122" s="73"/>
      <c r="AV122" s="73"/>
      <c r="AW122" s="73"/>
      <c r="AX122" s="73"/>
      <c r="AY122" s="161"/>
      <c r="AZ122" s="161"/>
      <c r="BA122" s="73"/>
      <c r="BB122" s="73"/>
      <c r="BC122" s="73"/>
      <c r="BD122" s="73"/>
      <c r="BE122" s="73"/>
      <c r="BF122" s="73"/>
      <c r="BG122" s="73"/>
      <c r="BH122" s="73"/>
      <c r="BI122" s="73"/>
      <c r="BJ122" s="73"/>
      <c r="BK122" s="73"/>
      <c r="BL122" s="163"/>
    </row>
    <row r="123" spans="9:64">
      <c r="AK123" s="73"/>
      <c r="AL123" s="73"/>
      <c r="AM123" s="73"/>
      <c r="AN123" s="73"/>
      <c r="AO123" s="73"/>
      <c r="AP123" s="73"/>
      <c r="AQ123" s="73"/>
      <c r="AR123" s="163"/>
      <c r="AS123" s="163"/>
      <c r="AT123" s="73"/>
      <c r="AU123" s="73"/>
      <c r="AV123" s="73"/>
      <c r="AW123" s="73"/>
      <c r="AX123" s="73"/>
      <c r="AY123" s="161"/>
      <c r="AZ123" s="161"/>
      <c r="BA123" s="73"/>
      <c r="BB123" s="73"/>
      <c r="BC123" s="73"/>
      <c r="BD123" s="73"/>
      <c r="BE123" s="73"/>
      <c r="BF123" s="73"/>
      <c r="BG123" s="73"/>
      <c r="BH123" s="73"/>
      <c r="BI123" s="73"/>
      <c r="BJ123" s="73"/>
      <c r="BK123" s="73"/>
      <c r="BL123" s="163"/>
    </row>
    <row r="124" spans="9:64">
      <c r="AK124" s="73"/>
      <c r="AL124" s="73"/>
      <c r="AM124" s="73"/>
      <c r="AN124" s="73"/>
      <c r="AO124" s="73"/>
      <c r="AP124" s="73"/>
      <c r="AQ124" s="73"/>
      <c r="AR124" s="163"/>
      <c r="AS124" s="163"/>
      <c r="AT124" s="73"/>
      <c r="AU124" s="73"/>
      <c r="AV124" s="73"/>
      <c r="AW124" s="73"/>
      <c r="AX124" s="73"/>
      <c r="AY124" s="161"/>
      <c r="AZ124" s="161"/>
      <c r="BA124" s="73"/>
      <c r="BB124" s="73"/>
      <c r="BC124" s="73"/>
      <c r="BD124" s="73"/>
      <c r="BE124" s="73"/>
      <c r="BF124" s="73"/>
      <c r="BG124" s="73"/>
      <c r="BH124" s="73"/>
      <c r="BI124" s="73"/>
      <c r="BJ124" s="73"/>
      <c r="BK124" s="73"/>
      <c r="BL124" s="163"/>
    </row>
    <row r="125" spans="9:64">
      <c r="AK125" s="73"/>
      <c r="AL125" s="73"/>
      <c r="AM125" s="73"/>
      <c r="AN125" s="73"/>
      <c r="AO125" s="73"/>
      <c r="AP125" s="73"/>
      <c r="AQ125" s="73"/>
      <c r="AR125" s="163"/>
      <c r="AS125" s="163"/>
      <c r="AT125" s="73"/>
      <c r="AU125" s="73"/>
      <c r="AV125" s="73"/>
      <c r="AW125" s="73"/>
      <c r="AX125" s="73"/>
      <c r="AY125" s="161"/>
      <c r="AZ125" s="161"/>
      <c r="BA125" s="73"/>
      <c r="BB125" s="73"/>
      <c r="BC125" s="73"/>
      <c r="BD125" s="73"/>
      <c r="BE125" s="73"/>
      <c r="BF125" s="73"/>
      <c r="BG125" s="73"/>
      <c r="BH125" s="73"/>
      <c r="BI125" s="73"/>
      <c r="BJ125" s="73"/>
      <c r="BK125" s="73"/>
      <c r="BL125" s="163"/>
    </row>
    <row r="126" spans="9:64">
      <c r="AK126" s="73"/>
      <c r="AL126" s="73"/>
      <c r="AM126" s="73"/>
      <c r="AN126" s="73"/>
      <c r="AO126" s="73"/>
      <c r="AP126" s="73"/>
      <c r="AQ126" s="73"/>
      <c r="AR126" s="163"/>
      <c r="AS126" s="163"/>
      <c r="AT126" s="73"/>
      <c r="AU126" s="73"/>
      <c r="AV126" s="73"/>
      <c r="AW126" s="73"/>
      <c r="AX126" s="73"/>
      <c r="AY126" s="161"/>
      <c r="AZ126" s="161"/>
      <c r="BA126" s="73"/>
      <c r="BB126" s="73"/>
      <c r="BC126" s="73"/>
      <c r="BD126" s="73"/>
      <c r="BE126" s="73"/>
      <c r="BF126" s="73"/>
      <c r="BG126" s="73"/>
      <c r="BH126" s="73"/>
      <c r="BI126" s="73"/>
      <c r="BJ126" s="73"/>
      <c r="BK126" s="73"/>
      <c r="BL126" s="163"/>
    </row>
    <row r="127" spans="9:64">
      <c r="AK127" s="73"/>
      <c r="AL127" s="73"/>
      <c r="AM127" s="73"/>
      <c r="AN127" s="73"/>
      <c r="AO127" s="73"/>
      <c r="AP127" s="73"/>
      <c r="AQ127" s="73"/>
      <c r="AR127" s="163"/>
      <c r="AS127" s="163"/>
      <c r="AT127" s="73"/>
      <c r="AU127" s="73"/>
      <c r="AV127" s="73"/>
      <c r="AW127" s="73"/>
      <c r="AX127" s="73"/>
      <c r="AY127" s="161"/>
      <c r="AZ127" s="161"/>
      <c r="BA127" s="73"/>
      <c r="BB127" s="73"/>
      <c r="BC127" s="73"/>
      <c r="BD127" s="73"/>
      <c r="BE127" s="73"/>
      <c r="BF127" s="73"/>
      <c r="BG127" s="73"/>
      <c r="BH127" s="73"/>
      <c r="BI127" s="73"/>
      <c r="BJ127" s="73"/>
      <c r="BK127" s="73"/>
      <c r="BL127" s="163"/>
    </row>
    <row r="128" spans="9:64">
      <c r="AK128" s="73"/>
      <c r="AL128" s="73"/>
      <c r="AM128" s="73"/>
      <c r="AN128" s="73"/>
      <c r="AO128" s="73"/>
      <c r="AP128" s="73"/>
      <c r="AQ128" s="73"/>
      <c r="AR128" s="163"/>
      <c r="AS128" s="163"/>
      <c r="AT128" s="73"/>
      <c r="AU128" s="73"/>
      <c r="AV128" s="73"/>
      <c r="AW128" s="73"/>
      <c r="AX128" s="73"/>
      <c r="AY128" s="161"/>
      <c r="AZ128" s="161"/>
      <c r="BA128" s="73"/>
      <c r="BB128" s="73"/>
      <c r="BC128" s="73"/>
      <c r="BD128" s="73"/>
      <c r="BE128" s="73"/>
      <c r="BF128" s="73"/>
      <c r="BG128" s="73"/>
      <c r="BH128" s="73"/>
      <c r="BI128" s="73"/>
      <c r="BJ128" s="73"/>
      <c r="BK128" s="73"/>
      <c r="BL128" s="163"/>
    </row>
    <row r="129" spans="37:64">
      <c r="AK129" s="73"/>
      <c r="AL129" s="73"/>
      <c r="AM129" s="73"/>
      <c r="AN129" s="73"/>
      <c r="AO129" s="73"/>
      <c r="AP129" s="73"/>
      <c r="AQ129" s="73"/>
      <c r="AR129" s="163"/>
      <c r="AS129" s="163"/>
      <c r="AT129" s="73"/>
      <c r="AU129" s="73"/>
      <c r="AV129" s="73"/>
      <c r="AW129" s="73"/>
      <c r="AX129" s="73"/>
      <c r="AY129" s="161"/>
      <c r="AZ129" s="161"/>
      <c r="BA129" s="73"/>
      <c r="BB129" s="73"/>
      <c r="BC129" s="73"/>
      <c r="BD129" s="73"/>
      <c r="BE129" s="73"/>
      <c r="BF129" s="73"/>
      <c r="BG129" s="73"/>
      <c r="BH129" s="73"/>
      <c r="BI129" s="73"/>
      <c r="BJ129" s="73"/>
      <c r="BK129" s="73"/>
      <c r="BL129" s="163"/>
    </row>
    <row r="130" spans="37:64">
      <c r="AK130" s="73"/>
      <c r="AL130" s="73"/>
      <c r="AM130" s="73"/>
      <c r="AN130" s="73"/>
      <c r="AO130" s="73"/>
      <c r="AP130" s="73"/>
      <c r="AQ130" s="73"/>
      <c r="AR130" s="163"/>
      <c r="AS130" s="163"/>
      <c r="AT130" s="73"/>
      <c r="AU130" s="73"/>
      <c r="AV130" s="73"/>
      <c r="AW130" s="73"/>
      <c r="AX130" s="73"/>
      <c r="AY130" s="161"/>
      <c r="AZ130" s="161"/>
      <c r="BA130" s="73"/>
      <c r="BB130" s="73"/>
      <c r="BC130" s="73"/>
      <c r="BD130" s="73"/>
      <c r="BE130" s="73"/>
      <c r="BF130" s="73"/>
      <c r="BG130" s="73"/>
      <c r="BH130" s="73"/>
      <c r="BI130" s="73"/>
      <c r="BJ130" s="73"/>
      <c r="BK130" s="73"/>
      <c r="BL130" s="163"/>
    </row>
    <row r="131" spans="37:64">
      <c r="AK131" s="73"/>
      <c r="AL131" s="73"/>
      <c r="AM131" s="73"/>
      <c r="AN131" s="73"/>
      <c r="AO131" s="73"/>
      <c r="AP131" s="73"/>
      <c r="AQ131" s="73"/>
      <c r="AR131" s="163"/>
      <c r="AS131" s="163"/>
      <c r="AT131" s="73"/>
      <c r="AU131" s="73"/>
      <c r="AV131" s="73"/>
      <c r="AW131" s="73"/>
      <c r="AX131" s="73"/>
      <c r="AY131" s="161"/>
      <c r="AZ131" s="161"/>
      <c r="BA131" s="73"/>
      <c r="BB131" s="73"/>
      <c r="BC131" s="73"/>
      <c r="BD131" s="73"/>
      <c r="BE131" s="73"/>
      <c r="BF131" s="73"/>
      <c r="BG131" s="73"/>
      <c r="BH131" s="73"/>
      <c r="BI131" s="73"/>
      <c r="BJ131" s="73"/>
      <c r="BK131" s="73"/>
      <c r="BL131" s="163"/>
    </row>
    <row r="132" spans="37:64">
      <c r="AK132" s="73"/>
      <c r="AL132" s="73"/>
      <c r="AM132" s="73"/>
      <c r="AN132" s="73"/>
      <c r="AO132" s="73"/>
      <c r="AP132" s="73"/>
      <c r="AQ132" s="73"/>
      <c r="AR132" s="163"/>
      <c r="AS132" s="163"/>
      <c r="AT132" s="73"/>
      <c r="AU132" s="73"/>
      <c r="AV132" s="73"/>
      <c r="AW132" s="73"/>
      <c r="AX132" s="73"/>
      <c r="AY132" s="161"/>
      <c r="AZ132" s="161"/>
      <c r="BA132" s="73"/>
      <c r="BB132" s="73"/>
      <c r="BC132" s="73"/>
      <c r="BD132" s="73"/>
      <c r="BE132" s="73"/>
      <c r="BF132" s="73"/>
      <c r="BG132" s="73"/>
      <c r="BH132" s="73"/>
      <c r="BI132" s="73"/>
      <c r="BJ132" s="73"/>
      <c r="BK132" s="73"/>
      <c r="BL132" s="163"/>
    </row>
    <row r="133" spans="37:64">
      <c r="AK133" s="73"/>
      <c r="AL133" s="73"/>
      <c r="AM133" s="73"/>
      <c r="AN133" s="73"/>
      <c r="AO133" s="73"/>
      <c r="AP133" s="73"/>
      <c r="AQ133" s="73"/>
      <c r="AR133" s="163"/>
      <c r="AS133" s="163"/>
      <c r="AT133" s="73"/>
      <c r="AU133" s="73"/>
      <c r="AV133" s="73"/>
      <c r="AW133" s="73"/>
      <c r="AX133" s="73"/>
      <c r="AY133" s="161"/>
      <c r="AZ133" s="161"/>
      <c r="BA133" s="73"/>
      <c r="BB133" s="73"/>
      <c r="BC133" s="73"/>
      <c r="BD133" s="73"/>
      <c r="BE133" s="73"/>
      <c r="BF133" s="73"/>
      <c r="BG133" s="73"/>
      <c r="BH133" s="73"/>
      <c r="BI133" s="73"/>
      <c r="BJ133" s="73"/>
      <c r="BK133" s="73"/>
      <c r="BL133" s="163"/>
    </row>
    <row r="134" spans="37:64">
      <c r="AK134" s="73"/>
      <c r="AL134" s="73"/>
      <c r="AM134" s="73"/>
      <c r="AN134" s="73"/>
      <c r="AO134" s="73"/>
      <c r="AP134" s="73"/>
      <c r="AQ134" s="73"/>
      <c r="AR134" s="163"/>
      <c r="AS134" s="163"/>
      <c r="AT134" s="73"/>
      <c r="AU134" s="73"/>
      <c r="AV134" s="73"/>
      <c r="AW134" s="73"/>
      <c r="AX134" s="73"/>
      <c r="AY134" s="161"/>
      <c r="AZ134" s="161"/>
      <c r="BA134" s="73"/>
      <c r="BB134" s="73"/>
      <c r="BC134" s="73"/>
      <c r="BD134" s="73"/>
      <c r="BE134" s="73"/>
      <c r="BF134" s="73"/>
      <c r="BG134" s="73"/>
      <c r="BH134" s="73"/>
      <c r="BI134" s="73"/>
      <c r="BJ134" s="73"/>
      <c r="BK134" s="73"/>
      <c r="BL134" s="163"/>
    </row>
    <row r="135" spans="37:64">
      <c r="AK135" s="73"/>
      <c r="AL135" s="73"/>
      <c r="AM135" s="73"/>
      <c r="AN135" s="73"/>
      <c r="AO135" s="73"/>
      <c r="AP135" s="73"/>
      <c r="AQ135" s="73"/>
      <c r="AR135" s="163"/>
      <c r="AS135" s="163"/>
      <c r="AT135" s="73"/>
      <c r="AU135" s="73"/>
      <c r="AV135" s="73"/>
      <c r="AW135" s="73"/>
      <c r="AX135" s="73"/>
      <c r="AY135" s="161"/>
      <c r="AZ135" s="161"/>
      <c r="BA135" s="73"/>
      <c r="BB135" s="73"/>
      <c r="BC135" s="73"/>
      <c r="BD135" s="73"/>
      <c r="BE135" s="73"/>
      <c r="BF135" s="73"/>
      <c r="BG135" s="73"/>
      <c r="BH135" s="73"/>
      <c r="BI135" s="73"/>
      <c r="BJ135" s="73"/>
      <c r="BK135" s="73"/>
      <c r="BL135" s="163"/>
    </row>
    <row r="136" spans="37:64">
      <c r="AK136" s="73"/>
      <c r="AL136" s="73"/>
      <c r="AM136" s="73"/>
      <c r="AN136" s="73"/>
      <c r="AO136" s="73"/>
      <c r="AP136" s="73"/>
      <c r="AQ136" s="73"/>
      <c r="AR136" s="163"/>
      <c r="AS136" s="163"/>
      <c r="AT136" s="73"/>
      <c r="AU136" s="73"/>
      <c r="AV136" s="73"/>
      <c r="AW136" s="73"/>
      <c r="AX136" s="73"/>
      <c r="AY136" s="161"/>
      <c r="AZ136" s="161"/>
      <c r="BA136" s="73"/>
      <c r="BB136" s="73"/>
      <c r="BC136" s="73"/>
      <c r="BD136" s="73"/>
      <c r="BE136" s="73"/>
      <c r="BF136" s="73"/>
      <c r="BG136" s="73"/>
      <c r="BH136" s="73"/>
      <c r="BI136" s="73"/>
      <c r="BJ136" s="73"/>
      <c r="BK136" s="73"/>
      <c r="BL136" s="163"/>
    </row>
    <row r="137" spans="37:64">
      <c r="AK137" s="73"/>
      <c r="AL137" s="73"/>
      <c r="AM137" s="73"/>
      <c r="AN137" s="73"/>
      <c r="AO137" s="73"/>
      <c r="AP137" s="73"/>
      <c r="AQ137" s="73"/>
      <c r="AR137" s="163"/>
      <c r="AS137" s="163"/>
      <c r="AT137" s="73"/>
      <c r="AU137" s="73"/>
      <c r="AV137" s="73"/>
      <c r="AW137" s="73"/>
      <c r="AX137" s="73"/>
      <c r="AY137" s="161"/>
      <c r="AZ137" s="161"/>
      <c r="BA137" s="73"/>
      <c r="BB137" s="73"/>
      <c r="BC137" s="73"/>
      <c r="BD137" s="73"/>
      <c r="BE137" s="73"/>
      <c r="BF137" s="73"/>
      <c r="BG137" s="73"/>
      <c r="BH137" s="73"/>
      <c r="BI137" s="73"/>
      <c r="BJ137" s="73"/>
      <c r="BK137" s="73"/>
      <c r="BL137" s="163"/>
    </row>
    <row r="138" spans="37:64">
      <c r="AK138" s="73"/>
      <c r="AL138" s="73"/>
      <c r="AM138" s="73"/>
      <c r="AN138" s="73"/>
      <c r="AO138" s="73"/>
      <c r="AP138" s="73"/>
      <c r="AQ138" s="73"/>
      <c r="AR138" s="163"/>
      <c r="AS138" s="163"/>
      <c r="AT138" s="73"/>
      <c r="AU138" s="73"/>
      <c r="AV138" s="73"/>
      <c r="AW138" s="73"/>
      <c r="AX138" s="73"/>
      <c r="AY138" s="161"/>
      <c r="AZ138" s="161"/>
      <c r="BA138" s="73"/>
      <c r="BB138" s="73"/>
      <c r="BC138" s="73"/>
      <c r="BD138" s="73"/>
      <c r="BE138" s="73"/>
      <c r="BF138" s="73"/>
      <c r="BG138" s="73"/>
      <c r="BH138" s="73"/>
      <c r="BI138" s="73"/>
      <c r="BJ138" s="73"/>
      <c r="BK138" s="73"/>
      <c r="BL138" s="163"/>
    </row>
    <row r="139" spans="37:64">
      <c r="AK139" s="73"/>
      <c r="AL139" s="73"/>
      <c r="AM139" s="73"/>
      <c r="AN139" s="73"/>
      <c r="AO139" s="73"/>
      <c r="AP139" s="73"/>
      <c r="AQ139" s="73"/>
      <c r="AR139" s="163"/>
      <c r="AS139" s="163"/>
      <c r="AT139" s="73"/>
      <c r="AU139" s="73"/>
      <c r="AV139" s="73"/>
      <c r="AW139" s="73"/>
      <c r="AX139" s="73"/>
      <c r="AY139" s="161"/>
      <c r="AZ139" s="161"/>
      <c r="BA139" s="73"/>
      <c r="BB139" s="73"/>
      <c r="BC139" s="73"/>
      <c r="BD139" s="73"/>
      <c r="BE139" s="73"/>
      <c r="BF139" s="73"/>
      <c r="BG139" s="73"/>
      <c r="BH139" s="73"/>
      <c r="BI139" s="73"/>
      <c r="BJ139" s="73"/>
      <c r="BK139" s="73"/>
      <c r="BL139" s="163"/>
    </row>
    <row r="140" spans="37:64">
      <c r="AK140" s="73"/>
      <c r="AL140" s="73"/>
      <c r="AM140" s="73"/>
      <c r="AN140" s="73"/>
      <c r="AO140" s="73"/>
      <c r="AP140" s="73"/>
      <c r="AQ140" s="73"/>
      <c r="AR140" s="163"/>
      <c r="AS140" s="163"/>
      <c r="AT140" s="73"/>
      <c r="AU140" s="73"/>
      <c r="AV140" s="73"/>
      <c r="AW140" s="73"/>
      <c r="AX140" s="73"/>
      <c r="AY140" s="161"/>
      <c r="AZ140" s="161"/>
      <c r="BA140" s="73"/>
      <c r="BB140" s="73"/>
      <c r="BC140" s="73"/>
      <c r="BD140" s="73"/>
      <c r="BE140" s="73"/>
      <c r="BF140" s="73"/>
      <c r="BG140" s="73"/>
      <c r="BH140" s="73"/>
      <c r="BI140" s="73"/>
      <c r="BJ140" s="73"/>
      <c r="BK140" s="73"/>
      <c r="BL140" s="163"/>
    </row>
    <row r="141" spans="37:64">
      <c r="AK141" s="73"/>
      <c r="AL141" s="73"/>
      <c r="AM141" s="73"/>
      <c r="AN141" s="73"/>
      <c r="AO141" s="73"/>
      <c r="AP141" s="73"/>
      <c r="AQ141" s="73"/>
      <c r="AR141" s="163"/>
      <c r="AS141" s="163"/>
      <c r="AT141" s="73"/>
      <c r="AU141" s="73"/>
      <c r="AV141" s="73"/>
      <c r="AW141" s="73"/>
      <c r="AX141" s="73"/>
      <c r="AY141" s="161"/>
      <c r="AZ141" s="161"/>
      <c r="BA141" s="73"/>
      <c r="BB141" s="73"/>
      <c r="BC141" s="73"/>
      <c r="BD141" s="73"/>
      <c r="BE141" s="73"/>
      <c r="BF141" s="73"/>
      <c r="BG141" s="73"/>
      <c r="BH141" s="73"/>
      <c r="BI141" s="73"/>
      <c r="BJ141" s="73"/>
      <c r="BK141" s="73"/>
      <c r="BL141" s="163"/>
    </row>
    <row r="142" spans="37:64">
      <c r="AK142" s="73"/>
      <c r="AL142" s="73"/>
      <c r="AM142" s="73"/>
      <c r="AN142" s="73"/>
      <c r="AO142" s="73"/>
      <c r="AP142" s="73"/>
      <c r="AQ142" s="73"/>
      <c r="AR142" s="163"/>
      <c r="AS142" s="163"/>
      <c r="AT142" s="73"/>
      <c r="AU142" s="73"/>
      <c r="AV142" s="73"/>
      <c r="AW142" s="73"/>
      <c r="AX142" s="73"/>
      <c r="AY142" s="161"/>
      <c r="AZ142" s="161"/>
      <c r="BA142" s="73"/>
      <c r="BB142" s="73"/>
      <c r="BC142" s="73"/>
      <c r="BD142" s="73"/>
      <c r="BE142" s="73"/>
      <c r="BF142" s="73"/>
      <c r="BG142" s="73"/>
      <c r="BH142" s="73"/>
      <c r="BI142" s="73"/>
      <c r="BJ142" s="73"/>
      <c r="BK142" s="73"/>
      <c r="BL142" s="163"/>
    </row>
    <row r="143" spans="37:64">
      <c r="AK143" s="73"/>
      <c r="AL143" s="73"/>
      <c r="AM143" s="73"/>
      <c r="AN143" s="73"/>
      <c r="AO143" s="73"/>
      <c r="AP143" s="73"/>
      <c r="AQ143" s="73"/>
      <c r="AR143" s="163"/>
      <c r="AS143" s="163"/>
      <c r="AT143" s="73"/>
      <c r="AU143" s="73"/>
      <c r="AV143" s="73"/>
      <c r="AW143" s="73"/>
      <c r="AX143" s="73"/>
      <c r="AY143" s="161"/>
      <c r="AZ143" s="161"/>
      <c r="BA143" s="73"/>
      <c r="BB143" s="73"/>
      <c r="BC143" s="73"/>
      <c r="BD143" s="73"/>
      <c r="BE143" s="73"/>
      <c r="BF143" s="73"/>
      <c r="BG143" s="73"/>
      <c r="BH143" s="73"/>
      <c r="BI143" s="73"/>
      <c r="BJ143" s="73"/>
      <c r="BK143" s="73"/>
      <c r="BL143" s="163"/>
    </row>
    <row r="144" spans="37:64">
      <c r="AK144" s="73"/>
      <c r="AL144" s="73"/>
      <c r="AM144" s="73"/>
      <c r="AN144" s="73"/>
      <c r="AO144" s="73"/>
      <c r="AP144" s="73"/>
      <c r="AQ144" s="73"/>
      <c r="AR144" s="163"/>
      <c r="AS144" s="163"/>
      <c r="AT144" s="73"/>
      <c r="AU144" s="73"/>
      <c r="AV144" s="73"/>
      <c r="AW144" s="73"/>
      <c r="AX144" s="73"/>
      <c r="AY144" s="161"/>
      <c r="AZ144" s="161"/>
      <c r="BA144" s="73"/>
      <c r="BB144" s="73"/>
      <c r="BC144" s="73"/>
      <c r="BD144" s="73"/>
      <c r="BE144" s="73"/>
      <c r="BF144" s="73"/>
      <c r="BG144" s="73"/>
      <c r="BH144" s="73"/>
      <c r="BI144" s="73"/>
      <c r="BJ144" s="73"/>
      <c r="BK144" s="73"/>
      <c r="BL144" s="163"/>
    </row>
    <row r="145" spans="37:64">
      <c r="AK145" s="73"/>
      <c r="AL145" s="73"/>
      <c r="AM145" s="73"/>
      <c r="AN145" s="73"/>
      <c r="AO145" s="73"/>
      <c r="AP145" s="73"/>
      <c r="AQ145" s="73"/>
      <c r="AR145" s="163"/>
      <c r="AS145" s="163"/>
      <c r="AT145" s="73"/>
      <c r="AU145" s="73"/>
      <c r="AV145" s="73"/>
      <c r="AW145" s="73"/>
      <c r="AX145" s="73"/>
      <c r="AY145" s="161"/>
      <c r="AZ145" s="161"/>
      <c r="BA145" s="73"/>
      <c r="BB145" s="73"/>
      <c r="BC145" s="73"/>
      <c r="BD145" s="73"/>
      <c r="BE145" s="73"/>
      <c r="BF145" s="73"/>
      <c r="BG145" s="73"/>
      <c r="BH145" s="73"/>
      <c r="BI145" s="73"/>
      <c r="BJ145" s="73"/>
      <c r="BK145" s="73"/>
      <c r="BL145" s="163"/>
    </row>
    <row r="146" spans="37:64">
      <c r="AK146" s="73"/>
      <c r="AL146" s="73"/>
      <c r="AM146" s="73"/>
      <c r="AN146" s="73"/>
      <c r="AO146" s="73"/>
      <c r="AP146" s="73"/>
      <c r="AQ146" s="73"/>
      <c r="AR146" s="163"/>
      <c r="AS146" s="163"/>
      <c r="AT146" s="73"/>
      <c r="AU146" s="73"/>
      <c r="AV146" s="73"/>
      <c r="AW146" s="73"/>
      <c r="AX146" s="73"/>
      <c r="AY146" s="161"/>
      <c r="AZ146" s="161"/>
      <c r="BA146" s="73"/>
      <c r="BB146" s="73"/>
      <c r="BC146" s="73"/>
      <c r="BD146" s="73"/>
      <c r="BE146" s="73"/>
      <c r="BF146" s="73"/>
      <c r="BG146" s="73"/>
      <c r="BH146" s="73"/>
      <c r="BI146" s="73"/>
      <c r="BJ146" s="73"/>
      <c r="BK146" s="73"/>
      <c r="BL146" s="163"/>
    </row>
    <row r="147" spans="37:64">
      <c r="AK147" s="73"/>
      <c r="AL147" s="73"/>
      <c r="AM147" s="73"/>
      <c r="AN147" s="73"/>
      <c r="AO147" s="73"/>
      <c r="AP147" s="73"/>
      <c r="AQ147" s="73"/>
      <c r="AR147" s="163"/>
      <c r="AS147" s="163"/>
      <c r="AT147" s="73"/>
      <c r="AU147" s="73"/>
      <c r="AV147" s="73"/>
      <c r="AW147" s="73"/>
      <c r="AX147" s="73"/>
      <c r="AY147" s="161"/>
      <c r="AZ147" s="161"/>
      <c r="BA147" s="73"/>
      <c r="BB147" s="73"/>
      <c r="BC147" s="73"/>
      <c r="BD147" s="73"/>
      <c r="BE147" s="73"/>
      <c r="BF147" s="73"/>
      <c r="BG147" s="73"/>
      <c r="BH147" s="73"/>
      <c r="BI147" s="73"/>
      <c r="BJ147" s="73"/>
      <c r="BK147" s="73"/>
      <c r="BL147" s="163"/>
    </row>
    <row r="148" spans="37:64">
      <c r="AK148" s="73"/>
      <c r="AL148" s="73"/>
      <c r="AM148" s="73"/>
      <c r="AN148" s="73"/>
      <c r="AO148" s="73"/>
      <c r="AP148" s="73"/>
      <c r="AQ148" s="73"/>
      <c r="AR148" s="163"/>
      <c r="AS148" s="163"/>
      <c r="AT148" s="73"/>
      <c r="AU148" s="73"/>
      <c r="AV148" s="73"/>
      <c r="AW148" s="73"/>
      <c r="AX148" s="73"/>
      <c r="AY148" s="161"/>
      <c r="AZ148" s="161"/>
      <c r="BA148" s="73"/>
      <c r="BB148" s="73"/>
      <c r="BC148" s="73"/>
      <c r="BD148" s="73"/>
      <c r="BE148" s="73"/>
      <c r="BF148" s="73"/>
      <c r="BG148" s="73"/>
      <c r="BH148" s="73"/>
      <c r="BI148" s="73"/>
      <c r="BJ148" s="73"/>
      <c r="BK148" s="73"/>
      <c r="BL148" s="163"/>
    </row>
    <row r="149" spans="37:64">
      <c r="AK149" s="73"/>
      <c r="AL149" s="73"/>
      <c r="AM149" s="73"/>
      <c r="AN149" s="73"/>
      <c r="AO149" s="73"/>
      <c r="AP149" s="73"/>
      <c r="AQ149" s="73"/>
      <c r="AR149" s="163"/>
      <c r="AS149" s="163"/>
      <c r="AT149" s="73"/>
      <c r="AU149" s="73"/>
      <c r="AV149" s="73"/>
      <c r="AW149" s="73"/>
      <c r="AX149" s="73"/>
      <c r="AY149" s="161"/>
      <c r="AZ149" s="161"/>
      <c r="BA149" s="73"/>
      <c r="BB149" s="73"/>
      <c r="BC149" s="73"/>
      <c r="BD149" s="73"/>
      <c r="BE149" s="73"/>
      <c r="BF149" s="73"/>
      <c r="BG149" s="73"/>
      <c r="BH149" s="73"/>
      <c r="BI149" s="73"/>
      <c r="BJ149" s="73"/>
      <c r="BK149" s="73"/>
      <c r="BL149" s="163"/>
    </row>
    <row r="150" spans="37:64">
      <c r="AK150" s="73"/>
      <c r="AL150" s="73"/>
      <c r="AM150" s="73"/>
      <c r="AN150" s="73"/>
      <c r="AO150" s="73"/>
      <c r="AP150" s="73"/>
      <c r="AQ150" s="73"/>
      <c r="AR150" s="163"/>
      <c r="AS150" s="163"/>
      <c r="AT150" s="73"/>
      <c r="AU150" s="73"/>
      <c r="AV150" s="73"/>
      <c r="AW150" s="73"/>
      <c r="AX150" s="73"/>
      <c r="AY150" s="161"/>
      <c r="AZ150" s="161"/>
      <c r="BA150" s="73"/>
      <c r="BB150" s="73"/>
      <c r="BC150" s="73"/>
      <c r="BD150" s="73"/>
      <c r="BE150" s="73"/>
      <c r="BF150" s="73"/>
      <c r="BG150" s="73"/>
      <c r="BH150" s="73"/>
      <c r="BI150" s="73"/>
      <c r="BJ150" s="73"/>
      <c r="BK150" s="73"/>
      <c r="BL150" s="163"/>
    </row>
    <row r="151" spans="37:64">
      <c r="AK151" s="73"/>
      <c r="AL151" s="73"/>
      <c r="AM151" s="73"/>
      <c r="AN151" s="73"/>
      <c r="AO151" s="73"/>
      <c r="AP151" s="73"/>
      <c r="AQ151" s="73"/>
      <c r="AR151" s="163"/>
      <c r="AS151" s="163"/>
      <c r="AT151" s="73"/>
      <c r="AU151" s="73"/>
      <c r="AV151" s="73"/>
      <c r="AW151" s="73"/>
      <c r="AX151" s="73"/>
      <c r="AY151" s="161"/>
      <c r="AZ151" s="161"/>
      <c r="BA151" s="73"/>
      <c r="BB151" s="73"/>
      <c r="BC151" s="73"/>
      <c r="BD151" s="73"/>
      <c r="BE151" s="73"/>
      <c r="BF151" s="73"/>
      <c r="BG151" s="73"/>
      <c r="BH151" s="73"/>
      <c r="BI151" s="73"/>
      <c r="BJ151" s="73"/>
      <c r="BK151" s="73"/>
      <c r="BL151" s="163"/>
    </row>
    <row r="152" spans="37:64">
      <c r="AK152" s="73"/>
      <c r="AL152" s="73"/>
      <c r="AM152" s="73"/>
      <c r="AN152" s="73"/>
      <c r="AO152" s="73"/>
      <c r="AP152" s="73"/>
      <c r="AQ152" s="73"/>
      <c r="AR152" s="163"/>
      <c r="AS152" s="163"/>
      <c r="AT152" s="73"/>
      <c r="AU152" s="73"/>
      <c r="AV152" s="73"/>
      <c r="AW152" s="73"/>
      <c r="AX152" s="73"/>
      <c r="AY152" s="161"/>
      <c r="AZ152" s="161"/>
      <c r="BA152" s="73"/>
      <c r="BB152" s="73"/>
      <c r="BC152" s="73"/>
      <c r="BD152" s="73"/>
      <c r="BE152" s="73"/>
      <c r="BF152" s="73"/>
      <c r="BG152" s="73"/>
      <c r="BH152" s="73"/>
      <c r="BI152" s="73"/>
      <c r="BJ152" s="73"/>
      <c r="BK152" s="73"/>
      <c r="BL152" s="163"/>
    </row>
    <row r="153" spans="37:64">
      <c r="AK153" s="73"/>
      <c r="AL153" s="73"/>
      <c r="AM153" s="73"/>
      <c r="AN153" s="73"/>
      <c r="AO153" s="73"/>
      <c r="AP153" s="73"/>
      <c r="AQ153" s="73"/>
      <c r="AR153" s="163"/>
      <c r="AS153" s="163"/>
      <c r="AT153" s="73"/>
      <c r="AU153" s="73"/>
      <c r="AV153" s="73"/>
      <c r="AW153" s="73"/>
      <c r="AX153" s="73"/>
      <c r="AY153" s="161"/>
      <c r="AZ153" s="161"/>
      <c r="BA153" s="73"/>
      <c r="BB153" s="73"/>
      <c r="BC153" s="73"/>
      <c r="BD153" s="73"/>
      <c r="BE153" s="73"/>
      <c r="BF153" s="73"/>
      <c r="BG153" s="73"/>
      <c r="BH153" s="73"/>
      <c r="BI153" s="73"/>
      <c r="BJ153" s="73"/>
      <c r="BK153" s="73"/>
      <c r="BL153" s="163"/>
    </row>
    <row r="154" spans="37:64">
      <c r="AK154" s="73"/>
      <c r="AL154" s="73"/>
      <c r="AM154" s="73"/>
      <c r="AN154" s="73"/>
      <c r="AO154" s="73"/>
      <c r="AP154" s="73"/>
      <c r="AQ154" s="73"/>
      <c r="AR154" s="163"/>
      <c r="AS154" s="163"/>
      <c r="AT154" s="73"/>
      <c r="AU154" s="73"/>
      <c r="AV154" s="73"/>
      <c r="AW154" s="73"/>
      <c r="AX154" s="73"/>
      <c r="AY154" s="161"/>
      <c r="AZ154" s="161"/>
      <c r="BA154" s="73"/>
      <c r="BB154" s="73"/>
      <c r="BC154" s="73"/>
      <c r="BD154" s="73"/>
      <c r="BE154" s="73"/>
      <c r="BF154" s="73"/>
      <c r="BG154" s="73"/>
      <c r="BH154" s="73"/>
      <c r="BI154" s="73"/>
      <c r="BJ154" s="73"/>
      <c r="BK154" s="73"/>
      <c r="BL154" s="163"/>
    </row>
    <row r="155" spans="37:64">
      <c r="AK155" s="73"/>
      <c r="AL155" s="73"/>
      <c r="AM155" s="73"/>
      <c r="AN155" s="73"/>
      <c r="AO155" s="73"/>
      <c r="AP155" s="73"/>
      <c r="AQ155" s="73"/>
      <c r="AR155" s="163"/>
      <c r="AS155" s="163"/>
      <c r="AT155" s="73"/>
      <c r="AU155" s="73"/>
      <c r="AV155" s="73"/>
      <c r="AW155" s="73"/>
      <c r="AX155" s="73"/>
      <c r="AY155" s="161"/>
      <c r="AZ155" s="161"/>
      <c r="BA155" s="73"/>
      <c r="BB155" s="73"/>
      <c r="BC155" s="73"/>
      <c r="BD155" s="73"/>
      <c r="BE155" s="73"/>
      <c r="BF155" s="73"/>
      <c r="BG155" s="73"/>
      <c r="BH155" s="73"/>
      <c r="BI155" s="73"/>
      <c r="BJ155" s="73"/>
      <c r="BK155" s="73"/>
      <c r="BL155" s="163"/>
    </row>
    <row r="156" spans="37:64">
      <c r="AK156" s="73"/>
      <c r="AL156" s="73"/>
      <c r="AM156" s="73"/>
      <c r="AN156" s="73"/>
      <c r="AO156" s="73"/>
      <c r="AP156" s="73"/>
      <c r="AQ156" s="73"/>
      <c r="AR156" s="163"/>
      <c r="AS156" s="163"/>
      <c r="AT156" s="73"/>
      <c r="AU156" s="73"/>
      <c r="AV156" s="73"/>
      <c r="AW156" s="73"/>
      <c r="AX156" s="73"/>
      <c r="AY156" s="161"/>
      <c r="AZ156" s="161"/>
      <c r="BA156" s="73"/>
      <c r="BB156" s="73"/>
      <c r="BC156" s="73"/>
      <c r="BD156" s="73"/>
      <c r="BE156" s="73"/>
      <c r="BF156" s="73"/>
      <c r="BG156" s="73"/>
      <c r="BH156" s="73"/>
      <c r="BI156" s="73"/>
      <c r="BJ156" s="73"/>
      <c r="BK156" s="73"/>
      <c r="BL156" s="163"/>
    </row>
    <row r="157" spans="37:64">
      <c r="AK157" s="73"/>
      <c r="AL157" s="73"/>
      <c r="AM157" s="73"/>
      <c r="AN157" s="73"/>
      <c r="AO157" s="73"/>
      <c r="AP157" s="73"/>
      <c r="AQ157" s="73"/>
      <c r="AR157" s="163"/>
      <c r="AS157" s="163"/>
      <c r="AT157" s="73"/>
      <c r="AU157" s="73"/>
      <c r="AV157" s="73"/>
      <c r="AW157" s="73"/>
      <c r="AX157" s="73"/>
      <c r="AY157" s="161"/>
      <c r="AZ157" s="161"/>
      <c r="BA157" s="73"/>
      <c r="BB157" s="73"/>
      <c r="BC157" s="73"/>
      <c r="BD157" s="73"/>
      <c r="BE157" s="73"/>
      <c r="BF157" s="73"/>
      <c r="BG157" s="73"/>
      <c r="BH157" s="73"/>
      <c r="BI157" s="73"/>
      <c r="BJ157" s="73"/>
      <c r="BK157" s="73"/>
      <c r="BL157" s="163"/>
    </row>
    <row r="158" spans="37:64">
      <c r="AK158" s="73"/>
      <c r="AL158" s="73"/>
      <c r="AM158" s="73"/>
      <c r="AN158" s="73"/>
      <c r="AO158" s="73"/>
      <c r="AP158" s="73"/>
      <c r="AQ158" s="73"/>
      <c r="AR158" s="163"/>
      <c r="AS158" s="163"/>
      <c r="AT158" s="73"/>
      <c r="AU158" s="73"/>
      <c r="AV158" s="73"/>
      <c r="AW158" s="73"/>
      <c r="AX158" s="73"/>
      <c r="AY158" s="161"/>
      <c r="AZ158" s="161"/>
      <c r="BA158" s="73"/>
      <c r="BB158" s="73"/>
      <c r="BC158" s="73"/>
      <c r="BD158" s="73"/>
      <c r="BE158" s="73"/>
      <c r="BF158" s="73"/>
      <c r="BG158" s="73"/>
      <c r="BH158" s="73"/>
      <c r="BI158" s="73"/>
      <c r="BJ158" s="73"/>
      <c r="BK158" s="73"/>
      <c r="BL158" s="163"/>
    </row>
    <row r="159" spans="37:64">
      <c r="AK159" s="73"/>
      <c r="AL159" s="73"/>
      <c r="AM159" s="73"/>
      <c r="AN159" s="73"/>
      <c r="AO159" s="73"/>
      <c r="AP159" s="73"/>
      <c r="AQ159" s="73"/>
      <c r="AR159" s="163"/>
      <c r="AS159" s="163"/>
      <c r="AT159" s="73"/>
      <c r="AU159" s="73"/>
      <c r="AV159" s="73"/>
      <c r="AW159" s="73"/>
      <c r="AX159" s="73"/>
      <c r="AY159" s="161"/>
      <c r="AZ159" s="161"/>
      <c r="BA159" s="73"/>
      <c r="BB159" s="73"/>
      <c r="BC159" s="73"/>
      <c r="BD159" s="73"/>
      <c r="BE159" s="73"/>
      <c r="BF159" s="73"/>
      <c r="BG159" s="73"/>
      <c r="BH159" s="73"/>
      <c r="BI159" s="73"/>
      <c r="BJ159" s="73"/>
      <c r="BK159" s="73"/>
      <c r="BL159" s="163"/>
    </row>
    <row r="160" spans="37:64">
      <c r="AK160" s="73"/>
      <c r="AL160" s="73"/>
      <c r="AM160" s="73"/>
      <c r="AN160" s="73"/>
      <c r="AO160" s="73"/>
      <c r="AP160" s="73"/>
      <c r="AQ160" s="73"/>
      <c r="AR160" s="163"/>
      <c r="AS160" s="163"/>
      <c r="AT160" s="73"/>
      <c r="AU160" s="73"/>
      <c r="AV160" s="73"/>
      <c r="AW160" s="73"/>
      <c r="AX160" s="73"/>
      <c r="AY160" s="161"/>
      <c r="AZ160" s="161"/>
      <c r="BA160" s="73"/>
      <c r="BB160" s="73"/>
      <c r="BC160" s="73"/>
      <c r="BD160" s="73"/>
      <c r="BE160" s="73"/>
      <c r="BF160" s="73"/>
      <c r="BG160" s="73"/>
      <c r="BH160" s="73"/>
      <c r="BI160" s="73"/>
      <c r="BJ160" s="73"/>
      <c r="BK160" s="73"/>
      <c r="BL160" s="163"/>
    </row>
    <row r="161" spans="37:64">
      <c r="AK161" s="73"/>
      <c r="AL161" s="73"/>
      <c r="AM161" s="73"/>
      <c r="AN161" s="73"/>
      <c r="AO161" s="73"/>
      <c r="AP161" s="73"/>
      <c r="AQ161" s="73"/>
      <c r="AR161" s="163"/>
      <c r="AS161" s="163"/>
      <c r="AT161" s="73"/>
      <c r="AU161" s="73"/>
      <c r="AV161" s="73"/>
      <c r="AW161" s="73"/>
      <c r="AX161" s="73"/>
      <c r="AY161" s="161"/>
      <c r="AZ161" s="161"/>
      <c r="BA161" s="73"/>
      <c r="BB161" s="73"/>
      <c r="BC161" s="73"/>
      <c r="BD161" s="73"/>
      <c r="BE161" s="73"/>
      <c r="BF161" s="73"/>
      <c r="BG161" s="73"/>
      <c r="BH161" s="73"/>
      <c r="BI161" s="73"/>
      <c r="BJ161" s="73"/>
      <c r="BK161" s="73"/>
      <c r="BL161" s="163"/>
    </row>
    <row r="162" spans="37:64">
      <c r="AK162" s="73"/>
      <c r="AL162" s="73"/>
      <c r="AM162" s="73"/>
      <c r="AN162" s="73"/>
      <c r="AO162" s="73"/>
      <c r="AP162" s="73"/>
      <c r="AQ162" s="73"/>
      <c r="AR162" s="163"/>
      <c r="AS162" s="163"/>
      <c r="AT162" s="73"/>
      <c r="AU162" s="73"/>
      <c r="AV162" s="73"/>
      <c r="AW162" s="73"/>
      <c r="AX162" s="73"/>
      <c r="AY162" s="161"/>
      <c r="AZ162" s="161"/>
      <c r="BA162" s="73"/>
      <c r="BB162" s="73"/>
      <c r="BC162" s="73"/>
      <c r="BD162" s="73"/>
      <c r="BE162" s="73"/>
      <c r="BF162" s="73"/>
      <c r="BG162" s="73"/>
      <c r="BH162" s="73"/>
      <c r="BI162" s="73"/>
      <c r="BJ162" s="73"/>
      <c r="BK162" s="73"/>
      <c r="BL162" s="163"/>
    </row>
    <row r="163" spans="37:64">
      <c r="AK163" s="73"/>
      <c r="AL163" s="73"/>
      <c r="AM163" s="73"/>
      <c r="AN163" s="73"/>
      <c r="AO163" s="73"/>
      <c r="AP163" s="73"/>
      <c r="AQ163" s="73"/>
      <c r="AR163" s="163"/>
      <c r="AS163" s="163"/>
      <c r="AT163" s="73"/>
      <c r="AU163" s="73"/>
      <c r="AV163" s="73"/>
      <c r="AW163" s="73"/>
      <c r="AX163" s="73"/>
      <c r="AY163" s="161"/>
      <c r="AZ163" s="161"/>
      <c r="BA163" s="73"/>
      <c r="BB163" s="73"/>
      <c r="BC163" s="73"/>
      <c r="BD163" s="73"/>
      <c r="BE163" s="73"/>
      <c r="BF163" s="73"/>
      <c r="BG163" s="73"/>
      <c r="BH163" s="73"/>
      <c r="BI163" s="73"/>
      <c r="BJ163" s="73"/>
      <c r="BK163" s="73"/>
      <c r="BL163" s="163"/>
    </row>
    <row r="164" spans="37:64">
      <c r="AK164" s="73"/>
      <c r="AL164" s="73"/>
      <c r="AM164" s="73"/>
      <c r="AN164" s="73"/>
      <c r="AO164" s="73"/>
      <c r="AP164" s="73"/>
      <c r="AQ164" s="73"/>
      <c r="AR164" s="163"/>
      <c r="AS164" s="163"/>
      <c r="AT164" s="73"/>
      <c r="AU164" s="73"/>
      <c r="AV164" s="73"/>
      <c r="AW164" s="73"/>
      <c r="AX164" s="73"/>
      <c r="AY164" s="161"/>
      <c r="AZ164" s="161"/>
      <c r="BA164" s="73"/>
      <c r="BB164" s="73"/>
      <c r="BC164" s="73"/>
      <c r="BD164" s="73"/>
      <c r="BE164" s="73"/>
      <c r="BF164" s="73"/>
      <c r="BG164" s="73"/>
      <c r="BH164" s="73"/>
      <c r="BI164" s="73"/>
      <c r="BJ164" s="73"/>
      <c r="BK164" s="73"/>
      <c r="BL164" s="163"/>
    </row>
    <row r="165" spans="37:64">
      <c r="AK165" s="73"/>
      <c r="AL165" s="73"/>
      <c r="AM165" s="73"/>
      <c r="AN165" s="73"/>
      <c r="AO165" s="73"/>
      <c r="AP165" s="73"/>
      <c r="AQ165" s="73"/>
      <c r="AR165" s="163"/>
      <c r="AS165" s="163"/>
      <c r="AT165" s="73"/>
      <c r="AU165" s="73"/>
      <c r="AV165" s="73"/>
      <c r="AW165" s="73"/>
      <c r="AX165" s="73"/>
      <c r="AY165" s="161"/>
      <c r="AZ165" s="161"/>
      <c r="BA165" s="73"/>
      <c r="BB165" s="73"/>
      <c r="BC165" s="73"/>
      <c r="BD165" s="73"/>
      <c r="BE165" s="73"/>
      <c r="BF165" s="73"/>
      <c r="BG165" s="73"/>
      <c r="BH165" s="73"/>
      <c r="BI165" s="73"/>
      <c r="BJ165" s="73"/>
      <c r="BK165" s="73"/>
      <c r="BL165" s="163"/>
    </row>
    <row r="166" spans="37:64">
      <c r="AK166" s="73"/>
      <c r="AL166" s="73"/>
      <c r="AM166" s="73"/>
      <c r="AN166" s="73"/>
      <c r="AO166" s="73"/>
      <c r="AP166" s="73"/>
      <c r="AQ166" s="73"/>
      <c r="AR166" s="163"/>
      <c r="AS166" s="163"/>
      <c r="AT166" s="73"/>
      <c r="AU166" s="73"/>
      <c r="AV166" s="73"/>
      <c r="AW166" s="73"/>
      <c r="AX166" s="73"/>
      <c r="AY166" s="161"/>
      <c r="AZ166" s="161"/>
      <c r="BA166" s="73"/>
      <c r="BB166" s="73"/>
      <c r="BC166" s="73"/>
      <c r="BD166" s="73"/>
      <c r="BE166" s="73"/>
      <c r="BF166" s="73"/>
      <c r="BG166" s="73"/>
      <c r="BH166" s="73"/>
      <c r="BI166" s="73"/>
      <c r="BJ166" s="73"/>
      <c r="BK166" s="73"/>
      <c r="BL166" s="163"/>
    </row>
    <row r="167" spans="37:64">
      <c r="AK167" s="73"/>
      <c r="AL167" s="73"/>
      <c r="AM167" s="73"/>
      <c r="AN167" s="73"/>
      <c r="AO167" s="73"/>
      <c r="AP167" s="73"/>
      <c r="AQ167" s="73"/>
      <c r="AR167" s="163"/>
      <c r="AS167" s="163"/>
      <c r="AT167" s="73"/>
      <c r="AU167" s="73"/>
      <c r="AV167" s="73"/>
      <c r="AW167" s="73"/>
      <c r="AX167" s="73"/>
      <c r="AY167" s="161"/>
      <c r="AZ167" s="161"/>
      <c r="BA167" s="73"/>
      <c r="BB167" s="73"/>
      <c r="BC167" s="73"/>
      <c r="BD167" s="73"/>
      <c r="BE167" s="73"/>
      <c r="BF167" s="73"/>
      <c r="BG167" s="73"/>
      <c r="BH167" s="73"/>
      <c r="BI167" s="73"/>
      <c r="BJ167" s="73"/>
      <c r="BK167" s="73"/>
      <c r="BL167" s="163"/>
    </row>
    <row r="168" spans="37:64">
      <c r="AK168" s="73"/>
      <c r="AL168" s="73"/>
      <c r="AM168" s="73"/>
      <c r="AN168" s="73"/>
      <c r="AO168" s="73"/>
      <c r="AP168" s="73"/>
      <c r="AQ168" s="73"/>
      <c r="AR168" s="163"/>
      <c r="AS168" s="163"/>
      <c r="AT168" s="73"/>
      <c r="AU168" s="73"/>
      <c r="AV168" s="73"/>
      <c r="AW168" s="73"/>
      <c r="AX168" s="73"/>
      <c r="AY168" s="161"/>
      <c r="AZ168" s="161"/>
      <c r="BA168" s="73"/>
      <c r="BB168" s="73"/>
      <c r="BC168" s="73"/>
      <c r="BD168" s="73"/>
      <c r="BE168" s="73"/>
      <c r="BF168" s="73"/>
      <c r="BG168" s="73"/>
      <c r="BH168" s="73"/>
      <c r="BI168" s="73"/>
      <c r="BJ168" s="73"/>
      <c r="BK168" s="73"/>
      <c r="BL168" s="163"/>
    </row>
    <row r="169" spans="37:64">
      <c r="AK169" s="73"/>
      <c r="AL169" s="73"/>
      <c r="AM169" s="73"/>
      <c r="AN169" s="73"/>
      <c r="AO169" s="73"/>
      <c r="AP169" s="73"/>
      <c r="AQ169" s="73"/>
      <c r="AR169" s="163"/>
      <c r="AS169" s="163"/>
      <c r="AT169" s="73"/>
      <c r="AU169" s="73"/>
      <c r="AV169" s="73"/>
      <c r="AW169" s="73"/>
      <c r="AX169" s="73"/>
      <c r="AY169" s="161"/>
      <c r="AZ169" s="161"/>
      <c r="BA169" s="73"/>
      <c r="BB169" s="73"/>
      <c r="BC169" s="73"/>
      <c r="BD169" s="73"/>
      <c r="BE169" s="73"/>
      <c r="BF169" s="73"/>
      <c r="BG169" s="73"/>
      <c r="BH169" s="73"/>
      <c r="BI169" s="73"/>
      <c r="BJ169" s="73"/>
      <c r="BK169" s="73"/>
      <c r="BL169" s="163"/>
    </row>
    <row r="170" spans="37:64">
      <c r="AK170" s="73"/>
      <c r="AL170" s="73"/>
      <c r="AM170" s="73"/>
      <c r="AN170" s="73"/>
      <c r="AO170" s="73"/>
      <c r="AP170" s="73"/>
      <c r="AQ170" s="73"/>
      <c r="AR170" s="163"/>
      <c r="AS170" s="163"/>
      <c r="AT170" s="73"/>
      <c r="AU170" s="73"/>
      <c r="AV170" s="73"/>
      <c r="AW170" s="73"/>
      <c r="AX170" s="73"/>
      <c r="AY170" s="161"/>
      <c r="AZ170" s="161"/>
      <c r="BA170" s="73"/>
      <c r="BB170" s="73"/>
      <c r="BC170" s="73"/>
      <c r="BD170" s="73"/>
      <c r="BE170" s="73"/>
      <c r="BF170" s="73"/>
      <c r="BG170" s="73"/>
      <c r="BH170" s="73"/>
      <c r="BI170" s="73"/>
      <c r="BJ170" s="73"/>
      <c r="BK170" s="73"/>
      <c r="BL170" s="163"/>
    </row>
    <row r="171" spans="37:64">
      <c r="AK171" s="73"/>
      <c r="AL171" s="73"/>
      <c r="AM171" s="73"/>
      <c r="AN171" s="73"/>
      <c r="AO171" s="73"/>
      <c r="AP171" s="73"/>
      <c r="AQ171" s="73"/>
      <c r="AR171" s="163"/>
      <c r="AS171" s="163"/>
      <c r="AT171" s="73"/>
      <c r="AU171" s="73"/>
      <c r="AV171" s="73"/>
      <c r="AW171" s="73"/>
      <c r="AX171" s="73"/>
      <c r="AY171" s="161"/>
      <c r="AZ171" s="161"/>
      <c r="BA171" s="73"/>
      <c r="BB171" s="73"/>
      <c r="BC171" s="73"/>
      <c r="BD171" s="73"/>
      <c r="BE171" s="73"/>
      <c r="BF171" s="73"/>
      <c r="BG171" s="73"/>
      <c r="BH171" s="73"/>
      <c r="BI171" s="73"/>
      <c r="BJ171" s="73"/>
      <c r="BK171" s="73"/>
      <c r="BL171" s="163"/>
    </row>
    <row r="172" spans="37:64">
      <c r="AK172" s="73"/>
      <c r="AL172" s="73"/>
      <c r="AM172" s="73"/>
      <c r="AN172" s="73"/>
      <c r="AO172" s="73"/>
      <c r="AP172" s="73"/>
      <c r="AQ172" s="73"/>
      <c r="AR172" s="163"/>
      <c r="AS172" s="163"/>
      <c r="AT172" s="73"/>
      <c r="AU172" s="73"/>
      <c r="AV172" s="73"/>
      <c r="AW172" s="73"/>
      <c r="AX172" s="73"/>
      <c r="AY172" s="161"/>
      <c r="AZ172" s="161"/>
      <c r="BA172" s="73"/>
      <c r="BB172" s="73"/>
      <c r="BC172" s="73"/>
      <c r="BD172" s="73"/>
      <c r="BE172" s="73"/>
      <c r="BF172" s="73"/>
      <c r="BG172" s="73"/>
      <c r="BH172" s="73"/>
      <c r="BI172" s="73"/>
      <c r="BJ172" s="73"/>
      <c r="BK172" s="73"/>
      <c r="BL172" s="163"/>
    </row>
    <row r="173" spans="37:64">
      <c r="AK173" s="73"/>
      <c r="AL173" s="73"/>
      <c r="AM173" s="73"/>
      <c r="AN173" s="73"/>
      <c r="AO173" s="73"/>
      <c r="AP173" s="73"/>
      <c r="AQ173" s="73"/>
      <c r="AR173" s="163"/>
      <c r="AS173" s="163"/>
      <c r="AT173" s="73"/>
      <c r="AU173" s="73"/>
      <c r="AV173" s="73"/>
      <c r="AW173" s="73"/>
      <c r="AX173" s="73"/>
      <c r="AY173" s="161"/>
      <c r="AZ173" s="161"/>
      <c r="BA173" s="73"/>
      <c r="BB173" s="73"/>
      <c r="BC173" s="73"/>
      <c r="BD173" s="73"/>
      <c r="BE173" s="73"/>
      <c r="BF173" s="73"/>
      <c r="BG173" s="73"/>
      <c r="BH173" s="73"/>
      <c r="BI173" s="73"/>
      <c r="BJ173" s="73"/>
      <c r="BK173" s="73"/>
      <c r="BL173" s="163"/>
    </row>
    <row r="174" spans="37:64">
      <c r="AK174" s="73"/>
      <c r="AL174" s="73"/>
      <c r="AM174" s="73"/>
      <c r="AN174" s="73"/>
      <c r="AO174" s="73"/>
      <c r="AP174" s="73"/>
      <c r="AQ174" s="73"/>
      <c r="AR174" s="163"/>
      <c r="AS174" s="163"/>
      <c r="AT174" s="73"/>
      <c r="AU174" s="73"/>
      <c r="AV174" s="73"/>
      <c r="AW174" s="73"/>
      <c r="AX174" s="73"/>
      <c r="AY174" s="161"/>
      <c r="AZ174" s="161"/>
      <c r="BA174" s="73"/>
      <c r="BB174" s="73"/>
      <c r="BC174" s="73"/>
      <c r="BD174" s="73"/>
      <c r="BE174" s="73"/>
      <c r="BF174" s="73"/>
      <c r="BG174" s="73"/>
      <c r="BH174" s="73"/>
      <c r="BI174" s="73"/>
      <c r="BJ174" s="73"/>
      <c r="BK174" s="73"/>
      <c r="BL174" s="163"/>
    </row>
    <row r="175" spans="37:64">
      <c r="AK175" s="73"/>
      <c r="AL175" s="73"/>
      <c r="AM175" s="73"/>
      <c r="AN175" s="73"/>
      <c r="AO175" s="73"/>
      <c r="AP175" s="73"/>
      <c r="AQ175" s="73"/>
      <c r="AR175" s="163"/>
      <c r="AS175" s="163"/>
      <c r="AT175" s="73"/>
      <c r="AU175" s="73"/>
      <c r="AV175" s="73"/>
      <c r="AW175" s="73"/>
      <c r="AX175" s="73"/>
      <c r="AY175" s="161"/>
      <c r="AZ175" s="161"/>
      <c r="BA175" s="73"/>
      <c r="BB175" s="73"/>
      <c r="BC175" s="73"/>
      <c r="BD175" s="73"/>
      <c r="BE175" s="73"/>
      <c r="BF175" s="73"/>
      <c r="BG175" s="73"/>
      <c r="BH175" s="73"/>
      <c r="BI175" s="73"/>
      <c r="BJ175" s="73"/>
      <c r="BK175" s="73"/>
      <c r="BL175" s="163"/>
    </row>
    <row r="176" spans="37:64">
      <c r="AK176" s="73"/>
      <c r="AL176" s="73"/>
      <c r="AM176" s="73"/>
      <c r="AN176" s="73"/>
      <c r="AO176" s="73"/>
      <c r="AP176" s="73"/>
      <c r="AQ176" s="73"/>
      <c r="AR176" s="163"/>
      <c r="AS176" s="163"/>
      <c r="AT176" s="73"/>
      <c r="AU176" s="73"/>
      <c r="AV176" s="73"/>
      <c r="AW176" s="73"/>
      <c r="AX176" s="73"/>
      <c r="AY176" s="161"/>
      <c r="AZ176" s="161"/>
      <c r="BA176" s="73"/>
      <c r="BB176" s="73"/>
      <c r="BC176" s="73"/>
      <c r="BD176" s="73"/>
      <c r="BE176" s="73"/>
      <c r="BF176" s="73"/>
      <c r="BG176" s="73"/>
      <c r="BH176" s="73"/>
      <c r="BI176" s="73"/>
      <c r="BJ176" s="73"/>
      <c r="BK176" s="73"/>
      <c r="BL176" s="163"/>
    </row>
    <row r="177" spans="37:64">
      <c r="AK177" s="73"/>
      <c r="AL177" s="73"/>
      <c r="AM177" s="73"/>
      <c r="AN177" s="73"/>
      <c r="AO177" s="73"/>
      <c r="AP177" s="73"/>
      <c r="AQ177" s="73"/>
      <c r="AR177" s="163"/>
      <c r="AS177" s="163"/>
      <c r="AT177" s="73"/>
      <c r="AU177" s="73"/>
      <c r="AV177" s="73"/>
      <c r="AW177" s="73"/>
      <c r="AX177" s="73"/>
      <c r="AY177" s="161"/>
      <c r="AZ177" s="161"/>
      <c r="BA177" s="73"/>
      <c r="BB177" s="73"/>
      <c r="BC177" s="73"/>
      <c r="BD177" s="73"/>
      <c r="BE177" s="73"/>
      <c r="BF177" s="73"/>
      <c r="BG177" s="73"/>
      <c r="BH177" s="73"/>
      <c r="BI177" s="73"/>
      <c r="BJ177" s="73"/>
      <c r="BK177" s="73"/>
      <c r="BL177" s="163"/>
    </row>
    <row r="178" spans="37:64">
      <c r="AK178" s="73"/>
      <c r="AL178" s="73"/>
      <c r="AM178" s="73"/>
      <c r="AN178" s="73"/>
      <c r="AO178" s="73"/>
      <c r="AP178" s="73"/>
      <c r="AQ178" s="73"/>
      <c r="AR178" s="163"/>
      <c r="AS178" s="163"/>
      <c r="AT178" s="73"/>
      <c r="AU178" s="73"/>
      <c r="AV178" s="73"/>
      <c r="AW178" s="73"/>
      <c r="AX178" s="73"/>
      <c r="AY178" s="161"/>
      <c r="AZ178" s="161"/>
      <c r="BA178" s="73"/>
      <c r="BB178" s="73"/>
      <c r="BC178" s="73"/>
      <c r="BD178" s="73"/>
      <c r="BE178" s="73"/>
      <c r="BF178" s="73"/>
      <c r="BG178" s="73"/>
      <c r="BH178" s="73"/>
      <c r="BI178" s="73"/>
      <c r="BJ178" s="73"/>
      <c r="BK178" s="73"/>
      <c r="BL178" s="163"/>
    </row>
    <row r="179" spans="37:64">
      <c r="AK179" s="73"/>
      <c r="AL179" s="73"/>
      <c r="AM179" s="73"/>
      <c r="AN179" s="73"/>
      <c r="AO179" s="73"/>
      <c r="AP179" s="73"/>
      <c r="AQ179" s="73"/>
      <c r="AR179" s="163"/>
      <c r="AS179" s="163"/>
      <c r="AT179" s="73"/>
      <c r="AU179" s="73"/>
      <c r="AV179" s="73"/>
      <c r="AW179" s="73"/>
      <c r="AX179" s="73"/>
      <c r="AY179" s="161"/>
      <c r="AZ179" s="161"/>
      <c r="BA179" s="73"/>
      <c r="BB179" s="73"/>
      <c r="BC179" s="73"/>
      <c r="BD179" s="73"/>
      <c r="BE179" s="73"/>
      <c r="BF179" s="73"/>
      <c r="BG179" s="73"/>
      <c r="BH179" s="73"/>
      <c r="BI179" s="73"/>
      <c r="BJ179" s="73"/>
      <c r="BK179" s="73"/>
      <c r="BL179" s="163"/>
    </row>
    <row r="180" spans="37:64">
      <c r="AK180" s="73"/>
      <c r="AL180" s="73"/>
      <c r="AM180" s="73"/>
      <c r="AN180" s="73"/>
      <c r="AO180" s="73"/>
      <c r="AP180" s="73"/>
      <c r="AQ180" s="73"/>
      <c r="AR180" s="163"/>
      <c r="AS180" s="163"/>
      <c r="AT180" s="73"/>
      <c r="AU180" s="73"/>
      <c r="AV180" s="73"/>
      <c r="AW180" s="73"/>
      <c r="AX180" s="73"/>
      <c r="AY180" s="161"/>
      <c r="AZ180" s="161"/>
      <c r="BA180" s="73"/>
      <c r="BB180" s="73"/>
      <c r="BC180" s="73"/>
      <c r="BD180" s="73"/>
      <c r="BE180" s="73"/>
      <c r="BF180" s="73"/>
      <c r="BG180" s="73"/>
      <c r="BH180" s="73"/>
      <c r="BI180" s="73"/>
      <c r="BJ180" s="73"/>
      <c r="BK180" s="73"/>
      <c r="BL180" s="163"/>
    </row>
    <row r="181" spans="37:64">
      <c r="AK181" s="73"/>
      <c r="AL181" s="73"/>
      <c r="AM181" s="73"/>
      <c r="AN181" s="73"/>
      <c r="AO181" s="73"/>
      <c r="AP181" s="73"/>
      <c r="AQ181" s="73"/>
      <c r="AR181" s="163"/>
      <c r="AS181" s="163"/>
      <c r="AT181" s="73"/>
      <c r="AU181" s="73"/>
      <c r="AV181" s="73"/>
      <c r="AW181" s="73"/>
      <c r="AX181" s="73"/>
      <c r="AY181" s="161"/>
      <c r="AZ181" s="161"/>
      <c r="BA181" s="73"/>
      <c r="BB181" s="73"/>
      <c r="BC181" s="73"/>
      <c r="BD181" s="73"/>
      <c r="BE181" s="73"/>
      <c r="BF181" s="73"/>
      <c r="BG181" s="73"/>
      <c r="BH181" s="73"/>
      <c r="BI181" s="73"/>
      <c r="BJ181" s="73"/>
      <c r="BK181" s="73"/>
      <c r="BL181" s="163"/>
    </row>
    <row r="182" spans="37:64">
      <c r="AK182" s="73"/>
      <c r="AL182" s="73"/>
      <c r="AM182" s="73"/>
      <c r="AN182" s="73"/>
      <c r="AO182" s="73"/>
      <c r="AP182" s="73"/>
      <c r="AQ182" s="73"/>
      <c r="AR182" s="163"/>
      <c r="AS182" s="163"/>
      <c r="AT182" s="73"/>
      <c r="AU182" s="73"/>
      <c r="AV182" s="73"/>
      <c r="AW182" s="73"/>
      <c r="AX182" s="73"/>
      <c r="AY182" s="161"/>
      <c r="AZ182" s="161"/>
      <c r="BA182" s="73"/>
      <c r="BB182" s="73"/>
      <c r="BC182" s="73"/>
      <c r="BD182" s="73"/>
      <c r="BE182" s="73"/>
      <c r="BF182" s="73"/>
      <c r="BG182" s="73"/>
      <c r="BH182" s="73"/>
      <c r="BI182" s="73"/>
      <c r="BJ182" s="73"/>
      <c r="BK182" s="73"/>
      <c r="BL182" s="163"/>
    </row>
    <row r="183" spans="37:64">
      <c r="AK183" s="73"/>
      <c r="AL183" s="73"/>
      <c r="AM183" s="73"/>
      <c r="AN183" s="73"/>
      <c r="AO183" s="73"/>
      <c r="AP183" s="73"/>
      <c r="AQ183" s="73"/>
      <c r="AR183" s="163"/>
      <c r="AS183" s="163"/>
      <c r="AT183" s="73"/>
      <c r="AU183" s="73"/>
      <c r="AV183" s="73"/>
      <c r="AW183" s="73"/>
      <c r="AX183" s="73"/>
      <c r="AY183" s="161"/>
      <c r="AZ183" s="161"/>
      <c r="BA183" s="73"/>
      <c r="BB183" s="73"/>
      <c r="BC183" s="73"/>
      <c r="BD183" s="73"/>
      <c r="BE183" s="73"/>
      <c r="BF183" s="73"/>
      <c r="BG183" s="73"/>
      <c r="BH183" s="73"/>
      <c r="BI183" s="73"/>
      <c r="BJ183" s="73"/>
      <c r="BK183" s="73"/>
      <c r="BL183" s="163"/>
    </row>
    <row r="184" spans="37:64">
      <c r="AK184" s="73"/>
      <c r="AL184" s="73"/>
      <c r="AM184" s="73"/>
      <c r="AN184" s="73"/>
      <c r="AO184" s="73"/>
      <c r="AP184" s="73"/>
      <c r="AQ184" s="73"/>
      <c r="AR184" s="163"/>
      <c r="AS184" s="163"/>
      <c r="AT184" s="73"/>
      <c r="AU184" s="73"/>
      <c r="AV184" s="73"/>
      <c r="AW184" s="73"/>
      <c r="AX184" s="73"/>
      <c r="AY184" s="161"/>
      <c r="AZ184" s="161"/>
      <c r="BA184" s="73"/>
      <c r="BB184" s="73"/>
      <c r="BC184" s="73"/>
      <c r="BD184" s="73"/>
      <c r="BE184" s="73"/>
      <c r="BF184" s="73"/>
      <c r="BG184" s="73"/>
      <c r="BH184" s="73"/>
      <c r="BI184" s="73"/>
      <c r="BJ184" s="73"/>
      <c r="BK184" s="73"/>
      <c r="BL184" s="163"/>
    </row>
    <row r="185" spans="37:64">
      <c r="AK185" s="73"/>
      <c r="AL185" s="73"/>
      <c r="AM185" s="73"/>
      <c r="AN185" s="73"/>
      <c r="AO185" s="73"/>
      <c r="AP185" s="73"/>
      <c r="AQ185" s="73"/>
      <c r="AR185" s="163"/>
      <c r="AS185" s="163"/>
      <c r="AT185" s="73"/>
      <c r="AU185" s="73"/>
      <c r="AV185" s="73"/>
      <c r="AW185" s="73"/>
      <c r="AX185" s="73"/>
      <c r="AY185" s="161"/>
      <c r="AZ185" s="161"/>
      <c r="BA185" s="73"/>
      <c r="BB185" s="73"/>
      <c r="BC185" s="73"/>
      <c r="BD185" s="73"/>
      <c r="BE185" s="73"/>
      <c r="BF185" s="73"/>
      <c r="BG185" s="73"/>
      <c r="BH185" s="73"/>
      <c r="BI185" s="73"/>
      <c r="BJ185" s="73"/>
      <c r="BK185" s="73"/>
      <c r="BL185" s="163"/>
    </row>
    <row r="186" spans="37:64">
      <c r="AK186" s="73"/>
      <c r="AL186" s="73"/>
      <c r="AM186" s="73"/>
      <c r="AN186" s="73"/>
      <c r="AO186" s="73"/>
      <c r="AP186" s="73"/>
      <c r="AQ186" s="73"/>
      <c r="AR186" s="163"/>
      <c r="AS186" s="163"/>
      <c r="AT186" s="73"/>
      <c r="AU186" s="73"/>
      <c r="AV186" s="73"/>
      <c r="AW186" s="73"/>
      <c r="AX186" s="73"/>
      <c r="AY186" s="161"/>
      <c r="AZ186" s="161"/>
      <c r="BA186" s="73"/>
      <c r="BB186" s="73"/>
      <c r="BC186" s="73"/>
      <c r="BD186" s="73"/>
      <c r="BE186" s="73"/>
      <c r="BF186" s="73"/>
      <c r="BG186" s="73"/>
      <c r="BH186" s="73"/>
      <c r="BI186" s="73"/>
      <c r="BJ186" s="73"/>
      <c r="BK186" s="73"/>
      <c r="BL186" s="163"/>
    </row>
    <row r="187" spans="37:64">
      <c r="AK187" s="73"/>
      <c r="AL187" s="73"/>
      <c r="AM187" s="73"/>
      <c r="AN187" s="73"/>
      <c r="AO187" s="73"/>
      <c r="AP187" s="73"/>
      <c r="AQ187" s="73"/>
      <c r="AR187" s="163"/>
      <c r="AS187" s="163"/>
      <c r="AT187" s="73"/>
      <c r="AU187" s="73"/>
      <c r="AV187" s="73"/>
      <c r="AW187" s="73"/>
      <c r="AX187" s="73"/>
      <c r="AY187" s="161"/>
      <c r="AZ187" s="161"/>
      <c r="BA187" s="73"/>
      <c r="BB187" s="73"/>
      <c r="BC187" s="73"/>
      <c r="BD187" s="73"/>
      <c r="BE187" s="73"/>
      <c r="BF187" s="73"/>
      <c r="BG187" s="73"/>
      <c r="BH187" s="73"/>
      <c r="BI187" s="73"/>
      <c r="BJ187" s="73"/>
      <c r="BK187" s="73"/>
      <c r="BL187" s="163"/>
    </row>
    <row r="188" spans="37:64">
      <c r="AK188" s="73"/>
      <c r="AL188" s="73"/>
      <c r="AM188" s="73"/>
      <c r="AN188" s="73"/>
      <c r="AO188" s="73"/>
      <c r="AP188" s="73"/>
      <c r="AQ188" s="73"/>
      <c r="AR188" s="163"/>
      <c r="AS188" s="163"/>
      <c r="AT188" s="73"/>
      <c r="AU188" s="73"/>
      <c r="AV188" s="73"/>
      <c r="AW188" s="73"/>
      <c r="AX188" s="73"/>
      <c r="AY188" s="161"/>
      <c r="AZ188" s="161"/>
      <c r="BA188" s="73"/>
      <c r="BB188" s="73"/>
      <c r="BC188" s="73"/>
      <c r="BD188" s="73"/>
      <c r="BE188" s="73"/>
      <c r="BF188" s="73"/>
      <c r="BG188" s="73"/>
      <c r="BH188" s="73"/>
      <c r="BI188" s="73"/>
      <c r="BJ188" s="73"/>
      <c r="BK188" s="73"/>
      <c r="BL188" s="163"/>
    </row>
    <row r="189" spans="37:64">
      <c r="AK189" s="73"/>
      <c r="AL189" s="73"/>
      <c r="AM189" s="73"/>
      <c r="AN189" s="73"/>
      <c r="AO189" s="73"/>
      <c r="AP189" s="73"/>
      <c r="AQ189" s="73"/>
      <c r="AR189" s="163"/>
      <c r="AS189" s="163"/>
      <c r="AT189" s="73"/>
      <c r="AU189" s="73"/>
      <c r="AV189" s="73"/>
      <c r="AW189" s="73"/>
      <c r="AX189" s="73"/>
      <c r="AY189" s="161"/>
      <c r="AZ189" s="161"/>
      <c r="BA189" s="73"/>
      <c r="BB189" s="73"/>
      <c r="BC189" s="73"/>
      <c r="BD189" s="73"/>
      <c r="BE189" s="73"/>
      <c r="BF189" s="73"/>
      <c r="BG189" s="73"/>
      <c r="BH189" s="73"/>
      <c r="BI189" s="73"/>
      <c r="BJ189" s="73"/>
      <c r="BK189" s="73"/>
      <c r="BL189" s="163"/>
    </row>
    <row r="190" spans="37:64">
      <c r="AK190" s="73"/>
      <c r="AL190" s="73"/>
      <c r="AM190" s="73"/>
      <c r="AN190" s="73"/>
      <c r="AO190" s="73"/>
      <c r="AP190" s="73"/>
      <c r="AQ190" s="73"/>
      <c r="AR190" s="163"/>
      <c r="AS190" s="163"/>
      <c r="AT190" s="73"/>
      <c r="AU190" s="73"/>
      <c r="AV190" s="73"/>
      <c r="AW190" s="73"/>
      <c r="AX190" s="73"/>
      <c r="AY190" s="161"/>
      <c r="AZ190" s="161"/>
      <c r="BA190" s="73"/>
      <c r="BB190" s="73"/>
      <c r="BC190" s="73"/>
      <c r="BD190" s="73"/>
      <c r="BE190" s="73"/>
      <c r="BF190" s="73"/>
      <c r="BG190" s="73"/>
      <c r="BH190" s="73"/>
      <c r="BI190" s="73"/>
      <c r="BJ190" s="73"/>
      <c r="BK190" s="73"/>
      <c r="BL190" s="163"/>
    </row>
    <row r="191" spans="37:64">
      <c r="AK191" s="73"/>
      <c r="AL191" s="73"/>
      <c r="AM191" s="73"/>
      <c r="AN191" s="73"/>
      <c r="AO191" s="73"/>
      <c r="AP191" s="73"/>
      <c r="AQ191" s="73"/>
      <c r="AR191" s="163"/>
      <c r="AS191" s="163"/>
      <c r="AT191" s="73"/>
      <c r="AU191" s="73"/>
      <c r="AV191" s="73"/>
      <c r="AW191" s="73"/>
      <c r="AX191" s="73"/>
      <c r="AY191" s="161"/>
      <c r="AZ191" s="161"/>
      <c r="BA191" s="73"/>
      <c r="BB191" s="73"/>
      <c r="BC191" s="73"/>
      <c r="BD191" s="73"/>
      <c r="BE191" s="73"/>
      <c r="BF191" s="73"/>
      <c r="BG191" s="73"/>
      <c r="BH191" s="73"/>
      <c r="BI191" s="73"/>
      <c r="BJ191" s="73"/>
      <c r="BK191" s="73"/>
      <c r="BL191" s="163"/>
    </row>
    <row r="192" spans="37:64">
      <c r="AK192" s="73"/>
      <c r="AL192" s="73"/>
      <c r="AM192" s="73"/>
      <c r="AN192" s="73"/>
      <c r="AO192" s="73"/>
      <c r="AP192" s="73"/>
      <c r="AQ192" s="73"/>
      <c r="AR192" s="163"/>
      <c r="AS192" s="163"/>
      <c r="AT192" s="73"/>
      <c r="AU192" s="73"/>
      <c r="AV192" s="73"/>
      <c r="AW192" s="73"/>
      <c r="AX192" s="73"/>
      <c r="AY192" s="161"/>
      <c r="AZ192" s="161"/>
      <c r="BA192" s="73"/>
      <c r="BB192" s="73"/>
      <c r="BC192" s="73"/>
      <c r="BD192" s="73"/>
      <c r="BE192" s="73"/>
      <c r="BF192" s="73"/>
      <c r="BG192" s="73"/>
      <c r="BH192" s="73"/>
      <c r="BI192" s="73"/>
      <c r="BJ192" s="73"/>
      <c r="BK192" s="73"/>
      <c r="BL192" s="163"/>
    </row>
    <row r="193" spans="37:64">
      <c r="AK193" s="73"/>
      <c r="AL193" s="73"/>
      <c r="AM193" s="73"/>
      <c r="AN193" s="73"/>
      <c r="AO193" s="73"/>
      <c r="AP193" s="73"/>
      <c r="AQ193" s="73"/>
      <c r="AR193" s="163"/>
      <c r="AS193" s="163"/>
      <c r="AT193" s="73"/>
      <c r="AU193" s="73"/>
      <c r="AV193" s="73"/>
      <c r="AW193" s="73"/>
      <c r="AX193" s="73"/>
      <c r="AY193" s="161"/>
      <c r="AZ193" s="161"/>
      <c r="BA193" s="73"/>
      <c r="BB193" s="73"/>
      <c r="BC193" s="73"/>
      <c r="BD193" s="73"/>
      <c r="BE193" s="73"/>
      <c r="BF193" s="73"/>
      <c r="BG193" s="73"/>
      <c r="BH193" s="73"/>
      <c r="BI193" s="73"/>
      <c r="BJ193" s="73"/>
      <c r="BK193" s="73"/>
      <c r="BL193" s="163"/>
    </row>
    <row r="194" spans="37:64">
      <c r="AK194" s="73"/>
      <c r="AL194" s="73"/>
      <c r="AM194" s="73"/>
      <c r="AN194" s="73"/>
      <c r="AO194" s="73"/>
      <c r="AP194" s="73"/>
      <c r="AQ194" s="73"/>
      <c r="AR194" s="163"/>
      <c r="AS194" s="163"/>
      <c r="AT194" s="73"/>
      <c r="AU194" s="73"/>
      <c r="AV194" s="73"/>
      <c r="AW194" s="73"/>
      <c r="AX194" s="73"/>
      <c r="AY194" s="161"/>
      <c r="AZ194" s="161"/>
      <c r="BA194" s="73"/>
      <c r="BB194" s="73"/>
      <c r="BC194" s="73"/>
      <c r="BD194" s="73"/>
      <c r="BE194" s="73"/>
      <c r="BF194" s="73"/>
      <c r="BG194" s="73"/>
      <c r="BH194" s="73"/>
      <c r="BI194" s="73"/>
      <c r="BJ194" s="73"/>
      <c r="BK194" s="73"/>
      <c r="BL194" s="163"/>
    </row>
    <row r="195" spans="37:64">
      <c r="AK195" s="73"/>
      <c r="AL195" s="73"/>
      <c r="AM195" s="73"/>
      <c r="AN195" s="73"/>
      <c r="AO195" s="73"/>
      <c r="AP195" s="73"/>
      <c r="AQ195" s="73"/>
      <c r="AR195" s="163"/>
      <c r="AS195" s="163"/>
      <c r="AT195" s="73"/>
      <c r="AU195" s="73"/>
      <c r="AV195" s="73"/>
      <c r="AW195" s="73"/>
      <c r="AX195" s="73"/>
      <c r="AY195" s="161"/>
      <c r="AZ195" s="161"/>
      <c r="BA195" s="73"/>
      <c r="BB195" s="73"/>
      <c r="BC195" s="73"/>
      <c r="BD195" s="73"/>
      <c r="BE195" s="73"/>
      <c r="BF195" s="73"/>
      <c r="BG195" s="73"/>
      <c r="BH195" s="73"/>
      <c r="BI195" s="73"/>
      <c r="BJ195" s="73"/>
      <c r="BK195" s="73"/>
      <c r="BL195" s="163"/>
    </row>
    <row r="196" spans="37:64">
      <c r="AK196" s="73"/>
      <c r="AL196" s="73"/>
      <c r="AM196" s="73"/>
      <c r="AN196" s="73"/>
      <c r="AO196" s="73"/>
      <c r="AP196" s="73"/>
      <c r="AQ196" s="73"/>
      <c r="AR196" s="163"/>
      <c r="AS196" s="163"/>
      <c r="AT196" s="73"/>
      <c r="AU196" s="73"/>
      <c r="AV196" s="73"/>
      <c r="AW196" s="73"/>
      <c r="AX196" s="73"/>
      <c r="AY196" s="161"/>
      <c r="AZ196" s="161"/>
      <c r="BA196" s="73"/>
      <c r="BB196" s="73"/>
      <c r="BC196" s="73"/>
      <c r="BD196" s="73"/>
      <c r="BE196" s="73"/>
      <c r="BF196" s="73"/>
      <c r="BG196" s="73"/>
      <c r="BH196" s="73"/>
      <c r="BI196" s="73"/>
      <c r="BJ196" s="73"/>
      <c r="BK196" s="73"/>
      <c r="BL196" s="163"/>
    </row>
    <row r="197" spans="37:64">
      <c r="AK197" s="73"/>
      <c r="AL197" s="73"/>
      <c r="AM197" s="73"/>
      <c r="AN197" s="73"/>
      <c r="AO197" s="73"/>
      <c r="AP197" s="73"/>
      <c r="AQ197" s="73"/>
      <c r="AR197" s="163"/>
      <c r="AS197" s="163"/>
      <c r="AT197" s="73"/>
      <c r="AU197" s="73"/>
      <c r="AV197" s="73"/>
      <c r="AW197" s="73"/>
      <c r="AX197" s="73"/>
      <c r="AY197" s="161"/>
      <c r="AZ197" s="161"/>
      <c r="BA197" s="73"/>
      <c r="BB197" s="73"/>
      <c r="BC197" s="73"/>
      <c r="BD197" s="73"/>
      <c r="BE197" s="73"/>
      <c r="BF197" s="73"/>
      <c r="BG197" s="73"/>
      <c r="BH197" s="73"/>
      <c r="BI197" s="73"/>
      <c r="BJ197" s="73"/>
      <c r="BK197" s="73"/>
      <c r="BL197" s="163"/>
    </row>
    <row r="198" spans="37:64">
      <c r="AK198" s="73"/>
      <c r="AL198" s="73"/>
      <c r="AM198" s="73"/>
      <c r="AN198" s="73"/>
      <c r="AO198" s="73"/>
      <c r="AP198" s="73"/>
      <c r="AQ198" s="73"/>
      <c r="AR198" s="163"/>
      <c r="AS198" s="163"/>
      <c r="AT198" s="73"/>
      <c r="AU198" s="73"/>
      <c r="AV198" s="73"/>
      <c r="AW198" s="73"/>
      <c r="AX198" s="73"/>
      <c r="AY198" s="161"/>
      <c r="AZ198" s="161"/>
      <c r="BA198" s="73"/>
      <c r="BB198" s="73"/>
      <c r="BC198" s="73"/>
      <c r="BD198" s="73"/>
      <c r="BE198" s="73"/>
      <c r="BF198" s="73"/>
      <c r="BG198" s="73"/>
      <c r="BH198" s="73"/>
      <c r="BI198" s="73"/>
      <c r="BJ198" s="73"/>
      <c r="BK198" s="73"/>
      <c r="BL198" s="163"/>
    </row>
    <row r="199" spans="37:64">
      <c r="AK199" s="73"/>
      <c r="AL199" s="73"/>
      <c r="AM199" s="73"/>
      <c r="AN199" s="73"/>
      <c r="AO199" s="73"/>
      <c r="AP199" s="73"/>
      <c r="AQ199" s="73"/>
      <c r="AR199" s="163"/>
      <c r="AS199" s="163"/>
      <c r="AT199" s="73"/>
      <c r="AU199" s="73"/>
      <c r="AV199" s="73"/>
      <c r="AW199" s="73"/>
      <c r="AX199" s="73"/>
      <c r="AY199" s="161"/>
      <c r="AZ199" s="161"/>
      <c r="BA199" s="73"/>
      <c r="BB199" s="73"/>
      <c r="BC199" s="73"/>
      <c r="BD199" s="73"/>
      <c r="BE199" s="73"/>
      <c r="BF199" s="73"/>
      <c r="BG199" s="73"/>
      <c r="BH199" s="73"/>
      <c r="BI199" s="73"/>
      <c r="BJ199" s="73"/>
      <c r="BK199" s="73"/>
      <c r="BL199" s="163"/>
    </row>
    <row r="200" spans="37:64">
      <c r="AQ200" s="73"/>
      <c r="AX200" s="73"/>
      <c r="AY200" s="161"/>
      <c r="AZ200" s="161"/>
    </row>
    <row r="201" spans="37:64">
      <c r="AQ201" s="73"/>
      <c r="AX201" s="73"/>
      <c r="AY201" s="161"/>
      <c r="AZ201" s="161"/>
    </row>
  </sheetData>
  <mergeCells count="9">
    <mergeCell ref="D4:F4"/>
    <mergeCell ref="L4:N4"/>
    <mergeCell ref="S4:U4"/>
    <mergeCell ref="BI4:BL4"/>
    <mergeCell ref="Z4:AB4"/>
    <mergeCell ref="AG4:AI4"/>
    <mergeCell ref="AN4:AP4"/>
    <mergeCell ref="AU4:AW4"/>
    <mergeCell ref="BB4:BD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theme="9" tint="-0.499984740745262"/>
  </sheetPr>
  <dimension ref="B2:L35"/>
  <sheetViews>
    <sheetView workbookViewId="0">
      <selection activeCell="O27" sqref="O27"/>
    </sheetView>
  </sheetViews>
  <sheetFormatPr baseColWidth="10" defaultRowHeight="15"/>
  <cols>
    <col min="1" max="1" width="2.7109375" customWidth="1"/>
    <col min="3" max="3" width="44.28515625" customWidth="1"/>
  </cols>
  <sheetData>
    <row r="2" spans="2:12">
      <c r="B2" s="141" t="s">
        <v>2014</v>
      </c>
    </row>
    <row r="3" spans="2:12">
      <c r="B3" s="706" t="s">
        <v>865</v>
      </c>
    </row>
    <row r="5" spans="2:12" ht="24">
      <c r="B5" s="4097" t="s">
        <v>2763</v>
      </c>
      <c r="C5" s="1297" t="s">
        <v>2</v>
      </c>
      <c r="D5" s="331">
        <v>2010</v>
      </c>
      <c r="E5" s="331">
        <v>2011</v>
      </c>
      <c r="F5" s="331">
        <v>2012</v>
      </c>
      <c r="G5" s="331">
        <v>2013</v>
      </c>
      <c r="H5" s="331">
        <v>2014</v>
      </c>
      <c r="I5" s="331">
        <v>2015</v>
      </c>
      <c r="J5" s="331">
        <v>2016</v>
      </c>
      <c r="K5" s="331">
        <v>2017</v>
      </c>
      <c r="L5" s="331">
        <v>2018</v>
      </c>
    </row>
    <row r="6" spans="2:12">
      <c r="B6" s="4885" t="s">
        <v>16</v>
      </c>
      <c r="C6" s="1298" t="s">
        <v>104</v>
      </c>
      <c r="D6" s="1299">
        <v>0.46666666666666667</v>
      </c>
      <c r="E6" s="1300">
        <v>0.76923076923076927</v>
      </c>
      <c r="F6" s="1301">
        <v>0.875</v>
      </c>
      <c r="G6" s="1302">
        <v>0.6875</v>
      </c>
      <c r="H6" s="1303">
        <v>0.89473684210526316</v>
      </c>
      <c r="I6" s="1303">
        <v>0.72222222222222221</v>
      </c>
      <c r="J6" s="1303">
        <v>0.8571428571428571</v>
      </c>
      <c r="K6" s="1303">
        <v>0.95</v>
      </c>
      <c r="L6" s="1303">
        <v>0.9</v>
      </c>
    </row>
    <row r="7" spans="2:12">
      <c r="B7" s="4886"/>
      <c r="C7" s="329" t="s">
        <v>423</v>
      </c>
      <c r="D7" s="337"/>
      <c r="E7" s="335">
        <v>0.63636363636363635</v>
      </c>
      <c r="F7" s="343">
        <v>0.8</v>
      </c>
      <c r="G7" s="338"/>
      <c r="H7" s="336">
        <v>0.4</v>
      </c>
      <c r="I7" s="336"/>
      <c r="J7" s="336">
        <v>0.55555555555555558</v>
      </c>
      <c r="K7" s="336"/>
      <c r="L7" s="336"/>
    </row>
    <row r="8" spans="2:12">
      <c r="B8" s="4886"/>
      <c r="C8" s="330" t="s">
        <v>120</v>
      </c>
      <c r="D8" s="337"/>
      <c r="E8" s="346"/>
      <c r="F8" s="336"/>
      <c r="G8" s="338"/>
      <c r="H8" s="340">
        <v>0.72413793103448276</v>
      </c>
      <c r="I8" s="340"/>
      <c r="J8" s="340"/>
      <c r="K8" s="340"/>
      <c r="L8" s="340"/>
    </row>
    <row r="9" spans="2:12">
      <c r="B9" s="4887"/>
      <c r="C9" s="4685" t="s">
        <v>573</v>
      </c>
      <c r="D9" s="345">
        <v>0.46666666666666667</v>
      </c>
      <c r="E9" s="333">
        <v>0.70833333333333337</v>
      </c>
      <c r="F9" s="343"/>
      <c r="G9" s="339">
        <v>0.6470588235294118</v>
      </c>
      <c r="H9" s="340"/>
      <c r="I9" s="340">
        <v>0.72222222222222221</v>
      </c>
      <c r="J9" s="340">
        <v>0.76666666666666672</v>
      </c>
      <c r="K9" s="340">
        <v>0.95</v>
      </c>
      <c r="L9" s="340">
        <v>0.9</v>
      </c>
    </row>
    <row r="10" spans="2:12">
      <c r="B10" s="4888" t="s">
        <v>21</v>
      </c>
      <c r="C10" s="330" t="s">
        <v>106</v>
      </c>
      <c r="D10" s="334">
        <v>0.44</v>
      </c>
      <c r="E10" s="335">
        <v>0.43055555555555558</v>
      </c>
      <c r="F10" s="336"/>
      <c r="G10" s="342">
        <v>0.39473684210526316</v>
      </c>
      <c r="H10" s="337"/>
      <c r="I10" s="337"/>
      <c r="J10" s="337"/>
      <c r="K10" s="337"/>
      <c r="L10" s="337"/>
    </row>
    <row r="11" spans="2:12" s="4676" customFormat="1">
      <c r="B11" s="4889"/>
      <c r="C11" s="330" t="s">
        <v>891</v>
      </c>
      <c r="D11" s="4682"/>
      <c r="E11" s="335"/>
      <c r="F11" s="4683"/>
      <c r="G11" s="342"/>
      <c r="H11" s="4684"/>
      <c r="I11" s="4684"/>
      <c r="J11" s="4684"/>
      <c r="K11" s="4684"/>
      <c r="L11" s="337">
        <v>0.4</v>
      </c>
    </row>
    <row r="12" spans="2:12" ht="30">
      <c r="B12" s="4890"/>
      <c r="C12" s="1716" t="s">
        <v>1691</v>
      </c>
      <c r="D12" s="334"/>
      <c r="E12" s="335"/>
      <c r="F12" s="336"/>
      <c r="G12" s="342"/>
      <c r="H12" s="337"/>
      <c r="I12" s="337">
        <v>0</v>
      </c>
      <c r="J12" s="337"/>
      <c r="K12" s="337">
        <v>0.8</v>
      </c>
      <c r="L12" s="337">
        <v>0</v>
      </c>
    </row>
    <row r="13" spans="2:12">
      <c r="B13" s="4891"/>
      <c r="C13" s="4686" t="s">
        <v>574</v>
      </c>
      <c r="D13" s="1304">
        <v>0.44</v>
      </c>
      <c r="E13" s="1305">
        <v>0.43055555555555558</v>
      </c>
      <c r="F13" s="1306"/>
      <c r="G13" s="1307">
        <v>0.39473684210526316</v>
      </c>
      <c r="H13" s="1308"/>
      <c r="I13" s="1308">
        <v>0</v>
      </c>
      <c r="J13" s="1308"/>
      <c r="K13" s="1308">
        <v>0.8</v>
      </c>
      <c r="L13" s="1308">
        <v>0.15384615384615385</v>
      </c>
    </row>
    <row r="14" spans="2:12">
      <c r="B14" s="1314"/>
      <c r="C14" s="1315" t="s">
        <v>107</v>
      </c>
      <c r="D14" s="1304">
        <v>0.44615384615384618</v>
      </c>
      <c r="E14" s="1305">
        <v>0.5</v>
      </c>
      <c r="F14" s="1306">
        <v>0.84615384615384615</v>
      </c>
      <c r="G14" s="1307">
        <v>0.44086021505376344</v>
      </c>
      <c r="H14" s="1308">
        <v>0.72413793103448276</v>
      </c>
      <c r="I14" s="1308">
        <v>0</v>
      </c>
      <c r="J14" s="1308">
        <v>0.76666666666666672</v>
      </c>
      <c r="K14" s="1308">
        <v>0.9</v>
      </c>
      <c r="L14" s="1308">
        <v>0.60606060606060608</v>
      </c>
    </row>
    <row r="15" spans="2:12">
      <c r="B15" s="4885" t="s">
        <v>4</v>
      </c>
      <c r="C15" s="329" t="s">
        <v>2708</v>
      </c>
      <c r="D15" s="334"/>
      <c r="E15" s="335"/>
      <c r="F15" s="341"/>
      <c r="G15" s="344"/>
      <c r="H15" s="336"/>
      <c r="I15" s="336"/>
      <c r="J15" s="336"/>
      <c r="K15" s="336"/>
      <c r="L15" s="336"/>
    </row>
    <row r="16" spans="2:12">
      <c r="B16" s="4887"/>
      <c r="C16" s="4685" t="s">
        <v>572</v>
      </c>
      <c r="D16" s="345"/>
      <c r="E16" s="333"/>
      <c r="F16" s="343"/>
      <c r="G16" s="339"/>
      <c r="H16" s="340"/>
      <c r="I16" s="340"/>
      <c r="J16" s="340"/>
      <c r="K16" s="340"/>
      <c r="L16" s="340"/>
    </row>
    <row r="17" spans="2:12">
      <c r="B17" s="4885" t="s">
        <v>16</v>
      </c>
      <c r="C17" s="329" t="s">
        <v>108</v>
      </c>
      <c r="D17" s="334">
        <v>0.12931034482758599</v>
      </c>
      <c r="E17" s="335">
        <v>0.36263736263736263</v>
      </c>
      <c r="F17" s="341">
        <v>0.72222222222222221</v>
      </c>
      <c r="G17" s="344">
        <v>1</v>
      </c>
      <c r="H17" s="336">
        <v>0.69696969696969702</v>
      </c>
      <c r="I17" s="336">
        <v>0.39393939393939392</v>
      </c>
      <c r="J17" s="336">
        <v>0.82456140350877194</v>
      </c>
      <c r="K17" s="336">
        <v>1</v>
      </c>
      <c r="L17" s="336">
        <v>0.85245901639344257</v>
      </c>
    </row>
    <row r="18" spans="2:12">
      <c r="B18" s="4887"/>
      <c r="C18" s="4685" t="s">
        <v>573</v>
      </c>
      <c r="D18" s="345">
        <v>0.12931034482758622</v>
      </c>
      <c r="E18" s="333">
        <v>0.36263736263736263</v>
      </c>
      <c r="F18" s="343">
        <v>0.72222222222222221</v>
      </c>
      <c r="G18" s="339">
        <v>1</v>
      </c>
      <c r="H18" s="340">
        <v>0.69696969696969702</v>
      </c>
      <c r="I18" s="340">
        <v>1</v>
      </c>
      <c r="J18" s="340">
        <v>0.82456140350877194</v>
      </c>
      <c r="K18" s="340">
        <v>1</v>
      </c>
      <c r="L18" s="340">
        <v>0.85245901639344257</v>
      </c>
    </row>
    <row r="19" spans="2:12">
      <c r="B19" s="4885" t="s">
        <v>41</v>
      </c>
      <c r="C19" s="329" t="s">
        <v>109</v>
      </c>
      <c r="D19" s="334">
        <v>0.88235294117647056</v>
      </c>
      <c r="E19" s="335">
        <v>0.7142857142857143</v>
      </c>
      <c r="F19" s="341">
        <v>0.625</v>
      </c>
      <c r="G19" s="342">
        <v>0.64</v>
      </c>
      <c r="H19" s="336">
        <v>0.46153846153846156</v>
      </c>
      <c r="I19" s="336">
        <v>0.5</v>
      </c>
      <c r="J19" s="336">
        <v>0.27777777777777779</v>
      </c>
      <c r="K19" s="336">
        <v>0.41666666666666669</v>
      </c>
      <c r="L19" s="336">
        <v>0.22222222222222221</v>
      </c>
    </row>
    <row r="20" spans="2:12">
      <c r="B20" s="4886"/>
      <c r="C20" s="329" t="s">
        <v>620</v>
      </c>
      <c r="D20" s="334">
        <v>0</v>
      </c>
      <c r="E20" s="335">
        <v>0</v>
      </c>
      <c r="F20" s="341">
        <v>0</v>
      </c>
      <c r="G20" s="344">
        <v>0</v>
      </c>
      <c r="H20" s="336">
        <v>0.36363636363636365</v>
      </c>
      <c r="I20" s="336">
        <v>0.125</v>
      </c>
      <c r="J20" s="336"/>
      <c r="K20" s="336"/>
      <c r="L20" s="336">
        <v>1</v>
      </c>
    </row>
    <row r="21" spans="2:12">
      <c r="B21" s="4887"/>
      <c r="C21" s="4686" t="s">
        <v>575</v>
      </c>
      <c r="D21" s="1304">
        <v>0.65217391304347827</v>
      </c>
      <c r="E21" s="1305">
        <v>0.64</v>
      </c>
      <c r="F21" s="1306">
        <v>0.42857142857142855</v>
      </c>
      <c r="G21" s="1307">
        <v>0.44444444444444442</v>
      </c>
      <c r="H21" s="1308">
        <v>0.41666666666666669</v>
      </c>
      <c r="I21" s="1308">
        <v>0.38461538461538464</v>
      </c>
      <c r="J21" s="1308">
        <v>0.27777777777777779</v>
      </c>
      <c r="K21" s="1308">
        <v>0.41666666666666669</v>
      </c>
      <c r="L21" s="1308">
        <v>0.5</v>
      </c>
    </row>
    <row r="22" spans="2:12">
      <c r="B22" s="1314"/>
      <c r="C22" s="1315" t="s">
        <v>111</v>
      </c>
      <c r="D22" s="1304">
        <v>0.21582733812949639</v>
      </c>
      <c r="E22" s="1305">
        <v>0.41379310344827586</v>
      </c>
      <c r="F22" s="1306">
        <v>0.62616822429906538</v>
      </c>
      <c r="G22" s="1309">
        <v>0.60784313725490191</v>
      </c>
      <c r="H22" s="1308">
        <v>0.56140350877192979</v>
      </c>
      <c r="I22" s="1308">
        <v>0.6097560975609756</v>
      </c>
      <c r="J22" s="1308">
        <v>0.69333333333333336</v>
      </c>
      <c r="K22" s="1308">
        <v>0.70833333333333337</v>
      </c>
      <c r="L22" s="1308">
        <v>0.78666666666666663</v>
      </c>
    </row>
    <row r="23" spans="2:12">
      <c r="B23" s="4885" t="s">
        <v>16</v>
      </c>
      <c r="C23" t="s">
        <v>135</v>
      </c>
      <c r="D23" s="337"/>
      <c r="E23" s="335">
        <v>0.89473684210526316</v>
      </c>
      <c r="F23" s="341"/>
      <c r="G23" s="338"/>
      <c r="H23" s="336"/>
      <c r="I23" s="336"/>
      <c r="J23" s="336"/>
      <c r="K23" s="336"/>
      <c r="L23" s="336"/>
    </row>
    <row r="24" spans="2:12">
      <c r="B24" s="4886"/>
      <c r="C24" s="329" t="s">
        <v>112</v>
      </c>
      <c r="D24" s="334">
        <v>0.84782608695652173</v>
      </c>
      <c r="E24" s="338"/>
      <c r="F24" s="341">
        <v>0</v>
      </c>
      <c r="G24" s="338"/>
      <c r="H24" s="336">
        <v>0.77142857142857146</v>
      </c>
      <c r="I24" s="336"/>
      <c r="J24" s="336">
        <v>0</v>
      </c>
      <c r="K24" s="336"/>
      <c r="L24" s="336">
        <v>0.6875</v>
      </c>
    </row>
    <row r="25" spans="2:12">
      <c r="B25" s="4887"/>
      <c r="C25" s="4685" t="s">
        <v>573</v>
      </c>
      <c r="D25" s="345">
        <v>0.84782608695652173</v>
      </c>
      <c r="E25" s="333">
        <v>0.89473684210526316</v>
      </c>
      <c r="F25" s="343">
        <v>0</v>
      </c>
      <c r="G25" s="339"/>
      <c r="H25" s="340">
        <v>0.77142857142857146</v>
      </c>
      <c r="I25" s="340"/>
      <c r="J25" s="340">
        <v>0</v>
      </c>
      <c r="K25" s="340"/>
      <c r="L25" s="340">
        <v>0.6875</v>
      </c>
    </row>
    <row r="26" spans="2:12">
      <c r="B26" s="4885" t="s">
        <v>41</v>
      </c>
      <c r="C26" s="329" t="s">
        <v>113</v>
      </c>
      <c r="D26" s="334">
        <v>0.625</v>
      </c>
      <c r="E26" s="335">
        <v>0</v>
      </c>
      <c r="F26" s="341">
        <v>0.66666666666666663</v>
      </c>
      <c r="G26" s="338"/>
      <c r="H26" s="336">
        <v>0.75</v>
      </c>
      <c r="I26" s="336"/>
      <c r="J26" s="336"/>
      <c r="K26" s="336"/>
      <c r="L26" s="336"/>
    </row>
    <row r="27" spans="2:12">
      <c r="B27" s="4886"/>
      <c r="C27" s="329" t="s">
        <v>139</v>
      </c>
      <c r="D27" s="334">
        <v>0</v>
      </c>
      <c r="E27" s="338"/>
      <c r="F27" s="341">
        <v>0</v>
      </c>
      <c r="G27" s="338"/>
      <c r="H27" s="336">
        <v>0</v>
      </c>
      <c r="I27" s="336"/>
      <c r="J27" s="336">
        <v>0.25</v>
      </c>
      <c r="K27" s="336"/>
      <c r="L27" s="336"/>
    </row>
    <row r="28" spans="2:12">
      <c r="B28" s="4887"/>
      <c r="C28" s="4686" t="s">
        <v>575</v>
      </c>
      <c r="D28" s="1304">
        <v>0.23809523809523808</v>
      </c>
      <c r="E28" s="1305">
        <v>0</v>
      </c>
      <c r="F28" s="1306">
        <v>0.25</v>
      </c>
      <c r="G28" s="1307"/>
      <c r="H28" s="1308">
        <v>0.39130434782608697</v>
      </c>
      <c r="I28" s="1308"/>
      <c r="J28" s="1308">
        <v>0.25</v>
      </c>
      <c r="K28" s="1308"/>
      <c r="L28" s="1308"/>
    </row>
    <row r="29" spans="2:12">
      <c r="B29" s="1314"/>
      <c r="C29" s="1315" t="s">
        <v>461</v>
      </c>
      <c r="D29" s="1304">
        <v>0.65671641791044777</v>
      </c>
      <c r="E29" s="1305">
        <v>0.70833333333333337</v>
      </c>
      <c r="F29" s="1306">
        <v>0.11428571428571428</v>
      </c>
      <c r="G29" s="1307"/>
      <c r="H29" s="1308">
        <v>0.62068965517241381</v>
      </c>
      <c r="I29" s="1308"/>
      <c r="J29" s="1308">
        <v>6.25E-2</v>
      </c>
      <c r="K29" s="1308"/>
      <c r="L29" s="1308">
        <v>0.6875</v>
      </c>
    </row>
    <row r="30" spans="2:12">
      <c r="B30" s="4885" t="s">
        <v>64</v>
      </c>
      <c r="C30" s="329" t="s">
        <v>710</v>
      </c>
      <c r="D30" s="337"/>
      <c r="E30" s="338"/>
      <c r="F30" s="336"/>
      <c r="G30" s="344">
        <v>0.66666666666666663</v>
      </c>
      <c r="H30" s="336">
        <v>0.5</v>
      </c>
      <c r="I30" s="336">
        <v>0.5</v>
      </c>
      <c r="J30" s="336">
        <v>0.2857142857142857</v>
      </c>
      <c r="K30" s="336">
        <v>0.2</v>
      </c>
      <c r="L30" s="336">
        <v>0</v>
      </c>
    </row>
    <row r="31" spans="2:12">
      <c r="B31" s="4887"/>
      <c r="C31" s="4686" t="s">
        <v>577</v>
      </c>
      <c r="D31" s="1304"/>
      <c r="E31" s="1305"/>
      <c r="F31" s="1306"/>
      <c r="G31" s="1307">
        <v>0.66666666666666663</v>
      </c>
      <c r="H31" s="1308">
        <v>0.5</v>
      </c>
      <c r="I31" s="1308">
        <v>0.5</v>
      </c>
      <c r="J31" s="1308">
        <v>0.2857142857142857</v>
      </c>
      <c r="K31" s="1308">
        <v>0.2</v>
      </c>
      <c r="L31" s="1308">
        <v>0</v>
      </c>
    </row>
    <row r="32" spans="2:12">
      <c r="B32" s="1314"/>
      <c r="C32" s="1315" t="s">
        <v>265</v>
      </c>
      <c r="D32" s="345"/>
      <c r="E32" s="333"/>
      <c r="F32" s="343"/>
      <c r="G32" s="339">
        <v>0.66666666666666663</v>
      </c>
      <c r="H32" s="340">
        <v>0.5</v>
      </c>
      <c r="I32" s="340">
        <v>0.5</v>
      </c>
      <c r="J32" s="340">
        <v>0.2857142857142857</v>
      </c>
      <c r="K32" s="340">
        <v>0.2</v>
      </c>
      <c r="L32" s="340">
        <v>0</v>
      </c>
    </row>
    <row r="33" spans="2:12">
      <c r="B33" s="4883" t="s">
        <v>75</v>
      </c>
      <c r="C33" s="4884"/>
      <c r="D33" s="1310">
        <v>0.38007380073800739</v>
      </c>
      <c r="E33" s="1311">
        <v>0.4788135593220339</v>
      </c>
      <c r="F33" s="634">
        <v>0.47783251231527096</v>
      </c>
      <c r="G33" s="1312">
        <v>0.50340136054421769</v>
      </c>
      <c r="H33" s="1313">
        <v>0.61643835616438358</v>
      </c>
      <c r="I33" s="1313">
        <v>0.51282051282051277</v>
      </c>
      <c r="J33" s="1313">
        <v>0.5</v>
      </c>
      <c r="K33" s="1313">
        <v>0.76271186440677963</v>
      </c>
      <c r="L33" s="1717">
        <v>0.70629370629370625</v>
      </c>
    </row>
    <row r="35" spans="2:12">
      <c r="B35" s="74" t="s">
        <v>2745</v>
      </c>
    </row>
  </sheetData>
  <mergeCells count="9">
    <mergeCell ref="B33:C33"/>
    <mergeCell ref="B6:B9"/>
    <mergeCell ref="B10:B13"/>
    <mergeCell ref="B19:B21"/>
    <mergeCell ref="B30:B31"/>
    <mergeCell ref="B23:B25"/>
    <mergeCell ref="B26:B28"/>
    <mergeCell ref="B17:B18"/>
    <mergeCell ref="B15:B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1</vt:i4>
      </vt:variant>
    </vt:vector>
  </HeadingPairs>
  <TitlesOfParts>
    <vt:vector size="58" baseType="lpstr">
      <vt:lpstr>PDI</vt:lpstr>
      <vt:lpstr>Indicadores</vt:lpstr>
      <vt:lpstr>Formulas</vt:lpstr>
      <vt:lpstr>D.1.</vt:lpstr>
      <vt:lpstr>Desglose ET D.2</vt:lpstr>
      <vt:lpstr>D.2.</vt:lpstr>
      <vt:lpstr>D.3.</vt:lpstr>
      <vt:lpstr>D.3 Trim exc._Lic</vt:lpstr>
      <vt:lpstr>D.4.</vt:lpstr>
      <vt:lpstr>Desglose ET_Esp</vt:lpstr>
      <vt:lpstr>D.5.</vt:lpstr>
      <vt:lpstr>Desglose ET_Mtria</vt:lpstr>
      <vt:lpstr>D.6.</vt:lpstr>
      <vt:lpstr>Desglose ET_Doc</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Indicadores!Área_de_impresión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avergara</cp:lastModifiedBy>
  <cp:lastPrinted>2019-07-22T19:29:41Z</cp:lastPrinted>
  <dcterms:created xsi:type="dcterms:W3CDTF">2011-06-08T18:52:53Z</dcterms:created>
  <dcterms:modified xsi:type="dcterms:W3CDTF">2019-07-24T23:26:52Z</dcterms:modified>
</cp:coreProperties>
</file>